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drawings/drawing11.xml" ContentType="application/vnd.openxmlformats-officedocument.drawingml.chartshapes+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7.xml" ContentType="application/vnd.openxmlformats-officedocument.drawingml.chart+xml"/>
  <Override PartName="/xl/drawings/drawing22.xml" ContentType="application/vnd.openxmlformats-officedocument.drawing+xml"/>
  <Override PartName="/xl/charts/chart8.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xml"/>
  <Override PartName="/xl/charts/chart10.xml" ContentType="application/vnd.openxmlformats-officedocument.drawingml.chart+xml"/>
  <Override PartName="/xl/drawings/drawing29.xml" ContentType="application/vnd.openxmlformats-officedocument.drawing+xml"/>
  <Override PartName="/xl/charts/chart11.xml" ContentType="application/vnd.openxmlformats-officedocument.drawingml.chart+xml"/>
  <Override PartName="/xl/drawings/drawing30.xml" ContentType="application/vnd.openxmlformats-officedocument.drawing+xml"/>
  <Override PartName="/xl/charts/chart12.xml" ContentType="application/vnd.openxmlformats-officedocument.drawingml.chart+xml"/>
  <Override PartName="/xl/drawings/drawing31.xml" ContentType="application/vnd.openxmlformats-officedocument.drawing+xml"/>
  <Override PartName="/xl/charts/chart13.xml" ContentType="application/vnd.openxmlformats-officedocument.drawingml.chart+xml"/>
  <Override PartName="/xl/drawings/drawing32.xml" ContentType="application/vnd.openxmlformats-officedocument.drawing+xml"/>
  <Override PartName="/xl/charts/chart14.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EstaPastaDeTrabalho"/>
  <mc:AlternateContent xmlns:mc="http://schemas.openxmlformats.org/markup-compatibility/2006">
    <mc:Choice Requires="x15">
      <x15ac:absPath xmlns:x15ac="http://schemas.microsoft.com/office/spreadsheetml/2010/11/ac" url="G:\EXC_DECO\INSUMOS\"/>
    </mc:Choice>
  </mc:AlternateContent>
  <xr:revisionPtr revIDLastSave="0" documentId="13_ncr:1_{A4BA656D-8474-4067-B8E1-C71932B441AA}" xr6:coauthVersionLast="45" xr6:coauthVersionMax="45" xr10:uidLastSave="{00000000-0000-0000-0000-000000000000}"/>
  <bookViews>
    <workbookView xWindow="-120" yWindow="-120" windowWidth="20730" windowHeight="11160" tabRatio="693" firstSheet="1" activeTab="1" xr2:uid="{00000000-000D-0000-FFFF-FFFF00000000}"/>
  </bookViews>
  <sheets>
    <sheet name="geral" sheetId="1" state="hidden" r:id="rId1"/>
    <sheet name="Resumo" sheetId="9728" r:id="rId2"/>
    <sheet name="Diesel_S500" sheetId="3" r:id="rId3"/>
    <sheet name="Diesel_S10" sheetId="25586" r:id="rId4"/>
    <sheet name="ARLA_32" sheetId="25585" r:id="rId5"/>
    <sheet name="ANP" sheetId="8" r:id="rId6"/>
    <sheet name="ANP S-50_S-10  " sheetId="25581" r:id="rId7"/>
    <sheet name="aumentos comb" sheetId="3584" state="hidden" r:id="rId8"/>
    <sheet name="câmbio" sheetId="25580" r:id="rId9"/>
    <sheet name="cárter" sheetId="4888" r:id="rId10"/>
    <sheet name="mnt_Atego 2426" sheetId="10285" r:id="rId11"/>
    <sheet name="mnt_ACCELO 815" sheetId="768" r:id="rId12"/>
    <sheet name="motrod" sheetId="20994" r:id="rId13"/>
    <sheet name="moturb" sheetId="9216" r:id="rId14"/>
    <sheet name="ajud" sheetId="1024" r:id="rId15"/>
    <sheet name="DAT" sheetId="32" r:id="rId16"/>
    <sheet name="MB ATEGO 2426" sheetId="2316" r:id="rId17"/>
    <sheet name="MB ACCELO 815 " sheetId="2819" r:id="rId18"/>
    <sheet name="cartru" sheetId="2561" r:id="rId19"/>
    <sheet name="carlev" sheetId="523" r:id="rId20"/>
    <sheet name="rodoartq" sheetId="10541" r:id="rId21"/>
    <sheet name="rodoarlv" sheetId="2048" r:id="rId22"/>
    <sheet name="Pn1000" sheetId="516" state="hidden" r:id="rId23"/>
    <sheet name="Pn750" sheetId="11522" state="hidden" r:id="rId24"/>
    <sheet name="camara1000" sheetId="40" state="hidden" r:id="rId25"/>
    <sheet name="camara750" sheetId="515" state="hidden" r:id="rId26"/>
    <sheet name="Prot1000" sheetId="82" state="hidden" r:id="rId27"/>
    <sheet name="Prot750" sheetId="36" state="hidden" r:id="rId28"/>
    <sheet name="Pn275" sheetId="25582" r:id="rId29"/>
    <sheet name="Pn215" sheetId="25583" r:id="rId30"/>
    <sheet name="Pn205" sheetId="25584" r:id="rId31"/>
    <sheet name="Rec1000" sheetId="8196" r:id="rId32"/>
    <sheet name="Rec750" sheetId="512" r:id="rId33"/>
    <sheet name="Lavtq" sheetId="25587" r:id="rId34"/>
    <sheet name="Lavlv" sheetId="25588" r:id="rId35"/>
    <sheet name="Seg_ATEGO 2426" sheetId="25589" r:id="rId36"/>
    <sheet name="Seg_ACCELO 815" sheetId="25590" r:id="rId37"/>
    <sheet name="peças" sheetId="25591" state="hidden" r:id="rId38"/>
    <sheet name="mecânico" sheetId="10498" state="hidden" r:id="rId39"/>
    <sheet name="MB12(13)18" sheetId="25592" state="hidden" r:id="rId40"/>
    <sheet name="MB1620" sheetId="2" state="hidden" r:id="rId41"/>
    <sheet name="camara900" sheetId="11520" state="hidden" r:id="rId42"/>
    <sheet name="eixo" sheetId="25593" state="hidden" r:id="rId43"/>
    <sheet name="Pn900" sheetId="25594" state="hidden" r:id="rId44"/>
    <sheet name="Prot900" sheetId="25595" state="hidden" r:id="rId45"/>
    <sheet name="Rec900" sheetId="25596" state="hidden" r:id="rId46"/>
    <sheet name="Seg1218" sheetId="25597" state="hidden" r:id="rId47"/>
    <sheet name="GRISR" sheetId="25598" state="hidden" r:id="rId48"/>
    <sheet name="GRISCE" sheetId="11521"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s>
  <definedNames>
    <definedName name="_xlnm.Print_Area" localSheetId="14">ajud!$A$1:$I$254</definedName>
    <definedName name="_xlnm.Print_Area" localSheetId="5">ANP!$A$1:$E$740</definedName>
    <definedName name="_xlnm.Print_Area" localSheetId="6">'ANP S-50_S-10  '!$A$1:$E$316</definedName>
    <definedName name="_xlnm.Print_Area" localSheetId="4">ARLA_32!$A$1:$H$111</definedName>
    <definedName name="_xlnm.Print_Area" localSheetId="8">câmbio!$A$1:$H$323</definedName>
    <definedName name="_xlnm.Print_Area" localSheetId="19">carlev!$A$1:$H$254</definedName>
    <definedName name="_xlnm.Print_Area" localSheetId="9">cárter!$A$1:$H$323</definedName>
    <definedName name="_xlnm.Print_Area" localSheetId="18">cartru!$A$1:$H$323</definedName>
    <definedName name="_xlnm.Print_Area" localSheetId="15">DAT!$A$1:$H$324</definedName>
    <definedName name="_xlnm.Print_Area" localSheetId="3">Diesel_S10!$A$1:$H$111</definedName>
    <definedName name="_xlnm.Print_Area" localSheetId="2">Diesel_S500!$B$1:$I$323</definedName>
    <definedName name="_xlnm.Print_Area" localSheetId="34">Lavlv!$A$1:$H$254</definedName>
    <definedName name="_xlnm.Print_Area" localSheetId="33">Lavtq!$A$1:$H$323</definedName>
    <definedName name="_xlnm.Print_Area" localSheetId="17">'MB ACCELO 815 '!$A$1:$H$254</definedName>
    <definedName name="_xlnm.Print_Area" localSheetId="16">'MB ATEGO 2426'!$A$1:$H$254</definedName>
    <definedName name="_xlnm.Print_Area" localSheetId="11">'mnt_ACCELO 815'!$A$1:$H$203</definedName>
    <definedName name="_xlnm.Print_Area" localSheetId="10">'mnt_Atego 2426'!$A$1:$H$203</definedName>
    <definedName name="_xlnm.Print_Area" localSheetId="12">motrod!$A$1:$I$323</definedName>
    <definedName name="_xlnm.Print_Area" localSheetId="13">moturb!$A$1:$I$254</definedName>
    <definedName name="_xlnm.Print_Area" localSheetId="30">'Pn205'!$A$1:$H$125</definedName>
    <definedName name="_xlnm.Print_Area" localSheetId="29">'Pn215'!$A$1:$H$129</definedName>
    <definedName name="_xlnm.Print_Area" localSheetId="28">'Pn275'!$A$1:$H$129</definedName>
    <definedName name="_xlnm.Print_Area" localSheetId="31">'Rec1000'!$A$1:$H$254</definedName>
    <definedName name="_xlnm.Print_Area" localSheetId="32">'Rec750'!$A$1:$H$254</definedName>
    <definedName name="_xlnm.Print_Area" localSheetId="1">Resumo!$B$2:$I$43</definedName>
    <definedName name="_xlnm.Print_Area" localSheetId="21">rodoarlv!$A$1:$H$254</definedName>
    <definedName name="_xlnm.Print_Area" localSheetId="20">rodoartq!$A$1:$H$323</definedName>
    <definedName name="_xlnm.Print_Area" localSheetId="36">'Seg_ACCELO 815'!$A$1:$H$254</definedName>
    <definedName name="_xlnm.Print_Area" localSheetId="35">'Seg_ATEGO 2426'!$A$1:$H$254</definedName>
    <definedName name="_xlnm.Print_Titles" localSheetId="5">ANP!$1:$6</definedName>
    <definedName name="_xlnm.Print_Titles" localSheetId="6">'ANP S-50_S-10  '!$1:$6</definedName>
    <definedName name="_xlnm.Print_Titles" localSheetId="2">Diesel_S500!$1:$7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908" i="1" l="1"/>
  <c r="S1475" i="1"/>
  <c r="E32" i="9728" l="1"/>
  <c r="D32" i="9728"/>
  <c r="E31" i="9728"/>
  <c r="D31" i="9728"/>
  <c r="I25" i="9728"/>
  <c r="H25" i="9728"/>
  <c r="G25" i="9728"/>
  <c r="F25" i="9728"/>
  <c r="E25" i="9728"/>
  <c r="D25" i="9728"/>
  <c r="I24" i="9728"/>
  <c r="H24" i="9728"/>
  <c r="G24" i="9728"/>
  <c r="F24" i="9728"/>
  <c r="E24" i="9728"/>
  <c r="D24" i="9728"/>
  <c r="I23" i="9728"/>
  <c r="H23" i="9728"/>
  <c r="G23" i="9728"/>
  <c r="F23" i="9728"/>
  <c r="E23" i="9728"/>
  <c r="D23" i="9728"/>
  <c r="E33" i="9728"/>
  <c r="D33" i="9728"/>
  <c r="E30" i="9728"/>
  <c r="D30" i="9728"/>
  <c r="E29" i="9728"/>
  <c r="D29" i="9728"/>
  <c r="E27" i="9728"/>
  <c r="D27" i="9728"/>
  <c r="E26" i="9728"/>
  <c r="D26" i="9728"/>
  <c r="E22" i="9728"/>
  <c r="D22" i="9728"/>
  <c r="E21" i="9728"/>
  <c r="D21" i="9728"/>
  <c r="I20" i="9728"/>
  <c r="H20" i="9728"/>
  <c r="G20" i="9728"/>
  <c r="F20" i="9728"/>
  <c r="E20" i="9728"/>
  <c r="D20" i="9728"/>
  <c r="I19" i="9728"/>
  <c r="H19" i="9728"/>
  <c r="G19" i="9728"/>
  <c r="F19" i="9728"/>
  <c r="E19" i="9728"/>
  <c r="D19" i="9728"/>
  <c r="D7" i="9728"/>
  <c r="D6" i="9728"/>
  <c r="E13" i="9728"/>
  <c r="D13" i="9728"/>
  <c r="E12" i="9728"/>
  <c r="D12" i="9728"/>
  <c r="I10" i="9728"/>
  <c r="H10" i="9728"/>
  <c r="G10" i="9728"/>
  <c r="F10" i="9728"/>
  <c r="E10" i="9728"/>
  <c r="D10" i="9728"/>
  <c r="E9" i="9728"/>
  <c r="D9" i="9728"/>
  <c r="E8" i="9728"/>
  <c r="D8" i="9728"/>
  <c r="I5" i="9728"/>
  <c r="H5" i="9728"/>
  <c r="G5" i="9728"/>
  <c r="F5" i="9728"/>
  <c r="E5" i="9728"/>
  <c r="D5" i="9728"/>
  <c r="H253" i="25590"/>
  <c r="H154" i="25590"/>
  <c r="H153" i="25590"/>
  <c r="H152" i="25590"/>
  <c r="H151" i="25590"/>
  <c r="H150" i="25590"/>
  <c r="H149" i="25590"/>
  <c r="H148" i="25590"/>
  <c r="H147" i="25590"/>
  <c r="H146" i="25590"/>
  <c r="H145" i="25590"/>
  <c r="H144" i="25590"/>
  <c r="H143" i="25590"/>
  <c r="H142" i="25590"/>
  <c r="H141" i="25590"/>
  <c r="H140" i="25590"/>
  <c r="H139" i="25590"/>
  <c r="H138" i="25590"/>
  <c r="H137" i="25590"/>
  <c r="H136" i="25590"/>
  <c r="H135" i="25590"/>
  <c r="H134" i="25590"/>
  <c r="H133" i="25590"/>
  <c r="H132" i="25590"/>
  <c r="H131" i="25590"/>
  <c r="H130" i="25590"/>
  <c r="H129" i="25590"/>
  <c r="H128" i="25590"/>
  <c r="H127" i="25590"/>
  <c r="H126" i="25590"/>
  <c r="H125" i="25590"/>
  <c r="H124" i="25590"/>
  <c r="H123" i="25590"/>
  <c r="H122" i="25590"/>
  <c r="H121" i="25590"/>
  <c r="H120" i="25590"/>
  <c r="H119" i="25590"/>
  <c r="H118" i="25590"/>
  <c r="H117" i="25590"/>
  <c r="H116" i="25590"/>
  <c r="H115" i="25590"/>
  <c r="H114" i="25590"/>
  <c r="H113" i="25590"/>
  <c r="H112" i="25590"/>
  <c r="H111" i="25590"/>
  <c r="H110" i="25590"/>
  <c r="H109" i="25590"/>
  <c r="H108" i="25590"/>
  <c r="H107" i="25590"/>
  <c r="H106" i="25590"/>
  <c r="H105" i="25590"/>
  <c r="H104" i="25590"/>
  <c r="H103" i="25590"/>
  <c r="H102" i="25590"/>
  <c r="H101" i="25590"/>
  <c r="H100" i="25590"/>
  <c r="H99" i="25590"/>
  <c r="H98" i="25590"/>
  <c r="H97" i="25590"/>
  <c r="H96" i="25590"/>
  <c r="H95" i="25590"/>
  <c r="H94" i="25590"/>
  <c r="H93" i="25590"/>
  <c r="H92" i="25590"/>
  <c r="H91" i="25590"/>
  <c r="H90" i="25590"/>
  <c r="H89" i="25590"/>
  <c r="H88" i="25590"/>
  <c r="H87" i="25590"/>
  <c r="H86" i="25590"/>
  <c r="H85" i="25590"/>
  <c r="H84" i="25590"/>
  <c r="H83" i="25590"/>
  <c r="H82" i="25590"/>
  <c r="H81" i="25590"/>
  <c r="H80" i="25590"/>
  <c r="H79" i="25590"/>
  <c r="H78" i="25590"/>
  <c r="H77" i="25590"/>
  <c r="H76" i="25590"/>
  <c r="H75" i="25590"/>
  <c r="H74" i="25590"/>
  <c r="H73" i="25590"/>
  <c r="H72" i="25590"/>
  <c r="H71" i="25590"/>
  <c r="H70" i="25590"/>
  <c r="H69" i="25590"/>
  <c r="H68" i="25590"/>
  <c r="H67" i="25590"/>
  <c r="H66" i="25590"/>
  <c r="H65" i="25590"/>
  <c r="H64" i="25590"/>
  <c r="H63" i="25590"/>
  <c r="H62" i="25590"/>
  <c r="H61" i="25590"/>
  <c r="H60" i="25590"/>
  <c r="H59" i="25590"/>
  <c r="H58" i="25590"/>
  <c r="H57" i="25590"/>
  <c r="H56" i="25590"/>
  <c r="H55" i="25590"/>
  <c r="H54" i="25590"/>
  <c r="H53" i="25590"/>
  <c r="H52" i="25590"/>
  <c r="H51" i="25590"/>
  <c r="H50" i="25590"/>
  <c r="H49" i="25590"/>
  <c r="H48" i="25590"/>
  <c r="H47" i="25590"/>
  <c r="H46" i="25590"/>
  <c r="H45" i="25590"/>
  <c r="H44" i="25590"/>
  <c r="H43" i="25590"/>
  <c r="H42" i="25590"/>
  <c r="H41" i="25590"/>
  <c r="H40" i="25590"/>
  <c r="H39" i="25590"/>
  <c r="H38" i="25590"/>
  <c r="H37" i="25590"/>
  <c r="H36" i="25590"/>
  <c r="H35" i="25590"/>
  <c r="H34" i="25590"/>
  <c r="H33" i="25590"/>
  <c r="H32" i="25590"/>
  <c r="H31" i="25590"/>
  <c r="H30" i="25590"/>
  <c r="H29" i="25590"/>
  <c r="H28" i="25590"/>
  <c r="H27" i="25590"/>
  <c r="H26" i="25590"/>
  <c r="H25" i="25590"/>
  <c r="H24" i="25590"/>
  <c r="H23" i="25590"/>
  <c r="H22" i="25590"/>
  <c r="H21" i="25590"/>
  <c r="H20" i="25590"/>
  <c r="H19" i="25590"/>
  <c r="H18" i="25590"/>
  <c r="H17" i="25590"/>
  <c r="H16" i="25590"/>
  <c r="H15" i="25590"/>
  <c r="H14" i="25590"/>
  <c r="H13" i="25590"/>
  <c r="H12" i="25590"/>
  <c r="H11" i="25590"/>
  <c r="H10" i="25590"/>
  <c r="H9" i="25590"/>
  <c r="H8" i="25590"/>
  <c r="A253" i="25590"/>
  <c r="B253" i="25590"/>
  <c r="C253" i="25590" s="1"/>
  <c r="H253" i="25589"/>
  <c r="H154" i="25589"/>
  <c r="H153" i="25589"/>
  <c r="H152" i="25589"/>
  <c r="H151" i="25589"/>
  <c r="H150" i="25589"/>
  <c r="H149" i="25589"/>
  <c r="H148" i="25589"/>
  <c r="H147" i="25589"/>
  <c r="H146" i="25589"/>
  <c r="H145" i="25589"/>
  <c r="H144" i="25589"/>
  <c r="H143" i="25589"/>
  <c r="H142" i="25589"/>
  <c r="H141" i="25589"/>
  <c r="H140" i="25589"/>
  <c r="H139" i="25589"/>
  <c r="H138" i="25589"/>
  <c r="H137" i="25589"/>
  <c r="H136" i="25589"/>
  <c r="H135" i="25589"/>
  <c r="H134" i="25589"/>
  <c r="H133" i="25589"/>
  <c r="H132" i="25589"/>
  <c r="H131" i="25589"/>
  <c r="H130" i="25589"/>
  <c r="H129" i="25589"/>
  <c r="H128" i="25589"/>
  <c r="H127" i="25589"/>
  <c r="H126" i="25589"/>
  <c r="H125" i="25589"/>
  <c r="H124" i="25589"/>
  <c r="H123" i="25589"/>
  <c r="H122" i="25589"/>
  <c r="H121" i="25589"/>
  <c r="H120" i="25589"/>
  <c r="H119" i="25589"/>
  <c r="H118" i="25589"/>
  <c r="H117" i="25589"/>
  <c r="H116" i="25589"/>
  <c r="H115" i="25589"/>
  <c r="H114" i="25589"/>
  <c r="H113" i="25589"/>
  <c r="H112" i="25589"/>
  <c r="H111" i="25589"/>
  <c r="H110" i="25589"/>
  <c r="H109" i="25589"/>
  <c r="H108" i="25589"/>
  <c r="H107" i="25589"/>
  <c r="H106" i="25589"/>
  <c r="H105" i="25589"/>
  <c r="H104" i="25589"/>
  <c r="H103" i="25589"/>
  <c r="H102" i="25589"/>
  <c r="H101" i="25589"/>
  <c r="H100" i="25589"/>
  <c r="H99" i="25589"/>
  <c r="H98" i="25589"/>
  <c r="H97" i="25589"/>
  <c r="H96" i="25589"/>
  <c r="H95" i="25589"/>
  <c r="H94" i="25589"/>
  <c r="H93" i="25589"/>
  <c r="H92" i="25589"/>
  <c r="H91" i="25589"/>
  <c r="H90" i="25589"/>
  <c r="H89" i="25589"/>
  <c r="H88" i="25589"/>
  <c r="H87" i="25589"/>
  <c r="H86" i="25589"/>
  <c r="H85" i="25589"/>
  <c r="H84" i="25589"/>
  <c r="H83" i="25589"/>
  <c r="H82" i="25589"/>
  <c r="H81" i="25589"/>
  <c r="H80" i="25589"/>
  <c r="H79" i="25589"/>
  <c r="H78" i="25589"/>
  <c r="H77" i="25589"/>
  <c r="H76" i="25589"/>
  <c r="H75" i="25589"/>
  <c r="H74" i="25589"/>
  <c r="H73" i="25589"/>
  <c r="H72" i="25589"/>
  <c r="H71" i="25589"/>
  <c r="H70" i="25589"/>
  <c r="H69" i="25589"/>
  <c r="H68" i="25589"/>
  <c r="H67" i="25589"/>
  <c r="H66" i="25589"/>
  <c r="H65" i="25589"/>
  <c r="H64" i="25589"/>
  <c r="H63" i="25589"/>
  <c r="H62" i="25589"/>
  <c r="H61" i="25589"/>
  <c r="H60" i="25589"/>
  <c r="H59" i="25589"/>
  <c r="H58" i="25589"/>
  <c r="H57" i="25589"/>
  <c r="H56" i="25589"/>
  <c r="H55" i="25589"/>
  <c r="H54" i="25589"/>
  <c r="H53" i="25589"/>
  <c r="H52" i="25589"/>
  <c r="H51" i="25589"/>
  <c r="H50" i="25589"/>
  <c r="H49" i="25589"/>
  <c r="H48" i="25589"/>
  <c r="H47" i="25589"/>
  <c r="H46" i="25589"/>
  <c r="H45" i="25589"/>
  <c r="H44" i="25589"/>
  <c r="H43" i="25589"/>
  <c r="H42" i="25589"/>
  <c r="H41" i="25589"/>
  <c r="H40" i="25589"/>
  <c r="H39" i="25589"/>
  <c r="H38" i="25589"/>
  <c r="H37" i="25589"/>
  <c r="H36" i="25589"/>
  <c r="H35" i="25589"/>
  <c r="H34" i="25589"/>
  <c r="H33" i="25589"/>
  <c r="H32" i="25589"/>
  <c r="H31" i="25589"/>
  <c r="H30" i="25589"/>
  <c r="H29" i="25589"/>
  <c r="H28" i="25589"/>
  <c r="H27" i="25589"/>
  <c r="H26" i="25589"/>
  <c r="H25" i="25589"/>
  <c r="H24" i="25589"/>
  <c r="H23" i="25589"/>
  <c r="H22" i="25589"/>
  <c r="H21" i="25589"/>
  <c r="H20" i="25589"/>
  <c r="H19" i="25589"/>
  <c r="H18" i="25589"/>
  <c r="H17" i="25589"/>
  <c r="H16" i="25589"/>
  <c r="H15" i="25589"/>
  <c r="H14" i="25589"/>
  <c r="H13" i="25589"/>
  <c r="H12" i="25589"/>
  <c r="H11" i="25589"/>
  <c r="H10" i="25589"/>
  <c r="H9" i="25589"/>
  <c r="H8" i="25589"/>
  <c r="A253" i="25589"/>
  <c r="B253" i="25589"/>
  <c r="C253" i="25589" s="1"/>
  <c r="H172" i="25588"/>
  <c r="H154" i="25588"/>
  <c r="H146" i="25588"/>
  <c r="H138" i="25588"/>
  <c r="H130" i="25588"/>
  <c r="H122" i="25588"/>
  <c r="H114" i="25588"/>
  <c r="H106" i="25588"/>
  <c r="H98" i="25588"/>
  <c r="H90" i="25588"/>
  <c r="H82" i="25588"/>
  <c r="H74" i="25588"/>
  <c r="H66" i="25588"/>
  <c r="H58" i="25588"/>
  <c r="H50" i="25588"/>
  <c r="H42" i="25588"/>
  <c r="H34" i="25588"/>
  <c r="H26" i="25588"/>
  <c r="H18" i="25588"/>
  <c r="H10" i="25588"/>
  <c r="A253" i="25588"/>
  <c r="B253" i="25588"/>
  <c r="C253" i="25588" s="1"/>
  <c r="E28" i="9728" s="1"/>
  <c r="H219" i="25587"/>
  <c r="H211" i="25587"/>
  <c r="H203" i="25587"/>
  <c r="H195" i="25587"/>
  <c r="H187" i="25587"/>
  <c r="H179" i="25587"/>
  <c r="H171" i="25587"/>
  <c r="H163" i="25587"/>
  <c r="H155" i="25587"/>
  <c r="H147" i="25587"/>
  <c r="H139" i="25587"/>
  <c r="H131" i="25587"/>
  <c r="H123" i="25587"/>
  <c r="H115" i="25587"/>
  <c r="H107" i="25587"/>
  <c r="H99" i="25587"/>
  <c r="H91" i="25587"/>
  <c r="H83" i="25587"/>
  <c r="H75" i="25587"/>
  <c r="H67" i="25587"/>
  <c r="H59" i="25587"/>
  <c r="H51" i="25587"/>
  <c r="H43" i="25587"/>
  <c r="H35" i="25587"/>
  <c r="H27" i="25587"/>
  <c r="H19" i="25587"/>
  <c r="H11" i="25587"/>
  <c r="A322" i="25587"/>
  <c r="B322" i="25587"/>
  <c r="C322" i="25587" s="1"/>
  <c r="E14" i="9728" s="1"/>
  <c r="H253" i="512"/>
  <c r="H154" i="512"/>
  <c r="H153" i="512"/>
  <c r="H152" i="512"/>
  <c r="H151" i="512"/>
  <c r="H150" i="512"/>
  <c r="H149" i="512"/>
  <c r="H148" i="512"/>
  <c r="H147" i="512"/>
  <c r="H146" i="512"/>
  <c r="H145" i="512"/>
  <c r="H144" i="512"/>
  <c r="H143" i="512"/>
  <c r="H142" i="512"/>
  <c r="H141" i="512"/>
  <c r="H140" i="512"/>
  <c r="H139" i="512"/>
  <c r="H138" i="512"/>
  <c r="H137" i="512"/>
  <c r="H136" i="512"/>
  <c r="H135" i="512"/>
  <c r="H134" i="512"/>
  <c r="H133" i="512"/>
  <c r="H132" i="512"/>
  <c r="H131" i="512"/>
  <c r="H130" i="512"/>
  <c r="H129" i="512"/>
  <c r="H128" i="512"/>
  <c r="H127" i="512"/>
  <c r="H126" i="512"/>
  <c r="H125" i="512"/>
  <c r="H124" i="512"/>
  <c r="H123" i="512"/>
  <c r="H122" i="512"/>
  <c r="H121" i="512"/>
  <c r="H120" i="512"/>
  <c r="H119" i="512"/>
  <c r="H118" i="512"/>
  <c r="H117" i="512"/>
  <c r="H116" i="512"/>
  <c r="H115" i="512"/>
  <c r="H114" i="512"/>
  <c r="H113" i="512"/>
  <c r="H112" i="512"/>
  <c r="H111" i="512"/>
  <c r="H110" i="512"/>
  <c r="H109" i="512"/>
  <c r="H108" i="512"/>
  <c r="H107" i="512"/>
  <c r="H106" i="512"/>
  <c r="H105" i="512"/>
  <c r="H104" i="512"/>
  <c r="H103" i="512"/>
  <c r="H102" i="512"/>
  <c r="H101" i="512"/>
  <c r="H100" i="512"/>
  <c r="H99" i="512"/>
  <c r="H98" i="512"/>
  <c r="H97" i="512"/>
  <c r="H96" i="512"/>
  <c r="H95" i="512"/>
  <c r="H94" i="512"/>
  <c r="H93" i="512"/>
  <c r="H92" i="512"/>
  <c r="H91" i="512"/>
  <c r="H90" i="512"/>
  <c r="H89" i="512"/>
  <c r="H88" i="512"/>
  <c r="H87" i="512"/>
  <c r="H86" i="512"/>
  <c r="H85" i="512"/>
  <c r="H84" i="512"/>
  <c r="H83" i="512"/>
  <c r="H82" i="512"/>
  <c r="H81" i="512"/>
  <c r="H80" i="512"/>
  <c r="H79" i="512"/>
  <c r="H78" i="512"/>
  <c r="H77" i="512"/>
  <c r="H76" i="512"/>
  <c r="H75" i="512"/>
  <c r="H74" i="512"/>
  <c r="H73" i="512"/>
  <c r="H72" i="512"/>
  <c r="H71" i="512"/>
  <c r="H70" i="512"/>
  <c r="H69" i="512"/>
  <c r="H68" i="512"/>
  <c r="H67" i="512"/>
  <c r="H66" i="512"/>
  <c r="H65" i="512"/>
  <c r="H64" i="512"/>
  <c r="H63" i="512"/>
  <c r="H62" i="512"/>
  <c r="H61" i="512"/>
  <c r="H60" i="512"/>
  <c r="H59" i="512"/>
  <c r="H58" i="512"/>
  <c r="H57" i="512"/>
  <c r="H56" i="512"/>
  <c r="H55" i="512"/>
  <c r="H54" i="512"/>
  <c r="H53" i="512"/>
  <c r="H52" i="512"/>
  <c r="H51" i="512"/>
  <c r="H50" i="512"/>
  <c r="H49" i="512"/>
  <c r="H48" i="512"/>
  <c r="H47" i="512"/>
  <c r="H46" i="512"/>
  <c r="H45" i="512"/>
  <c r="H44" i="512"/>
  <c r="H43" i="512"/>
  <c r="H42" i="512"/>
  <c r="H41" i="512"/>
  <c r="H40" i="512"/>
  <c r="H39" i="512"/>
  <c r="H38" i="512"/>
  <c r="H37" i="512"/>
  <c r="H36" i="512"/>
  <c r="H35" i="512"/>
  <c r="H34" i="512"/>
  <c r="H33" i="512"/>
  <c r="H32" i="512"/>
  <c r="H31" i="512"/>
  <c r="H30" i="512"/>
  <c r="H29" i="512"/>
  <c r="H28" i="512"/>
  <c r="H27" i="512"/>
  <c r="H26" i="512"/>
  <c r="H25" i="512"/>
  <c r="H24" i="512"/>
  <c r="H23" i="512"/>
  <c r="H22" i="512"/>
  <c r="H21" i="512"/>
  <c r="H20" i="512"/>
  <c r="H19" i="512"/>
  <c r="H18" i="512"/>
  <c r="H17" i="512"/>
  <c r="H16" i="512"/>
  <c r="H15" i="512"/>
  <c r="H14" i="512"/>
  <c r="H13" i="512"/>
  <c r="H12" i="512"/>
  <c r="H11" i="512"/>
  <c r="H10" i="512"/>
  <c r="H9" i="512"/>
  <c r="H8" i="512"/>
  <c r="A253" i="512"/>
  <c r="B253" i="512"/>
  <c r="C253" i="512" s="1"/>
  <c r="H253" i="8196"/>
  <c r="H154" i="8196"/>
  <c r="H153" i="8196"/>
  <c r="H152" i="8196"/>
  <c r="H151" i="8196"/>
  <c r="H150" i="8196"/>
  <c r="H149" i="8196"/>
  <c r="H148" i="8196"/>
  <c r="H147" i="8196"/>
  <c r="H146" i="8196"/>
  <c r="H145" i="8196"/>
  <c r="H144" i="8196"/>
  <c r="H143" i="8196"/>
  <c r="H142" i="8196"/>
  <c r="H141" i="8196"/>
  <c r="H140" i="8196"/>
  <c r="H139" i="8196"/>
  <c r="H138" i="8196"/>
  <c r="H137" i="8196"/>
  <c r="H136" i="8196"/>
  <c r="H135" i="8196"/>
  <c r="H134" i="8196"/>
  <c r="H133" i="8196"/>
  <c r="H132" i="8196"/>
  <c r="H131" i="8196"/>
  <c r="H130" i="8196"/>
  <c r="H129" i="8196"/>
  <c r="H128" i="8196"/>
  <c r="H127" i="8196"/>
  <c r="H126" i="8196"/>
  <c r="H125" i="8196"/>
  <c r="H124" i="8196"/>
  <c r="H123" i="8196"/>
  <c r="H122" i="8196"/>
  <c r="H121" i="8196"/>
  <c r="H120" i="8196"/>
  <c r="H119" i="8196"/>
  <c r="H118" i="8196"/>
  <c r="H117" i="8196"/>
  <c r="H116" i="8196"/>
  <c r="H115" i="8196"/>
  <c r="H114" i="8196"/>
  <c r="H113" i="8196"/>
  <c r="H112" i="8196"/>
  <c r="H111" i="8196"/>
  <c r="H110" i="8196"/>
  <c r="H109" i="8196"/>
  <c r="H108" i="8196"/>
  <c r="H107" i="8196"/>
  <c r="H106" i="8196"/>
  <c r="H105" i="8196"/>
  <c r="H104" i="8196"/>
  <c r="H103" i="8196"/>
  <c r="H102" i="8196"/>
  <c r="H101" i="8196"/>
  <c r="H100" i="8196"/>
  <c r="H99" i="8196"/>
  <c r="H98" i="8196"/>
  <c r="H97" i="8196"/>
  <c r="H96" i="8196"/>
  <c r="H95" i="8196"/>
  <c r="H94" i="8196"/>
  <c r="H93" i="8196"/>
  <c r="H92" i="8196"/>
  <c r="H91" i="8196"/>
  <c r="H90" i="8196"/>
  <c r="H89" i="8196"/>
  <c r="H88" i="8196"/>
  <c r="H87" i="8196"/>
  <c r="H86" i="8196"/>
  <c r="H85" i="8196"/>
  <c r="H84" i="8196"/>
  <c r="H83" i="8196"/>
  <c r="H82" i="8196"/>
  <c r="H81" i="8196"/>
  <c r="H80" i="8196"/>
  <c r="H79" i="8196"/>
  <c r="H78" i="8196"/>
  <c r="H77" i="8196"/>
  <c r="H76" i="8196"/>
  <c r="H75" i="8196"/>
  <c r="H74" i="8196"/>
  <c r="H73" i="8196"/>
  <c r="H72" i="8196"/>
  <c r="H71" i="8196"/>
  <c r="H70" i="8196"/>
  <c r="H69" i="8196"/>
  <c r="H68" i="8196"/>
  <c r="H67" i="8196"/>
  <c r="H66" i="8196"/>
  <c r="H65" i="8196"/>
  <c r="H64" i="8196"/>
  <c r="H63" i="8196"/>
  <c r="H62" i="8196"/>
  <c r="H61" i="8196"/>
  <c r="H60" i="8196"/>
  <c r="H59" i="8196"/>
  <c r="H58" i="8196"/>
  <c r="H57" i="8196"/>
  <c r="H56" i="8196"/>
  <c r="H55" i="8196"/>
  <c r="H54" i="8196"/>
  <c r="H53" i="8196"/>
  <c r="H52" i="8196"/>
  <c r="H51" i="8196"/>
  <c r="H50" i="8196"/>
  <c r="H49" i="8196"/>
  <c r="H48" i="8196"/>
  <c r="H47" i="8196"/>
  <c r="H46" i="8196"/>
  <c r="H45" i="8196"/>
  <c r="H44" i="8196"/>
  <c r="H43" i="8196"/>
  <c r="H42" i="8196"/>
  <c r="H41" i="8196"/>
  <c r="H40" i="8196"/>
  <c r="H39" i="8196"/>
  <c r="H38" i="8196"/>
  <c r="H37" i="8196"/>
  <c r="H36" i="8196"/>
  <c r="H35" i="8196"/>
  <c r="H34" i="8196"/>
  <c r="H33" i="8196"/>
  <c r="H32" i="8196"/>
  <c r="H31" i="8196"/>
  <c r="H30" i="8196"/>
  <c r="H29" i="8196"/>
  <c r="H28" i="8196"/>
  <c r="H27" i="8196"/>
  <c r="H26" i="8196"/>
  <c r="H25" i="8196"/>
  <c r="H24" i="8196"/>
  <c r="H23" i="8196"/>
  <c r="H22" i="8196"/>
  <c r="H21" i="8196"/>
  <c r="H20" i="8196"/>
  <c r="H19" i="8196"/>
  <c r="H18" i="8196"/>
  <c r="H17" i="8196"/>
  <c r="H16" i="8196"/>
  <c r="H15" i="8196"/>
  <c r="H14" i="8196"/>
  <c r="H13" i="8196"/>
  <c r="H12" i="8196"/>
  <c r="H11" i="8196"/>
  <c r="H10" i="8196"/>
  <c r="H9" i="8196"/>
  <c r="H8" i="8196"/>
  <c r="A253" i="8196"/>
  <c r="B253" i="8196"/>
  <c r="C253" i="8196" s="1"/>
  <c r="H124" i="25584"/>
  <c r="H123" i="25584"/>
  <c r="H122" i="25584"/>
  <c r="H121" i="25584"/>
  <c r="H120" i="25584"/>
  <c r="H119" i="25584"/>
  <c r="H118" i="25584"/>
  <c r="H117" i="25584"/>
  <c r="H116" i="25584"/>
  <c r="H115" i="25584"/>
  <c r="H114" i="25584"/>
  <c r="H113" i="25584"/>
  <c r="H112" i="25584"/>
  <c r="H111" i="25584"/>
  <c r="H110" i="25584"/>
  <c r="H109" i="25584"/>
  <c r="H108" i="25584"/>
  <c r="H107" i="25584"/>
  <c r="H106" i="25584"/>
  <c r="H105" i="25584"/>
  <c r="H104" i="25584"/>
  <c r="H103" i="25584"/>
  <c r="H102" i="25584"/>
  <c r="H101" i="25584"/>
  <c r="H100" i="25584"/>
  <c r="H99" i="25584"/>
  <c r="H98" i="25584"/>
  <c r="H97" i="25584"/>
  <c r="H96" i="25584"/>
  <c r="H95" i="25584"/>
  <c r="H94" i="25584"/>
  <c r="H93" i="25584"/>
  <c r="H92" i="25584"/>
  <c r="H91" i="25584"/>
  <c r="H90" i="25584"/>
  <c r="H89" i="25584"/>
  <c r="H88" i="25584"/>
  <c r="H87" i="25584"/>
  <c r="H86" i="25584"/>
  <c r="H85" i="25584"/>
  <c r="H84" i="25584"/>
  <c r="H83" i="25584"/>
  <c r="H82" i="25584"/>
  <c r="H81" i="25584"/>
  <c r="H80" i="25584"/>
  <c r="H79" i="25584"/>
  <c r="H78" i="25584"/>
  <c r="H77" i="25584"/>
  <c r="H76" i="25584"/>
  <c r="H75" i="25584"/>
  <c r="H74" i="25584"/>
  <c r="H73" i="25584"/>
  <c r="H72" i="25584"/>
  <c r="H71" i="25584"/>
  <c r="H70" i="25584"/>
  <c r="H69" i="25584"/>
  <c r="H68" i="25584"/>
  <c r="H67" i="25584"/>
  <c r="H66" i="25584"/>
  <c r="H65" i="25584"/>
  <c r="H64" i="25584"/>
  <c r="H63" i="25584"/>
  <c r="H62" i="25584"/>
  <c r="H61" i="25584"/>
  <c r="H60" i="25584"/>
  <c r="H59" i="25584"/>
  <c r="H58" i="25584"/>
  <c r="H57" i="25584"/>
  <c r="H56" i="25584"/>
  <c r="H55" i="25584"/>
  <c r="H54" i="25584"/>
  <c r="H53" i="25584"/>
  <c r="H52" i="25584"/>
  <c r="H51" i="25584"/>
  <c r="H50" i="25584"/>
  <c r="H49" i="25584"/>
  <c r="H48" i="25584"/>
  <c r="H47" i="25584"/>
  <c r="H46" i="25584"/>
  <c r="H45" i="25584"/>
  <c r="H44" i="25584"/>
  <c r="H43" i="25584"/>
  <c r="H42" i="25584"/>
  <c r="H41" i="25584"/>
  <c r="H40" i="25584"/>
  <c r="H39" i="25584"/>
  <c r="H38" i="25584"/>
  <c r="H37" i="25584"/>
  <c r="H36" i="25584"/>
  <c r="H35" i="25584"/>
  <c r="H34" i="25584"/>
  <c r="H33" i="25584"/>
  <c r="H32" i="25584"/>
  <c r="H31" i="25584"/>
  <c r="H30" i="25584"/>
  <c r="H29" i="25584"/>
  <c r="H28" i="25584"/>
  <c r="H27" i="25584"/>
  <c r="H26" i="25584"/>
  <c r="H25" i="25584"/>
  <c r="H24" i="25584"/>
  <c r="H23" i="25584"/>
  <c r="H22" i="25584"/>
  <c r="H21" i="25584"/>
  <c r="H20" i="25584"/>
  <c r="H19" i="25584"/>
  <c r="H18" i="25584"/>
  <c r="H17" i="25584"/>
  <c r="H16" i="25584"/>
  <c r="H15" i="25584"/>
  <c r="H14" i="25584"/>
  <c r="H13" i="25584"/>
  <c r="H12" i="25584"/>
  <c r="H11" i="25584"/>
  <c r="H10" i="25584"/>
  <c r="H9" i="25584"/>
  <c r="H8" i="25584"/>
  <c r="B124" i="25584"/>
  <c r="A124" i="25584"/>
  <c r="C124" i="25584"/>
  <c r="H128" i="25583"/>
  <c r="H127" i="25583"/>
  <c r="H126" i="25583"/>
  <c r="H125" i="25583"/>
  <c r="H124" i="25583"/>
  <c r="H123" i="25583"/>
  <c r="H122" i="25583"/>
  <c r="H121" i="25583"/>
  <c r="H120" i="25583"/>
  <c r="H119" i="25583"/>
  <c r="H118" i="25583"/>
  <c r="H117" i="25583"/>
  <c r="H116" i="25583"/>
  <c r="H115" i="25583"/>
  <c r="H114" i="25583"/>
  <c r="H113" i="25583"/>
  <c r="H112" i="25583"/>
  <c r="H111" i="25583"/>
  <c r="H110" i="25583"/>
  <c r="H109" i="25583"/>
  <c r="H108" i="25583"/>
  <c r="H107" i="25583"/>
  <c r="H106" i="25583"/>
  <c r="H105" i="25583"/>
  <c r="H104" i="25583"/>
  <c r="H103" i="25583"/>
  <c r="H102" i="25583"/>
  <c r="H101" i="25583"/>
  <c r="H100" i="25583"/>
  <c r="H99" i="25583"/>
  <c r="H98" i="25583"/>
  <c r="H97" i="25583"/>
  <c r="H96" i="25583"/>
  <c r="H95" i="25583"/>
  <c r="H94" i="25583"/>
  <c r="H93" i="25583"/>
  <c r="H92" i="25583"/>
  <c r="H91" i="25583"/>
  <c r="H90" i="25583"/>
  <c r="H89" i="25583"/>
  <c r="H88" i="25583"/>
  <c r="H87" i="25583"/>
  <c r="H86" i="25583"/>
  <c r="H85" i="25583"/>
  <c r="H84" i="25583"/>
  <c r="H83" i="25583"/>
  <c r="H82" i="25583"/>
  <c r="H81" i="25583"/>
  <c r="H80" i="25583"/>
  <c r="H79" i="25583"/>
  <c r="H78" i="25583"/>
  <c r="H77" i="25583"/>
  <c r="H76" i="25583"/>
  <c r="H75" i="25583"/>
  <c r="H74" i="25583"/>
  <c r="H73" i="25583"/>
  <c r="H72" i="25583"/>
  <c r="H71" i="25583"/>
  <c r="H70" i="25583"/>
  <c r="H69" i="25583"/>
  <c r="H68" i="25583"/>
  <c r="H67" i="25583"/>
  <c r="H66" i="25583"/>
  <c r="H65" i="25583"/>
  <c r="H64" i="25583"/>
  <c r="H63" i="25583"/>
  <c r="H62" i="25583"/>
  <c r="H61" i="25583"/>
  <c r="H60" i="25583"/>
  <c r="H59" i="25583"/>
  <c r="H58" i="25583"/>
  <c r="H57" i="25583"/>
  <c r="H56" i="25583"/>
  <c r="H55" i="25583"/>
  <c r="H54" i="25583"/>
  <c r="H53" i="25583"/>
  <c r="H52" i="25583"/>
  <c r="H51" i="25583"/>
  <c r="H50" i="25583"/>
  <c r="H49" i="25583"/>
  <c r="H48" i="25583"/>
  <c r="H47" i="25583"/>
  <c r="H46" i="25583"/>
  <c r="H45" i="25583"/>
  <c r="H44" i="25583"/>
  <c r="H43" i="25583"/>
  <c r="H42" i="25583"/>
  <c r="H41" i="25583"/>
  <c r="H40" i="25583"/>
  <c r="H39" i="25583"/>
  <c r="H38" i="25583"/>
  <c r="H37" i="25583"/>
  <c r="H36" i="25583"/>
  <c r="H35" i="25583"/>
  <c r="H34" i="25583"/>
  <c r="H33" i="25583"/>
  <c r="H32" i="25583"/>
  <c r="H31" i="25583"/>
  <c r="H30" i="25583"/>
  <c r="H29" i="25583"/>
  <c r="H28" i="25583"/>
  <c r="H27" i="25583"/>
  <c r="H26" i="25583"/>
  <c r="H25" i="25583"/>
  <c r="H24" i="25583"/>
  <c r="H23" i="25583"/>
  <c r="H22" i="25583"/>
  <c r="H21" i="25583"/>
  <c r="H20" i="25583"/>
  <c r="H19" i="25583"/>
  <c r="H18" i="25583"/>
  <c r="H17" i="25583"/>
  <c r="H16" i="25583"/>
  <c r="H15" i="25583"/>
  <c r="H14" i="25583"/>
  <c r="H13" i="25583"/>
  <c r="H12" i="25583"/>
  <c r="H11" i="25583"/>
  <c r="H10" i="25583"/>
  <c r="H9" i="25583"/>
  <c r="H8" i="25583"/>
  <c r="B128" i="25583"/>
  <c r="A128" i="25583"/>
  <c r="C128" i="25583"/>
  <c r="H128" i="25582"/>
  <c r="H127" i="25582"/>
  <c r="H126" i="25582"/>
  <c r="H125" i="25582"/>
  <c r="H124" i="25582"/>
  <c r="H123" i="25582"/>
  <c r="H122" i="25582"/>
  <c r="H121" i="25582"/>
  <c r="H120" i="25582"/>
  <c r="H119" i="25582"/>
  <c r="H118" i="25582"/>
  <c r="H117" i="25582"/>
  <c r="H116" i="25582"/>
  <c r="H115" i="25582"/>
  <c r="H114" i="25582"/>
  <c r="H113" i="25582"/>
  <c r="H112" i="25582"/>
  <c r="H111" i="25582"/>
  <c r="H110" i="25582"/>
  <c r="H109" i="25582"/>
  <c r="H108" i="25582"/>
  <c r="H107" i="25582"/>
  <c r="H106" i="25582"/>
  <c r="H105" i="25582"/>
  <c r="H104" i="25582"/>
  <c r="H103" i="25582"/>
  <c r="H102" i="25582"/>
  <c r="H101" i="25582"/>
  <c r="H100" i="25582"/>
  <c r="H99" i="25582"/>
  <c r="H98" i="25582"/>
  <c r="H97" i="25582"/>
  <c r="H96" i="25582"/>
  <c r="H95" i="25582"/>
  <c r="H94" i="25582"/>
  <c r="H93" i="25582"/>
  <c r="H92" i="25582"/>
  <c r="H91" i="25582"/>
  <c r="H90" i="25582"/>
  <c r="H89" i="25582"/>
  <c r="H88" i="25582"/>
  <c r="H87" i="25582"/>
  <c r="H86" i="25582"/>
  <c r="H85" i="25582"/>
  <c r="H84" i="25582"/>
  <c r="H83" i="25582"/>
  <c r="H82" i="25582"/>
  <c r="H81" i="25582"/>
  <c r="H80" i="25582"/>
  <c r="H79" i="25582"/>
  <c r="H78" i="25582"/>
  <c r="H77" i="25582"/>
  <c r="H76" i="25582"/>
  <c r="H75" i="25582"/>
  <c r="H74" i="25582"/>
  <c r="H73" i="25582"/>
  <c r="H72" i="25582"/>
  <c r="H71" i="25582"/>
  <c r="H70" i="25582"/>
  <c r="H69" i="25582"/>
  <c r="H68" i="25582"/>
  <c r="H67" i="25582"/>
  <c r="H66" i="25582"/>
  <c r="H65" i="25582"/>
  <c r="H64" i="25582"/>
  <c r="H63" i="25582"/>
  <c r="H62" i="25582"/>
  <c r="H61" i="25582"/>
  <c r="H60" i="25582"/>
  <c r="H59" i="25582"/>
  <c r="H58" i="25582"/>
  <c r="H57" i="25582"/>
  <c r="H56" i="25582"/>
  <c r="H55" i="25582"/>
  <c r="H54" i="25582"/>
  <c r="H53" i="25582"/>
  <c r="H52" i="25582"/>
  <c r="H51" i="25582"/>
  <c r="H50" i="25582"/>
  <c r="H49" i="25582"/>
  <c r="H48" i="25582"/>
  <c r="H47" i="25582"/>
  <c r="H46" i="25582"/>
  <c r="H45" i="25582"/>
  <c r="H44" i="25582"/>
  <c r="H43" i="25582"/>
  <c r="H42" i="25582"/>
  <c r="H41" i="25582"/>
  <c r="H40" i="25582"/>
  <c r="H39" i="25582"/>
  <c r="H38" i="25582"/>
  <c r="H37" i="25582"/>
  <c r="H36" i="25582"/>
  <c r="H35" i="25582"/>
  <c r="H34" i="25582"/>
  <c r="H33" i="25582"/>
  <c r="H32" i="25582"/>
  <c r="H31" i="25582"/>
  <c r="H30" i="25582"/>
  <c r="H29" i="25582"/>
  <c r="H28" i="25582"/>
  <c r="H27" i="25582"/>
  <c r="H26" i="25582"/>
  <c r="H25" i="25582"/>
  <c r="H24" i="25582"/>
  <c r="H23" i="25582"/>
  <c r="H22" i="25582"/>
  <c r="H21" i="25582"/>
  <c r="H20" i="25582"/>
  <c r="H19" i="25582"/>
  <c r="H18" i="25582"/>
  <c r="H17" i="25582"/>
  <c r="H16" i="25582"/>
  <c r="H15" i="25582"/>
  <c r="H14" i="25582"/>
  <c r="H13" i="25582"/>
  <c r="H12" i="25582"/>
  <c r="H11" i="25582"/>
  <c r="H10" i="25582"/>
  <c r="H9" i="25582"/>
  <c r="H8" i="25582"/>
  <c r="B128" i="25582"/>
  <c r="D128" i="25582" s="1"/>
  <c r="A128" i="25582"/>
  <c r="C128" i="25582"/>
  <c r="F128" i="25582"/>
  <c r="G128" i="25582"/>
  <c r="H253" i="2048"/>
  <c r="H154" i="2048"/>
  <c r="H153" i="2048"/>
  <c r="H152" i="2048"/>
  <c r="H151" i="2048"/>
  <c r="H150" i="2048"/>
  <c r="H149" i="2048"/>
  <c r="H148" i="2048"/>
  <c r="H147" i="2048"/>
  <c r="H146" i="2048"/>
  <c r="H145" i="2048"/>
  <c r="H144" i="2048"/>
  <c r="H143" i="2048"/>
  <c r="H142" i="2048"/>
  <c r="H141" i="2048"/>
  <c r="H140" i="2048"/>
  <c r="H139" i="2048"/>
  <c r="H138" i="2048"/>
  <c r="H137" i="2048"/>
  <c r="H136" i="2048"/>
  <c r="H135" i="2048"/>
  <c r="H134" i="2048"/>
  <c r="H133" i="2048"/>
  <c r="H132" i="2048"/>
  <c r="H131" i="2048"/>
  <c r="H130" i="2048"/>
  <c r="H129" i="2048"/>
  <c r="H128" i="2048"/>
  <c r="H127" i="2048"/>
  <c r="H126" i="2048"/>
  <c r="H125" i="2048"/>
  <c r="H124" i="2048"/>
  <c r="H123" i="2048"/>
  <c r="H122" i="2048"/>
  <c r="H121" i="2048"/>
  <c r="H120" i="2048"/>
  <c r="H119" i="2048"/>
  <c r="H118" i="2048"/>
  <c r="H117" i="2048"/>
  <c r="H116" i="2048"/>
  <c r="H115" i="2048"/>
  <c r="H114" i="2048"/>
  <c r="H113" i="2048"/>
  <c r="H112" i="2048"/>
  <c r="H111" i="2048"/>
  <c r="H110" i="2048"/>
  <c r="H109" i="2048"/>
  <c r="H108" i="2048"/>
  <c r="H107" i="2048"/>
  <c r="H106" i="2048"/>
  <c r="H105" i="2048"/>
  <c r="H104" i="2048"/>
  <c r="H103" i="2048"/>
  <c r="H102" i="2048"/>
  <c r="H101" i="2048"/>
  <c r="H100" i="2048"/>
  <c r="H99" i="2048"/>
  <c r="H98" i="2048"/>
  <c r="H97" i="2048"/>
  <c r="H96" i="2048"/>
  <c r="H95" i="2048"/>
  <c r="H94" i="2048"/>
  <c r="H93" i="2048"/>
  <c r="H92" i="2048"/>
  <c r="H91" i="2048"/>
  <c r="H90" i="2048"/>
  <c r="H89" i="2048"/>
  <c r="H88" i="2048"/>
  <c r="H87" i="2048"/>
  <c r="H86" i="2048"/>
  <c r="H85" i="2048"/>
  <c r="H84" i="2048"/>
  <c r="H83" i="2048"/>
  <c r="H82" i="2048"/>
  <c r="H81" i="2048"/>
  <c r="H80" i="2048"/>
  <c r="H79" i="2048"/>
  <c r="H78" i="2048"/>
  <c r="H77" i="2048"/>
  <c r="H76" i="2048"/>
  <c r="H75" i="2048"/>
  <c r="H74" i="2048"/>
  <c r="H73" i="2048"/>
  <c r="H72" i="2048"/>
  <c r="H71" i="2048"/>
  <c r="H70" i="2048"/>
  <c r="H69" i="2048"/>
  <c r="H68" i="2048"/>
  <c r="H67" i="2048"/>
  <c r="H66" i="2048"/>
  <c r="H65" i="2048"/>
  <c r="H64" i="2048"/>
  <c r="H63" i="2048"/>
  <c r="H62" i="2048"/>
  <c r="H61" i="2048"/>
  <c r="H60" i="2048"/>
  <c r="H59" i="2048"/>
  <c r="H58" i="2048"/>
  <c r="H57" i="2048"/>
  <c r="H56" i="2048"/>
  <c r="H55" i="2048"/>
  <c r="H54" i="2048"/>
  <c r="H53" i="2048"/>
  <c r="H52" i="2048"/>
  <c r="H51" i="2048"/>
  <c r="H50" i="2048"/>
  <c r="H49" i="2048"/>
  <c r="H48" i="2048"/>
  <c r="H47" i="2048"/>
  <c r="H46" i="2048"/>
  <c r="H45" i="2048"/>
  <c r="H44" i="2048"/>
  <c r="H43" i="2048"/>
  <c r="H42" i="2048"/>
  <c r="H41" i="2048"/>
  <c r="H40" i="2048"/>
  <c r="H39" i="2048"/>
  <c r="H38" i="2048"/>
  <c r="H37" i="2048"/>
  <c r="H36" i="2048"/>
  <c r="H35" i="2048"/>
  <c r="H34" i="2048"/>
  <c r="H33" i="2048"/>
  <c r="H32" i="2048"/>
  <c r="H31" i="2048"/>
  <c r="H30" i="2048"/>
  <c r="H29" i="2048"/>
  <c r="H28" i="2048"/>
  <c r="H27" i="2048"/>
  <c r="H26" i="2048"/>
  <c r="H25" i="2048"/>
  <c r="H24" i="2048"/>
  <c r="H23" i="2048"/>
  <c r="H22" i="2048"/>
  <c r="H21" i="2048"/>
  <c r="H20" i="2048"/>
  <c r="H19" i="2048"/>
  <c r="H18" i="2048"/>
  <c r="H17" i="2048"/>
  <c r="H16" i="2048"/>
  <c r="H15" i="2048"/>
  <c r="H14" i="2048"/>
  <c r="H13" i="2048"/>
  <c r="H12" i="2048"/>
  <c r="H11" i="2048"/>
  <c r="H10" i="2048"/>
  <c r="H9" i="2048"/>
  <c r="H8" i="2048"/>
  <c r="A253" i="2048"/>
  <c r="B253" i="2048"/>
  <c r="C253" i="2048" s="1"/>
  <c r="H322" i="10541"/>
  <c r="H223" i="10541"/>
  <c r="H222" i="10541"/>
  <c r="H221" i="10541"/>
  <c r="H220" i="10541"/>
  <c r="H219" i="10541"/>
  <c r="H218" i="10541"/>
  <c r="H217" i="10541"/>
  <c r="H216" i="10541"/>
  <c r="H215" i="10541"/>
  <c r="H214" i="10541"/>
  <c r="H213" i="10541"/>
  <c r="H212" i="10541"/>
  <c r="H211" i="10541"/>
  <c r="H210" i="10541"/>
  <c r="H209" i="10541"/>
  <c r="H208" i="10541"/>
  <c r="H207" i="10541"/>
  <c r="H206" i="10541"/>
  <c r="H205" i="10541"/>
  <c r="H204" i="10541"/>
  <c r="H203" i="10541"/>
  <c r="H202" i="10541"/>
  <c r="H201" i="10541"/>
  <c r="H200" i="10541"/>
  <c r="H199" i="10541"/>
  <c r="H198" i="10541"/>
  <c r="H197" i="10541"/>
  <c r="H196" i="10541"/>
  <c r="H195" i="10541"/>
  <c r="H194" i="10541"/>
  <c r="H193" i="10541"/>
  <c r="H192" i="10541"/>
  <c r="H191" i="10541"/>
  <c r="H190" i="10541"/>
  <c r="H189" i="10541"/>
  <c r="H188" i="10541"/>
  <c r="H187" i="10541"/>
  <c r="H186" i="10541"/>
  <c r="H185" i="10541"/>
  <c r="H184" i="10541"/>
  <c r="H183" i="10541"/>
  <c r="H182" i="10541"/>
  <c r="H181" i="10541"/>
  <c r="H180" i="10541"/>
  <c r="H179" i="10541"/>
  <c r="H178" i="10541"/>
  <c r="H177" i="10541"/>
  <c r="H176" i="10541"/>
  <c r="H175" i="10541"/>
  <c r="H174" i="10541"/>
  <c r="H173" i="10541"/>
  <c r="H172" i="10541"/>
  <c r="H171" i="10541"/>
  <c r="H170" i="10541"/>
  <c r="H169" i="10541"/>
  <c r="H168" i="10541"/>
  <c r="H167" i="10541"/>
  <c r="H166" i="10541"/>
  <c r="H165" i="10541"/>
  <c r="H164" i="10541"/>
  <c r="H163" i="10541"/>
  <c r="H162" i="10541"/>
  <c r="H161" i="10541"/>
  <c r="H160" i="10541"/>
  <c r="H159" i="10541"/>
  <c r="H158" i="10541"/>
  <c r="H157" i="10541"/>
  <c r="H156" i="10541"/>
  <c r="H155" i="10541"/>
  <c r="H154" i="10541"/>
  <c r="H153" i="10541"/>
  <c r="H152" i="10541"/>
  <c r="H151" i="10541"/>
  <c r="H150" i="10541"/>
  <c r="H149" i="10541"/>
  <c r="H148" i="10541"/>
  <c r="H147" i="10541"/>
  <c r="H146" i="10541"/>
  <c r="H145" i="10541"/>
  <c r="H144" i="10541"/>
  <c r="H143" i="10541"/>
  <c r="H142" i="10541"/>
  <c r="H141" i="10541"/>
  <c r="H140" i="10541"/>
  <c r="H139" i="10541"/>
  <c r="H138" i="10541"/>
  <c r="H137" i="10541"/>
  <c r="H136" i="10541"/>
  <c r="H135" i="10541"/>
  <c r="H134" i="10541"/>
  <c r="H133" i="10541"/>
  <c r="H132" i="10541"/>
  <c r="H131" i="10541"/>
  <c r="H130" i="10541"/>
  <c r="H129" i="10541"/>
  <c r="H128" i="10541"/>
  <c r="H127" i="10541"/>
  <c r="H126" i="10541"/>
  <c r="H125" i="10541"/>
  <c r="H124" i="10541"/>
  <c r="H123" i="10541"/>
  <c r="H122" i="10541"/>
  <c r="H121" i="10541"/>
  <c r="H120" i="10541"/>
  <c r="H119" i="10541"/>
  <c r="H118" i="10541"/>
  <c r="H117" i="10541"/>
  <c r="H116" i="10541"/>
  <c r="H115" i="10541"/>
  <c r="H114" i="10541"/>
  <c r="H113" i="10541"/>
  <c r="H112" i="10541"/>
  <c r="H111" i="10541"/>
  <c r="H110" i="10541"/>
  <c r="H109" i="10541"/>
  <c r="H108" i="10541"/>
  <c r="H107" i="10541"/>
  <c r="H106" i="10541"/>
  <c r="H105" i="10541"/>
  <c r="H104" i="10541"/>
  <c r="H103" i="10541"/>
  <c r="H102" i="10541"/>
  <c r="H101" i="10541"/>
  <c r="H100" i="10541"/>
  <c r="H99" i="10541"/>
  <c r="H98" i="10541"/>
  <c r="H97" i="10541"/>
  <c r="H96" i="10541"/>
  <c r="H95" i="10541"/>
  <c r="H94" i="10541"/>
  <c r="H93" i="10541"/>
  <c r="H92" i="10541"/>
  <c r="H91" i="10541"/>
  <c r="H90" i="10541"/>
  <c r="H89" i="10541"/>
  <c r="H88" i="10541"/>
  <c r="H87" i="10541"/>
  <c r="H86" i="10541"/>
  <c r="H85" i="10541"/>
  <c r="H84" i="10541"/>
  <c r="H83" i="10541"/>
  <c r="H82" i="10541"/>
  <c r="H81" i="10541"/>
  <c r="H80" i="10541"/>
  <c r="H79" i="10541"/>
  <c r="H78" i="10541"/>
  <c r="H77" i="10541"/>
  <c r="H76" i="10541"/>
  <c r="H75" i="10541"/>
  <c r="H74" i="10541"/>
  <c r="H73" i="10541"/>
  <c r="H72" i="10541"/>
  <c r="H71" i="10541"/>
  <c r="H70" i="10541"/>
  <c r="H69" i="10541"/>
  <c r="H68" i="10541"/>
  <c r="H67" i="10541"/>
  <c r="H66" i="10541"/>
  <c r="H65" i="10541"/>
  <c r="H64" i="10541"/>
  <c r="H63" i="10541"/>
  <c r="H62" i="10541"/>
  <c r="H61" i="10541"/>
  <c r="H60" i="10541"/>
  <c r="H59" i="10541"/>
  <c r="H58" i="10541"/>
  <c r="H57" i="10541"/>
  <c r="H56" i="10541"/>
  <c r="H55" i="10541"/>
  <c r="H54" i="10541"/>
  <c r="H53" i="10541"/>
  <c r="H52" i="10541"/>
  <c r="H51" i="10541"/>
  <c r="H50" i="10541"/>
  <c r="H49" i="10541"/>
  <c r="H48" i="10541"/>
  <c r="H47" i="10541"/>
  <c r="H46" i="10541"/>
  <c r="H45" i="10541"/>
  <c r="H44" i="10541"/>
  <c r="H43" i="10541"/>
  <c r="H42" i="10541"/>
  <c r="H41" i="10541"/>
  <c r="H40" i="10541"/>
  <c r="H39" i="10541"/>
  <c r="H38" i="10541"/>
  <c r="H37" i="10541"/>
  <c r="H36" i="10541"/>
  <c r="H35" i="10541"/>
  <c r="H34" i="10541"/>
  <c r="H33" i="10541"/>
  <c r="H32" i="10541"/>
  <c r="H31" i="10541"/>
  <c r="H30" i="10541"/>
  <c r="H29" i="10541"/>
  <c r="H28" i="10541"/>
  <c r="H27" i="10541"/>
  <c r="H26" i="10541"/>
  <c r="H25" i="10541"/>
  <c r="H24" i="10541"/>
  <c r="H23" i="10541"/>
  <c r="H22" i="10541"/>
  <c r="H21" i="10541"/>
  <c r="H20" i="10541"/>
  <c r="H19" i="10541"/>
  <c r="H18" i="10541"/>
  <c r="H17" i="10541"/>
  <c r="H16" i="10541"/>
  <c r="H15" i="10541"/>
  <c r="H14" i="10541"/>
  <c r="H13" i="10541"/>
  <c r="H12" i="10541"/>
  <c r="H11" i="10541"/>
  <c r="H10" i="10541"/>
  <c r="H9" i="10541"/>
  <c r="H8" i="10541"/>
  <c r="A322" i="10541"/>
  <c r="B322" i="10541"/>
  <c r="C322" i="10541"/>
  <c r="H253" i="523"/>
  <c r="H154" i="523"/>
  <c r="H153" i="523"/>
  <c r="H152" i="523"/>
  <c r="H151" i="523"/>
  <c r="H150" i="523"/>
  <c r="H149" i="523"/>
  <c r="H148" i="523"/>
  <c r="H147" i="523"/>
  <c r="H146" i="523"/>
  <c r="H145" i="523"/>
  <c r="H144" i="523"/>
  <c r="H143" i="523"/>
  <c r="H142" i="523"/>
  <c r="H141" i="523"/>
  <c r="H140" i="523"/>
  <c r="H139" i="523"/>
  <c r="H138" i="523"/>
  <c r="H137" i="523"/>
  <c r="H136" i="523"/>
  <c r="H135" i="523"/>
  <c r="H134" i="523"/>
  <c r="H133" i="523"/>
  <c r="H132" i="523"/>
  <c r="H131" i="523"/>
  <c r="H130" i="523"/>
  <c r="H129" i="523"/>
  <c r="H128" i="523"/>
  <c r="H127" i="523"/>
  <c r="H126" i="523"/>
  <c r="H125" i="523"/>
  <c r="H124" i="523"/>
  <c r="H123" i="523"/>
  <c r="H122" i="523"/>
  <c r="H121" i="523"/>
  <c r="H120" i="523"/>
  <c r="H119" i="523"/>
  <c r="H118" i="523"/>
  <c r="H117" i="523"/>
  <c r="H116" i="523"/>
  <c r="H115" i="523"/>
  <c r="H114" i="523"/>
  <c r="H113" i="523"/>
  <c r="H112" i="523"/>
  <c r="H111" i="523"/>
  <c r="H110" i="523"/>
  <c r="H109" i="523"/>
  <c r="H108" i="523"/>
  <c r="H107" i="523"/>
  <c r="H106" i="523"/>
  <c r="H105" i="523"/>
  <c r="H104" i="523"/>
  <c r="H103" i="523"/>
  <c r="H102" i="523"/>
  <c r="H101" i="523"/>
  <c r="H100" i="523"/>
  <c r="H99" i="523"/>
  <c r="H98" i="523"/>
  <c r="H97" i="523"/>
  <c r="H96" i="523"/>
  <c r="H95" i="523"/>
  <c r="H94" i="523"/>
  <c r="H93" i="523"/>
  <c r="H92" i="523"/>
  <c r="H91" i="523"/>
  <c r="H90" i="523"/>
  <c r="H89" i="523"/>
  <c r="H88" i="523"/>
  <c r="H87" i="523"/>
  <c r="H86" i="523"/>
  <c r="H85" i="523"/>
  <c r="H84" i="523"/>
  <c r="H83" i="523"/>
  <c r="H82" i="523"/>
  <c r="H81" i="523"/>
  <c r="H80" i="523"/>
  <c r="H79" i="523"/>
  <c r="H78" i="523"/>
  <c r="H77" i="523"/>
  <c r="H76" i="523"/>
  <c r="H75" i="523"/>
  <c r="H74" i="523"/>
  <c r="H73" i="523"/>
  <c r="H72" i="523"/>
  <c r="H71" i="523"/>
  <c r="H70" i="523"/>
  <c r="H69" i="523"/>
  <c r="H68" i="523"/>
  <c r="H67" i="523"/>
  <c r="H66" i="523"/>
  <c r="H65" i="523"/>
  <c r="H64" i="523"/>
  <c r="H63" i="523"/>
  <c r="H62" i="523"/>
  <c r="H61" i="523"/>
  <c r="H60" i="523"/>
  <c r="H59" i="523"/>
  <c r="H58" i="523"/>
  <c r="H57" i="523"/>
  <c r="H56" i="523"/>
  <c r="H55" i="523"/>
  <c r="H54" i="523"/>
  <c r="H53" i="523"/>
  <c r="H52" i="523"/>
  <c r="H51" i="523"/>
  <c r="H50" i="523"/>
  <c r="H49" i="523"/>
  <c r="H48" i="523"/>
  <c r="H47" i="523"/>
  <c r="H46" i="523"/>
  <c r="H45" i="523"/>
  <c r="H44" i="523"/>
  <c r="H43" i="523"/>
  <c r="H42" i="523"/>
  <c r="H41" i="523"/>
  <c r="H40" i="523"/>
  <c r="H39" i="523"/>
  <c r="H38" i="523"/>
  <c r="H37" i="523"/>
  <c r="H36" i="523"/>
  <c r="H35" i="523"/>
  <c r="H34" i="523"/>
  <c r="H33" i="523"/>
  <c r="H32" i="523"/>
  <c r="H31" i="523"/>
  <c r="H30" i="523"/>
  <c r="H29" i="523"/>
  <c r="H28" i="523"/>
  <c r="H27" i="523"/>
  <c r="H26" i="523"/>
  <c r="H25" i="523"/>
  <c r="H24" i="523"/>
  <c r="H23" i="523"/>
  <c r="H22" i="523"/>
  <c r="H21" i="523"/>
  <c r="H20" i="523"/>
  <c r="H19" i="523"/>
  <c r="H18" i="523"/>
  <c r="H17" i="523"/>
  <c r="H16" i="523"/>
  <c r="H15" i="523"/>
  <c r="H14" i="523"/>
  <c r="H13" i="523"/>
  <c r="H12" i="523"/>
  <c r="H11" i="523"/>
  <c r="H10" i="523"/>
  <c r="H9" i="523"/>
  <c r="H8" i="523"/>
  <c r="A253" i="523"/>
  <c r="B253" i="523"/>
  <c r="C253" i="523" s="1"/>
  <c r="H322" i="2561"/>
  <c r="H223" i="2561"/>
  <c r="H222" i="2561"/>
  <c r="H221" i="2561"/>
  <c r="H220" i="2561"/>
  <c r="H219" i="2561"/>
  <c r="H218" i="2561"/>
  <c r="H217" i="2561"/>
  <c r="H216" i="2561"/>
  <c r="H215" i="2561"/>
  <c r="H214" i="2561"/>
  <c r="H213" i="2561"/>
  <c r="H212" i="2561"/>
  <c r="H211" i="2561"/>
  <c r="H210" i="2561"/>
  <c r="H209" i="2561"/>
  <c r="H208" i="2561"/>
  <c r="H207" i="2561"/>
  <c r="H206" i="2561"/>
  <c r="H205" i="2561"/>
  <c r="H204" i="2561"/>
  <c r="H203" i="2561"/>
  <c r="H202" i="2561"/>
  <c r="H201" i="2561"/>
  <c r="H200" i="2561"/>
  <c r="H199" i="2561"/>
  <c r="H198" i="2561"/>
  <c r="H197" i="2561"/>
  <c r="H196" i="2561"/>
  <c r="H195" i="2561"/>
  <c r="H194" i="2561"/>
  <c r="H193" i="2561"/>
  <c r="H192" i="2561"/>
  <c r="H191" i="2561"/>
  <c r="H190" i="2561"/>
  <c r="H189" i="2561"/>
  <c r="H188" i="2561"/>
  <c r="H187" i="2561"/>
  <c r="H186" i="2561"/>
  <c r="H185" i="2561"/>
  <c r="H184" i="2561"/>
  <c r="H183" i="2561"/>
  <c r="H182" i="2561"/>
  <c r="H181" i="2561"/>
  <c r="H180" i="2561"/>
  <c r="H179" i="2561"/>
  <c r="H178" i="2561"/>
  <c r="H177" i="2561"/>
  <c r="H176" i="2561"/>
  <c r="H175" i="2561"/>
  <c r="H174" i="2561"/>
  <c r="H173" i="2561"/>
  <c r="H172" i="2561"/>
  <c r="H171" i="2561"/>
  <c r="H170" i="2561"/>
  <c r="H169" i="2561"/>
  <c r="H168" i="2561"/>
  <c r="H167" i="2561"/>
  <c r="H166" i="2561"/>
  <c r="H165" i="2561"/>
  <c r="H164" i="2561"/>
  <c r="H163" i="2561"/>
  <c r="H162" i="2561"/>
  <c r="H161" i="2561"/>
  <c r="H160" i="2561"/>
  <c r="H159" i="2561"/>
  <c r="H158" i="2561"/>
  <c r="H157" i="2561"/>
  <c r="H156" i="2561"/>
  <c r="H155" i="2561"/>
  <c r="H154" i="2561"/>
  <c r="H153" i="2561"/>
  <c r="H152" i="2561"/>
  <c r="H151" i="2561"/>
  <c r="H150" i="2561"/>
  <c r="H149" i="2561"/>
  <c r="H148" i="2561"/>
  <c r="H147" i="2561"/>
  <c r="H146" i="2561"/>
  <c r="H145" i="2561"/>
  <c r="H144" i="2561"/>
  <c r="H143" i="2561"/>
  <c r="H142" i="2561"/>
  <c r="H141" i="2561"/>
  <c r="H140" i="2561"/>
  <c r="H139" i="2561"/>
  <c r="H138" i="2561"/>
  <c r="H137" i="2561"/>
  <c r="H136" i="2561"/>
  <c r="H135" i="2561"/>
  <c r="H134" i="2561"/>
  <c r="H133" i="2561"/>
  <c r="H132" i="2561"/>
  <c r="H131" i="2561"/>
  <c r="H130" i="2561"/>
  <c r="H129" i="2561"/>
  <c r="H128" i="2561"/>
  <c r="H127" i="2561"/>
  <c r="H126" i="2561"/>
  <c r="H125" i="2561"/>
  <c r="H124" i="2561"/>
  <c r="H123" i="2561"/>
  <c r="H122" i="2561"/>
  <c r="H121" i="2561"/>
  <c r="H120" i="2561"/>
  <c r="H119" i="2561"/>
  <c r="H118" i="2561"/>
  <c r="H117" i="2561"/>
  <c r="H116" i="2561"/>
  <c r="H115" i="2561"/>
  <c r="H114" i="2561"/>
  <c r="H113" i="2561"/>
  <c r="H112" i="2561"/>
  <c r="H111" i="2561"/>
  <c r="H110" i="2561"/>
  <c r="H109" i="2561"/>
  <c r="H108" i="2561"/>
  <c r="H107" i="2561"/>
  <c r="H106" i="2561"/>
  <c r="H105" i="2561"/>
  <c r="H104" i="2561"/>
  <c r="H103" i="2561"/>
  <c r="H102" i="2561"/>
  <c r="H101" i="2561"/>
  <c r="H100" i="2561"/>
  <c r="H99" i="2561"/>
  <c r="H98" i="2561"/>
  <c r="H97" i="2561"/>
  <c r="H96" i="2561"/>
  <c r="H95" i="2561"/>
  <c r="H94" i="2561"/>
  <c r="H93" i="2561"/>
  <c r="H92" i="2561"/>
  <c r="H91" i="2561"/>
  <c r="H90" i="2561"/>
  <c r="H89" i="2561"/>
  <c r="H88" i="2561"/>
  <c r="H87" i="2561"/>
  <c r="H86" i="2561"/>
  <c r="H85" i="2561"/>
  <c r="H84" i="2561"/>
  <c r="H83" i="2561"/>
  <c r="H82" i="2561"/>
  <c r="H81" i="2561"/>
  <c r="H80" i="2561"/>
  <c r="H79" i="2561"/>
  <c r="H78" i="2561"/>
  <c r="H77" i="2561"/>
  <c r="H76" i="2561"/>
  <c r="H75" i="2561"/>
  <c r="H74" i="2561"/>
  <c r="H73" i="2561"/>
  <c r="H72" i="2561"/>
  <c r="H71" i="2561"/>
  <c r="H70" i="2561"/>
  <c r="H69" i="2561"/>
  <c r="H68" i="2561"/>
  <c r="H67" i="2561"/>
  <c r="H66" i="2561"/>
  <c r="H65" i="2561"/>
  <c r="H64" i="2561"/>
  <c r="H63" i="2561"/>
  <c r="H62" i="2561"/>
  <c r="H61" i="2561"/>
  <c r="H60" i="2561"/>
  <c r="H59" i="2561"/>
  <c r="H58" i="2561"/>
  <c r="H57" i="2561"/>
  <c r="H56" i="2561"/>
  <c r="H55" i="2561"/>
  <c r="H54" i="2561"/>
  <c r="H53" i="2561"/>
  <c r="H52" i="2561"/>
  <c r="H51" i="2561"/>
  <c r="H50" i="2561"/>
  <c r="H49" i="2561"/>
  <c r="H48" i="2561"/>
  <c r="H47" i="2561"/>
  <c r="H46" i="2561"/>
  <c r="H45" i="2561"/>
  <c r="H44" i="2561"/>
  <c r="H43" i="2561"/>
  <c r="H42" i="2561"/>
  <c r="H41" i="2561"/>
  <c r="H40" i="2561"/>
  <c r="H39" i="2561"/>
  <c r="H38" i="2561"/>
  <c r="H37" i="2561"/>
  <c r="H36" i="2561"/>
  <c r="H35" i="2561"/>
  <c r="H34" i="2561"/>
  <c r="H33" i="2561"/>
  <c r="H32" i="2561"/>
  <c r="H31" i="2561"/>
  <c r="H30" i="2561"/>
  <c r="H29" i="2561"/>
  <c r="H28" i="2561"/>
  <c r="H27" i="2561"/>
  <c r="H26" i="2561"/>
  <c r="H25" i="2561"/>
  <c r="H24" i="2561"/>
  <c r="H23" i="2561"/>
  <c r="H22" i="2561"/>
  <c r="H21" i="2561"/>
  <c r="H20" i="2561"/>
  <c r="H19" i="2561"/>
  <c r="H18" i="2561"/>
  <c r="H17" i="2561"/>
  <c r="H16" i="2561"/>
  <c r="H15" i="2561"/>
  <c r="H14" i="2561"/>
  <c r="H13" i="2561"/>
  <c r="H12" i="2561"/>
  <c r="H11" i="2561"/>
  <c r="H10" i="2561"/>
  <c r="H9" i="2561"/>
  <c r="H8" i="2561"/>
  <c r="A322" i="2561"/>
  <c r="B322" i="2561"/>
  <c r="C322" i="2561"/>
  <c r="H253" i="2819"/>
  <c r="H154" i="2819"/>
  <c r="H153" i="2819"/>
  <c r="H152" i="2819"/>
  <c r="H151" i="2819"/>
  <c r="H150" i="2819"/>
  <c r="H149" i="2819"/>
  <c r="H148" i="2819"/>
  <c r="H147" i="2819"/>
  <c r="H146" i="2819"/>
  <c r="H145" i="2819"/>
  <c r="H144" i="2819"/>
  <c r="H143" i="2819"/>
  <c r="H142" i="2819"/>
  <c r="H141" i="2819"/>
  <c r="H140" i="2819"/>
  <c r="H139" i="2819"/>
  <c r="H138" i="2819"/>
  <c r="H137" i="2819"/>
  <c r="H136" i="2819"/>
  <c r="H135" i="2819"/>
  <c r="H134" i="2819"/>
  <c r="H133" i="2819"/>
  <c r="H132" i="2819"/>
  <c r="H131" i="2819"/>
  <c r="H130" i="2819"/>
  <c r="H129" i="2819"/>
  <c r="H128" i="2819"/>
  <c r="H127" i="2819"/>
  <c r="H126" i="2819"/>
  <c r="H125" i="2819"/>
  <c r="H124" i="2819"/>
  <c r="H123" i="2819"/>
  <c r="H122" i="2819"/>
  <c r="H121" i="2819"/>
  <c r="H120" i="2819"/>
  <c r="H119" i="2819"/>
  <c r="H118" i="2819"/>
  <c r="H117" i="2819"/>
  <c r="H116" i="2819"/>
  <c r="H115" i="2819"/>
  <c r="H114" i="2819"/>
  <c r="H113" i="2819"/>
  <c r="H112" i="2819"/>
  <c r="H111" i="2819"/>
  <c r="H110" i="2819"/>
  <c r="H109" i="2819"/>
  <c r="H108" i="2819"/>
  <c r="H107" i="2819"/>
  <c r="H106" i="2819"/>
  <c r="H105" i="2819"/>
  <c r="H104" i="2819"/>
  <c r="H103" i="2819"/>
  <c r="H102" i="2819"/>
  <c r="H101" i="2819"/>
  <c r="H100" i="2819"/>
  <c r="H99" i="2819"/>
  <c r="H98" i="2819"/>
  <c r="H97" i="2819"/>
  <c r="H96" i="2819"/>
  <c r="H95" i="2819"/>
  <c r="H94" i="2819"/>
  <c r="H93" i="2819"/>
  <c r="H92" i="2819"/>
  <c r="H91" i="2819"/>
  <c r="H90" i="2819"/>
  <c r="H89" i="2819"/>
  <c r="H88" i="2819"/>
  <c r="H87" i="2819"/>
  <c r="H86" i="2819"/>
  <c r="H85" i="2819"/>
  <c r="H84" i="2819"/>
  <c r="H83" i="2819"/>
  <c r="H82" i="2819"/>
  <c r="H81" i="2819"/>
  <c r="H80" i="2819"/>
  <c r="H79" i="2819"/>
  <c r="H78" i="2819"/>
  <c r="H77" i="2819"/>
  <c r="H76" i="2819"/>
  <c r="H75" i="2819"/>
  <c r="H74" i="2819"/>
  <c r="H73" i="2819"/>
  <c r="H72" i="2819"/>
  <c r="H71" i="2819"/>
  <c r="H70" i="2819"/>
  <c r="H69" i="2819"/>
  <c r="H68" i="2819"/>
  <c r="H67" i="2819"/>
  <c r="H66" i="2819"/>
  <c r="H65" i="2819"/>
  <c r="H64" i="2819"/>
  <c r="H63" i="2819"/>
  <c r="H62" i="2819"/>
  <c r="H61" i="2819"/>
  <c r="H60" i="2819"/>
  <c r="H59" i="2819"/>
  <c r="H58" i="2819"/>
  <c r="H57" i="2819"/>
  <c r="H56" i="2819"/>
  <c r="H55" i="2819"/>
  <c r="H54" i="2819"/>
  <c r="H53" i="2819"/>
  <c r="H52" i="2819"/>
  <c r="H51" i="2819"/>
  <c r="H50" i="2819"/>
  <c r="H49" i="2819"/>
  <c r="H48" i="2819"/>
  <c r="H47" i="2819"/>
  <c r="H46" i="2819"/>
  <c r="H45" i="2819"/>
  <c r="H44" i="2819"/>
  <c r="H43" i="2819"/>
  <c r="H42" i="2819"/>
  <c r="H41" i="2819"/>
  <c r="H40" i="2819"/>
  <c r="H39" i="2819"/>
  <c r="H38" i="2819"/>
  <c r="H37" i="2819"/>
  <c r="H36" i="2819"/>
  <c r="H35" i="2819"/>
  <c r="H34" i="2819"/>
  <c r="H33" i="2819"/>
  <c r="H32" i="2819"/>
  <c r="H31" i="2819"/>
  <c r="H30" i="2819"/>
  <c r="H29" i="2819"/>
  <c r="H28" i="2819"/>
  <c r="H27" i="2819"/>
  <c r="H26" i="2819"/>
  <c r="H25" i="2819"/>
  <c r="H24" i="2819"/>
  <c r="H23" i="2819"/>
  <c r="H22" i="2819"/>
  <c r="H21" i="2819"/>
  <c r="H20" i="2819"/>
  <c r="H19" i="2819"/>
  <c r="H18" i="2819"/>
  <c r="H17" i="2819"/>
  <c r="H16" i="2819"/>
  <c r="H15" i="2819"/>
  <c r="H14" i="2819"/>
  <c r="H13" i="2819"/>
  <c r="H12" i="2819"/>
  <c r="H11" i="2819"/>
  <c r="H10" i="2819"/>
  <c r="H9" i="2819"/>
  <c r="H8" i="2819"/>
  <c r="A253" i="2819"/>
  <c r="B253" i="2819"/>
  <c r="C253" i="2819"/>
  <c r="H253" i="2316"/>
  <c r="H154" i="2316"/>
  <c r="H153" i="2316"/>
  <c r="H152" i="2316"/>
  <c r="H151" i="2316"/>
  <c r="H150" i="2316"/>
  <c r="H149" i="2316"/>
  <c r="H148" i="2316"/>
  <c r="H147" i="2316"/>
  <c r="H146" i="2316"/>
  <c r="H145" i="2316"/>
  <c r="H144" i="2316"/>
  <c r="H143" i="2316"/>
  <c r="H142" i="2316"/>
  <c r="H141" i="2316"/>
  <c r="H140" i="2316"/>
  <c r="H139" i="2316"/>
  <c r="H138" i="2316"/>
  <c r="H137" i="2316"/>
  <c r="H136" i="2316"/>
  <c r="H135" i="2316"/>
  <c r="H134" i="2316"/>
  <c r="H133" i="2316"/>
  <c r="H132" i="2316"/>
  <c r="H131" i="2316"/>
  <c r="H130" i="2316"/>
  <c r="H129" i="2316"/>
  <c r="H128" i="2316"/>
  <c r="H127" i="2316"/>
  <c r="H126" i="2316"/>
  <c r="H125" i="2316"/>
  <c r="H124" i="2316"/>
  <c r="H123" i="2316"/>
  <c r="H122" i="2316"/>
  <c r="H121" i="2316"/>
  <c r="H120" i="2316"/>
  <c r="H119" i="2316"/>
  <c r="H118" i="2316"/>
  <c r="H117" i="2316"/>
  <c r="H116" i="2316"/>
  <c r="H115" i="2316"/>
  <c r="H114" i="2316"/>
  <c r="H113" i="2316"/>
  <c r="H112" i="2316"/>
  <c r="H111" i="2316"/>
  <c r="H110" i="2316"/>
  <c r="H109" i="2316"/>
  <c r="H108" i="2316"/>
  <c r="H107" i="2316"/>
  <c r="H106" i="2316"/>
  <c r="H105" i="2316"/>
  <c r="H104" i="2316"/>
  <c r="H103" i="2316"/>
  <c r="H102" i="2316"/>
  <c r="H101" i="2316"/>
  <c r="H100" i="2316"/>
  <c r="H99" i="2316"/>
  <c r="H98" i="2316"/>
  <c r="H97" i="2316"/>
  <c r="H96" i="2316"/>
  <c r="H95" i="2316"/>
  <c r="H94" i="2316"/>
  <c r="H93" i="2316"/>
  <c r="H92" i="2316"/>
  <c r="H91" i="2316"/>
  <c r="H90" i="2316"/>
  <c r="H89" i="2316"/>
  <c r="H88" i="2316"/>
  <c r="H87" i="2316"/>
  <c r="H86" i="2316"/>
  <c r="H85" i="2316"/>
  <c r="H84" i="2316"/>
  <c r="H83" i="2316"/>
  <c r="H82" i="2316"/>
  <c r="H81" i="2316"/>
  <c r="H80" i="2316"/>
  <c r="H79" i="2316"/>
  <c r="H78" i="2316"/>
  <c r="H77" i="2316"/>
  <c r="H76" i="2316"/>
  <c r="H75" i="2316"/>
  <c r="H74" i="2316"/>
  <c r="H73" i="2316"/>
  <c r="H72" i="2316"/>
  <c r="H71" i="2316"/>
  <c r="H70" i="2316"/>
  <c r="H69" i="2316"/>
  <c r="H68" i="2316"/>
  <c r="H67" i="2316"/>
  <c r="H66" i="2316"/>
  <c r="H65" i="2316"/>
  <c r="H64" i="2316"/>
  <c r="H63" i="2316"/>
  <c r="H62" i="2316"/>
  <c r="H61" i="2316"/>
  <c r="H60" i="2316"/>
  <c r="H59" i="2316"/>
  <c r="H58" i="2316"/>
  <c r="H57" i="2316"/>
  <c r="H56" i="2316"/>
  <c r="H55" i="2316"/>
  <c r="H54" i="2316"/>
  <c r="H53" i="2316"/>
  <c r="H52" i="2316"/>
  <c r="H51" i="2316"/>
  <c r="H50" i="2316"/>
  <c r="H49" i="2316"/>
  <c r="H48" i="2316"/>
  <c r="H47" i="2316"/>
  <c r="H46" i="2316"/>
  <c r="H45" i="2316"/>
  <c r="H44" i="2316"/>
  <c r="H43" i="2316"/>
  <c r="H42" i="2316"/>
  <c r="H41" i="2316"/>
  <c r="H40" i="2316"/>
  <c r="H39" i="2316"/>
  <c r="H38" i="2316"/>
  <c r="H37" i="2316"/>
  <c r="H36" i="2316"/>
  <c r="H35" i="2316"/>
  <c r="H34" i="2316"/>
  <c r="H33" i="2316"/>
  <c r="H32" i="2316"/>
  <c r="H31" i="2316"/>
  <c r="H30" i="2316"/>
  <c r="H29" i="2316"/>
  <c r="H28" i="2316"/>
  <c r="H27" i="2316"/>
  <c r="H26" i="2316"/>
  <c r="H25" i="2316"/>
  <c r="H24" i="2316"/>
  <c r="H23" i="2316"/>
  <c r="H22" i="2316"/>
  <c r="H21" i="2316"/>
  <c r="H20" i="2316"/>
  <c r="H19" i="2316"/>
  <c r="H18" i="2316"/>
  <c r="H17" i="2316"/>
  <c r="H16" i="2316"/>
  <c r="H15" i="2316"/>
  <c r="H14" i="2316"/>
  <c r="H13" i="2316"/>
  <c r="H12" i="2316"/>
  <c r="H11" i="2316"/>
  <c r="H10" i="2316"/>
  <c r="H9" i="2316"/>
  <c r="H8" i="2316"/>
  <c r="A253" i="2316"/>
  <c r="B253" i="2316"/>
  <c r="C253" i="2316" s="1"/>
  <c r="A323" i="32"/>
  <c r="I253" i="1024"/>
  <c r="I252" i="1024"/>
  <c r="I251" i="1024"/>
  <c r="I250" i="1024"/>
  <c r="I249" i="1024"/>
  <c r="I248" i="1024"/>
  <c r="I247" i="1024"/>
  <c r="I246" i="1024"/>
  <c r="I245" i="1024"/>
  <c r="I244" i="1024"/>
  <c r="I243" i="1024"/>
  <c r="I242" i="1024"/>
  <c r="I241" i="1024"/>
  <c r="I240" i="1024"/>
  <c r="I239" i="1024"/>
  <c r="I238" i="1024"/>
  <c r="I237" i="1024"/>
  <c r="I236" i="1024"/>
  <c r="I235" i="1024"/>
  <c r="I234" i="1024"/>
  <c r="I233" i="1024"/>
  <c r="I232" i="1024"/>
  <c r="I231" i="1024"/>
  <c r="I230" i="1024"/>
  <c r="I229" i="1024"/>
  <c r="I228" i="1024"/>
  <c r="I227" i="1024"/>
  <c r="I226" i="1024"/>
  <c r="I225" i="1024"/>
  <c r="I224" i="1024"/>
  <c r="I223" i="1024"/>
  <c r="I222" i="1024"/>
  <c r="I221" i="1024"/>
  <c r="I220" i="1024"/>
  <c r="I219" i="1024"/>
  <c r="I218" i="1024"/>
  <c r="I217" i="1024"/>
  <c r="I216" i="1024"/>
  <c r="I215" i="1024"/>
  <c r="I214" i="1024"/>
  <c r="I213" i="1024"/>
  <c r="I212" i="1024"/>
  <c r="I211" i="1024"/>
  <c r="I210" i="1024"/>
  <c r="I209" i="1024"/>
  <c r="I208" i="1024"/>
  <c r="I207" i="1024"/>
  <c r="I206" i="1024"/>
  <c r="I205" i="1024"/>
  <c r="I204" i="1024"/>
  <c r="I203" i="1024"/>
  <c r="I202" i="1024"/>
  <c r="I201" i="1024"/>
  <c r="I200" i="1024"/>
  <c r="I199" i="1024"/>
  <c r="I198" i="1024"/>
  <c r="I197" i="1024"/>
  <c r="I196" i="1024"/>
  <c r="I195" i="1024"/>
  <c r="I194" i="1024"/>
  <c r="I193" i="1024"/>
  <c r="I192" i="1024"/>
  <c r="I191" i="1024"/>
  <c r="I190" i="1024"/>
  <c r="I189" i="1024"/>
  <c r="I176" i="1024"/>
  <c r="I175" i="1024"/>
  <c r="I174" i="1024"/>
  <c r="I173" i="1024"/>
  <c r="I172" i="1024"/>
  <c r="I171" i="1024"/>
  <c r="I170" i="1024"/>
  <c r="I169" i="1024"/>
  <c r="I168" i="1024"/>
  <c r="I167" i="1024"/>
  <c r="I166" i="1024"/>
  <c r="I165" i="1024"/>
  <c r="I164" i="1024"/>
  <c r="I163" i="1024"/>
  <c r="I162" i="1024"/>
  <c r="I161" i="1024"/>
  <c r="I160" i="1024"/>
  <c r="I159" i="1024"/>
  <c r="I158" i="1024"/>
  <c r="I157" i="1024"/>
  <c r="I156" i="1024"/>
  <c r="I155" i="1024"/>
  <c r="I154" i="1024"/>
  <c r="I153" i="1024"/>
  <c r="I152" i="1024"/>
  <c r="I151" i="1024"/>
  <c r="I150" i="1024"/>
  <c r="I149" i="1024"/>
  <c r="I148" i="1024"/>
  <c r="I147" i="1024"/>
  <c r="I146" i="1024"/>
  <c r="I145" i="1024"/>
  <c r="I144" i="1024"/>
  <c r="I143" i="1024"/>
  <c r="I142" i="1024"/>
  <c r="I141" i="1024"/>
  <c r="I140" i="1024"/>
  <c r="I139" i="1024"/>
  <c r="I138" i="1024"/>
  <c r="I137" i="1024"/>
  <c r="I136" i="1024"/>
  <c r="I135" i="1024"/>
  <c r="I134" i="1024"/>
  <c r="I133" i="1024"/>
  <c r="I132" i="1024"/>
  <c r="I131" i="1024"/>
  <c r="I130" i="1024"/>
  <c r="I129" i="1024"/>
  <c r="I128" i="1024"/>
  <c r="I127" i="1024"/>
  <c r="I126" i="1024"/>
  <c r="I125" i="1024"/>
  <c r="I124" i="1024"/>
  <c r="I123" i="1024"/>
  <c r="I122" i="1024"/>
  <c r="I121" i="1024"/>
  <c r="I120" i="1024"/>
  <c r="I119" i="1024"/>
  <c r="I118" i="1024"/>
  <c r="I117" i="1024"/>
  <c r="I116" i="1024"/>
  <c r="I115" i="1024"/>
  <c r="I114" i="1024"/>
  <c r="I113" i="1024"/>
  <c r="I112" i="1024"/>
  <c r="I111" i="1024"/>
  <c r="I110" i="1024"/>
  <c r="I109" i="1024"/>
  <c r="I108" i="1024"/>
  <c r="I107" i="1024"/>
  <c r="I106" i="1024"/>
  <c r="I105" i="1024"/>
  <c r="I104" i="1024"/>
  <c r="I103" i="1024"/>
  <c r="I102" i="1024"/>
  <c r="I101" i="1024"/>
  <c r="I100" i="1024"/>
  <c r="I99" i="1024"/>
  <c r="I98" i="1024"/>
  <c r="I97" i="1024"/>
  <c r="I96" i="1024"/>
  <c r="I95" i="1024"/>
  <c r="I94" i="1024"/>
  <c r="I93" i="1024"/>
  <c r="I92" i="1024"/>
  <c r="I91" i="1024"/>
  <c r="I90" i="1024"/>
  <c r="I89" i="1024"/>
  <c r="I88" i="1024"/>
  <c r="I87" i="1024"/>
  <c r="I86" i="1024"/>
  <c r="I85" i="1024"/>
  <c r="I84" i="1024"/>
  <c r="I83" i="1024"/>
  <c r="I82" i="1024"/>
  <c r="I81" i="1024"/>
  <c r="I80" i="1024"/>
  <c r="I79" i="1024"/>
  <c r="I78" i="1024"/>
  <c r="I77" i="1024"/>
  <c r="I76" i="1024"/>
  <c r="I75" i="1024"/>
  <c r="I74" i="1024"/>
  <c r="I73" i="1024"/>
  <c r="I72" i="1024"/>
  <c r="I71" i="1024"/>
  <c r="I70" i="1024"/>
  <c r="I69" i="1024"/>
  <c r="I68" i="1024"/>
  <c r="I67" i="1024"/>
  <c r="I66" i="1024"/>
  <c r="I65" i="1024"/>
  <c r="I64" i="1024"/>
  <c r="I63" i="1024"/>
  <c r="I62" i="1024"/>
  <c r="I61" i="1024"/>
  <c r="I60" i="1024"/>
  <c r="I59" i="1024"/>
  <c r="I58" i="1024"/>
  <c r="I57" i="1024"/>
  <c r="I56" i="1024"/>
  <c r="I55" i="1024"/>
  <c r="I54" i="1024"/>
  <c r="I53" i="1024"/>
  <c r="I52" i="1024"/>
  <c r="I51" i="1024"/>
  <c r="I50" i="1024"/>
  <c r="I49" i="1024"/>
  <c r="I48" i="1024"/>
  <c r="I47" i="1024"/>
  <c r="I46" i="1024"/>
  <c r="I45" i="1024"/>
  <c r="I44" i="1024"/>
  <c r="I43" i="1024"/>
  <c r="I42" i="1024"/>
  <c r="I41" i="1024"/>
  <c r="I40" i="1024"/>
  <c r="I39" i="1024"/>
  <c r="I38" i="1024"/>
  <c r="I37" i="1024"/>
  <c r="I36" i="1024"/>
  <c r="I35" i="1024"/>
  <c r="I34" i="1024"/>
  <c r="I33" i="1024"/>
  <c r="I32" i="1024"/>
  <c r="I31" i="1024"/>
  <c r="I30" i="1024"/>
  <c r="I29" i="1024"/>
  <c r="I28" i="1024"/>
  <c r="I27" i="1024"/>
  <c r="I26" i="1024"/>
  <c r="I25" i="1024"/>
  <c r="I24" i="1024"/>
  <c r="I23" i="1024"/>
  <c r="I22" i="1024"/>
  <c r="I21" i="1024"/>
  <c r="I20" i="1024"/>
  <c r="I19" i="1024"/>
  <c r="I18" i="1024"/>
  <c r="I17" i="1024"/>
  <c r="I16" i="1024"/>
  <c r="I15" i="1024"/>
  <c r="I14" i="1024"/>
  <c r="I13" i="1024"/>
  <c r="I12" i="1024"/>
  <c r="I11" i="1024"/>
  <c r="I10" i="1024"/>
  <c r="I9" i="1024"/>
  <c r="I8" i="1024"/>
  <c r="A253" i="1024"/>
  <c r="B253" i="1024"/>
  <c r="H253" i="1024"/>
  <c r="I253" i="9216"/>
  <c r="I252" i="9216"/>
  <c r="I251" i="9216"/>
  <c r="I250" i="9216"/>
  <c r="I249" i="9216"/>
  <c r="I248" i="9216"/>
  <c r="I247" i="9216"/>
  <c r="I246" i="9216"/>
  <c r="I245" i="9216"/>
  <c r="I244" i="9216"/>
  <c r="I243" i="9216"/>
  <c r="I242" i="9216"/>
  <c r="I241" i="9216"/>
  <c r="I240" i="9216"/>
  <c r="I239" i="9216"/>
  <c r="I238" i="9216"/>
  <c r="I237" i="9216"/>
  <c r="I236" i="9216"/>
  <c r="I235" i="9216"/>
  <c r="I234" i="9216"/>
  <c r="I233" i="9216"/>
  <c r="I232" i="9216"/>
  <c r="I231" i="9216"/>
  <c r="I230" i="9216"/>
  <c r="I229" i="9216"/>
  <c r="I228" i="9216"/>
  <c r="I227" i="9216"/>
  <c r="I226" i="9216"/>
  <c r="I225" i="9216"/>
  <c r="I224" i="9216"/>
  <c r="I223" i="9216"/>
  <c r="I222" i="9216"/>
  <c r="I221" i="9216"/>
  <c r="I220" i="9216"/>
  <c r="I219" i="9216"/>
  <c r="I218" i="9216"/>
  <c r="I217" i="9216"/>
  <c r="I216" i="9216"/>
  <c r="I215" i="9216"/>
  <c r="I214" i="9216"/>
  <c r="I213" i="9216"/>
  <c r="I212" i="9216"/>
  <c r="I211" i="9216"/>
  <c r="I210" i="9216"/>
  <c r="I209" i="9216"/>
  <c r="I208" i="9216"/>
  <c r="I207" i="9216"/>
  <c r="I206" i="9216"/>
  <c r="I205" i="9216"/>
  <c r="I204" i="9216"/>
  <c r="I203" i="9216"/>
  <c r="I202" i="9216"/>
  <c r="I201" i="9216"/>
  <c r="I200" i="9216"/>
  <c r="I199" i="9216"/>
  <c r="I198" i="9216"/>
  <c r="I197" i="9216"/>
  <c r="I196" i="9216"/>
  <c r="I195" i="9216"/>
  <c r="I194" i="9216"/>
  <c r="I193" i="9216"/>
  <c r="I192" i="9216"/>
  <c r="I191" i="9216"/>
  <c r="I190" i="9216"/>
  <c r="I189" i="9216"/>
  <c r="I176" i="9216"/>
  <c r="I175" i="9216"/>
  <c r="I174" i="9216"/>
  <c r="I173" i="9216"/>
  <c r="I172" i="9216"/>
  <c r="I171" i="9216"/>
  <c r="I170" i="9216"/>
  <c r="I169" i="9216"/>
  <c r="I168" i="9216"/>
  <c r="I167" i="9216"/>
  <c r="I166" i="9216"/>
  <c r="I165" i="9216"/>
  <c r="I164" i="9216"/>
  <c r="I163" i="9216"/>
  <c r="I162" i="9216"/>
  <c r="I161" i="9216"/>
  <c r="I160" i="9216"/>
  <c r="I159" i="9216"/>
  <c r="I158" i="9216"/>
  <c r="I157" i="9216"/>
  <c r="I156" i="9216"/>
  <c r="I155" i="9216"/>
  <c r="I154" i="9216"/>
  <c r="I153" i="9216"/>
  <c r="I152" i="9216"/>
  <c r="I151" i="9216"/>
  <c r="I150" i="9216"/>
  <c r="I149" i="9216"/>
  <c r="I148" i="9216"/>
  <c r="I147" i="9216"/>
  <c r="I146" i="9216"/>
  <c r="I145" i="9216"/>
  <c r="I144" i="9216"/>
  <c r="I143" i="9216"/>
  <c r="I142" i="9216"/>
  <c r="I141" i="9216"/>
  <c r="I140" i="9216"/>
  <c r="I139" i="9216"/>
  <c r="I138" i="9216"/>
  <c r="I137" i="9216"/>
  <c r="I136" i="9216"/>
  <c r="I135" i="9216"/>
  <c r="I134" i="9216"/>
  <c r="I133" i="9216"/>
  <c r="I132" i="9216"/>
  <c r="I131" i="9216"/>
  <c r="I130" i="9216"/>
  <c r="I129" i="9216"/>
  <c r="I128" i="9216"/>
  <c r="I127" i="9216"/>
  <c r="I126" i="9216"/>
  <c r="I125" i="9216"/>
  <c r="I124" i="9216"/>
  <c r="I123" i="9216"/>
  <c r="I122" i="9216"/>
  <c r="I121" i="9216"/>
  <c r="I120" i="9216"/>
  <c r="I119" i="9216"/>
  <c r="I118" i="9216"/>
  <c r="I117" i="9216"/>
  <c r="I116" i="9216"/>
  <c r="I115" i="9216"/>
  <c r="I114" i="9216"/>
  <c r="I113" i="9216"/>
  <c r="I112" i="9216"/>
  <c r="I111" i="9216"/>
  <c r="I110" i="9216"/>
  <c r="I109" i="9216"/>
  <c r="I108" i="9216"/>
  <c r="I107" i="9216"/>
  <c r="I106" i="9216"/>
  <c r="I105" i="9216"/>
  <c r="I104" i="9216"/>
  <c r="I103" i="9216"/>
  <c r="I102" i="9216"/>
  <c r="I101" i="9216"/>
  <c r="I100" i="9216"/>
  <c r="I99" i="9216"/>
  <c r="I98" i="9216"/>
  <c r="I97" i="9216"/>
  <c r="I96" i="9216"/>
  <c r="I95" i="9216"/>
  <c r="I94" i="9216"/>
  <c r="I93" i="9216"/>
  <c r="I92" i="9216"/>
  <c r="I91" i="9216"/>
  <c r="I90" i="9216"/>
  <c r="I89" i="9216"/>
  <c r="I88" i="9216"/>
  <c r="I87" i="9216"/>
  <c r="I86" i="9216"/>
  <c r="I85" i="9216"/>
  <c r="I84" i="9216"/>
  <c r="I83" i="9216"/>
  <c r="I82" i="9216"/>
  <c r="I81" i="9216"/>
  <c r="I80" i="9216"/>
  <c r="I79" i="9216"/>
  <c r="I78" i="9216"/>
  <c r="I77" i="9216"/>
  <c r="I76" i="9216"/>
  <c r="I75" i="9216"/>
  <c r="I74" i="9216"/>
  <c r="I73" i="9216"/>
  <c r="I72" i="9216"/>
  <c r="I71" i="9216"/>
  <c r="I70" i="9216"/>
  <c r="I69" i="9216"/>
  <c r="I68" i="9216"/>
  <c r="I67" i="9216"/>
  <c r="I66" i="9216"/>
  <c r="I65" i="9216"/>
  <c r="I64" i="9216"/>
  <c r="I63" i="9216"/>
  <c r="I62" i="9216"/>
  <c r="I61" i="9216"/>
  <c r="I60" i="9216"/>
  <c r="I59" i="9216"/>
  <c r="I58" i="9216"/>
  <c r="I57" i="9216"/>
  <c r="I56" i="9216"/>
  <c r="I55" i="9216"/>
  <c r="I54" i="9216"/>
  <c r="I53" i="9216"/>
  <c r="I52" i="9216"/>
  <c r="I51" i="9216"/>
  <c r="I50" i="9216"/>
  <c r="I49" i="9216"/>
  <c r="I48" i="9216"/>
  <c r="I47" i="9216"/>
  <c r="I46" i="9216"/>
  <c r="I45" i="9216"/>
  <c r="I44" i="9216"/>
  <c r="I43" i="9216"/>
  <c r="I42" i="9216"/>
  <c r="I41" i="9216"/>
  <c r="I40" i="9216"/>
  <c r="I39" i="9216"/>
  <c r="I38" i="9216"/>
  <c r="I37" i="9216"/>
  <c r="I36" i="9216"/>
  <c r="I35" i="9216"/>
  <c r="I34" i="9216"/>
  <c r="I33" i="9216"/>
  <c r="I32" i="9216"/>
  <c r="I31" i="9216"/>
  <c r="I30" i="9216"/>
  <c r="I29" i="9216"/>
  <c r="I28" i="9216"/>
  <c r="I27" i="9216"/>
  <c r="I26" i="9216"/>
  <c r="I25" i="9216"/>
  <c r="I24" i="9216"/>
  <c r="I23" i="9216"/>
  <c r="I22" i="9216"/>
  <c r="I21" i="9216"/>
  <c r="I20" i="9216"/>
  <c r="I19" i="9216"/>
  <c r="I18" i="9216"/>
  <c r="I17" i="9216"/>
  <c r="I16" i="9216"/>
  <c r="I15" i="9216"/>
  <c r="I14" i="9216"/>
  <c r="I13" i="9216"/>
  <c r="I12" i="9216"/>
  <c r="I11" i="9216"/>
  <c r="I10" i="9216"/>
  <c r="I9" i="9216"/>
  <c r="I8" i="9216"/>
  <c r="A253" i="9216"/>
  <c r="B253" i="9216"/>
  <c r="E253" i="9216" s="1"/>
  <c r="C253" i="9216"/>
  <c r="D253" i="9216" s="1"/>
  <c r="H253" i="9216"/>
  <c r="I322" i="20994"/>
  <c r="I321" i="20994"/>
  <c r="I320" i="20994"/>
  <c r="I319" i="20994"/>
  <c r="I318" i="20994"/>
  <c r="I317" i="20994"/>
  <c r="I316" i="20994"/>
  <c r="I315" i="20994"/>
  <c r="I314" i="20994"/>
  <c r="I313" i="20994"/>
  <c r="I312" i="20994"/>
  <c r="I311" i="20994"/>
  <c r="I310" i="20994"/>
  <c r="I309" i="20994"/>
  <c r="I308" i="20994"/>
  <c r="I307" i="20994"/>
  <c r="I306" i="20994"/>
  <c r="I305" i="20994"/>
  <c r="I304" i="20994"/>
  <c r="I303" i="20994"/>
  <c r="I302" i="20994"/>
  <c r="I301" i="20994"/>
  <c r="I300" i="20994"/>
  <c r="I299" i="20994"/>
  <c r="I298" i="20994"/>
  <c r="I297" i="20994"/>
  <c r="I296" i="20994"/>
  <c r="I295" i="20994"/>
  <c r="I294" i="20994"/>
  <c r="I293" i="20994"/>
  <c r="I292" i="20994"/>
  <c r="I291" i="20994"/>
  <c r="I290" i="20994"/>
  <c r="I289" i="20994"/>
  <c r="I288" i="20994"/>
  <c r="I287" i="20994"/>
  <c r="I286" i="20994"/>
  <c r="I285" i="20994"/>
  <c r="I284" i="20994"/>
  <c r="I283" i="20994"/>
  <c r="I282" i="20994"/>
  <c r="I281" i="20994"/>
  <c r="I280" i="20994"/>
  <c r="I279" i="20994"/>
  <c r="I278" i="20994"/>
  <c r="I277" i="20994"/>
  <c r="I276" i="20994"/>
  <c r="I275" i="20994"/>
  <c r="I274" i="20994"/>
  <c r="I273" i="20994"/>
  <c r="I272" i="20994"/>
  <c r="I271" i="20994"/>
  <c r="I270" i="20994"/>
  <c r="I269" i="20994"/>
  <c r="I268" i="20994"/>
  <c r="I267" i="20994"/>
  <c r="I266" i="20994"/>
  <c r="I265" i="20994"/>
  <c r="I264" i="20994"/>
  <c r="I263" i="20994"/>
  <c r="I262" i="20994"/>
  <c r="I261" i="20994"/>
  <c r="I260" i="20994"/>
  <c r="I259" i="20994"/>
  <c r="I258" i="20994"/>
  <c r="I245" i="20994"/>
  <c r="I244" i="20994"/>
  <c r="I243" i="20994"/>
  <c r="I242" i="20994"/>
  <c r="I241" i="20994"/>
  <c r="I240" i="20994"/>
  <c r="I239" i="20994"/>
  <c r="I238" i="20994"/>
  <c r="I237" i="20994"/>
  <c r="I236" i="20994"/>
  <c r="I235" i="20994"/>
  <c r="I234" i="20994"/>
  <c r="I233" i="20994"/>
  <c r="I232" i="20994"/>
  <c r="I231" i="20994"/>
  <c r="I230" i="20994"/>
  <c r="I229" i="20994"/>
  <c r="I228" i="20994"/>
  <c r="I227" i="20994"/>
  <c r="I226" i="20994"/>
  <c r="I225" i="20994"/>
  <c r="I224" i="20994"/>
  <c r="I223" i="20994"/>
  <c r="I222" i="20994"/>
  <c r="I221" i="20994"/>
  <c r="I220" i="20994"/>
  <c r="I219" i="20994"/>
  <c r="I218" i="20994"/>
  <c r="I217" i="20994"/>
  <c r="I216" i="20994"/>
  <c r="I215" i="20994"/>
  <c r="I214" i="20994"/>
  <c r="I213" i="20994"/>
  <c r="I212" i="20994"/>
  <c r="I211" i="20994"/>
  <c r="I210" i="20994"/>
  <c r="I209" i="20994"/>
  <c r="I208" i="20994"/>
  <c r="I207" i="20994"/>
  <c r="I206" i="20994"/>
  <c r="I205" i="20994"/>
  <c r="I204" i="20994"/>
  <c r="I203" i="20994"/>
  <c r="I202" i="20994"/>
  <c r="I201" i="20994"/>
  <c r="I200" i="20994"/>
  <c r="I199" i="20994"/>
  <c r="I198" i="20994"/>
  <c r="I197" i="20994"/>
  <c r="I196" i="20994"/>
  <c r="I195" i="20994"/>
  <c r="I194" i="20994"/>
  <c r="I193" i="20994"/>
  <c r="I192" i="20994"/>
  <c r="I191" i="20994"/>
  <c r="I190" i="20994"/>
  <c r="I189" i="20994"/>
  <c r="I188" i="20994"/>
  <c r="I187" i="20994"/>
  <c r="I186" i="20994"/>
  <c r="I185" i="20994"/>
  <c r="I184" i="20994"/>
  <c r="I183" i="20994"/>
  <c r="I182" i="20994"/>
  <c r="I181" i="20994"/>
  <c r="I180" i="20994"/>
  <c r="I179" i="20994"/>
  <c r="I178" i="20994"/>
  <c r="I177" i="20994"/>
  <c r="I176" i="20994"/>
  <c r="I175" i="20994"/>
  <c r="I174" i="20994"/>
  <c r="I173" i="20994"/>
  <c r="I172" i="20994"/>
  <c r="I171" i="20994"/>
  <c r="I170" i="20994"/>
  <c r="I169" i="20994"/>
  <c r="I168" i="20994"/>
  <c r="I167" i="20994"/>
  <c r="I166" i="20994"/>
  <c r="I165" i="20994"/>
  <c r="I164" i="20994"/>
  <c r="I163" i="20994"/>
  <c r="I162" i="20994"/>
  <c r="I161" i="20994"/>
  <c r="I160" i="20994"/>
  <c r="I159" i="20994"/>
  <c r="I158" i="20994"/>
  <c r="I157" i="20994"/>
  <c r="I156" i="20994"/>
  <c r="I155" i="20994"/>
  <c r="I154" i="20994"/>
  <c r="I153" i="20994"/>
  <c r="I152" i="20994"/>
  <c r="I151" i="20994"/>
  <c r="I150" i="20994"/>
  <c r="I149" i="20994"/>
  <c r="I148" i="20994"/>
  <c r="I147" i="20994"/>
  <c r="I146" i="20994"/>
  <c r="I145" i="20994"/>
  <c r="I144" i="20994"/>
  <c r="I143" i="20994"/>
  <c r="I142" i="20994"/>
  <c r="I141" i="20994"/>
  <c r="I140" i="20994"/>
  <c r="I139" i="20994"/>
  <c r="I138" i="20994"/>
  <c r="I137" i="20994"/>
  <c r="I136" i="20994"/>
  <c r="I135" i="20994"/>
  <c r="I134" i="20994"/>
  <c r="I133" i="20994"/>
  <c r="I132" i="20994"/>
  <c r="I131" i="20994"/>
  <c r="I130" i="20994"/>
  <c r="I129" i="20994"/>
  <c r="I128" i="20994"/>
  <c r="I127" i="20994"/>
  <c r="I126" i="20994"/>
  <c r="I125" i="20994"/>
  <c r="I124" i="20994"/>
  <c r="I123" i="20994"/>
  <c r="I122" i="20994"/>
  <c r="I121" i="20994"/>
  <c r="I120" i="20994"/>
  <c r="I119" i="20994"/>
  <c r="I118" i="20994"/>
  <c r="I117" i="20994"/>
  <c r="I116" i="20994"/>
  <c r="I115" i="20994"/>
  <c r="I114" i="20994"/>
  <c r="I113" i="20994"/>
  <c r="I112" i="20994"/>
  <c r="I111" i="20994"/>
  <c r="I110" i="20994"/>
  <c r="I109" i="20994"/>
  <c r="I108" i="20994"/>
  <c r="I107" i="20994"/>
  <c r="I106" i="20994"/>
  <c r="I105" i="20994"/>
  <c r="I104" i="20994"/>
  <c r="I103" i="20994"/>
  <c r="I102" i="20994"/>
  <c r="I101" i="20994"/>
  <c r="I100" i="20994"/>
  <c r="I99" i="20994"/>
  <c r="I98" i="20994"/>
  <c r="I97" i="20994"/>
  <c r="I96" i="20994"/>
  <c r="I95" i="20994"/>
  <c r="I94" i="20994"/>
  <c r="I93" i="20994"/>
  <c r="I92" i="20994"/>
  <c r="I91" i="20994"/>
  <c r="I90" i="20994"/>
  <c r="I89" i="20994"/>
  <c r="I88" i="20994"/>
  <c r="I87" i="20994"/>
  <c r="I86" i="20994"/>
  <c r="I85" i="20994"/>
  <c r="I84" i="20994"/>
  <c r="I83" i="20994"/>
  <c r="I82" i="20994"/>
  <c r="I81" i="20994"/>
  <c r="I80" i="20994"/>
  <c r="I79" i="20994"/>
  <c r="I78" i="20994"/>
  <c r="I77" i="20994"/>
  <c r="I76" i="20994"/>
  <c r="I75" i="20994"/>
  <c r="I74" i="20994"/>
  <c r="I73" i="20994"/>
  <c r="I72" i="20994"/>
  <c r="I71" i="20994"/>
  <c r="I70" i="20994"/>
  <c r="I69" i="20994"/>
  <c r="I68" i="20994"/>
  <c r="I67" i="20994"/>
  <c r="I66" i="20994"/>
  <c r="I65" i="20994"/>
  <c r="I64" i="20994"/>
  <c r="I63" i="20994"/>
  <c r="I62" i="20994"/>
  <c r="I61" i="20994"/>
  <c r="I60" i="20994"/>
  <c r="I59" i="20994"/>
  <c r="I58" i="20994"/>
  <c r="I57" i="20994"/>
  <c r="I56" i="20994"/>
  <c r="I55" i="20994"/>
  <c r="I54" i="20994"/>
  <c r="I53" i="20994"/>
  <c r="I52" i="20994"/>
  <c r="I51" i="20994"/>
  <c r="I50" i="20994"/>
  <c r="I49" i="20994"/>
  <c r="I48" i="20994"/>
  <c r="I47" i="20994"/>
  <c r="I46" i="20994"/>
  <c r="I45" i="20994"/>
  <c r="I44" i="20994"/>
  <c r="I43" i="20994"/>
  <c r="I42" i="20994"/>
  <c r="I41" i="20994"/>
  <c r="I40" i="20994"/>
  <c r="I39" i="20994"/>
  <c r="I38" i="20994"/>
  <c r="I37" i="20994"/>
  <c r="I36" i="20994"/>
  <c r="I35" i="20994"/>
  <c r="I34" i="20994"/>
  <c r="I33" i="20994"/>
  <c r="I32" i="20994"/>
  <c r="I31" i="20994"/>
  <c r="I30" i="20994"/>
  <c r="I29" i="20994"/>
  <c r="I28" i="20994"/>
  <c r="I27" i="20994"/>
  <c r="I26" i="20994"/>
  <c r="I25" i="20994"/>
  <c r="I24" i="20994"/>
  <c r="I23" i="20994"/>
  <c r="I22" i="20994"/>
  <c r="I21" i="20994"/>
  <c r="I20" i="20994"/>
  <c r="I19" i="20994"/>
  <c r="I18" i="20994"/>
  <c r="I17" i="20994"/>
  <c r="I16" i="20994"/>
  <c r="I15" i="20994"/>
  <c r="I14" i="20994"/>
  <c r="I13" i="20994"/>
  <c r="I12" i="20994"/>
  <c r="I11" i="20994"/>
  <c r="I10" i="20994"/>
  <c r="I9" i="20994"/>
  <c r="I8" i="20994"/>
  <c r="A322" i="20994"/>
  <c r="B322" i="20994"/>
  <c r="C322" i="20994"/>
  <c r="D322" i="20994" s="1"/>
  <c r="H322" i="20994"/>
  <c r="H202" i="768"/>
  <c r="H103" i="768"/>
  <c r="H102" i="768"/>
  <c r="H101" i="768"/>
  <c r="H100" i="768"/>
  <c r="H99" i="768"/>
  <c r="H98" i="768"/>
  <c r="H97" i="768"/>
  <c r="H96" i="768"/>
  <c r="H95" i="768"/>
  <c r="H94" i="768"/>
  <c r="H93" i="768"/>
  <c r="H92" i="768"/>
  <c r="H91" i="768"/>
  <c r="H90" i="768"/>
  <c r="H89" i="768"/>
  <c r="H88" i="768"/>
  <c r="H87" i="768"/>
  <c r="H86" i="768"/>
  <c r="H85" i="768"/>
  <c r="H84" i="768"/>
  <c r="H83" i="768"/>
  <c r="H82" i="768"/>
  <c r="H81" i="768"/>
  <c r="H80" i="768"/>
  <c r="H79" i="768"/>
  <c r="H78" i="768"/>
  <c r="H77" i="768"/>
  <c r="H76" i="768"/>
  <c r="H75" i="768"/>
  <c r="H74" i="768"/>
  <c r="H73" i="768"/>
  <c r="H72" i="768"/>
  <c r="H71" i="768"/>
  <c r="H70" i="768"/>
  <c r="H69" i="768"/>
  <c r="H68" i="768"/>
  <c r="H67" i="768"/>
  <c r="H66" i="768"/>
  <c r="H65" i="768"/>
  <c r="H64" i="768"/>
  <c r="H63" i="768"/>
  <c r="H62" i="768"/>
  <c r="H61" i="768"/>
  <c r="H60" i="768"/>
  <c r="H59" i="768"/>
  <c r="H58" i="768"/>
  <c r="H57" i="768"/>
  <c r="H56" i="768"/>
  <c r="H55" i="768"/>
  <c r="H54" i="768"/>
  <c r="H53" i="768"/>
  <c r="H52" i="768"/>
  <c r="H51" i="768"/>
  <c r="H50" i="768"/>
  <c r="H49" i="768"/>
  <c r="H48" i="768"/>
  <c r="H47" i="768"/>
  <c r="H46" i="768"/>
  <c r="H45" i="768"/>
  <c r="H44" i="768"/>
  <c r="H43" i="768"/>
  <c r="H42" i="768"/>
  <c r="H41" i="768"/>
  <c r="H40" i="768"/>
  <c r="H39" i="768"/>
  <c r="H38" i="768"/>
  <c r="H37" i="768"/>
  <c r="H36" i="768"/>
  <c r="H35" i="768"/>
  <c r="H34" i="768"/>
  <c r="H33" i="768"/>
  <c r="H32" i="768"/>
  <c r="H31" i="768"/>
  <c r="H30" i="768"/>
  <c r="H29" i="768"/>
  <c r="H28" i="768"/>
  <c r="H27" i="768"/>
  <c r="H26" i="768"/>
  <c r="H25" i="768"/>
  <c r="H24" i="768"/>
  <c r="H23" i="768"/>
  <c r="H22" i="768"/>
  <c r="H21" i="768"/>
  <c r="H20" i="768"/>
  <c r="H19" i="768"/>
  <c r="H18" i="768"/>
  <c r="H17" i="768"/>
  <c r="H16" i="768"/>
  <c r="H15" i="768"/>
  <c r="H14" i="768"/>
  <c r="H13" i="768"/>
  <c r="H12" i="768"/>
  <c r="H11" i="768"/>
  <c r="H10" i="768"/>
  <c r="H9" i="768"/>
  <c r="H8" i="768"/>
  <c r="A202" i="768"/>
  <c r="B202" i="768"/>
  <c r="C202" i="768" s="1"/>
  <c r="H202" i="10285"/>
  <c r="H103" i="10285"/>
  <c r="H102" i="10285"/>
  <c r="H101" i="10285"/>
  <c r="H100" i="10285"/>
  <c r="H99" i="10285"/>
  <c r="H98" i="10285"/>
  <c r="H97" i="10285"/>
  <c r="H96" i="10285"/>
  <c r="H95" i="10285"/>
  <c r="H94" i="10285"/>
  <c r="H93" i="10285"/>
  <c r="H92" i="10285"/>
  <c r="H91" i="10285"/>
  <c r="H90" i="10285"/>
  <c r="H89" i="10285"/>
  <c r="H88" i="10285"/>
  <c r="H87" i="10285"/>
  <c r="H86" i="10285"/>
  <c r="H85" i="10285"/>
  <c r="H84" i="10285"/>
  <c r="H83" i="10285"/>
  <c r="H82" i="10285"/>
  <c r="H81" i="10285"/>
  <c r="H80" i="10285"/>
  <c r="H79" i="10285"/>
  <c r="H78" i="10285"/>
  <c r="H77" i="10285"/>
  <c r="H76" i="10285"/>
  <c r="H75" i="10285"/>
  <c r="H74" i="10285"/>
  <c r="H73" i="10285"/>
  <c r="H72" i="10285"/>
  <c r="H71" i="10285"/>
  <c r="H70" i="10285"/>
  <c r="H69" i="10285"/>
  <c r="H68" i="10285"/>
  <c r="H67" i="10285"/>
  <c r="H66" i="10285"/>
  <c r="H65" i="10285"/>
  <c r="H64" i="10285"/>
  <c r="H63" i="10285"/>
  <c r="H62" i="10285"/>
  <c r="H61" i="10285"/>
  <c r="H60" i="10285"/>
  <c r="H59" i="10285"/>
  <c r="H58" i="10285"/>
  <c r="H57" i="10285"/>
  <c r="H56" i="10285"/>
  <c r="H55" i="10285"/>
  <c r="H54" i="10285"/>
  <c r="H53" i="10285"/>
  <c r="H52" i="10285"/>
  <c r="H51" i="10285"/>
  <c r="H50" i="10285"/>
  <c r="H49" i="10285"/>
  <c r="H48" i="10285"/>
  <c r="H47" i="10285"/>
  <c r="H46" i="10285"/>
  <c r="H45" i="10285"/>
  <c r="H44" i="10285"/>
  <c r="H43" i="10285"/>
  <c r="H42" i="10285"/>
  <c r="H41" i="10285"/>
  <c r="H40" i="10285"/>
  <c r="H39" i="10285"/>
  <c r="H38" i="10285"/>
  <c r="H37" i="10285"/>
  <c r="H36" i="10285"/>
  <c r="H35" i="10285"/>
  <c r="H34" i="10285"/>
  <c r="H33" i="10285"/>
  <c r="H32" i="10285"/>
  <c r="H31" i="10285"/>
  <c r="H30" i="10285"/>
  <c r="H29" i="10285"/>
  <c r="H28" i="10285"/>
  <c r="H27" i="10285"/>
  <c r="H26" i="10285"/>
  <c r="H25" i="10285"/>
  <c r="H24" i="10285"/>
  <c r="H23" i="10285"/>
  <c r="H22" i="10285"/>
  <c r="H21" i="10285"/>
  <c r="H20" i="10285"/>
  <c r="H19" i="10285"/>
  <c r="H18" i="10285"/>
  <c r="H17" i="10285"/>
  <c r="H16" i="10285"/>
  <c r="H15" i="10285"/>
  <c r="H14" i="10285"/>
  <c r="H13" i="10285"/>
  <c r="H12" i="10285"/>
  <c r="H11" i="10285"/>
  <c r="H10" i="10285"/>
  <c r="H9" i="10285"/>
  <c r="H8" i="10285"/>
  <c r="A202" i="10285"/>
  <c r="B202" i="10285"/>
  <c r="C202" i="10285" s="1"/>
  <c r="H322" i="4888"/>
  <c r="H223" i="4888"/>
  <c r="H222" i="4888"/>
  <c r="H221" i="4888"/>
  <c r="H220" i="4888"/>
  <c r="H219" i="4888"/>
  <c r="H218" i="4888"/>
  <c r="H217" i="4888"/>
  <c r="H216" i="4888"/>
  <c r="H215" i="4888"/>
  <c r="H214" i="4888"/>
  <c r="H213" i="4888"/>
  <c r="H212" i="4888"/>
  <c r="H211" i="4888"/>
  <c r="H210" i="4888"/>
  <c r="H209" i="4888"/>
  <c r="H208" i="4888"/>
  <c r="H207" i="4888"/>
  <c r="H206" i="4888"/>
  <c r="H205" i="4888"/>
  <c r="H204" i="4888"/>
  <c r="H203" i="4888"/>
  <c r="H202" i="4888"/>
  <c r="H201" i="4888"/>
  <c r="H200" i="4888"/>
  <c r="H199" i="4888"/>
  <c r="H198" i="4888"/>
  <c r="H197" i="4888"/>
  <c r="H196" i="4888"/>
  <c r="H195" i="4888"/>
  <c r="H194" i="4888"/>
  <c r="H193" i="4888"/>
  <c r="H192" i="4888"/>
  <c r="H191" i="4888"/>
  <c r="H190" i="4888"/>
  <c r="H189" i="4888"/>
  <c r="H188" i="4888"/>
  <c r="H187" i="4888"/>
  <c r="H186" i="4888"/>
  <c r="H185" i="4888"/>
  <c r="H184" i="4888"/>
  <c r="H183" i="4888"/>
  <c r="H182" i="4888"/>
  <c r="H181" i="4888"/>
  <c r="H180" i="4888"/>
  <c r="H179" i="4888"/>
  <c r="H178" i="4888"/>
  <c r="H177" i="4888"/>
  <c r="H176" i="4888"/>
  <c r="H175" i="4888"/>
  <c r="H174" i="4888"/>
  <c r="H173" i="4888"/>
  <c r="H172" i="4888"/>
  <c r="H171" i="4888"/>
  <c r="H170" i="4888"/>
  <c r="H169" i="4888"/>
  <c r="H168" i="4888"/>
  <c r="H167" i="4888"/>
  <c r="H166" i="4888"/>
  <c r="H165" i="4888"/>
  <c r="H164" i="4888"/>
  <c r="H163" i="4888"/>
  <c r="H162" i="4888"/>
  <c r="H161" i="4888"/>
  <c r="H160" i="4888"/>
  <c r="H159" i="4888"/>
  <c r="H158" i="4888"/>
  <c r="H157" i="4888"/>
  <c r="H156" i="4888"/>
  <c r="H155" i="4888"/>
  <c r="H154" i="4888"/>
  <c r="H153" i="4888"/>
  <c r="H152" i="4888"/>
  <c r="H151" i="4888"/>
  <c r="H150" i="4888"/>
  <c r="H149" i="4888"/>
  <c r="H148" i="4888"/>
  <c r="H147" i="4888"/>
  <c r="H146" i="4888"/>
  <c r="H145" i="4888"/>
  <c r="H144" i="4888"/>
  <c r="H143" i="4888"/>
  <c r="H142" i="4888"/>
  <c r="H141" i="4888"/>
  <c r="H140" i="4888"/>
  <c r="H139" i="4888"/>
  <c r="H138" i="4888"/>
  <c r="H137" i="4888"/>
  <c r="H136" i="4888"/>
  <c r="H135" i="4888"/>
  <c r="H134" i="4888"/>
  <c r="H133" i="4888"/>
  <c r="H132" i="4888"/>
  <c r="H131" i="4888"/>
  <c r="H130" i="4888"/>
  <c r="H129" i="4888"/>
  <c r="H128" i="4888"/>
  <c r="H127" i="4888"/>
  <c r="H126" i="4888"/>
  <c r="H125" i="4888"/>
  <c r="H124" i="4888"/>
  <c r="H123" i="4888"/>
  <c r="H122" i="4888"/>
  <c r="H121" i="4888"/>
  <c r="H120" i="4888"/>
  <c r="H119" i="4888"/>
  <c r="H118" i="4888"/>
  <c r="H117" i="4888"/>
  <c r="H116" i="4888"/>
  <c r="H115" i="4888"/>
  <c r="H114" i="4888"/>
  <c r="H113" i="4888"/>
  <c r="H112" i="4888"/>
  <c r="H111" i="4888"/>
  <c r="H110" i="4888"/>
  <c r="H109" i="4888"/>
  <c r="H108" i="4888"/>
  <c r="H107" i="4888"/>
  <c r="H106" i="4888"/>
  <c r="H105" i="4888"/>
  <c r="H104" i="4888"/>
  <c r="H103" i="4888"/>
  <c r="H102" i="4888"/>
  <c r="H101" i="4888"/>
  <c r="H100" i="4888"/>
  <c r="H99" i="4888"/>
  <c r="H98" i="4888"/>
  <c r="H97" i="4888"/>
  <c r="H96" i="4888"/>
  <c r="H95" i="4888"/>
  <c r="H94" i="4888"/>
  <c r="H93" i="4888"/>
  <c r="H92" i="4888"/>
  <c r="H91" i="4888"/>
  <c r="H90" i="4888"/>
  <c r="H89" i="4888"/>
  <c r="H88" i="4888"/>
  <c r="H87" i="4888"/>
  <c r="H86" i="4888"/>
  <c r="H85" i="4888"/>
  <c r="H84" i="4888"/>
  <c r="H83" i="4888"/>
  <c r="H82" i="4888"/>
  <c r="H81" i="4888"/>
  <c r="H80" i="4888"/>
  <c r="H79" i="4888"/>
  <c r="H78" i="4888"/>
  <c r="H77" i="4888"/>
  <c r="H76" i="4888"/>
  <c r="H75" i="4888"/>
  <c r="H74" i="4888"/>
  <c r="H73" i="4888"/>
  <c r="H72" i="4888"/>
  <c r="H71" i="4888"/>
  <c r="H70" i="4888"/>
  <c r="H69" i="4888"/>
  <c r="H68" i="4888"/>
  <c r="H67" i="4888"/>
  <c r="H66" i="4888"/>
  <c r="H65" i="4888"/>
  <c r="H64" i="4888"/>
  <c r="H63" i="4888"/>
  <c r="H62" i="4888"/>
  <c r="H61" i="4888"/>
  <c r="H60" i="4888"/>
  <c r="H59" i="4888"/>
  <c r="H58" i="4888"/>
  <c r="H57" i="4888"/>
  <c r="H56" i="4888"/>
  <c r="H55" i="4888"/>
  <c r="H54" i="4888"/>
  <c r="H53" i="4888"/>
  <c r="H52" i="4888"/>
  <c r="H51" i="4888"/>
  <c r="H50" i="4888"/>
  <c r="H49" i="4888"/>
  <c r="H48" i="4888"/>
  <c r="H47" i="4888"/>
  <c r="H46" i="4888"/>
  <c r="H45" i="4888"/>
  <c r="H44" i="4888"/>
  <c r="H43" i="4888"/>
  <c r="H42" i="4888"/>
  <c r="H41" i="4888"/>
  <c r="H40" i="4888"/>
  <c r="H39" i="4888"/>
  <c r="H38" i="4888"/>
  <c r="H37" i="4888"/>
  <c r="H36" i="4888"/>
  <c r="H35" i="4888"/>
  <c r="H34" i="4888"/>
  <c r="H33" i="4888"/>
  <c r="H32" i="4888"/>
  <c r="H31" i="4888"/>
  <c r="H30" i="4888"/>
  <c r="H29" i="4888"/>
  <c r="H28" i="4888"/>
  <c r="H27" i="4888"/>
  <c r="H26" i="4888"/>
  <c r="H25" i="4888"/>
  <c r="H24" i="4888"/>
  <c r="H23" i="4888"/>
  <c r="H22" i="4888"/>
  <c r="H21" i="4888"/>
  <c r="H20" i="4888"/>
  <c r="H19" i="4888"/>
  <c r="H18" i="4888"/>
  <c r="H17" i="4888"/>
  <c r="H16" i="4888"/>
  <c r="H15" i="4888"/>
  <c r="H14" i="4888"/>
  <c r="H13" i="4888"/>
  <c r="H12" i="4888"/>
  <c r="H11" i="4888"/>
  <c r="H10" i="4888"/>
  <c r="H9" i="4888"/>
  <c r="H8" i="4888"/>
  <c r="A322" i="4888"/>
  <c r="B322" i="4888"/>
  <c r="C322" i="4888" s="1"/>
  <c r="H322" i="25580"/>
  <c r="H223" i="25580"/>
  <c r="H222" i="25580"/>
  <c r="H221" i="25580"/>
  <c r="H220" i="25580"/>
  <c r="H219" i="25580"/>
  <c r="H218" i="25580"/>
  <c r="H217" i="25580"/>
  <c r="H216" i="25580"/>
  <c r="H215" i="25580"/>
  <c r="H214" i="25580"/>
  <c r="H213" i="25580"/>
  <c r="H212" i="25580"/>
  <c r="H211" i="25580"/>
  <c r="H210" i="25580"/>
  <c r="H209" i="25580"/>
  <c r="H208" i="25580"/>
  <c r="H207" i="25580"/>
  <c r="H206" i="25580"/>
  <c r="H205" i="25580"/>
  <c r="H204" i="25580"/>
  <c r="H203" i="25580"/>
  <c r="H202" i="25580"/>
  <c r="H201" i="25580"/>
  <c r="H200" i="25580"/>
  <c r="H199" i="25580"/>
  <c r="H198" i="25580"/>
  <c r="H197" i="25580"/>
  <c r="H196" i="25580"/>
  <c r="H195" i="25580"/>
  <c r="H194" i="25580"/>
  <c r="H193" i="25580"/>
  <c r="H192" i="25580"/>
  <c r="H191" i="25580"/>
  <c r="H190" i="25580"/>
  <c r="H189" i="25580"/>
  <c r="H188" i="25580"/>
  <c r="H187" i="25580"/>
  <c r="H186" i="25580"/>
  <c r="H185" i="25580"/>
  <c r="H184" i="25580"/>
  <c r="H183" i="25580"/>
  <c r="H182" i="25580"/>
  <c r="H181" i="25580"/>
  <c r="H180" i="25580"/>
  <c r="H179" i="25580"/>
  <c r="H178" i="25580"/>
  <c r="H177" i="25580"/>
  <c r="H176" i="25580"/>
  <c r="H175" i="25580"/>
  <c r="H174" i="25580"/>
  <c r="H173" i="25580"/>
  <c r="H172" i="25580"/>
  <c r="H171" i="25580"/>
  <c r="H170" i="25580"/>
  <c r="H169" i="25580"/>
  <c r="H168" i="25580"/>
  <c r="H167" i="25580"/>
  <c r="H166" i="25580"/>
  <c r="H165" i="25580"/>
  <c r="H164" i="25580"/>
  <c r="H163" i="25580"/>
  <c r="H162" i="25580"/>
  <c r="H161" i="25580"/>
  <c r="H160" i="25580"/>
  <c r="H159" i="25580"/>
  <c r="H158" i="25580"/>
  <c r="H157" i="25580"/>
  <c r="H156" i="25580"/>
  <c r="H155" i="25580"/>
  <c r="H154" i="25580"/>
  <c r="H153" i="25580"/>
  <c r="H152" i="25580"/>
  <c r="H151" i="25580"/>
  <c r="H150" i="25580"/>
  <c r="H149" i="25580"/>
  <c r="H148" i="25580"/>
  <c r="H147" i="25580"/>
  <c r="H146" i="25580"/>
  <c r="H145" i="25580"/>
  <c r="H144" i="25580"/>
  <c r="H143" i="25580"/>
  <c r="H142" i="25580"/>
  <c r="H141" i="25580"/>
  <c r="H140" i="25580"/>
  <c r="H139" i="25580"/>
  <c r="H138" i="25580"/>
  <c r="H137" i="25580"/>
  <c r="H136" i="25580"/>
  <c r="H135" i="25580"/>
  <c r="H134" i="25580"/>
  <c r="H133" i="25580"/>
  <c r="H132" i="25580"/>
  <c r="H131" i="25580"/>
  <c r="H130" i="25580"/>
  <c r="H129" i="25580"/>
  <c r="H128" i="25580"/>
  <c r="H127" i="25580"/>
  <c r="H126" i="25580"/>
  <c r="H125" i="25580"/>
  <c r="H124" i="25580"/>
  <c r="H123" i="25580"/>
  <c r="H122" i="25580"/>
  <c r="H121" i="25580"/>
  <c r="H120" i="25580"/>
  <c r="H119" i="25580"/>
  <c r="H118" i="25580"/>
  <c r="H117" i="25580"/>
  <c r="H116" i="25580"/>
  <c r="H115" i="25580"/>
  <c r="H114" i="25580"/>
  <c r="H113" i="25580"/>
  <c r="H112" i="25580"/>
  <c r="H111" i="25580"/>
  <c r="H110" i="25580"/>
  <c r="H109" i="25580"/>
  <c r="H108" i="25580"/>
  <c r="H107" i="25580"/>
  <c r="H106" i="25580"/>
  <c r="H105" i="25580"/>
  <c r="H104" i="25580"/>
  <c r="H103" i="25580"/>
  <c r="H102" i="25580"/>
  <c r="H101" i="25580"/>
  <c r="H100" i="25580"/>
  <c r="H99" i="25580"/>
  <c r="H98" i="25580"/>
  <c r="H97" i="25580"/>
  <c r="H96" i="25580"/>
  <c r="H95" i="25580"/>
  <c r="H94" i="25580"/>
  <c r="H93" i="25580"/>
  <c r="H92" i="25580"/>
  <c r="H91" i="25580"/>
  <c r="H90" i="25580"/>
  <c r="H89" i="25580"/>
  <c r="H88" i="25580"/>
  <c r="H87" i="25580"/>
  <c r="H86" i="25580"/>
  <c r="H85" i="25580"/>
  <c r="H84" i="25580"/>
  <c r="H83" i="25580"/>
  <c r="H82" i="25580"/>
  <c r="H81" i="25580"/>
  <c r="H80" i="25580"/>
  <c r="H79" i="25580"/>
  <c r="H78" i="25580"/>
  <c r="H77" i="25580"/>
  <c r="H76" i="25580"/>
  <c r="H75" i="25580"/>
  <c r="H74" i="25580"/>
  <c r="H73" i="25580"/>
  <c r="H72" i="25580"/>
  <c r="H71" i="25580"/>
  <c r="H70" i="25580"/>
  <c r="H69" i="25580"/>
  <c r="H68" i="25580"/>
  <c r="H67" i="25580"/>
  <c r="H66" i="25580"/>
  <c r="H65" i="25580"/>
  <c r="H64" i="25580"/>
  <c r="H63" i="25580"/>
  <c r="H62" i="25580"/>
  <c r="H61" i="25580"/>
  <c r="H60" i="25580"/>
  <c r="H59" i="25580"/>
  <c r="H58" i="25580"/>
  <c r="H57" i="25580"/>
  <c r="H56" i="25580"/>
  <c r="H55" i="25580"/>
  <c r="H54" i="25580"/>
  <c r="H53" i="25580"/>
  <c r="H52" i="25580"/>
  <c r="H51" i="25580"/>
  <c r="H50" i="25580"/>
  <c r="H49" i="25580"/>
  <c r="H48" i="25580"/>
  <c r="H47" i="25580"/>
  <c r="H46" i="25580"/>
  <c r="H45" i="25580"/>
  <c r="H44" i="25580"/>
  <c r="H43" i="25580"/>
  <c r="H42" i="25580"/>
  <c r="H41" i="25580"/>
  <c r="H40" i="25580"/>
  <c r="H39" i="25580"/>
  <c r="H38" i="25580"/>
  <c r="H37" i="25580"/>
  <c r="H36" i="25580"/>
  <c r="H35" i="25580"/>
  <c r="H34" i="25580"/>
  <c r="H33" i="25580"/>
  <c r="H32" i="25580"/>
  <c r="H31" i="25580"/>
  <c r="H30" i="25580"/>
  <c r="H29" i="25580"/>
  <c r="H28" i="25580"/>
  <c r="H27" i="25580"/>
  <c r="H26" i="25580"/>
  <c r="H25" i="25580"/>
  <c r="H24" i="25580"/>
  <c r="H23" i="25580"/>
  <c r="H22" i="25580"/>
  <c r="H21" i="25580"/>
  <c r="H20" i="25580"/>
  <c r="H19" i="25580"/>
  <c r="H18" i="25580"/>
  <c r="H17" i="25580"/>
  <c r="H16" i="25580"/>
  <c r="H15" i="25580"/>
  <c r="H14" i="25580"/>
  <c r="H13" i="25580"/>
  <c r="H12" i="25580"/>
  <c r="H11" i="25580"/>
  <c r="H10" i="25580"/>
  <c r="H9" i="25580"/>
  <c r="H8" i="25580"/>
  <c r="A322" i="25580"/>
  <c r="B322" i="25580"/>
  <c r="C322" i="25580" s="1"/>
  <c r="H110" i="25585"/>
  <c r="B110" i="25585"/>
  <c r="A110" i="25585"/>
  <c r="H110" i="25586"/>
  <c r="B110" i="25586"/>
  <c r="A110" i="25586"/>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T1475" i="1"/>
  <c r="T908" i="1"/>
  <c r="S125" i="1"/>
  <c r="T125" i="1" s="1"/>
  <c r="S187" i="1"/>
  <c r="S373" i="1"/>
  <c r="S437" i="1"/>
  <c r="U532" i="1"/>
  <c r="U579" i="1"/>
  <c r="V579" i="1" s="1"/>
  <c r="S846" i="1"/>
  <c r="T846" i="1" s="1"/>
  <c r="S1032" i="1"/>
  <c r="S1097" i="1"/>
  <c r="S1145" i="1"/>
  <c r="S1193" i="1"/>
  <c r="S1396" i="1"/>
  <c r="T1396" i="1" s="1"/>
  <c r="U1428" i="1"/>
  <c r="V1428" i="1" s="1"/>
  <c r="S1616" i="1"/>
  <c r="T1616" i="1" s="1"/>
  <c r="S63" i="1"/>
  <c r="T63" i="1" s="1"/>
  <c r="Q596" i="1"/>
  <c r="R596" i="1" s="1"/>
  <c r="Q658" i="1"/>
  <c r="Q1211" i="1"/>
  <c r="S1569" i="1"/>
  <c r="T1569" i="1"/>
  <c r="S1522" i="1"/>
  <c r="T1522" i="1" s="1"/>
  <c r="R1211" i="1"/>
  <c r="T1193" i="1"/>
  <c r="T1145" i="1"/>
  <c r="T1097" i="1"/>
  <c r="T1032" i="1"/>
  <c r="S970" i="1"/>
  <c r="T970" i="1" s="1"/>
  <c r="R658" i="1"/>
  <c r="V532" i="1"/>
  <c r="T437" i="1"/>
  <c r="T373" i="1"/>
  <c r="T187" i="1"/>
  <c r="A322" i="3"/>
  <c r="H12" i="25587" l="1"/>
  <c r="H20" i="25587"/>
  <c r="H28" i="25587"/>
  <c r="H36" i="25587"/>
  <c r="H44" i="25587"/>
  <c r="H52" i="25587"/>
  <c r="H60" i="25587"/>
  <c r="H68" i="25587"/>
  <c r="H76" i="25587"/>
  <c r="H84" i="25587"/>
  <c r="H92" i="25587"/>
  <c r="H100" i="25587"/>
  <c r="H108" i="25587"/>
  <c r="H116" i="25587"/>
  <c r="H124" i="25587"/>
  <c r="H132" i="25587"/>
  <c r="H140" i="25587"/>
  <c r="H148" i="25587"/>
  <c r="H156" i="25587"/>
  <c r="H164" i="25587"/>
  <c r="H172" i="25587"/>
  <c r="H180" i="25587"/>
  <c r="H188" i="25587"/>
  <c r="H196" i="25587"/>
  <c r="H204" i="25587"/>
  <c r="H212" i="25587"/>
  <c r="H220" i="25587"/>
  <c r="H13" i="25587"/>
  <c r="H21" i="25587"/>
  <c r="H29" i="25587"/>
  <c r="H37" i="25587"/>
  <c r="H45" i="25587"/>
  <c r="H53" i="25587"/>
  <c r="H61" i="25587"/>
  <c r="H69" i="25587"/>
  <c r="H77" i="25587"/>
  <c r="H85" i="25587"/>
  <c r="H93" i="25587"/>
  <c r="H101" i="25587"/>
  <c r="H109" i="25587"/>
  <c r="H117" i="25587"/>
  <c r="H125" i="25587"/>
  <c r="H133" i="25587"/>
  <c r="H141" i="25587"/>
  <c r="H149" i="25587"/>
  <c r="H157" i="25587"/>
  <c r="H165" i="25587"/>
  <c r="H173" i="25587"/>
  <c r="H181" i="25587"/>
  <c r="H189" i="25587"/>
  <c r="H197" i="25587"/>
  <c r="H205" i="25587"/>
  <c r="H213" i="25587"/>
  <c r="H221" i="25587"/>
  <c r="H14" i="25587"/>
  <c r="H22" i="25587"/>
  <c r="H30" i="25587"/>
  <c r="H38" i="25587"/>
  <c r="H46" i="25587"/>
  <c r="H54" i="25587"/>
  <c r="H62" i="25587"/>
  <c r="H70" i="25587"/>
  <c r="H78" i="25587"/>
  <c r="H86" i="25587"/>
  <c r="H94" i="25587"/>
  <c r="H102" i="25587"/>
  <c r="H110" i="25587"/>
  <c r="H118" i="25587"/>
  <c r="H126" i="25587"/>
  <c r="H134" i="25587"/>
  <c r="H142" i="25587"/>
  <c r="H150" i="25587"/>
  <c r="H158" i="25587"/>
  <c r="H166" i="25587"/>
  <c r="H174" i="25587"/>
  <c r="H182" i="25587"/>
  <c r="H190" i="25587"/>
  <c r="H198" i="25587"/>
  <c r="H206" i="25587"/>
  <c r="H214" i="25587"/>
  <c r="H222" i="25587"/>
  <c r="H15" i="25587"/>
  <c r="H23" i="25587"/>
  <c r="H31" i="25587"/>
  <c r="H39" i="25587"/>
  <c r="H47" i="25587"/>
  <c r="H55" i="25587"/>
  <c r="H63" i="25587"/>
  <c r="H71" i="25587"/>
  <c r="H79" i="25587"/>
  <c r="H87" i="25587"/>
  <c r="H95" i="25587"/>
  <c r="H103" i="25587"/>
  <c r="H111" i="25587"/>
  <c r="H119" i="25587"/>
  <c r="H127" i="25587"/>
  <c r="H135" i="25587"/>
  <c r="H143" i="25587"/>
  <c r="H151" i="25587"/>
  <c r="H159" i="25587"/>
  <c r="H167" i="25587"/>
  <c r="H175" i="25587"/>
  <c r="H183" i="25587"/>
  <c r="H191" i="25587"/>
  <c r="H199" i="25587"/>
  <c r="H207" i="25587"/>
  <c r="H215" i="25587"/>
  <c r="H223" i="25587"/>
  <c r="D14" i="9728"/>
  <c r="H8" i="25587"/>
  <c r="H16" i="25587"/>
  <c r="H24" i="25587"/>
  <c r="H32" i="25587"/>
  <c r="H40" i="25587"/>
  <c r="H48" i="25587"/>
  <c r="H56" i="25587"/>
  <c r="H64" i="25587"/>
  <c r="H72" i="25587"/>
  <c r="H80" i="25587"/>
  <c r="H88" i="25587"/>
  <c r="H96" i="25587"/>
  <c r="H104" i="25587"/>
  <c r="H112" i="25587"/>
  <c r="H120" i="25587"/>
  <c r="H128" i="25587"/>
  <c r="H136" i="25587"/>
  <c r="H144" i="25587"/>
  <c r="H152" i="25587"/>
  <c r="H160" i="25587"/>
  <c r="H168" i="25587"/>
  <c r="H176" i="25587"/>
  <c r="H184" i="25587"/>
  <c r="H192" i="25587"/>
  <c r="H200" i="25587"/>
  <c r="H208" i="25587"/>
  <c r="H216" i="25587"/>
  <c r="H322" i="25587"/>
  <c r="H9" i="25587"/>
  <c r="H17" i="25587"/>
  <c r="H25" i="25587"/>
  <c r="H33" i="25587"/>
  <c r="H41" i="25587"/>
  <c r="H49" i="25587"/>
  <c r="H57" i="25587"/>
  <c r="H65" i="25587"/>
  <c r="H73" i="25587"/>
  <c r="H81" i="25587"/>
  <c r="H89" i="25587"/>
  <c r="H97" i="25587"/>
  <c r="H105" i="25587"/>
  <c r="H113" i="25587"/>
  <c r="H121" i="25587"/>
  <c r="H129" i="25587"/>
  <c r="H137" i="25587"/>
  <c r="H145" i="25587"/>
  <c r="H153" i="25587"/>
  <c r="H161" i="25587"/>
  <c r="H169" i="25587"/>
  <c r="H177" i="25587"/>
  <c r="H185" i="25587"/>
  <c r="H193" i="25587"/>
  <c r="H201" i="25587"/>
  <c r="H209" i="25587"/>
  <c r="H217" i="25587"/>
  <c r="H10" i="25587"/>
  <c r="H18" i="25587"/>
  <c r="H26" i="25587"/>
  <c r="H34" i="25587"/>
  <c r="H42" i="25587"/>
  <c r="H50" i="25587"/>
  <c r="H58" i="25587"/>
  <c r="H66" i="25587"/>
  <c r="H74" i="25587"/>
  <c r="H82" i="25587"/>
  <c r="H90" i="25587"/>
  <c r="H98" i="25587"/>
  <c r="H106" i="25587"/>
  <c r="H114" i="25587"/>
  <c r="H122" i="25587"/>
  <c r="H130" i="25587"/>
  <c r="H138" i="25587"/>
  <c r="H146" i="25587"/>
  <c r="H154" i="25587"/>
  <c r="H162" i="25587"/>
  <c r="H170" i="25587"/>
  <c r="H178" i="25587"/>
  <c r="H186" i="25587"/>
  <c r="H194" i="25587"/>
  <c r="H202" i="25587"/>
  <c r="H210" i="25587"/>
  <c r="H218" i="25587"/>
  <c r="H11" i="25588"/>
  <c r="H19" i="25588"/>
  <c r="H27" i="25588"/>
  <c r="H35" i="25588"/>
  <c r="H43" i="25588"/>
  <c r="H51" i="25588"/>
  <c r="H59" i="25588"/>
  <c r="H67" i="25588"/>
  <c r="H75" i="25588"/>
  <c r="H83" i="25588"/>
  <c r="H91" i="25588"/>
  <c r="H99" i="25588"/>
  <c r="H107" i="25588"/>
  <c r="H115" i="25588"/>
  <c r="H123" i="25588"/>
  <c r="H131" i="25588"/>
  <c r="H139" i="25588"/>
  <c r="H147" i="25588"/>
  <c r="H165" i="25588"/>
  <c r="H253" i="25588"/>
  <c r="H12" i="25588"/>
  <c r="H20" i="25588"/>
  <c r="H28" i="25588"/>
  <c r="H36" i="25588"/>
  <c r="H44" i="25588"/>
  <c r="H52" i="25588"/>
  <c r="H60" i="25588"/>
  <c r="H68" i="25588"/>
  <c r="H76" i="25588"/>
  <c r="H84" i="25588"/>
  <c r="H92" i="25588"/>
  <c r="H100" i="25588"/>
  <c r="H108" i="25588"/>
  <c r="H116" i="25588"/>
  <c r="H124" i="25588"/>
  <c r="H132" i="25588"/>
  <c r="H140" i="25588"/>
  <c r="H148" i="25588"/>
  <c r="H166" i="25588"/>
  <c r="D28" i="9728"/>
  <c r="H13" i="25588"/>
  <c r="H21" i="25588"/>
  <c r="H29" i="25588"/>
  <c r="H37" i="25588"/>
  <c r="H45" i="25588"/>
  <c r="H53" i="25588"/>
  <c r="H61" i="25588"/>
  <c r="H69" i="25588"/>
  <c r="H77" i="25588"/>
  <c r="H85" i="25588"/>
  <c r="H93" i="25588"/>
  <c r="H101" i="25588"/>
  <c r="H109" i="25588"/>
  <c r="H117" i="25588"/>
  <c r="H125" i="25588"/>
  <c r="H133" i="25588"/>
  <c r="H141" i="25588"/>
  <c r="H149" i="25588"/>
  <c r="H167" i="25588"/>
  <c r="H14" i="25588"/>
  <c r="H22" i="25588"/>
  <c r="H30" i="25588"/>
  <c r="H38" i="25588"/>
  <c r="H46" i="25588"/>
  <c r="H54" i="25588"/>
  <c r="H62" i="25588"/>
  <c r="H70" i="25588"/>
  <c r="H78" i="25588"/>
  <c r="H86" i="25588"/>
  <c r="H94" i="25588"/>
  <c r="H102" i="25588"/>
  <c r="H110" i="25588"/>
  <c r="H118" i="25588"/>
  <c r="H126" i="25588"/>
  <c r="H134" i="25588"/>
  <c r="H142" i="25588"/>
  <c r="H150" i="25588"/>
  <c r="H168" i="25588"/>
  <c r="H15" i="25588"/>
  <c r="H23" i="25588"/>
  <c r="H31" i="25588"/>
  <c r="H39" i="25588"/>
  <c r="H47" i="25588"/>
  <c r="H55" i="25588"/>
  <c r="H63" i="25588"/>
  <c r="H71" i="25588"/>
  <c r="H79" i="25588"/>
  <c r="H87" i="25588"/>
  <c r="H95" i="25588"/>
  <c r="H103" i="25588"/>
  <c r="H111" i="25588"/>
  <c r="H119" i="25588"/>
  <c r="H127" i="25588"/>
  <c r="H135" i="25588"/>
  <c r="H143" i="25588"/>
  <c r="H151" i="25588"/>
  <c r="H169" i="25588"/>
  <c r="H8" i="25588"/>
  <c r="H16" i="25588"/>
  <c r="H24" i="25588"/>
  <c r="H32" i="25588"/>
  <c r="H40" i="25588"/>
  <c r="H48" i="25588"/>
  <c r="H56" i="25588"/>
  <c r="H64" i="25588"/>
  <c r="H72" i="25588"/>
  <c r="H80" i="25588"/>
  <c r="H88" i="25588"/>
  <c r="H96" i="25588"/>
  <c r="H104" i="25588"/>
  <c r="H112" i="25588"/>
  <c r="H120" i="25588"/>
  <c r="H128" i="25588"/>
  <c r="H136" i="25588"/>
  <c r="H144" i="25588"/>
  <c r="H152" i="25588"/>
  <c r="H170" i="25588"/>
  <c r="H9" i="25588"/>
  <c r="H17" i="25588"/>
  <c r="H25" i="25588"/>
  <c r="H33" i="25588"/>
  <c r="H41" i="25588"/>
  <c r="H49" i="25588"/>
  <c r="H57" i="25588"/>
  <c r="H65" i="25588"/>
  <c r="H73" i="25588"/>
  <c r="H81" i="25588"/>
  <c r="H89" i="25588"/>
  <c r="H97" i="25588"/>
  <c r="H105" i="25588"/>
  <c r="H113" i="25588"/>
  <c r="H121" i="25588"/>
  <c r="H129" i="25588"/>
  <c r="H137" i="25588"/>
  <c r="H145" i="25588"/>
  <c r="H153" i="25588"/>
  <c r="H171" i="25588"/>
  <c r="G124" i="25584"/>
  <c r="F124" i="25584"/>
  <c r="E124" i="25584"/>
  <c r="D124" i="25584"/>
  <c r="G128" i="25583"/>
  <c r="F128" i="25583"/>
  <c r="E128" i="25583"/>
  <c r="D128" i="25583"/>
  <c r="E128" i="25582"/>
  <c r="G253" i="1024"/>
  <c r="F253" i="1024"/>
  <c r="E253" i="1024"/>
  <c r="C253" i="1024"/>
  <c r="D253" i="1024" s="1"/>
  <c r="G253" i="9216"/>
  <c r="F253" i="9216"/>
  <c r="G322" i="20994"/>
  <c r="F322" i="20994"/>
  <c r="E322" i="20994"/>
  <c r="C322" i="3"/>
  <c r="B123" i="25584"/>
  <c r="B127" i="25583"/>
  <c r="B127" i="25582"/>
  <c r="B252" i="1024"/>
  <c r="D322" i="3" l="1"/>
  <c r="F322" i="3"/>
  <c r="G322" i="3"/>
  <c r="H322" i="3"/>
  <c r="E322" i="3"/>
  <c r="B252" i="9216"/>
  <c r="B321" i="20994"/>
  <c r="B201" i="768"/>
  <c r="B109" i="25585"/>
  <c r="A109" i="25585"/>
  <c r="A321" i="25580" s="1"/>
  <c r="A321" i="4888" s="1"/>
  <c r="A201" i="10285" s="1"/>
  <c r="A201" i="768" s="1"/>
  <c r="A321" i="20994" s="1"/>
  <c r="A252" i="9216" s="1"/>
  <c r="A252" i="1024" s="1"/>
  <c r="A322" i="32" s="1"/>
  <c r="A252" i="2316" s="1"/>
  <c r="A252" i="2819" s="1"/>
  <c r="A321" i="2561" s="1"/>
  <c r="A252" i="523" s="1"/>
  <c r="A321" i="10541" s="1"/>
  <c r="A252" i="2048" s="1"/>
  <c r="A127" i="25582" s="1"/>
  <c r="A127" i="25583" s="1"/>
  <c r="A123" i="25584" s="1"/>
  <c r="A252" i="8196" s="1"/>
  <c r="A252" i="512" s="1"/>
  <c r="A321" i="25587" s="1"/>
  <c r="A252" i="25588" s="1"/>
  <c r="A252" i="25589" s="1"/>
  <c r="A252" i="25590" s="1"/>
  <c r="B109" i="25586"/>
  <c r="A109" i="25586"/>
  <c r="C321" i="3"/>
  <c r="S124" i="1"/>
  <c r="S186" i="1"/>
  <c r="B321" i="4888" s="1"/>
  <c r="W286" i="1"/>
  <c r="S372" i="1"/>
  <c r="B252" i="2316" s="1"/>
  <c r="S436" i="1"/>
  <c r="U531" i="1"/>
  <c r="B321" i="10541" s="1"/>
  <c r="U578" i="1"/>
  <c r="B201" i="10285" s="1"/>
  <c r="S845" i="1"/>
  <c r="S907" i="1"/>
  <c r="B321" i="25587" s="1"/>
  <c r="S1031" i="1"/>
  <c r="S1096" i="1"/>
  <c r="S1144" i="1"/>
  <c r="B252" i="523" s="1"/>
  <c r="S1192" i="1"/>
  <c r="B252" i="2048" s="1"/>
  <c r="S1395" i="1"/>
  <c r="U1427" i="1"/>
  <c r="V1427" i="1" s="1"/>
  <c r="S1474" i="1"/>
  <c r="B252" i="25588" s="1"/>
  <c r="S1615" i="1"/>
  <c r="S62" i="1"/>
  <c r="T62" i="1" s="1"/>
  <c r="Q595" i="1"/>
  <c r="R595" i="1" s="1"/>
  <c r="Q657" i="1"/>
  <c r="R657" i="1" s="1"/>
  <c r="Q1210" i="1"/>
  <c r="R1210" i="1" s="1"/>
  <c r="S1568" i="1"/>
  <c r="T1568" i="1"/>
  <c r="S1521" i="1"/>
  <c r="T1521" i="1" s="1"/>
  <c r="T1144" i="1"/>
  <c r="S969" i="1"/>
  <c r="T969" i="1"/>
  <c r="T907" i="1"/>
  <c r="V578" i="1"/>
  <c r="T372" i="1"/>
  <c r="T186" i="1"/>
  <c r="T124" i="1"/>
  <c r="H321" i="4888" l="1"/>
  <c r="D322" i="4888"/>
  <c r="I9" i="9728" s="1"/>
  <c r="H201" i="10285"/>
  <c r="D202" i="10285"/>
  <c r="I31" i="9728" s="1"/>
  <c r="H252" i="25588"/>
  <c r="D253" i="25588"/>
  <c r="I28" i="9728" s="1"/>
  <c r="H109" i="25586"/>
  <c r="D110" i="25586"/>
  <c r="I6" i="9728" s="1"/>
  <c r="T845" i="1"/>
  <c r="B252" i="8196"/>
  <c r="H252" i="2048"/>
  <c r="D253" i="2048"/>
  <c r="T436" i="1"/>
  <c r="B321" i="2561"/>
  <c r="H321" i="2561" s="1"/>
  <c r="H252" i="523"/>
  <c r="D253" i="523"/>
  <c r="I33" i="9728" s="1"/>
  <c r="D253" i="2316"/>
  <c r="I21" i="9728" s="1"/>
  <c r="H252" i="2316"/>
  <c r="H109" i="25585"/>
  <c r="D110" i="25585"/>
  <c r="I7" i="9728" s="1"/>
  <c r="D202" i="768"/>
  <c r="I32" i="9728" s="1"/>
  <c r="H201" i="768"/>
  <c r="T1395" i="1"/>
  <c r="B252" i="512"/>
  <c r="T1192" i="1"/>
  <c r="T1096" i="1"/>
  <c r="B252" i="2819"/>
  <c r="X286" i="1"/>
  <c r="B322" i="32"/>
  <c r="B321" i="25580"/>
  <c r="D322" i="10541"/>
  <c r="I13" i="9728" s="1"/>
  <c r="H321" i="10541"/>
  <c r="T1031" i="1"/>
  <c r="B252" i="25589"/>
  <c r="V531" i="1"/>
  <c r="T1474" i="1"/>
  <c r="T1615" i="1"/>
  <c r="B252" i="25590"/>
  <c r="H321" i="25587"/>
  <c r="D322" i="25587"/>
  <c r="I14" i="9728" s="1"/>
  <c r="E252" i="9216"/>
  <c r="B122" i="25584"/>
  <c r="B126" i="25583"/>
  <c r="B126" i="25582"/>
  <c r="B251" i="523"/>
  <c r="H251" i="523" s="1"/>
  <c r="B251" i="1024"/>
  <c r="B251" i="9216"/>
  <c r="B320" i="20994"/>
  <c r="E321" i="20994" s="1"/>
  <c r="B200" i="10285"/>
  <c r="H200" i="10285" s="1"/>
  <c r="B108" i="25585"/>
  <c r="H108" i="25585" s="1"/>
  <c r="B108" i="25586"/>
  <c r="H108" i="25586" s="1"/>
  <c r="A108" i="25586"/>
  <c r="A108" i="25585" s="1"/>
  <c r="A320" i="25580" s="1"/>
  <c r="A320" i="4888" s="1"/>
  <c r="A200" i="10285" s="1"/>
  <c r="A200" i="768" s="1"/>
  <c r="A320" i="20994" s="1"/>
  <c r="A251" i="9216" s="1"/>
  <c r="A251" i="1024" s="1"/>
  <c r="A321" i="32" s="1"/>
  <c r="A251" i="2316" s="1"/>
  <c r="A251" i="2819" s="1"/>
  <c r="A320" i="2561" s="1"/>
  <c r="A251" i="523" s="1"/>
  <c r="A320" i="10541" s="1"/>
  <c r="A251" i="2048" s="1"/>
  <c r="A126" i="25582" s="1"/>
  <c r="A126" i="25583" s="1"/>
  <c r="A122" i="25584" s="1"/>
  <c r="A251" i="8196" s="1"/>
  <c r="A251" i="512" s="1"/>
  <c r="A320" i="25587" s="1"/>
  <c r="A251" i="25588" s="1"/>
  <c r="A251" i="25589" s="1"/>
  <c r="A251" i="25590" s="1"/>
  <c r="C320" i="3"/>
  <c r="N384" i="1"/>
  <c r="N385" i="1"/>
  <c r="N386" i="1"/>
  <c r="N387" i="1"/>
  <c r="N388" i="1"/>
  <c r="N389" i="1"/>
  <c r="N390" i="1"/>
  <c r="N391" i="1"/>
  <c r="N392" i="1"/>
  <c r="N393" i="1"/>
  <c r="N394" i="1"/>
  <c r="L384" i="1"/>
  <c r="L385" i="1"/>
  <c r="L386" i="1"/>
  <c r="L387" i="1"/>
  <c r="L388" i="1"/>
  <c r="L389" i="1"/>
  <c r="L390" i="1"/>
  <c r="L391" i="1"/>
  <c r="L392" i="1"/>
  <c r="L393" i="1"/>
  <c r="L394" i="1"/>
  <c r="N383" i="1"/>
  <c r="L383" i="1"/>
  <c r="J384" i="1"/>
  <c r="J385" i="1"/>
  <c r="J386" i="1"/>
  <c r="J387" i="1"/>
  <c r="J388" i="1"/>
  <c r="J389" i="1"/>
  <c r="J390" i="1"/>
  <c r="J391" i="1"/>
  <c r="J392" i="1"/>
  <c r="J393" i="1"/>
  <c r="J394" i="1"/>
  <c r="J383" i="1"/>
  <c r="H384" i="1"/>
  <c r="H385" i="1"/>
  <c r="H386" i="1"/>
  <c r="H387" i="1"/>
  <c r="H388" i="1"/>
  <c r="H389" i="1"/>
  <c r="H390" i="1"/>
  <c r="H391" i="1"/>
  <c r="H392" i="1"/>
  <c r="H393" i="1"/>
  <c r="H394" i="1"/>
  <c r="H383" i="1"/>
  <c r="F384" i="1"/>
  <c r="F385" i="1"/>
  <c r="F386" i="1"/>
  <c r="F387" i="1"/>
  <c r="F388" i="1"/>
  <c r="F389" i="1"/>
  <c r="F390" i="1"/>
  <c r="F391" i="1"/>
  <c r="F392" i="1"/>
  <c r="F393" i="1"/>
  <c r="F394" i="1"/>
  <c r="F383" i="1"/>
  <c r="D391" i="1"/>
  <c r="D392" i="1"/>
  <c r="D393" i="1"/>
  <c r="D394" i="1"/>
  <c r="D390" i="1"/>
  <c r="S123" i="1"/>
  <c r="S185" i="1"/>
  <c r="T185" i="1" s="1"/>
  <c r="W285" i="1"/>
  <c r="B321" i="32" s="1"/>
  <c r="S371" i="1"/>
  <c r="B251" i="2316" s="1"/>
  <c r="H251" i="2316" s="1"/>
  <c r="S435" i="1"/>
  <c r="B320" i="2561" s="1"/>
  <c r="H320" i="2561" s="1"/>
  <c r="U530" i="1"/>
  <c r="B320" i="10541" s="1"/>
  <c r="H320" i="10541" s="1"/>
  <c r="U577" i="1"/>
  <c r="S844" i="1"/>
  <c r="B251" i="8196" s="1"/>
  <c r="H251" i="8196" s="1"/>
  <c r="S906" i="1"/>
  <c r="T906" i="1" s="1"/>
  <c r="S1030" i="1"/>
  <c r="T1030" i="1" s="1"/>
  <c r="S1095" i="1"/>
  <c r="B251" i="2819" s="1"/>
  <c r="H251" i="2819" s="1"/>
  <c r="S1143" i="1"/>
  <c r="T1143" i="1" s="1"/>
  <c r="S1191" i="1"/>
  <c r="T1191" i="1" s="1"/>
  <c r="S1394" i="1"/>
  <c r="T1394" i="1" s="1"/>
  <c r="U1426" i="1"/>
  <c r="B200" i="768" s="1"/>
  <c r="H200" i="768" s="1"/>
  <c r="S1473" i="1"/>
  <c r="B251" i="25588" s="1"/>
  <c r="H251" i="25588" s="1"/>
  <c r="S1614" i="1"/>
  <c r="T1614" i="1" s="1"/>
  <c r="S61" i="1"/>
  <c r="T61" i="1" s="1"/>
  <c r="Q594" i="1"/>
  <c r="Q656" i="1"/>
  <c r="R656" i="1" s="1"/>
  <c r="Q1209" i="1"/>
  <c r="S1567" i="1"/>
  <c r="T1567" i="1" s="1"/>
  <c r="S1520" i="1"/>
  <c r="T1520" i="1" s="1"/>
  <c r="V1426" i="1"/>
  <c r="R1209" i="1"/>
  <c r="T1095" i="1"/>
  <c r="S968" i="1"/>
  <c r="T968" i="1"/>
  <c r="R594" i="1"/>
  <c r="V577" i="1"/>
  <c r="V530" i="1"/>
  <c r="T435" i="1"/>
  <c r="X285" i="1"/>
  <c r="H252" i="25590" l="1"/>
  <c r="D253" i="25590"/>
  <c r="I30" i="9728" s="1"/>
  <c r="H321" i="25580"/>
  <c r="D322" i="25580"/>
  <c r="I8" i="9728" s="1"/>
  <c r="T371" i="1"/>
  <c r="B320" i="25580"/>
  <c r="H320" i="25580" s="1"/>
  <c r="B251" i="512"/>
  <c r="H251" i="512" s="1"/>
  <c r="H252" i="2819"/>
  <c r="D253" i="2819"/>
  <c r="I22" i="9728" s="1"/>
  <c r="H252" i="25589"/>
  <c r="D253" i="25589"/>
  <c r="I29" i="9728" s="1"/>
  <c r="H252" i="8196"/>
  <c r="D253" i="8196"/>
  <c r="I26" i="9728" s="1"/>
  <c r="T1473" i="1"/>
  <c r="D253" i="512"/>
  <c r="I27" i="9728" s="1"/>
  <c r="H252" i="512"/>
  <c r="D123" i="25584"/>
  <c r="D127" i="25583"/>
  <c r="D127" i="25582"/>
  <c r="E252" i="1024"/>
  <c r="D109" i="25586"/>
  <c r="E321" i="3"/>
  <c r="D322" i="32"/>
  <c r="D252" i="25588"/>
  <c r="D252" i="2819"/>
  <c r="D252" i="8196"/>
  <c r="D321" i="10541"/>
  <c r="D252" i="2316"/>
  <c r="B320" i="25587"/>
  <c r="H320" i="25587" s="1"/>
  <c r="T844" i="1"/>
  <c r="D201" i="768"/>
  <c r="B251" i="2048"/>
  <c r="H251" i="2048" s="1"/>
  <c r="B251" i="25589"/>
  <c r="H251" i="25589" s="1"/>
  <c r="B251" i="25590"/>
  <c r="H251" i="25590" s="1"/>
  <c r="D201" i="10285"/>
  <c r="D252" i="523"/>
  <c r="D109" i="25585"/>
  <c r="T123" i="1"/>
  <c r="B320" i="4888"/>
  <c r="E320" i="20994"/>
  <c r="E320" i="3"/>
  <c r="B121" i="25584"/>
  <c r="B125" i="25583"/>
  <c r="B125" i="25582"/>
  <c r="B250" i="1024"/>
  <c r="B250" i="9216"/>
  <c r="B319" i="20994"/>
  <c r="B107" i="25585"/>
  <c r="H107" i="25585" s="1"/>
  <c r="B107" i="25586"/>
  <c r="H107" i="25586" s="1"/>
  <c r="A107" i="25586"/>
  <c r="A107" i="25585" s="1"/>
  <c r="A319" i="25580" s="1"/>
  <c r="A319" i="4888" s="1"/>
  <c r="A199" i="10285" s="1"/>
  <c r="A199" i="768" s="1"/>
  <c r="A319" i="20994" s="1"/>
  <c r="A250" i="9216" s="1"/>
  <c r="A250" i="1024" s="1"/>
  <c r="A320" i="32" s="1"/>
  <c r="A250" i="2316" s="1"/>
  <c r="A250" i="2819" s="1"/>
  <c r="A319" i="2561" s="1"/>
  <c r="A250" i="523" s="1"/>
  <c r="A319" i="10541" s="1"/>
  <c r="A250" i="2048" s="1"/>
  <c r="A125" i="25582" s="1"/>
  <c r="A125" i="25583" s="1"/>
  <c r="A121" i="25584" s="1"/>
  <c r="A250" i="8196" s="1"/>
  <c r="A250" i="512" s="1"/>
  <c r="A319" i="25587" s="1"/>
  <c r="A250" i="25588" s="1"/>
  <c r="A250" i="25589" s="1"/>
  <c r="A250" i="25590" s="1"/>
  <c r="C319" i="3"/>
  <c r="S60" i="1"/>
  <c r="T60" i="1" s="1"/>
  <c r="Q593" i="1"/>
  <c r="Q655" i="1"/>
  <c r="Q1208" i="1"/>
  <c r="R1208" i="1" s="1"/>
  <c r="S122" i="1"/>
  <c r="S184" i="1"/>
  <c r="W284" i="1"/>
  <c r="S370" i="1"/>
  <c r="B250" i="2316" s="1"/>
  <c r="H250" i="2316" s="1"/>
  <c r="S434" i="1"/>
  <c r="B319" i="2561" s="1"/>
  <c r="H319" i="2561" s="1"/>
  <c r="U529" i="1"/>
  <c r="B319" i="10541" s="1"/>
  <c r="H319" i="10541" s="1"/>
  <c r="U576" i="1"/>
  <c r="B199" i="10285" s="1"/>
  <c r="H199" i="10285" s="1"/>
  <c r="S843" i="1"/>
  <c r="S905" i="1"/>
  <c r="S1029" i="1"/>
  <c r="S1094" i="1"/>
  <c r="B250" i="2819" s="1"/>
  <c r="H250" i="2819" s="1"/>
  <c r="S1142" i="1"/>
  <c r="B250" i="523" s="1"/>
  <c r="H250" i="523" s="1"/>
  <c r="S1190" i="1"/>
  <c r="B250" i="2048" s="1"/>
  <c r="H250" i="2048" s="1"/>
  <c r="S1393" i="1"/>
  <c r="B250" i="512" s="1"/>
  <c r="H250" i="512" s="1"/>
  <c r="U1425" i="1"/>
  <c r="B199" i="768" s="1"/>
  <c r="H199" i="768" s="1"/>
  <c r="S1472" i="1"/>
  <c r="S1613" i="1"/>
  <c r="B250" i="25590" s="1"/>
  <c r="H250" i="25590" s="1"/>
  <c r="S1566" i="1"/>
  <c r="T1566" i="1" s="1"/>
  <c r="S1519" i="1"/>
  <c r="T1519" i="1" s="1"/>
  <c r="T1142" i="1"/>
  <c r="S967" i="1"/>
  <c r="T967" i="1" s="1"/>
  <c r="R655" i="1"/>
  <c r="R593" i="1"/>
  <c r="V576" i="1"/>
  <c r="T370" i="1"/>
  <c r="T1190" i="1" l="1"/>
  <c r="D252" i="512"/>
  <c r="T434" i="1"/>
  <c r="D321" i="25580"/>
  <c r="H320" i="4888"/>
  <c r="D122" i="25584"/>
  <c r="D126" i="25583"/>
  <c r="E251" i="1024"/>
  <c r="D321" i="4888"/>
  <c r="D252" i="25590"/>
  <c r="D321" i="25587"/>
  <c r="D252" i="25589"/>
  <c r="T122" i="1"/>
  <c r="D252" i="2048"/>
  <c r="T1393" i="1"/>
  <c r="V529" i="1"/>
  <c r="D126" i="25582"/>
  <c r="E251" i="9216"/>
  <c r="D251" i="512"/>
  <c r="D200" i="10285"/>
  <c r="D200" i="768"/>
  <c r="D320" i="10541"/>
  <c r="D108" i="25585"/>
  <c r="D251" i="523"/>
  <c r="D251" i="2819"/>
  <c r="V1425" i="1"/>
  <c r="D251" i="2316"/>
  <c r="D108" i="25586"/>
  <c r="D251" i="25590"/>
  <c r="D251" i="2048"/>
  <c r="X284" i="1"/>
  <c r="B320" i="32"/>
  <c r="T1613" i="1"/>
  <c r="T1029" i="1"/>
  <c r="B250" i="25589"/>
  <c r="H250" i="25589" s="1"/>
  <c r="T184" i="1"/>
  <c r="B319" i="4888"/>
  <c r="B319" i="25580"/>
  <c r="H319" i="25580" s="1"/>
  <c r="T1094" i="1"/>
  <c r="T905" i="1"/>
  <c r="B319" i="25587"/>
  <c r="H319" i="25587" s="1"/>
  <c r="T1472" i="1"/>
  <c r="B250" i="25588"/>
  <c r="H250" i="25588" s="1"/>
  <c r="T843" i="1"/>
  <c r="B250" i="8196"/>
  <c r="H250" i="8196" s="1"/>
  <c r="B120" i="25584"/>
  <c r="B124" i="25583"/>
  <c r="B124" i="25582"/>
  <c r="B249" i="1024"/>
  <c r="B249" i="9216"/>
  <c r="B318" i="20994"/>
  <c r="H319" i="4888" l="1"/>
  <c r="D121" i="25584"/>
  <c r="D320" i="25587"/>
  <c r="D321" i="32"/>
  <c r="D320" i="25580"/>
  <c r="D320" i="4888"/>
  <c r="D251" i="8196"/>
  <c r="D251" i="25588"/>
  <c r="D251" i="25589"/>
  <c r="D125" i="25583"/>
  <c r="D125" i="25582"/>
  <c r="E250" i="1024"/>
  <c r="E250" i="9216"/>
  <c r="E319" i="20994"/>
  <c r="B106" i="25585"/>
  <c r="H106" i="25585" s="1"/>
  <c r="B106" i="25586"/>
  <c r="H106" i="25586" s="1"/>
  <c r="A106" i="25586"/>
  <c r="A106" i="25585" s="1"/>
  <c r="A318" i="25580" s="1"/>
  <c r="A318" i="4888" s="1"/>
  <c r="A198" i="10285" s="1"/>
  <c r="A198" i="768" s="1"/>
  <c r="A318" i="20994" s="1"/>
  <c r="A249" i="9216" s="1"/>
  <c r="A249" i="1024" s="1"/>
  <c r="A319" i="32" s="1"/>
  <c r="A249" i="2316" s="1"/>
  <c r="A249" i="2819" s="1"/>
  <c r="A318" i="2561" s="1"/>
  <c r="A249" i="523" s="1"/>
  <c r="A318" i="10541" s="1"/>
  <c r="A249" i="2048" s="1"/>
  <c r="A124" i="25582" s="1"/>
  <c r="A124" i="25583" s="1"/>
  <c r="A120" i="25584" s="1"/>
  <c r="A249" i="8196" s="1"/>
  <c r="A249" i="512" s="1"/>
  <c r="A318" i="25587" s="1"/>
  <c r="A249" i="25588" s="1"/>
  <c r="A249" i="25589" s="1"/>
  <c r="A249" i="25590" s="1"/>
  <c r="C318" i="3"/>
  <c r="Q1207" i="1"/>
  <c r="R1207" i="1" s="1"/>
  <c r="Q654" i="1"/>
  <c r="Q592" i="1"/>
  <c r="S59" i="1"/>
  <c r="T59" i="1" s="1"/>
  <c r="S1612" i="1"/>
  <c r="B249" i="25590" s="1"/>
  <c r="H249" i="25590" s="1"/>
  <c r="S1471" i="1"/>
  <c r="B249" i="25588" s="1"/>
  <c r="H249" i="25588" s="1"/>
  <c r="U1424" i="1"/>
  <c r="B198" i="768" s="1"/>
  <c r="H198" i="768" s="1"/>
  <c r="S1392" i="1"/>
  <c r="B249" i="512" s="1"/>
  <c r="H249" i="512" s="1"/>
  <c r="S1189" i="1"/>
  <c r="S1141" i="1"/>
  <c r="S1093" i="1"/>
  <c r="S1028" i="1"/>
  <c r="S904" i="1"/>
  <c r="B318" i="25587" s="1"/>
  <c r="H318" i="25587" s="1"/>
  <c r="S842" i="1"/>
  <c r="B249" i="8196" s="1"/>
  <c r="H249" i="8196" s="1"/>
  <c r="U575" i="1"/>
  <c r="B198" i="10285" s="1"/>
  <c r="H198" i="10285" s="1"/>
  <c r="U528" i="1"/>
  <c r="B318" i="10541" s="1"/>
  <c r="H318" i="10541" s="1"/>
  <c r="S433" i="1"/>
  <c r="B318" i="2561" s="1"/>
  <c r="H318" i="2561" s="1"/>
  <c r="S369" i="1"/>
  <c r="B249" i="2316" s="1"/>
  <c r="H249" i="2316" s="1"/>
  <c r="S183" i="1"/>
  <c r="T183" i="1" s="1"/>
  <c r="S121" i="1"/>
  <c r="T1612" i="1"/>
  <c r="S1565" i="1"/>
  <c r="T1565" i="1" s="1"/>
  <c r="S1518" i="1"/>
  <c r="T1518" i="1" s="1"/>
  <c r="S966" i="1"/>
  <c r="T966" i="1"/>
  <c r="R654" i="1"/>
  <c r="R592" i="1"/>
  <c r="T433" i="1"/>
  <c r="D319" i="25587" l="1"/>
  <c r="E319" i="3"/>
  <c r="D250" i="25590"/>
  <c r="D107" i="25585"/>
  <c r="B318" i="25580"/>
  <c r="H318" i="25580" s="1"/>
  <c r="D250" i="8196"/>
  <c r="T842" i="1"/>
  <c r="D250" i="25588"/>
  <c r="T904" i="1"/>
  <c r="D250" i="2316"/>
  <c r="D107" i="25586"/>
  <c r="D319" i="10541"/>
  <c r="D250" i="512"/>
  <c r="T121" i="1"/>
  <c r="D199" i="10285"/>
  <c r="D199" i="768"/>
  <c r="T1028" i="1"/>
  <c r="B249" i="25589"/>
  <c r="H249" i="25589" s="1"/>
  <c r="T369" i="1"/>
  <c r="V528" i="1"/>
  <c r="T1392" i="1"/>
  <c r="T1093" i="1"/>
  <c r="B249" i="2819"/>
  <c r="H249" i="2819" s="1"/>
  <c r="V1424" i="1"/>
  <c r="T1471" i="1"/>
  <c r="T1189" i="1"/>
  <c r="B249" i="2048"/>
  <c r="H249" i="2048" s="1"/>
  <c r="B318" i="4888"/>
  <c r="V575" i="1"/>
  <c r="T1141" i="1"/>
  <c r="B249" i="523"/>
  <c r="H249" i="523" s="1"/>
  <c r="B119" i="25584"/>
  <c r="B123" i="25583"/>
  <c r="B123" i="25582"/>
  <c r="B248" i="1024"/>
  <c r="B248" i="9216"/>
  <c r="B317" i="20994"/>
  <c r="B105" i="25585"/>
  <c r="H105" i="25585" s="1"/>
  <c r="B105" i="25586"/>
  <c r="H105" i="25586" s="1"/>
  <c r="A105" i="25586"/>
  <c r="A105" i="25585" s="1"/>
  <c r="A317" i="25580" s="1"/>
  <c r="A317" i="4888" s="1"/>
  <c r="A197" i="10285" s="1"/>
  <c r="A197" i="768" s="1"/>
  <c r="A317" i="20994" s="1"/>
  <c r="A248" i="9216" s="1"/>
  <c r="A248" i="1024" s="1"/>
  <c r="A318" i="32" s="1"/>
  <c r="A248" i="2316" s="1"/>
  <c r="A248" i="2819" s="1"/>
  <c r="A317" i="2561" s="1"/>
  <c r="A248" i="523" s="1"/>
  <c r="A317" i="10541" s="1"/>
  <c r="A248" i="2048" s="1"/>
  <c r="A123" i="25582" s="1"/>
  <c r="A123" i="25583" s="1"/>
  <c r="A119" i="25584" s="1"/>
  <c r="A248" i="8196" s="1"/>
  <c r="A248" i="512" s="1"/>
  <c r="A317" i="25587" s="1"/>
  <c r="A248" i="25588" s="1"/>
  <c r="A248" i="25589" s="1"/>
  <c r="A248" i="25590" s="1"/>
  <c r="C317" i="3"/>
  <c r="S58" i="1"/>
  <c r="Q591" i="1"/>
  <c r="Q653" i="1"/>
  <c r="R653" i="1" s="1"/>
  <c r="Q1206" i="1"/>
  <c r="S120" i="1"/>
  <c r="S182" i="1"/>
  <c r="B317" i="4888" s="1"/>
  <c r="W282" i="1"/>
  <c r="X282" i="1" s="1"/>
  <c r="S368" i="1"/>
  <c r="B248" i="2316" s="1"/>
  <c r="H248" i="2316" s="1"/>
  <c r="S432" i="1"/>
  <c r="B317" i="2561" s="1"/>
  <c r="H317" i="2561" s="1"/>
  <c r="U527" i="1"/>
  <c r="B317" i="10541" s="1"/>
  <c r="H317" i="10541" s="1"/>
  <c r="U574" i="1"/>
  <c r="B197" i="10285" s="1"/>
  <c r="H197" i="10285" s="1"/>
  <c r="S841" i="1"/>
  <c r="B248" i="8196" s="1"/>
  <c r="H248" i="8196" s="1"/>
  <c r="S903" i="1"/>
  <c r="T903" i="1" s="1"/>
  <c r="S1027" i="1"/>
  <c r="T1027" i="1" s="1"/>
  <c r="S1092" i="1"/>
  <c r="T1092" i="1" s="1"/>
  <c r="S1140" i="1"/>
  <c r="B248" i="523" s="1"/>
  <c r="H248" i="523" s="1"/>
  <c r="S1188" i="1"/>
  <c r="B248" i="2048" s="1"/>
  <c r="H248" i="2048" s="1"/>
  <c r="S1391" i="1"/>
  <c r="T1391" i="1" s="1"/>
  <c r="U1423" i="1"/>
  <c r="B197" i="768" s="1"/>
  <c r="H197" i="768" s="1"/>
  <c r="S1470" i="1"/>
  <c r="B248" i="25588" s="1"/>
  <c r="H248" i="25588" s="1"/>
  <c r="S1611" i="1"/>
  <c r="B248" i="25590" s="1"/>
  <c r="H248" i="25590" s="1"/>
  <c r="S1517" i="1"/>
  <c r="T1517" i="1" s="1"/>
  <c r="S1564" i="1"/>
  <c r="T1564" i="1"/>
  <c r="T1470" i="1"/>
  <c r="R1206" i="1"/>
  <c r="S965" i="1"/>
  <c r="T965" i="1"/>
  <c r="T841" i="1"/>
  <c r="R591" i="1"/>
  <c r="T58" i="1"/>
  <c r="H317" i="4888" l="1"/>
  <c r="H318" i="4888"/>
  <c r="V527" i="1"/>
  <c r="T432" i="1"/>
  <c r="T120" i="1"/>
  <c r="E318" i="3"/>
  <c r="D250" i="2819"/>
  <c r="D319" i="25580"/>
  <c r="D319" i="4888"/>
  <c r="D250" i="523"/>
  <c r="V1423" i="1"/>
  <c r="D250" i="2048"/>
  <c r="D250" i="25589"/>
  <c r="T182" i="1"/>
  <c r="V574" i="1"/>
  <c r="D120" i="25584"/>
  <c r="D124" i="25583"/>
  <c r="D124" i="25582"/>
  <c r="E249" i="1024"/>
  <c r="E249" i="9216"/>
  <c r="E318" i="20994"/>
  <c r="T1140" i="1"/>
  <c r="T368" i="1"/>
  <c r="T1188" i="1"/>
  <c r="D249" i="25590"/>
  <c r="D249" i="25588"/>
  <c r="D198" i="768"/>
  <c r="D198" i="10285"/>
  <c r="D249" i="8196"/>
  <c r="D249" i="2316"/>
  <c r="D318" i="10541"/>
  <c r="T1611" i="1"/>
  <c r="B248" i="25589"/>
  <c r="H248" i="25589" s="1"/>
  <c r="B318" i="32"/>
  <c r="B317" i="25580"/>
  <c r="H317" i="25580" s="1"/>
  <c r="D106" i="25586"/>
  <c r="B248" i="2819"/>
  <c r="H248" i="2819" s="1"/>
  <c r="B248" i="512"/>
  <c r="H248" i="512" s="1"/>
  <c r="D106" i="25585"/>
  <c r="B317" i="25587"/>
  <c r="H317" i="25587" s="1"/>
  <c r="D249" i="523"/>
  <c r="D249" i="2048"/>
  <c r="D318" i="4888"/>
  <c r="B118" i="25584"/>
  <c r="B122" i="25583"/>
  <c r="B122" i="25582"/>
  <c r="B247" i="1024"/>
  <c r="B247" i="9216"/>
  <c r="B316" i="20994"/>
  <c r="B104" i="25585"/>
  <c r="H104" i="25585" s="1"/>
  <c r="B104" i="25586"/>
  <c r="H104" i="25586" s="1"/>
  <c r="A104" i="25586"/>
  <c r="A104" i="25585" s="1"/>
  <c r="A316" i="25580" s="1"/>
  <c r="A316" i="4888" s="1"/>
  <c r="A196" i="10285" s="1"/>
  <c r="A196" i="768" s="1"/>
  <c r="A316" i="20994" s="1"/>
  <c r="A247" i="9216" s="1"/>
  <c r="A247" i="1024" s="1"/>
  <c r="A317" i="32" s="1"/>
  <c r="A247" i="2316" s="1"/>
  <c r="A247" i="2819" s="1"/>
  <c r="A316" i="2561" s="1"/>
  <c r="A247" i="523" s="1"/>
  <c r="A316" i="10541" s="1"/>
  <c r="A247" i="2048" s="1"/>
  <c r="A122" i="25582" s="1"/>
  <c r="A122" i="25583" s="1"/>
  <c r="A118" i="25584" s="1"/>
  <c r="A247" i="8196" s="1"/>
  <c r="A247" i="512" s="1"/>
  <c r="A316" i="25587" s="1"/>
  <c r="A247" i="25588" s="1"/>
  <c r="A247" i="25589" s="1"/>
  <c r="A247" i="25590" s="1"/>
  <c r="C316" i="3"/>
  <c r="S1091" i="1"/>
  <c r="B247" i="2819" s="1"/>
  <c r="H247" i="2819" s="1"/>
  <c r="S119" i="1"/>
  <c r="S181" i="1"/>
  <c r="B316" i="4888" s="1"/>
  <c r="S367" i="1"/>
  <c r="S431" i="1"/>
  <c r="U526" i="1"/>
  <c r="B316" i="10541" s="1"/>
  <c r="H316" i="10541" s="1"/>
  <c r="U573" i="1"/>
  <c r="B196" i="10285" s="1"/>
  <c r="H196" i="10285" s="1"/>
  <c r="S840" i="1"/>
  <c r="B247" i="8196" s="1"/>
  <c r="H247" i="8196" s="1"/>
  <c r="S902" i="1"/>
  <c r="B316" i="25587" s="1"/>
  <c r="H316" i="25587" s="1"/>
  <c r="S1026" i="1"/>
  <c r="S1139" i="1"/>
  <c r="B247" i="523" s="1"/>
  <c r="H247" i="523" s="1"/>
  <c r="S1187" i="1"/>
  <c r="S1390" i="1"/>
  <c r="U1422" i="1"/>
  <c r="B196" i="768" s="1"/>
  <c r="H196" i="768" s="1"/>
  <c r="S1469" i="1"/>
  <c r="S1610" i="1"/>
  <c r="B247" i="25590" s="1"/>
  <c r="H247" i="25590" s="1"/>
  <c r="S57" i="1"/>
  <c r="T57" i="1" s="1"/>
  <c r="Q590" i="1"/>
  <c r="Q652" i="1"/>
  <c r="Q1205" i="1"/>
  <c r="S1563" i="1"/>
  <c r="T1563" i="1" s="1"/>
  <c r="S1516" i="1"/>
  <c r="T1516" i="1" s="1"/>
  <c r="R1205" i="1"/>
  <c r="T964" i="1"/>
  <c r="S964" i="1"/>
  <c r="R652" i="1"/>
  <c r="R590" i="1"/>
  <c r="V526" i="1" l="1"/>
  <c r="H316" i="4888"/>
  <c r="D119" i="25584"/>
  <c r="T840" i="1"/>
  <c r="T902" i="1"/>
  <c r="D249" i="25589"/>
  <c r="E317" i="20994"/>
  <c r="T119" i="1"/>
  <c r="D248" i="2819"/>
  <c r="D249" i="2819"/>
  <c r="D123" i="25582"/>
  <c r="E248" i="1024"/>
  <c r="E248" i="9216"/>
  <c r="E317" i="3"/>
  <c r="D105" i="25586"/>
  <c r="D317" i="4888"/>
  <c r="B316" i="25580"/>
  <c r="H316" i="25580" s="1"/>
  <c r="D318" i="25587"/>
  <c r="T1139" i="1"/>
  <c r="T181" i="1"/>
  <c r="D248" i="8196"/>
  <c r="D249" i="512"/>
  <c r="V1422" i="1"/>
  <c r="D197" i="10285"/>
  <c r="D105" i="25585"/>
  <c r="D318" i="25580"/>
  <c r="D248" i="25590"/>
  <c r="D317" i="25587"/>
  <c r="D123" i="25583"/>
  <c r="D317" i="10541"/>
  <c r="D248" i="523"/>
  <c r="D197" i="768"/>
  <c r="B247" i="2048"/>
  <c r="H247" i="2048" s="1"/>
  <c r="T1187" i="1"/>
  <c r="T367" i="1"/>
  <c r="B247" i="2316"/>
  <c r="H247" i="2316" s="1"/>
  <c r="V573" i="1"/>
  <c r="T1026" i="1"/>
  <c r="B247" i="25589"/>
  <c r="H247" i="25589" s="1"/>
  <c r="T1091" i="1"/>
  <c r="T1469" i="1"/>
  <c r="B247" i="25588"/>
  <c r="H247" i="25588" s="1"/>
  <c r="T1610" i="1"/>
  <c r="T1390" i="1"/>
  <c r="B247" i="512"/>
  <c r="H247" i="512" s="1"/>
  <c r="T431" i="1"/>
  <c r="B316" i="2561"/>
  <c r="H316" i="2561" s="1"/>
  <c r="B117" i="25584"/>
  <c r="B121" i="25583"/>
  <c r="B121" i="25582"/>
  <c r="B246" i="1024"/>
  <c r="B246" i="9216"/>
  <c r="B315" i="20994"/>
  <c r="B103" i="25585"/>
  <c r="H103" i="25585" s="1"/>
  <c r="B103" i="25586"/>
  <c r="H103" i="25586" s="1"/>
  <c r="A103" i="25586"/>
  <c r="A103" i="25585" s="1"/>
  <c r="A315" i="25580" s="1"/>
  <c r="A315" i="4888" s="1"/>
  <c r="A195" i="10285" s="1"/>
  <c r="A195" i="768" s="1"/>
  <c r="A315" i="20994" s="1"/>
  <c r="A246" i="9216" s="1"/>
  <c r="A246" i="1024" s="1"/>
  <c r="A316" i="32" s="1"/>
  <c r="A246" i="2316" s="1"/>
  <c r="A246" i="2819" s="1"/>
  <c r="A315" i="2561" s="1"/>
  <c r="A246" i="523" s="1"/>
  <c r="A315" i="10541" s="1"/>
  <c r="A246" i="2048" s="1"/>
  <c r="A121" i="25582" s="1"/>
  <c r="A121" i="25583" s="1"/>
  <c r="A117" i="25584" s="1"/>
  <c r="A246" i="8196" s="1"/>
  <c r="A246" i="512" s="1"/>
  <c r="A315" i="25587" s="1"/>
  <c r="A246" i="25588" s="1"/>
  <c r="A246" i="25589" s="1"/>
  <c r="A246" i="25590" s="1"/>
  <c r="C315" i="3"/>
  <c r="S118" i="1"/>
  <c r="S180" i="1"/>
  <c r="B315" i="4888" s="1"/>
  <c r="W280" i="1"/>
  <c r="B316" i="32" s="1"/>
  <c r="S366" i="1"/>
  <c r="T366" i="1" s="1"/>
  <c r="S430" i="1"/>
  <c r="B315" i="2561" s="1"/>
  <c r="H315" i="2561" s="1"/>
  <c r="U525" i="1"/>
  <c r="B315" i="10541" s="1"/>
  <c r="H315" i="10541" s="1"/>
  <c r="U572" i="1"/>
  <c r="B195" i="10285" s="1"/>
  <c r="H195" i="10285" s="1"/>
  <c r="S839" i="1"/>
  <c r="T839" i="1" s="1"/>
  <c r="S901" i="1"/>
  <c r="T901" i="1" s="1"/>
  <c r="S1025" i="1"/>
  <c r="B246" i="25589" s="1"/>
  <c r="H246" i="25589" s="1"/>
  <c r="S1090" i="1"/>
  <c r="T1090" i="1" s="1"/>
  <c r="S1138" i="1"/>
  <c r="B246" i="523" s="1"/>
  <c r="H246" i="523" s="1"/>
  <c r="S1186" i="1"/>
  <c r="B246" i="2048" s="1"/>
  <c r="H246" i="2048" s="1"/>
  <c r="S1389" i="1"/>
  <c r="T1389" i="1" s="1"/>
  <c r="U1421" i="1"/>
  <c r="V1421" i="1" s="1"/>
  <c r="S1468" i="1"/>
  <c r="T1468" i="1" s="1"/>
  <c r="S1609" i="1"/>
  <c r="T1609" i="1" s="1"/>
  <c r="S56" i="1"/>
  <c r="T56" i="1" s="1"/>
  <c r="Q589" i="1"/>
  <c r="R589" i="1" s="1"/>
  <c r="Q651" i="1"/>
  <c r="Q1204" i="1"/>
  <c r="S1562" i="1"/>
  <c r="T1562" i="1" s="1"/>
  <c r="S1515" i="1"/>
  <c r="T1515" i="1"/>
  <c r="R1204" i="1"/>
  <c r="T1025" i="1"/>
  <c r="S963" i="1"/>
  <c r="T963" i="1"/>
  <c r="R651" i="1"/>
  <c r="V572" i="1"/>
  <c r="H315" i="4888" l="1"/>
  <c r="V525" i="1"/>
  <c r="T180" i="1"/>
  <c r="B315" i="25580"/>
  <c r="H315" i="25580" s="1"/>
  <c r="T1138" i="1"/>
  <c r="B195" i="768"/>
  <c r="H195" i="768" s="1"/>
  <c r="T1186" i="1"/>
  <c r="T430" i="1"/>
  <c r="B246" i="8196"/>
  <c r="H246" i="8196" s="1"/>
  <c r="B246" i="2316"/>
  <c r="H246" i="2316" s="1"/>
  <c r="B246" i="2819"/>
  <c r="H246" i="2819" s="1"/>
  <c r="B246" i="512"/>
  <c r="H246" i="512" s="1"/>
  <c r="T118" i="1"/>
  <c r="B315" i="25587"/>
  <c r="H315" i="25587" s="1"/>
  <c r="B246" i="25588"/>
  <c r="H246" i="25588" s="1"/>
  <c r="X280" i="1"/>
  <c r="B246" i="25590"/>
  <c r="H246" i="25590" s="1"/>
  <c r="D317" i="25580"/>
  <c r="D248" i="25589"/>
  <c r="D248" i="25588"/>
  <c r="D248" i="512"/>
  <c r="D122" i="25583"/>
  <c r="D122" i="25582"/>
  <c r="D248" i="2048"/>
  <c r="D316" i="10541"/>
  <c r="D247" i="523"/>
  <c r="D248" i="2316"/>
  <c r="E316" i="20994"/>
  <c r="D316" i="4888"/>
  <c r="D104" i="25586"/>
  <c r="E316" i="3"/>
  <c r="D118" i="25584"/>
  <c r="E247" i="1024"/>
  <c r="E247" i="9216"/>
  <c r="D196" i="10285"/>
  <c r="D104" i="25585"/>
  <c r="D247" i="25589"/>
  <c r="D247" i="2048"/>
  <c r="B116" i="25584"/>
  <c r="B120" i="25583"/>
  <c r="B120" i="25582"/>
  <c r="B245" i="1024"/>
  <c r="B245" i="9216"/>
  <c r="B314" i="20994"/>
  <c r="B102" i="25585"/>
  <c r="H102" i="25585" s="1"/>
  <c r="B102" i="25586"/>
  <c r="H102" i="25586" s="1"/>
  <c r="A102" i="25586"/>
  <c r="A102" i="25585" s="1"/>
  <c r="A314" i="25580" s="1"/>
  <c r="A314" i="4888" s="1"/>
  <c r="A194" i="10285" s="1"/>
  <c r="A194" i="768" s="1"/>
  <c r="A314" i="20994" s="1"/>
  <c r="A245" i="9216" s="1"/>
  <c r="A245" i="1024" s="1"/>
  <c r="A315" i="32" s="1"/>
  <c r="A245" i="2316" s="1"/>
  <c r="A245" i="2819" s="1"/>
  <c r="A314" i="2561" s="1"/>
  <c r="A245" i="523" s="1"/>
  <c r="A314" i="10541" s="1"/>
  <c r="A245" i="2048" s="1"/>
  <c r="A120" i="25582" s="1"/>
  <c r="A120" i="25583" s="1"/>
  <c r="A116" i="25584" s="1"/>
  <c r="A245" i="8196" s="1"/>
  <c r="A245" i="512" s="1"/>
  <c r="A314" i="25587" s="1"/>
  <c r="A245" i="25588" s="1"/>
  <c r="A245" i="25589" s="1"/>
  <c r="A245" i="25590" s="1"/>
  <c r="C314" i="3"/>
  <c r="S1608" i="1"/>
  <c r="T1608" i="1" s="1"/>
  <c r="S1561" i="1"/>
  <c r="T1561" i="1" s="1"/>
  <c r="S1514" i="1"/>
  <c r="T1514" i="1" s="1"/>
  <c r="S1467" i="1"/>
  <c r="T1467" i="1" s="1"/>
  <c r="U1420" i="1"/>
  <c r="V1420" i="1" s="1"/>
  <c r="S1388" i="1"/>
  <c r="T1388" i="1" s="1"/>
  <c r="Q1203" i="1"/>
  <c r="R1203" i="1" s="1"/>
  <c r="S1185" i="1"/>
  <c r="B245" i="2048" s="1"/>
  <c r="H245" i="2048" s="1"/>
  <c r="S1137" i="1"/>
  <c r="T1137" i="1" s="1"/>
  <c r="S1089" i="1"/>
  <c r="T1089" i="1" s="1"/>
  <c r="S1024" i="1"/>
  <c r="T1024" i="1" s="1"/>
  <c r="S962" i="1"/>
  <c r="T962" i="1" s="1"/>
  <c r="S900" i="1"/>
  <c r="T900" i="1" s="1"/>
  <c r="S838" i="1"/>
  <c r="T838" i="1" s="1"/>
  <c r="Q650" i="1"/>
  <c r="R650" i="1" s="1"/>
  <c r="O661" i="1"/>
  <c r="O660" i="1"/>
  <c r="O659" i="1"/>
  <c r="O658" i="1"/>
  <c r="O657" i="1"/>
  <c r="O656" i="1"/>
  <c r="O655" i="1"/>
  <c r="P655" i="1" s="1"/>
  <c r="O654" i="1"/>
  <c r="P654" i="1" s="1"/>
  <c r="O653" i="1"/>
  <c r="P653" i="1" s="1"/>
  <c r="O652" i="1"/>
  <c r="O651" i="1"/>
  <c r="O650" i="1"/>
  <c r="P650" i="1" s="1"/>
  <c r="P651" i="1"/>
  <c r="P652" i="1"/>
  <c r="P656" i="1"/>
  <c r="P657" i="1"/>
  <c r="P658" i="1"/>
  <c r="P659" i="1"/>
  <c r="P660" i="1"/>
  <c r="P661" i="1"/>
  <c r="Q588" i="1"/>
  <c r="R588" i="1" s="1"/>
  <c r="U571" i="1"/>
  <c r="V571" i="1" s="1"/>
  <c r="U524" i="1"/>
  <c r="B314" i="10541" s="1"/>
  <c r="H314" i="10541" s="1"/>
  <c r="S429" i="1"/>
  <c r="T429" i="1" s="1"/>
  <c r="S365" i="1"/>
  <c r="B245" i="2316" s="1"/>
  <c r="H245" i="2316" s="1"/>
  <c r="W279" i="1"/>
  <c r="B315" i="32" s="1"/>
  <c r="S179" i="1"/>
  <c r="T179" i="1" s="1"/>
  <c r="S117" i="1"/>
  <c r="S55" i="1"/>
  <c r="D316" i="25580" l="1"/>
  <c r="V524" i="1"/>
  <c r="D247" i="2316"/>
  <c r="D196" i="768"/>
  <c r="D247" i="25590"/>
  <c r="D247" i="8196"/>
  <c r="T1185" i="1"/>
  <c r="D247" i="2819"/>
  <c r="B314" i="25580"/>
  <c r="H314" i="25580" s="1"/>
  <c r="D247" i="512"/>
  <c r="T365" i="1"/>
  <c r="B314" i="4888"/>
  <c r="B194" i="10285"/>
  <c r="H194" i="10285" s="1"/>
  <c r="B194" i="768"/>
  <c r="H194" i="768" s="1"/>
  <c r="B245" i="8196"/>
  <c r="H245" i="8196" s="1"/>
  <c r="B245" i="512"/>
  <c r="H245" i="512" s="1"/>
  <c r="T117" i="1"/>
  <c r="B314" i="25587"/>
  <c r="H314" i="25587" s="1"/>
  <c r="B245" i="2819"/>
  <c r="H245" i="2819" s="1"/>
  <c r="B245" i="523"/>
  <c r="H245" i="523" s="1"/>
  <c r="B314" i="2561"/>
  <c r="H314" i="2561" s="1"/>
  <c r="B245" i="25588"/>
  <c r="H245" i="25588" s="1"/>
  <c r="B245" i="25589"/>
  <c r="H245" i="25589" s="1"/>
  <c r="X279" i="1"/>
  <c r="B245" i="25590"/>
  <c r="H245" i="25590" s="1"/>
  <c r="D316" i="25587"/>
  <c r="D247" i="25588"/>
  <c r="D246" i="2048"/>
  <c r="D121" i="25582"/>
  <c r="D315" i="10541"/>
  <c r="E246" i="1024"/>
  <c r="E315" i="20994"/>
  <c r="D103" i="25585"/>
  <c r="D103" i="25586"/>
  <c r="E315" i="3"/>
  <c r="D117" i="25584"/>
  <c r="D121" i="25583"/>
  <c r="D246" i="2316"/>
  <c r="D316" i="32"/>
  <c r="E246" i="9216"/>
  <c r="T55" i="1"/>
  <c r="H314" i="4888" l="1"/>
  <c r="D195" i="10285"/>
  <c r="D315" i="25580"/>
  <c r="D246" i="512"/>
  <c r="D315" i="4888"/>
  <c r="D246" i="25589"/>
  <c r="D195" i="768"/>
  <c r="D246" i="8196"/>
  <c r="D246" i="2819"/>
  <c r="D246" i="25588"/>
  <c r="D246" i="523"/>
  <c r="D246" i="25590"/>
  <c r="D315" i="25587"/>
  <c r="B115" i="25584"/>
  <c r="B119" i="25583"/>
  <c r="B119" i="25582"/>
  <c r="B244" i="1024"/>
  <c r="B244" i="9216"/>
  <c r="B313" i="20994"/>
  <c r="B101" i="25585"/>
  <c r="B101" i="25586"/>
  <c r="A101" i="25586"/>
  <c r="A101" i="25585" s="1"/>
  <c r="A313" i="25580" s="1"/>
  <c r="A313" i="4888" s="1"/>
  <c r="A193" i="10285" s="1"/>
  <c r="A193" i="768" s="1"/>
  <c r="A313" i="20994" s="1"/>
  <c r="A244" i="9216" s="1"/>
  <c r="A244" i="1024" s="1"/>
  <c r="A314" i="32" s="1"/>
  <c r="A244" i="2316" s="1"/>
  <c r="A244" i="2819" s="1"/>
  <c r="A313" i="2561" s="1"/>
  <c r="A244" i="523" s="1"/>
  <c r="A313" i="10541" s="1"/>
  <c r="A244" i="2048" s="1"/>
  <c r="A119" i="25582" s="1"/>
  <c r="A119" i="25583" s="1"/>
  <c r="A115" i="25584" s="1"/>
  <c r="A244" i="8196" s="1"/>
  <c r="A244" i="512" s="1"/>
  <c r="A313" i="25587" s="1"/>
  <c r="A244" i="25588" s="1"/>
  <c r="A244" i="25589" s="1"/>
  <c r="A244" i="25590" s="1"/>
  <c r="Q128" i="1"/>
  <c r="Q190" i="1"/>
  <c r="B313" i="4888" s="1"/>
  <c r="U290" i="1"/>
  <c r="Q376" i="1"/>
  <c r="B244" i="2316" s="1"/>
  <c r="H244" i="2316" s="1"/>
  <c r="Q440" i="1"/>
  <c r="S535" i="1"/>
  <c r="B313" i="10541" s="1"/>
  <c r="S582" i="1"/>
  <c r="Q849" i="1"/>
  <c r="B244" i="8196" s="1"/>
  <c r="Q911" i="1"/>
  <c r="Q1035" i="1"/>
  <c r="Q1100" i="1"/>
  <c r="Q1148" i="1"/>
  <c r="B244" i="523" s="1"/>
  <c r="Q1196" i="1"/>
  <c r="B244" i="2048" s="1"/>
  <c r="Q1399" i="1"/>
  <c r="S1431" i="1"/>
  <c r="B193" i="768" s="1"/>
  <c r="Q1478" i="1"/>
  <c r="B244" i="25588" s="1"/>
  <c r="Q1619" i="1"/>
  <c r="B244" i="25590" s="1"/>
  <c r="Q66" i="1"/>
  <c r="C313" i="3" s="1"/>
  <c r="O599" i="1"/>
  <c r="P599" i="1" s="1"/>
  <c r="O1214" i="1"/>
  <c r="Q1572" i="1"/>
  <c r="R1572" i="1"/>
  <c r="Q1525" i="1"/>
  <c r="R1525" i="1"/>
  <c r="P1214" i="1"/>
  <c r="Q973" i="1"/>
  <c r="R973" i="1"/>
  <c r="R66" i="1"/>
  <c r="H244" i="25588" l="1"/>
  <c r="E253" i="25588"/>
  <c r="H28" i="9728" s="1"/>
  <c r="H101" i="25586"/>
  <c r="E110" i="25586"/>
  <c r="H6" i="9728" s="1"/>
  <c r="H193" i="768"/>
  <c r="E202" i="768"/>
  <c r="H32" i="9728" s="1"/>
  <c r="E322" i="10541"/>
  <c r="H13" i="9728" s="1"/>
  <c r="H313" i="10541"/>
  <c r="H101" i="25585"/>
  <c r="E110" i="25585"/>
  <c r="H7" i="9728" s="1"/>
  <c r="H244" i="8196"/>
  <c r="E253" i="8196"/>
  <c r="H26" i="9728" s="1"/>
  <c r="H244" i="25590"/>
  <c r="E253" i="25590"/>
  <c r="H30" i="9728" s="1"/>
  <c r="E253" i="2048"/>
  <c r="H244" i="2048"/>
  <c r="H244" i="523"/>
  <c r="E253" i="523"/>
  <c r="H33" i="9728" s="1"/>
  <c r="H313" i="4888"/>
  <c r="E322" i="4888"/>
  <c r="H9" i="9728" s="1"/>
  <c r="E123" i="25584"/>
  <c r="E127" i="25583"/>
  <c r="E127" i="25582"/>
  <c r="F252" i="1024"/>
  <c r="F252" i="9216"/>
  <c r="F321" i="20994"/>
  <c r="F321" i="3"/>
  <c r="E252" i="25588"/>
  <c r="E201" i="768"/>
  <c r="E109" i="25586"/>
  <c r="E321" i="10541"/>
  <c r="E109" i="25585"/>
  <c r="E252" i="25590"/>
  <c r="E252" i="523"/>
  <c r="E252" i="8196"/>
  <c r="E252" i="2048"/>
  <c r="E321" i="4888"/>
  <c r="E122" i="25584"/>
  <c r="E126" i="25583"/>
  <c r="E126" i="25582"/>
  <c r="F251" i="9216"/>
  <c r="F320" i="20994"/>
  <c r="F320" i="3"/>
  <c r="E251" i="25588"/>
  <c r="E200" i="768"/>
  <c r="E108" i="25586"/>
  <c r="E108" i="25585"/>
  <c r="E320" i="4888"/>
  <c r="E251" i="523"/>
  <c r="E251" i="8196"/>
  <c r="E320" i="10541"/>
  <c r="E251" i="25590"/>
  <c r="E121" i="25584"/>
  <c r="E125" i="25583"/>
  <c r="E125" i="25582"/>
  <c r="E251" i="2048"/>
  <c r="F251" i="1024"/>
  <c r="F250" i="1024"/>
  <c r="F250" i="9216"/>
  <c r="F319" i="20994"/>
  <c r="F319" i="3"/>
  <c r="E250" i="25588"/>
  <c r="E250" i="8196"/>
  <c r="E199" i="768"/>
  <c r="E107" i="25586"/>
  <c r="E319" i="10541"/>
  <c r="E107" i="25585"/>
  <c r="E319" i="4888"/>
  <c r="E250" i="2048"/>
  <c r="E250" i="25590"/>
  <c r="E250" i="523"/>
  <c r="E120" i="25584"/>
  <c r="E124" i="25583"/>
  <c r="E124" i="25582"/>
  <c r="F249" i="1024"/>
  <c r="F249" i="9216"/>
  <c r="F318" i="20994"/>
  <c r="F318" i="3"/>
  <c r="R190" i="1"/>
  <c r="E249" i="25590"/>
  <c r="E249" i="8196"/>
  <c r="E198" i="768"/>
  <c r="R1619" i="1"/>
  <c r="E249" i="25588"/>
  <c r="E318" i="10541"/>
  <c r="E106" i="25585"/>
  <c r="E249" i="523"/>
  <c r="E106" i="25586"/>
  <c r="T535" i="1"/>
  <c r="E249" i="2048"/>
  <c r="E318" i="4888"/>
  <c r="E248" i="25590"/>
  <c r="E248" i="25588"/>
  <c r="E248" i="8196"/>
  <c r="E119" i="25584"/>
  <c r="E123" i="25583"/>
  <c r="E123" i="25582"/>
  <c r="E248" i="2048"/>
  <c r="E317" i="10541"/>
  <c r="E248" i="523"/>
  <c r="F248" i="1024"/>
  <c r="F248" i="9216"/>
  <c r="F317" i="20994"/>
  <c r="E197" i="768"/>
  <c r="E317" i="4888"/>
  <c r="E105" i="25585"/>
  <c r="E105" i="25586"/>
  <c r="F317" i="3"/>
  <c r="E247" i="25590"/>
  <c r="E247" i="25588"/>
  <c r="E247" i="8196"/>
  <c r="E118" i="25584"/>
  <c r="E122" i="25583"/>
  <c r="E122" i="25582"/>
  <c r="E247" i="2048"/>
  <c r="E316" i="10541"/>
  <c r="E247" i="523"/>
  <c r="F247" i="1024"/>
  <c r="F247" i="9216"/>
  <c r="F316" i="20994"/>
  <c r="E196" i="768"/>
  <c r="E316" i="4888"/>
  <c r="E104" i="25585"/>
  <c r="E104" i="25586"/>
  <c r="F316" i="3"/>
  <c r="E246" i="25590"/>
  <c r="E246" i="25588"/>
  <c r="E246" i="8196"/>
  <c r="E117" i="25584"/>
  <c r="E121" i="25583"/>
  <c r="E121" i="25582"/>
  <c r="E246" i="2048"/>
  <c r="E315" i="10541"/>
  <c r="E246" i="523"/>
  <c r="F246" i="1024"/>
  <c r="F246" i="9216"/>
  <c r="F315" i="20994"/>
  <c r="E195" i="768"/>
  <c r="E315" i="4888"/>
  <c r="E103" i="25585"/>
  <c r="E103" i="25586"/>
  <c r="F315" i="3"/>
  <c r="D116" i="25584"/>
  <c r="E116" i="25584"/>
  <c r="E120" i="25583"/>
  <c r="D120" i="25583"/>
  <c r="D120" i="25582"/>
  <c r="E120" i="25582"/>
  <c r="F245" i="1024"/>
  <c r="E245" i="1024"/>
  <c r="E245" i="9216"/>
  <c r="F245" i="9216"/>
  <c r="F314" i="20994"/>
  <c r="E314" i="20994"/>
  <c r="E314" i="3"/>
  <c r="F314" i="3"/>
  <c r="E245" i="8196"/>
  <c r="D245" i="8196"/>
  <c r="R849" i="1"/>
  <c r="E194" i="768"/>
  <c r="D194" i="768"/>
  <c r="E102" i="25586"/>
  <c r="D102" i="25586"/>
  <c r="E245" i="25588"/>
  <c r="D245" i="25588"/>
  <c r="E245" i="2048"/>
  <c r="D245" i="2048"/>
  <c r="R1196" i="1"/>
  <c r="E245" i="523"/>
  <c r="D245" i="523"/>
  <c r="D245" i="2316"/>
  <c r="E102" i="25585"/>
  <c r="D102" i="25585"/>
  <c r="R1478" i="1"/>
  <c r="E314" i="4888"/>
  <c r="D314" i="4888"/>
  <c r="E314" i="10541"/>
  <c r="D314" i="10541"/>
  <c r="E245" i="25590"/>
  <c r="D245" i="25590"/>
  <c r="R1148" i="1"/>
  <c r="R1399" i="1"/>
  <c r="B244" i="512"/>
  <c r="R376" i="1"/>
  <c r="T1431" i="1"/>
  <c r="R1100" i="1"/>
  <c r="B244" i="2819"/>
  <c r="V290" i="1"/>
  <c r="B314" i="32"/>
  <c r="R440" i="1"/>
  <c r="B313" i="2561"/>
  <c r="H313" i="2561" s="1"/>
  <c r="R1035" i="1"/>
  <c r="B244" i="25589"/>
  <c r="R128" i="1"/>
  <c r="B313" i="25580"/>
  <c r="R911" i="1"/>
  <c r="B313" i="25587"/>
  <c r="T582" i="1"/>
  <c r="B193" i="10285"/>
  <c r="B114" i="25584"/>
  <c r="B118" i="25583"/>
  <c r="B118" i="25582"/>
  <c r="B100" i="25585"/>
  <c r="H100" i="25585" s="1"/>
  <c r="B100" i="25586"/>
  <c r="H100" i="25586" s="1"/>
  <c r="A100" i="25586"/>
  <c r="A100" i="25585" s="1"/>
  <c r="A312" i="25580" s="1"/>
  <c r="A312" i="4888" s="1"/>
  <c r="A192" i="10285" s="1"/>
  <c r="A192" i="768" s="1"/>
  <c r="A312" i="20994" s="1"/>
  <c r="A243" i="9216" s="1"/>
  <c r="A243" i="1024" s="1"/>
  <c r="A313" i="32" s="1"/>
  <c r="A243" i="2316" s="1"/>
  <c r="A243" i="2819" s="1"/>
  <c r="A312" i="2561" s="1"/>
  <c r="A243" i="523" s="1"/>
  <c r="A312" i="10541" s="1"/>
  <c r="A243" i="2048" s="1"/>
  <c r="A118" i="25582" s="1"/>
  <c r="A118" i="25583" s="1"/>
  <c r="A114" i="25584" s="1"/>
  <c r="A243" i="8196" s="1"/>
  <c r="A243" i="512" s="1"/>
  <c r="A312" i="25587" s="1"/>
  <c r="A243" i="25588" s="1"/>
  <c r="A243" i="25589" s="1"/>
  <c r="A243" i="25590" s="1"/>
  <c r="Q127" i="1"/>
  <c r="Q189" i="1"/>
  <c r="B312" i="4888" s="1"/>
  <c r="U289" i="1"/>
  <c r="B313" i="32" s="1"/>
  <c r="Q375" i="1"/>
  <c r="B243" i="2316" s="1"/>
  <c r="H243" i="2316" s="1"/>
  <c r="Q439" i="1"/>
  <c r="S534" i="1"/>
  <c r="B312" i="10541" s="1"/>
  <c r="H312" i="10541" s="1"/>
  <c r="S581" i="1"/>
  <c r="T581" i="1" s="1"/>
  <c r="Q848" i="1"/>
  <c r="Q910" i="1"/>
  <c r="Q1034" i="1"/>
  <c r="B243" i="25589" s="1"/>
  <c r="H243" i="25589" s="1"/>
  <c r="Q1099" i="1"/>
  <c r="B243" i="2819" s="1"/>
  <c r="H243" i="2819" s="1"/>
  <c r="Q1147" i="1"/>
  <c r="Q1195" i="1"/>
  <c r="Q1398" i="1"/>
  <c r="B243" i="512" s="1"/>
  <c r="H243" i="512" s="1"/>
  <c r="S1430" i="1"/>
  <c r="T1430" i="1" s="1"/>
  <c r="Q1477" i="1"/>
  <c r="Q1618" i="1"/>
  <c r="B243" i="25590" s="1"/>
  <c r="H243" i="25590" s="1"/>
  <c r="Q65" i="1"/>
  <c r="O598" i="1"/>
  <c r="O1213" i="1"/>
  <c r="P1213" i="1" s="1"/>
  <c r="Q1571" i="1"/>
  <c r="B243" i="1024" s="1"/>
  <c r="Q1524" i="1"/>
  <c r="Q972" i="1"/>
  <c r="R972" i="1" s="1"/>
  <c r="P598" i="1"/>
  <c r="H312" i="4888" l="1"/>
  <c r="H193" i="10285"/>
  <c r="E202" i="10285"/>
  <c r="H31" i="9728" s="1"/>
  <c r="H244" i="512"/>
  <c r="E253" i="512"/>
  <c r="H27" i="9728" s="1"/>
  <c r="H244" i="25589"/>
  <c r="E253" i="25589"/>
  <c r="H29" i="9728" s="1"/>
  <c r="H313" i="25587"/>
  <c r="E322" i="25587"/>
  <c r="H14" i="9728" s="1"/>
  <c r="H313" i="25580"/>
  <c r="E322" i="25580"/>
  <c r="H8" i="9728" s="1"/>
  <c r="H244" i="2819"/>
  <c r="E253" i="2819"/>
  <c r="H22" i="9728" s="1"/>
  <c r="E321" i="25587"/>
  <c r="E252" i="2819"/>
  <c r="E322" i="32"/>
  <c r="E201" i="10285"/>
  <c r="E252" i="512"/>
  <c r="E321" i="25580"/>
  <c r="E252" i="25589"/>
  <c r="E251" i="2819"/>
  <c r="E251" i="25589"/>
  <c r="E320" i="25580"/>
  <c r="E200" i="10285"/>
  <c r="E251" i="512"/>
  <c r="E320" i="25587"/>
  <c r="E321" i="32"/>
  <c r="E319" i="25587"/>
  <c r="E319" i="25580"/>
  <c r="E250" i="2819"/>
  <c r="E250" i="25589"/>
  <c r="E320" i="32"/>
  <c r="E199" i="10285"/>
  <c r="E250" i="512"/>
  <c r="R375" i="1"/>
  <c r="E198" i="10285"/>
  <c r="E249" i="512"/>
  <c r="R1099" i="1"/>
  <c r="E318" i="25580"/>
  <c r="E249" i="2819"/>
  <c r="R1618" i="1"/>
  <c r="E318" i="25587"/>
  <c r="V289" i="1"/>
  <c r="E249" i="25589"/>
  <c r="E248" i="25589"/>
  <c r="E317" i="25587"/>
  <c r="E248" i="512"/>
  <c r="E248" i="2819"/>
  <c r="E318" i="32"/>
  <c r="E197" i="10285"/>
  <c r="E317" i="25580"/>
  <c r="E247" i="25589"/>
  <c r="E316" i="25587"/>
  <c r="E247" i="512"/>
  <c r="E247" i="2819"/>
  <c r="E196" i="10285"/>
  <c r="E316" i="25580"/>
  <c r="E246" i="25589"/>
  <c r="E315" i="25587"/>
  <c r="E246" i="512"/>
  <c r="E246" i="2819"/>
  <c r="E316" i="32"/>
  <c r="E195" i="10285"/>
  <c r="E315" i="25580"/>
  <c r="D115" i="25584"/>
  <c r="D119" i="25583"/>
  <c r="D119" i="25582"/>
  <c r="E244" i="1024"/>
  <c r="E314" i="25587"/>
  <c r="D314" i="25587"/>
  <c r="E314" i="25580"/>
  <c r="D314" i="25580"/>
  <c r="E245" i="2819"/>
  <c r="D245" i="2819"/>
  <c r="E315" i="32"/>
  <c r="D315" i="32"/>
  <c r="B192" i="10285"/>
  <c r="H192" i="10285" s="1"/>
  <c r="E245" i="25589"/>
  <c r="D245" i="25589"/>
  <c r="D244" i="25590"/>
  <c r="D101" i="25586"/>
  <c r="E194" i="10285"/>
  <c r="D194" i="10285"/>
  <c r="E245" i="512"/>
  <c r="D245" i="512"/>
  <c r="D313" i="4888"/>
  <c r="D101" i="25585"/>
  <c r="D244" i="2316"/>
  <c r="R189" i="1"/>
  <c r="D313" i="10541"/>
  <c r="D244" i="25589"/>
  <c r="D244" i="2819"/>
  <c r="D244" i="512"/>
  <c r="D314" i="32"/>
  <c r="R1524" i="1"/>
  <c r="B243" i="9216"/>
  <c r="R1571" i="1"/>
  <c r="B192" i="768"/>
  <c r="H192" i="768" s="1"/>
  <c r="B312" i="20994"/>
  <c r="R65" i="1"/>
  <c r="C312" i="3"/>
  <c r="R1398" i="1"/>
  <c r="B243" i="2048"/>
  <c r="H243" i="2048" s="1"/>
  <c r="R1195" i="1"/>
  <c r="B312" i="2561"/>
  <c r="H312" i="2561" s="1"/>
  <c r="R439" i="1"/>
  <c r="B312" i="25587"/>
  <c r="H312" i="25587" s="1"/>
  <c r="R910" i="1"/>
  <c r="R127" i="1"/>
  <c r="B312" i="25580"/>
  <c r="H312" i="25580" s="1"/>
  <c r="T534" i="1"/>
  <c r="R1034" i="1"/>
  <c r="R1477" i="1"/>
  <c r="B243" i="25588"/>
  <c r="H243" i="25588" s="1"/>
  <c r="R1147" i="1"/>
  <c r="B243" i="523"/>
  <c r="H243" i="523" s="1"/>
  <c r="R848" i="1"/>
  <c r="B243" i="8196"/>
  <c r="H243" i="8196" s="1"/>
  <c r="B113" i="25584"/>
  <c r="B117" i="25583"/>
  <c r="B117" i="25582"/>
  <c r="B311" i="20994"/>
  <c r="B99" i="25585"/>
  <c r="H99" i="25585" s="1"/>
  <c r="B99" i="25586"/>
  <c r="H99" i="25586" s="1"/>
  <c r="A99" i="25586"/>
  <c r="A99" i="25585" s="1"/>
  <c r="A311" i="25580" s="1"/>
  <c r="A311" i="4888" s="1"/>
  <c r="A191" i="10285" s="1"/>
  <c r="A191" i="768" s="1"/>
  <c r="A311" i="20994" s="1"/>
  <c r="A242" i="9216" s="1"/>
  <c r="A242" i="1024" s="1"/>
  <c r="A312" i="32" s="1"/>
  <c r="A242" i="2316" s="1"/>
  <c r="A242" i="2819" s="1"/>
  <c r="A311" i="2561" s="1"/>
  <c r="A242" i="523" s="1"/>
  <c r="A311" i="10541" s="1"/>
  <c r="A242" i="2048" s="1"/>
  <c r="A117" i="25582" s="1"/>
  <c r="A117" i="25583" s="1"/>
  <c r="A113" i="25584" s="1"/>
  <c r="A242" i="8196" s="1"/>
  <c r="A242" i="512" s="1"/>
  <c r="A311" i="25587" s="1"/>
  <c r="A242" i="25588" s="1"/>
  <c r="A242" i="25589" s="1"/>
  <c r="A242" i="25590" s="1"/>
  <c r="Q126" i="1"/>
  <c r="Q188" i="1"/>
  <c r="B311" i="4888" s="1"/>
  <c r="U288" i="1"/>
  <c r="B312" i="32" s="1"/>
  <c r="Q374" i="1"/>
  <c r="B242" i="2316" s="1"/>
  <c r="H242" i="2316" s="1"/>
  <c r="Q438" i="1"/>
  <c r="B311" i="2561" s="1"/>
  <c r="H311" i="2561" s="1"/>
  <c r="S533" i="1"/>
  <c r="B311" i="10541" s="1"/>
  <c r="H311" i="10541" s="1"/>
  <c r="S580" i="1"/>
  <c r="B191" i="10285" s="1"/>
  <c r="H191" i="10285" s="1"/>
  <c r="Q847" i="1"/>
  <c r="B242" i="8196" s="1"/>
  <c r="H242" i="8196" s="1"/>
  <c r="Q909" i="1"/>
  <c r="Q1033" i="1"/>
  <c r="B242" i="25589" s="1"/>
  <c r="H242" i="25589" s="1"/>
  <c r="Q1098" i="1"/>
  <c r="Q1146" i="1"/>
  <c r="B242" i="523" s="1"/>
  <c r="H242" i="523" s="1"/>
  <c r="Q1194" i="1"/>
  <c r="B242" i="2048" s="1"/>
  <c r="H242" i="2048" s="1"/>
  <c r="Q1397" i="1"/>
  <c r="B242" i="512" s="1"/>
  <c r="H242" i="512" s="1"/>
  <c r="S1429" i="1"/>
  <c r="T1429" i="1" s="1"/>
  <c r="Q1476" i="1"/>
  <c r="Q1617" i="1"/>
  <c r="B242" i="25590" s="1"/>
  <c r="H242" i="25590" s="1"/>
  <c r="Q64" i="1"/>
  <c r="C311" i="3" s="1"/>
  <c r="O597" i="1"/>
  <c r="P597" i="1" s="1"/>
  <c r="O1212" i="1"/>
  <c r="P1212" i="1" s="1"/>
  <c r="Q1570" i="1"/>
  <c r="B242" i="1024" s="1"/>
  <c r="Q1523" i="1"/>
  <c r="B242" i="9216" s="1"/>
  <c r="R1523" i="1"/>
  <c r="Q971" i="1"/>
  <c r="R971" i="1" s="1"/>
  <c r="H311" i="4888" l="1"/>
  <c r="R1033" i="1"/>
  <c r="R1617" i="1"/>
  <c r="D193" i="10285"/>
  <c r="T533" i="1"/>
  <c r="D243" i="512"/>
  <c r="R1146" i="1"/>
  <c r="R126" i="1"/>
  <c r="E244" i="9216"/>
  <c r="E313" i="20994"/>
  <c r="D312" i="10541"/>
  <c r="D313" i="32"/>
  <c r="E313" i="3"/>
  <c r="R188" i="1"/>
  <c r="D244" i="523"/>
  <c r="R847" i="1"/>
  <c r="D244" i="25588"/>
  <c r="D193" i="768"/>
  <c r="D118" i="25582"/>
  <c r="D100" i="25585"/>
  <c r="D313" i="25587"/>
  <c r="D114" i="25584"/>
  <c r="D244" i="2048"/>
  <c r="R1397" i="1"/>
  <c r="D244" i="8196"/>
  <c r="D313" i="25580"/>
  <c r="E243" i="1024"/>
  <c r="R1194" i="1"/>
  <c r="R1570" i="1"/>
  <c r="R438" i="1"/>
  <c r="E312" i="3"/>
  <c r="E312" i="20994"/>
  <c r="E243" i="9216"/>
  <c r="R64" i="1"/>
  <c r="D312" i="4888"/>
  <c r="D192" i="10285"/>
  <c r="D243" i="25590"/>
  <c r="D243" i="25589"/>
  <c r="B311" i="25580"/>
  <c r="H311" i="25580" s="1"/>
  <c r="D118" i="25583"/>
  <c r="D100" i="25586"/>
  <c r="D243" i="523"/>
  <c r="D243" i="2316"/>
  <c r="D243" i="8196"/>
  <c r="D243" i="2048"/>
  <c r="V288" i="1"/>
  <c r="T580" i="1"/>
  <c r="R1476" i="1"/>
  <c r="B242" i="25588"/>
  <c r="H242" i="25588" s="1"/>
  <c r="B242" i="2819"/>
  <c r="H242" i="2819" s="1"/>
  <c r="R1098" i="1"/>
  <c r="R374" i="1"/>
  <c r="B311" i="25587"/>
  <c r="H311" i="25587" s="1"/>
  <c r="R909" i="1"/>
  <c r="B191" i="768"/>
  <c r="H191" i="768" s="1"/>
  <c r="B112" i="25584"/>
  <c r="B116" i="25583"/>
  <c r="B116" i="25582"/>
  <c r="B98" i="25585"/>
  <c r="B98" i="25586"/>
  <c r="A98" i="25586"/>
  <c r="A98" i="25585" s="1"/>
  <c r="A310" i="25580" s="1"/>
  <c r="A310" i="4888" s="1"/>
  <c r="A190" i="10285" s="1"/>
  <c r="A190" i="768" s="1"/>
  <c r="A310" i="20994" s="1"/>
  <c r="A241" i="9216" s="1"/>
  <c r="A241" i="1024" s="1"/>
  <c r="A311" i="32" s="1"/>
  <c r="A241" i="2316" s="1"/>
  <c r="A241" i="2819" s="1"/>
  <c r="A310" i="2561" s="1"/>
  <c r="A241" i="523" s="1"/>
  <c r="A310" i="10541" s="1"/>
  <c r="A241" i="2048" s="1"/>
  <c r="A116" i="25582" s="1"/>
  <c r="A116" i="25583" s="1"/>
  <c r="A112" i="25584" s="1"/>
  <c r="A241" i="8196" s="1"/>
  <c r="A241" i="512" s="1"/>
  <c r="A310" i="25587" s="1"/>
  <c r="A241" i="25588" s="1"/>
  <c r="A241" i="25589" s="1"/>
  <c r="A241" i="25590" s="1"/>
  <c r="O1211" i="1"/>
  <c r="P1211" i="1" s="1"/>
  <c r="O596" i="1"/>
  <c r="P596" i="1" s="1"/>
  <c r="Q63" i="1"/>
  <c r="C310" i="3" s="1"/>
  <c r="Q1616" i="1"/>
  <c r="B241" i="25590" s="1"/>
  <c r="Q1475" i="1"/>
  <c r="B241" i="25588" s="1"/>
  <c r="S1428" i="1"/>
  <c r="B190" i="768" s="1"/>
  <c r="Q1396" i="1"/>
  <c r="B241" i="512" s="1"/>
  <c r="Q1193" i="1"/>
  <c r="B241" i="2048" s="1"/>
  <c r="Q1145" i="1"/>
  <c r="Q1097" i="1"/>
  <c r="B241" i="2819" s="1"/>
  <c r="Q1032" i="1"/>
  <c r="Q908" i="1"/>
  <c r="B310" i="25587" s="1"/>
  <c r="Q846" i="1"/>
  <c r="S579" i="1"/>
  <c r="B190" i="10285" s="1"/>
  <c r="S532" i="1"/>
  <c r="B310" i="10541" s="1"/>
  <c r="Q437" i="1"/>
  <c r="Q373" i="1"/>
  <c r="B241" i="2316" s="1"/>
  <c r="U287" i="1"/>
  <c r="B311" i="32" s="1"/>
  <c r="Q187" i="1"/>
  <c r="B310" i="4888" s="1"/>
  <c r="Q125" i="1"/>
  <c r="Q970" i="1"/>
  <c r="B310" i="20994" s="1"/>
  <c r="Q1522" i="1"/>
  <c r="R1522" i="1" s="1"/>
  <c r="Q1569" i="1"/>
  <c r="B241" i="1024" s="1"/>
  <c r="R1569" i="1"/>
  <c r="F253" i="25588" l="1"/>
  <c r="G28" i="9728" s="1"/>
  <c r="H241" i="25588"/>
  <c r="H241" i="25590"/>
  <c r="F253" i="25590"/>
  <c r="G30" i="9728" s="1"/>
  <c r="H310" i="25587"/>
  <c r="F322" i="25587"/>
  <c r="G14" i="9728" s="1"/>
  <c r="H310" i="4888"/>
  <c r="F322" i="4888"/>
  <c r="G9" i="9728" s="1"/>
  <c r="F253" i="2819"/>
  <c r="G22" i="9728" s="1"/>
  <c r="H241" i="2819"/>
  <c r="F253" i="2316"/>
  <c r="G21" i="9728" s="1"/>
  <c r="H241" i="2316"/>
  <c r="F253" i="2048"/>
  <c r="H241" i="2048"/>
  <c r="H310" i="10541"/>
  <c r="F322" i="10541"/>
  <c r="G13" i="9728" s="1"/>
  <c r="F253" i="512"/>
  <c r="G27" i="9728" s="1"/>
  <c r="H241" i="512"/>
  <c r="H98" i="25586"/>
  <c r="F110" i="25586"/>
  <c r="G6" i="9728" s="1"/>
  <c r="R1193" i="1"/>
  <c r="H190" i="10285"/>
  <c r="F202" i="10285"/>
  <c r="G31" i="9728" s="1"/>
  <c r="H190" i="768"/>
  <c r="F202" i="768"/>
  <c r="G32" i="9728" s="1"/>
  <c r="H98" i="25585"/>
  <c r="F110" i="25585"/>
  <c r="G7" i="9728" s="1"/>
  <c r="D312" i="25580"/>
  <c r="D243" i="25588"/>
  <c r="E311" i="20994"/>
  <c r="E242" i="1024"/>
  <c r="B241" i="9216"/>
  <c r="R970" i="1"/>
  <c r="R908" i="1"/>
  <c r="R1097" i="1"/>
  <c r="R1616" i="1"/>
  <c r="R1475" i="1"/>
  <c r="D117" i="25582"/>
  <c r="D312" i="25587"/>
  <c r="V287" i="1"/>
  <c r="D243" i="2819"/>
  <c r="R63" i="1"/>
  <c r="D192" i="768"/>
  <c r="E311" i="3"/>
  <c r="T1428" i="1"/>
  <c r="T579" i="1"/>
  <c r="R373" i="1"/>
  <c r="D117" i="25583"/>
  <c r="D113" i="25584"/>
  <c r="D242" i="2316"/>
  <c r="D242" i="25588"/>
  <c r="D99" i="25586"/>
  <c r="R125" i="1"/>
  <c r="D311" i="25587"/>
  <c r="D242" i="2048"/>
  <c r="D242" i="25590"/>
  <c r="D311" i="4888"/>
  <c r="D311" i="10541"/>
  <c r="D242" i="512"/>
  <c r="D99" i="25585"/>
  <c r="D312" i="32"/>
  <c r="D191" i="10285"/>
  <c r="D242" i="2819"/>
  <c r="D191" i="768"/>
  <c r="R1396" i="1"/>
  <c r="R187" i="1"/>
  <c r="R1032" i="1"/>
  <c r="B241" i="25589"/>
  <c r="T532" i="1"/>
  <c r="R846" i="1"/>
  <c r="B241" i="8196"/>
  <c r="R1145" i="1"/>
  <c r="B241" i="523"/>
  <c r="B310" i="25580"/>
  <c r="R437" i="1"/>
  <c r="B310" i="2561"/>
  <c r="H310" i="2561" s="1"/>
  <c r="B111" i="25584"/>
  <c r="B115" i="25583"/>
  <c r="B115" i="25582"/>
  <c r="B240" i="1024"/>
  <c r="B97" i="25585"/>
  <c r="H97" i="25585" s="1"/>
  <c r="B97" i="25586"/>
  <c r="H97" i="25586" s="1"/>
  <c r="A97" i="25586"/>
  <c r="A97" i="25585" s="1"/>
  <c r="A309" i="25580" s="1"/>
  <c r="A309" i="4888" s="1"/>
  <c r="A189" i="10285" s="1"/>
  <c r="A189" i="768" s="1"/>
  <c r="A309" i="20994" s="1"/>
  <c r="A240" i="9216" s="1"/>
  <c r="A240" i="1024" s="1"/>
  <c r="A310" i="32" s="1"/>
  <c r="A240" i="2316" s="1"/>
  <c r="A240" i="2819" s="1"/>
  <c r="A309" i="2561" s="1"/>
  <c r="A240" i="523" s="1"/>
  <c r="A309" i="10541" s="1"/>
  <c r="A240" i="2048" s="1"/>
  <c r="A115" i="25582" s="1"/>
  <c r="A115" i="25583" s="1"/>
  <c r="A111" i="25584" s="1"/>
  <c r="A240" i="8196" s="1"/>
  <c r="A240" i="512" s="1"/>
  <c r="A309" i="25587" s="1"/>
  <c r="A240" i="25588" s="1"/>
  <c r="A240" i="25589" s="1"/>
  <c r="A240" i="25590" s="1"/>
  <c r="Q1615" i="1"/>
  <c r="B240" i="25590" s="1"/>
  <c r="H240" i="25590" s="1"/>
  <c r="Q1568" i="1"/>
  <c r="R1568" i="1" s="1"/>
  <c r="Q1521" i="1"/>
  <c r="R1521" i="1" s="1"/>
  <c r="Q1474" i="1"/>
  <c r="B240" i="25588" s="1"/>
  <c r="H240" i="25588" s="1"/>
  <c r="S1427" i="1"/>
  <c r="B189" i="768" s="1"/>
  <c r="H189" i="768" s="1"/>
  <c r="Q1395" i="1"/>
  <c r="B240" i="512" s="1"/>
  <c r="H240" i="512" s="1"/>
  <c r="O1210" i="1"/>
  <c r="P1210" i="1" s="1"/>
  <c r="Q1192" i="1"/>
  <c r="Q1144" i="1"/>
  <c r="Q1096" i="1"/>
  <c r="B240" i="2819" s="1"/>
  <c r="H240" i="2819" s="1"/>
  <c r="Q1031" i="1"/>
  <c r="B240" i="25589" s="1"/>
  <c r="H240" i="25589" s="1"/>
  <c r="Q969" i="1"/>
  <c r="B309" i="20994" s="1"/>
  <c r="Q907" i="1"/>
  <c r="R907" i="1" s="1"/>
  <c r="Q845" i="1"/>
  <c r="O595" i="1"/>
  <c r="P595" i="1" s="1"/>
  <c r="S578" i="1"/>
  <c r="B189" i="10285" s="1"/>
  <c r="H189" i="10285" s="1"/>
  <c r="S531" i="1"/>
  <c r="B309" i="10541" s="1"/>
  <c r="H309" i="10541" s="1"/>
  <c r="Q436" i="1"/>
  <c r="B309" i="2561" s="1"/>
  <c r="H309" i="2561" s="1"/>
  <c r="Q372" i="1"/>
  <c r="U286" i="1"/>
  <c r="V286" i="1" s="1"/>
  <c r="Q186" i="1"/>
  <c r="B309" i="4888" s="1"/>
  <c r="Q124" i="1"/>
  <c r="Q62" i="1"/>
  <c r="C309" i="3" s="1"/>
  <c r="H241" i="523" l="1"/>
  <c r="F253" i="523"/>
  <c r="G33" i="9728" s="1"/>
  <c r="H310" i="25580"/>
  <c r="F322" i="25580"/>
  <c r="G8" i="9728" s="1"/>
  <c r="H309" i="4888"/>
  <c r="H241" i="8196"/>
  <c r="F253" i="8196"/>
  <c r="G26" i="9728" s="1"/>
  <c r="H241" i="25589"/>
  <c r="F253" i="25589"/>
  <c r="G29" i="9728" s="1"/>
  <c r="F123" i="25584"/>
  <c r="F127" i="25583"/>
  <c r="F127" i="25582"/>
  <c r="G252" i="1024"/>
  <c r="G321" i="20994"/>
  <c r="G321" i="3"/>
  <c r="F252" i="2819"/>
  <c r="F321" i="10541"/>
  <c r="F109" i="25586"/>
  <c r="F201" i="10285"/>
  <c r="F252" i="512"/>
  <c r="F201" i="768"/>
  <c r="F252" i="25589"/>
  <c r="F252" i="25590"/>
  <c r="F109" i="25585"/>
  <c r="F321" i="4888"/>
  <c r="F252" i="25588"/>
  <c r="R969" i="1"/>
  <c r="B240" i="9216"/>
  <c r="E241" i="9216" s="1"/>
  <c r="E242" i="9216"/>
  <c r="R186" i="1"/>
  <c r="E310" i="20994"/>
  <c r="D112" i="25584"/>
  <c r="D116" i="25582"/>
  <c r="D241" i="512"/>
  <c r="D242" i="25589"/>
  <c r="D190" i="768"/>
  <c r="D241" i="25590"/>
  <c r="D242" i="8196"/>
  <c r="D311" i="25580"/>
  <c r="R1395" i="1"/>
  <c r="D242" i="523"/>
  <c r="E241" i="1024"/>
  <c r="D310" i="4888"/>
  <c r="R1474" i="1"/>
  <c r="R1615" i="1"/>
  <c r="D98" i="25586"/>
  <c r="D241" i="2819"/>
  <c r="D241" i="25588"/>
  <c r="D98" i="25585"/>
  <c r="D310" i="10541"/>
  <c r="E310" i="3"/>
  <c r="T531" i="1"/>
  <c r="R1031" i="1"/>
  <c r="D116" i="25583"/>
  <c r="D190" i="10285"/>
  <c r="D241" i="25589"/>
  <c r="R372" i="1"/>
  <c r="B240" i="2316"/>
  <c r="H240" i="2316" s="1"/>
  <c r="R845" i="1"/>
  <c r="B240" i="8196"/>
  <c r="H240" i="8196" s="1"/>
  <c r="R1144" i="1"/>
  <c r="B240" i="523"/>
  <c r="H240" i="523" s="1"/>
  <c r="R62" i="1"/>
  <c r="R436" i="1"/>
  <c r="T578" i="1"/>
  <c r="R1192" i="1"/>
  <c r="B240" i="2048"/>
  <c r="H240" i="2048" s="1"/>
  <c r="T1427" i="1"/>
  <c r="R124" i="1"/>
  <c r="B309" i="25580"/>
  <c r="H309" i="25580" s="1"/>
  <c r="B310" i="32"/>
  <c r="R1096" i="1"/>
  <c r="B309" i="25587"/>
  <c r="H309" i="25587" s="1"/>
  <c r="B110" i="25584"/>
  <c r="B114" i="25583"/>
  <c r="B114" i="25582"/>
  <c r="B308" i="20994"/>
  <c r="B96" i="25585"/>
  <c r="H96" i="25585" s="1"/>
  <c r="B96" i="25586"/>
  <c r="H96" i="25586" s="1"/>
  <c r="A96" i="25586"/>
  <c r="A96" i="25585" s="1"/>
  <c r="A308" i="25580" s="1"/>
  <c r="A308" i="4888" s="1"/>
  <c r="A188" i="10285" s="1"/>
  <c r="A188" i="768" s="1"/>
  <c r="A308" i="20994" s="1"/>
  <c r="A239" i="9216" s="1"/>
  <c r="A239" i="1024" s="1"/>
  <c r="A309" i="32" s="1"/>
  <c r="A239" i="2316" s="1"/>
  <c r="A239" i="2819" s="1"/>
  <c r="A308" i="2561" s="1"/>
  <c r="A239" i="523" s="1"/>
  <c r="A308" i="10541" s="1"/>
  <c r="A239" i="2048" s="1"/>
  <c r="A114" i="25582" s="1"/>
  <c r="A114" i="25583" s="1"/>
  <c r="A110" i="25584" s="1"/>
  <c r="A239" i="8196" s="1"/>
  <c r="A239" i="512" s="1"/>
  <c r="A308" i="25587" s="1"/>
  <c r="A239" i="25588" s="1"/>
  <c r="A239" i="25589" s="1"/>
  <c r="A239" i="25590" s="1"/>
  <c r="Q123" i="1"/>
  <c r="Q185" i="1"/>
  <c r="B308" i="4888" s="1"/>
  <c r="U285" i="1"/>
  <c r="Q371" i="1"/>
  <c r="Q435" i="1"/>
  <c r="B308" i="2561" s="1"/>
  <c r="H308" i="2561" s="1"/>
  <c r="S530" i="1"/>
  <c r="B308" i="10541" s="1"/>
  <c r="H308" i="10541" s="1"/>
  <c r="S577" i="1"/>
  <c r="Q844" i="1"/>
  <c r="Q906" i="1"/>
  <c r="B308" i="25587" s="1"/>
  <c r="H308" i="25587" s="1"/>
  <c r="Q1030" i="1"/>
  <c r="Q1095" i="1"/>
  <c r="Q1143" i="1"/>
  <c r="Q1191" i="1"/>
  <c r="B239" i="2048" s="1"/>
  <c r="H239" i="2048" s="1"/>
  <c r="Q1394" i="1"/>
  <c r="B239" i="512" s="1"/>
  <c r="H239" i="512" s="1"/>
  <c r="S1426" i="1"/>
  <c r="Q1473" i="1"/>
  <c r="Q1614" i="1"/>
  <c r="B239" i="25590" s="1"/>
  <c r="H239" i="25590" s="1"/>
  <c r="Q61" i="1"/>
  <c r="R61" i="1" s="1"/>
  <c r="O594" i="1"/>
  <c r="P594" i="1" s="1"/>
  <c r="O1209" i="1"/>
  <c r="P1209" i="1" s="1"/>
  <c r="Q1567" i="1"/>
  <c r="R1567" i="1" s="1"/>
  <c r="Q1520" i="1"/>
  <c r="B239" i="9216" s="1"/>
  <c r="R1520" i="1"/>
  <c r="Q968" i="1"/>
  <c r="R968" i="1" s="1"/>
  <c r="H308" i="4888" l="1"/>
  <c r="G252" i="9216"/>
  <c r="F252" i="2316"/>
  <c r="F321" i="25587"/>
  <c r="F322" i="32"/>
  <c r="F252" i="8196"/>
  <c r="F252" i="2048"/>
  <c r="F321" i="25580"/>
  <c r="F252" i="523"/>
  <c r="F122" i="25584"/>
  <c r="F126" i="25583"/>
  <c r="F126" i="25582"/>
  <c r="G251" i="9216"/>
  <c r="G320" i="20994"/>
  <c r="F320" i="25587"/>
  <c r="F108" i="25586"/>
  <c r="F320" i="4888"/>
  <c r="F251" i="512"/>
  <c r="F320" i="10541"/>
  <c r="F108" i="25585"/>
  <c r="F251" i="25590"/>
  <c r="F251" i="2048"/>
  <c r="R1614" i="1"/>
  <c r="R435" i="1"/>
  <c r="T530" i="1"/>
  <c r="R1394" i="1"/>
  <c r="B239" i="1024"/>
  <c r="R123" i="1"/>
  <c r="D241" i="8196"/>
  <c r="E240" i="9216"/>
  <c r="E309" i="20994"/>
  <c r="D241" i="523"/>
  <c r="D310" i="25580"/>
  <c r="D311" i="32"/>
  <c r="D241" i="2048"/>
  <c r="D241" i="2316"/>
  <c r="D97" i="25586"/>
  <c r="D310" i="25587"/>
  <c r="D240" i="25590"/>
  <c r="D309" i="10541"/>
  <c r="B239" i="8196"/>
  <c r="H239" i="8196" s="1"/>
  <c r="R844" i="1"/>
  <c r="D111" i="25584"/>
  <c r="B239" i="523"/>
  <c r="H239" i="523" s="1"/>
  <c r="R1143" i="1"/>
  <c r="B239" i="25588"/>
  <c r="H239" i="25588" s="1"/>
  <c r="R1473" i="1"/>
  <c r="B239" i="2316"/>
  <c r="H239" i="2316" s="1"/>
  <c r="R371" i="1"/>
  <c r="D97" i="25585"/>
  <c r="D309" i="4888"/>
  <c r="D240" i="2048"/>
  <c r="D240" i="512"/>
  <c r="D115" i="25583"/>
  <c r="D115" i="25582"/>
  <c r="D309" i="25587"/>
  <c r="R1191" i="1"/>
  <c r="B308" i="25580"/>
  <c r="H308" i="25580" s="1"/>
  <c r="R185" i="1"/>
  <c r="C308" i="3"/>
  <c r="R906" i="1"/>
  <c r="T1426" i="1"/>
  <c r="B188" i="768"/>
  <c r="H188" i="768" s="1"/>
  <c r="R1095" i="1"/>
  <c r="B239" i="2819"/>
  <c r="H239" i="2819" s="1"/>
  <c r="T577" i="1"/>
  <c r="B188" i="10285"/>
  <c r="H188" i="10285" s="1"/>
  <c r="V285" i="1"/>
  <c r="B309" i="32"/>
  <c r="R1030" i="1"/>
  <c r="B239" i="25589"/>
  <c r="H239" i="25589" s="1"/>
  <c r="B109" i="25584"/>
  <c r="B113" i="25583"/>
  <c r="B113" i="25582"/>
  <c r="B238" i="1024"/>
  <c r="B238" i="9216"/>
  <c r="B95" i="25585"/>
  <c r="H95" i="25585" s="1"/>
  <c r="B95" i="25586"/>
  <c r="H95" i="25586" s="1"/>
  <c r="A95" i="25586"/>
  <c r="A95" i="25585" s="1"/>
  <c r="A307" i="25580" s="1"/>
  <c r="A307" i="4888" s="1"/>
  <c r="A187" i="10285" s="1"/>
  <c r="A187" i="768" s="1"/>
  <c r="A307" i="20994" s="1"/>
  <c r="A238" i="9216" s="1"/>
  <c r="A238" i="1024" s="1"/>
  <c r="A308" i="32" s="1"/>
  <c r="A238" i="2316" s="1"/>
  <c r="A238" i="2819" s="1"/>
  <c r="A307" i="2561" s="1"/>
  <c r="A238" i="523" s="1"/>
  <c r="A307" i="10541" s="1"/>
  <c r="A238" i="2048" s="1"/>
  <c r="A113" i="25582" s="1"/>
  <c r="A113" i="25583" s="1"/>
  <c r="A109" i="25584" s="1"/>
  <c r="A238" i="8196" s="1"/>
  <c r="A238" i="512" s="1"/>
  <c r="A307" i="25587" s="1"/>
  <c r="A238" i="25588" s="1"/>
  <c r="A238" i="25589" s="1"/>
  <c r="A238" i="25590" s="1"/>
  <c r="Q122" i="1"/>
  <c r="Q184" i="1"/>
  <c r="U284" i="1"/>
  <c r="Q370" i="1"/>
  <c r="B238" i="2316" s="1"/>
  <c r="H238" i="2316" s="1"/>
  <c r="Q434" i="1"/>
  <c r="B307" i="2561" s="1"/>
  <c r="H307" i="2561" s="1"/>
  <c r="S529" i="1"/>
  <c r="S576" i="1"/>
  <c r="Q843" i="1"/>
  <c r="B238" i="8196" s="1"/>
  <c r="H238" i="8196" s="1"/>
  <c r="Q905" i="1"/>
  <c r="B307" i="25587" s="1"/>
  <c r="H307" i="25587" s="1"/>
  <c r="Q1029" i="1"/>
  <c r="Q1094" i="1"/>
  <c r="B238" i="2819" s="1"/>
  <c r="H238" i="2819" s="1"/>
  <c r="Q1142" i="1"/>
  <c r="B238" i="523" s="1"/>
  <c r="H238" i="523" s="1"/>
  <c r="Q1190" i="1"/>
  <c r="B238" i="2048" s="1"/>
  <c r="H238" i="2048" s="1"/>
  <c r="Q1393" i="1"/>
  <c r="B238" i="512" s="1"/>
  <c r="H238" i="512" s="1"/>
  <c r="S1425" i="1"/>
  <c r="Q1472" i="1"/>
  <c r="B238" i="25588" s="1"/>
  <c r="H238" i="25588" s="1"/>
  <c r="Q1613" i="1"/>
  <c r="B238" i="25590" s="1"/>
  <c r="H238" i="25590" s="1"/>
  <c r="Q60" i="1"/>
  <c r="R60" i="1" s="1"/>
  <c r="O593" i="1"/>
  <c r="P593" i="1" s="1"/>
  <c r="O1208" i="1"/>
  <c r="P1208" i="1" s="1"/>
  <c r="Q1566" i="1"/>
  <c r="R1566" i="1" s="1"/>
  <c r="Q1519" i="1"/>
  <c r="R1519" i="1"/>
  <c r="Q967" i="1"/>
  <c r="R967" i="1" s="1"/>
  <c r="G320" i="3" l="1"/>
  <c r="F251" i="25588"/>
  <c r="F200" i="768"/>
  <c r="F321" i="32"/>
  <c r="F251" i="2819"/>
  <c r="F251" i="8196"/>
  <c r="F251" i="25589"/>
  <c r="F251" i="523"/>
  <c r="F320" i="25580"/>
  <c r="F200" i="10285"/>
  <c r="F251" i="2316"/>
  <c r="F121" i="25584"/>
  <c r="F125" i="25583"/>
  <c r="F125" i="25582"/>
  <c r="G251" i="1024"/>
  <c r="G250" i="1024"/>
  <c r="G250" i="9216"/>
  <c r="F250" i="512"/>
  <c r="F250" i="25588"/>
  <c r="F107" i="25585"/>
  <c r="F250" i="2048"/>
  <c r="F250" i="523"/>
  <c r="F250" i="2316"/>
  <c r="F250" i="8196"/>
  <c r="F107" i="25586"/>
  <c r="F250" i="2819"/>
  <c r="F250" i="25590"/>
  <c r="F319" i="25587"/>
  <c r="R1613" i="1"/>
  <c r="E240" i="1024"/>
  <c r="R370" i="1"/>
  <c r="R843" i="1"/>
  <c r="B307" i="20994"/>
  <c r="R122" i="1"/>
  <c r="R905" i="1"/>
  <c r="D240" i="8196"/>
  <c r="D240" i="2316"/>
  <c r="D240" i="523"/>
  <c r="D309" i="25580"/>
  <c r="E239" i="1024"/>
  <c r="E239" i="9216"/>
  <c r="D189" i="10285"/>
  <c r="D310" i="32"/>
  <c r="D240" i="25589"/>
  <c r="D189" i="768"/>
  <c r="D240" i="2819"/>
  <c r="D240" i="25588"/>
  <c r="R434" i="1"/>
  <c r="E309" i="3"/>
  <c r="R1393" i="1"/>
  <c r="R1190" i="1"/>
  <c r="D110" i="25584"/>
  <c r="R1142" i="1"/>
  <c r="R1472" i="1"/>
  <c r="D114" i="25582"/>
  <c r="D114" i="25583"/>
  <c r="D239" i="25588"/>
  <c r="D239" i="523"/>
  <c r="D239" i="8196"/>
  <c r="D239" i="2316"/>
  <c r="D239" i="2819"/>
  <c r="D239" i="512"/>
  <c r="D96" i="25586"/>
  <c r="D239" i="25590"/>
  <c r="D239" i="2048"/>
  <c r="D308" i="25587"/>
  <c r="B307" i="25580"/>
  <c r="H307" i="25580" s="1"/>
  <c r="D96" i="25585"/>
  <c r="T1425" i="1"/>
  <c r="B187" i="768"/>
  <c r="H187" i="768" s="1"/>
  <c r="V284" i="1"/>
  <c r="B308" i="32"/>
  <c r="R1094" i="1"/>
  <c r="R184" i="1"/>
  <c r="B307" i="4888"/>
  <c r="T576" i="1"/>
  <c r="B187" i="10285"/>
  <c r="H187" i="10285" s="1"/>
  <c r="R1029" i="1"/>
  <c r="B238" i="25589"/>
  <c r="H238" i="25589" s="1"/>
  <c r="T529" i="1"/>
  <c r="B307" i="10541"/>
  <c r="H307" i="10541" s="1"/>
  <c r="C307" i="3"/>
  <c r="B108" i="25584"/>
  <c r="B112" i="25583"/>
  <c r="B112" i="25582"/>
  <c r="B94" i="25585"/>
  <c r="H94" i="25585" s="1"/>
  <c r="B94" i="25586"/>
  <c r="H94" i="25586" s="1"/>
  <c r="A94" i="25586"/>
  <c r="A94" i="25585" s="1"/>
  <c r="A306" i="25580" s="1"/>
  <c r="A306" i="4888" s="1"/>
  <c r="A186" i="10285" s="1"/>
  <c r="A186" i="768" s="1"/>
  <c r="A306" i="20994" s="1"/>
  <c r="A237" i="9216" s="1"/>
  <c r="A237" i="1024" s="1"/>
  <c r="A307" i="32" s="1"/>
  <c r="A237" i="2316" s="1"/>
  <c r="A237" i="2819" s="1"/>
  <c r="A306" i="2561" s="1"/>
  <c r="A237" i="523" s="1"/>
  <c r="A306" i="10541" s="1"/>
  <c r="A237" i="2048" s="1"/>
  <c r="A112" i="25582" s="1"/>
  <c r="A112" i="25583" s="1"/>
  <c r="A108" i="25584" s="1"/>
  <c r="A237" i="8196" s="1"/>
  <c r="A237" i="512" s="1"/>
  <c r="A306" i="25587" s="1"/>
  <c r="A237" i="25588" s="1"/>
  <c r="A237" i="25589" s="1"/>
  <c r="A237" i="25590" s="1"/>
  <c r="Q1565" i="1"/>
  <c r="B237" i="1024" s="1"/>
  <c r="Q1518" i="1"/>
  <c r="B237" i="9216" s="1"/>
  <c r="Q966" i="1"/>
  <c r="R966" i="1" s="1"/>
  <c r="Q121" i="1"/>
  <c r="Q183" i="1"/>
  <c r="U283" i="1"/>
  <c r="Q369" i="1"/>
  <c r="B237" i="2316" s="1"/>
  <c r="H237" i="2316" s="1"/>
  <c r="Q433" i="1"/>
  <c r="B306" i="2561" s="1"/>
  <c r="H306" i="2561" s="1"/>
  <c r="S528" i="1"/>
  <c r="S575" i="1"/>
  <c r="T575" i="1" s="1"/>
  <c r="Q842" i="1"/>
  <c r="B237" i="8196" s="1"/>
  <c r="H237" i="8196" s="1"/>
  <c r="Q904" i="1"/>
  <c r="B306" i="25587" s="1"/>
  <c r="H306" i="25587" s="1"/>
  <c r="Q1028" i="1"/>
  <c r="Q1093" i="1"/>
  <c r="Q1141" i="1"/>
  <c r="B237" i="523" s="1"/>
  <c r="H237" i="523" s="1"/>
  <c r="Q1189" i="1"/>
  <c r="Q1392" i="1"/>
  <c r="S1424" i="1"/>
  <c r="T1424" i="1" s="1"/>
  <c r="Q1471" i="1"/>
  <c r="B237" i="25588" s="1"/>
  <c r="H237" i="25588" s="1"/>
  <c r="Q1612" i="1"/>
  <c r="B237" i="25590" s="1"/>
  <c r="H237" i="25590" s="1"/>
  <c r="Q59" i="1"/>
  <c r="O592" i="1"/>
  <c r="P592" i="1" s="1"/>
  <c r="O1207" i="1"/>
  <c r="P1207" i="1" s="1"/>
  <c r="R1565" i="1"/>
  <c r="R1518" i="1"/>
  <c r="H307" i="4888" l="1"/>
  <c r="G319" i="20994"/>
  <c r="G319" i="3"/>
  <c r="F199" i="768"/>
  <c r="F199" i="10285"/>
  <c r="F320" i="32"/>
  <c r="F250" i="25589"/>
  <c r="F319" i="4888"/>
  <c r="F319" i="25580"/>
  <c r="F319" i="10541"/>
  <c r="F120" i="25584"/>
  <c r="F124" i="25583"/>
  <c r="F124" i="25582"/>
  <c r="G249" i="1024"/>
  <c r="G249" i="9216"/>
  <c r="R1471" i="1"/>
  <c r="F249" i="523"/>
  <c r="F249" i="2316"/>
  <c r="F249" i="25588"/>
  <c r="F249" i="8196"/>
  <c r="F318" i="25587"/>
  <c r="F106" i="25586"/>
  <c r="F249" i="25590"/>
  <c r="F106" i="25585"/>
  <c r="R1612" i="1"/>
  <c r="E308" i="20994"/>
  <c r="B306" i="20994"/>
  <c r="D113" i="25583"/>
  <c r="E308" i="3"/>
  <c r="E238" i="9216"/>
  <c r="R1141" i="1"/>
  <c r="D308" i="10541"/>
  <c r="D188" i="10285"/>
  <c r="D309" i="32"/>
  <c r="D239" i="25589"/>
  <c r="D308" i="4888"/>
  <c r="D308" i="25580"/>
  <c r="D188" i="768"/>
  <c r="D113" i="25582"/>
  <c r="E238" i="1024"/>
  <c r="D109" i="25584"/>
  <c r="R369" i="1"/>
  <c r="D238" i="25590"/>
  <c r="D307" i="25587"/>
  <c r="B306" i="25580"/>
  <c r="H306" i="25580" s="1"/>
  <c r="R433" i="1"/>
  <c r="D238" i="25588"/>
  <c r="D238" i="2316"/>
  <c r="D95" i="25586"/>
  <c r="D95" i="25585"/>
  <c r="D238" i="523"/>
  <c r="D238" i="8196"/>
  <c r="R121" i="1"/>
  <c r="R842" i="1"/>
  <c r="B186" i="768"/>
  <c r="H186" i="768" s="1"/>
  <c r="R59" i="1"/>
  <c r="C306" i="3"/>
  <c r="B237" i="512"/>
  <c r="H237" i="512" s="1"/>
  <c r="R1392" i="1"/>
  <c r="B237" i="25589"/>
  <c r="H237" i="25589" s="1"/>
  <c r="R1028" i="1"/>
  <c r="T528" i="1"/>
  <c r="B306" i="10541"/>
  <c r="H306" i="10541" s="1"/>
  <c r="R183" i="1"/>
  <c r="B306" i="4888"/>
  <c r="R904" i="1"/>
  <c r="B186" i="10285"/>
  <c r="H186" i="10285" s="1"/>
  <c r="R1189" i="1"/>
  <c r="B237" i="2048"/>
  <c r="H237" i="2048" s="1"/>
  <c r="R1093" i="1"/>
  <c r="B237" i="2819"/>
  <c r="H237" i="2819" s="1"/>
  <c r="V283" i="1"/>
  <c r="B307" i="32"/>
  <c r="B107" i="25584"/>
  <c r="B111" i="25583"/>
  <c r="B111" i="25582"/>
  <c r="B93" i="25585"/>
  <c r="H93" i="25585" s="1"/>
  <c r="B93" i="25586"/>
  <c r="H93" i="25586" s="1"/>
  <c r="A93" i="25586"/>
  <c r="A93" i="25585" s="1"/>
  <c r="A305" i="25580" s="1"/>
  <c r="A305" i="4888" s="1"/>
  <c r="A185" i="10285" s="1"/>
  <c r="A185" i="768" s="1"/>
  <c r="A305" i="20994" s="1"/>
  <c r="A236" i="9216" s="1"/>
  <c r="A236" i="1024" s="1"/>
  <c r="A306" i="32" s="1"/>
  <c r="A236" i="2316" s="1"/>
  <c r="A236" i="2819" s="1"/>
  <c r="A305" i="2561" s="1"/>
  <c r="A236" i="523" s="1"/>
  <c r="A305" i="10541" s="1"/>
  <c r="A236" i="2048" s="1"/>
  <c r="A111" i="25582" s="1"/>
  <c r="A111" i="25583" s="1"/>
  <c r="A107" i="25584" s="1"/>
  <c r="A236" i="8196" s="1"/>
  <c r="A236" i="512" s="1"/>
  <c r="A305" i="25587" s="1"/>
  <c r="A236" i="25588" s="1"/>
  <c r="A236" i="25589" s="1"/>
  <c r="A236" i="25590" s="1"/>
  <c r="Q120" i="1"/>
  <c r="Q182" i="1"/>
  <c r="U282" i="1"/>
  <c r="B306" i="32" s="1"/>
  <c r="Q368" i="1"/>
  <c r="Q432" i="1"/>
  <c r="B305" i="2561" s="1"/>
  <c r="H305" i="2561" s="1"/>
  <c r="S527" i="1"/>
  <c r="S574" i="1"/>
  <c r="T574" i="1" s="1"/>
  <c r="Q841" i="1"/>
  <c r="B236" i="8196" s="1"/>
  <c r="H236" i="8196" s="1"/>
  <c r="Q903" i="1"/>
  <c r="B305" i="25587" s="1"/>
  <c r="H305" i="25587" s="1"/>
  <c r="Q1027" i="1"/>
  <c r="Q1092" i="1"/>
  <c r="B236" i="2819" s="1"/>
  <c r="H236" i="2819" s="1"/>
  <c r="Q1140" i="1"/>
  <c r="B236" i="523" s="1"/>
  <c r="H236" i="523" s="1"/>
  <c r="Q1188" i="1"/>
  <c r="Q1391" i="1"/>
  <c r="S1423" i="1"/>
  <c r="B185" i="768" s="1"/>
  <c r="H185" i="768" s="1"/>
  <c r="Q1470" i="1"/>
  <c r="Q1611" i="1"/>
  <c r="B236" i="25590" s="1"/>
  <c r="H236" i="25590" s="1"/>
  <c r="Q58" i="1"/>
  <c r="C305" i="3" s="1"/>
  <c r="O591" i="1"/>
  <c r="P591" i="1" s="1"/>
  <c r="O1206" i="1"/>
  <c r="P1206" i="1" s="1"/>
  <c r="Q1564" i="1"/>
  <c r="R1564" i="1" s="1"/>
  <c r="Q1517" i="1"/>
  <c r="B236" i="9216" s="1"/>
  <c r="R1517" i="1"/>
  <c r="Q965" i="1"/>
  <c r="R965" i="1" s="1"/>
  <c r="H306" i="4888" l="1"/>
  <c r="G318" i="20994"/>
  <c r="G318" i="3"/>
  <c r="F249" i="2048"/>
  <c r="F318" i="25580"/>
  <c r="F249" i="25589"/>
  <c r="F198" i="10285"/>
  <c r="F249" i="512"/>
  <c r="F318" i="4888"/>
  <c r="F249" i="2819"/>
  <c r="F318" i="10541"/>
  <c r="F198" i="768"/>
  <c r="F248" i="25590"/>
  <c r="F317" i="25587"/>
  <c r="F248" i="8196"/>
  <c r="F119" i="25584"/>
  <c r="F123" i="25583"/>
  <c r="F123" i="25582"/>
  <c r="F248" i="523"/>
  <c r="F248" i="2819"/>
  <c r="F318" i="32"/>
  <c r="G248" i="9216"/>
  <c r="F197" i="768"/>
  <c r="F105" i="25585"/>
  <c r="F105" i="25586"/>
  <c r="G317" i="3"/>
  <c r="R1611" i="1"/>
  <c r="E307" i="20994"/>
  <c r="B305" i="20994"/>
  <c r="B236" i="1024"/>
  <c r="R1140" i="1"/>
  <c r="E307" i="3"/>
  <c r="R841" i="1"/>
  <c r="D112" i="25583"/>
  <c r="R120" i="1"/>
  <c r="D308" i="32"/>
  <c r="D238" i="25589"/>
  <c r="D238" i="2819"/>
  <c r="D187" i="10285"/>
  <c r="D307" i="10541"/>
  <c r="D238" i="2048"/>
  <c r="D307" i="4888"/>
  <c r="R1092" i="1"/>
  <c r="D238" i="512"/>
  <c r="D187" i="768"/>
  <c r="D307" i="25580"/>
  <c r="E237" i="9216"/>
  <c r="R58" i="1"/>
  <c r="R903" i="1"/>
  <c r="D112" i="25582"/>
  <c r="R432" i="1"/>
  <c r="E306" i="3"/>
  <c r="D108" i="25584"/>
  <c r="D94" i="25585"/>
  <c r="D94" i="25586"/>
  <c r="D237" i="25590"/>
  <c r="D306" i="25587"/>
  <c r="B305" i="25580"/>
  <c r="H305" i="25580" s="1"/>
  <c r="D237" i="523"/>
  <c r="D237" i="8196"/>
  <c r="D186" i="768"/>
  <c r="D237" i="2819"/>
  <c r="D307" i="32"/>
  <c r="R1391" i="1"/>
  <c r="B236" i="512"/>
  <c r="H236" i="512" s="1"/>
  <c r="R1027" i="1"/>
  <c r="B236" i="25589"/>
  <c r="H236" i="25589" s="1"/>
  <c r="T527" i="1"/>
  <c r="B305" i="10541"/>
  <c r="H305" i="10541" s="1"/>
  <c r="R182" i="1"/>
  <c r="B305" i="4888"/>
  <c r="V282" i="1"/>
  <c r="T1423" i="1"/>
  <c r="B236" i="25588"/>
  <c r="H236" i="25588" s="1"/>
  <c r="R1470" i="1"/>
  <c r="R368" i="1"/>
  <c r="B236" i="2316"/>
  <c r="H236" i="2316" s="1"/>
  <c r="B185" i="10285"/>
  <c r="H185" i="10285" s="1"/>
  <c r="R1188" i="1"/>
  <c r="B236" i="2048"/>
  <c r="H236" i="2048" s="1"/>
  <c r="B106" i="25584"/>
  <c r="B110" i="25583"/>
  <c r="B110" i="25582"/>
  <c r="B92" i="25585"/>
  <c r="H92" i="25585" s="1"/>
  <c r="B92" i="25586"/>
  <c r="H92" i="25586" s="1"/>
  <c r="A92" i="25586"/>
  <c r="A92" i="25585" s="1"/>
  <c r="A304" i="25580" s="1"/>
  <c r="A304" i="4888" s="1"/>
  <c r="A184" i="10285" s="1"/>
  <c r="A184" i="768" s="1"/>
  <c r="A304" i="20994" s="1"/>
  <c r="A235" i="9216" s="1"/>
  <c r="A235" i="1024" s="1"/>
  <c r="A305" i="32" s="1"/>
  <c r="A235" i="2316" s="1"/>
  <c r="A235" i="2819" s="1"/>
  <c r="A304" i="2561" s="1"/>
  <c r="A235" i="523" s="1"/>
  <c r="A304" i="10541" s="1"/>
  <c r="A235" i="2048" s="1"/>
  <c r="A110" i="25582" s="1"/>
  <c r="A110" i="25583" s="1"/>
  <c r="A106" i="25584" s="1"/>
  <c r="A235" i="8196" s="1"/>
  <c r="A235" i="512" s="1"/>
  <c r="A304" i="25587" s="1"/>
  <c r="A235" i="25588" s="1"/>
  <c r="A235" i="25589" s="1"/>
  <c r="A235" i="25590" s="1"/>
  <c r="Q119" i="1"/>
  <c r="Q181" i="1"/>
  <c r="B304" i="4888" s="1"/>
  <c r="U281" i="1"/>
  <c r="B305" i="32" s="1"/>
  <c r="Q367" i="1"/>
  <c r="B235" i="2316" s="1"/>
  <c r="H235" i="2316" s="1"/>
  <c r="Q431" i="1"/>
  <c r="B304" i="2561" s="1"/>
  <c r="H304" i="2561" s="1"/>
  <c r="S526" i="1"/>
  <c r="B304" i="10541" s="1"/>
  <c r="H304" i="10541" s="1"/>
  <c r="S573" i="1"/>
  <c r="B184" i="10285" s="1"/>
  <c r="H184" i="10285" s="1"/>
  <c r="Q840" i="1"/>
  <c r="B235" i="8196" s="1"/>
  <c r="H235" i="8196" s="1"/>
  <c r="Q902" i="1"/>
  <c r="B304" i="25587" s="1"/>
  <c r="H304" i="25587" s="1"/>
  <c r="Q1026" i="1"/>
  <c r="Q1091" i="1"/>
  <c r="B235" i="2819" s="1"/>
  <c r="H235" i="2819" s="1"/>
  <c r="Q1139" i="1"/>
  <c r="Q1187" i="1"/>
  <c r="B235" i="2048" s="1"/>
  <c r="H235" i="2048" s="1"/>
  <c r="Q1390" i="1"/>
  <c r="B235" i="512" s="1"/>
  <c r="H235" i="512" s="1"/>
  <c r="S1422" i="1"/>
  <c r="B184" i="768" s="1"/>
  <c r="H184" i="768" s="1"/>
  <c r="Q1469" i="1"/>
  <c r="B235" i="25588" s="1"/>
  <c r="H235" i="25588" s="1"/>
  <c r="Q1610" i="1"/>
  <c r="B235" i="25590" s="1"/>
  <c r="H235" i="25590" s="1"/>
  <c r="Q57" i="1"/>
  <c r="R57" i="1" s="1"/>
  <c r="O590" i="1"/>
  <c r="P590" i="1" s="1"/>
  <c r="O1205" i="1"/>
  <c r="P1205" i="1" s="1"/>
  <c r="Q1563" i="1"/>
  <c r="R1563" i="1" s="1"/>
  <c r="Q1516" i="1"/>
  <c r="R1516" i="1" s="1"/>
  <c r="Q964" i="1"/>
  <c r="R964" i="1" s="1"/>
  <c r="H305" i="4888" l="1"/>
  <c r="H304" i="4888"/>
  <c r="R1469" i="1"/>
  <c r="F248" i="25589"/>
  <c r="F248" i="25588"/>
  <c r="F248" i="512"/>
  <c r="F248" i="2048"/>
  <c r="F317" i="10541"/>
  <c r="F248" i="2316"/>
  <c r="G248" i="1024"/>
  <c r="G317" i="20994"/>
  <c r="F197" i="10285"/>
  <c r="F317" i="4888"/>
  <c r="F317" i="25580"/>
  <c r="F247" i="25590"/>
  <c r="F247" i="25588"/>
  <c r="F316" i="25587"/>
  <c r="F247" i="512"/>
  <c r="F247" i="8196"/>
  <c r="F118" i="25584"/>
  <c r="F122" i="25583"/>
  <c r="F122" i="25582"/>
  <c r="F247" i="2048"/>
  <c r="F316" i="10541"/>
  <c r="F247" i="2819"/>
  <c r="F247" i="2316"/>
  <c r="F196" i="768"/>
  <c r="F196" i="10285"/>
  <c r="F316" i="4888"/>
  <c r="F104" i="25585"/>
  <c r="F104" i="25586"/>
  <c r="E237" i="1024"/>
  <c r="R1610" i="1"/>
  <c r="E306" i="20994"/>
  <c r="R1187" i="1"/>
  <c r="B235" i="1024"/>
  <c r="B304" i="20994"/>
  <c r="B235" i="9216"/>
  <c r="R181" i="1"/>
  <c r="R119" i="1"/>
  <c r="R431" i="1"/>
  <c r="R902" i="1"/>
  <c r="T526" i="1"/>
  <c r="R840" i="1"/>
  <c r="R367" i="1"/>
  <c r="R1390" i="1"/>
  <c r="D111" i="25582"/>
  <c r="D111" i="25583"/>
  <c r="D186" i="10285"/>
  <c r="D237" i="25588"/>
  <c r="D237" i="2316"/>
  <c r="D306" i="10541"/>
  <c r="D237" i="512"/>
  <c r="D185" i="10285"/>
  <c r="D237" i="2048"/>
  <c r="D306" i="4888"/>
  <c r="D237" i="25589"/>
  <c r="D306" i="25580"/>
  <c r="V281" i="1"/>
  <c r="T573" i="1"/>
  <c r="R1091" i="1"/>
  <c r="T1422" i="1"/>
  <c r="D107" i="25584"/>
  <c r="D236" i="512"/>
  <c r="D305" i="10541"/>
  <c r="D305" i="4888"/>
  <c r="D236" i="25590"/>
  <c r="D236" i="2048"/>
  <c r="D305" i="25587"/>
  <c r="B304" i="25580"/>
  <c r="H304" i="25580" s="1"/>
  <c r="D236" i="25588"/>
  <c r="D236" i="8196"/>
  <c r="D236" i="2316"/>
  <c r="D93" i="25585"/>
  <c r="D185" i="768"/>
  <c r="D236" i="2819"/>
  <c r="D306" i="32"/>
  <c r="D93" i="25586"/>
  <c r="R1139" i="1"/>
  <c r="B235" i="523"/>
  <c r="H235" i="523" s="1"/>
  <c r="R1026" i="1"/>
  <c r="B235" i="25589"/>
  <c r="H235" i="25589" s="1"/>
  <c r="C304" i="3"/>
  <c r="B105" i="25584"/>
  <c r="B109" i="25583"/>
  <c r="B109" i="25582"/>
  <c r="Q963" i="1"/>
  <c r="B303" i="20994" s="1"/>
  <c r="Q962" i="1"/>
  <c r="O973" i="1"/>
  <c r="B91" i="25585"/>
  <c r="H91" i="25585" s="1"/>
  <c r="B91" i="25586"/>
  <c r="H91" i="25586" s="1"/>
  <c r="A91" i="25586"/>
  <c r="A91" i="25585" s="1"/>
  <c r="A303" i="25580" s="1"/>
  <c r="A303" i="4888" s="1"/>
  <c r="A183" i="10285" s="1"/>
  <c r="A183" i="768" s="1"/>
  <c r="A303" i="20994" s="1"/>
  <c r="A234" i="9216" s="1"/>
  <c r="A234" i="1024" s="1"/>
  <c r="A304" i="32" s="1"/>
  <c r="A234" i="2316" s="1"/>
  <c r="A234" i="2819" s="1"/>
  <c r="A303" i="2561" s="1"/>
  <c r="A234" i="523" s="1"/>
  <c r="A303" i="10541" s="1"/>
  <c r="A234" i="2048" s="1"/>
  <c r="A109" i="25582" s="1"/>
  <c r="A109" i="25583" s="1"/>
  <c r="A105" i="25584" s="1"/>
  <c r="A234" i="8196" s="1"/>
  <c r="A234" i="512" s="1"/>
  <c r="A303" i="25587" s="1"/>
  <c r="A234" i="25588" s="1"/>
  <c r="A234" i="25589" s="1"/>
  <c r="A234" i="25590" s="1"/>
  <c r="Q1389" i="1"/>
  <c r="B234" i="512" s="1"/>
  <c r="H234" i="512" s="1"/>
  <c r="Q179" i="1"/>
  <c r="Q180" i="1"/>
  <c r="B303" i="4888" s="1"/>
  <c r="H303" i="4888" l="1"/>
  <c r="F247" i="25589"/>
  <c r="F247" i="523"/>
  <c r="G247" i="1024"/>
  <c r="G247" i="9216"/>
  <c r="G316" i="20994"/>
  <c r="F316" i="25580"/>
  <c r="G316" i="3"/>
  <c r="F246" i="512"/>
  <c r="F117" i="25584"/>
  <c r="F121" i="25583"/>
  <c r="F121" i="25582"/>
  <c r="G315" i="20994"/>
  <c r="F315" i="4888"/>
  <c r="F103" i="25585"/>
  <c r="F103" i="25586"/>
  <c r="E236" i="1024"/>
  <c r="E305" i="20994"/>
  <c r="E236" i="9216"/>
  <c r="E304" i="20994"/>
  <c r="E305" i="3"/>
  <c r="D304" i="4888"/>
  <c r="D236" i="25589"/>
  <c r="D92" i="25586"/>
  <c r="D305" i="25580"/>
  <c r="D92" i="25585"/>
  <c r="D236" i="523"/>
  <c r="D110" i="25582"/>
  <c r="D235" i="512"/>
  <c r="D106" i="25584"/>
  <c r="D110" i="25583"/>
  <c r="Q118" i="1" l="1"/>
  <c r="U280" i="1"/>
  <c r="B304" i="32" s="1"/>
  <c r="Q366" i="1"/>
  <c r="B234" i="2316" s="1"/>
  <c r="H234" i="2316" s="1"/>
  <c r="Q430" i="1"/>
  <c r="B303" i="2561" s="1"/>
  <c r="H303" i="2561" s="1"/>
  <c r="S525" i="1"/>
  <c r="B303" i="10541" s="1"/>
  <c r="H303" i="10541" s="1"/>
  <c r="S572" i="1"/>
  <c r="B183" i="10285" s="1"/>
  <c r="H183" i="10285" s="1"/>
  <c r="Q839" i="1"/>
  <c r="B234" i="8196" s="1"/>
  <c r="H234" i="8196" s="1"/>
  <c r="Q901" i="1"/>
  <c r="B303" i="25587" s="1"/>
  <c r="H303" i="25587" s="1"/>
  <c r="Q1025" i="1"/>
  <c r="Q1090" i="1"/>
  <c r="B234" i="2819" s="1"/>
  <c r="H234" i="2819" s="1"/>
  <c r="Q1138" i="1"/>
  <c r="Q1186" i="1"/>
  <c r="B234" i="2048" s="1"/>
  <c r="H234" i="2048" s="1"/>
  <c r="R1389" i="1"/>
  <c r="S1421" i="1"/>
  <c r="B183" i="768" s="1"/>
  <c r="H183" i="768" s="1"/>
  <c r="Q1468" i="1"/>
  <c r="B234" i="25588" s="1"/>
  <c r="H234" i="25588" s="1"/>
  <c r="Q1609" i="1"/>
  <c r="B234" i="25590" s="1"/>
  <c r="H234" i="25590" s="1"/>
  <c r="Q56" i="1"/>
  <c r="C303" i="3" s="1"/>
  <c r="O589" i="1"/>
  <c r="P589" i="1" s="1"/>
  <c r="O1204" i="1"/>
  <c r="P1204" i="1" s="1"/>
  <c r="Q1562" i="1"/>
  <c r="B234" i="1024" s="1"/>
  <c r="Q1515" i="1"/>
  <c r="B234" i="9216" s="1"/>
  <c r="R963" i="1"/>
  <c r="R180" i="1"/>
  <c r="F246" i="25590" l="1"/>
  <c r="F246" i="25588"/>
  <c r="F315" i="25587"/>
  <c r="F246" i="8196"/>
  <c r="F246" i="2048"/>
  <c r="F315" i="10541"/>
  <c r="F246" i="2819"/>
  <c r="F246" i="2316"/>
  <c r="F316" i="32"/>
  <c r="G246" i="1024"/>
  <c r="G246" i="9216"/>
  <c r="F195" i="768"/>
  <c r="F195" i="10285"/>
  <c r="G315" i="3"/>
  <c r="R1515" i="1"/>
  <c r="E235" i="1024"/>
  <c r="E235" i="9216"/>
  <c r="R1562" i="1"/>
  <c r="R1609" i="1"/>
  <c r="R839" i="1"/>
  <c r="R118" i="1"/>
  <c r="T1421" i="1"/>
  <c r="B303" i="25580"/>
  <c r="H303" i="25580" s="1"/>
  <c r="R901" i="1"/>
  <c r="D235" i="25588"/>
  <c r="D235" i="8196"/>
  <c r="D235" i="2316"/>
  <c r="D235" i="25590"/>
  <c r="D304" i="25587"/>
  <c r="D184" i="768"/>
  <c r="D235" i="2819"/>
  <c r="D184" i="10285"/>
  <c r="D305" i="32"/>
  <c r="D235" i="2048"/>
  <c r="E304" i="3"/>
  <c r="D304" i="10541"/>
  <c r="R430" i="1"/>
  <c r="R56" i="1"/>
  <c r="T525" i="1"/>
  <c r="R1186" i="1"/>
  <c r="R1138" i="1"/>
  <c r="B234" i="523"/>
  <c r="H234" i="523" s="1"/>
  <c r="R366" i="1"/>
  <c r="R1090" i="1"/>
  <c r="T572" i="1"/>
  <c r="R1468" i="1"/>
  <c r="R1025" i="1"/>
  <c r="B234" i="25589"/>
  <c r="H234" i="25589" s="1"/>
  <c r="V280" i="1"/>
  <c r="B104" i="25584"/>
  <c r="B108" i="25583"/>
  <c r="B108" i="25582"/>
  <c r="Q1089" i="1"/>
  <c r="B233" i="2819" s="1"/>
  <c r="H233" i="2819" s="1"/>
  <c r="B233" i="9216"/>
  <c r="B302" i="20994"/>
  <c r="B90" i="25585"/>
  <c r="H90" i="25585" s="1"/>
  <c r="B90" i="25586"/>
  <c r="H90" i="25586" s="1"/>
  <c r="A90" i="25586"/>
  <c r="A90" i="25585" s="1"/>
  <c r="A302" i="25580" s="1"/>
  <c r="A302" i="4888" s="1"/>
  <c r="A182" i="10285" s="1"/>
  <c r="A182" i="768" s="1"/>
  <c r="A302" i="20994" s="1"/>
  <c r="A233" i="9216" s="1"/>
  <c r="A233" i="1024" s="1"/>
  <c r="A303" i="32" s="1"/>
  <c r="A233" i="2316" s="1"/>
  <c r="A233" i="2819" s="1"/>
  <c r="A302" i="2561" s="1"/>
  <c r="A233" i="523" s="1"/>
  <c r="A302" i="10541" s="1"/>
  <c r="A233" i="2048" s="1"/>
  <c r="A108" i="25582" s="1"/>
  <c r="A108" i="25583" s="1"/>
  <c r="A104" i="25584" s="1"/>
  <c r="A233" i="8196" s="1"/>
  <c r="A233" i="512" s="1"/>
  <c r="A302" i="25587" s="1"/>
  <c r="A233" i="25588" s="1"/>
  <c r="A233" i="25589" s="1"/>
  <c r="A233" i="25590" s="1"/>
  <c r="Q1608" i="1"/>
  <c r="B233" i="25590" s="1"/>
  <c r="H233" i="25590" s="1"/>
  <c r="Q1514" i="1"/>
  <c r="R1514" i="1" s="1"/>
  <c r="Q1561" i="1"/>
  <c r="B233" i="1024" s="1"/>
  <c r="R1561" i="1"/>
  <c r="Q1467" i="1"/>
  <c r="B233" i="25588" s="1"/>
  <c r="H233" i="25588" s="1"/>
  <c r="S1420" i="1"/>
  <c r="B182" i="768" s="1"/>
  <c r="H182" i="768" s="1"/>
  <c r="Q1388" i="1"/>
  <c r="B233" i="512" s="1"/>
  <c r="H233" i="512" s="1"/>
  <c r="O1203" i="1"/>
  <c r="P1203" i="1" s="1"/>
  <c r="Q1185" i="1"/>
  <c r="B233" i="2048" s="1"/>
  <c r="H233" i="2048" s="1"/>
  <c r="Q1137" i="1"/>
  <c r="B233" i="523" s="1"/>
  <c r="H233" i="523" s="1"/>
  <c r="Q1024" i="1"/>
  <c r="R962" i="1"/>
  <c r="Q900" i="1"/>
  <c r="B302" i="25587" s="1"/>
  <c r="H302" i="25587" s="1"/>
  <c r="Q838" i="1"/>
  <c r="R838" i="1" s="1"/>
  <c r="O588" i="1"/>
  <c r="P588" i="1" s="1"/>
  <c r="S571" i="1"/>
  <c r="B182" i="10285" s="1"/>
  <c r="H182" i="10285" s="1"/>
  <c r="S524" i="1"/>
  <c r="T524" i="1" s="1"/>
  <c r="Q429" i="1"/>
  <c r="Q365" i="1"/>
  <c r="R365" i="1" s="1"/>
  <c r="U279" i="1"/>
  <c r="B302" i="4888"/>
  <c r="R179" i="1"/>
  <c r="Q117" i="1"/>
  <c r="Q55" i="1"/>
  <c r="R55" i="1" s="1"/>
  <c r="H302" i="4888" l="1"/>
  <c r="F246" i="25589"/>
  <c r="F246" i="523"/>
  <c r="F315" i="25580"/>
  <c r="F116" i="25584"/>
  <c r="F120" i="25583"/>
  <c r="F120" i="25582"/>
  <c r="G245" i="1024"/>
  <c r="G245" i="9216"/>
  <c r="G314" i="20994"/>
  <c r="F314" i="4888"/>
  <c r="F314" i="25587"/>
  <c r="F245" i="25590"/>
  <c r="F245" i="25588"/>
  <c r="F194" i="10285"/>
  <c r="F245" i="523"/>
  <c r="F245" i="2048"/>
  <c r="F245" i="512"/>
  <c r="F102" i="25586"/>
  <c r="F245" i="2819"/>
  <c r="F194" i="768"/>
  <c r="F102" i="25585"/>
  <c r="D304" i="25580"/>
  <c r="R1137" i="1"/>
  <c r="D235" i="25589"/>
  <c r="D235" i="523"/>
  <c r="E234" i="1024"/>
  <c r="E234" i="9216"/>
  <c r="C302" i="3"/>
  <c r="D109" i="25582"/>
  <c r="T1420" i="1"/>
  <c r="D109" i="25583"/>
  <c r="D105" i="25584"/>
  <c r="R117" i="1"/>
  <c r="D234" i="25588"/>
  <c r="D234" i="2819"/>
  <c r="D234" i="523"/>
  <c r="D234" i="512"/>
  <c r="D91" i="25585"/>
  <c r="D303" i="25587"/>
  <c r="D234" i="25590"/>
  <c r="D303" i="4888"/>
  <c r="D234" i="2048"/>
  <c r="D183" i="10285"/>
  <c r="R900" i="1"/>
  <c r="R1089" i="1"/>
  <c r="D183" i="768"/>
  <c r="D91" i="25586"/>
  <c r="E303" i="20994"/>
  <c r="B302" i="10541"/>
  <c r="H302" i="10541" s="1"/>
  <c r="B233" i="8196"/>
  <c r="H233" i="8196" s="1"/>
  <c r="T571" i="1"/>
  <c r="B302" i="25580"/>
  <c r="H302" i="25580" s="1"/>
  <c r="R1185" i="1"/>
  <c r="R1388" i="1"/>
  <c r="R1467" i="1"/>
  <c r="R1608" i="1"/>
  <c r="V279" i="1"/>
  <c r="B303" i="32"/>
  <c r="R1024" i="1"/>
  <c r="B233" i="25589"/>
  <c r="H233" i="25589" s="1"/>
  <c r="B233" i="2316"/>
  <c r="H233" i="2316" s="1"/>
  <c r="B302" i="2561"/>
  <c r="H302" i="2561" s="1"/>
  <c r="R429" i="1"/>
  <c r="B103" i="25584"/>
  <c r="B107" i="25583"/>
  <c r="B107" i="25582"/>
  <c r="B301" i="20994"/>
  <c r="G314" i="3" l="1"/>
  <c r="F314" i="25580"/>
  <c r="F245" i="2316"/>
  <c r="F315" i="32"/>
  <c r="F314" i="10541"/>
  <c r="F245" i="25589"/>
  <c r="F245" i="8196"/>
  <c r="F313" i="20994"/>
  <c r="G313" i="20994"/>
  <c r="E119" i="25582"/>
  <c r="F119" i="25582"/>
  <c r="E119" i="25583"/>
  <c r="F119" i="25583"/>
  <c r="F115" i="25584"/>
  <c r="E115" i="25584"/>
  <c r="F312" i="20994"/>
  <c r="E118" i="25583"/>
  <c r="E114" i="25584"/>
  <c r="E118" i="25582"/>
  <c r="F311" i="20994"/>
  <c r="E117" i="25582"/>
  <c r="E113" i="25584"/>
  <c r="E117" i="25583"/>
  <c r="F310" i="20994"/>
  <c r="E116" i="25583"/>
  <c r="E112" i="25584"/>
  <c r="E116" i="25582"/>
  <c r="F309" i="20994"/>
  <c r="E115" i="25583"/>
  <c r="E111" i="25584"/>
  <c r="E115" i="25582"/>
  <c r="F308" i="20994"/>
  <c r="E114" i="25582"/>
  <c r="E110" i="25584"/>
  <c r="E114" i="25583"/>
  <c r="F307" i="20994"/>
  <c r="E113" i="25582"/>
  <c r="E109" i="25584"/>
  <c r="E113" i="25583"/>
  <c r="F306" i="20994"/>
  <c r="E108" i="25584"/>
  <c r="E112" i="25582"/>
  <c r="E112" i="25583"/>
  <c r="F305" i="20994"/>
  <c r="E107" i="25584"/>
  <c r="E111" i="25582"/>
  <c r="E111" i="25583"/>
  <c r="F304" i="20994"/>
  <c r="E106" i="25584"/>
  <c r="E110" i="25583"/>
  <c r="E110" i="25582"/>
  <c r="F303" i="20994"/>
  <c r="D108" i="25583"/>
  <c r="E109" i="25583"/>
  <c r="E108" i="25582"/>
  <c r="E109" i="25582"/>
  <c r="E104" i="25584"/>
  <c r="E105" i="25584"/>
  <c r="E303" i="3"/>
  <c r="D234" i="2316"/>
  <c r="D234" i="25589"/>
  <c r="D303" i="25580"/>
  <c r="D303" i="10541"/>
  <c r="D304" i="32"/>
  <c r="D234" i="8196"/>
  <c r="F302" i="20994"/>
  <c r="E302" i="20994"/>
  <c r="D104" i="25584"/>
  <c r="E108" i="25583"/>
  <c r="D108" i="25582"/>
  <c r="B89" i="25585"/>
  <c r="H89" i="25585" s="1"/>
  <c r="B89" i="25586"/>
  <c r="H89" i="25586" s="1"/>
  <c r="A89" i="25586"/>
  <c r="A89" i="25585" s="1"/>
  <c r="A301" i="25580" s="1"/>
  <c r="A301" i="4888" s="1"/>
  <c r="A181" i="10285" s="1"/>
  <c r="A181" i="768" s="1"/>
  <c r="A301" i="20994" s="1"/>
  <c r="A232" i="9216" s="1"/>
  <c r="A232" i="1024" s="1"/>
  <c r="A302" i="32" s="1"/>
  <c r="A232" i="2316" s="1"/>
  <c r="A232" i="2819" s="1"/>
  <c r="A301" i="2561" s="1"/>
  <c r="A232" i="523" s="1"/>
  <c r="A301" i="10541" s="1"/>
  <c r="A232" i="2048" s="1"/>
  <c r="A107" i="25582" s="1"/>
  <c r="A107" i="25583" s="1"/>
  <c r="A103" i="25584" s="1"/>
  <c r="A232" i="8196" s="1"/>
  <c r="A232" i="512" s="1"/>
  <c r="A301" i="25587" s="1"/>
  <c r="A232" i="25588" s="1"/>
  <c r="A232" i="25589" s="1"/>
  <c r="A232" i="25590" s="1"/>
  <c r="O66" i="1"/>
  <c r="C301" i="3" s="1"/>
  <c r="M599" i="1"/>
  <c r="N599" i="1" s="1"/>
  <c r="M661" i="1"/>
  <c r="N661" i="1" s="1"/>
  <c r="M1214" i="1"/>
  <c r="N1214" i="1" s="1"/>
  <c r="O128" i="1"/>
  <c r="O190" i="1"/>
  <c r="B301" i="4888" s="1"/>
  <c r="S290" i="1"/>
  <c r="B302" i="32" s="1"/>
  <c r="O376" i="1"/>
  <c r="B232" i="2316" s="1"/>
  <c r="H232" i="2316" s="1"/>
  <c r="O440" i="1"/>
  <c r="Q535" i="1"/>
  <c r="B301" i="10541" s="1"/>
  <c r="H301" i="10541" s="1"/>
  <c r="Q582" i="1"/>
  <c r="B181" i="10285" s="1"/>
  <c r="H181" i="10285" s="1"/>
  <c r="O849" i="1"/>
  <c r="B232" i="8196" s="1"/>
  <c r="H232" i="8196" s="1"/>
  <c r="O911" i="1"/>
  <c r="O1035" i="1"/>
  <c r="B232" i="25589" s="1"/>
  <c r="H232" i="25589" s="1"/>
  <c r="O1100" i="1"/>
  <c r="B232" i="2819" s="1"/>
  <c r="H232" i="2819" s="1"/>
  <c r="O1148" i="1"/>
  <c r="B232" i="523" s="1"/>
  <c r="H232" i="523" s="1"/>
  <c r="O1196" i="1"/>
  <c r="O1399" i="1"/>
  <c r="B232" i="512" s="1"/>
  <c r="H232" i="512" s="1"/>
  <c r="Q1431" i="1"/>
  <c r="B181" i="768" s="1"/>
  <c r="H181" i="768" s="1"/>
  <c r="O1478" i="1"/>
  <c r="O1619" i="1"/>
  <c r="O1572" i="1"/>
  <c r="B232" i="1024" s="1"/>
  <c r="O1525" i="1"/>
  <c r="B232" i="9216" s="1"/>
  <c r="P973" i="1"/>
  <c r="H301" i="4888" l="1"/>
  <c r="F241" i="1024"/>
  <c r="F244" i="1024"/>
  <c r="G244" i="1024"/>
  <c r="F241" i="9216"/>
  <c r="F244" i="9216"/>
  <c r="G244" i="9216"/>
  <c r="F244" i="25589"/>
  <c r="E244" i="25589"/>
  <c r="F193" i="768"/>
  <c r="E193" i="768"/>
  <c r="F193" i="10285"/>
  <c r="E193" i="10285"/>
  <c r="E244" i="8196"/>
  <c r="F244" i="8196"/>
  <c r="E244" i="512"/>
  <c r="F244" i="512"/>
  <c r="E313" i="10541"/>
  <c r="F313" i="10541"/>
  <c r="F313" i="3"/>
  <c r="G313" i="3"/>
  <c r="F244" i="523"/>
  <c r="E244" i="523"/>
  <c r="F244" i="2316"/>
  <c r="E244" i="2819"/>
  <c r="F244" i="2819"/>
  <c r="E314" i="32"/>
  <c r="F314" i="32"/>
  <c r="F101" i="25586"/>
  <c r="E101" i="25586"/>
  <c r="E313" i="4888"/>
  <c r="F313" i="4888"/>
  <c r="F101" i="25585"/>
  <c r="E101" i="25585"/>
  <c r="E233" i="9216"/>
  <c r="F235" i="9216"/>
  <c r="F237" i="9216"/>
  <c r="F239" i="9216"/>
  <c r="F243" i="9216"/>
  <c r="P1572" i="1"/>
  <c r="F233" i="1024"/>
  <c r="F234" i="9216"/>
  <c r="F235" i="1024"/>
  <c r="F237" i="1024"/>
  <c r="F239" i="1024"/>
  <c r="F243" i="1024"/>
  <c r="E233" i="1024"/>
  <c r="F233" i="9216"/>
  <c r="F236" i="9216"/>
  <c r="F238" i="9216"/>
  <c r="F240" i="9216"/>
  <c r="F242" i="9216"/>
  <c r="P1525" i="1"/>
  <c r="F234" i="1024"/>
  <c r="F236" i="1024"/>
  <c r="F238" i="1024"/>
  <c r="F240" i="1024"/>
  <c r="F242" i="1024"/>
  <c r="E243" i="25589"/>
  <c r="E312" i="4888"/>
  <c r="E100" i="25585"/>
  <c r="F312" i="3"/>
  <c r="E243" i="8196"/>
  <c r="E243" i="512"/>
  <c r="E312" i="10541"/>
  <c r="E243" i="523"/>
  <c r="E192" i="768"/>
  <c r="E243" i="2819"/>
  <c r="E192" i="10285"/>
  <c r="E313" i="32"/>
  <c r="E100" i="25586"/>
  <c r="F311" i="3"/>
  <c r="E191" i="768"/>
  <c r="E191" i="10285"/>
  <c r="E242" i="512"/>
  <c r="E242" i="25589"/>
  <c r="E311" i="10541"/>
  <c r="E311" i="4888"/>
  <c r="E99" i="25585"/>
  <c r="E312" i="32"/>
  <c r="E242" i="2819"/>
  <c r="E99" i="25586"/>
  <c r="E242" i="523"/>
  <c r="E242" i="8196"/>
  <c r="E241" i="512"/>
  <c r="E310" i="10541"/>
  <c r="F310" i="3"/>
  <c r="E241" i="523"/>
  <c r="E241" i="8196"/>
  <c r="E241" i="25589"/>
  <c r="E310" i="4888"/>
  <c r="E98" i="25585"/>
  <c r="E190" i="768"/>
  <c r="E241" i="2819"/>
  <c r="E190" i="10285"/>
  <c r="E311" i="32"/>
  <c r="E98" i="25586"/>
  <c r="E240" i="8196"/>
  <c r="P376" i="1"/>
  <c r="E240" i="2819"/>
  <c r="E189" i="10285"/>
  <c r="E310" i="32"/>
  <c r="E97" i="25586"/>
  <c r="E240" i="512"/>
  <c r="E309" i="10541"/>
  <c r="E309" i="4888"/>
  <c r="E97" i="25585"/>
  <c r="E240" i="523"/>
  <c r="E189" i="768"/>
  <c r="E240" i="25589"/>
  <c r="F309" i="3"/>
  <c r="F308" i="3"/>
  <c r="E239" i="523"/>
  <c r="E239" i="8196"/>
  <c r="E188" i="768"/>
  <c r="E239" i="2819"/>
  <c r="E188" i="10285"/>
  <c r="E309" i="32"/>
  <c r="E96" i="25586"/>
  <c r="E239" i="512"/>
  <c r="E239" i="25589"/>
  <c r="E308" i="10541"/>
  <c r="E308" i="4888"/>
  <c r="E96" i="25585"/>
  <c r="F307" i="3"/>
  <c r="E308" i="32"/>
  <c r="E307" i="10541"/>
  <c r="E307" i="4888"/>
  <c r="E95" i="25585"/>
  <c r="E238" i="2819"/>
  <c r="E95" i="25586"/>
  <c r="E238" i="25589"/>
  <c r="E187" i="768"/>
  <c r="E187" i="10285"/>
  <c r="E238" i="512"/>
  <c r="E238" i="523"/>
  <c r="E238" i="8196"/>
  <c r="F306" i="3"/>
  <c r="E237" i="523"/>
  <c r="E237" i="8196"/>
  <c r="E186" i="768"/>
  <c r="E237" i="2819"/>
  <c r="E186" i="10285"/>
  <c r="E307" i="32"/>
  <c r="E94" i="25586"/>
  <c r="E237" i="512"/>
  <c r="E237" i="25589"/>
  <c r="E306" i="10541"/>
  <c r="E306" i="4888"/>
  <c r="E94" i="25585"/>
  <c r="F305" i="3"/>
  <c r="E236" i="2819"/>
  <c r="E185" i="10285"/>
  <c r="E306" i="32"/>
  <c r="E93" i="25586"/>
  <c r="E236" i="512"/>
  <c r="E236" i="25589"/>
  <c r="E305" i="10541"/>
  <c r="E305" i="4888"/>
  <c r="E93" i="25585"/>
  <c r="E185" i="768"/>
  <c r="E236" i="523"/>
  <c r="E236" i="8196"/>
  <c r="E235" i="512"/>
  <c r="E235" i="25589"/>
  <c r="E304" i="10541"/>
  <c r="E304" i="4888"/>
  <c r="E92" i="25585"/>
  <c r="F304" i="3"/>
  <c r="E235" i="523"/>
  <c r="E235" i="8196"/>
  <c r="E184" i="768"/>
  <c r="E235" i="2819"/>
  <c r="E184" i="10285"/>
  <c r="E305" i="32"/>
  <c r="E92" i="25586"/>
  <c r="R582" i="1"/>
  <c r="F303" i="3"/>
  <c r="E234" i="2819"/>
  <c r="E91" i="25586"/>
  <c r="E303" i="4888"/>
  <c r="E304" i="32"/>
  <c r="D233" i="25589"/>
  <c r="E234" i="25589"/>
  <c r="E91" i="25585"/>
  <c r="E183" i="768"/>
  <c r="E183" i="10285"/>
  <c r="R1431" i="1"/>
  <c r="E234" i="512"/>
  <c r="E303" i="10541"/>
  <c r="T290" i="1"/>
  <c r="P1100" i="1"/>
  <c r="E234" i="523"/>
  <c r="E234" i="8196"/>
  <c r="D233" i="2316"/>
  <c r="E303" i="32"/>
  <c r="E302" i="4888"/>
  <c r="D302" i="4888"/>
  <c r="P849" i="1"/>
  <c r="P1148" i="1"/>
  <c r="F302" i="3"/>
  <c r="E302" i="3"/>
  <c r="D233" i="512"/>
  <c r="E233" i="512"/>
  <c r="D233" i="8196"/>
  <c r="E233" i="8196"/>
  <c r="E233" i="25589"/>
  <c r="D302" i="10541"/>
  <c r="E302" i="10541"/>
  <c r="E90" i="25585"/>
  <c r="D90" i="25585"/>
  <c r="R535" i="1"/>
  <c r="D233" i="523"/>
  <c r="E233" i="523"/>
  <c r="P190" i="1"/>
  <c r="P1035" i="1"/>
  <c r="P1399" i="1"/>
  <c r="E182" i="768"/>
  <c r="D182" i="768"/>
  <c r="E233" i="2819"/>
  <c r="D233" i="2819"/>
  <c r="D182" i="10285"/>
  <c r="E182" i="10285"/>
  <c r="E90" i="25586"/>
  <c r="D90" i="25586"/>
  <c r="D303" i="32"/>
  <c r="P128" i="1"/>
  <c r="B301" i="25580"/>
  <c r="H301" i="25580" s="1"/>
  <c r="P66" i="1"/>
  <c r="P1478" i="1"/>
  <c r="B232" i="25588"/>
  <c r="H232" i="25588" s="1"/>
  <c r="P1619" i="1"/>
  <c r="B232" i="25590"/>
  <c r="H232" i="25590" s="1"/>
  <c r="P911" i="1"/>
  <c r="B301" i="25587"/>
  <c r="H301" i="25587" s="1"/>
  <c r="P1196" i="1"/>
  <c r="B232" i="2048"/>
  <c r="H232" i="2048" s="1"/>
  <c r="P440" i="1"/>
  <c r="B301" i="2561"/>
  <c r="H301" i="2561" s="1"/>
  <c r="B102" i="25584"/>
  <c r="B106" i="25583"/>
  <c r="B106" i="25582"/>
  <c r="B88" i="25585"/>
  <c r="H88" i="25585" s="1"/>
  <c r="B88" i="25586"/>
  <c r="H88" i="25586" s="1"/>
  <c r="A88" i="25586"/>
  <c r="A88" i="25585" s="1"/>
  <c r="A300" i="25580" s="1"/>
  <c r="A300" i="4888" s="1"/>
  <c r="A180" i="10285" s="1"/>
  <c r="A180" i="768" s="1"/>
  <c r="A300" i="20994" s="1"/>
  <c r="A231" i="9216" s="1"/>
  <c r="A231" i="1024" s="1"/>
  <c r="A301" i="32" s="1"/>
  <c r="A231" i="2316" s="1"/>
  <c r="A231" i="2819" s="1"/>
  <c r="A300" i="2561" s="1"/>
  <c r="A231" i="523" s="1"/>
  <c r="A300" i="10541" s="1"/>
  <c r="A231" i="2048" s="1"/>
  <c r="A106" i="25582" s="1"/>
  <c r="A106" i="25583" s="1"/>
  <c r="A102" i="25584" s="1"/>
  <c r="A231" i="8196" s="1"/>
  <c r="A231" i="512" s="1"/>
  <c r="A300" i="25587" s="1"/>
  <c r="A231" i="25588" s="1"/>
  <c r="A231" i="25589" s="1"/>
  <c r="A231" i="25590" s="1"/>
  <c r="O127" i="1"/>
  <c r="O189" i="1"/>
  <c r="P189" i="1" s="1"/>
  <c r="S289" i="1"/>
  <c r="B301" i="32" s="1"/>
  <c r="O375" i="1"/>
  <c r="O439" i="1"/>
  <c r="B300" i="2561" s="1"/>
  <c r="H300" i="2561" s="1"/>
  <c r="Q534" i="1"/>
  <c r="Q581" i="1"/>
  <c r="B180" i="10285" s="1"/>
  <c r="H180" i="10285" s="1"/>
  <c r="O848" i="1"/>
  <c r="B231" i="8196" s="1"/>
  <c r="H231" i="8196" s="1"/>
  <c r="O910" i="1"/>
  <c r="B300" i="25587" s="1"/>
  <c r="H300" i="25587" s="1"/>
  <c r="O1034" i="1"/>
  <c r="B231" i="25589" s="1"/>
  <c r="H231" i="25589" s="1"/>
  <c r="O1099" i="1"/>
  <c r="B231" i="2819" s="1"/>
  <c r="H231" i="2819" s="1"/>
  <c r="O1147" i="1"/>
  <c r="B231" i="523" s="1"/>
  <c r="H231" i="523" s="1"/>
  <c r="O1195" i="1"/>
  <c r="B231" i="2048" s="1"/>
  <c r="H231" i="2048" s="1"/>
  <c r="O1398" i="1"/>
  <c r="Q1430" i="1"/>
  <c r="B180" i="768" s="1"/>
  <c r="H180" i="768" s="1"/>
  <c r="O1477" i="1"/>
  <c r="O1618" i="1"/>
  <c r="B231" i="25590" s="1"/>
  <c r="H231" i="25590" s="1"/>
  <c r="O65" i="1"/>
  <c r="P65" i="1" s="1"/>
  <c r="M598" i="1"/>
  <c r="N598" i="1" s="1"/>
  <c r="M660" i="1"/>
  <c r="N660" i="1" s="1"/>
  <c r="M1213" i="1"/>
  <c r="N1213" i="1" s="1"/>
  <c r="O1571" i="1"/>
  <c r="B231" i="1024" s="1"/>
  <c r="P1571" i="1"/>
  <c r="O1524" i="1"/>
  <c r="B231" i="9216" s="1"/>
  <c r="O972" i="1"/>
  <c r="B300" i="20994" s="1"/>
  <c r="P972" i="1"/>
  <c r="E244" i="25588" l="1"/>
  <c r="F244" i="25588"/>
  <c r="F244" i="2048"/>
  <c r="E244" i="2048"/>
  <c r="F313" i="25580"/>
  <c r="E313" i="25580"/>
  <c r="E313" i="25587"/>
  <c r="F313" i="25587"/>
  <c r="E244" i="25590"/>
  <c r="F244" i="25590"/>
  <c r="G243" i="1024"/>
  <c r="G312" i="20994"/>
  <c r="G243" i="9216"/>
  <c r="P1524" i="1"/>
  <c r="F243" i="2048"/>
  <c r="F312" i="25587"/>
  <c r="E243" i="2048"/>
  <c r="F243" i="8196"/>
  <c r="F114" i="25584"/>
  <c r="F192" i="768"/>
  <c r="F243" i="2819"/>
  <c r="F192" i="10285"/>
  <c r="F313" i="32"/>
  <c r="F100" i="25586"/>
  <c r="E312" i="25587"/>
  <c r="E243" i="25588"/>
  <c r="F243" i="25590"/>
  <c r="F118" i="25583"/>
  <c r="E243" i="25590"/>
  <c r="F243" i="523"/>
  <c r="E312" i="25580"/>
  <c r="F243" i="25589"/>
  <c r="F100" i="25585"/>
  <c r="F118" i="25582"/>
  <c r="E311" i="25587"/>
  <c r="E242" i="25588"/>
  <c r="E242" i="2048"/>
  <c r="E242" i="25590"/>
  <c r="E311" i="25580"/>
  <c r="E310" i="25587"/>
  <c r="E241" i="25588"/>
  <c r="E241" i="2048"/>
  <c r="E241" i="25590"/>
  <c r="E310" i="25580"/>
  <c r="E309" i="25587"/>
  <c r="E240" i="25588"/>
  <c r="E309" i="25580"/>
  <c r="E240" i="2048"/>
  <c r="E240" i="25590"/>
  <c r="E239" i="2048"/>
  <c r="E239" i="25590"/>
  <c r="E308" i="25580"/>
  <c r="E308" i="25587"/>
  <c r="E239" i="25588"/>
  <c r="E307" i="25587"/>
  <c r="E307" i="25580"/>
  <c r="E238" i="25588"/>
  <c r="E238" i="2048"/>
  <c r="E238" i="25590"/>
  <c r="E306" i="25587"/>
  <c r="E237" i="25588"/>
  <c r="E237" i="2048"/>
  <c r="E237" i="25590"/>
  <c r="E306" i="25580"/>
  <c r="E305" i="25580"/>
  <c r="E305" i="25587"/>
  <c r="E236" i="25588"/>
  <c r="E236" i="2048"/>
  <c r="E236" i="25590"/>
  <c r="E235" i="2048"/>
  <c r="E235" i="25590"/>
  <c r="E304" i="25580"/>
  <c r="E304" i="25587"/>
  <c r="E235" i="25588"/>
  <c r="P1099" i="1"/>
  <c r="P848" i="1"/>
  <c r="B300" i="25580"/>
  <c r="H300" i="25580" s="1"/>
  <c r="E234" i="2048"/>
  <c r="E234" i="25590"/>
  <c r="E303" i="25580"/>
  <c r="E303" i="25587"/>
  <c r="E234" i="25588"/>
  <c r="D89" i="25586"/>
  <c r="D89" i="25585"/>
  <c r="D302" i="25587"/>
  <c r="E302" i="25587"/>
  <c r="E233" i="25588"/>
  <c r="D233" i="25588"/>
  <c r="D302" i="32"/>
  <c r="E302" i="25580"/>
  <c r="D302" i="25580"/>
  <c r="R1430" i="1"/>
  <c r="R581" i="1"/>
  <c r="D232" i="8196"/>
  <c r="D233" i="2048"/>
  <c r="E233" i="2048"/>
  <c r="E233" i="25590"/>
  <c r="D233" i="25590"/>
  <c r="E232" i="1024"/>
  <c r="E232" i="9216"/>
  <c r="E301" i="20994"/>
  <c r="D107" i="25583"/>
  <c r="D232" i="2048"/>
  <c r="D181" i="10285"/>
  <c r="D301" i="25587"/>
  <c r="D232" i="523"/>
  <c r="D103" i="25584"/>
  <c r="D232" i="25589"/>
  <c r="P439" i="1"/>
  <c r="P910" i="1"/>
  <c r="P1147" i="1"/>
  <c r="D232" i="2819"/>
  <c r="D232" i="25590"/>
  <c r="D107" i="25582"/>
  <c r="D181" i="768"/>
  <c r="P1195" i="1"/>
  <c r="P127" i="1"/>
  <c r="T289" i="1"/>
  <c r="P1618" i="1"/>
  <c r="P1398" i="1"/>
  <c r="B231" i="512"/>
  <c r="H231" i="512" s="1"/>
  <c r="R534" i="1"/>
  <c r="B300" i="10541"/>
  <c r="H300" i="10541" s="1"/>
  <c r="B300" i="4888"/>
  <c r="P1034" i="1"/>
  <c r="P1477" i="1"/>
  <c r="B231" i="25588"/>
  <c r="H231" i="25588" s="1"/>
  <c r="P375" i="1"/>
  <c r="B231" i="2316"/>
  <c r="H231" i="2316" s="1"/>
  <c r="C300" i="3"/>
  <c r="B101" i="25584"/>
  <c r="B105" i="25583"/>
  <c r="B105" i="25582"/>
  <c r="B87" i="25585"/>
  <c r="H87" i="25585" s="1"/>
  <c r="B87" i="25586"/>
  <c r="H87" i="25586" s="1"/>
  <c r="A87" i="25586"/>
  <c r="A87" i="25585" s="1"/>
  <c r="A299" i="25580" s="1"/>
  <c r="A299" i="4888" s="1"/>
  <c r="A179" i="10285" s="1"/>
  <c r="A179" i="768" s="1"/>
  <c r="A299" i="20994" s="1"/>
  <c r="A230" i="9216" s="1"/>
  <c r="A230" i="1024" s="1"/>
  <c r="A300" i="32" s="1"/>
  <c r="A230" i="2316" s="1"/>
  <c r="A230" i="2819" s="1"/>
  <c r="A299" i="2561" s="1"/>
  <c r="A230" i="523" s="1"/>
  <c r="A299" i="10541" s="1"/>
  <c r="A230" i="2048" s="1"/>
  <c r="A105" i="25582" s="1"/>
  <c r="A105" i="25583" s="1"/>
  <c r="A101" i="25584" s="1"/>
  <c r="A230" i="8196" s="1"/>
  <c r="A230" i="512" s="1"/>
  <c r="A299" i="25587" s="1"/>
  <c r="A230" i="25588" s="1"/>
  <c r="A230" i="25589" s="1"/>
  <c r="A230" i="25590" s="1"/>
  <c r="O126" i="1"/>
  <c r="O188" i="1"/>
  <c r="P188" i="1" s="1"/>
  <c r="S288" i="1"/>
  <c r="B300" i="32" s="1"/>
  <c r="O374" i="1"/>
  <c r="B230" i="2316" s="1"/>
  <c r="H230" i="2316" s="1"/>
  <c r="O438" i="1"/>
  <c r="B299" i="2561" s="1"/>
  <c r="H299" i="2561" s="1"/>
  <c r="Q533" i="1"/>
  <c r="B299" i="10541" s="1"/>
  <c r="H299" i="10541" s="1"/>
  <c r="Q580" i="1"/>
  <c r="B179" i="10285" s="1"/>
  <c r="H179" i="10285" s="1"/>
  <c r="O847" i="1"/>
  <c r="O909" i="1"/>
  <c r="B299" i="25587" s="1"/>
  <c r="H299" i="25587" s="1"/>
  <c r="O1033" i="1"/>
  <c r="O1098" i="1"/>
  <c r="B230" i="2819" s="1"/>
  <c r="H230" i="2819" s="1"/>
  <c r="O1146" i="1"/>
  <c r="O1194" i="1"/>
  <c r="B230" i="2048" s="1"/>
  <c r="H230" i="2048" s="1"/>
  <c r="O1397" i="1"/>
  <c r="Q1429" i="1"/>
  <c r="B179" i="768" s="1"/>
  <c r="H179" i="768" s="1"/>
  <c r="O1476" i="1"/>
  <c r="O1617" i="1"/>
  <c r="O64" i="1"/>
  <c r="M597" i="1"/>
  <c r="N597" i="1" s="1"/>
  <c r="M659" i="1"/>
  <c r="N659" i="1" s="1"/>
  <c r="M1212" i="1"/>
  <c r="N1212" i="1" s="1"/>
  <c r="O1570" i="1"/>
  <c r="B230" i="1024" s="1"/>
  <c r="O1523" i="1"/>
  <c r="O971" i="1"/>
  <c r="B299" i="20994" s="1"/>
  <c r="P971" i="1"/>
  <c r="H300" i="4888" l="1"/>
  <c r="P1570" i="1"/>
  <c r="F312" i="25580"/>
  <c r="F312" i="4888"/>
  <c r="G312" i="3"/>
  <c r="F243" i="2316"/>
  <c r="F243" i="512"/>
  <c r="F243" i="25588"/>
  <c r="F312" i="10541"/>
  <c r="G242" i="1024"/>
  <c r="G311" i="20994"/>
  <c r="F117" i="25582"/>
  <c r="F113" i="25584"/>
  <c r="F117" i="25583"/>
  <c r="F311" i="10541"/>
  <c r="F99" i="25585"/>
  <c r="F242" i="2048"/>
  <c r="F311" i="25587"/>
  <c r="F242" i="2316"/>
  <c r="F191" i="768"/>
  <c r="F242" i="2819"/>
  <c r="F191" i="10285"/>
  <c r="F312" i="32"/>
  <c r="F99" i="25586"/>
  <c r="R533" i="1"/>
  <c r="D301" i="25580"/>
  <c r="T288" i="1"/>
  <c r="P1098" i="1"/>
  <c r="R580" i="1"/>
  <c r="R1429" i="1"/>
  <c r="D301" i="10541"/>
  <c r="E301" i="3"/>
  <c r="D232" i="25588"/>
  <c r="D106" i="25582"/>
  <c r="D232" i="2316"/>
  <c r="D232" i="512"/>
  <c r="D301" i="4888"/>
  <c r="E231" i="1024"/>
  <c r="E300" i="20994"/>
  <c r="C299" i="3"/>
  <c r="P64" i="1"/>
  <c r="D106" i="25583"/>
  <c r="D102" i="25584"/>
  <c r="D180" i="10285"/>
  <c r="D180" i="768"/>
  <c r="D300" i="10541"/>
  <c r="D231" i="2048"/>
  <c r="D300" i="25587"/>
  <c r="B299" i="25580"/>
  <c r="H299" i="25580" s="1"/>
  <c r="B299" i="4888"/>
  <c r="D231" i="2316"/>
  <c r="D88" i="25585"/>
  <c r="D231" i="2819"/>
  <c r="D301" i="32"/>
  <c r="D88" i="25586"/>
  <c r="B230" i="9216"/>
  <c r="P1523" i="1"/>
  <c r="P1476" i="1"/>
  <c r="B230" i="25588"/>
  <c r="H230" i="25588" s="1"/>
  <c r="P1146" i="1"/>
  <c r="B230" i="523"/>
  <c r="H230" i="523" s="1"/>
  <c r="P847" i="1"/>
  <c r="B230" i="8196"/>
  <c r="H230" i="8196" s="1"/>
  <c r="P374" i="1"/>
  <c r="B230" i="25590"/>
  <c r="H230" i="25590" s="1"/>
  <c r="P1617" i="1"/>
  <c r="P126" i="1"/>
  <c r="P438" i="1"/>
  <c r="P909" i="1"/>
  <c r="P1194" i="1"/>
  <c r="P1397" i="1"/>
  <c r="B230" i="512"/>
  <c r="H230" i="512" s="1"/>
  <c r="P1033" i="1"/>
  <c r="B230" i="25589"/>
  <c r="H230" i="25589" s="1"/>
  <c r="B104" i="25582"/>
  <c r="H299" i="4888" l="1"/>
  <c r="G242" i="9216"/>
  <c r="G311" i="3"/>
  <c r="F242" i="8196"/>
  <c r="F242" i="25588"/>
  <c r="F242" i="25589"/>
  <c r="F311" i="4888"/>
  <c r="F242" i="523"/>
  <c r="F242" i="25590"/>
  <c r="F311" i="25580"/>
  <c r="F242" i="512"/>
  <c r="F116" i="25582"/>
  <c r="E300" i="3"/>
  <c r="E231" i="9216"/>
  <c r="D231" i="8196"/>
  <c r="D300" i="4888"/>
  <c r="D231" i="25590"/>
  <c r="D231" i="25588"/>
  <c r="D231" i="512"/>
  <c r="D231" i="523"/>
  <c r="D231" i="25589"/>
  <c r="D300" i="25580"/>
  <c r="D105" i="25582"/>
  <c r="B100" i="25584"/>
  <c r="B104" i="25583"/>
  <c r="B86" i="25585"/>
  <c r="H86" i="25585" s="1"/>
  <c r="B86" i="25586"/>
  <c r="H86" i="25586" s="1"/>
  <c r="A86" i="25586"/>
  <c r="A86" i="25585" s="1"/>
  <c r="A298" i="25580" s="1"/>
  <c r="A298" i="4888" s="1"/>
  <c r="A178" i="10285" s="1"/>
  <c r="A178" i="768" s="1"/>
  <c r="A298" i="20994" s="1"/>
  <c r="A229" i="9216" s="1"/>
  <c r="A229" i="1024" s="1"/>
  <c r="A299" i="32" s="1"/>
  <c r="A229" i="2316" s="1"/>
  <c r="A229" i="2819" s="1"/>
  <c r="A298" i="2561" s="1"/>
  <c r="A229" i="523" s="1"/>
  <c r="A298" i="10541" s="1"/>
  <c r="A229" i="2048" s="1"/>
  <c r="A104" i="25582" s="1"/>
  <c r="A104" i="25583" s="1"/>
  <c r="A100" i="25584" s="1"/>
  <c r="A229" i="8196" s="1"/>
  <c r="A229" i="512" s="1"/>
  <c r="A298" i="25587" s="1"/>
  <c r="A229" i="25588" s="1"/>
  <c r="A229" i="25589" s="1"/>
  <c r="A229" i="25590" s="1"/>
  <c r="O125" i="1"/>
  <c r="O187" i="1"/>
  <c r="B298" i="4888" s="1"/>
  <c r="O373" i="1"/>
  <c r="P373" i="1" s="1"/>
  <c r="O437" i="1"/>
  <c r="B298" i="2561" s="1"/>
  <c r="H298" i="2561" s="1"/>
  <c r="Q532" i="1"/>
  <c r="B298" i="10541" s="1"/>
  <c r="Q579" i="1"/>
  <c r="B178" i="10285" s="1"/>
  <c r="O846" i="1"/>
  <c r="B229" i="8196" s="1"/>
  <c r="O908" i="1"/>
  <c r="B298" i="25587" s="1"/>
  <c r="O1032" i="1"/>
  <c r="O1097" i="1"/>
  <c r="B229" i="2819" s="1"/>
  <c r="O1145" i="1"/>
  <c r="O1193" i="1"/>
  <c r="O1396" i="1"/>
  <c r="Q1428" i="1"/>
  <c r="B178" i="768" s="1"/>
  <c r="O1475" i="1"/>
  <c r="O1616" i="1"/>
  <c r="B229" i="25590" s="1"/>
  <c r="O63" i="1"/>
  <c r="C298" i="3" s="1"/>
  <c r="M596" i="1"/>
  <c r="N596" i="1" s="1"/>
  <c r="M658" i="1"/>
  <c r="N658" i="1" s="1"/>
  <c r="M1211" i="1"/>
  <c r="N1211" i="1" s="1"/>
  <c r="O1569" i="1"/>
  <c r="B229" i="1024" s="1"/>
  <c r="P1569" i="1"/>
  <c r="O1522" i="1"/>
  <c r="O970" i="1"/>
  <c r="P970" i="1" s="1"/>
  <c r="H298" i="25587" l="1"/>
  <c r="G322" i="25587"/>
  <c r="F14" i="9728" s="1"/>
  <c r="G253" i="2819"/>
  <c r="F22" i="9728" s="1"/>
  <c r="H229" i="2819"/>
  <c r="H229" i="8196"/>
  <c r="G253" i="8196"/>
  <c r="F26" i="9728" s="1"/>
  <c r="H298" i="4888"/>
  <c r="G322" i="4888"/>
  <c r="F9" i="9728" s="1"/>
  <c r="G202" i="768"/>
  <c r="F32" i="9728" s="1"/>
  <c r="H178" i="768"/>
  <c r="H178" i="10285"/>
  <c r="G202" i="10285"/>
  <c r="F31" i="9728" s="1"/>
  <c r="H298" i="10541"/>
  <c r="G322" i="10541"/>
  <c r="F13" i="9728" s="1"/>
  <c r="G253" i="25590"/>
  <c r="F30" i="9728" s="1"/>
  <c r="H229" i="25590"/>
  <c r="G241" i="1024"/>
  <c r="G310" i="3"/>
  <c r="F310" i="10541"/>
  <c r="F116" i="25583"/>
  <c r="F241" i="25590"/>
  <c r="F241" i="8196"/>
  <c r="F98" i="25586"/>
  <c r="F112" i="25584"/>
  <c r="F310" i="25587"/>
  <c r="F190" i="768"/>
  <c r="F241" i="2819"/>
  <c r="F190" i="10285"/>
  <c r="F310" i="4888"/>
  <c r="F98" i="25585"/>
  <c r="P125" i="1"/>
  <c r="B229" i="9216"/>
  <c r="P1522" i="1"/>
  <c r="E230" i="1024"/>
  <c r="P187" i="1"/>
  <c r="P1097" i="1"/>
  <c r="E299" i="3"/>
  <c r="B298" i="20994"/>
  <c r="D101" i="25584"/>
  <c r="D105" i="25583"/>
  <c r="R579" i="1"/>
  <c r="D299" i="4888"/>
  <c r="D230" i="8196"/>
  <c r="D87" i="25586"/>
  <c r="D179" i="768"/>
  <c r="D230" i="2819"/>
  <c r="D179" i="10285"/>
  <c r="D87" i="25585"/>
  <c r="D299" i="10541"/>
  <c r="B298" i="25580"/>
  <c r="D230" i="25590"/>
  <c r="D299" i="25587"/>
  <c r="B229" i="2316"/>
  <c r="R1428" i="1"/>
  <c r="P63" i="1"/>
  <c r="R532" i="1"/>
  <c r="P846" i="1"/>
  <c r="P437" i="1"/>
  <c r="P908" i="1"/>
  <c r="P1616" i="1"/>
  <c r="P1396" i="1"/>
  <c r="B229" i="512"/>
  <c r="P1032" i="1"/>
  <c r="B229" i="25589"/>
  <c r="B229" i="2048"/>
  <c r="P1193" i="1"/>
  <c r="P1475" i="1"/>
  <c r="B229" i="25588"/>
  <c r="P1145" i="1"/>
  <c r="B229" i="523"/>
  <c r="B99" i="25584"/>
  <c r="B103" i="25583"/>
  <c r="B103" i="25582"/>
  <c r="B85" i="25585"/>
  <c r="H85" i="25585" s="1"/>
  <c r="B85" i="25586"/>
  <c r="H85" i="25586" s="1"/>
  <c r="A85" i="25586"/>
  <c r="A85" i="25585" s="1"/>
  <c r="A297" i="25580" s="1"/>
  <c r="A297" i="4888" s="1"/>
  <c r="A177" i="10285" s="1"/>
  <c r="A177" i="768" s="1"/>
  <c r="A297" i="20994" s="1"/>
  <c r="A228" i="9216" s="1"/>
  <c r="A228" i="1024" s="1"/>
  <c r="A298" i="32" s="1"/>
  <c r="A228" i="2316" s="1"/>
  <c r="A228" i="2819" s="1"/>
  <c r="A297" i="2561" s="1"/>
  <c r="A228" i="523" s="1"/>
  <c r="A297" i="10541" s="1"/>
  <c r="A228" i="2048" s="1"/>
  <c r="A103" i="25582" s="1"/>
  <c r="A103" i="25583" s="1"/>
  <c r="A99" i="25584" s="1"/>
  <c r="A228" i="8196" s="1"/>
  <c r="A228" i="512" s="1"/>
  <c r="A297" i="25587" s="1"/>
  <c r="A228" i="25588" s="1"/>
  <c r="A228" i="25589" s="1"/>
  <c r="A228" i="25590" s="1"/>
  <c r="M595" i="1"/>
  <c r="M594" i="1"/>
  <c r="O124" i="1"/>
  <c r="O186" i="1"/>
  <c r="P186" i="1" s="1"/>
  <c r="O372" i="1"/>
  <c r="B228" i="2316" s="1"/>
  <c r="H228" i="2316" s="1"/>
  <c r="O436" i="1"/>
  <c r="B297" i="2561" s="1"/>
  <c r="H297" i="2561" s="1"/>
  <c r="Q531" i="1"/>
  <c r="Q578" i="1"/>
  <c r="R578" i="1" s="1"/>
  <c r="O845" i="1"/>
  <c r="B228" i="8196" s="1"/>
  <c r="H228" i="8196" s="1"/>
  <c r="O907" i="1"/>
  <c r="O1031" i="1"/>
  <c r="B228" i="25589" s="1"/>
  <c r="H228" i="25589" s="1"/>
  <c r="O1096" i="1"/>
  <c r="O1144" i="1"/>
  <c r="B228" i="523" s="1"/>
  <c r="H228" i="523" s="1"/>
  <c r="O1192" i="1"/>
  <c r="B228" i="2048" s="1"/>
  <c r="H228" i="2048" s="1"/>
  <c r="O1395" i="1"/>
  <c r="B228" i="512" s="1"/>
  <c r="H228" i="512" s="1"/>
  <c r="Q1427" i="1"/>
  <c r="O1474" i="1"/>
  <c r="B228" i="25588" s="1"/>
  <c r="H228" i="25588" s="1"/>
  <c r="O1615" i="1"/>
  <c r="B228" i="25590" s="1"/>
  <c r="H228" i="25590" s="1"/>
  <c r="O62" i="1"/>
  <c r="C297" i="3" s="1"/>
  <c r="M657" i="1"/>
  <c r="N657" i="1" s="1"/>
  <c r="M1210" i="1"/>
  <c r="N1210" i="1" s="1"/>
  <c r="O1614" i="1"/>
  <c r="O1521" i="1"/>
  <c r="P1521" i="1" s="1"/>
  <c r="O969" i="1"/>
  <c r="P969" i="1" s="1"/>
  <c r="H229" i="523" l="1"/>
  <c r="G253" i="523"/>
  <c r="F33" i="9728" s="1"/>
  <c r="H229" i="2316"/>
  <c r="G253" i="2316"/>
  <c r="F21" i="9728" s="1"/>
  <c r="H229" i="25588"/>
  <c r="G253" i="25588"/>
  <c r="F28" i="9728" s="1"/>
  <c r="H229" i="25589"/>
  <c r="G253" i="25589"/>
  <c r="F29" i="9728" s="1"/>
  <c r="H229" i="512"/>
  <c r="G253" i="512"/>
  <c r="F27" i="9728" s="1"/>
  <c r="H298" i="25580"/>
  <c r="G322" i="25580"/>
  <c r="F8" i="9728" s="1"/>
  <c r="H229" i="2048"/>
  <c r="G253" i="2048"/>
  <c r="G123" i="25584"/>
  <c r="G127" i="25583"/>
  <c r="G127" i="25582"/>
  <c r="H321" i="3"/>
  <c r="G252" i="25590"/>
  <c r="G252" i="25588"/>
  <c r="G252" i="8196"/>
  <c r="G252" i="512"/>
  <c r="G252" i="25589"/>
  <c r="G252" i="523"/>
  <c r="G252" i="2316"/>
  <c r="G252" i="2048"/>
  <c r="G241" i="9216"/>
  <c r="G310" i="20994"/>
  <c r="F241" i="25588"/>
  <c r="F241" i="25589"/>
  <c r="F241" i="523"/>
  <c r="F241" i="512"/>
  <c r="F310" i="25580"/>
  <c r="F241" i="2048"/>
  <c r="F241" i="2316"/>
  <c r="F240" i="25590"/>
  <c r="F97" i="25585"/>
  <c r="F240" i="25588"/>
  <c r="F240" i="523"/>
  <c r="F240" i="8196"/>
  <c r="F240" i="2316"/>
  <c r="F115" i="25582"/>
  <c r="F240" i="2048"/>
  <c r="F115" i="25583"/>
  <c r="G309" i="3"/>
  <c r="F240" i="512"/>
  <c r="F240" i="25589"/>
  <c r="F97" i="25586"/>
  <c r="F111" i="25584"/>
  <c r="D104" i="25582"/>
  <c r="E298" i="3"/>
  <c r="D100" i="25584"/>
  <c r="E299" i="20994"/>
  <c r="E230" i="9216"/>
  <c r="D230" i="2048"/>
  <c r="D230" i="2316"/>
  <c r="D230" i="25588"/>
  <c r="D230" i="25589"/>
  <c r="P124" i="1"/>
  <c r="D299" i="25580"/>
  <c r="D230" i="523"/>
  <c r="D230" i="512"/>
  <c r="P1395" i="1"/>
  <c r="P62" i="1"/>
  <c r="P1031" i="1"/>
  <c r="P1192" i="1"/>
  <c r="D104" i="25583"/>
  <c r="D86" i="25585"/>
  <c r="D229" i="25588"/>
  <c r="D229" i="2316"/>
  <c r="D229" i="8196"/>
  <c r="P372" i="1"/>
  <c r="P1474" i="1"/>
  <c r="P1144" i="1"/>
  <c r="D229" i="512"/>
  <c r="D229" i="25589"/>
  <c r="B297" i="25580"/>
  <c r="H297" i="25580" s="1"/>
  <c r="D86" i="25586"/>
  <c r="D229" i="523"/>
  <c r="P845" i="1"/>
  <c r="D229" i="25590"/>
  <c r="D229" i="2048"/>
  <c r="B297" i="4888"/>
  <c r="B177" i="10285"/>
  <c r="H177" i="10285" s="1"/>
  <c r="B228" i="9216"/>
  <c r="P436" i="1"/>
  <c r="R1427" i="1"/>
  <c r="B177" i="768"/>
  <c r="H177" i="768" s="1"/>
  <c r="P1096" i="1"/>
  <c r="B228" i="2819"/>
  <c r="H228" i="2819" s="1"/>
  <c r="P907" i="1"/>
  <c r="B297" i="25587"/>
  <c r="H297" i="25587" s="1"/>
  <c r="R531" i="1"/>
  <c r="B297" i="10541"/>
  <c r="H297" i="10541" s="1"/>
  <c r="B297" i="20994"/>
  <c r="Q1426" i="1"/>
  <c r="H297" i="4888" l="1"/>
  <c r="H252" i="9216"/>
  <c r="H321" i="20994"/>
  <c r="G252" i="2819"/>
  <c r="G201" i="768"/>
  <c r="G321" i="4888"/>
  <c r="G321" i="10541"/>
  <c r="G321" i="25580"/>
  <c r="G321" i="25587"/>
  <c r="G201" i="10285"/>
  <c r="G240" i="9216"/>
  <c r="G309" i="20994"/>
  <c r="F189" i="768"/>
  <c r="F189" i="10285"/>
  <c r="F309" i="4888"/>
  <c r="F309" i="25580"/>
  <c r="F309" i="25587"/>
  <c r="F309" i="10541"/>
  <c r="F240" i="2819"/>
  <c r="E229" i="9216"/>
  <c r="E298" i="20994"/>
  <c r="D298" i="10541"/>
  <c r="D298" i="4888"/>
  <c r="D229" i="2819"/>
  <c r="D298" i="25580"/>
  <c r="D298" i="25587"/>
  <c r="D178" i="768"/>
  <c r="D178" i="10285"/>
  <c r="O1143" i="1"/>
  <c r="O1191" i="1"/>
  <c r="O1394" i="1"/>
  <c r="O1473" i="1"/>
  <c r="O1095" i="1" l="1"/>
  <c r="B98" i="25584" l="1"/>
  <c r="B102" i="25583"/>
  <c r="B102" i="25582"/>
  <c r="B84" i="25585"/>
  <c r="H84" i="25585" s="1"/>
  <c r="B84" i="25586"/>
  <c r="H84" i="25586" s="1"/>
  <c r="A84" i="25586"/>
  <c r="A84" i="25585" s="1"/>
  <c r="A296" i="25580" s="1"/>
  <c r="A296" i="4888" s="1"/>
  <c r="A176" i="10285" s="1"/>
  <c r="A176" i="768" s="1"/>
  <c r="A296" i="20994" s="1"/>
  <c r="A227" i="9216" s="1"/>
  <c r="A227" i="1024" s="1"/>
  <c r="A297" i="32" s="1"/>
  <c r="A227" i="2316" s="1"/>
  <c r="A227" i="2819" s="1"/>
  <c r="A296" i="2561" s="1"/>
  <c r="A227" i="523" s="1"/>
  <c r="A296" i="10541" s="1"/>
  <c r="A227" i="2048" s="1"/>
  <c r="A102" i="25582" s="1"/>
  <c r="A102" i="25583" s="1"/>
  <c r="A98" i="25584" s="1"/>
  <c r="A227" i="8196" s="1"/>
  <c r="A227" i="512" s="1"/>
  <c r="A296" i="25587" s="1"/>
  <c r="A227" i="25588" s="1"/>
  <c r="A227" i="25589" s="1"/>
  <c r="A227" i="25590" s="1"/>
  <c r="O123" i="1"/>
  <c r="O185" i="1"/>
  <c r="B296" i="4888" s="1"/>
  <c r="S285" i="1"/>
  <c r="B297" i="32" s="1"/>
  <c r="O371" i="1"/>
  <c r="O435" i="1"/>
  <c r="B296" i="2561" s="1"/>
  <c r="H296" i="2561" s="1"/>
  <c r="Q530" i="1"/>
  <c r="B296" i="10541" s="1"/>
  <c r="H296" i="10541" s="1"/>
  <c r="Q577" i="1"/>
  <c r="B176" i="10285" s="1"/>
  <c r="H176" i="10285" s="1"/>
  <c r="O844" i="1"/>
  <c r="O906" i="1"/>
  <c r="B296" i="25587" s="1"/>
  <c r="H296" i="25587" s="1"/>
  <c r="O1030" i="1"/>
  <c r="B227" i="25589" s="1"/>
  <c r="H227" i="25589" s="1"/>
  <c r="B227" i="2819"/>
  <c r="H227" i="2819" s="1"/>
  <c r="B227" i="2048"/>
  <c r="H227" i="2048" s="1"/>
  <c r="B176" i="768"/>
  <c r="H176" i="768" s="1"/>
  <c r="P1615" i="1"/>
  <c r="O61" i="1"/>
  <c r="P61" i="1" s="1"/>
  <c r="M656" i="1"/>
  <c r="N656" i="1" s="1"/>
  <c r="M1209" i="1"/>
  <c r="N1209" i="1" s="1"/>
  <c r="O1568" i="1"/>
  <c r="O1520" i="1"/>
  <c r="P1520" i="1" s="1"/>
  <c r="P1191" i="1"/>
  <c r="P1095" i="1"/>
  <c r="O968" i="1"/>
  <c r="B296" i="20994" s="1"/>
  <c r="N595" i="1"/>
  <c r="N594" i="1"/>
  <c r="O1567" i="1"/>
  <c r="P1567" i="1" s="1"/>
  <c r="H296" i="4888" l="1"/>
  <c r="G122" i="25584"/>
  <c r="G126" i="25583"/>
  <c r="G126" i="25582"/>
  <c r="H320" i="20994"/>
  <c r="G320" i="4888"/>
  <c r="G320" i="10541"/>
  <c r="G251" i="25589"/>
  <c r="G320" i="25587"/>
  <c r="G200" i="10285"/>
  <c r="G200" i="768"/>
  <c r="G251" i="2819"/>
  <c r="G321" i="32"/>
  <c r="G251" i="2048"/>
  <c r="P1030" i="1"/>
  <c r="G308" i="20994"/>
  <c r="F114" i="25582"/>
  <c r="F114" i="25583"/>
  <c r="F110" i="25584"/>
  <c r="F308" i="10541"/>
  <c r="F96" i="25585"/>
  <c r="F188" i="768"/>
  <c r="F239" i="2048"/>
  <c r="F239" i="25589"/>
  <c r="F308" i="4888"/>
  <c r="F308" i="25587"/>
  <c r="F239" i="2819"/>
  <c r="F188" i="10285"/>
  <c r="F309" i="32"/>
  <c r="F96" i="25586"/>
  <c r="P123" i="1"/>
  <c r="P906" i="1"/>
  <c r="P435" i="1"/>
  <c r="P185" i="1"/>
  <c r="E297" i="20994"/>
  <c r="B227" i="1024"/>
  <c r="D103" i="25582"/>
  <c r="R530" i="1"/>
  <c r="P968" i="1"/>
  <c r="D103" i="25583"/>
  <c r="P1568" i="1"/>
  <c r="B228" i="1024"/>
  <c r="B227" i="9216"/>
  <c r="D99" i="25584"/>
  <c r="D85" i="25586"/>
  <c r="D228" i="25589"/>
  <c r="D297" i="10541"/>
  <c r="D297" i="4888"/>
  <c r="D228" i="2819"/>
  <c r="D297" i="25587"/>
  <c r="B296" i="25580"/>
  <c r="H296" i="25580" s="1"/>
  <c r="D85" i="25585"/>
  <c r="D177" i="10285"/>
  <c r="D177" i="768"/>
  <c r="D228" i="2048"/>
  <c r="C296" i="3"/>
  <c r="P371" i="1"/>
  <c r="B227" i="2316"/>
  <c r="H227" i="2316" s="1"/>
  <c r="P844" i="1"/>
  <c r="B227" i="8196"/>
  <c r="H227" i="8196" s="1"/>
  <c r="P1143" i="1"/>
  <c r="B227" i="523"/>
  <c r="H227" i="523" s="1"/>
  <c r="R577" i="1"/>
  <c r="P1394" i="1"/>
  <c r="B227" i="512"/>
  <c r="H227" i="512" s="1"/>
  <c r="P1473" i="1"/>
  <c r="B227" i="25588"/>
  <c r="H227" i="25588" s="1"/>
  <c r="P1614" i="1"/>
  <c r="B227" i="25590"/>
  <c r="H227" i="25590" s="1"/>
  <c r="T285" i="1"/>
  <c r="R1426" i="1"/>
  <c r="O1566" i="1"/>
  <c r="O1519" i="1"/>
  <c r="O967" i="1"/>
  <c r="H252" i="1024" l="1"/>
  <c r="H251" i="9216"/>
  <c r="H320" i="3"/>
  <c r="G320" i="25580"/>
  <c r="G251" i="512"/>
  <c r="G251" i="25588"/>
  <c r="G251" i="2316"/>
  <c r="G251" i="523"/>
  <c r="G251" i="8196"/>
  <c r="G251" i="25590"/>
  <c r="H251" i="1024"/>
  <c r="G240" i="1024"/>
  <c r="G239" i="1024"/>
  <c r="G239" i="9216"/>
  <c r="G308" i="3"/>
  <c r="F239" i="8196"/>
  <c r="F239" i="25588"/>
  <c r="F308" i="25580"/>
  <c r="F239" i="523"/>
  <c r="F239" i="2316"/>
  <c r="F239" i="25590"/>
  <c r="F239" i="512"/>
  <c r="E229" i="1024"/>
  <c r="E297" i="3"/>
  <c r="E228" i="9216"/>
  <c r="E228" i="1024"/>
  <c r="D228" i="25588"/>
  <c r="D228" i="523"/>
  <c r="D297" i="25580"/>
  <c r="D228" i="25590"/>
  <c r="D228" i="512"/>
  <c r="D228" i="8196"/>
  <c r="D228" i="2316"/>
  <c r="B97" i="25584"/>
  <c r="B101" i="25583"/>
  <c r="B101" i="25582"/>
  <c r="B226" i="1024"/>
  <c r="B226" i="9216"/>
  <c r="B295" i="20994"/>
  <c r="B83" i="25585"/>
  <c r="H83" i="25585" s="1"/>
  <c r="B83" i="25586"/>
  <c r="H83" i="25586" s="1"/>
  <c r="A83" i="25586"/>
  <c r="A83" i="25585" s="1"/>
  <c r="A295" i="25580" s="1"/>
  <c r="A295" i="4888" s="1"/>
  <c r="A175" i="10285" s="1"/>
  <c r="A175" i="768" s="1"/>
  <c r="A295" i="20994" s="1"/>
  <c r="A226" i="9216" s="1"/>
  <c r="A226" i="1024" s="1"/>
  <c r="A296" i="32" s="1"/>
  <c r="A226" i="2316" s="1"/>
  <c r="A226" i="2819" s="1"/>
  <c r="A295" i="2561" s="1"/>
  <c r="A226" i="523" s="1"/>
  <c r="A295" i="10541" s="1"/>
  <c r="A226" i="2048" s="1"/>
  <c r="A101" i="25582" s="1"/>
  <c r="A101" i="25583" s="1"/>
  <c r="A97" i="25584" s="1"/>
  <c r="A226" i="8196" s="1"/>
  <c r="A226" i="512" s="1"/>
  <c r="A295" i="25587" s="1"/>
  <c r="A226" i="25588" s="1"/>
  <c r="A226" i="25589" s="1"/>
  <c r="A226" i="25590" s="1"/>
  <c r="O122" i="1"/>
  <c r="O184" i="1"/>
  <c r="B295" i="4888" s="1"/>
  <c r="S284" i="1"/>
  <c r="B296" i="32" s="1"/>
  <c r="O370" i="1"/>
  <c r="B226" i="2316" s="1"/>
  <c r="H226" i="2316" s="1"/>
  <c r="O434" i="1"/>
  <c r="Q529" i="1"/>
  <c r="B295" i="10541" s="1"/>
  <c r="H295" i="10541" s="1"/>
  <c r="Q576" i="1"/>
  <c r="B175" i="10285" s="1"/>
  <c r="H175" i="10285" s="1"/>
  <c r="O843" i="1"/>
  <c r="B226" i="8196" s="1"/>
  <c r="H226" i="8196" s="1"/>
  <c r="O905" i="1"/>
  <c r="B295" i="25587" s="1"/>
  <c r="H295" i="25587" s="1"/>
  <c r="O1029" i="1"/>
  <c r="B226" i="25589" s="1"/>
  <c r="H226" i="25589" s="1"/>
  <c r="O1094" i="1"/>
  <c r="B226" i="2819" s="1"/>
  <c r="H226" i="2819" s="1"/>
  <c r="O1142" i="1"/>
  <c r="B226" i="523" s="1"/>
  <c r="H226" i="523" s="1"/>
  <c r="O1190" i="1"/>
  <c r="B226" i="2048" s="1"/>
  <c r="H226" i="2048" s="1"/>
  <c r="O1393" i="1"/>
  <c r="Q1425" i="1"/>
  <c r="B175" i="768" s="1"/>
  <c r="H175" i="768" s="1"/>
  <c r="O1472" i="1"/>
  <c r="O1613" i="1"/>
  <c r="B226" i="25590" s="1"/>
  <c r="H226" i="25590" s="1"/>
  <c r="O60" i="1"/>
  <c r="P60" i="1" s="1"/>
  <c r="M593" i="1"/>
  <c r="N593" i="1" s="1"/>
  <c r="M655" i="1"/>
  <c r="N655" i="1" s="1"/>
  <c r="M1208" i="1"/>
  <c r="N1208" i="1" s="1"/>
  <c r="P1566" i="1"/>
  <c r="P1519" i="1"/>
  <c r="P967" i="1"/>
  <c r="H295" i="4888" l="1"/>
  <c r="G121" i="25584"/>
  <c r="G125" i="25583"/>
  <c r="G125" i="25582"/>
  <c r="H250" i="1024"/>
  <c r="H250" i="9216"/>
  <c r="H319" i="20994"/>
  <c r="G250" i="8196"/>
  <c r="G319" i="10541"/>
  <c r="G199" i="768"/>
  <c r="G250" i="2048"/>
  <c r="G250" i="523"/>
  <c r="G250" i="2316"/>
  <c r="G250" i="25590"/>
  <c r="G199" i="10285"/>
  <c r="G250" i="2819"/>
  <c r="G320" i="32"/>
  <c r="G319" i="25587"/>
  <c r="G250" i="25589"/>
  <c r="G319" i="4888"/>
  <c r="G238" i="1024"/>
  <c r="G238" i="9216"/>
  <c r="G307" i="20994"/>
  <c r="F109" i="25584"/>
  <c r="F113" i="25582"/>
  <c r="F113" i="25583"/>
  <c r="F238" i="25590"/>
  <c r="F238" i="2048"/>
  <c r="F307" i="25587"/>
  <c r="F238" i="523"/>
  <c r="F238" i="8196"/>
  <c r="F238" i="2316"/>
  <c r="F187" i="768"/>
  <c r="F238" i="2819"/>
  <c r="F187" i="10285"/>
  <c r="F308" i="32"/>
  <c r="F95" i="25586"/>
  <c r="F238" i="25589"/>
  <c r="F307" i="10541"/>
  <c r="F307" i="4888"/>
  <c r="F95" i="25585"/>
  <c r="P1190" i="1"/>
  <c r="P1613" i="1"/>
  <c r="P122" i="1"/>
  <c r="P905" i="1"/>
  <c r="D227" i="2316"/>
  <c r="R576" i="1"/>
  <c r="B295" i="25580"/>
  <c r="H295" i="25580" s="1"/>
  <c r="E227" i="1024"/>
  <c r="E227" i="9216"/>
  <c r="E296" i="20994"/>
  <c r="P1142" i="1"/>
  <c r="D98" i="25584"/>
  <c r="P843" i="1"/>
  <c r="D102" i="25582"/>
  <c r="P370" i="1"/>
  <c r="D102" i="25583"/>
  <c r="D227" i="2048"/>
  <c r="D296" i="25587"/>
  <c r="D227" i="8196"/>
  <c r="D176" i="768"/>
  <c r="D227" i="2819"/>
  <c r="D176" i="10285"/>
  <c r="D297" i="32"/>
  <c r="D84" i="25586"/>
  <c r="D227" i="523"/>
  <c r="D227" i="25590"/>
  <c r="D227" i="25589"/>
  <c r="D296" i="10541"/>
  <c r="D296" i="4888"/>
  <c r="D84" i="25585"/>
  <c r="T284" i="1"/>
  <c r="P1094" i="1"/>
  <c r="R1425" i="1"/>
  <c r="B295" i="2561"/>
  <c r="H295" i="2561" s="1"/>
  <c r="P434" i="1"/>
  <c r="P184" i="1"/>
  <c r="R529" i="1"/>
  <c r="P1029" i="1"/>
  <c r="P1472" i="1"/>
  <c r="B226" i="25588"/>
  <c r="H226" i="25588" s="1"/>
  <c r="P1393" i="1"/>
  <c r="B226" i="512"/>
  <c r="H226" i="512" s="1"/>
  <c r="C295" i="3"/>
  <c r="B96" i="25584"/>
  <c r="B100" i="25583"/>
  <c r="B100" i="25582"/>
  <c r="B82" i="25585"/>
  <c r="H82" i="25585" s="1"/>
  <c r="B82" i="25586"/>
  <c r="H82" i="25586" s="1"/>
  <c r="A82" i="25586"/>
  <c r="A82" i="25585" s="1"/>
  <c r="A294" i="25580" s="1"/>
  <c r="A294" i="4888" s="1"/>
  <c r="A174" i="10285" s="1"/>
  <c r="A174" i="768" s="1"/>
  <c r="A294" i="20994" s="1"/>
  <c r="A225" i="9216" s="1"/>
  <c r="A225" i="1024" s="1"/>
  <c r="A295" i="32" s="1"/>
  <c r="A225" i="2316" s="1"/>
  <c r="A225" i="2819" s="1"/>
  <c r="A294" i="2561" s="1"/>
  <c r="A225" i="523" s="1"/>
  <c r="A294" i="10541" s="1"/>
  <c r="A225" i="2048" s="1"/>
  <c r="A100" i="25582" s="1"/>
  <c r="A100" i="25583" s="1"/>
  <c r="A96" i="25584" s="1"/>
  <c r="A225" i="8196" s="1"/>
  <c r="A225" i="512" s="1"/>
  <c r="A294" i="25587" s="1"/>
  <c r="A225" i="25588" s="1"/>
  <c r="A225" i="25589" s="1"/>
  <c r="A225" i="25590" s="1"/>
  <c r="O121" i="1"/>
  <c r="O183" i="1"/>
  <c r="B294" i="4888" s="1"/>
  <c r="O433" i="1"/>
  <c r="Q528" i="1"/>
  <c r="B294" i="10541" s="1"/>
  <c r="H294" i="10541" s="1"/>
  <c r="Q575" i="1"/>
  <c r="B174" i="10285" s="1"/>
  <c r="H174" i="10285" s="1"/>
  <c r="O842" i="1"/>
  <c r="O904" i="1"/>
  <c r="O1141" i="1"/>
  <c r="O1189" i="1"/>
  <c r="O1392" i="1"/>
  <c r="Q1424" i="1"/>
  <c r="B174" i="768" s="1"/>
  <c r="H174" i="768" s="1"/>
  <c r="O1471" i="1"/>
  <c r="O59" i="1"/>
  <c r="C294" i="3" s="1"/>
  <c r="M592" i="1"/>
  <c r="N592" i="1" s="1"/>
  <c r="M654" i="1"/>
  <c r="N654" i="1" s="1"/>
  <c r="M1207" i="1"/>
  <c r="N1207" i="1" s="1"/>
  <c r="O1565" i="1"/>
  <c r="P1565" i="1" s="1"/>
  <c r="O1518" i="1"/>
  <c r="O966" i="1"/>
  <c r="P966" i="1" s="1"/>
  <c r="H294" i="4888" l="1"/>
  <c r="H319" i="3"/>
  <c r="G319" i="25580"/>
  <c r="G250" i="512"/>
  <c r="G250" i="25588"/>
  <c r="G120" i="25584"/>
  <c r="G124" i="25583"/>
  <c r="G124" i="25582"/>
  <c r="H318" i="3"/>
  <c r="G198" i="10285"/>
  <c r="G198" i="768"/>
  <c r="G318" i="4888"/>
  <c r="G318" i="10541"/>
  <c r="D296" i="25580"/>
  <c r="G307" i="3"/>
  <c r="F238" i="25588"/>
  <c r="F238" i="512"/>
  <c r="F307" i="25580"/>
  <c r="F112" i="25582"/>
  <c r="F112" i="25583"/>
  <c r="G306" i="3"/>
  <c r="F108" i="25584"/>
  <c r="F186" i="10285"/>
  <c r="F306" i="10541"/>
  <c r="F186" i="768"/>
  <c r="F94" i="25586"/>
  <c r="F306" i="4888"/>
  <c r="F94" i="25585"/>
  <c r="B225" i="1024"/>
  <c r="D101" i="25583"/>
  <c r="E296" i="3"/>
  <c r="D227" i="25588"/>
  <c r="D227" i="512"/>
  <c r="B225" i="512"/>
  <c r="H225" i="512" s="1"/>
  <c r="P1392" i="1"/>
  <c r="D83" i="25585"/>
  <c r="B225" i="9216"/>
  <c r="P1518" i="1"/>
  <c r="P183" i="1"/>
  <c r="D101" i="25582"/>
  <c r="B294" i="20994"/>
  <c r="D97" i="25584"/>
  <c r="E295" i="3"/>
  <c r="D295" i="10541"/>
  <c r="D175" i="768"/>
  <c r="D295" i="4888"/>
  <c r="R528" i="1"/>
  <c r="D83" i="25586"/>
  <c r="D175" i="10285"/>
  <c r="P121" i="1"/>
  <c r="R575" i="1"/>
  <c r="R1424" i="1"/>
  <c r="P1471" i="1"/>
  <c r="B225" i="25588"/>
  <c r="H225" i="25588" s="1"/>
  <c r="P1141" i="1"/>
  <c r="B225" i="523"/>
  <c r="H225" i="523" s="1"/>
  <c r="B294" i="25580"/>
  <c r="H294" i="25580" s="1"/>
  <c r="P1189" i="1"/>
  <c r="B225" i="2048"/>
  <c r="H225" i="2048" s="1"/>
  <c r="P59" i="1"/>
  <c r="P904" i="1"/>
  <c r="B294" i="25587"/>
  <c r="H294" i="25587" s="1"/>
  <c r="P433" i="1"/>
  <c r="B294" i="2561"/>
  <c r="H294" i="2561" s="1"/>
  <c r="P842" i="1"/>
  <c r="B225" i="8196"/>
  <c r="H225" i="8196" s="1"/>
  <c r="B95" i="25584"/>
  <c r="H249" i="1024" l="1"/>
  <c r="H249" i="9216"/>
  <c r="H318" i="20994"/>
  <c r="G249" i="25588"/>
  <c r="G249" i="2048"/>
  <c r="G249" i="8196"/>
  <c r="G249" i="512"/>
  <c r="G318" i="25587"/>
  <c r="G318" i="25580"/>
  <c r="G249" i="523"/>
  <c r="G119" i="25584"/>
  <c r="E226" i="1024"/>
  <c r="G237" i="1024"/>
  <c r="G237" i="9216"/>
  <c r="G306" i="20994"/>
  <c r="F237" i="523"/>
  <c r="F237" i="2048"/>
  <c r="F306" i="25587"/>
  <c r="F237" i="8196"/>
  <c r="F237" i="25588"/>
  <c r="F306" i="25580"/>
  <c r="F237" i="512"/>
  <c r="F107" i="25584"/>
  <c r="D226" i="512"/>
  <c r="E295" i="20994"/>
  <c r="E226" i="9216"/>
  <c r="D96" i="25584"/>
  <c r="D226" i="523"/>
  <c r="D226" i="2048"/>
  <c r="D226" i="8196"/>
  <c r="D295" i="25587"/>
  <c r="D226" i="25588"/>
  <c r="D295" i="25580"/>
  <c r="B99" i="25583"/>
  <c r="B99" i="25582"/>
  <c r="B81" i="25585"/>
  <c r="H81" i="25585" s="1"/>
  <c r="B81" i="25586"/>
  <c r="H81" i="25586" s="1"/>
  <c r="A81" i="25586"/>
  <c r="A81" i="25585" s="1"/>
  <c r="A293" i="25580" s="1"/>
  <c r="A293" i="4888" s="1"/>
  <c r="A173" i="10285" s="1"/>
  <c r="A173" i="768" s="1"/>
  <c r="A293" i="20994" s="1"/>
  <c r="A224" i="9216" s="1"/>
  <c r="A224" i="1024" s="1"/>
  <c r="A294" i="32" s="1"/>
  <c r="A224" i="2316" s="1"/>
  <c r="A224" i="2819" s="1"/>
  <c r="A293" i="2561" s="1"/>
  <c r="A224" i="523" s="1"/>
  <c r="A293" i="10541" s="1"/>
  <c r="A224" i="2048" s="1"/>
  <c r="A99" i="25582" s="1"/>
  <c r="A99" i="25583" s="1"/>
  <c r="A95" i="25584" s="1"/>
  <c r="A224" i="8196" s="1"/>
  <c r="A224" i="512" s="1"/>
  <c r="A293" i="25587" s="1"/>
  <c r="A224" i="25588" s="1"/>
  <c r="A224" i="25589" s="1"/>
  <c r="A224" i="25590" s="1"/>
  <c r="G123" i="25583" l="1"/>
  <c r="G123" i="25582"/>
  <c r="F111" i="25582"/>
  <c r="F111" i="25583"/>
  <c r="F93" i="25585"/>
  <c r="F93" i="25586"/>
  <c r="D100" i="25582"/>
  <c r="D100" i="25583"/>
  <c r="D82" i="25585"/>
  <c r="D82" i="25586"/>
  <c r="O120" i="1"/>
  <c r="O182" i="1"/>
  <c r="S282" i="1"/>
  <c r="O368" i="1"/>
  <c r="B224" i="2316" s="1"/>
  <c r="H224" i="2316" s="1"/>
  <c r="O432" i="1"/>
  <c r="B293" i="2561" s="1"/>
  <c r="H293" i="2561" s="1"/>
  <c r="Q527" i="1"/>
  <c r="Q574" i="1"/>
  <c r="O841" i="1"/>
  <c r="O903" i="1"/>
  <c r="B293" i="25587" s="1"/>
  <c r="H293" i="25587" s="1"/>
  <c r="O1027" i="1"/>
  <c r="O1092" i="1"/>
  <c r="O1140" i="1"/>
  <c r="O1188" i="1"/>
  <c r="B224" i="2048" s="1"/>
  <c r="H224" i="2048" s="1"/>
  <c r="O1391" i="1"/>
  <c r="Q1423" i="1"/>
  <c r="O1470" i="1"/>
  <c r="O1611" i="1"/>
  <c r="B224" i="25590" s="1"/>
  <c r="H224" i="25590" s="1"/>
  <c r="O58" i="1"/>
  <c r="C293" i="3" s="1"/>
  <c r="M591" i="1"/>
  <c r="N591" i="1" s="1"/>
  <c r="M653" i="1"/>
  <c r="N653" i="1" s="1"/>
  <c r="M1206" i="1"/>
  <c r="N1206" i="1" s="1"/>
  <c r="O1564" i="1"/>
  <c r="O1517" i="1"/>
  <c r="O965" i="1"/>
  <c r="P432" i="1" l="1"/>
  <c r="G248" i="25590"/>
  <c r="G317" i="25587"/>
  <c r="G248" i="2048"/>
  <c r="G248" i="2316"/>
  <c r="H317" i="3"/>
  <c r="G305" i="3"/>
  <c r="F236" i="2316"/>
  <c r="F236" i="25590"/>
  <c r="F236" i="2048"/>
  <c r="F305" i="25587"/>
  <c r="P965" i="1"/>
  <c r="B293" i="20994"/>
  <c r="P1564" i="1"/>
  <c r="B224" i="1024"/>
  <c r="P1517" i="1"/>
  <c r="B224" i="9216"/>
  <c r="E294" i="3"/>
  <c r="D225" i="2048"/>
  <c r="D294" i="25587"/>
  <c r="P120" i="1"/>
  <c r="P1188" i="1"/>
  <c r="P368" i="1"/>
  <c r="P58" i="1"/>
  <c r="P1611" i="1"/>
  <c r="P1391" i="1"/>
  <c r="B224" i="512"/>
  <c r="H224" i="512" s="1"/>
  <c r="P1027" i="1"/>
  <c r="B224" i="25589"/>
  <c r="H224" i="25589" s="1"/>
  <c r="R527" i="1"/>
  <c r="B293" i="10541"/>
  <c r="H293" i="10541" s="1"/>
  <c r="P182" i="1"/>
  <c r="B293" i="4888"/>
  <c r="B293" i="25580"/>
  <c r="H293" i="25580" s="1"/>
  <c r="P1470" i="1"/>
  <c r="B224" i="25588"/>
  <c r="H224" i="25588" s="1"/>
  <c r="P1140" i="1"/>
  <c r="B224" i="523"/>
  <c r="H224" i="523" s="1"/>
  <c r="P841" i="1"/>
  <c r="B224" i="8196"/>
  <c r="H224" i="8196" s="1"/>
  <c r="P903" i="1"/>
  <c r="R1423" i="1"/>
  <c r="B173" i="768"/>
  <c r="H173" i="768" s="1"/>
  <c r="P1092" i="1"/>
  <c r="B224" i="2819"/>
  <c r="H224" i="2819" s="1"/>
  <c r="R574" i="1"/>
  <c r="B173" i="10285"/>
  <c r="H173" i="10285" s="1"/>
  <c r="T282" i="1"/>
  <c r="B294" i="32"/>
  <c r="B94" i="25584"/>
  <c r="B98" i="25583"/>
  <c r="B98" i="25582"/>
  <c r="B80" i="25585"/>
  <c r="H80" i="25585" s="1"/>
  <c r="B80" i="25586"/>
  <c r="H80" i="25586" s="1"/>
  <c r="A80" i="25586"/>
  <c r="A80" i="25585" s="1"/>
  <c r="A292" i="25580" s="1"/>
  <c r="A292" i="4888" s="1"/>
  <c r="A172" i="10285" s="1"/>
  <c r="A172" i="768" s="1"/>
  <c r="A292" i="20994" s="1"/>
  <c r="A223" i="9216" s="1"/>
  <c r="A223" i="1024" s="1"/>
  <c r="A293" i="32" s="1"/>
  <c r="A223" i="2316" s="1"/>
  <c r="A223" i="2819" s="1"/>
  <c r="A292" i="2561" s="1"/>
  <c r="A223" i="523" s="1"/>
  <c r="A292" i="10541" s="1"/>
  <c r="A223" i="2048" s="1"/>
  <c r="A98" i="25582" s="1"/>
  <c r="A98" i="25583" s="1"/>
  <c r="A94" i="25584" s="1"/>
  <c r="A223" i="8196" s="1"/>
  <c r="A223" i="512" s="1"/>
  <c r="A292" i="25587" s="1"/>
  <c r="A223" i="25588" s="1"/>
  <c r="A223" i="25589" s="1"/>
  <c r="A223" i="25590" s="1"/>
  <c r="O119" i="1"/>
  <c r="O181" i="1"/>
  <c r="P181" i="1" s="1"/>
  <c r="S281" i="1"/>
  <c r="B293" i="32" s="1"/>
  <c r="O367" i="1"/>
  <c r="O431" i="1"/>
  <c r="B292" i="2561" s="1"/>
  <c r="H292" i="2561" s="1"/>
  <c r="Q526" i="1"/>
  <c r="Q573" i="1"/>
  <c r="B172" i="10285" s="1"/>
  <c r="H172" i="10285" s="1"/>
  <c r="O840" i="1"/>
  <c r="O902" i="1"/>
  <c r="B292" i="25587" s="1"/>
  <c r="H292" i="25587" s="1"/>
  <c r="O1026" i="1"/>
  <c r="B223" i="25589" s="1"/>
  <c r="H223" i="25589" s="1"/>
  <c r="O1091" i="1"/>
  <c r="O1139" i="1"/>
  <c r="O1187" i="1"/>
  <c r="B223" i="2048" s="1"/>
  <c r="H223" i="2048" s="1"/>
  <c r="O1390" i="1"/>
  <c r="B223" i="512" s="1"/>
  <c r="H223" i="512" s="1"/>
  <c r="Q1422" i="1"/>
  <c r="O1469" i="1"/>
  <c r="O1610" i="1"/>
  <c r="B223" i="25590" s="1"/>
  <c r="H223" i="25590" s="1"/>
  <c r="O57" i="1"/>
  <c r="P57" i="1" s="1"/>
  <c r="M590" i="1"/>
  <c r="N590" i="1" s="1"/>
  <c r="M652" i="1"/>
  <c r="N652" i="1" s="1"/>
  <c r="M1205" i="1"/>
  <c r="N1205" i="1" s="1"/>
  <c r="O1563" i="1"/>
  <c r="P1563" i="1" s="1"/>
  <c r="O1516" i="1"/>
  <c r="P1516" i="1" s="1"/>
  <c r="O964" i="1"/>
  <c r="P964" i="1" s="1"/>
  <c r="H293" i="4888" l="1"/>
  <c r="G248" i="25589"/>
  <c r="G248" i="25588"/>
  <c r="G248" i="512"/>
  <c r="G248" i="8196"/>
  <c r="G317" i="10541"/>
  <c r="G248" i="523"/>
  <c r="G248" i="2819"/>
  <c r="G318" i="32"/>
  <c r="H248" i="1024"/>
  <c r="H248" i="9216"/>
  <c r="H317" i="20994"/>
  <c r="G197" i="768"/>
  <c r="G197" i="10285"/>
  <c r="G317" i="4888"/>
  <c r="G317" i="25580"/>
  <c r="G247" i="25590"/>
  <c r="G247" i="25589"/>
  <c r="G316" i="25587"/>
  <c r="G247" i="512"/>
  <c r="G118" i="25584"/>
  <c r="G122" i="25583"/>
  <c r="G122" i="25582"/>
  <c r="G247" i="2048"/>
  <c r="G196" i="10285"/>
  <c r="G236" i="1024"/>
  <c r="G236" i="9216"/>
  <c r="G305" i="20994"/>
  <c r="F236" i="8196"/>
  <c r="F236" i="25588"/>
  <c r="F185" i="10285"/>
  <c r="F185" i="768"/>
  <c r="F305" i="10541"/>
  <c r="F236" i="512"/>
  <c r="F236" i="523"/>
  <c r="F305" i="25580"/>
  <c r="F306" i="32"/>
  <c r="F236" i="2819"/>
  <c r="F305" i="4888"/>
  <c r="F236" i="25589"/>
  <c r="F235" i="2048"/>
  <c r="F110" i="25583"/>
  <c r="F184" i="10285"/>
  <c r="F305" i="32"/>
  <c r="F92" i="25586"/>
  <c r="F106" i="25584"/>
  <c r="F235" i="25590"/>
  <c r="F304" i="25587"/>
  <c r="F235" i="512"/>
  <c r="F235" i="25589"/>
  <c r="F92" i="25585"/>
  <c r="F110" i="25582"/>
  <c r="B223" i="9216"/>
  <c r="B292" i="20994"/>
  <c r="E225" i="1024"/>
  <c r="B223" i="1024"/>
  <c r="E225" i="9216"/>
  <c r="E294" i="20994"/>
  <c r="D174" i="10285"/>
  <c r="D174" i="768"/>
  <c r="D294" i="10541"/>
  <c r="D225" i="512"/>
  <c r="D294" i="25580"/>
  <c r="D225" i="523"/>
  <c r="D294" i="4888"/>
  <c r="D225" i="8196"/>
  <c r="D225" i="25588"/>
  <c r="T281" i="1"/>
  <c r="D99" i="25583"/>
  <c r="D95" i="25584"/>
  <c r="D224" i="2048"/>
  <c r="D293" i="25587"/>
  <c r="B292" i="25580"/>
  <c r="H292" i="25580" s="1"/>
  <c r="D81" i="25586"/>
  <c r="D224" i="25590"/>
  <c r="D173" i="10285"/>
  <c r="D294" i="32"/>
  <c r="R573" i="1"/>
  <c r="D224" i="512"/>
  <c r="D224" i="25589"/>
  <c r="D81" i="25585"/>
  <c r="D99" i="25582"/>
  <c r="P1187" i="1"/>
  <c r="P119" i="1"/>
  <c r="P902" i="1"/>
  <c r="P431" i="1"/>
  <c r="P1610" i="1"/>
  <c r="P840" i="1"/>
  <c r="B223" i="8196"/>
  <c r="H223" i="8196" s="1"/>
  <c r="C292" i="3"/>
  <c r="P1390" i="1"/>
  <c r="P1469" i="1"/>
  <c r="B223" i="25588"/>
  <c r="H223" i="25588" s="1"/>
  <c r="P1139" i="1"/>
  <c r="B223" i="523"/>
  <c r="H223" i="523" s="1"/>
  <c r="P367" i="1"/>
  <c r="B223" i="2316"/>
  <c r="H223" i="2316" s="1"/>
  <c r="P1026" i="1"/>
  <c r="R1422" i="1"/>
  <c r="B172" i="768"/>
  <c r="H172" i="768" s="1"/>
  <c r="P1091" i="1"/>
  <c r="B223" i="2819"/>
  <c r="H223" i="2819" s="1"/>
  <c r="B292" i="4888"/>
  <c r="R526" i="1"/>
  <c r="B292" i="10541"/>
  <c r="H292" i="10541" s="1"/>
  <c r="M1204" i="1"/>
  <c r="N1204" i="1" s="1"/>
  <c r="M589" i="1"/>
  <c r="N589" i="1" s="1"/>
  <c r="O56" i="1"/>
  <c r="P56" i="1" s="1"/>
  <c r="M651" i="1"/>
  <c r="N651" i="1" s="1"/>
  <c r="O1609" i="1"/>
  <c r="B222" i="25590" s="1"/>
  <c r="H222" i="25590" s="1"/>
  <c r="O1468" i="1"/>
  <c r="P1468" i="1" s="1"/>
  <c r="Q1421" i="1"/>
  <c r="B171" i="768" s="1"/>
  <c r="H171" i="768" s="1"/>
  <c r="O1389" i="1"/>
  <c r="B222" i="512" s="1"/>
  <c r="H222" i="512" s="1"/>
  <c r="O1186" i="1"/>
  <c r="B222" i="2048" s="1"/>
  <c r="H222" i="2048" s="1"/>
  <c r="O1138" i="1"/>
  <c r="P1138" i="1" s="1"/>
  <c r="O1090" i="1"/>
  <c r="P1090" i="1" s="1"/>
  <c r="O1025" i="1"/>
  <c r="B222" i="25589" s="1"/>
  <c r="H222" i="25589" s="1"/>
  <c r="O901" i="1"/>
  <c r="B291" i="25587" s="1"/>
  <c r="H291" i="25587" s="1"/>
  <c r="O839" i="1"/>
  <c r="B222" i="8196" s="1"/>
  <c r="H222" i="8196" s="1"/>
  <c r="Q572" i="1"/>
  <c r="R572" i="1" s="1"/>
  <c r="Q525" i="1"/>
  <c r="B291" i="10541" s="1"/>
  <c r="H291" i="10541" s="1"/>
  <c r="O430" i="1"/>
  <c r="B291" i="2561" s="1"/>
  <c r="H291" i="2561" s="1"/>
  <c r="O366" i="1"/>
  <c r="B222" i="2316" s="1"/>
  <c r="H222" i="2316" s="1"/>
  <c r="S280" i="1"/>
  <c r="B292" i="32" s="1"/>
  <c r="O180" i="1"/>
  <c r="B291" i="4888" s="1"/>
  <c r="O118" i="1"/>
  <c r="B93" i="25584"/>
  <c r="B97" i="25582"/>
  <c r="B97" i="25583"/>
  <c r="B79" i="25585"/>
  <c r="H79" i="25585" s="1"/>
  <c r="B79" i="25586"/>
  <c r="H79" i="25586" s="1"/>
  <c r="A79" i="25586"/>
  <c r="A79" i="25585" s="1"/>
  <c r="A291" i="25580" s="1"/>
  <c r="A291" i="4888" s="1"/>
  <c r="A171" i="10285" s="1"/>
  <c r="A171" i="768" s="1"/>
  <c r="A291" i="20994" s="1"/>
  <c r="A222" i="9216" s="1"/>
  <c r="A222" i="1024" s="1"/>
  <c r="A292" i="32" s="1"/>
  <c r="A222" i="2316" s="1"/>
  <c r="A222" i="2819" s="1"/>
  <c r="A291" i="2561" s="1"/>
  <c r="A222" i="523" s="1"/>
  <c r="A291" i="10541" s="1"/>
  <c r="A222" i="2048" s="1"/>
  <c r="A97" i="25582" s="1"/>
  <c r="A97" i="25583" s="1"/>
  <c r="A93" i="25584" s="1"/>
  <c r="A222" i="8196" s="1"/>
  <c r="A222" i="512" s="1"/>
  <c r="A291" i="25587" s="1"/>
  <c r="A222" i="25588" s="1"/>
  <c r="A222" i="25589" s="1"/>
  <c r="A222" i="25590" s="1"/>
  <c r="O1562" i="1"/>
  <c r="O1515" i="1"/>
  <c r="O963" i="1"/>
  <c r="P963" i="1" s="1"/>
  <c r="H291" i="4888" l="1"/>
  <c r="H292" i="4888"/>
  <c r="G247" i="25588"/>
  <c r="G247" i="8196"/>
  <c r="G316" i="10541"/>
  <c r="G247" i="523"/>
  <c r="G247" i="2819"/>
  <c r="G247" i="2316"/>
  <c r="H247" i="1024"/>
  <c r="H247" i="9216"/>
  <c r="H316" i="20994"/>
  <c r="G196" i="768"/>
  <c r="G316" i="4888"/>
  <c r="G316" i="25580"/>
  <c r="H316" i="3"/>
  <c r="G246" i="25590"/>
  <c r="G246" i="25589"/>
  <c r="G315" i="25587"/>
  <c r="G246" i="512"/>
  <c r="G246" i="8196"/>
  <c r="G117" i="25584"/>
  <c r="G121" i="25583"/>
  <c r="G121" i="25582"/>
  <c r="G246" i="2048"/>
  <c r="G315" i="10541"/>
  <c r="G246" i="2316"/>
  <c r="G316" i="32"/>
  <c r="G195" i="768"/>
  <c r="G315" i="4888"/>
  <c r="B222" i="523"/>
  <c r="H222" i="523" s="1"/>
  <c r="E293" i="20994"/>
  <c r="G235" i="1024"/>
  <c r="G235" i="9216"/>
  <c r="E224" i="9216"/>
  <c r="G304" i="20994"/>
  <c r="F235" i="2819"/>
  <c r="F304" i="10541"/>
  <c r="F235" i="2316"/>
  <c r="F235" i="25588"/>
  <c r="F235" i="8196"/>
  <c r="F304" i="25580"/>
  <c r="G304" i="3"/>
  <c r="F184" i="768"/>
  <c r="F304" i="4888"/>
  <c r="F235" i="523"/>
  <c r="E224" i="1024"/>
  <c r="F109" i="25583"/>
  <c r="F109" i="25582"/>
  <c r="B222" i="2819"/>
  <c r="H222" i="2819" s="1"/>
  <c r="F105" i="25584"/>
  <c r="F234" i="2316"/>
  <c r="F304" i="32"/>
  <c r="F183" i="768"/>
  <c r="F91" i="25586"/>
  <c r="F303" i="25587"/>
  <c r="F234" i="2048"/>
  <c r="F234" i="25590"/>
  <c r="B222" i="25588"/>
  <c r="H222" i="25588" s="1"/>
  <c r="F234" i="8196"/>
  <c r="F91" i="25585"/>
  <c r="F303" i="4888"/>
  <c r="F303" i="10541"/>
  <c r="F234" i="25589"/>
  <c r="F234" i="512"/>
  <c r="P118" i="1"/>
  <c r="P1025" i="1"/>
  <c r="P180" i="1"/>
  <c r="P1389" i="1"/>
  <c r="R525" i="1"/>
  <c r="P366" i="1"/>
  <c r="P839" i="1"/>
  <c r="D94" i="25584"/>
  <c r="B171" i="10285"/>
  <c r="H171" i="10285" s="1"/>
  <c r="E293" i="3"/>
  <c r="D173" i="768"/>
  <c r="P430" i="1"/>
  <c r="D293" i="4888"/>
  <c r="D224" i="523"/>
  <c r="D224" i="2819"/>
  <c r="D293" i="10541"/>
  <c r="D224" i="2316"/>
  <c r="D224" i="25588"/>
  <c r="D224" i="8196"/>
  <c r="D293" i="25580"/>
  <c r="T280" i="1"/>
  <c r="R1421" i="1"/>
  <c r="C291" i="3"/>
  <c r="D98" i="25583"/>
  <c r="D98" i="25582"/>
  <c r="D172" i="768"/>
  <c r="D223" i="8196"/>
  <c r="D293" i="32"/>
  <c r="B291" i="25580"/>
  <c r="H291" i="25580" s="1"/>
  <c r="D292" i="25587"/>
  <c r="D223" i="2048"/>
  <c r="D223" i="25590"/>
  <c r="D80" i="25585"/>
  <c r="D223" i="2316"/>
  <c r="D292" i="4888"/>
  <c r="D292" i="10541"/>
  <c r="D223" i="25589"/>
  <c r="D223" i="512"/>
  <c r="D80" i="25586"/>
  <c r="P1609" i="1"/>
  <c r="P901" i="1"/>
  <c r="P1186" i="1"/>
  <c r="P1562" i="1"/>
  <c r="B222" i="1024"/>
  <c r="P1515" i="1"/>
  <c r="B222" i="9216"/>
  <c r="B291" i="20994"/>
  <c r="O838" i="1"/>
  <c r="B221" i="8196" s="1"/>
  <c r="H221" i="8196" s="1"/>
  <c r="B92" i="25584"/>
  <c r="B96" i="25583"/>
  <c r="B96" i="25582"/>
  <c r="Q524" i="1"/>
  <c r="B290" i="10541" s="1"/>
  <c r="H290" i="10541" s="1"/>
  <c r="O179" i="1"/>
  <c r="B290" i="4888" s="1"/>
  <c r="O1608" i="1"/>
  <c r="B221" i="25590" s="1"/>
  <c r="H221" i="25590" s="1"/>
  <c r="O1561" i="1"/>
  <c r="P1561" i="1" s="1"/>
  <c r="O1514" i="1"/>
  <c r="P1514" i="1" s="1"/>
  <c r="O1467" i="1"/>
  <c r="B221" i="25588" s="1"/>
  <c r="H221" i="25588" s="1"/>
  <c r="Q1420" i="1"/>
  <c r="R1420" i="1" s="1"/>
  <c r="O1388" i="1"/>
  <c r="M1203" i="1"/>
  <c r="N1203" i="1" s="1"/>
  <c r="O1185" i="1"/>
  <c r="O1137" i="1"/>
  <c r="O1089" i="1"/>
  <c r="B221" i="2819" s="1"/>
  <c r="H221" i="2819" s="1"/>
  <c r="O1024" i="1"/>
  <c r="B221" i="25589" s="1"/>
  <c r="H221" i="25589" s="1"/>
  <c r="O962" i="1"/>
  <c r="P962" i="1" s="1"/>
  <c r="O900" i="1"/>
  <c r="B290" i="25587" s="1"/>
  <c r="H290" i="25587" s="1"/>
  <c r="M650" i="1"/>
  <c r="N650" i="1" s="1"/>
  <c r="M588" i="1"/>
  <c r="N588" i="1" s="1"/>
  <c r="Q571" i="1"/>
  <c r="B170" i="10285" s="1"/>
  <c r="H170" i="10285" s="1"/>
  <c r="O429" i="1"/>
  <c r="B290" i="2561" s="1"/>
  <c r="H290" i="2561" s="1"/>
  <c r="O365" i="1"/>
  <c r="B221" i="2316" s="1"/>
  <c r="H221" i="2316" s="1"/>
  <c r="S279" i="1"/>
  <c r="B291" i="32" s="1"/>
  <c r="O117" i="1"/>
  <c r="B78" i="25585"/>
  <c r="H78" i="25585" s="1"/>
  <c r="B78" i="25586"/>
  <c r="H78" i="25586" s="1"/>
  <c r="H290" i="4888" l="1"/>
  <c r="F234" i="523"/>
  <c r="G246" i="25588"/>
  <c r="G246" i="523"/>
  <c r="G246" i="2819"/>
  <c r="H246" i="1024"/>
  <c r="H246" i="9216"/>
  <c r="H315" i="20994"/>
  <c r="G195" i="10285"/>
  <c r="G315" i="25580"/>
  <c r="H315" i="3"/>
  <c r="G116" i="25584"/>
  <c r="G120" i="25583"/>
  <c r="G120" i="25582"/>
  <c r="G245" i="25589"/>
  <c r="G245" i="8196"/>
  <c r="G245" i="2316"/>
  <c r="G245" i="2819"/>
  <c r="G194" i="10285"/>
  <c r="G314" i="4888"/>
  <c r="G314" i="10541"/>
  <c r="G245" i="25590"/>
  <c r="G314" i="25587"/>
  <c r="D223" i="523"/>
  <c r="G245" i="25588"/>
  <c r="G315" i="32"/>
  <c r="D223" i="25588"/>
  <c r="D223" i="2819"/>
  <c r="G234" i="1024"/>
  <c r="G234" i="9216"/>
  <c r="G303" i="20994"/>
  <c r="F234" i="2819"/>
  <c r="G303" i="3"/>
  <c r="F303" i="25580"/>
  <c r="F234" i="25588"/>
  <c r="F183" i="10285"/>
  <c r="F182" i="10285"/>
  <c r="F302" i="4888"/>
  <c r="F303" i="32"/>
  <c r="F233" i="25589"/>
  <c r="F302" i="10541"/>
  <c r="F233" i="8196"/>
  <c r="F104" i="25584"/>
  <c r="F233" i="2316"/>
  <c r="F233" i="2819"/>
  <c r="F108" i="25582"/>
  <c r="F233" i="25588"/>
  <c r="F90" i="25586"/>
  <c r="F90" i="25585"/>
  <c r="F302" i="25587"/>
  <c r="F233" i="25590"/>
  <c r="F108" i="25583"/>
  <c r="B221" i="1024"/>
  <c r="D172" i="10285"/>
  <c r="E292" i="3"/>
  <c r="E223" i="1024"/>
  <c r="E223" i="9216"/>
  <c r="E292" i="20994"/>
  <c r="B290" i="25580"/>
  <c r="H290" i="25580" s="1"/>
  <c r="D222" i="25588"/>
  <c r="D291" i="25587"/>
  <c r="D222" i="25590"/>
  <c r="D292" i="25580"/>
  <c r="D79" i="25585"/>
  <c r="D222" i="2316"/>
  <c r="D93" i="25584"/>
  <c r="D291" i="10541"/>
  <c r="D292" i="32"/>
  <c r="R571" i="1"/>
  <c r="D222" i="2819"/>
  <c r="B290" i="20994"/>
  <c r="D97" i="25582"/>
  <c r="D79" i="25586"/>
  <c r="D291" i="4888"/>
  <c r="P365" i="1"/>
  <c r="D171" i="10285"/>
  <c r="B221" i="9216"/>
  <c r="D97" i="25583"/>
  <c r="D222" i="25589"/>
  <c r="D222" i="8196"/>
  <c r="T279" i="1"/>
  <c r="P429" i="1"/>
  <c r="P1608" i="1"/>
  <c r="P900" i="1"/>
  <c r="P1024" i="1"/>
  <c r="P1137" i="1"/>
  <c r="B221" i="523"/>
  <c r="H221" i="523" s="1"/>
  <c r="P1388" i="1"/>
  <c r="B221" i="512"/>
  <c r="H221" i="512" s="1"/>
  <c r="P1185" i="1"/>
  <c r="B221" i="2048"/>
  <c r="H221" i="2048" s="1"/>
  <c r="B170" i="768"/>
  <c r="H170" i="768" s="1"/>
  <c r="P1089" i="1"/>
  <c r="P1467" i="1"/>
  <c r="P838" i="1"/>
  <c r="R524" i="1"/>
  <c r="P179" i="1"/>
  <c r="A78" i="25586"/>
  <c r="A78" i="25585" s="1"/>
  <c r="A290" i="25580" s="1"/>
  <c r="A290" i="4888" s="1"/>
  <c r="A170" i="10285" s="1"/>
  <c r="A170" i="768" s="1"/>
  <c r="A290" i="20994" s="1"/>
  <c r="A221" i="9216" s="1"/>
  <c r="A221" i="1024" s="1"/>
  <c r="A291" i="32" s="1"/>
  <c r="A221" i="2316" s="1"/>
  <c r="A221" i="2819" s="1"/>
  <c r="A290" i="2561" s="1"/>
  <c r="A221" i="523" s="1"/>
  <c r="A290" i="10541" s="1"/>
  <c r="A221" i="2048" s="1"/>
  <c r="A96" i="25582" s="1"/>
  <c r="A96" i="25583" s="1"/>
  <c r="A92" i="25584" s="1"/>
  <c r="A221" i="8196" s="1"/>
  <c r="A221" i="512" s="1"/>
  <c r="A290" i="25587" s="1"/>
  <c r="A221" i="25588" s="1"/>
  <c r="A221" i="25589" s="1"/>
  <c r="A221" i="25590" s="1"/>
  <c r="P117" i="1"/>
  <c r="O55" i="1"/>
  <c r="C290" i="3" s="1"/>
  <c r="E222" i="1024" l="1"/>
  <c r="H245" i="1024"/>
  <c r="H245" i="9216"/>
  <c r="H314" i="20994"/>
  <c r="H314" i="3"/>
  <c r="G314" i="25580"/>
  <c r="G245" i="512"/>
  <c r="G245" i="523"/>
  <c r="G194" i="768"/>
  <c r="G245" i="2048"/>
  <c r="G233" i="1024"/>
  <c r="G233" i="9216"/>
  <c r="G302" i="20994"/>
  <c r="F233" i="2048"/>
  <c r="F302" i="25580"/>
  <c r="F233" i="523"/>
  <c r="F233" i="512"/>
  <c r="G302" i="3"/>
  <c r="F182" i="768"/>
  <c r="E291" i="20994"/>
  <c r="E222" i="9216"/>
  <c r="D291" i="25580"/>
  <c r="D222" i="2048"/>
  <c r="D222" i="523"/>
  <c r="D222" i="512"/>
  <c r="E291" i="3"/>
  <c r="D171" i="768"/>
  <c r="P55" i="1"/>
  <c r="B91" i="25584" l="1"/>
  <c r="B95" i="25583"/>
  <c r="B95" i="25582"/>
  <c r="B77" i="25585"/>
  <c r="H77" i="25585" s="1"/>
  <c r="B77" i="25586"/>
  <c r="H77" i="25586" s="1"/>
  <c r="B76" i="25586"/>
  <c r="H76" i="25586" s="1"/>
  <c r="A77" i="25586"/>
  <c r="A77" i="25585" s="1"/>
  <c r="A289" i="25580" s="1"/>
  <c r="A289" i="4888" s="1"/>
  <c r="A169" i="10285" s="1"/>
  <c r="A169" i="768" s="1"/>
  <c r="A289" i="20994" s="1"/>
  <c r="A220" i="9216" s="1"/>
  <c r="A220" i="1024" s="1"/>
  <c r="A290" i="32" s="1"/>
  <c r="A220" i="2316" s="1"/>
  <c r="A220" i="2819" s="1"/>
  <c r="A289" i="2561" s="1"/>
  <c r="A220" i="523" s="1"/>
  <c r="A289" i="10541" s="1"/>
  <c r="A220" i="2048" s="1"/>
  <c r="A95" i="25582" s="1"/>
  <c r="A95" i="25583" s="1"/>
  <c r="A91" i="25584" s="1"/>
  <c r="A220" i="8196" s="1"/>
  <c r="A220" i="512" s="1"/>
  <c r="A289" i="25587" s="1"/>
  <c r="A220" i="25588" s="1"/>
  <c r="A220" i="25589" s="1"/>
  <c r="A220" i="25590" s="1"/>
  <c r="M1148" i="1"/>
  <c r="B220" i="523" s="1"/>
  <c r="H220" i="523" s="1"/>
  <c r="M66" i="1"/>
  <c r="C289" i="3" s="1"/>
  <c r="K599" i="1"/>
  <c r="L599" i="1" s="1"/>
  <c r="K661" i="1"/>
  <c r="L661" i="1" s="1"/>
  <c r="K1214" i="1"/>
  <c r="L1214" i="1" s="1"/>
  <c r="M128" i="1"/>
  <c r="M190" i="1"/>
  <c r="B289" i="4888" s="1"/>
  <c r="Q290" i="1"/>
  <c r="B290" i="32" s="1"/>
  <c r="M376" i="1"/>
  <c r="N376" i="1" s="1"/>
  <c r="M440" i="1"/>
  <c r="B289" i="2561" s="1"/>
  <c r="H289" i="2561" s="1"/>
  <c r="O535" i="1"/>
  <c r="O582" i="1"/>
  <c r="B169" i="10285" s="1"/>
  <c r="H169" i="10285" s="1"/>
  <c r="M849" i="1"/>
  <c r="M911" i="1"/>
  <c r="B289" i="25587" s="1"/>
  <c r="H289" i="25587" s="1"/>
  <c r="M1035" i="1"/>
  <c r="M1100" i="1"/>
  <c r="B220" i="2819" s="1"/>
  <c r="H220" i="2819" s="1"/>
  <c r="M1196" i="1"/>
  <c r="M1399" i="1"/>
  <c r="B220" i="512" s="1"/>
  <c r="H220" i="512" s="1"/>
  <c r="O1431" i="1"/>
  <c r="M1478" i="1"/>
  <c r="M1619" i="1"/>
  <c r="M1572" i="1"/>
  <c r="B220" i="1024" s="1"/>
  <c r="M1525" i="1"/>
  <c r="B220" i="9216" s="1"/>
  <c r="N1525" i="1"/>
  <c r="M973" i="1"/>
  <c r="B289" i="20994" s="1"/>
  <c r="H289" i="4888" l="1"/>
  <c r="H244" i="1024"/>
  <c r="H244" i="9216"/>
  <c r="H313" i="20994"/>
  <c r="G314" i="32"/>
  <c r="G313" i="4888"/>
  <c r="G244" i="523"/>
  <c r="G313" i="25587"/>
  <c r="G244" i="2819"/>
  <c r="G193" i="10285"/>
  <c r="G119" i="25582"/>
  <c r="G119" i="25583"/>
  <c r="G244" i="512"/>
  <c r="H313" i="3"/>
  <c r="G115" i="25584"/>
  <c r="N1399" i="1"/>
  <c r="G232" i="1024"/>
  <c r="F232" i="1024"/>
  <c r="F232" i="9216"/>
  <c r="G232" i="9216"/>
  <c r="G301" i="20994"/>
  <c r="F301" i="20994"/>
  <c r="F232" i="523"/>
  <c r="E232" i="523"/>
  <c r="E89" i="25585"/>
  <c r="F89" i="25585"/>
  <c r="F232" i="2819"/>
  <c r="E232" i="2819"/>
  <c r="F181" i="10285"/>
  <c r="E181" i="10285"/>
  <c r="E302" i="32"/>
  <c r="F302" i="32"/>
  <c r="F107" i="25582"/>
  <c r="E107" i="25582"/>
  <c r="F301" i="4888"/>
  <c r="E301" i="4888"/>
  <c r="F107" i="25583"/>
  <c r="E107" i="25583"/>
  <c r="E106" i="25583"/>
  <c r="E105" i="25583"/>
  <c r="E104" i="25583"/>
  <c r="E103" i="25583"/>
  <c r="E102" i="25583"/>
  <c r="E101" i="25583"/>
  <c r="E100" i="25583"/>
  <c r="E99" i="25583"/>
  <c r="E98" i="25583"/>
  <c r="E97" i="25583"/>
  <c r="E96" i="25583"/>
  <c r="F232" i="512"/>
  <c r="E232" i="512"/>
  <c r="F301" i="25587"/>
  <c r="E301" i="25587"/>
  <c r="G301" i="3"/>
  <c r="F301" i="3"/>
  <c r="E89" i="25586"/>
  <c r="F89" i="25586"/>
  <c r="F103" i="25584"/>
  <c r="E103" i="25584"/>
  <c r="F231" i="1024"/>
  <c r="F231" i="9216"/>
  <c r="F300" i="20994"/>
  <c r="F300" i="3"/>
  <c r="E106" i="25582"/>
  <c r="E102" i="25584"/>
  <c r="E231" i="2819"/>
  <c r="E180" i="10285"/>
  <c r="E301" i="32"/>
  <c r="E231" i="523"/>
  <c r="E300" i="4888"/>
  <c r="F88" i="25586"/>
  <c r="E88" i="25585"/>
  <c r="E231" i="512"/>
  <c r="E300" i="25587"/>
  <c r="E88" i="25586"/>
  <c r="E105" i="25582"/>
  <c r="F230" i="9216"/>
  <c r="F299" i="20994"/>
  <c r="F230" i="1024"/>
  <c r="F299" i="3"/>
  <c r="E101" i="25584"/>
  <c r="E230" i="523"/>
  <c r="E87" i="25585"/>
  <c r="E230" i="2819"/>
  <c r="E179" i="10285"/>
  <c r="E300" i="32"/>
  <c r="E299" i="4888"/>
  <c r="E230" i="512"/>
  <c r="E299" i="25587"/>
  <c r="E87" i="25586"/>
  <c r="F229" i="1024"/>
  <c r="F229" i="9216"/>
  <c r="F298" i="20994"/>
  <c r="E104" i="25582"/>
  <c r="E100" i="25584"/>
  <c r="F298" i="3"/>
  <c r="E229" i="523"/>
  <c r="E86" i="25585"/>
  <c r="E178" i="10285"/>
  <c r="E229" i="2819"/>
  <c r="E298" i="4888"/>
  <c r="E229" i="512"/>
  <c r="E298" i="25587"/>
  <c r="E86" i="25586"/>
  <c r="E103" i="25582"/>
  <c r="F228" i="9216"/>
  <c r="F297" i="20994"/>
  <c r="F228" i="1024"/>
  <c r="F297" i="3"/>
  <c r="E99" i="25584"/>
  <c r="E228" i="523"/>
  <c r="E85" i="25585"/>
  <c r="E177" i="10285"/>
  <c r="E297" i="4888"/>
  <c r="E228" i="2819"/>
  <c r="E228" i="512"/>
  <c r="E297" i="25587"/>
  <c r="E85" i="25586"/>
  <c r="F227" i="1024"/>
  <c r="F227" i="9216"/>
  <c r="F296" i="20994"/>
  <c r="E102" i="25582"/>
  <c r="F296" i="3"/>
  <c r="E98" i="25584"/>
  <c r="E227" i="523"/>
  <c r="E227" i="512"/>
  <c r="E297" i="32"/>
  <c r="E176" i="10285"/>
  <c r="E296" i="4888"/>
  <c r="E84" i="25585"/>
  <c r="E227" i="2819"/>
  <c r="E296" i="25587"/>
  <c r="E84" i="25586"/>
  <c r="F226" i="9216"/>
  <c r="F295" i="20994"/>
  <c r="N1572" i="1"/>
  <c r="F226" i="1024"/>
  <c r="F295" i="3"/>
  <c r="E101" i="25582"/>
  <c r="E97" i="25584"/>
  <c r="E175" i="10285"/>
  <c r="E296" i="32"/>
  <c r="E295" i="4888"/>
  <c r="E226" i="512"/>
  <c r="E295" i="25587"/>
  <c r="E83" i="25586"/>
  <c r="E226" i="2819"/>
  <c r="E226" i="523"/>
  <c r="E83" i="25585"/>
  <c r="F225" i="1024"/>
  <c r="F225" i="9216"/>
  <c r="F294" i="20994"/>
  <c r="E100" i="25582"/>
  <c r="F294" i="3"/>
  <c r="E96" i="25584"/>
  <c r="E174" i="10285"/>
  <c r="E294" i="4888"/>
  <c r="E225" i="512"/>
  <c r="E294" i="25587"/>
  <c r="E82" i="25586"/>
  <c r="E225" i="523"/>
  <c r="E82" i="25585"/>
  <c r="F224" i="1024"/>
  <c r="F224" i="9216"/>
  <c r="F293" i="20994"/>
  <c r="F293" i="3"/>
  <c r="E95" i="25584"/>
  <c r="E224" i="2819"/>
  <c r="E173" i="10285"/>
  <c r="E294" i="32"/>
  <c r="E293" i="4888"/>
  <c r="E224" i="512"/>
  <c r="E293" i="25587"/>
  <c r="E81" i="25586"/>
  <c r="E224" i="523"/>
  <c r="E81" i="25585"/>
  <c r="E99" i="25582"/>
  <c r="F223" i="1024"/>
  <c r="F223" i="9216"/>
  <c r="F292" i="20994"/>
  <c r="E98" i="25582"/>
  <c r="F292" i="3"/>
  <c r="E94" i="25584"/>
  <c r="E223" i="2819"/>
  <c r="E292" i="4888"/>
  <c r="E292" i="25587"/>
  <c r="B289" i="25580"/>
  <c r="H289" i="25580" s="1"/>
  <c r="E80" i="25586"/>
  <c r="E172" i="10285"/>
  <c r="E293" i="32"/>
  <c r="E223" i="512"/>
  <c r="R290" i="1"/>
  <c r="E223" i="523"/>
  <c r="E80" i="25585"/>
  <c r="P582" i="1"/>
  <c r="N1148" i="1"/>
  <c r="F291" i="20994"/>
  <c r="F222" i="1024"/>
  <c r="E291" i="4888"/>
  <c r="E291" i="25587"/>
  <c r="F222" i="9216"/>
  <c r="E93" i="25584"/>
  <c r="N190" i="1"/>
  <c r="N911" i="1"/>
  <c r="E79" i="25586"/>
  <c r="N973" i="1"/>
  <c r="E222" i="2819"/>
  <c r="E171" i="10285"/>
  <c r="E292" i="32"/>
  <c r="E222" i="523"/>
  <c r="E79" i="25585"/>
  <c r="E97" i="25582"/>
  <c r="E222" i="512"/>
  <c r="F291" i="3"/>
  <c r="F221" i="1024"/>
  <c r="E221" i="1024"/>
  <c r="E221" i="9216"/>
  <c r="F221" i="9216"/>
  <c r="F290" i="20994"/>
  <c r="E290" i="20994"/>
  <c r="E290" i="25587"/>
  <c r="D290" i="25587"/>
  <c r="E78" i="25586"/>
  <c r="E221" i="512"/>
  <c r="D221" i="512"/>
  <c r="E221" i="2819"/>
  <c r="D221" i="2819"/>
  <c r="D170" i="10285"/>
  <c r="E170" i="10285"/>
  <c r="E291" i="32"/>
  <c r="D291" i="32"/>
  <c r="D221" i="523"/>
  <c r="E221" i="523"/>
  <c r="E78" i="25585"/>
  <c r="D78" i="25585"/>
  <c r="E96" i="25582"/>
  <c r="D96" i="25582"/>
  <c r="N1100" i="1"/>
  <c r="E290" i="4888"/>
  <c r="D290" i="4888"/>
  <c r="D96" i="25583"/>
  <c r="F290" i="3"/>
  <c r="E92" i="25584"/>
  <c r="D92" i="25584"/>
  <c r="N440" i="1"/>
  <c r="D78" i="25586"/>
  <c r="N128" i="1"/>
  <c r="E290" i="3"/>
  <c r="N66" i="1"/>
  <c r="D77" i="25586"/>
  <c r="B289" i="10541"/>
  <c r="H289" i="10541" s="1"/>
  <c r="P535" i="1"/>
  <c r="B220" i="25589"/>
  <c r="H220" i="25589" s="1"/>
  <c r="N1035" i="1"/>
  <c r="B169" i="768"/>
  <c r="H169" i="768" s="1"/>
  <c r="P1431" i="1"/>
  <c r="N1619" i="1"/>
  <c r="B220" i="25590"/>
  <c r="H220" i="25590" s="1"/>
  <c r="N1196" i="1"/>
  <c r="B220" i="2048"/>
  <c r="H220" i="2048" s="1"/>
  <c r="N849" i="1"/>
  <c r="B220" i="8196"/>
  <c r="H220" i="8196" s="1"/>
  <c r="B220" i="2316"/>
  <c r="H220" i="2316" s="1"/>
  <c r="N1478" i="1"/>
  <c r="B220" i="25588"/>
  <c r="H220" i="25588" s="1"/>
  <c r="B90" i="25584"/>
  <c r="B94" i="25583"/>
  <c r="B94" i="25582"/>
  <c r="B76" i="25585"/>
  <c r="H76" i="25585" s="1"/>
  <c r="K1213" i="1"/>
  <c r="L1213" i="1" s="1"/>
  <c r="K660" i="1"/>
  <c r="L660" i="1" s="1"/>
  <c r="K598" i="1"/>
  <c r="L598" i="1" s="1"/>
  <c r="M1618" i="1"/>
  <c r="M1477" i="1"/>
  <c r="O1430" i="1"/>
  <c r="B168" i="768" s="1"/>
  <c r="H168" i="768" s="1"/>
  <c r="M1398" i="1"/>
  <c r="B219" i="512" s="1"/>
  <c r="H219" i="512" s="1"/>
  <c r="M1195" i="1"/>
  <c r="M1147" i="1"/>
  <c r="M1099" i="1"/>
  <c r="B219" i="2819" s="1"/>
  <c r="H219" i="2819" s="1"/>
  <c r="M1034" i="1"/>
  <c r="M910" i="1"/>
  <c r="B288" i="25587" s="1"/>
  <c r="H288" i="25587" s="1"/>
  <c r="M848" i="1"/>
  <c r="O581" i="1"/>
  <c r="P581" i="1" s="1"/>
  <c r="O534" i="1"/>
  <c r="P534" i="1" s="1"/>
  <c r="M439" i="1"/>
  <c r="B288" i="2561" s="1"/>
  <c r="H288" i="2561" s="1"/>
  <c r="M375" i="1"/>
  <c r="Q289" i="1"/>
  <c r="R289" i="1" s="1"/>
  <c r="M189" i="1"/>
  <c r="M127" i="1"/>
  <c r="M1571" i="1"/>
  <c r="B219" i="1024" s="1"/>
  <c r="M1524" i="1"/>
  <c r="B219" i="9216" s="1"/>
  <c r="M972" i="1"/>
  <c r="N972" i="1" s="1"/>
  <c r="G244" i="25588" l="1"/>
  <c r="G244" i="8196"/>
  <c r="G244" i="2316"/>
  <c r="G244" i="25589"/>
  <c r="G244" i="2048"/>
  <c r="G193" i="768"/>
  <c r="G313" i="10541"/>
  <c r="G313" i="25580"/>
  <c r="G244" i="25590"/>
  <c r="H243" i="1024"/>
  <c r="H243" i="9216"/>
  <c r="G192" i="768"/>
  <c r="G118" i="25583"/>
  <c r="G114" i="25584"/>
  <c r="G312" i="25587"/>
  <c r="G243" i="2819"/>
  <c r="G243" i="512"/>
  <c r="G118" i="25582"/>
  <c r="F232" i="2048"/>
  <c r="E232" i="2048"/>
  <c r="E181" i="768"/>
  <c r="F181" i="768"/>
  <c r="F301" i="25580"/>
  <c r="E301" i="25580"/>
  <c r="E232" i="8196"/>
  <c r="F232" i="8196"/>
  <c r="E232" i="25590"/>
  <c r="F232" i="25590"/>
  <c r="F232" i="2316"/>
  <c r="E301" i="10541"/>
  <c r="F301" i="10541"/>
  <c r="F232" i="25588"/>
  <c r="E232" i="25588"/>
  <c r="E232" i="25589"/>
  <c r="F232" i="25589"/>
  <c r="G231" i="1024"/>
  <c r="G231" i="9216"/>
  <c r="F102" i="25584"/>
  <c r="F106" i="25582"/>
  <c r="F106" i="25583"/>
  <c r="F300" i="25587"/>
  <c r="F88" i="25585"/>
  <c r="F231" i="512"/>
  <c r="E231" i="2048"/>
  <c r="E231" i="25588"/>
  <c r="E231" i="25589"/>
  <c r="F231" i="2819"/>
  <c r="F180" i="768"/>
  <c r="E180" i="768"/>
  <c r="E300" i="10541"/>
  <c r="E300" i="25580"/>
  <c r="E231" i="8196"/>
  <c r="E231" i="25590"/>
  <c r="E179" i="768"/>
  <c r="E299" i="10541"/>
  <c r="E299" i="25580"/>
  <c r="E230" i="8196"/>
  <c r="E230" i="25590"/>
  <c r="E230" i="25588"/>
  <c r="E230" i="25589"/>
  <c r="E230" i="2048"/>
  <c r="E229" i="2048"/>
  <c r="E178" i="768"/>
  <c r="E298" i="10541"/>
  <c r="E298" i="25580"/>
  <c r="E229" i="8196"/>
  <c r="E229" i="25590"/>
  <c r="E229" i="25588"/>
  <c r="E229" i="25589"/>
  <c r="N1571" i="1"/>
  <c r="E228" i="8196"/>
  <c r="E177" i="768"/>
  <c r="E297" i="10541"/>
  <c r="E297" i="25580"/>
  <c r="E228" i="25588"/>
  <c r="E228" i="25589"/>
  <c r="E228" i="25590"/>
  <c r="E228" i="2048"/>
  <c r="E227" i="2048"/>
  <c r="E227" i="25589"/>
  <c r="E176" i="768"/>
  <c r="E296" i="10541"/>
  <c r="E296" i="25580"/>
  <c r="E227" i="25588"/>
  <c r="E227" i="8196"/>
  <c r="E227" i="25590"/>
  <c r="B288" i="20994"/>
  <c r="E226" i="8196"/>
  <c r="E226" i="25590"/>
  <c r="E226" i="25588"/>
  <c r="E226" i="25589"/>
  <c r="E226" i="2048"/>
  <c r="E175" i="768"/>
  <c r="E295" i="10541"/>
  <c r="E295" i="25580"/>
  <c r="E225" i="8196"/>
  <c r="E225" i="25588"/>
  <c r="E225" i="2048"/>
  <c r="E174" i="768"/>
  <c r="E294" i="10541"/>
  <c r="E294" i="25580"/>
  <c r="E224" i="8196"/>
  <c r="E224" i="25590"/>
  <c r="E224" i="25588"/>
  <c r="E224" i="25589"/>
  <c r="E224" i="2048"/>
  <c r="E173" i="768"/>
  <c r="E293" i="10541"/>
  <c r="D290" i="25580"/>
  <c r="E293" i="25580"/>
  <c r="E292" i="25580"/>
  <c r="E223" i="25588"/>
  <c r="E223" i="2048"/>
  <c r="E172" i="768"/>
  <c r="E292" i="10541"/>
  <c r="E223" i="25589"/>
  <c r="E290" i="25580"/>
  <c r="E223" i="8196"/>
  <c r="E223" i="25590"/>
  <c r="E291" i="25580"/>
  <c r="N439" i="1"/>
  <c r="E222" i="25588"/>
  <c r="E222" i="25589"/>
  <c r="N1524" i="1"/>
  <c r="E222" i="2048"/>
  <c r="E291" i="10541"/>
  <c r="E171" i="768"/>
  <c r="E222" i="8196"/>
  <c r="E222" i="25590"/>
  <c r="E220" i="1024"/>
  <c r="E220" i="9216"/>
  <c r="D221" i="2316"/>
  <c r="E170" i="768"/>
  <c r="D170" i="768"/>
  <c r="E290" i="10541"/>
  <c r="D290" i="10541"/>
  <c r="E221" i="8196"/>
  <c r="D221" i="8196"/>
  <c r="E221" i="25590"/>
  <c r="D221" i="25590"/>
  <c r="E221" i="25588"/>
  <c r="D221" i="25588"/>
  <c r="E221" i="25589"/>
  <c r="D221" i="25589"/>
  <c r="D95" i="25582"/>
  <c r="D221" i="2048"/>
  <c r="E221" i="2048"/>
  <c r="D91" i="25584"/>
  <c r="D95" i="25583"/>
  <c r="N1099" i="1"/>
  <c r="D77" i="25585"/>
  <c r="D289" i="25587"/>
  <c r="D169" i="768"/>
  <c r="D220" i="512"/>
  <c r="D220" i="2819"/>
  <c r="N910" i="1"/>
  <c r="N1398" i="1"/>
  <c r="P1430" i="1"/>
  <c r="B289" i="32"/>
  <c r="B288" i="25580"/>
  <c r="H288" i="25580" s="1"/>
  <c r="N127" i="1"/>
  <c r="N1195" i="1"/>
  <c r="B219" i="2048"/>
  <c r="H219" i="2048" s="1"/>
  <c r="B219" i="25590"/>
  <c r="H219" i="25590" s="1"/>
  <c r="N1618" i="1"/>
  <c r="B288" i="10541"/>
  <c r="H288" i="10541" s="1"/>
  <c r="N189" i="1"/>
  <c r="B288" i="4888"/>
  <c r="N1034" i="1"/>
  <c r="B219" i="25589"/>
  <c r="H219" i="25589" s="1"/>
  <c r="B168" i="10285"/>
  <c r="H168" i="10285" s="1"/>
  <c r="N375" i="1"/>
  <c r="B219" i="2316"/>
  <c r="H219" i="2316" s="1"/>
  <c r="N848" i="1"/>
  <c r="B219" i="8196"/>
  <c r="H219" i="8196" s="1"/>
  <c r="N1147" i="1"/>
  <c r="B219" i="523"/>
  <c r="H219" i="523" s="1"/>
  <c r="N1477" i="1"/>
  <c r="B219" i="25588"/>
  <c r="H219" i="25588" s="1"/>
  <c r="A76" i="25586"/>
  <c r="A76" i="25585" s="1"/>
  <c r="A288" i="25580" s="1"/>
  <c r="A288" i="4888" s="1"/>
  <c r="A168" i="10285" s="1"/>
  <c r="A168" i="768" s="1"/>
  <c r="A288" i="20994" s="1"/>
  <c r="A219" i="9216" s="1"/>
  <c r="A219" i="1024" s="1"/>
  <c r="A289" i="32" s="1"/>
  <c r="A219" i="2316" s="1"/>
  <c r="A219" i="2819" s="1"/>
  <c r="A288" i="2561" s="1"/>
  <c r="A219" i="523" s="1"/>
  <c r="A288" i="10541" s="1"/>
  <c r="A219" i="2048" s="1"/>
  <c r="A94" i="25582" s="1"/>
  <c r="A94" i="25583" s="1"/>
  <c r="A90" i="25584" s="1"/>
  <c r="A219" i="8196" s="1"/>
  <c r="A219" i="512" s="1"/>
  <c r="A288" i="25587" s="1"/>
  <c r="A219" i="25588" s="1"/>
  <c r="A219" i="25589" s="1"/>
  <c r="A219" i="25590" s="1"/>
  <c r="H288" i="4888" l="1"/>
  <c r="H312" i="20994"/>
  <c r="G312" i="25580"/>
  <c r="G192" i="10285"/>
  <c r="G313" i="32"/>
  <c r="G243" i="25590"/>
  <c r="G243" i="8196"/>
  <c r="G243" i="2048"/>
  <c r="G243" i="25589"/>
  <c r="G312" i="10541"/>
  <c r="G312" i="4888"/>
  <c r="G243" i="25588"/>
  <c r="G243" i="523"/>
  <c r="G243" i="2316"/>
  <c r="G300" i="20994"/>
  <c r="F231" i="8196"/>
  <c r="F231" i="2048"/>
  <c r="F231" i="25589"/>
  <c r="F300" i="10541"/>
  <c r="F180" i="10285"/>
  <c r="F301" i="32"/>
  <c r="F231" i="523"/>
  <c r="F231" i="2316"/>
  <c r="F231" i="25588"/>
  <c r="F300" i="4888"/>
  <c r="F231" i="25590"/>
  <c r="F300" i="25580"/>
  <c r="E289" i="20994"/>
  <c r="D289" i="4888"/>
  <c r="D220" i="25590"/>
  <c r="D220" i="25588"/>
  <c r="D220" i="8196"/>
  <c r="D169" i="10285"/>
  <c r="D220" i="2048"/>
  <c r="D290" i="32"/>
  <c r="D220" i="25589"/>
  <c r="D289" i="10541"/>
  <c r="D220" i="523"/>
  <c r="D220" i="2316"/>
  <c r="D289" i="25580"/>
  <c r="B89" i="25584"/>
  <c r="B93" i="25583"/>
  <c r="B92" i="25583"/>
  <c r="B93" i="25582"/>
  <c r="G113" i="25584" l="1"/>
  <c r="G117" i="25582"/>
  <c r="G117" i="25583"/>
  <c r="G116" i="25583"/>
  <c r="F105" i="25583"/>
  <c r="F101" i="25584"/>
  <c r="F105" i="25582"/>
  <c r="F104" i="25583"/>
  <c r="D94" i="25583"/>
  <c r="D90" i="25584"/>
  <c r="D94" i="25582"/>
  <c r="D93" i="25583"/>
  <c r="B75" i="25585"/>
  <c r="H75" i="25585" s="1"/>
  <c r="M907" i="1"/>
  <c r="M909" i="1"/>
  <c r="B287" i="25587" s="1"/>
  <c r="H287" i="25587" s="1"/>
  <c r="M908" i="1"/>
  <c r="K597" i="1"/>
  <c r="L597" i="1" s="1"/>
  <c r="K659" i="1"/>
  <c r="L659" i="1" s="1"/>
  <c r="K1212" i="1"/>
  <c r="L1212" i="1" s="1"/>
  <c r="M126" i="1"/>
  <c r="M188" i="1"/>
  <c r="B287" i="4888" s="1"/>
  <c r="Q288" i="1"/>
  <c r="B288" i="32" s="1"/>
  <c r="M374" i="1"/>
  <c r="B218" i="2316" s="1"/>
  <c r="H218" i="2316" s="1"/>
  <c r="M438" i="1"/>
  <c r="O533" i="1"/>
  <c r="B287" i="10541" s="1"/>
  <c r="H287" i="10541" s="1"/>
  <c r="O580" i="1"/>
  <c r="B167" i="10285" s="1"/>
  <c r="H167" i="10285" s="1"/>
  <c r="M847" i="1"/>
  <c r="B218" i="8196" s="1"/>
  <c r="H218" i="8196" s="1"/>
  <c r="M1033" i="1"/>
  <c r="M1098" i="1"/>
  <c r="M1146" i="1"/>
  <c r="B218" i="523" s="1"/>
  <c r="H218" i="523" s="1"/>
  <c r="M1194" i="1"/>
  <c r="M1397" i="1"/>
  <c r="B218" i="512" s="1"/>
  <c r="H218" i="512" s="1"/>
  <c r="O1429" i="1"/>
  <c r="M1476" i="1"/>
  <c r="B218" i="25588" s="1"/>
  <c r="H218" i="25588" s="1"/>
  <c r="M1617" i="1"/>
  <c r="B218" i="25590" s="1"/>
  <c r="H218" i="25590" s="1"/>
  <c r="M1570" i="1"/>
  <c r="N1570" i="1" s="1"/>
  <c r="M1523" i="1"/>
  <c r="N1523" i="1" s="1"/>
  <c r="M971" i="1"/>
  <c r="N971" i="1" s="1"/>
  <c r="H287" i="4888" l="1"/>
  <c r="G311" i="25587"/>
  <c r="G242" i="25590"/>
  <c r="G242" i="523"/>
  <c r="G191" i="10285"/>
  <c r="G312" i="32"/>
  <c r="G242" i="2316"/>
  <c r="G242" i="25588"/>
  <c r="G311" i="10541"/>
  <c r="G311" i="4888"/>
  <c r="G242" i="8196"/>
  <c r="G242" i="512"/>
  <c r="N1476" i="1"/>
  <c r="F230" i="512"/>
  <c r="F230" i="8196"/>
  <c r="F299" i="25587"/>
  <c r="F230" i="523"/>
  <c r="F179" i="10285"/>
  <c r="F300" i="32"/>
  <c r="F230" i="25590"/>
  <c r="F230" i="2316"/>
  <c r="F230" i="25588"/>
  <c r="F299" i="10541"/>
  <c r="F299" i="4888"/>
  <c r="F87" i="25585"/>
  <c r="B218" i="1024"/>
  <c r="B287" i="20994"/>
  <c r="B218" i="9216"/>
  <c r="N1146" i="1"/>
  <c r="R288" i="1"/>
  <c r="D219" i="25588"/>
  <c r="D219" i="512"/>
  <c r="B287" i="25580"/>
  <c r="H287" i="25580" s="1"/>
  <c r="D219" i="25590"/>
  <c r="D219" i="8196"/>
  <c r="D219" i="2316"/>
  <c r="D288" i="25587"/>
  <c r="D219" i="523"/>
  <c r="D168" i="10285"/>
  <c r="D289" i="32"/>
  <c r="D288" i="10541"/>
  <c r="D288" i="4888"/>
  <c r="D76" i="25585"/>
  <c r="P580" i="1"/>
  <c r="N1397" i="1"/>
  <c r="P533" i="1"/>
  <c r="N188" i="1"/>
  <c r="N847" i="1"/>
  <c r="N1098" i="1"/>
  <c r="B218" i="2819"/>
  <c r="H218" i="2819" s="1"/>
  <c r="N1194" i="1"/>
  <c r="B218" i="2048"/>
  <c r="H218" i="2048" s="1"/>
  <c r="N909" i="1"/>
  <c r="N1617" i="1"/>
  <c r="N1033" i="1"/>
  <c r="B218" i="25589"/>
  <c r="H218" i="25589" s="1"/>
  <c r="N438" i="1"/>
  <c r="B287" i="2561"/>
  <c r="H287" i="2561" s="1"/>
  <c r="N374" i="1"/>
  <c r="P1429" i="1"/>
  <c r="B167" i="768"/>
  <c r="H167" i="768" s="1"/>
  <c r="B75" i="25586"/>
  <c r="H75" i="25586" s="1"/>
  <c r="H242" i="1024" l="1"/>
  <c r="H242" i="9216"/>
  <c r="H311" i="20994"/>
  <c r="G191" i="768"/>
  <c r="G311" i="25580"/>
  <c r="G242" i="25589"/>
  <c r="G242" i="2048"/>
  <c r="G242" i="2819"/>
  <c r="G230" i="9216"/>
  <c r="G299" i="20994"/>
  <c r="G230" i="1024"/>
  <c r="F299" i="25580"/>
  <c r="F230" i="25589"/>
  <c r="F179" i="768"/>
  <c r="F230" i="2048"/>
  <c r="F87" i="25586"/>
  <c r="F230" i="2819"/>
  <c r="E288" i="20994"/>
  <c r="E219" i="1024"/>
  <c r="E219" i="9216"/>
  <c r="D219" i="25589"/>
  <c r="D219" i="2048"/>
  <c r="D219" i="2819"/>
  <c r="D168" i="768"/>
  <c r="D288" i="25580"/>
  <c r="D76" i="25586"/>
  <c r="A75" i="25586"/>
  <c r="A75" i="25585" s="1"/>
  <c r="A287" i="25580" s="1"/>
  <c r="A287" i="4888" s="1"/>
  <c r="A167" i="10285" s="1"/>
  <c r="A167" i="768" s="1"/>
  <c r="A287" i="20994" s="1"/>
  <c r="A218" i="9216" s="1"/>
  <c r="A218" i="1024" s="1"/>
  <c r="A288" i="32" s="1"/>
  <c r="A218" i="2316" s="1"/>
  <c r="A218" i="2819" s="1"/>
  <c r="A287" i="2561" s="1"/>
  <c r="A218" i="523" s="1"/>
  <c r="A287" i="10541" s="1"/>
  <c r="A218" i="2048" s="1"/>
  <c r="A93" i="25582" s="1"/>
  <c r="A93" i="25583" s="1"/>
  <c r="A89" i="25584" s="1"/>
  <c r="A218" i="8196" s="1"/>
  <c r="A218" i="512" s="1"/>
  <c r="A287" i="25587" s="1"/>
  <c r="A218" i="25588" s="1"/>
  <c r="A218" i="25589" s="1"/>
  <c r="A218" i="25590" s="1"/>
  <c r="N126" i="1"/>
  <c r="M64" i="1"/>
  <c r="C287" i="3" l="1"/>
  <c r="N64" i="1"/>
  <c r="B88" i="25584"/>
  <c r="B92" i="25582"/>
  <c r="B73" i="25585"/>
  <c r="H73" i="25585" s="1"/>
  <c r="B74" i="25585"/>
  <c r="H74" i="25585" s="1"/>
  <c r="B73" i="25586"/>
  <c r="H73" i="25586" s="1"/>
  <c r="A74" i="25586"/>
  <c r="A74" i="25585" s="1"/>
  <c r="A286" i="25580" s="1"/>
  <c r="A286" i="4888" s="1"/>
  <c r="A166" i="10285" s="1"/>
  <c r="A166" i="768" s="1"/>
  <c r="A286" i="20994" s="1"/>
  <c r="A217" i="9216" s="1"/>
  <c r="A217" i="1024" s="1"/>
  <c r="A287" i="32" s="1"/>
  <c r="A217" i="2316" s="1"/>
  <c r="A217" i="2819" s="1"/>
  <c r="A286" i="2561" s="1"/>
  <c r="A217" i="523" s="1"/>
  <c r="A286" i="10541" s="1"/>
  <c r="A217" i="2048" s="1"/>
  <c r="A92" i="25582" s="1"/>
  <c r="A92" i="25583" s="1"/>
  <c r="A88" i="25584" s="1"/>
  <c r="A217" i="8196" s="1"/>
  <c r="A217" i="512" s="1"/>
  <c r="A286" i="25587" s="1"/>
  <c r="A217" i="25588" s="1"/>
  <c r="A217" i="25589" s="1"/>
  <c r="A217" i="25590" s="1"/>
  <c r="B74" i="25586"/>
  <c r="H74" i="25586" s="1"/>
  <c r="Q286" i="1"/>
  <c r="Q287" i="1"/>
  <c r="B287" i="32" s="1"/>
  <c r="M186" i="1"/>
  <c r="M187" i="1"/>
  <c r="B286" i="4888" s="1"/>
  <c r="M124" i="1"/>
  <c r="M125" i="1"/>
  <c r="M63" i="1"/>
  <c r="M1615" i="1"/>
  <c r="M1616" i="1"/>
  <c r="B217" i="25590" s="1"/>
  <c r="H217" i="25590" s="1"/>
  <c r="M1569" i="1"/>
  <c r="N1569" i="1" s="1"/>
  <c r="M1522" i="1"/>
  <c r="B217" i="9216" s="1"/>
  <c r="M1474" i="1"/>
  <c r="M1475" i="1"/>
  <c r="B217" i="25588" s="1"/>
  <c r="H217" i="25588" s="1"/>
  <c r="O1427" i="1"/>
  <c r="O1428" i="1"/>
  <c r="M1395" i="1"/>
  <c r="M1396" i="1"/>
  <c r="B217" i="512" s="1"/>
  <c r="H217" i="512" s="1"/>
  <c r="K1211" i="1"/>
  <c r="L1211" i="1" s="1"/>
  <c r="M1192" i="1"/>
  <c r="M1193" i="1"/>
  <c r="B217" i="2048" s="1"/>
  <c r="H217" i="2048" s="1"/>
  <c r="M1144" i="1"/>
  <c r="M1145" i="1"/>
  <c r="B217" i="523" s="1"/>
  <c r="H217" i="523" s="1"/>
  <c r="M1096" i="1"/>
  <c r="M1097" i="1"/>
  <c r="M1031" i="1"/>
  <c r="M1032" i="1"/>
  <c r="B217" i="25589" s="1"/>
  <c r="H217" i="25589" s="1"/>
  <c r="M970" i="1"/>
  <c r="N970" i="1" s="1"/>
  <c r="B286" i="25587"/>
  <c r="H286" i="25587" s="1"/>
  <c r="M845" i="1"/>
  <c r="M846" i="1"/>
  <c r="B217" i="8196" s="1"/>
  <c r="H217" i="8196" s="1"/>
  <c r="K658" i="1"/>
  <c r="L658" i="1" s="1"/>
  <c r="K596" i="1"/>
  <c r="L596" i="1" s="1"/>
  <c r="O578" i="1"/>
  <c r="O579" i="1"/>
  <c r="O532" i="1"/>
  <c r="B286" i="10541" s="1"/>
  <c r="H286" i="10541" s="1"/>
  <c r="O531" i="1"/>
  <c r="M437" i="1"/>
  <c r="B286" i="2561" s="1"/>
  <c r="H286" i="2561" s="1"/>
  <c r="M436" i="1"/>
  <c r="M372" i="1"/>
  <c r="M373" i="1"/>
  <c r="H286" i="4888" l="1"/>
  <c r="H311" i="3"/>
  <c r="H241" i="9216"/>
  <c r="G116" i="25582"/>
  <c r="G241" i="8196"/>
  <c r="G241" i="25589"/>
  <c r="G241" i="523"/>
  <c r="G311" i="32"/>
  <c r="G112" i="25584"/>
  <c r="G310" i="10541"/>
  <c r="G241" i="512"/>
  <c r="G241" i="25588"/>
  <c r="G241" i="25590"/>
  <c r="G310" i="25587"/>
  <c r="G241" i="2048"/>
  <c r="G310" i="4888"/>
  <c r="G299" i="3"/>
  <c r="G229" i="9216"/>
  <c r="F104" i="25582"/>
  <c r="F100" i="25584"/>
  <c r="F298" i="10541"/>
  <c r="F229" i="8196"/>
  <c r="F229" i="25589"/>
  <c r="F229" i="523"/>
  <c r="F229" i="512"/>
  <c r="F229" i="25588"/>
  <c r="F229" i="25590"/>
  <c r="F86" i="25585"/>
  <c r="F298" i="25587"/>
  <c r="F229" i="2048"/>
  <c r="F298" i="4888"/>
  <c r="F86" i="25586"/>
  <c r="F85" i="25586"/>
  <c r="F85" i="25585"/>
  <c r="N1522" i="1"/>
  <c r="B286" i="20994"/>
  <c r="B217" i="1024"/>
  <c r="E218" i="9216"/>
  <c r="D218" i="523"/>
  <c r="D287" i="25587"/>
  <c r="D218" i="25588"/>
  <c r="D218" i="2048"/>
  <c r="D218" i="25590"/>
  <c r="D218" i="8196"/>
  <c r="D93" i="25582"/>
  <c r="D218" i="25589"/>
  <c r="D89" i="25584"/>
  <c r="D287" i="10541"/>
  <c r="D218" i="512"/>
  <c r="D287" i="4888"/>
  <c r="D288" i="32"/>
  <c r="D75" i="25585"/>
  <c r="N846" i="1"/>
  <c r="N1616" i="1"/>
  <c r="C286" i="3"/>
  <c r="N437" i="1"/>
  <c r="N1032" i="1"/>
  <c r="N1145" i="1"/>
  <c r="N63" i="1"/>
  <c r="N187" i="1"/>
  <c r="D75" i="25586"/>
  <c r="N1475" i="1"/>
  <c r="P579" i="1"/>
  <c r="B166" i="10285"/>
  <c r="H166" i="10285" s="1"/>
  <c r="P1428" i="1"/>
  <c r="B166" i="768"/>
  <c r="H166" i="768" s="1"/>
  <c r="B217" i="2819"/>
  <c r="H217" i="2819" s="1"/>
  <c r="N1097" i="1"/>
  <c r="N125" i="1"/>
  <c r="B286" i="25580"/>
  <c r="H286" i="25580" s="1"/>
  <c r="P532" i="1"/>
  <c r="N1193" i="1"/>
  <c r="N1396" i="1"/>
  <c r="R287" i="1"/>
  <c r="N373" i="1"/>
  <c r="B217" i="2316"/>
  <c r="H217" i="2316" s="1"/>
  <c r="D74" i="25586"/>
  <c r="N908" i="1"/>
  <c r="D74" i="25585"/>
  <c r="B87" i="25584"/>
  <c r="B91" i="25583"/>
  <c r="B91" i="25582"/>
  <c r="K595" i="1"/>
  <c r="L595" i="1" s="1"/>
  <c r="K657" i="1"/>
  <c r="L657" i="1" s="1"/>
  <c r="K1210" i="1"/>
  <c r="L1210" i="1" s="1"/>
  <c r="B216" i="2316"/>
  <c r="H216" i="2316" s="1"/>
  <c r="B285" i="2561"/>
  <c r="H285" i="2561" s="1"/>
  <c r="B285" i="10541"/>
  <c r="H285" i="10541" s="1"/>
  <c r="B216" i="8196"/>
  <c r="H216" i="8196" s="1"/>
  <c r="B285" i="25587"/>
  <c r="H285" i="25587" s="1"/>
  <c r="B216" i="25589"/>
  <c r="H216" i="25589" s="1"/>
  <c r="B216" i="523"/>
  <c r="H216" i="523" s="1"/>
  <c r="B216" i="2048"/>
  <c r="H216" i="2048" s="1"/>
  <c r="B165" i="768"/>
  <c r="H165" i="768" s="1"/>
  <c r="B216" i="25588"/>
  <c r="H216" i="25588" s="1"/>
  <c r="B216" i="25590"/>
  <c r="H216" i="25590" s="1"/>
  <c r="M1568" i="1"/>
  <c r="N1568" i="1" s="1"/>
  <c r="M1521" i="1"/>
  <c r="N1521" i="1" s="1"/>
  <c r="M969" i="1"/>
  <c r="N969" i="1" s="1"/>
  <c r="P531" i="1"/>
  <c r="H241" i="1024" l="1"/>
  <c r="H310" i="20994"/>
  <c r="G310" i="25580"/>
  <c r="G190" i="768"/>
  <c r="G241" i="2316"/>
  <c r="G190" i="10285"/>
  <c r="G241" i="2819"/>
  <c r="H310" i="3"/>
  <c r="G240" i="25590"/>
  <c r="G240" i="25589"/>
  <c r="G309" i="10541"/>
  <c r="G111" i="25584"/>
  <c r="G309" i="25587"/>
  <c r="G115" i="25582"/>
  <c r="G240" i="523"/>
  <c r="G240" i="25588"/>
  <c r="G189" i="768"/>
  <c r="G240" i="2316"/>
  <c r="G240" i="2048"/>
  <c r="G240" i="8196"/>
  <c r="G115" i="25583"/>
  <c r="G229" i="1024"/>
  <c r="G298" i="20994"/>
  <c r="G298" i="3"/>
  <c r="F229" i="2316"/>
  <c r="F178" i="10285"/>
  <c r="F229" i="2819"/>
  <c r="F298" i="25580"/>
  <c r="F178" i="768"/>
  <c r="F103" i="25582"/>
  <c r="E287" i="20994"/>
  <c r="F103" i="25583"/>
  <c r="F99" i="25584"/>
  <c r="E218" i="1024"/>
  <c r="F228" i="25590"/>
  <c r="F228" i="2048"/>
  <c r="F228" i="8196"/>
  <c r="F228" i="523"/>
  <c r="F228" i="25588"/>
  <c r="F228" i="25589"/>
  <c r="F297" i="10541"/>
  <c r="F177" i="768"/>
  <c r="F297" i="25587"/>
  <c r="F228" i="2316"/>
  <c r="B285" i="20994"/>
  <c r="B216" i="9216"/>
  <c r="B216" i="1024"/>
  <c r="E287" i="3"/>
  <c r="D92" i="25582"/>
  <c r="D218" i="2819"/>
  <c r="D286" i="25587"/>
  <c r="D92" i="25583"/>
  <c r="D167" i="10285"/>
  <c r="D287" i="25580"/>
  <c r="D218" i="2316"/>
  <c r="D167" i="768"/>
  <c r="D166" i="768"/>
  <c r="D217" i="2048"/>
  <c r="D88" i="25584"/>
  <c r="D217" i="25590"/>
  <c r="D286" i="10541"/>
  <c r="D217" i="25589"/>
  <c r="D217" i="2316"/>
  <c r="D217" i="523"/>
  <c r="D217" i="25588"/>
  <c r="D217" i="8196"/>
  <c r="P1427" i="1"/>
  <c r="N436" i="1"/>
  <c r="N1192" i="1"/>
  <c r="N907" i="1"/>
  <c r="N1615" i="1"/>
  <c r="N1031" i="1"/>
  <c r="N1096" i="1"/>
  <c r="B216" i="2819"/>
  <c r="H216" i="2819" s="1"/>
  <c r="P578" i="1"/>
  <c r="B165" i="10285"/>
  <c r="H165" i="10285" s="1"/>
  <c r="R286" i="1"/>
  <c r="B286" i="32"/>
  <c r="N372" i="1"/>
  <c r="N845" i="1"/>
  <c r="N1144" i="1"/>
  <c r="N1474" i="1"/>
  <c r="N1395" i="1"/>
  <c r="B216" i="512"/>
  <c r="H216" i="512" s="1"/>
  <c r="H240" i="1024" l="1"/>
  <c r="H240" i="9216"/>
  <c r="H309" i="20994"/>
  <c r="G240" i="2819"/>
  <c r="G310" i="32"/>
  <c r="G240" i="512"/>
  <c r="G189" i="10285"/>
  <c r="G228" i="1024"/>
  <c r="G228" i="9216"/>
  <c r="G297" i="20994"/>
  <c r="F228" i="512"/>
  <c r="F177" i="10285"/>
  <c r="F228" i="2819"/>
  <c r="E217" i="1024"/>
  <c r="E286" i="20994"/>
  <c r="E217" i="9216"/>
  <c r="D217" i="2819"/>
  <c r="D287" i="32"/>
  <c r="D217" i="512"/>
  <c r="D166" i="10285"/>
  <c r="A73" i="25586"/>
  <c r="A73" i="25585" s="1"/>
  <c r="A285" i="25580" s="1"/>
  <c r="A285" i="4888" s="1"/>
  <c r="A165" i="10285" s="1"/>
  <c r="A165" i="768" s="1"/>
  <c r="A285" i="20994" s="1"/>
  <c r="A216" i="9216" s="1"/>
  <c r="A216" i="1024" s="1"/>
  <c r="A286" i="32" s="1"/>
  <c r="A216" i="2316" s="1"/>
  <c r="A216" i="2819" s="1"/>
  <c r="A285" i="2561" s="1"/>
  <c r="A216" i="523" s="1"/>
  <c r="A285" i="10541" s="1"/>
  <c r="A216" i="2048" s="1"/>
  <c r="A91" i="25582" s="1"/>
  <c r="A91" i="25583" s="1"/>
  <c r="A87" i="25584" s="1"/>
  <c r="A216" i="8196" s="1"/>
  <c r="A216" i="512" s="1"/>
  <c r="A285" i="25587" s="1"/>
  <c r="A216" i="25588" s="1"/>
  <c r="A216" i="25589" s="1"/>
  <c r="A216" i="25590" s="1"/>
  <c r="B285" i="25580" l="1"/>
  <c r="H285" i="25580" s="1"/>
  <c r="N124" i="1"/>
  <c r="M62" i="1"/>
  <c r="G309" i="25580" l="1"/>
  <c r="F297" i="25580"/>
  <c r="D286" i="25580"/>
  <c r="N186" i="1"/>
  <c r="B285" i="4888"/>
  <c r="N62" i="1"/>
  <c r="C285" i="3"/>
  <c r="M371" i="1"/>
  <c r="H285" i="4888" l="1"/>
  <c r="H309" i="3"/>
  <c r="G309" i="4888"/>
  <c r="G297" i="3"/>
  <c r="F297" i="4888"/>
  <c r="E286" i="3"/>
  <c r="D286" i="4888"/>
  <c r="B86" i="25584"/>
  <c r="B90" i="25583"/>
  <c r="B90" i="25582"/>
  <c r="B215" i="2316"/>
  <c r="H215" i="2316" s="1"/>
  <c r="B72" i="25585"/>
  <c r="H72" i="25585" s="1"/>
  <c r="B72" i="25586"/>
  <c r="H72" i="25586" s="1"/>
  <c r="A72" i="25586"/>
  <c r="A72" i="25585" s="1"/>
  <c r="A284" i="25580" s="1"/>
  <c r="A284" i="4888" s="1"/>
  <c r="A164" i="10285" s="1"/>
  <c r="A164" i="768" s="1"/>
  <c r="A284" i="20994" s="1"/>
  <c r="A215" i="9216" s="1"/>
  <c r="A215" i="1024" s="1"/>
  <c r="A285" i="32" s="1"/>
  <c r="A215" i="2316" s="1"/>
  <c r="A215" i="2819" s="1"/>
  <c r="A284" i="2561" s="1"/>
  <c r="A215" i="523" s="1"/>
  <c r="A284" i="10541" s="1"/>
  <c r="A215" i="2048" s="1"/>
  <c r="A90" i="25582" s="1"/>
  <c r="A90" i="25583" s="1"/>
  <c r="A86" i="25584" s="1"/>
  <c r="A215" i="8196" s="1"/>
  <c r="A215" i="512" s="1"/>
  <c r="A284" i="25587" s="1"/>
  <c r="A215" i="25588" s="1"/>
  <c r="A215" i="25589" s="1"/>
  <c r="A215" i="25590" s="1"/>
  <c r="G114" i="25582" l="1"/>
  <c r="G114" i="25583"/>
  <c r="G110" i="25584"/>
  <c r="G239" i="2316"/>
  <c r="F102" i="25583"/>
  <c r="F98" i="25584"/>
  <c r="F102" i="25582"/>
  <c r="F84" i="25585"/>
  <c r="F227" i="2316"/>
  <c r="F84" i="25586"/>
  <c r="D87" i="25584"/>
  <c r="D91" i="25582"/>
  <c r="D91" i="25583"/>
  <c r="D216" i="2316"/>
  <c r="D73" i="25585"/>
  <c r="D73" i="25586"/>
  <c r="M123" i="1" l="1"/>
  <c r="M185" i="1"/>
  <c r="B284" i="4888" s="1"/>
  <c r="Q285" i="1"/>
  <c r="B285" i="32" s="1"/>
  <c r="M435" i="1"/>
  <c r="O530" i="1"/>
  <c r="B284" i="10541" s="1"/>
  <c r="H284" i="10541" s="1"/>
  <c r="O577" i="1"/>
  <c r="B164" i="10285" s="1"/>
  <c r="H164" i="10285" s="1"/>
  <c r="M844" i="1"/>
  <c r="M906" i="1"/>
  <c r="B284" i="25587" s="1"/>
  <c r="H284" i="25587" s="1"/>
  <c r="M1143" i="1"/>
  <c r="B215" i="523" s="1"/>
  <c r="H215" i="523" s="1"/>
  <c r="M1191" i="1"/>
  <c r="M1394" i="1"/>
  <c r="B215" i="512" s="1"/>
  <c r="H215" i="512" s="1"/>
  <c r="O1426" i="1"/>
  <c r="B164" i="768" s="1"/>
  <c r="H164" i="768" s="1"/>
  <c r="M1473" i="1"/>
  <c r="K594" i="1"/>
  <c r="L594" i="1" s="1"/>
  <c r="K656" i="1"/>
  <c r="L656" i="1" s="1"/>
  <c r="K1209" i="1"/>
  <c r="L1209" i="1" s="1"/>
  <c r="M1567" i="1"/>
  <c r="B215" i="1024" s="1"/>
  <c r="N1567" i="1"/>
  <c r="M1520" i="1"/>
  <c r="B215" i="9216" s="1"/>
  <c r="M968" i="1"/>
  <c r="B284" i="20994" s="1"/>
  <c r="H284" i="4888" l="1"/>
  <c r="H239" i="1024"/>
  <c r="H239" i="9216"/>
  <c r="H308" i="20994"/>
  <c r="G309" i="32"/>
  <c r="G188" i="768"/>
  <c r="G188" i="10285"/>
  <c r="G308" i="4888"/>
  <c r="G308" i="25587"/>
  <c r="G239" i="512"/>
  <c r="G239" i="523"/>
  <c r="G308" i="10541"/>
  <c r="G227" i="1024"/>
  <c r="G227" i="9216"/>
  <c r="G296" i="20994"/>
  <c r="F176" i="768"/>
  <c r="F227" i="512"/>
  <c r="F176" i="10285"/>
  <c r="F296" i="4888"/>
  <c r="F296" i="25587"/>
  <c r="F297" i="32"/>
  <c r="F227" i="523"/>
  <c r="F296" i="10541"/>
  <c r="N968" i="1"/>
  <c r="N1520" i="1"/>
  <c r="E216" i="9216"/>
  <c r="E285" i="20994"/>
  <c r="E216" i="1024"/>
  <c r="N185" i="1"/>
  <c r="P577" i="1"/>
  <c r="D165" i="768"/>
  <c r="D285" i="25587"/>
  <c r="D216" i="512"/>
  <c r="D286" i="32"/>
  <c r="D165" i="10285"/>
  <c r="D285" i="4888"/>
  <c r="D216" i="523"/>
  <c r="D285" i="10541"/>
  <c r="N1394" i="1"/>
  <c r="N1143" i="1"/>
  <c r="P530" i="1"/>
  <c r="N906" i="1"/>
  <c r="P1426" i="1"/>
  <c r="N1191" i="1"/>
  <c r="B215" i="2048"/>
  <c r="H215" i="2048" s="1"/>
  <c r="N435" i="1"/>
  <c r="B284" i="2561"/>
  <c r="H284" i="2561" s="1"/>
  <c r="N844" i="1"/>
  <c r="B215" i="8196"/>
  <c r="H215" i="8196" s="1"/>
  <c r="R285" i="1"/>
  <c r="N1473" i="1"/>
  <c r="B215" i="25588"/>
  <c r="H215" i="25588" s="1"/>
  <c r="N123" i="1"/>
  <c r="B284" i="25580"/>
  <c r="H284" i="25580" s="1"/>
  <c r="M1566" i="1"/>
  <c r="B214" i="1024" s="1"/>
  <c r="M1519" i="1"/>
  <c r="B214" i="9216" s="1"/>
  <c r="M967" i="1"/>
  <c r="N967" i="1" s="1"/>
  <c r="B85" i="25584"/>
  <c r="B89" i="25583"/>
  <c r="B89" i="25582"/>
  <c r="B71" i="25585"/>
  <c r="H71" i="25585" s="1"/>
  <c r="B71" i="25586"/>
  <c r="H71" i="25586" s="1"/>
  <c r="A71" i="25586"/>
  <c r="A71" i="25585" s="1"/>
  <c r="A283" i="25580" s="1"/>
  <c r="A283" i="4888" s="1"/>
  <c r="A163" i="10285" s="1"/>
  <c r="A163" i="768" s="1"/>
  <c r="A283" i="20994" s="1"/>
  <c r="A214" i="9216" s="1"/>
  <c r="A214" i="1024" s="1"/>
  <c r="A284" i="32" s="1"/>
  <c r="A214" i="2316" s="1"/>
  <c r="A214" i="2819" s="1"/>
  <c r="A283" i="2561" s="1"/>
  <c r="A214" i="523" s="1"/>
  <c r="A283" i="10541" s="1"/>
  <c r="A214" i="2048" s="1"/>
  <c r="A89" i="25582" s="1"/>
  <c r="A89" i="25583" s="1"/>
  <c r="A85" i="25584" s="1"/>
  <c r="A214" i="8196" s="1"/>
  <c r="A214" i="512" s="1"/>
  <c r="A283" i="25587" s="1"/>
  <c r="A214" i="25588" s="1"/>
  <c r="A214" i="25589" s="1"/>
  <c r="A214" i="25590" s="1"/>
  <c r="M122" i="1"/>
  <c r="M184" i="1"/>
  <c r="B283" i="4888" s="1"/>
  <c r="Q284" i="1"/>
  <c r="R284" i="1" s="1"/>
  <c r="M370" i="1"/>
  <c r="B214" i="2316" s="1"/>
  <c r="H214" i="2316" s="1"/>
  <c r="M434" i="1"/>
  <c r="B283" i="2561" s="1"/>
  <c r="H283" i="2561" s="1"/>
  <c r="O529" i="1"/>
  <c r="B283" i="10541" s="1"/>
  <c r="H283" i="10541" s="1"/>
  <c r="O576" i="1"/>
  <c r="P576" i="1" s="1"/>
  <c r="M843" i="1"/>
  <c r="N843" i="1" s="1"/>
  <c r="M905" i="1"/>
  <c r="B283" i="25587" s="1"/>
  <c r="H283" i="25587" s="1"/>
  <c r="M1029" i="1"/>
  <c r="B214" i="25589" s="1"/>
  <c r="H214" i="25589" s="1"/>
  <c r="M1094" i="1"/>
  <c r="B214" i="2819" s="1"/>
  <c r="H214" i="2819" s="1"/>
  <c r="M1142" i="1"/>
  <c r="B214" i="523" s="1"/>
  <c r="H214" i="523" s="1"/>
  <c r="M1190" i="1"/>
  <c r="B214" i="2048" s="1"/>
  <c r="H214" i="2048" s="1"/>
  <c r="M1393" i="1"/>
  <c r="O1425" i="1"/>
  <c r="B163" i="768" s="1"/>
  <c r="H163" i="768" s="1"/>
  <c r="M1472" i="1"/>
  <c r="M1613" i="1"/>
  <c r="B214" i="25590" s="1"/>
  <c r="H214" i="25590" s="1"/>
  <c r="M60" i="1"/>
  <c r="K593" i="1"/>
  <c r="L593" i="1" s="1"/>
  <c r="K655" i="1"/>
  <c r="L655" i="1" s="1"/>
  <c r="K1208" i="1"/>
  <c r="L1208" i="1" s="1"/>
  <c r="N1519" i="1"/>
  <c r="H283" i="4888" l="1"/>
  <c r="B283" i="20994"/>
  <c r="G308" i="25580"/>
  <c r="G239" i="8196"/>
  <c r="G239" i="2048"/>
  <c r="G239" i="25588"/>
  <c r="H238" i="1024"/>
  <c r="H238" i="9216"/>
  <c r="G109" i="25584"/>
  <c r="G113" i="25583"/>
  <c r="G113" i="25582"/>
  <c r="G238" i="2819"/>
  <c r="G187" i="768"/>
  <c r="G238" i="25589"/>
  <c r="G307" i="10541"/>
  <c r="G307" i="4888"/>
  <c r="G238" i="25590"/>
  <c r="G238" i="2048"/>
  <c r="G307" i="25587"/>
  <c r="G238" i="523"/>
  <c r="G238" i="2316"/>
  <c r="N1566" i="1"/>
  <c r="F227" i="8196"/>
  <c r="F227" i="2048"/>
  <c r="F296" i="25580"/>
  <c r="F227" i="25588"/>
  <c r="G226" i="9216"/>
  <c r="G226" i="1024"/>
  <c r="F101" i="25583"/>
  <c r="F97" i="25584"/>
  <c r="F101" i="25582"/>
  <c r="F226" i="523"/>
  <c r="F226" i="2316"/>
  <c r="F175" i="768"/>
  <c r="F226" i="2819"/>
  <c r="F83" i="25586"/>
  <c r="F226" i="25589"/>
  <c r="F295" i="10541"/>
  <c r="F295" i="4888"/>
  <c r="F83" i="25585"/>
  <c r="F226" i="25590"/>
  <c r="F226" i="2048"/>
  <c r="F295" i="25587"/>
  <c r="D215" i="523"/>
  <c r="D285" i="25580"/>
  <c r="D216" i="8196"/>
  <c r="D216" i="2048"/>
  <c r="D216" i="25588"/>
  <c r="B283" i="25580"/>
  <c r="H283" i="25580" s="1"/>
  <c r="E215" i="1024"/>
  <c r="E215" i="9216"/>
  <c r="N122" i="1"/>
  <c r="N434" i="1"/>
  <c r="N60" i="1"/>
  <c r="P529" i="1"/>
  <c r="D284" i="4888"/>
  <c r="D72" i="25586"/>
  <c r="D90" i="25582"/>
  <c r="D284" i="25587"/>
  <c r="D90" i="25583"/>
  <c r="D284" i="10541"/>
  <c r="D215" i="2048"/>
  <c r="D164" i="768"/>
  <c r="D72" i="25585"/>
  <c r="N184" i="1"/>
  <c r="D215" i="2316"/>
  <c r="D86" i="25584"/>
  <c r="N1029" i="1"/>
  <c r="N370" i="1"/>
  <c r="N905" i="1"/>
  <c r="N1190" i="1"/>
  <c r="N1613" i="1"/>
  <c r="N1142" i="1"/>
  <c r="B163" i="10285"/>
  <c r="H163" i="10285" s="1"/>
  <c r="C283" i="3"/>
  <c r="N1094" i="1"/>
  <c r="P1425" i="1"/>
  <c r="B284" i="32"/>
  <c r="B214" i="8196"/>
  <c r="H214" i="8196" s="1"/>
  <c r="N1393" i="1"/>
  <c r="B214" i="512"/>
  <c r="H214" i="512" s="1"/>
  <c r="N1472" i="1"/>
  <c r="B214" i="25588"/>
  <c r="H214" i="25588" s="1"/>
  <c r="B84" i="25584"/>
  <c r="B88" i="25583"/>
  <c r="B88" i="25582"/>
  <c r="B70" i="25585"/>
  <c r="H70" i="25585" s="1"/>
  <c r="B70" i="25586"/>
  <c r="H70" i="25586" s="1"/>
  <c r="A70" i="25586"/>
  <c r="A70" i="25585" s="1"/>
  <c r="A282" i="25580" s="1"/>
  <c r="A282" i="4888" s="1"/>
  <c r="A162" i="10285" s="1"/>
  <c r="A162" i="768" s="1"/>
  <c r="A282" i="20994" s="1"/>
  <c r="A213" i="9216" s="1"/>
  <c r="A213" i="1024" s="1"/>
  <c r="A283" i="32" s="1"/>
  <c r="A213" i="2316" s="1"/>
  <c r="A213" i="2819" s="1"/>
  <c r="A282" i="2561" s="1"/>
  <c r="A213" i="523" s="1"/>
  <c r="A282" i="10541" s="1"/>
  <c r="A213" i="2048" s="1"/>
  <c r="A88" i="25582" s="1"/>
  <c r="A88" i="25583" s="1"/>
  <c r="A84" i="25584" s="1"/>
  <c r="A213" i="8196" s="1"/>
  <c r="A213" i="512" s="1"/>
  <c r="A282" i="25587" s="1"/>
  <c r="A213" i="25588" s="1"/>
  <c r="A213" i="25589" s="1"/>
  <c r="A213" i="25590" s="1"/>
  <c r="M1565" i="1"/>
  <c r="N1565" i="1" s="1"/>
  <c r="M1518" i="1"/>
  <c r="N1518" i="1" s="1"/>
  <c r="M966" i="1"/>
  <c r="N966" i="1" s="1"/>
  <c r="M121" i="1"/>
  <c r="M183" i="1"/>
  <c r="B282" i="4888" s="1"/>
  <c r="Q283" i="1"/>
  <c r="B283" i="32" s="1"/>
  <c r="M369" i="1"/>
  <c r="B213" i="2316" s="1"/>
  <c r="H213" i="2316" s="1"/>
  <c r="M433" i="1"/>
  <c r="N433" i="1" s="1"/>
  <c r="O528" i="1"/>
  <c r="B282" i="10541" s="1"/>
  <c r="H282" i="10541" s="1"/>
  <c r="O575" i="1"/>
  <c r="B162" i="10285" s="1"/>
  <c r="H162" i="10285" s="1"/>
  <c r="M842" i="1"/>
  <c r="N842" i="1" s="1"/>
  <c r="M904" i="1"/>
  <c r="B282" i="25587" s="1"/>
  <c r="H282" i="25587" s="1"/>
  <c r="M1028" i="1"/>
  <c r="N1028" i="1" s="1"/>
  <c r="M1093" i="1"/>
  <c r="B213" i="2819" s="1"/>
  <c r="H213" i="2819" s="1"/>
  <c r="M1141" i="1"/>
  <c r="B213" i="523" s="1"/>
  <c r="H213" i="523" s="1"/>
  <c r="M1189" i="1"/>
  <c r="N1189" i="1" s="1"/>
  <c r="M1392" i="1"/>
  <c r="N1392" i="1" s="1"/>
  <c r="O1424" i="1"/>
  <c r="B162" i="768" s="1"/>
  <c r="H162" i="768" s="1"/>
  <c r="M1471" i="1"/>
  <c r="B213" i="25588" s="1"/>
  <c r="H213" i="25588" s="1"/>
  <c r="M1612" i="1"/>
  <c r="B213" i="25590" s="1"/>
  <c r="H213" i="25590" s="1"/>
  <c r="M59" i="1"/>
  <c r="K592" i="1"/>
  <c r="L592" i="1" s="1"/>
  <c r="K654" i="1"/>
  <c r="L654" i="1" s="1"/>
  <c r="K1207" i="1"/>
  <c r="L1207" i="1" s="1"/>
  <c r="H282" i="4888" l="1"/>
  <c r="H307" i="20994"/>
  <c r="E284" i="20994"/>
  <c r="G295" i="20994"/>
  <c r="N183" i="1"/>
  <c r="H307" i="3"/>
  <c r="G238" i="25588"/>
  <c r="G238" i="8196"/>
  <c r="G308" i="32"/>
  <c r="G187" i="10285"/>
  <c r="G238" i="512"/>
  <c r="G307" i="25580"/>
  <c r="G112" i="25583"/>
  <c r="G112" i="25582"/>
  <c r="G108" i="25584"/>
  <c r="G186" i="768"/>
  <c r="G237" i="2819"/>
  <c r="G186" i="10285"/>
  <c r="G307" i="32"/>
  <c r="G306" i="10541"/>
  <c r="G306" i="4888"/>
  <c r="G237" i="25590"/>
  <c r="G306" i="25587"/>
  <c r="G237" i="25588"/>
  <c r="G237" i="523"/>
  <c r="G237" i="2316"/>
  <c r="B213" i="9216"/>
  <c r="G295" i="3"/>
  <c r="F295" i="25580"/>
  <c r="F226" i="25588"/>
  <c r="F226" i="8196"/>
  <c r="F296" i="32"/>
  <c r="F175" i="10285"/>
  <c r="F226" i="512"/>
  <c r="G225" i="9216"/>
  <c r="F100" i="25583"/>
  <c r="F96" i="25584"/>
  <c r="F100" i="25582"/>
  <c r="F294" i="10541"/>
  <c r="F294" i="4888"/>
  <c r="F294" i="25587"/>
  <c r="F225" i="25588"/>
  <c r="F225" i="523"/>
  <c r="F82" i="25586"/>
  <c r="F174" i="768"/>
  <c r="F174" i="10285"/>
  <c r="F82" i="25585"/>
  <c r="B282" i="20994"/>
  <c r="B213" i="1024"/>
  <c r="D284" i="25580"/>
  <c r="E214" i="9216"/>
  <c r="C282" i="3"/>
  <c r="P575" i="1"/>
  <c r="D89" i="25582"/>
  <c r="D285" i="32"/>
  <c r="D164" i="10285"/>
  <c r="D215" i="25588"/>
  <c r="D215" i="512"/>
  <c r="D215" i="8196"/>
  <c r="D85" i="25584"/>
  <c r="N904" i="1"/>
  <c r="N1612" i="1"/>
  <c r="P528" i="1"/>
  <c r="P1424" i="1"/>
  <c r="R283" i="1"/>
  <c r="N1093" i="1"/>
  <c r="D89" i="25583"/>
  <c r="D283" i="25587"/>
  <c r="D214" i="25588"/>
  <c r="D214" i="523"/>
  <c r="D214" i="2316"/>
  <c r="D214" i="25590"/>
  <c r="D163" i="768"/>
  <c r="D214" i="2819"/>
  <c r="D284" i="32"/>
  <c r="D283" i="10541"/>
  <c r="D283" i="4888"/>
  <c r="N1141" i="1"/>
  <c r="N121" i="1"/>
  <c r="B213" i="2048"/>
  <c r="H213" i="2048" s="1"/>
  <c r="B213" i="8196"/>
  <c r="H213" i="8196" s="1"/>
  <c r="B213" i="25589"/>
  <c r="H213" i="25589" s="1"/>
  <c r="D71" i="25586"/>
  <c r="D163" i="10285"/>
  <c r="B282" i="2561"/>
  <c r="H282" i="2561" s="1"/>
  <c r="B213" i="512"/>
  <c r="H213" i="512" s="1"/>
  <c r="N369" i="1"/>
  <c r="N1471" i="1"/>
  <c r="B282" i="25580"/>
  <c r="H282" i="25580" s="1"/>
  <c r="D71" i="25585"/>
  <c r="N59" i="1"/>
  <c r="B83" i="25584"/>
  <c r="B87" i="25583"/>
  <c r="B87" i="25582"/>
  <c r="B69" i="25585"/>
  <c r="H69" i="25585" s="1"/>
  <c r="B69" i="25586"/>
  <c r="H69" i="25586" s="1"/>
  <c r="A69" i="25586"/>
  <c r="A69" i="25585" s="1"/>
  <c r="A281" i="25580" s="1"/>
  <c r="A281" i="4888" s="1"/>
  <c r="A161" i="10285" s="1"/>
  <c r="A161" i="768" s="1"/>
  <c r="A281" i="20994" s="1"/>
  <c r="A212" i="9216" s="1"/>
  <c r="A212" i="1024" s="1"/>
  <c r="A282" i="32" s="1"/>
  <c r="A212" i="2316" s="1"/>
  <c r="A212" i="2819" s="1"/>
  <c r="A281" i="2561" s="1"/>
  <c r="A212" i="523" s="1"/>
  <c r="A281" i="10541" s="1"/>
  <c r="A212" i="2048" s="1"/>
  <c r="A87" i="25582" s="1"/>
  <c r="A87" i="25583" s="1"/>
  <c r="A83" i="25584" s="1"/>
  <c r="A212" i="8196" s="1"/>
  <c r="A212" i="512" s="1"/>
  <c r="A281" i="25587" s="1"/>
  <c r="A212" i="25588" s="1"/>
  <c r="A212" i="25589" s="1"/>
  <c r="A212" i="25590" s="1"/>
  <c r="M120" i="1"/>
  <c r="M182" i="1"/>
  <c r="N182" i="1" s="1"/>
  <c r="Q282" i="1"/>
  <c r="B282" i="32" s="1"/>
  <c r="M368" i="1"/>
  <c r="M432" i="1"/>
  <c r="B281" i="2561" s="1"/>
  <c r="H281" i="2561" s="1"/>
  <c r="O527" i="1"/>
  <c r="O574" i="1"/>
  <c r="B161" i="10285" s="1"/>
  <c r="H161" i="10285" s="1"/>
  <c r="M841" i="1"/>
  <c r="B212" i="8196" s="1"/>
  <c r="H212" i="8196" s="1"/>
  <c r="M903" i="1"/>
  <c r="M1027" i="1"/>
  <c r="M1092" i="1"/>
  <c r="B212" i="2819" s="1"/>
  <c r="H212" i="2819" s="1"/>
  <c r="M1140" i="1"/>
  <c r="M1188" i="1"/>
  <c r="B212" i="2048" s="1"/>
  <c r="H212" i="2048" s="1"/>
  <c r="M1391" i="1"/>
  <c r="O1423" i="1"/>
  <c r="B161" i="768" s="1"/>
  <c r="H161" i="768" s="1"/>
  <c r="M1470" i="1"/>
  <c r="M1611" i="1"/>
  <c r="B212" i="25590" s="1"/>
  <c r="H212" i="25590" s="1"/>
  <c r="M58" i="1"/>
  <c r="K591" i="1"/>
  <c r="L591" i="1" s="1"/>
  <c r="K653" i="1"/>
  <c r="L653" i="1" s="1"/>
  <c r="K1206" i="1"/>
  <c r="L1206" i="1" s="1"/>
  <c r="M1564" i="1"/>
  <c r="B212" i="1024" s="1"/>
  <c r="N1564" i="1"/>
  <c r="M1517" i="1"/>
  <c r="B212" i="9216" s="1"/>
  <c r="M965" i="1"/>
  <c r="B281" i="20994" s="1"/>
  <c r="H237" i="1024" l="1"/>
  <c r="H237" i="9216"/>
  <c r="H306" i="20994"/>
  <c r="H306" i="3"/>
  <c r="G237" i="2048"/>
  <c r="G237" i="512"/>
  <c r="G237" i="25589"/>
  <c r="G306" i="25580"/>
  <c r="G237" i="8196"/>
  <c r="H236" i="1024"/>
  <c r="H236" i="9216"/>
  <c r="H305" i="20994"/>
  <c r="G111" i="25583"/>
  <c r="G107" i="25584"/>
  <c r="G111" i="25582"/>
  <c r="G236" i="8196"/>
  <c r="G185" i="768"/>
  <c r="G236" i="2819"/>
  <c r="G185" i="10285"/>
  <c r="G306" i="32"/>
  <c r="G236" i="25590"/>
  <c r="G236" i="2048"/>
  <c r="N965" i="1"/>
  <c r="G225" i="1024"/>
  <c r="G294" i="20994"/>
  <c r="G294" i="3"/>
  <c r="F225" i="512"/>
  <c r="F294" i="25580"/>
  <c r="F225" i="8196"/>
  <c r="F225" i="2048"/>
  <c r="G224" i="1024"/>
  <c r="G224" i="9216"/>
  <c r="G293" i="20994"/>
  <c r="F95" i="25584"/>
  <c r="F81" i="25585"/>
  <c r="F224" i="25590"/>
  <c r="F224" i="2048"/>
  <c r="F224" i="8196"/>
  <c r="F173" i="768"/>
  <c r="F224" i="2819"/>
  <c r="F173" i="10285"/>
  <c r="F294" i="32"/>
  <c r="F81" i="25586"/>
  <c r="F99" i="25582"/>
  <c r="F99" i="25583"/>
  <c r="E283" i="20994"/>
  <c r="N1517" i="1"/>
  <c r="E214" i="1024"/>
  <c r="N432" i="1"/>
  <c r="E283" i="3"/>
  <c r="N120" i="1"/>
  <c r="N58" i="1"/>
  <c r="E213" i="9216"/>
  <c r="E282" i="20994"/>
  <c r="P1423" i="1"/>
  <c r="N1188" i="1"/>
  <c r="N841" i="1"/>
  <c r="N1611" i="1"/>
  <c r="D88" i="25583"/>
  <c r="P574" i="1"/>
  <c r="D214" i="512"/>
  <c r="D214" i="25589"/>
  <c r="D283" i="25580"/>
  <c r="D214" i="8196"/>
  <c r="R282" i="1"/>
  <c r="D214" i="2048"/>
  <c r="D84" i="25584"/>
  <c r="D88" i="25582"/>
  <c r="E213" i="1024"/>
  <c r="D162" i="768"/>
  <c r="D213" i="2819"/>
  <c r="D162" i="10285"/>
  <c r="D283" i="32"/>
  <c r="D213" i="25590"/>
  <c r="D213" i="2048"/>
  <c r="B281" i="25580"/>
  <c r="H281" i="25580" s="1"/>
  <c r="D70" i="25585"/>
  <c r="D213" i="8196"/>
  <c r="D70" i="25586"/>
  <c r="C281" i="3"/>
  <c r="N1092" i="1"/>
  <c r="N1470" i="1"/>
  <c r="B212" i="25588"/>
  <c r="H212" i="25588" s="1"/>
  <c r="N1140" i="1"/>
  <c r="B212" i="523"/>
  <c r="H212" i="523" s="1"/>
  <c r="N368" i="1"/>
  <c r="B212" i="2316"/>
  <c r="H212" i="2316" s="1"/>
  <c r="N1391" i="1"/>
  <c r="B212" i="512"/>
  <c r="H212" i="512" s="1"/>
  <c r="N1027" i="1"/>
  <c r="B212" i="25589"/>
  <c r="H212" i="25589" s="1"/>
  <c r="P527" i="1"/>
  <c r="B281" i="10541"/>
  <c r="H281" i="10541" s="1"/>
  <c r="B281" i="4888"/>
  <c r="N903" i="1"/>
  <c r="B281" i="25587"/>
  <c r="H281" i="25587" s="1"/>
  <c r="B82" i="25584"/>
  <c r="B86" i="25583"/>
  <c r="B86" i="25582"/>
  <c r="B68" i="25585"/>
  <c r="H68" i="25585" s="1"/>
  <c r="B68" i="25586"/>
  <c r="H68" i="25586" s="1"/>
  <c r="A68" i="25586"/>
  <c r="A68" i="25585" s="1"/>
  <c r="A280" i="25580" s="1"/>
  <c r="A280" i="4888" s="1"/>
  <c r="A160" i="10285" s="1"/>
  <c r="A160" i="768" s="1"/>
  <c r="A280" i="20994" s="1"/>
  <c r="A211" i="9216" s="1"/>
  <c r="A211" i="1024" s="1"/>
  <c r="A281" i="32" s="1"/>
  <c r="A211" i="2316" s="1"/>
  <c r="A211" i="2819" s="1"/>
  <c r="A280" i="2561" s="1"/>
  <c r="A211" i="523" s="1"/>
  <c r="A280" i="10541" s="1"/>
  <c r="A211" i="2048" s="1"/>
  <c r="A86" i="25582" s="1"/>
  <c r="A86" i="25583" s="1"/>
  <c r="A82" i="25584" s="1"/>
  <c r="A211" i="8196" s="1"/>
  <c r="A211" i="512" s="1"/>
  <c r="A280" i="25587" s="1"/>
  <c r="A211" i="25588" s="1"/>
  <c r="A211" i="25589" s="1"/>
  <c r="A211" i="25590" s="1"/>
  <c r="M119" i="1"/>
  <c r="M181" i="1"/>
  <c r="B280" i="4888" s="1"/>
  <c r="Q281" i="1"/>
  <c r="B281" i="32" s="1"/>
  <c r="M367" i="1"/>
  <c r="B211" i="2316" s="1"/>
  <c r="H211" i="2316" s="1"/>
  <c r="M431" i="1"/>
  <c r="B280" i="2561" s="1"/>
  <c r="H280" i="2561" s="1"/>
  <c r="O526" i="1"/>
  <c r="B280" i="10541" s="1"/>
  <c r="H280" i="10541" s="1"/>
  <c r="O573" i="1"/>
  <c r="B160" i="10285" s="1"/>
  <c r="H160" i="10285" s="1"/>
  <c r="M840" i="1"/>
  <c r="B211" i="8196" s="1"/>
  <c r="H211" i="8196" s="1"/>
  <c r="M902" i="1"/>
  <c r="B280" i="25587" s="1"/>
  <c r="H280" i="25587" s="1"/>
  <c r="M1026" i="1"/>
  <c r="B211" i="25589" s="1"/>
  <c r="H211" i="25589" s="1"/>
  <c r="M1091" i="1"/>
  <c r="B211" i="2819" s="1"/>
  <c r="H211" i="2819" s="1"/>
  <c r="M1139" i="1"/>
  <c r="B211" i="523" s="1"/>
  <c r="H211" i="523" s="1"/>
  <c r="M1187" i="1"/>
  <c r="B211" i="2048" s="1"/>
  <c r="H211" i="2048" s="1"/>
  <c r="M1390" i="1"/>
  <c r="N1390" i="1" s="1"/>
  <c r="O1422" i="1"/>
  <c r="B160" i="768" s="1"/>
  <c r="H160" i="768" s="1"/>
  <c r="M1469" i="1"/>
  <c r="N1469" i="1" s="1"/>
  <c r="M1610" i="1"/>
  <c r="B211" i="25590" s="1"/>
  <c r="H211" i="25590" s="1"/>
  <c r="M57" i="1"/>
  <c r="K590" i="1"/>
  <c r="K652" i="1"/>
  <c r="K1205" i="1"/>
  <c r="M1563" i="1"/>
  <c r="N1563" i="1" s="1"/>
  <c r="M1516" i="1"/>
  <c r="N1516" i="1" s="1"/>
  <c r="H280" i="4888" l="1"/>
  <c r="H281" i="4888"/>
  <c r="H305" i="3"/>
  <c r="G305" i="10541"/>
  <c r="G236" i="512"/>
  <c r="G236" i="523"/>
  <c r="G305" i="25587"/>
  <c r="G305" i="25580"/>
  <c r="G236" i="25589"/>
  <c r="G236" i="2316"/>
  <c r="G236" i="25588"/>
  <c r="G305" i="4888"/>
  <c r="G184" i="768"/>
  <c r="G235" i="2819"/>
  <c r="G184" i="10285"/>
  <c r="G305" i="32"/>
  <c r="G106" i="25584"/>
  <c r="G235" i="25589"/>
  <c r="G304" i="10541"/>
  <c r="G304" i="4888"/>
  <c r="G235" i="25590"/>
  <c r="G235" i="2048"/>
  <c r="G304" i="25587"/>
  <c r="G110" i="25582"/>
  <c r="G235" i="523"/>
  <c r="G235" i="8196"/>
  <c r="G235" i="2316"/>
  <c r="G110" i="25583"/>
  <c r="G293" i="3"/>
  <c r="F293" i="4888"/>
  <c r="F293" i="10541"/>
  <c r="F224" i="512"/>
  <c r="F224" i="523"/>
  <c r="F293" i="25587"/>
  <c r="F293" i="25580"/>
  <c r="F224" i="25589"/>
  <c r="F224" i="2316"/>
  <c r="F224" i="25588"/>
  <c r="F98" i="25582"/>
  <c r="F98" i="25583"/>
  <c r="F94" i="25584"/>
  <c r="F292" i="10541"/>
  <c r="F223" i="25590"/>
  <c r="F223" i="25589"/>
  <c r="F292" i="4888"/>
  <c r="F223" i="2048"/>
  <c r="F223" i="523"/>
  <c r="F223" i="8196"/>
  <c r="F223" i="2316"/>
  <c r="F80" i="25585"/>
  <c r="F292" i="25587"/>
  <c r="F172" i="768"/>
  <c r="F223" i="2819"/>
  <c r="F172" i="10285"/>
  <c r="F293" i="32"/>
  <c r="F80" i="25586"/>
  <c r="B211" i="9216"/>
  <c r="B211" i="1024"/>
  <c r="N1610" i="1"/>
  <c r="D87" i="25583"/>
  <c r="D87" i="25582"/>
  <c r="E282" i="3"/>
  <c r="D281" i="10541"/>
  <c r="D282" i="10541"/>
  <c r="D213" i="512"/>
  <c r="D213" i="523"/>
  <c r="D282" i="25587"/>
  <c r="D212" i="2048"/>
  <c r="B280" i="25580"/>
  <c r="H280" i="25580" s="1"/>
  <c r="D213" i="25589"/>
  <c r="D213" i="2316"/>
  <c r="D213" i="25588"/>
  <c r="D69" i="25585"/>
  <c r="D212" i="8196"/>
  <c r="D282" i="4888"/>
  <c r="D282" i="25580"/>
  <c r="C280" i="3"/>
  <c r="D69" i="25586"/>
  <c r="D212" i="25590"/>
  <c r="D161" i="768"/>
  <c r="D212" i="2819"/>
  <c r="D161" i="10285"/>
  <c r="D282" i="32"/>
  <c r="D281" i="4888"/>
  <c r="D212" i="523"/>
  <c r="B211" i="512"/>
  <c r="H211" i="512" s="1"/>
  <c r="D83" i="25584"/>
  <c r="D281" i="25587"/>
  <c r="D212" i="2316"/>
  <c r="P1422" i="1"/>
  <c r="B211" i="25588"/>
  <c r="H211" i="25588" s="1"/>
  <c r="D212" i="25589"/>
  <c r="L1205" i="1"/>
  <c r="N1187" i="1"/>
  <c r="N1139" i="1"/>
  <c r="N1091" i="1"/>
  <c r="N1026" i="1"/>
  <c r="M964" i="1"/>
  <c r="B280" i="20994" s="1"/>
  <c r="N902" i="1"/>
  <c r="N840" i="1"/>
  <c r="L652" i="1"/>
  <c r="L590" i="1"/>
  <c r="P573" i="1"/>
  <c r="P526" i="1"/>
  <c r="N431" i="1"/>
  <c r="N367" i="1"/>
  <c r="R281" i="1"/>
  <c r="N181" i="1"/>
  <c r="N119" i="1"/>
  <c r="N57" i="1"/>
  <c r="H235" i="1024" l="1"/>
  <c r="H235" i="9216"/>
  <c r="H304" i="20994"/>
  <c r="G235" i="25588"/>
  <c r="G235" i="512"/>
  <c r="H304" i="3"/>
  <c r="G304" i="25580"/>
  <c r="N964" i="1"/>
  <c r="E212" i="1024"/>
  <c r="G223" i="1024"/>
  <c r="G223" i="9216"/>
  <c r="G292" i="20994"/>
  <c r="G292" i="3"/>
  <c r="F223" i="512"/>
  <c r="F292" i="25580"/>
  <c r="F223" i="25588"/>
  <c r="E212" i="9216"/>
  <c r="E281" i="20994"/>
  <c r="D212" i="512"/>
  <c r="E281" i="3"/>
  <c r="D281" i="25580"/>
  <c r="D212" i="25588"/>
  <c r="B81" i="25584"/>
  <c r="B85" i="25583"/>
  <c r="B85" i="25582"/>
  <c r="B67" i="25585"/>
  <c r="H67" i="25585" s="1"/>
  <c r="B67" i="25586"/>
  <c r="H67" i="25586" s="1"/>
  <c r="A67" i="25586"/>
  <c r="A67" i="25585" s="1"/>
  <c r="A279" i="25580" s="1"/>
  <c r="A279" i="4888" s="1"/>
  <c r="A159" i="10285" s="1"/>
  <c r="A159" i="768" s="1"/>
  <c r="A279" i="20994" s="1"/>
  <c r="A210" i="9216" s="1"/>
  <c r="A210" i="1024" s="1"/>
  <c r="A280" i="32" s="1"/>
  <c r="A210" i="2316" s="1"/>
  <c r="A210" i="2819" s="1"/>
  <c r="A279" i="2561" s="1"/>
  <c r="A210" i="523" s="1"/>
  <c r="A279" i="10541" s="1"/>
  <c r="A210" i="2048" s="1"/>
  <c r="A85" i="25582" s="1"/>
  <c r="A85" i="25583" s="1"/>
  <c r="A81" i="25584" s="1"/>
  <c r="A210" i="8196" s="1"/>
  <c r="A210" i="512" s="1"/>
  <c r="A279" i="25587" s="1"/>
  <c r="A210" i="25588" s="1"/>
  <c r="A210" i="25589" s="1"/>
  <c r="A210" i="25590" s="1"/>
  <c r="M118" i="1"/>
  <c r="M180" i="1"/>
  <c r="N180" i="1" s="1"/>
  <c r="Q280" i="1"/>
  <c r="R280" i="1" s="1"/>
  <c r="M366" i="1"/>
  <c r="B210" i="2316" s="1"/>
  <c r="H210" i="2316" s="1"/>
  <c r="M430" i="1"/>
  <c r="B279" i="2561" s="1"/>
  <c r="H279" i="2561" s="1"/>
  <c r="O525" i="1"/>
  <c r="O572" i="1"/>
  <c r="B159" i="10285" s="1"/>
  <c r="H159" i="10285" s="1"/>
  <c r="M839" i="1"/>
  <c r="B210" i="8196" s="1"/>
  <c r="H210" i="8196" s="1"/>
  <c r="M901" i="1"/>
  <c r="M1025" i="1"/>
  <c r="M1090" i="1"/>
  <c r="B210" i="2819" s="1"/>
  <c r="H210" i="2819" s="1"/>
  <c r="M1138" i="1"/>
  <c r="B210" i="523" s="1"/>
  <c r="H210" i="523" s="1"/>
  <c r="M1186" i="1"/>
  <c r="B210" i="2048" s="1"/>
  <c r="H210" i="2048" s="1"/>
  <c r="M1389" i="1"/>
  <c r="O1421" i="1"/>
  <c r="B159" i="768" s="1"/>
  <c r="H159" i="768" s="1"/>
  <c r="M1468" i="1"/>
  <c r="B210" i="25588" s="1"/>
  <c r="H210" i="25588" s="1"/>
  <c r="M1609" i="1"/>
  <c r="B210" i="25590" s="1"/>
  <c r="H210" i="25590" s="1"/>
  <c r="M56" i="1"/>
  <c r="K589" i="1"/>
  <c r="L589" i="1" s="1"/>
  <c r="K651" i="1"/>
  <c r="L651" i="1" s="1"/>
  <c r="K1204" i="1"/>
  <c r="L1204" i="1" s="1"/>
  <c r="M1562" i="1"/>
  <c r="B210" i="1024" s="1"/>
  <c r="M1515" i="1"/>
  <c r="N1515" i="1" s="1"/>
  <c r="M963" i="1"/>
  <c r="B279" i="20994" s="1"/>
  <c r="H234" i="1024" l="1"/>
  <c r="H303" i="20994"/>
  <c r="G105" i="25584"/>
  <c r="G109" i="25582"/>
  <c r="G109" i="25583"/>
  <c r="G234" i="2819"/>
  <c r="G234" i="25588"/>
  <c r="G234" i="523"/>
  <c r="G234" i="8196"/>
  <c r="G234" i="2316"/>
  <c r="G183" i="10285"/>
  <c r="G183" i="768"/>
  <c r="G234" i="25590"/>
  <c r="G234" i="2048"/>
  <c r="N1562" i="1"/>
  <c r="G291" i="20994"/>
  <c r="G222" i="1024"/>
  <c r="F222" i="25588"/>
  <c r="F222" i="2316"/>
  <c r="N963" i="1"/>
  <c r="F79" i="25585"/>
  <c r="F97" i="25582"/>
  <c r="F222" i="523"/>
  <c r="F222" i="25590"/>
  <c r="F222" i="2048"/>
  <c r="F97" i="25583"/>
  <c r="B210" i="9216"/>
  <c r="F93" i="25584"/>
  <c r="F222" i="8196"/>
  <c r="F171" i="768"/>
  <c r="F222" i="2819"/>
  <c r="F171" i="10285"/>
  <c r="F79" i="25586"/>
  <c r="N118" i="1"/>
  <c r="N430" i="1"/>
  <c r="N839" i="1"/>
  <c r="N366" i="1"/>
  <c r="N56" i="1"/>
  <c r="D82" i="25584"/>
  <c r="D86" i="25583"/>
  <c r="D86" i="25582"/>
  <c r="E211" i="1024"/>
  <c r="E280" i="20994"/>
  <c r="D211" i="25588"/>
  <c r="D211" i="523"/>
  <c r="D160" i="768"/>
  <c r="D160" i="10285"/>
  <c r="D68" i="25586"/>
  <c r="D211" i="2819"/>
  <c r="N1138" i="1"/>
  <c r="D68" i="25585"/>
  <c r="N1468" i="1"/>
  <c r="D211" i="25590"/>
  <c r="D211" i="2048"/>
  <c r="B279" i="25580"/>
  <c r="H279" i="25580" s="1"/>
  <c r="D211" i="8196"/>
  <c r="D211" i="2316"/>
  <c r="P1421" i="1"/>
  <c r="P572" i="1"/>
  <c r="N1609" i="1"/>
  <c r="N1186" i="1"/>
  <c r="B279" i="4888"/>
  <c r="N1090" i="1"/>
  <c r="N1389" i="1"/>
  <c r="B210" i="512"/>
  <c r="H210" i="512" s="1"/>
  <c r="N1025" i="1"/>
  <c r="B210" i="25589"/>
  <c r="H210" i="25589" s="1"/>
  <c r="P525" i="1"/>
  <c r="B279" i="10541"/>
  <c r="H279" i="10541" s="1"/>
  <c r="B280" i="32"/>
  <c r="N901" i="1"/>
  <c r="B279" i="25587"/>
  <c r="H279" i="25587" s="1"/>
  <c r="C279" i="3"/>
  <c r="B80" i="25584"/>
  <c r="B84" i="25583"/>
  <c r="B84" i="25582"/>
  <c r="B65" i="25585"/>
  <c r="H65" i="25585" s="1"/>
  <c r="B66" i="25585"/>
  <c r="H66" i="25585" s="1"/>
  <c r="B66" i="25586"/>
  <c r="H66" i="25586" s="1"/>
  <c r="A66" i="25586"/>
  <c r="A66" i="25585" s="1"/>
  <c r="A278" i="25580" s="1"/>
  <c r="A278" i="4888" s="1"/>
  <c r="A158" i="10285" s="1"/>
  <c r="A158" i="768" s="1"/>
  <c r="A278" i="20994" s="1"/>
  <c r="A209" i="9216" s="1"/>
  <c r="A209" i="1024" s="1"/>
  <c r="A279" i="32" s="1"/>
  <c r="A209" i="2316" s="1"/>
  <c r="A209" i="2819" s="1"/>
  <c r="A278" i="2561" s="1"/>
  <c r="A209" i="523" s="1"/>
  <c r="A278" i="10541" s="1"/>
  <c r="A209" i="2048" s="1"/>
  <c r="A84" i="25582" s="1"/>
  <c r="A84" i="25583" s="1"/>
  <c r="A80" i="25584" s="1"/>
  <c r="A209" i="8196" s="1"/>
  <c r="A209" i="512" s="1"/>
  <c r="A278" i="25587" s="1"/>
  <c r="A209" i="25588" s="1"/>
  <c r="A209" i="25589" s="1"/>
  <c r="A209" i="25590" s="1"/>
  <c r="M1608" i="1"/>
  <c r="M1561" i="1"/>
  <c r="N1561" i="1" s="1"/>
  <c r="M1514" i="1"/>
  <c r="B209" i="9216" s="1"/>
  <c r="N1514" i="1"/>
  <c r="M1467" i="1"/>
  <c r="B209" i="25588" s="1"/>
  <c r="H209" i="25588" s="1"/>
  <c r="O1420" i="1"/>
  <c r="M1388" i="1"/>
  <c r="K1203" i="1"/>
  <c r="L1203" i="1" s="1"/>
  <c r="M1185" i="1"/>
  <c r="M1137" i="1"/>
  <c r="M1089" i="1"/>
  <c r="M1024" i="1"/>
  <c r="B209" i="25589" s="1"/>
  <c r="H209" i="25589" s="1"/>
  <c r="M962" i="1"/>
  <c r="B278" i="20994" s="1"/>
  <c r="M900" i="1"/>
  <c r="M838" i="1"/>
  <c r="K650" i="1"/>
  <c r="L650" i="1" s="1"/>
  <c r="K588" i="1"/>
  <c r="L588" i="1" s="1"/>
  <c r="O571" i="1"/>
  <c r="O524" i="1"/>
  <c r="M429" i="1"/>
  <c r="M365" i="1"/>
  <c r="M179" i="1"/>
  <c r="N179" i="1" s="1"/>
  <c r="M117" i="1"/>
  <c r="M55" i="1"/>
  <c r="H279" i="4888" l="1"/>
  <c r="H234" i="9216"/>
  <c r="H303" i="3"/>
  <c r="G234" i="25589"/>
  <c r="G303" i="25580"/>
  <c r="G303" i="25587"/>
  <c r="G304" i="32"/>
  <c r="G303" i="4888"/>
  <c r="G303" i="10541"/>
  <c r="G234" i="512"/>
  <c r="H233" i="9216"/>
  <c r="H302" i="20994"/>
  <c r="G104" i="25584"/>
  <c r="G233" i="25588"/>
  <c r="G233" i="25589"/>
  <c r="G108" i="25582"/>
  <c r="G108" i="25583"/>
  <c r="E211" i="9216"/>
  <c r="F292" i="32"/>
  <c r="F291" i="4888"/>
  <c r="F291" i="25587"/>
  <c r="N962" i="1"/>
  <c r="B209" i="1024"/>
  <c r="G291" i="3"/>
  <c r="F291" i="10541"/>
  <c r="F222" i="512"/>
  <c r="G222" i="9216"/>
  <c r="F222" i="25589"/>
  <c r="F291" i="25580"/>
  <c r="G221" i="9216"/>
  <c r="G290" i="20994"/>
  <c r="F221" i="25588"/>
  <c r="F96" i="25582"/>
  <c r="F78" i="25585"/>
  <c r="F221" i="25589"/>
  <c r="F96" i="25583"/>
  <c r="F92" i="25584"/>
  <c r="F78" i="25586"/>
  <c r="E77" i="25585"/>
  <c r="F77" i="25585"/>
  <c r="E76" i="25585"/>
  <c r="E75" i="25585"/>
  <c r="E74" i="25585"/>
  <c r="E73" i="25585"/>
  <c r="E72" i="25585"/>
  <c r="E71" i="25585"/>
  <c r="E70" i="25585"/>
  <c r="C278" i="3"/>
  <c r="E69" i="25585"/>
  <c r="E210" i="9216"/>
  <c r="E280" i="3"/>
  <c r="D211" i="25589"/>
  <c r="D281" i="32"/>
  <c r="D280" i="4888"/>
  <c r="E68" i="25585"/>
  <c r="D280" i="25587"/>
  <c r="D280" i="10541"/>
  <c r="D211" i="512"/>
  <c r="D280" i="25580"/>
  <c r="E279" i="20994"/>
  <c r="D85" i="25582"/>
  <c r="D85" i="25583"/>
  <c r="D81" i="25584"/>
  <c r="D210" i="25588"/>
  <c r="E66" i="25585"/>
  <c r="D67" i="25585"/>
  <c r="E67" i="25585"/>
  <c r="D210" i="25589"/>
  <c r="D67" i="25586"/>
  <c r="B278" i="25580"/>
  <c r="H278" i="25580" s="1"/>
  <c r="N117" i="1"/>
  <c r="N1089" i="1"/>
  <c r="B209" i="2819"/>
  <c r="H209" i="2819" s="1"/>
  <c r="N1137" i="1"/>
  <c r="B209" i="523"/>
  <c r="H209" i="523" s="1"/>
  <c r="N838" i="1"/>
  <c r="B209" i="8196"/>
  <c r="H209" i="8196" s="1"/>
  <c r="N1185" i="1"/>
  <c r="B209" i="2048"/>
  <c r="H209" i="2048" s="1"/>
  <c r="N900" i="1"/>
  <c r="B278" i="25587"/>
  <c r="H278" i="25587" s="1"/>
  <c r="N1608" i="1"/>
  <c r="B209" i="25590"/>
  <c r="H209" i="25590" s="1"/>
  <c r="N365" i="1"/>
  <c r="B209" i="2316"/>
  <c r="H209" i="2316" s="1"/>
  <c r="N1388" i="1"/>
  <c r="B209" i="512"/>
  <c r="H209" i="512" s="1"/>
  <c r="P1420" i="1"/>
  <c r="B158" i="768"/>
  <c r="H158" i="768" s="1"/>
  <c r="P571" i="1"/>
  <c r="B158" i="10285"/>
  <c r="H158" i="10285" s="1"/>
  <c r="N429" i="1"/>
  <c r="B278" i="2561"/>
  <c r="H278" i="2561" s="1"/>
  <c r="P524" i="1"/>
  <c r="B278" i="10541"/>
  <c r="H278" i="10541" s="1"/>
  <c r="N1024" i="1"/>
  <c r="N1467" i="1"/>
  <c r="B278" i="4888"/>
  <c r="D66" i="25585"/>
  <c r="N55" i="1"/>
  <c r="H278" i="4888" l="1"/>
  <c r="H233" i="1024"/>
  <c r="G302" i="10541"/>
  <c r="G233" i="25590"/>
  <c r="G233" i="523"/>
  <c r="G302" i="4888"/>
  <c r="G302" i="25580"/>
  <c r="G233" i="512"/>
  <c r="G233" i="8196"/>
  <c r="G182" i="10285"/>
  <c r="G233" i="2048"/>
  <c r="G182" i="768"/>
  <c r="G233" i="2316"/>
  <c r="G302" i="25587"/>
  <c r="G233" i="2819"/>
  <c r="H302" i="3"/>
  <c r="E210" i="1024"/>
  <c r="G221" i="1024"/>
  <c r="F290" i="4888"/>
  <c r="F170" i="768"/>
  <c r="F290" i="25587"/>
  <c r="F290" i="25580"/>
  <c r="F221" i="2316"/>
  <c r="F221" i="2819"/>
  <c r="F290" i="10541"/>
  <c r="F170" i="10285"/>
  <c r="F221" i="512"/>
  <c r="F221" i="25590"/>
  <c r="F221" i="2048"/>
  <c r="F221" i="523"/>
  <c r="F221" i="8196"/>
  <c r="G290" i="3"/>
  <c r="E279" i="3"/>
  <c r="D279" i="4888"/>
  <c r="D279" i="25580"/>
  <c r="D159" i="768"/>
  <c r="D210" i="2316"/>
  <c r="D279" i="25587"/>
  <c r="D210" i="8196"/>
  <c r="D210" i="2819"/>
  <c r="D279" i="10541"/>
  <c r="D159" i="10285"/>
  <c r="D210" i="512"/>
  <c r="D210" i="25590"/>
  <c r="D210" i="2048"/>
  <c r="D210" i="523"/>
  <c r="B79" i="25584"/>
  <c r="B83" i="25583"/>
  <c r="B83" i="25582"/>
  <c r="B65" i="25586"/>
  <c r="H65" i="25586" s="1"/>
  <c r="A65" i="25586"/>
  <c r="A65" i="25585" s="1"/>
  <c r="A277" i="25580" s="1"/>
  <c r="A277" i="4888" s="1"/>
  <c r="A157" i="10285" s="1"/>
  <c r="A157" i="768" s="1"/>
  <c r="A277" i="20994" s="1"/>
  <c r="A208" i="9216" s="1"/>
  <c r="A208" i="1024" s="1"/>
  <c r="A278" i="32" s="1"/>
  <c r="A208" i="2316" s="1"/>
  <c r="A208" i="2819" s="1"/>
  <c r="A277" i="2561" s="1"/>
  <c r="A208" i="523" s="1"/>
  <c r="A277" i="10541" s="1"/>
  <c r="A208" i="2048" s="1"/>
  <c r="A83" i="25582" s="1"/>
  <c r="A83" i="25583" s="1"/>
  <c r="A79" i="25584" s="1"/>
  <c r="A208" i="8196" s="1"/>
  <c r="A208" i="512" s="1"/>
  <c r="A277" i="25587" s="1"/>
  <c r="A208" i="25588" s="1"/>
  <c r="A208" i="25589" s="1"/>
  <c r="A208" i="25590" s="1"/>
  <c r="I661" i="1"/>
  <c r="J661" i="1" s="1"/>
  <c r="I599" i="1"/>
  <c r="J599" i="1" s="1"/>
  <c r="K128" i="1"/>
  <c r="K66" i="1"/>
  <c r="K1619" i="1"/>
  <c r="B208" i="25590" s="1"/>
  <c r="H208" i="25590" s="1"/>
  <c r="K1478" i="1"/>
  <c r="M1431" i="1"/>
  <c r="B157" i="768" s="1"/>
  <c r="H157" i="768" s="1"/>
  <c r="K1399" i="1"/>
  <c r="B208" i="512" s="1"/>
  <c r="H208" i="512" s="1"/>
  <c r="K1196" i="1"/>
  <c r="B208" i="2048" s="1"/>
  <c r="H208" i="2048" s="1"/>
  <c r="K1148" i="1"/>
  <c r="K1100" i="1"/>
  <c r="B208" i="2819" s="1"/>
  <c r="H208" i="2819" s="1"/>
  <c r="K1035" i="1"/>
  <c r="K911" i="1"/>
  <c r="K849" i="1"/>
  <c r="M582" i="1"/>
  <c r="B157" i="10285" s="1"/>
  <c r="H157" i="10285" s="1"/>
  <c r="M535" i="1"/>
  <c r="B277" i="10541" s="1"/>
  <c r="H277" i="10541" s="1"/>
  <c r="K440" i="1"/>
  <c r="B277" i="2561" s="1"/>
  <c r="H277" i="2561" s="1"/>
  <c r="K376" i="1"/>
  <c r="O290" i="1"/>
  <c r="K190" i="1"/>
  <c r="K1572" i="1"/>
  <c r="L1572" i="1" s="1"/>
  <c r="K1525" i="1"/>
  <c r="L1525" i="1" s="1"/>
  <c r="N1431" i="1"/>
  <c r="I1214" i="1"/>
  <c r="J1214" i="1" s="1"/>
  <c r="K973" i="1"/>
  <c r="L973" i="1" s="1"/>
  <c r="G232" i="2048" l="1"/>
  <c r="G107" i="25583"/>
  <c r="E95" i="25583"/>
  <c r="G103" i="25584"/>
  <c r="G301" i="10541"/>
  <c r="G181" i="10285"/>
  <c r="G232" i="2819"/>
  <c r="G181" i="768"/>
  <c r="G232" i="25590"/>
  <c r="G232" i="512"/>
  <c r="G107" i="25582"/>
  <c r="B208" i="1024"/>
  <c r="B277" i="20994"/>
  <c r="B208" i="9216"/>
  <c r="E91" i="25584"/>
  <c r="F91" i="25584"/>
  <c r="E95" i="25582"/>
  <c r="F95" i="25582"/>
  <c r="F95" i="25583"/>
  <c r="E289" i="10541"/>
  <c r="F289" i="10541"/>
  <c r="F220" i="512"/>
  <c r="E220" i="512"/>
  <c r="F220" i="2048"/>
  <c r="E220" i="2048"/>
  <c r="F169" i="10285"/>
  <c r="E169" i="10285"/>
  <c r="F220" i="2819"/>
  <c r="E220" i="2819"/>
  <c r="F169" i="768"/>
  <c r="E169" i="768"/>
  <c r="E77" i="25586"/>
  <c r="F77" i="25586"/>
  <c r="E220" i="25590"/>
  <c r="F220" i="25590"/>
  <c r="E90" i="25584"/>
  <c r="E94" i="25583"/>
  <c r="E94" i="25582"/>
  <c r="E219" i="2048"/>
  <c r="E219" i="25590"/>
  <c r="E288" i="10541"/>
  <c r="E219" i="512"/>
  <c r="E168" i="10285"/>
  <c r="E219" i="2819"/>
  <c r="E168" i="768"/>
  <c r="E76" i="25586"/>
  <c r="E218" i="25590"/>
  <c r="E89" i="25584"/>
  <c r="E93" i="25583"/>
  <c r="E218" i="2048"/>
  <c r="E287" i="10541"/>
  <c r="E218" i="512"/>
  <c r="E218" i="2819"/>
  <c r="E93" i="25582"/>
  <c r="E167" i="10285"/>
  <c r="E167" i="768"/>
  <c r="E75" i="25586"/>
  <c r="E92" i="25582"/>
  <c r="E88" i="25584"/>
  <c r="E92" i="25583"/>
  <c r="E217" i="2048"/>
  <c r="E286" i="10541"/>
  <c r="E217" i="512"/>
  <c r="E217" i="25590"/>
  <c r="E166" i="10285"/>
  <c r="E217" i="2819"/>
  <c r="E166" i="768"/>
  <c r="E74" i="25586"/>
  <c r="E87" i="25584"/>
  <c r="E91" i="25582"/>
  <c r="E91" i="25583"/>
  <c r="E216" i="2048"/>
  <c r="E216" i="25590"/>
  <c r="E285" i="10541"/>
  <c r="E216" i="512"/>
  <c r="E165" i="10285"/>
  <c r="E216" i="2819"/>
  <c r="E165" i="768"/>
  <c r="E73" i="25586"/>
  <c r="E90" i="25583"/>
  <c r="E284" i="10541"/>
  <c r="E215" i="512"/>
  <c r="E215" i="2048"/>
  <c r="E86" i="25584"/>
  <c r="E164" i="10285"/>
  <c r="E164" i="768"/>
  <c r="E72" i="25586"/>
  <c r="E90" i="25582"/>
  <c r="E89" i="25582"/>
  <c r="E85" i="25584"/>
  <c r="E89" i="25583"/>
  <c r="E214" i="2048"/>
  <c r="E214" i="25590"/>
  <c r="E283" i="10541"/>
  <c r="E214" i="512"/>
  <c r="E163" i="10285"/>
  <c r="E214" i="2819"/>
  <c r="E163" i="768"/>
  <c r="E71" i="25586"/>
  <c r="E84" i="25584"/>
  <c r="E88" i="25583"/>
  <c r="E88" i="25582"/>
  <c r="E213" i="2048"/>
  <c r="E213" i="25590"/>
  <c r="E282" i="10541"/>
  <c r="E213" i="512"/>
  <c r="E162" i="10285"/>
  <c r="E213" i="2819"/>
  <c r="E162" i="768"/>
  <c r="E70" i="25586"/>
  <c r="L66" i="1"/>
  <c r="E161" i="10285"/>
  <c r="E212" i="2819"/>
  <c r="E161" i="768"/>
  <c r="E69" i="25586"/>
  <c r="E87" i="25582"/>
  <c r="E87" i="25583"/>
  <c r="E281" i="10541"/>
  <c r="E212" i="2048"/>
  <c r="E212" i="25590"/>
  <c r="E83" i="25584"/>
  <c r="E212" i="512"/>
  <c r="E82" i="25584"/>
  <c r="E86" i="25583"/>
  <c r="E86" i="25582"/>
  <c r="E211" i="2048"/>
  <c r="E211" i="25590"/>
  <c r="E280" i="10541"/>
  <c r="E211" i="512"/>
  <c r="E160" i="10285"/>
  <c r="E211" i="2819"/>
  <c r="E160" i="768"/>
  <c r="E68" i="25586"/>
  <c r="E81" i="25584"/>
  <c r="E85" i="25583"/>
  <c r="E85" i="25582"/>
  <c r="E279" i="10541"/>
  <c r="D209" i="512"/>
  <c r="E210" i="512"/>
  <c r="D158" i="10285"/>
  <c r="E159" i="10285"/>
  <c r="D158" i="768"/>
  <c r="E159" i="768"/>
  <c r="E67" i="25586"/>
  <c r="E66" i="25586"/>
  <c r="D209" i="2048"/>
  <c r="E210" i="2048"/>
  <c r="D209" i="2819"/>
  <c r="E210" i="2819"/>
  <c r="E209" i="25590"/>
  <c r="E210" i="25590"/>
  <c r="N582" i="1"/>
  <c r="L1619" i="1"/>
  <c r="L1100" i="1"/>
  <c r="E158" i="768"/>
  <c r="D66" i="25586"/>
  <c r="D209" i="25590"/>
  <c r="N535" i="1"/>
  <c r="E209" i="512"/>
  <c r="E278" i="10541"/>
  <c r="E158" i="10285"/>
  <c r="E80" i="25584"/>
  <c r="D80" i="25584"/>
  <c r="E84" i="25582"/>
  <c r="D84" i="25582"/>
  <c r="E209" i="2048"/>
  <c r="D278" i="10541"/>
  <c r="L1399" i="1"/>
  <c r="E84" i="25583"/>
  <c r="D84" i="25583"/>
  <c r="E209" i="2819"/>
  <c r="C277" i="3"/>
  <c r="B277" i="25587"/>
  <c r="H277" i="25587" s="1"/>
  <c r="L911" i="1"/>
  <c r="L128" i="1"/>
  <c r="B277" i="25580"/>
  <c r="H277" i="25580" s="1"/>
  <c r="B208" i="2316"/>
  <c r="H208" i="2316" s="1"/>
  <c r="L376" i="1"/>
  <c r="L1148" i="1"/>
  <c r="B208" i="523"/>
  <c r="H208" i="523" s="1"/>
  <c r="B208" i="8196"/>
  <c r="H208" i="8196" s="1"/>
  <c r="L849" i="1"/>
  <c r="B208" i="25588"/>
  <c r="H208" i="25588" s="1"/>
  <c r="L1478" i="1"/>
  <c r="L1196" i="1"/>
  <c r="L190" i="1"/>
  <c r="B277" i="4888"/>
  <c r="L1035" i="1"/>
  <c r="B208" i="25589"/>
  <c r="H208" i="25589" s="1"/>
  <c r="L440" i="1"/>
  <c r="P290" i="1"/>
  <c r="B278" i="32"/>
  <c r="B78" i="25584"/>
  <c r="B82" i="25583"/>
  <c r="B82" i="25582"/>
  <c r="B63" i="25585"/>
  <c r="H63" i="25585" s="1"/>
  <c r="B64" i="25585"/>
  <c r="H64" i="25585" s="1"/>
  <c r="B64" i="25586"/>
  <c r="H64" i="25586" s="1"/>
  <c r="A64" i="25586"/>
  <c r="A64" i="25585" s="1"/>
  <c r="A276" i="25580" s="1"/>
  <c r="A276" i="4888" s="1"/>
  <c r="A156" i="10285" s="1"/>
  <c r="A156" i="768" s="1"/>
  <c r="A276" i="20994" s="1"/>
  <c r="A207" i="9216" s="1"/>
  <c r="A207" i="1024" s="1"/>
  <c r="A277" i="32" s="1"/>
  <c r="A207" i="2316" s="1"/>
  <c r="A207" i="2819" s="1"/>
  <c r="A276" i="2561" s="1"/>
  <c r="A207" i="523" s="1"/>
  <c r="A276" i="10541" s="1"/>
  <c r="A207" i="2048" s="1"/>
  <c r="A82" i="25582" s="1"/>
  <c r="A82" i="25583" s="1"/>
  <c r="A78" i="25584" s="1"/>
  <c r="A207" i="8196" s="1"/>
  <c r="A207" i="512" s="1"/>
  <c r="A276" i="25587" s="1"/>
  <c r="A207" i="25588" s="1"/>
  <c r="A207" i="25589" s="1"/>
  <c r="A207" i="25590" s="1"/>
  <c r="K127" i="1"/>
  <c r="K189" i="1"/>
  <c r="B276" i="4888" s="1"/>
  <c r="O289" i="1"/>
  <c r="B277" i="32" s="1"/>
  <c r="K375" i="1"/>
  <c r="B207" i="2316" s="1"/>
  <c r="H207" i="2316" s="1"/>
  <c r="K439" i="1"/>
  <c r="L439" i="1" s="1"/>
  <c r="M534" i="1"/>
  <c r="B276" i="10541" s="1"/>
  <c r="H276" i="10541" s="1"/>
  <c r="M581" i="1"/>
  <c r="B156" i="10285" s="1"/>
  <c r="H156" i="10285" s="1"/>
  <c r="K848" i="1"/>
  <c r="L848" i="1" s="1"/>
  <c r="K910" i="1"/>
  <c r="L910" i="1" s="1"/>
  <c r="K1034" i="1"/>
  <c r="L1034" i="1" s="1"/>
  <c r="K1099" i="1"/>
  <c r="B207" i="2819" s="1"/>
  <c r="H207" i="2819" s="1"/>
  <c r="K1147" i="1"/>
  <c r="L1147" i="1" s="1"/>
  <c r="K1195" i="1"/>
  <c r="B207" i="2048" s="1"/>
  <c r="H207" i="2048" s="1"/>
  <c r="K1398" i="1"/>
  <c r="L1398" i="1" s="1"/>
  <c r="M1430" i="1"/>
  <c r="N1430" i="1" s="1"/>
  <c r="K1477" i="1"/>
  <c r="B207" i="25588" s="1"/>
  <c r="H207" i="25588" s="1"/>
  <c r="K1618" i="1"/>
  <c r="L1618" i="1" s="1"/>
  <c r="K65" i="1"/>
  <c r="I598" i="1"/>
  <c r="J598" i="1" s="1"/>
  <c r="I660" i="1"/>
  <c r="J660" i="1" s="1"/>
  <c r="I1213" i="1"/>
  <c r="J1213" i="1" s="1"/>
  <c r="K1571" i="1"/>
  <c r="L1571" i="1" s="1"/>
  <c r="K1524" i="1"/>
  <c r="L1524" i="1" s="1"/>
  <c r="K972" i="1"/>
  <c r="L972" i="1" s="1"/>
  <c r="H277" i="4888" l="1"/>
  <c r="H276" i="4888"/>
  <c r="H232" i="1024"/>
  <c r="F217" i="1024"/>
  <c r="H232" i="9216"/>
  <c r="H301" i="20994"/>
  <c r="G232" i="25589"/>
  <c r="G232" i="2316"/>
  <c r="G302" i="32"/>
  <c r="G232" i="523"/>
  <c r="G301" i="25580"/>
  <c r="H301" i="3"/>
  <c r="G301" i="4888"/>
  <c r="G232" i="25588"/>
  <c r="G232" i="8196"/>
  <c r="G301" i="25587"/>
  <c r="G102" i="25584"/>
  <c r="G106" i="25582"/>
  <c r="G106" i="25583"/>
  <c r="G180" i="10285"/>
  <c r="G301" i="32"/>
  <c r="G300" i="4888"/>
  <c r="G231" i="2048"/>
  <c r="G231" i="2819"/>
  <c r="G300" i="10541"/>
  <c r="G231" i="25588"/>
  <c r="G231" i="2316"/>
  <c r="F211" i="1024"/>
  <c r="F212" i="1024"/>
  <c r="F209" i="9216"/>
  <c r="F215" i="1024"/>
  <c r="F219" i="1024"/>
  <c r="F279" i="20994"/>
  <c r="F282" i="20994"/>
  <c r="F287" i="20994"/>
  <c r="E209" i="1024"/>
  <c r="F213" i="1024"/>
  <c r="F209" i="1024"/>
  <c r="F210" i="1024"/>
  <c r="F216" i="1024"/>
  <c r="F220" i="1024"/>
  <c r="F214" i="1024"/>
  <c r="F218" i="1024"/>
  <c r="F218" i="9216"/>
  <c r="F219" i="9216"/>
  <c r="G220" i="9216"/>
  <c r="F213" i="9216"/>
  <c r="F214" i="9216"/>
  <c r="F215" i="9216"/>
  <c r="F216" i="9216"/>
  <c r="E209" i="9216"/>
  <c r="F211" i="9216"/>
  <c r="F212" i="9216"/>
  <c r="F220" i="9216"/>
  <c r="F210" i="9216"/>
  <c r="F217" i="9216"/>
  <c r="G220" i="1024"/>
  <c r="E278" i="20994"/>
  <c r="B207" i="9216"/>
  <c r="F284" i="20994"/>
  <c r="F286" i="20994"/>
  <c r="G289" i="20994"/>
  <c r="B207" i="1024"/>
  <c r="F280" i="20994"/>
  <c r="F285" i="20994"/>
  <c r="F289" i="20994"/>
  <c r="B276" i="20994"/>
  <c r="F278" i="20994"/>
  <c r="F281" i="20994"/>
  <c r="F283" i="20994"/>
  <c r="F288" i="20994"/>
  <c r="G289" i="3"/>
  <c r="F289" i="3"/>
  <c r="F289" i="4888"/>
  <c r="E289" i="4888"/>
  <c r="F220" i="25588"/>
  <c r="E220" i="25588"/>
  <c r="F220" i="25589"/>
  <c r="E220" i="25589"/>
  <c r="F220" i="8196"/>
  <c r="E220" i="8196"/>
  <c r="F220" i="2316"/>
  <c r="E289" i="25587"/>
  <c r="F289" i="25587"/>
  <c r="F290" i="32"/>
  <c r="E290" i="32"/>
  <c r="E220" i="523"/>
  <c r="F220" i="523"/>
  <c r="E289" i="25580"/>
  <c r="F289" i="25580"/>
  <c r="F90" i="25584"/>
  <c r="F94" i="25582"/>
  <c r="F94" i="25583"/>
  <c r="F219" i="25588"/>
  <c r="F219" i="2316"/>
  <c r="F219" i="2819"/>
  <c r="F168" i="10285"/>
  <c r="F289" i="32"/>
  <c r="E219" i="25589"/>
  <c r="E219" i="8196"/>
  <c r="E288" i="25587"/>
  <c r="F288" i="10541"/>
  <c r="F288" i="4888"/>
  <c r="F76" i="25585"/>
  <c r="E289" i="32"/>
  <c r="E219" i="523"/>
  <c r="E288" i="25580"/>
  <c r="F219" i="2048"/>
  <c r="E288" i="4888"/>
  <c r="E219" i="25588"/>
  <c r="F76" i="25586"/>
  <c r="E218" i="25589"/>
  <c r="E218" i="8196"/>
  <c r="E287" i="25587"/>
  <c r="E218" i="523"/>
  <c r="E218" i="25588"/>
  <c r="E288" i="32"/>
  <c r="E287" i="25580"/>
  <c r="F75" i="25585"/>
  <c r="E287" i="4888"/>
  <c r="F287" i="3"/>
  <c r="F286" i="3"/>
  <c r="E287" i="32"/>
  <c r="E217" i="523"/>
  <c r="E286" i="4888"/>
  <c r="E217" i="25588"/>
  <c r="E286" i="25580"/>
  <c r="E217" i="25589"/>
  <c r="E217" i="8196"/>
  <c r="E286" i="25587"/>
  <c r="E285" i="4888"/>
  <c r="E216" i="25588"/>
  <c r="E216" i="25589"/>
  <c r="E216" i="8196"/>
  <c r="E285" i="25587"/>
  <c r="E286" i="32"/>
  <c r="E216" i="523"/>
  <c r="E285" i="25580"/>
  <c r="F285" i="3"/>
  <c r="E284" i="4888"/>
  <c r="E215" i="8196"/>
  <c r="E284" i="25587"/>
  <c r="E215" i="25588"/>
  <c r="E285" i="32"/>
  <c r="E215" i="523"/>
  <c r="E284" i="25580"/>
  <c r="F283" i="3"/>
  <c r="E283" i="4888"/>
  <c r="E214" i="25588"/>
  <c r="E214" i="25589"/>
  <c r="E214" i="8196"/>
  <c r="E283" i="25587"/>
  <c r="E284" i="32"/>
  <c r="E214" i="523"/>
  <c r="E283" i="25580"/>
  <c r="F282" i="3"/>
  <c r="E213" i="25589"/>
  <c r="E282" i="25587"/>
  <c r="E283" i="32"/>
  <c r="E213" i="523"/>
  <c r="E282" i="25580"/>
  <c r="E213" i="8196"/>
  <c r="E282" i="4888"/>
  <c r="E213" i="25588"/>
  <c r="L65" i="1"/>
  <c r="E282" i="32"/>
  <c r="E212" i="523"/>
  <c r="E281" i="25580"/>
  <c r="F281" i="3"/>
  <c r="E281" i="4888"/>
  <c r="E212" i="25588"/>
  <c r="E212" i="25589"/>
  <c r="E212" i="8196"/>
  <c r="E281" i="25587"/>
  <c r="F280" i="3"/>
  <c r="E211" i="25589"/>
  <c r="E211" i="8196"/>
  <c r="E280" i="25587"/>
  <c r="E281" i="32"/>
  <c r="E211" i="523"/>
  <c r="E280" i="25580"/>
  <c r="E280" i="4888"/>
  <c r="E211" i="25588"/>
  <c r="F279" i="3"/>
  <c r="E280" i="32"/>
  <c r="E210" i="523"/>
  <c r="E279" i="25580"/>
  <c r="E210" i="25589"/>
  <c r="E279" i="25587"/>
  <c r="E279" i="4888"/>
  <c r="E210" i="25588"/>
  <c r="E210" i="8196"/>
  <c r="N534" i="1"/>
  <c r="B207" i="523"/>
  <c r="H207" i="523" s="1"/>
  <c r="L375" i="1"/>
  <c r="E278" i="3"/>
  <c r="F278" i="3"/>
  <c r="L1099" i="1"/>
  <c r="D278" i="4888"/>
  <c r="E278" i="4888"/>
  <c r="D209" i="523"/>
  <c r="E209" i="523"/>
  <c r="D83" i="25583"/>
  <c r="D65" i="25585"/>
  <c r="D209" i="2316"/>
  <c r="D278" i="25580"/>
  <c r="E278" i="25580"/>
  <c r="D79" i="25584"/>
  <c r="P289" i="1"/>
  <c r="E209" i="25588"/>
  <c r="D209" i="25588"/>
  <c r="E209" i="25589"/>
  <c r="D209" i="25589"/>
  <c r="D209" i="8196"/>
  <c r="E209" i="8196"/>
  <c r="D278" i="25587"/>
  <c r="E278" i="25587"/>
  <c r="C276" i="3"/>
  <c r="D83" i="25582"/>
  <c r="B276" i="25587"/>
  <c r="H276" i="25587" s="1"/>
  <c r="L1195" i="1"/>
  <c r="L1477" i="1"/>
  <c r="L189" i="1"/>
  <c r="B156" i="768"/>
  <c r="H156" i="768" s="1"/>
  <c r="D208" i="25588"/>
  <c r="D157" i="10285"/>
  <c r="D208" i="2316"/>
  <c r="D208" i="2048"/>
  <c r="D278" i="32"/>
  <c r="D277" i="4888"/>
  <c r="B207" i="8196"/>
  <c r="H207" i="8196" s="1"/>
  <c r="N581" i="1"/>
  <c r="L127" i="1"/>
  <c r="B276" i="2561"/>
  <c r="H276" i="2561" s="1"/>
  <c r="B207" i="512"/>
  <c r="H207" i="512" s="1"/>
  <c r="D277" i="10541"/>
  <c r="B207" i="25589"/>
  <c r="H207" i="25589" s="1"/>
  <c r="D65" i="25586"/>
  <c r="B207" i="25590"/>
  <c r="H207" i="25590" s="1"/>
  <c r="D208" i="2819"/>
  <c r="B276" i="25580"/>
  <c r="H276" i="25580" s="1"/>
  <c r="D64" i="25585"/>
  <c r="B77" i="25584"/>
  <c r="B81" i="25583"/>
  <c r="B81" i="25582"/>
  <c r="B63" i="25586"/>
  <c r="H63" i="25586" s="1"/>
  <c r="A63" i="25586"/>
  <c r="A63" i="25585" s="1"/>
  <c r="A275" i="25580" s="1"/>
  <c r="A275" i="4888" s="1"/>
  <c r="A155" i="10285" s="1"/>
  <c r="A155" i="768" s="1"/>
  <c r="A275" i="20994" s="1"/>
  <c r="A206" i="9216" s="1"/>
  <c r="A206" i="1024" s="1"/>
  <c r="A276" i="32" s="1"/>
  <c r="A206" i="2316" s="1"/>
  <c r="A206" i="2819" s="1"/>
  <c r="A275" i="2561" s="1"/>
  <c r="A206" i="523" s="1"/>
  <c r="A275" i="10541" s="1"/>
  <c r="A206" i="2048" s="1"/>
  <c r="A81" i="25582" s="1"/>
  <c r="A81" i="25583" s="1"/>
  <c r="A77" i="25584" s="1"/>
  <c r="A206" i="8196" s="1"/>
  <c r="A206" i="512" s="1"/>
  <c r="A275" i="25587" s="1"/>
  <c r="A206" i="25588" s="1"/>
  <c r="A206" i="25589" s="1"/>
  <c r="A206" i="25590" s="1"/>
  <c r="I1212" i="1"/>
  <c r="I659" i="1"/>
  <c r="J659" i="1" s="1"/>
  <c r="I597" i="1"/>
  <c r="J597" i="1" s="1"/>
  <c r="K64" i="1"/>
  <c r="K1617" i="1"/>
  <c r="L1617" i="1" s="1"/>
  <c r="K1476" i="1"/>
  <c r="L1476" i="1" s="1"/>
  <c r="M1429" i="1"/>
  <c r="B155" i="768" s="1"/>
  <c r="H155" i="768" s="1"/>
  <c r="K1397" i="1"/>
  <c r="B206" i="512" s="1"/>
  <c r="H206" i="512" s="1"/>
  <c r="K1194" i="1"/>
  <c r="L1194" i="1" s="1"/>
  <c r="K1146" i="1"/>
  <c r="B206" i="523" s="1"/>
  <c r="H206" i="523" s="1"/>
  <c r="K1098" i="1"/>
  <c r="L1098" i="1" s="1"/>
  <c r="K1033" i="1"/>
  <c r="L1033" i="1" s="1"/>
  <c r="K909" i="1"/>
  <c r="L909" i="1" s="1"/>
  <c r="K847" i="1"/>
  <c r="B206" i="8196" s="1"/>
  <c r="H206" i="8196" s="1"/>
  <c r="M580" i="1"/>
  <c r="B155" i="10285" s="1"/>
  <c r="H155" i="10285" s="1"/>
  <c r="M533" i="1"/>
  <c r="B275" i="10541" s="1"/>
  <c r="H275" i="10541" s="1"/>
  <c r="K438" i="1"/>
  <c r="L438" i="1" s="1"/>
  <c r="K374" i="1"/>
  <c r="B206" i="2316" s="1"/>
  <c r="H206" i="2316" s="1"/>
  <c r="O288" i="1"/>
  <c r="B276" i="32" s="1"/>
  <c r="K188" i="1"/>
  <c r="B275" i="4888" s="1"/>
  <c r="K126" i="1"/>
  <c r="K1570" i="1"/>
  <c r="L1570" i="1" s="1"/>
  <c r="K1523" i="1"/>
  <c r="L1523" i="1" s="1"/>
  <c r="L1397" i="1"/>
  <c r="J1212" i="1"/>
  <c r="K971" i="1"/>
  <c r="L971" i="1" s="1"/>
  <c r="H275" i="4888" l="1"/>
  <c r="L1146" i="1"/>
  <c r="G219" i="1024"/>
  <c r="H231" i="1024"/>
  <c r="H231" i="9216"/>
  <c r="H300" i="20994"/>
  <c r="H300" i="3"/>
  <c r="G231" i="8196"/>
  <c r="G231" i="523"/>
  <c r="G231" i="512"/>
  <c r="G300" i="25580"/>
  <c r="G231" i="25589"/>
  <c r="G231" i="25590"/>
  <c r="G180" i="768"/>
  <c r="G300" i="25587"/>
  <c r="G105" i="25582"/>
  <c r="G105" i="25583"/>
  <c r="G101" i="25584"/>
  <c r="G300" i="32"/>
  <c r="G179" i="768"/>
  <c r="G230" i="2316"/>
  <c r="G230" i="8196"/>
  <c r="G230" i="523"/>
  <c r="G179" i="10285"/>
  <c r="G299" i="4888"/>
  <c r="G299" i="10541"/>
  <c r="G230" i="512"/>
  <c r="B206" i="1024"/>
  <c r="E208" i="1024"/>
  <c r="E277" i="20994"/>
  <c r="G219" i="9216"/>
  <c r="E208" i="9216"/>
  <c r="G288" i="20994"/>
  <c r="B275" i="20994"/>
  <c r="B206" i="9216"/>
  <c r="F288" i="25580"/>
  <c r="F219" i="25589"/>
  <c r="F168" i="768"/>
  <c r="F288" i="25587"/>
  <c r="F219" i="523"/>
  <c r="F219" i="25590"/>
  <c r="F219" i="512"/>
  <c r="F219" i="8196"/>
  <c r="G218" i="1024"/>
  <c r="F93" i="25582"/>
  <c r="F287" i="10541"/>
  <c r="F218" i="512"/>
  <c r="F218" i="8196"/>
  <c r="F218" i="523"/>
  <c r="F93" i="25583"/>
  <c r="F89" i="25584"/>
  <c r="F287" i="4888"/>
  <c r="F288" i="32"/>
  <c r="F167" i="10285"/>
  <c r="F167" i="768"/>
  <c r="F218" i="2316"/>
  <c r="F75" i="25586"/>
  <c r="D157" i="768"/>
  <c r="C275" i="3"/>
  <c r="B275" i="25580"/>
  <c r="H275" i="25580" s="1"/>
  <c r="D208" i="523"/>
  <c r="D277" i="25587"/>
  <c r="L374" i="1"/>
  <c r="E277" i="3"/>
  <c r="L64" i="1"/>
  <c r="N533" i="1"/>
  <c r="D78" i="25584"/>
  <c r="L188" i="1"/>
  <c r="N580" i="1"/>
  <c r="N1429" i="1"/>
  <c r="L847" i="1"/>
  <c r="D277" i="32"/>
  <c r="D276" i="10541"/>
  <c r="D156" i="10285"/>
  <c r="D207" i="8196"/>
  <c r="D207" i="523"/>
  <c r="D276" i="4888"/>
  <c r="L126" i="1"/>
  <c r="B206" i="2819"/>
  <c r="H206" i="2819" s="1"/>
  <c r="B275" i="2561"/>
  <c r="H275" i="2561" s="1"/>
  <c r="D277" i="25580"/>
  <c r="D208" i="512"/>
  <c r="D208" i="8196"/>
  <c r="B275" i="25587"/>
  <c r="H275" i="25587" s="1"/>
  <c r="D208" i="25589"/>
  <c r="P288" i="1"/>
  <c r="B206" i="25588"/>
  <c r="H206" i="25588" s="1"/>
  <c r="B206" i="2048"/>
  <c r="H206" i="2048" s="1"/>
  <c r="B206" i="25589"/>
  <c r="H206" i="25589" s="1"/>
  <c r="B206" i="25590"/>
  <c r="H206" i="25590" s="1"/>
  <c r="D208" i="25590"/>
  <c r="D64" i="25586"/>
  <c r="D207" i="512"/>
  <c r="D82" i="25583"/>
  <c r="D82" i="25582"/>
  <c r="D207" i="2316"/>
  <c r="D156" i="768"/>
  <c r="B76" i="25584"/>
  <c r="B80" i="25583"/>
  <c r="B80" i="25582"/>
  <c r="B62" i="25585"/>
  <c r="H62" i="25585" s="1"/>
  <c r="B62" i="25586"/>
  <c r="H62" i="25586" s="1"/>
  <c r="A62" i="25586"/>
  <c r="A62" i="25585" s="1"/>
  <c r="A274" i="25580" s="1"/>
  <c r="A274" i="4888" s="1"/>
  <c r="A154" i="10285" s="1"/>
  <c r="A154" i="768" s="1"/>
  <c r="A274" i="20994" s="1"/>
  <c r="A205" i="9216" s="1"/>
  <c r="A205" i="1024" s="1"/>
  <c r="A275" i="32" s="1"/>
  <c r="A205" i="2316" s="1"/>
  <c r="A205" i="2819" s="1"/>
  <c r="A274" i="2561" s="1"/>
  <c r="A205" i="523" s="1"/>
  <c r="A274" i="10541" s="1"/>
  <c r="A205" i="2048" s="1"/>
  <c r="A80" i="25582" s="1"/>
  <c r="A80" i="25583" s="1"/>
  <c r="A76" i="25584" s="1"/>
  <c r="A205" i="8196" s="1"/>
  <c r="A205" i="512" s="1"/>
  <c r="A274" i="25587" s="1"/>
  <c r="A205" i="25588" s="1"/>
  <c r="A205" i="25589" s="1"/>
  <c r="A205" i="25590" s="1"/>
  <c r="K125" i="1"/>
  <c r="K187" i="1"/>
  <c r="B274" i="4888" s="1"/>
  <c r="O287" i="1"/>
  <c r="B275" i="32" s="1"/>
  <c r="K373" i="1"/>
  <c r="B205" i="2316" s="1"/>
  <c r="H205" i="2316" s="1"/>
  <c r="K437" i="1"/>
  <c r="B274" i="2561" s="1"/>
  <c r="H274" i="2561" s="1"/>
  <c r="M532" i="1"/>
  <c r="N532" i="1" s="1"/>
  <c r="M579" i="1"/>
  <c r="N579" i="1" s="1"/>
  <c r="K846" i="1"/>
  <c r="L846" i="1" s="1"/>
  <c r="K908" i="1"/>
  <c r="L908" i="1" s="1"/>
  <c r="K1032" i="1"/>
  <c r="B205" i="25589" s="1"/>
  <c r="H205" i="25589" s="1"/>
  <c r="K1097" i="1"/>
  <c r="B205" i="2819" s="1"/>
  <c r="H205" i="2819" s="1"/>
  <c r="K1145" i="1"/>
  <c r="B205" i="523" s="1"/>
  <c r="H205" i="523" s="1"/>
  <c r="K1193" i="1"/>
  <c r="B205" i="2048" s="1"/>
  <c r="H205" i="2048" s="1"/>
  <c r="K1396" i="1"/>
  <c r="L1396" i="1" s="1"/>
  <c r="M1428" i="1"/>
  <c r="N1428" i="1" s="1"/>
  <c r="K1475" i="1"/>
  <c r="B205" i="25588" s="1"/>
  <c r="H205" i="25588" s="1"/>
  <c r="K1616" i="1"/>
  <c r="L1616" i="1" s="1"/>
  <c r="K63" i="1"/>
  <c r="I596" i="1"/>
  <c r="J596" i="1" s="1"/>
  <c r="I658" i="1"/>
  <c r="J658" i="1" s="1"/>
  <c r="I1211" i="1"/>
  <c r="J1211" i="1" s="1"/>
  <c r="K1569" i="1"/>
  <c r="B205" i="1024" s="1"/>
  <c r="K1522" i="1"/>
  <c r="L1522" i="1" s="1"/>
  <c r="K970" i="1"/>
  <c r="L970" i="1" s="1"/>
  <c r="H274" i="4888" l="1"/>
  <c r="E276" i="20994"/>
  <c r="E207" i="1024"/>
  <c r="H299" i="3"/>
  <c r="H230" i="9216"/>
  <c r="H299" i="20994"/>
  <c r="H230" i="1024"/>
  <c r="G230" i="2048"/>
  <c r="G299" i="25587"/>
  <c r="G230" i="25589"/>
  <c r="G230" i="25588"/>
  <c r="G230" i="2819"/>
  <c r="G299" i="25580"/>
  <c r="G230" i="25590"/>
  <c r="H229" i="1024"/>
  <c r="G104" i="25583"/>
  <c r="G100" i="25584"/>
  <c r="G104" i="25582"/>
  <c r="G229" i="2048"/>
  <c r="G229" i="25588"/>
  <c r="G229" i="523"/>
  <c r="G229" i="2316"/>
  <c r="G229" i="2819"/>
  <c r="G229" i="25589"/>
  <c r="G298" i="4888"/>
  <c r="G287" i="20994"/>
  <c r="B205" i="9216"/>
  <c r="E207" i="9216"/>
  <c r="G218" i="9216"/>
  <c r="B274" i="20994"/>
  <c r="L1569" i="1"/>
  <c r="F218" i="25590"/>
  <c r="F218" i="25589"/>
  <c r="F218" i="2048"/>
  <c r="F287" i="25587"/>
  <c r="F218" i="25588"/>
  <c r="F218" i="2819"/>
  <c r="F287" i="25580"/>
  <c r="G217" i="1024"/>
  <c r="G287" i="3"/>
  <c r="F92" i="25582"/>
  <c r="F92" i="25583"/>
  <c r="F88" i="25584"/>
  <c r="F217" i="2316"/>
  <c r="F217" i="25588"/>
  <c r="F217" i="523"/>
  <c r="F217" i="2819"/>
  <c r="F287" i="32"/>
  <c r="F74" i="25586"/>
  <c r="F217" i="25589"/>
  <c r="F286" i="4888"/>
  <c r="F74" i="25585"/>
  <c r="F217" i="2048"/>
  <c r="E276" i="3"/>
  <c r="L63" i="1"/>
  <c r="L373" i="1"/>
  <c r="D276" i="25580"/>
  <c r="L1475" i="1"/>
  <c r="D207" i="25590"/>
  <c r="D207" i="2819"/>
  <c r="L437" i="1"/>
  <c r="D207" i="25589"/>
  <c r="L1145" i="1"/>
  <c r="D207" i="25588"/>
  <c r="D207" i="2048"/>
  <c r="D276" i="25587"/>
  <c r="D63" i="25585"/>
  <c r="E206" i="1024"/>
  <c r="C274" i="3"/>
  <c r="D77" i="25584"/>
  <c r="D81" i="25582"/>
  <c r="D81" i="25583"/>
  <c r="L187" i="1"/>
  <c r="L1032" i="1"/>
  <c r="B205" i="8196"/>
  <c r="H205" i="8196" s="1"/>
  <c r="L1193" i="1"/>
  <c r="D63" i="25586"/>
  <c r="D276" i="32"/>
  <c r="D206" i="2316"/>
  <c r="D275" i="4888"/>
  <c r="D206" i="523"/>
  <c r="D206" i="2819"/>
  <c r="D206" i="25588"/>
  <c r="L125" i="1"/>
  <c r="B154" i="768"/>
  <c r="H154" i="768" s="1"/>
  <c r="B274" i="25587"/>
  <c r="H274" i="25587" s="1"/>
  <c r="B274" i="10541"/>
  <c r="H274" i="10541" s="1"/>
  <c r="D206" i="25589"/>
  <c r="L1097" i="1"/>
  <c r="B205" i="25590"/>
  <c r="H205" i="25590" s="1"/>
  <c r="P287" i="1"/>
  <c r="B274" i="25580"/>
  <c r="H274" i="25580" s="1"/>
  <c r="B154" i="10285"/>
  <c r="H154" i="10285" s="1"/>
  <c r="D206" i="2048"/>
  <c r="B205" i="512"/>
  <c r="H205" i="512" s="1"/>
  <c r="B61" i="25585"/>
  <c r="H61" i="25585" s="1"/>
  <c r="B61" i="25586"/>
  <c r="H61" i="25586" s="1"/>
  <c r="B75" i="25584"/>
  <c r="B79" i="25583"/>
  <c r="B79" i="25582"/>
  <c r="A61" i="25586"/>
  <c r="A61" i="25585" s="1"/>
  <c r="A273" i="25580" s="1"/>
  <c r="A273" i="4888" s="1"/>
  <c r="A153" i="10285" s="1"/>
  <c r="A153" i="768" s="1"/>
  <c r="A273" i="20994" s="1"/>
  <c r="A204" i="9216" s="1"/>
  <c r="A204" i="1024" s="1"/>
  <c r="A274" i="32" s="1"/>
  <c r="A204" i="2316" s="1"/>
  <c r="A204" i="2819" s="1"/>
  <c r="A273" i="2561" s="1"/>
  <c r="A204" i="523" s="1"/>
  <c r="A273" i="10541" s="1"/>
  <c r="A204" i="2048" s="1"/>
  <c r="A79" i="25582" s="1"/>
  <c r="A79" i="25583" s="1"/>
  <c r="A75" i="25584" s="1"/>
  <c r="A204" i="8196" s="1"/>
  <c r="A204" i="512" s="1"/>
  <c r="A273" i="25587" s="1"/>
  <c r="A204" i="25588" s="1"/>
  <c r="A204" i="25589" s="1"/>
  <c r="A204" i="25590" s="1"/>
  <c r="K124" i="1"/>
  <c r="K186" i="1"/>
  <c r="B273" i="4888" s="1"/>
  <c r="O286" i="1"/>
  <c r="B274" i="32" s="1"/>
  <c r="K372" i="1"/>
  <c r="B204" i="2316" s="1"/>
  <c r="H204" i="2316" s="1"/>
  <c r="K436" i="1"/>
  <c r="B273" i="2561" s="1"/>
  <c r="H273" i="2561" s="1"/>
  <c r="M531" i="1"/>
  <c r="B273" i="10541" s="1"/>
  <c r="H273" i="10541" s="1"/>
  <c r="M578" i="1"/>
  <c r="B153" i="10285" s="1"/>
  <c r="H153" i="10285" s="1"/>
  <c r="K845" i="1"/>
  <c r="L845" i="1" s="1"/>
  <c r="K907" i="1"/>
  <c r="B273" i="25587" s="1"/>
  <c r="H273" i="25587" s="1"/>
  <c r="K1031" i="1"/>
  <c r="L1031" i="1" s="1"/>
  <c r="K1096" i="1"/>
  <c r="B204" i="2819" s="1"/>
  <c r="H204" i="2819" s="1"/>
  <c r="K1144" i="1"/>
  <c r="B204" i="523" s="1"/>
  <c r="H204" i="523" s="1"/>
  <c r="K1192" i="1"/>
  <c r="B204" i="2048" s="1"/>
  <c r="H204" i="2048" s="1"/>
  <c r="K1395" i="1"/>
  <c r="L1395" i="1" s="1"/>
  <c r="M1427" i="1"/>
  <c r="B153" i="768" s="1"/>
  <c r="H153" i="768" s="1"/>
  <c r="K1474" i="1"/>
  <c r="L1474" i="1" s="1"/>
  <c r="K1615" i="1"/>
  <c r="B204" i="25590" s="1"/>
  <c r="H204" i="25590" s="1"/>
  <c r="K62" i="1"/>
  <c r="I595" i="1"/>
  <c r="J595" i="1" s="1"/>
  <c r="I657" i="1"/>
  <c r="J657" i="1" s="1"/>
  <c r="I1210" i="1"/>
  <c r="J1210" i="1" s="1"/>
  <c r="K1568" i="1"/>
  <c r="L1568" i="1" s="1"/>
  <c r="K1521" i="1"/>
  <c r="L1521" i="1" s="1"/>
  <c r="K969" i="1"/>
  <c r="L969" i="1" s="1"/>
  <c r="H273" i="4888" l="1"/>
  <c r="H229" i="9216"/>
  <c r="H298" i="20994"/>
  <c r="H298" i="3"/>
  <c r="G298" i="25580"/>
  <c r="G229" i="512"/>
  <c r="G298" i="10541"/>
  <c r="G229" i="8196"/>
  <c r="G229" i="25590"/>
  <c r="G298" i="25587"/>
  <c r="G178" i="10285"/>
  <c r="G178" i="768"/>
  <c r="G103" i="25583"/>
  <c r="G103" i="25582"/>
  <c r="G99" i="25584"/>
  <c r="G177" i="768"/>
  <c r="G228" i="2819"/>
  <c r="G177" i="10285"/>
  <c r="G297" i="10541"/>
  <c r="G297" i="4888"/>
  <c r="G228" i="25590"/>
  <c r="G228" i="2048"/>
  <c r="G297" i="25587"/>
  <c r="G228" i="523"/>
  <c r="G228" i="2316"/>
  <c r="E275" i="20994"/>
  <c r="G286" i="20994"/>
  <c r="B273" i="20994"/>
  <c r="B204" i="9216"/>
  <c r="B204" i="1024"/>
  <c r="E206" i="9216"/>
  <c r="G217" i="9216"/>
  <c r="G286" i="3"/>
  <c r="F217" i="25590"/>
  <c r="F286" i="25587"/>
  <c r="F166" i="10285"/>
  <c r="F166" i="768"/>
  <c r="F286" i="25580"/>
  <c r="F217" i="512"/>
  <c r="F286" i="10541"/>
  <c r="F217" i="8196"/>
  <c r="F87" i="25584"/>
  <c r="F91" i="25583"/>
  <c r="F91" i="25582"/>
  <c r="F216" i="523"/>
  <c r="F216" i="2316"/>
  <c r="F165" i="768"/>
  <c r="F216" i="2819"/>
  <c r="F165" i="10285"/>
  <c r="F286" i="32"/>
  <c r="F285" i="10541"/>
  <c r="F285" i="4888"/>
  <c r="F216" i="25590"/>
  <c r="F216" i="2048"/>
  <c r="F285" i="25587"/>
  <c r="F73" i="25585"/>
  <c r="F73" i="25586"/>
  <c r="L186" i="1"/>
  <c r="C273" i="3"/>
  <c r="B273" i="25580"/>
  <c r="H273" i="25580" s="1"/>
  <c r="L124" i="1"/>
  <c r="L1615" i="1"/>
  <c r="L907" i="1"/>
  <c r="L436" i="1"/>
  <c r="N578" i="1"/>
  <c r="L1192" i="1"/>
  <c r="L1144" i="1"/>
  <c r="P286" i="1"/>
  <c r="L372" i="1"/>
  <c r="N1427" i="1"/>
  <c r="D206" i="8196"/>
  <c r="L62" i="1"/>
  <c r="D80" i="25582"/>
  <c r="E275" i="3"/>
  <c r="D274" i="4888"/>
  <c r="D155" i="768"/>
  <c r="D206" i="25590"/>
  <c r="D206" i="512"/>
  <c r="N531" i="1"/>
  <c r="D155" i="10285"/>
  <c r="D275" i="10541"/>
  <c r="L1096" i="1"/>
  <c r="D275" i="25580"/>
  <c r="D275" i="25587"/>
  <c r="D76" i="25584"/>
  <c r="D80" i="25583"/>
  <c r="E274" i="20994"/>
  <c r="D205" i="2819"/>
  <c r="D274" i="25587"/>
  <c r="D205" i="523"/>
  <c r="D154" i="10285"/>
  <c r="D205" i="2048"/>
  <c r="D205" i="25590"/>
  <c r="D154" i="768"/>
  <c r="D274" i="10541"/>
  <c r="B204" i="8196"/>
  <c r="H204" i="8196" s="1"/>
  <c r="D62" i="25586"/>
  <c r="B204" i="512"/>
  <c r="H204" i="512" s="1"/>
  <c r="D205" i="2316"/>
  <c r="B204" i="25588"/>
  <c r="H204" i="25588" s="1"/>
  <c r="D62" i="25585"/>
  <c r="B204" i="25589"/>
  <c r="H204" i="25589" s="1"/>
  <c r="D275" i="32"/>
  <c r="B78" i="25582"/>
  <c r="B78" i="25583"/>
  <c r="B74" i="25584"/>
  <c r="B60" i="25585"/>
  <c r="H60" i="25585" s="1"/>
  <c r="B60" i="25586"/>
  <c r="H60" i="25586" s="1"/>
  <c r="A60" i="25586"/>
  <c r="A60" i="25585" s="1"/>
  <c r="A272" i="25580" s="1"/>
  <c r="A272" i="4888" s="1"/>
  <c r="A152" i="10285" s="1"/>
  <c r="A152" i="768" s="1"/>
  <c r="A272" i="20994" s="1"/>
  <c r="A203" i="9216" s="1"/>
  <c r="A203" i="1024" s="1"/>
  <c r="A273" i="32" s="1"/>
  <c r="A203" i="2316" s="1"/>
  <c r="A203" i="2819" s="1"/>
  <c r="A272" i="2561" s="1"/>
  <c r="A203" i="523" s="1"/>
  <c r="A272" i="10541" s="1"/>
  <c r="A203" i="2048" s="1"/>
  <c r="A78" i="25582" s="1"/>
  <c r="A78" i="25583" s="1"/>
  <c r="A74" i="25584" s="1"/>
  <c r="A203" i="8196" s="1"/>
  <c r="A203" i="512" s="1"/>
  <c r="A272" i="25587" s="1"/>
  <c r="A203" i="25588" s="1"/>
  <c r="A203" i="25589" s="1"/>
  <c r="A203" i="25590" s="1"/>
  <c r="G216" i="1024" l="1"/>
  <c r="H228" i="1024"/>
  <c r="H228" i="9216"/>
  <c r="H297" i="3"/>
  <c r="H297" i="20994"/>
  <c r="G228" i="25588"/>
  <c r="G297" i="25580"/>
  <c r="G228" i="8196"/>
  <c r="G228" i="25589"/>
  <c r="G228" i="512"/>
  <c r="G102" i="25582"/>
  <c r="G98" i="25584"/>
  <c r="G102" i="25583"/>
  <c r="G285" i="20994"/>
  <c r="E205" i="9216"/>
  <c r="G216" i="9216"/>
  <c r="E205" i="1024"/>
  <c r="F216" i="25588"/>
  <c r="F216" i="8196"/>
  <c r="F216" i="25589"/>
  <c r="F285" i="25580"/>
  <c r="F216" i="512"/>
  <c r="G285" i="3"/>
  <c r="F72" i="25585"/>
  <c r="F86" i="25584"/>
  <c r="F90" i="25583"/>
  <c r="F90" i="25582"/>
  <c r="F72" i="25586"/>
  <c r="E274" i="3"/>
  <c r="D274" i="25580"/>
  <c r="D75" i="25584"/>
  <c r="D205" i="25588"/>
  <c r="D205" i="512"/>
  <c r="D205" i="25589"/>
  <c r="D205" i="8196"/>
  <c r="D79" i="25583"/>
  <c r="D79" i="25582"/>
  <c r="D61" i="25585"/>
  <c r="D61" i="25586"/>
  <c r="K123" i="1"/>
  <c r="K185" i="1"/>
  <c r="B272" i="4888" s="1"/>
  <c r="K371" i="1"/>
  <c r="B203" i="2316" s="1"/>
  <c r="H203" i="2316" s="1"/>
  <c r="K435" i="1"/>
  <c r="B272" i="2561" s="1"/>
  <c r="H272" i="2561" s="1"/>
  <c r="M530" i="1"/>
  <c r="M577" i="1"/>
  <c r="K844" i="1"/>
  <c r="B203" i="8196" s="1"/>
  <c r="H203" i="8196" s="1"/>
  <c r="K906" i="1"/>
  <c r="B272" i="25587" s="1"/>
  <c r="H272" i="25587" s="1"/>
  <c r="K1030" i="1"/>
  <c r="B203" i="25589" s="1"/>
  <c r="H203" i="25589" s="1"/>
  <c r="K1095" i="1"/>
  <c r="B203" i="2819" s="1"/>
  <c r="H203" i="2819" s="1"/>
  <c r="K1143" i="1"/>
  <c r="B203" i="523" s="1"/>
  <c r="H203" i="523" s="1"/>
  <c r="K1191" i="1"/>
  <c r="B203" i="2048" s="1"/>
  <c r="H203" i="2048" s="1"/>
  <c r="K1394" i="1"/>
  <c r="M1426" i="1"/>
  <c r="K1473" i="1"/>
  <c r="B203" i="25588" s="1"/>
  <c r="H203" i="25588" s="1"/>
  <c r="K1614" i="1"/>
  <c r="B203" i="25590" s="1"/>
  <c r="H203" i="25590" s="1"/>
  <c r="K61" i="1"/>
  <c r="I594" i="1"/>
  <c r="J594" i="1" s="1"/>
  <c r="I656" i="1"/>
  <c r="J656" i="1" s="1"/>
  <c r="I1209" i="1"/>
  <c r="J1209" i="1" s="1"/>
  <c r="K1567" i="1"/>
  <c r="B203" i="1024" s="1"/>
  <c r="K1520" i="1"/>
  <c r="B203" i="9216" s="1"/>
  <c r="K968" i="1"/>
  <c r="B272" i="20994" s="1"/>
  <c r="H272" i="4888" l="1"/>
  <c r="L1520" i="1"/>
  <c r="L1567" i="1"/>
  <c r="H227" i="1024"/>
  <c r="H227" i="9216"/>
  <c r="H296" i="20994"/>
  <c r="G227" i="25590"/>
  <c r="G227" i="2048"/>
  <c r="G296" i="25587"/>
  <c r="G227" i="25588"/>
  <c r="G227" i="523"/>
  <c r="G227" i="8196"/>
  <c r="G227" i="2316"/>
  <c r="L371" i="1"/>
  <c r="G227" i="2819"/>
  <c r="G296" i="4888"/>
  <c r="G227" i="25589"/>
  <c r="L968" i="1"/>
  <c r="G215" i="1024"/>
  <c r="E204" i="1024"/>
  <c r="G284" i="20994"/>
  <c r="E273" i="20994"/>
  <c r="G215" i="9216"/>
  <c r="E204" i="9216"/>
  <c r="F215" i="2048"/>
  <c r="F284" i="25587"/>
  <c r="F215" i="523"/>
  <c r="F215" i="8196"/>
  <c r="F284" i="4888"/>
  <c r="F215" i="25588"/>
  <c r="F215" i="2316"/>
  <c r="L185" i="1"/>
  <c r="L1030" i="1"/>
  <c r="B272" i="25580"/>
  <c r="H272" i="25580" s="1"/>
  <c r="D204" i="25590"/>
  <c r="D204" i="25589"/>
  <c r="D204" i="25588"/>
  <c r="D273" i="25587"/>
  <c r="D204" i="8196"/>
  <c r="D204" i="2048"/>
  <c r="D204" i="523"/>
  <c r="D204" i="2819"/>
  <c r="D204" i="2316"/>
  <c r="D273" i="4888"/>
  <c r="L1143" i="1"/>
  <c r="L1191" i="1"/>
  <c r="L1095" i="1"/>
  <c r="N1426" i="1"/>
  <c r="B152" i="768"/>
  <c r="H152" i="768" s="1"/>
  <c r="N577" i="1"/>
  <c r="B152" i="10285"/>
  <c r="H152" i="10285" s="1"/>
  <c r="L435" i="1"/>
  <c r="L1614" i="1"/>
  <c r="L1394" i="1"/>
  <c r="B203" i="512"/>
  <c r="H203" i="512" s="1"/>
  <c r="N530" i="1"/>
  <c r="B272" i="10541"/>
  <c r="H272" i="10541" s="1"/>
  <c r="L844" i="1"/>
  <c r="L1473" i="1"/>
  <c r="L906" i="1"/>
  <c r="L123" i="1"/>
  <c r="L61" i="1"/>
  <c r="C272" i="3"/>
  <c r="B73" i="25584"/>
  <c r="B72" i="25584"/>
  <c r="B71" i="25584"/>
  <c r="B70" i="25584"/>
  <c r="B69" i="25584"/>
  <c r="B68" i="25584"/>
  <c r="B77" i="25583"/>
  <c r="B76" i="25583"/>
  <c r="B75" i="25583"/>
  <c r="B74" i="25583"/>
  <c r="B73" i="25583"/>
  <c r="B72" i="25583"/>
  <c r="B71" i="25582"/>
  <c r="B72" i="25582"/>
  <c r="B73" i="25582"/>
  <c r="B74" i="25582"/>
  <c r="B75" i="25582"/>
  <c r="B77" i="25582"/>
  <c r="B76" i="25582"/>
  <c r="B59" i="25585"/>
  <c r="H59" i="25585" s="1"/>
  <c r="B59" i="25586"/>
  <c r="H59" i="25586" s="1"/>
  <c r="A59" i="25586"/>
  <c r="A59" i="25585" s="1"/>
  <c r="A271" i="25580" s="1"/>
  <c r="A271" i="4888" s="1"/>
  <c r="A151" i="10285" s="1"/>
  <c r="A151" i="768" s="1"/>
  <c r="A271" i="20994" s="1"/>
  <c r="A202" i="9216" s="1"/>
  <c r="A202" i="1024" s="1"/>
  <c r="A272" i="32" s="1"/>
  <c r="A202" i="2316" s="1"/>
  <c r="A202" i="2819" s="1"/>
  <c r="A271" i="2561" s="1"/>
  <c r="A202" i="523" s="1"/>
  <c r="A271" i="10541" s="1"/>
  <c r="A202" i="2048" s="1"/>
  <c r="A77" i="25582" s="1"/>
  <c r="A77" i="25583" s="1"/>
  <c r="A73" i="25584" s="1"/>
  <c r="A202" i="8196" s="1"/>
  <c r="A202" i="512" s="1"/>
  <c r="A271" i="25587" s="1"/>
  <c r="A202" i="25588" s="1"/>
  <c r="A202" i="25589" s="1"/>
  <c r="H296" i="3" l="1"/>
  <c r="G227" i="512"/>
  <c r="G176" i="10285"/>
  <c r="G296" i="25580"/>
  <c r="G296" i="10541"/>
  <c r="G176" i="768"/>
  <c r="G97" i="25584"/>
  <c r="G101" i="25582"/>
  <c r="G101" i="25583"/>
  <c r="G96" i="25584"/>
  <c r="G100" i="25583"/>
  <c r="G100" i="25582"/>
  <c r="G95" i="25584"/>
  <c r="G99" i="25582"/>
  <c r="G99" i="25583"/>
  <c r="G98" i="25583"/>
  <c r="G98" i="25582"/>
  <c r="G94" i="25584"/>
  <c r="G97" i="25582"/>
  <c r="G93" i="25584"/>
  <c r="G97" i="25583"/>
  <c r="G92" i="25584"/>
  <c r="G96" i="25582"/>
  <c r="G96" i="25583"/>
  <c r="G95" i="25582"/>
  <c r="F284" i="10541"/>
  <c r="F215" i="512"/>
  <c r="F164" i="10285"/>
  <c r="F164" i="768"/>
  <c r="F284" i="25580"/>
  <c r="F89" i="25582"/>
  <c r="F85" i="25584"/>
  <c r="F89" i="25583"/>
  <c r="F71" i="25586"/>
  <c r="F71" i="25585"/>
  <c r="F84" i="25584"/>
  <c r="F88" i="25583"/>
  <c r="F88" i="25582"/>
  <c r="F83" i="25584"/>
  <c r="F87" i="25582"/>
  <c r="F87" i="25583"/>
  <c r="F82" i="25584"/>
  <c r="F86" i="25583"/>
  <c r="F86" i="25582"/>
  <c r="F85" i="25583"/>
  <c r="F85" i="25582"/>
  <c r="F81" i="25584"/>
  <c r="F84" i="25582"/>
  <c r="F80" i="25584"/>
  <c r="F84" i="25583"/>
  <c r="F83" i="25582"/>
  <c r="E83" i="25582"/>
  <c r="E82" i="25582"/>
  <c r="E81" i="25582"/>
  <c r="E80" i="25582"/>
  <c r="D273" i="25580"/>
  <c r="D204" i="512"/>
  <c r="E79" i="25582"/>
  <c r="D273" i="10541"/>
  <c r="D153" i="768"/>
  <c r="D153" i="10285"/>
  <c r="E273" i="3"/>
  <c r="D74" i="25584"/>
  <c r="D60" i="25586"/>
  <c r="D60" i="25585"/>
  <c r="D78" i="25583"/>
  <c r="E78" i="25582"/>
  <c r="D78" i="25582"/>
  <c r="D73" i="25584"/>
  <c r="D77" i="25583"/>
  <c r="E77" i="25582"/>
  <c r="D77" i="25582"/>
  <c r="A202" i="25590"/>
  <c r="K965" i="1"/>
  <c r="K966" i="1"/>
  <c r="K967" i="1"/>
  <c r="B271" i="20994" s="1"/>
  <c r="K1519" i="1"/>
  <c r="K1566" i="1"/>
  <c r="K122" i="1"/>
  <c r="K184" i="1"/>
  <c r="B271" i="4888" s="1"/>
  <c r="K370" i="1"/>
  <c r="B202" i="2316" s="1"/>
  <c r="H202" i="2316" s="1"/>
  <c r="O284" i="1"/>
  <c r="B272" i="32" s="1"/>
  <c r="K434" i="1"/>
  <c r="B271" i="2561" s="1"/>
  <c r="H271" i="2561" s="1"/>
  <c r="M529" i="1"/>
  <c r="B271" i="10541" s="1"/>
  <c r="H271" i="10541" s="1"/>
  <c r="M576" i="1"/>
  <c r="K843" i="1"/>
  <c r="K905" i="1"/>
  <c r="B271" i="25587" s="1"/>
  <c r="H271" i="25587" s="1"/>
  <c r="K1029" i="1"/>
  <c r="B202" i="25589" s="1"/>
  <c r="H202" i="25589" s="1"/>
  <c r="K1094" i="1"/>
  <c r="B202" i="2819" s="1"/>
  <c r="H202" i="2819" s="1"/>
  <c r="K1142" i="1"/>
  <c r="B202" i="523" s="1"/>
  <c r="H202" i="523" s="1"/>
  <c r="K1190" i="1"/>
  <c r="B202" i="2048" s="1"/>
  <c r="H202" i="2048" s="1"/>
  <c r="K1393" i="1"/>
  <c r="M1425" i="1"/>
  <c r="K1472" i="1"/>
  <c r="K1613" i="1"/>
  <c r="B202" i="25590" s="1"/>
  <c r="H202" i="25590" s="1"/>
  <c r="K60" i="1"/>
  <c r="I593" i="1"/>
  <c r="J593" i="1" s="1"/>
  <c r="I655" i="1"/>
  <c r="J655" i="1" s="1"/>
  <c r="I1208" i="1"/>
  <c r="J1208" i="1" s="1"/>
  <c r="H271" i="4888" l="1"/>
  <c r="H295" i="20994"/>
  <c r="G226" i="2316"/>
  <c r="G295" i="10541"/>
  <c r="G295" i="4888"/>
  <c r="G226" i="2819"/>
  <c r="G226" i="25589"/>
  <c r="G226" i="25590"/>
  <c r="G226" i="2048"/>
  <c r="G295" i="25587"/>
  <c r="G226" i="523"/>
  <c r="G296" i="32"/>
  <c r="L1519" i="1"/>
  <c r="B202" i="9216"/>
  <c r="G283" i="20994"/>
  <c r="L1566" i="1"/>
  <c r="B202" i="1024"/>
  <c r="E272" i="20994"/>
  <c r="F214" i="2819"/>
  <c r="F214" i="2316"/>
  <c r="F214" i="25589"/>
  <c r="F283" i="10541"/>
  <c r="F283" i="4888"/>
  <c r="F214" i="25590"/>
  <c r="F214" i="2048"/>
  <c r="F283" i="25587"/>
  <c r="F214" i="523"/>
  <c r="F284" i="32"/>
  <c r="C271" i="3"/>
  <c r="L184" i="1"/>
  <c r="L905" i="1"/>
  <c r="L1142" i="1"/>
  <c r="P284" i="1"/>
  <c r="L122" i="1"/>
  <c r="D272" i="10541"/>
  <c r="N529" i="1"/>
  <c r="D203" i="523"/>
  <c r="D203" i="2048"/>
  <c r="L434" i="1"/>
  <c r="D203" i="2819"/>
  <c r="D203" i="2316"/>
  <c r="D203" i="25589"/>
  <c r="D203" i="25590"/>
  <c r="D272" i="25587"/>
  <c r="L1029" i="1"/>
  <c r="D272" i="4888"/>
  <c r="L1190" i="1"/>
  <c r="L60" i="1"/>
  <c r="L1094" i="1"/>
  <c r="L370" i="1"/>
  <c r="B271" i="25580"/>
  <c r="H271" i="25580" s="1"/>
  <c r="L1472" i="1"/>
  <c r="B202" i="25588"/>
  <c r="H202" i="25588" s="1"/>
  <c r="L843" i="1"/>
  <c r="B202" i="8196"/>
  <c r="H202" i="8196" s="1"/>
  <c r="N576" i="1"/>
  <c r="B151" i="10285"/>
  <c r="H151" i="10285" s="1"/>
  <c r="N1425" i="1"/>
  <c r="B151" i="768"/>
  <c r="H151" i="768" s="1"/>
  <c r="L1613" i="1"/>
  <c r="L1393" i="1"/>
  <c r="B202" i="512"/>
  <c r="H202" i="512" s="1"/>
  <c r="L967" i="1"/>
  <c r="I1207" i="1"/>
  <c r="I654" i="1"/>
  <c r="I592" i="1"/>
  <c r="H226" i="9216" l="1"/>
  <c r="H226" i="1024"/>
  <c r="H295" i="3"/>
  <c r="G175" i="768"/>
  <c r="G295" i="25580"/>
  <c r="G226" i="8196"/>
  <c r="G226" i="512"/>
  <c r="G175" i="10285"/>
  <c r="G226" i="25588"/>
  <c r="G214" i="9216"/>
  <c r="E203" i="9216"/>
  <c r="G214" i="1024"/>
  <c r="E203" i="1024"/>
  <c r="G283" i="3"/>
  <c r="F163" i="768"/>
  <c r="F214" i="8196"/>
  <c r="F283" i="25580"/>
  <c r="F214" i="512"/>
  <c r="F163" i="10285"/>
  <c r="F214" i="25588"/>
  <c r="E272" i="3"/>
  <c r="D152" i="10285"/>
  <c r="D203" i="8196"/>
  <c r="D203" i="25588"/>
  <c r="D152" i="768"/>
  <c r="D272" i="25580"/>
  <c r="D203" i="512"/>
  <c r="B58" i="25585"/>
  <c r="H58" i="25585" s="1"/>
  <c r="B58" i="25586"/>
  <c r="H58" i="25586" s="1"/>
  <c r="A58" i="25586"/>
  <c r="A58" i="25585" s="1"/>
  <c r="A270" i="25580" s="1"/>
  <c r="A270" i="4888" s="1"/>
  <c r="A150" i="10285" s="1"/>
  <c r="A150" i="768" s="1"/>
  <c r="A270" i="20994" s="1"/>
  <c r="A201" i="9216" s="1"/>
  <c r="A201" i="1024" s="1"/>
  <c r="A271" i="32" s="1"/>
  <c r="A201" i="2316" s="1"/>
  <c r="A201" i="2819" s="1"/>
  <c r="A270" i="2561" s="1"/>
  <c r="A201" i="523" s="1"/>
  <c r="A270" i="10541" s="1"/>
  <c r="A201" i="2048" s="1"/>
  <c r="A76" i="25582" s="1"/>
  <c r="A76" i="25583" s="1"/>
  <c r="A72" i="25584" s="1"/>
  <c r="A201" i="8196" s="1"/>
  <c r="A201" i="512" s="1"/>
  <c r="A270" i="25587" s="1"/>
  <c r="A201" i="25588" s="1"/>
  <c r="A201" i="25589" s="1"/>
  <c r="A201" i="25590" s="1"/>
  <c r="K1565" i="1"/>
  <c r="B201" i="1024" s="1"/>
  <c r="K1518" i="1"/>
  <c r="B201" i="9216" s="1"/>
  <c r="B270" i="20994"/>
  <c r="H225" i="1024" l="1"/>
  <c r="H225" i="9216"/>
  <c r="H294" i="20994"/>
  <c r="G213" i="1024"/>
  <c r="G213" i="9216"/>
  <c r="G282" i="20994"/>
  <c r="F70" i="25586"/>
  <c r="F70" i="25585"/>
  <c r="E202" i="1024"/>
  <c r="E202" i="9216"/>
  <c r="E271" i="20994"/>
  <c r="D59" i="25586"/>
  <c r="D59" i="25585"/>
  <c r="K121" i="1"/>
  <c r="K183" i="1"/>
  <c r="B270" i="4888" s="1"/>
  <c r="O283" i="1"/>
  <c r="K369" i="1"/>
  <c r="K433" i="1"/>
  <c r="M528" i="1"/>
  <c r="B270" i="10541" s="1"/>
  <c r="H270" i="10541" s="1"/>
  <c r="M575" i="1"/>
  <c r="K842" i="1"/>
  <c r="B201" i="8196" s="1"/>
  <c r="H201" i="8196" s="1"/>
  <c r="K904" i="1"/>
  <c r="B270" i="25587" s="1"/>
  <c r="H270" i="25587" s="1"/>
  <c r="K1028" i="1"/>
  <c r="K1093" i="1"/>
  <c r="K1141" i="1"/>
  <c r="K1189" i="1"/>
  <c r="B201" i="2048" s="1"/>
  <c r="H201" i="2048" s="1"/>
  <c r="K1392" i="1"/>
  <c r="B201" i="512" s="1"/>
  <c r="H201" i="512" s="1"/>
  <c r="M1424" i="1"/>
  <c r="B150" i="768" s="1"/>
  <c r="H150" i="768" s="1"/>
  <c r="K1471" i="1"/>
  <c r="B201" i="25588" s="1"/>
  <c r="H201" i="25588" s="1"/>
  <c r="K1612" i="1"/>
  <c r="K59" i="1"/>
  <c r="J1207" i="1"/>
  <c r="L1565" i="1"/>
  <c r="L1518" i="1"/>
  <c r="L966" i="1"/>
  <c r="J654" i="1"/>
  <c r="J592" i="1"/>
  <c r="H270" i="4888" l="1"/>
  <c r="G294" i="4888"/>
  <c r="G225" i="512"/>
  <c r="G225" i="2048"/>
  <c r="G294" i="25587"/>
  <c r="G225" i="25588"/>
  <c r="G225" i="8196"/>
  <c r="G294" i="10541"/>
  <c r="G174" i="768"/>
  <c r="F162" i="768"/>
  <c r="F213" i="512"/>
  <c r="F282" i="10541"/>
  <c r="F282" i="4888"/>
  <c r="F213" i="2048"/>
  <c r="F282" i="25587"/>
  <c r="F213" i="25588"/>
  <c r="F213" i="8196"/>
  <c r="L1189" i="1"/>
  <c r="N1424" i="1"/>
  <c r="L1471" i="1"/>
  <c r="D271" i="10541"/>
  <c r="L183" i="1"/>
  <c r="D202" i="512"/>
  <c r="D202" i="2048"/>
  <c r="D271" i="4888"/>
  <c r="D271" i="25587"/>
  <c r="B270" i="25580"/>
  <c r="H270" i="25580" s="1"/>
  <c r="L1392" i="1"/>
  <c r="D202" i="25588"/>
  <c r="D202" i="8196"/>
  <c r="D151" i="768"/>
  <c r="L121" i="1"/>
  <c r="L842" i="1"/>
  <c r="L904" i="1"/>
  <c r="L433" i="1"/>
  <c r="B270" i="2561"/>
  <c r="H270" i="2561" s="1"/>
  <c r="L1141" i="1"/>
  <c r="B201" i="523"/>
  <c r="H201" i="523" s="1"/>
  <c r="L1093" i="1"/>
  <c r="B201" i="2819"/>
  <c r="H201" i="2819" s="1"/>
  <c r="P283" i="1"/>
  <c r="B271" i="32"/>
  <c r="L1028" i="1"/>
  <c r="B201" i="25589"/>
  <c r="H201" i="25589" s="1"/>
  <c r="N528" i="1"/>
  <c r="L1612" i="1"/>
  <c r="B201" i="25590"/>
  <c r="H201" i="25590" s="1"/>
  <c r="L59" i="1"/>
  <c r="C270" i="3"/>
  <c r="N575" i="1"/>
  <c r="B150" i="10285"/>
  <c r="H150" i="10285" s="1"/>
  <c r="L369" i="1"/>
  <c r="B201" i="2316"/>
  <c r="H201" i="2316" s="1"/>
  <c r="B56" i="25585"/>
  <c r="H56" i="25585" s="1"/>
  <c r="B57" i="25585"/>
  <c r="H57" i="25585" s="1"/>
  <c r="B56" i="25586"/>
  <c r="H56" i="25586" s="1"/>
  <c r="A57" i="25586"/>
  <c r="A57" i="25585" s="1"/>
  <c r="A269" i="25580" s="1"/>
  <c r="A269" i="4888" s="1"/>
  <c r="A149" i="10285" s="1"/>
  <c r="A149" i="768" s="1"/>
  <c r="A269" i="20994" s="1"/>
  <c r="A200" i="9216" s="1"/>
  <c r="A200" i="1024" s="1"/>
  <c r="A270" i="32" s="1"/>
  <c r="A200" i="2316" s="1"/>
  <c r="A200" i="2819" s="1"/>
  <c r="A269" i="2561" s="1"/>
  <c r="A200" i="523" s="1"/>
  <c r="A269" i="10541" s="1"/>
  <c r="A200" i="2048" s="1"/>
  <c r="A75" i="25582" s="1"/>
  <c r="A75" i="25583" s="1"/>
  <c r="A71" i="25584" s="1"/>
  <c r="A200" i="8196" s="1"/>
  <c r="A200" i="512" s="1"/>
  <c r="A269" i="25587" s="1"/>
  <c r="A200" i="25588" s="1"/>
  <c r="A200" i="25589" s="1"/>
  <c r="A200" i="25590" s="1"/>
  <c r="B57" i="25586"/>
  <c r="H57" i="25586" s="1"/>
  <c r="K1610" i="1"/>
  <c r="K1611" i="1"/>
  <c r="K1564" i="1"/>
  <c r="L1564" i="1" s="1"/>
  <c r="K1517" i="1"/>
  <c r="L1517" i="1" s="1"/>
  <c r="K1469" i="1"/>
  <c r="K1470" i="1"/>
  <c r="M1422" i="1"/>
  <c r="M1423" i="1"/>
  <c r="B149" i="768" s="1"/>
  <c r="H149" i="768" s="1"/>
  <c r="K1390" i="1"/>
  <c r="K1391" i="1"/>
  <c r="B200" i="512" s="1"/>
  <c r="H200" i="512" s="1"/>
  <c r="I1206" i="1"/>
  <c r="J1206" i="1" s="1"/>
  <c r="K1187" i="1"/>
  <c r="K1188" i="1"/>
  <c r="K1139" i="1"/>
  <c r="K1140" i="1"/>
  <c r="K1091" i="1"/>
  <c r="K1092" i="1"/>
  <c r="B200" i="2819" s="1"/>
  <c r="H200" i="2819" s="1"/>
  <c r="K1026" i="1"/>
  <c r="K1027" i="1"/>
  <c r="B200" i="25589" s="1"/>
  <c r="H200" i="25589" s="1"/>
  <c r="B269" i="20994"/>
  <c r="L965" i="1"/>
  <c r="K902" i="1"/>
  <c r="K903" i="1"/>
  <c r="K840" i="1"/>
  <c r="K841" i="1"/>
  <c r="I653" i="1"/>
  <c r="J653" i="1" s="1"/>
  <c r="I591" i="1"/>
  <c r="J591" i="1" s="1"/>
  <c r="M573" i="1"/>
  <c r="M574" i="1"/>
  <c r="M526" i="1"/>
  <c r="M527" i="1"/>
  <c r="K431" i="1"/>
  <c r="K432" i="1"/>
  <c r="L432" i="1" s="1"/>
  <c r="K367" i="1"/>
  <c r="K368" i="1"/>
  <c r="B200" i="2316" s="1"/>
  <c r="H200" i="2316" s="1"/>
  <c r="O281" i="1"/>
  <c r="O282" i="1"/>
  <c r="K181" i="1"/>
  <c r="K182" i="1"/>
  <c r="K119" i="1"/>
  <c r="K120" i="1"/>
  <c r="K58" i="1"/>
  <c r="H294" i="3" l="1"/>
  <c r="G174" i="10285"/>
  <c r="G294" i="25580"/>
  <c r="G225" i="523"/>
  <c r="H293" i="20994"/>
  <c r="G173" i="768"/>
  <c r="G224" i="2819"/>
  <c r="G224" i="2316"/>
  <c r="G224" i="25589"/>
  <c r="G224" i="512"/>
  <c r="B200" i="9216"/>
  <c r="B200" i="1024"/>
  <c r="G282" i="3"/>
  <c r="F213" i="2316"/>
  <c r="F213" i="25589"/>
  <c r="F213" i="2819"/>
  <c r="F162" i="10285"/>
  <c r="F213" i="25590"/>
  <c r="F282" i="25580"/>
  <c r="F283" i="32"/>
  <c r="F213" i="523"/>
  <c r="G281" i="20994"/>
  <c r="F212" i="2819"/>
  <c r="F69" i="25585"/>
  <c r="F161" i="768"/>
  <c r="F69" i="25586"/>
  <c r="F212" i="2316"/>
  <c r="F212" i="25589"/>
  <c r="F212" i="512"/>
  <c r="F68" i="25585"/>
  <c r="F68" i="25586"/>
  <c r="N1423" i="1"/>
  <c r="D272" i="32"/>
  <c r="D202" i="2819"/>
  <c r="D202" i="25590"/>
  <c r="D271" i="25580"/>
  <c r="D202" i="523"/>
  <c r="D202" i="2316"/>
  <c r="D202" i="25589"/>
  <c r="D151" i="10285"/>
  <c r="E271" i="3"/>
  <c r="E270" i="20994"/>
  <c r="D76" i="25582"/>
  <c r="D76" i="25583"/>
  <c r="D72" i="25584"/>
  <c r="D201" i="25589"/>
  <c r="D201" i="512"/>
  <c r="D58" i="25586"/>
  <c r="D58" i="25585"/>
  <c r="D201" i="2819"/>
  <c r="D150" i="768"/>
  <c r="D201" i="2316"/>
  <c r="L1027" i="1"/>
  <c r="B269" i="2561"/>
  <c r="H269" i="2561" s="1"/>
  <c r="L58" i="1"/>
  <c r="C269" i="3"/>
  <c r="L368" i="1"/>
  <c r="L120" i="1"/>
  <c r="B269" i="25580"/>
  <c r="H269" i="25580" s="1"/>
  <c r="D57" i="25585"/>
  <c r="L1470" i="1"/>
  <c r="B200" i="25588"/>
  <c r="H200" i="25588" s="1"/>
  <c r="N574" i="1"/>
  <c r="B149" i="10285"/>
  <c r="H149" i="10285" s="1"/>
  <c r="L1611" i="1"/>
  <c r="B200" i="25590"/>
  <c r="H200" i="25590" s="1"/>
  <c r="L1188" i="1"/>
  <c r="B200" i="2048"/>
  <c r="H200" i="2048" s="1"/>
  <c r="L841" i="1"/>
  <c r="B200" i="8196"/>
  <c r="H200" i="8196" s="1"/>
  <c r="P282" i="1"/>
  <c r="B270" i="32"/>
  <c r="L182" i="1"/>
  <c r="B269" i="4888"/>
  <c r="L1092" i="1"/>
  <c r="L1391" i="1"/>
  <c r="L1140" i="1"/>
  <c r="B200" i="523"/>
  <c r="H200" i="523" s="1"/>
  <c r="N527" i="1"/>
  <c r="B269" i="10541"/>
  <c r="H269" i="10541" s="1"/>
  <c r="L903" i="1"/>
  <c r="B269" i="25587"/>
  <c r="H269" i="25587" s="1"/>
  <c r="D57" i="25586"/>
  <c r="B139" i="8196"/>
  <c r="A56" i="25586"/>
  <c r="A56" i="25585" s="1"/>
  <c r="A268" i="25580" s="1"/>
  <c r="A268" i="4888" s="1"/>
  <c r="A148" i="10285" s="1"/>
  <c r="A148" i="768" s="1"/>
  <c r="A268" i="20994" s="1"/>
  <c r="A199" i="9216" s="1"/>
  <c r="A199" i="1024" s="1"/>
  <c r="A269" i="32" s="1"/>
  <c r="A199" i="2316" s="1"/>
  <c r="A199" i="2819" s="1"/>
  <c r="A268" i="2561" s="1"/>
  <c r="A199" i="523" s="1"/>
  <c r="A268" i="10541" s="1"/>
  <c r="A199" i="2048" s="1"/>
  <c r="A74" i="25582" s="1"/>
  <c r="A74" i="25583" s="1"/>
  <c r="A70" i="25584" s="1"/>
  <c r="A199" i="8196" s="1"/>
  <c r="A199" i="512" s="1"/>
  <c r="A268" i="25587" s="1"/>
  <c r="A199" i="25588" s="1"/>
  <c r="A199" i="25589" s="1"/>
  <c r="A199" i="25590" s="1"/>
  <c r="H269" i="4888" l="1"/>
  <c r="G212" i="1024"/>
  <c r="G212" i="9216"/>
  <c r="H224" i="1024"/>
  <c r="E201" i="1024"/>
  <c r="H224" i="9216"/>
  <c r="H293" i="3"/>
  <c r="G224" i="523"/>
  <c r="G293" i="10541"/>
  <c r="G294" i="32"/>
  <c r="G224" i="2048"/>
  <c r="G173" i="10285"/>
  <c r="G293" i="25580"/>
  <c r="G293" i="25587"/>
  <c r="G293" i="4888"/>
  <c r="G224" i="8196"/>
  <c r="G224" i="25590"/>
  <c r="G224" i="25588"/>
  <c r="E201" i="9216"/>
  <c r="F212" i="523"/>
  <c r="F281" i="4888"/>
  <c r="F212" i="8196"/>
  <c r="F212" i="25590"/>
  <c r="F212" i="25588"/>
  <c r="F281" i="10541"/>
  <c r="F282" i="32"/>
  <c r="F212" i="2048"/>
  <c r="F161" i="10285"/>
  <c r="G281" i="3"/>
  <c r="F281" i="25580"/>
  <c r="F281" i="25587"/>
  <c r="E270" i="3"/>
  <c r="D75" i="25583"/>
  <c r="D270" i="25580"/>
  <c r="D270" i="25587"/>
  <c r="D270" i="4888"/>
  <c r="D201" i="25590"/>
  <c r="D271" i="32"/>
  <c r="D270" i="10541"/>
  <c r="D201" i="25588"/>
  <c r="D201" i="2048"/>
  <c r="D150" i="10285"/>
  <c r="D201" i="523"/>
  <c r="D201" i="8196"/>
  <c r="D75" i="25582"/>
  <c r="D71" i="25584"/>
  <c r="B199" i="25590"/>
  <c r="H199" i="25590" s="1"/>
  <c r="B199" i="25588"/>
  <c r="H199" i="25588" s="1"/>
  <c r="B148" i="768"/>
  <c r="H148" i="768" s="1"/>
  <c r="B199" i="512"/>
  <c r="H199" i="512" s="1"/>
  <c r="B199" i="2048"/>
  <c r="H199" i="2048" s="1"/>
  <c r="B199" i="523"/>
  <c r="H199" i="523" s="1"/>
  <c r="B199" i="2819"/>
  <c r="H199" i="2819" s="1"/>
  <c r="B199" i="25589"/>
  <c r="H199" i="25589" s="1"/>
  <c r="B268" i="25587"/>
  <c r="H268" i="25587" s="1"/>
  <c r="B199" i="8196"/>
  <c r="H199" i="8196" s="1"/>
  <c r="B148" i="10285"/>
  <c r="H148" i="10285" s="1"/>
  <c r="B268" i="10541"/>
  <c r="H268" i="10541" s="1"/>
  <c r="B268" i="2561"/>
  <c r="H268" i="2561" s="1"/>
  <c r="B199" i="2316"/>
  <c r="H199" i="2316" s="1"/>
  <c r="B269" i="32"/>
  <c r="B268" i="4888"/>
  <c r="B268" i="25580"/>
  <c r="H268" i="25580" s="1"/>
  <c r="H268" i="4888" l="1"/>
  <c r="G223" i="8196"/>
  <c r="G293" i="32"/>
  <c r="G172" i="10285"/>
  <c r="G223" i="2819"/>
  <c r="G172" i="768"/>
  <c r="G223" i="2316"/>
  <c r="G223" i="523"/>
  <c r="G223" i="25588"/>
  <c r="G223" i="2048"/>
  <c r="G223" i="25590"/>
  <c r="G292" i="25580"/>
  <c r="G292" i="25587"/>
  <c r="G292" i="4888"/>
  <c r="G292" i="10541"/>
  <c r="G223" i="25589"/>
  <c r="G223" i="512"/>
  <c r="F280" i="10541"/>
  <c r="F281" i="32"/>
  <c r="F160" i="10285"/>
  <c r="F211" i="2819"/>
  <c r="F160" i="768"/>
  <c r="F211" i="512"/>
  <c r="F211" i="2316"/>
  <c r="F211" i="8196"/>
  <c r="F211" i="523"/>
  <c r="F211" i="25588"/>
  <c r="F211" i="25589"/>
  <c r="F280" i="25580"/>
  <c r="F280" i="25587"/>
  <c r="F211" i="2048"/>
  <c r="F211" i="25590"/>
  <c r="F280" i="4888"/>
  <c r="D149" i="10285"/>
  <c r="D200" i="25590"/>
  <c r="D200" i="8196"/>
  <c r="D200" i="2048"/>
  <c r="D269" i="25587"/>
  <c r="D270" i="32"/>
  <c r="D200" i="523"/>
  <c r="D269" i="10541"/>
  <c r="D269" i="4888"/>
  <c r="D200" i="2316"/>
  <c r="D200" i="512"/>
  <c r="D149" i="768"/>
  <c r="D200" i="25588"/>
  <c r="D269" i="25580"/>
  <c r="D200" i="25589"/>
  <c r="D200" i="2819"/>
  <c r="I590" i="1"/>
  <c r="J590" i="1" s="1"/>
  <c r="I652" i="1"/>
  <c r="J652" i="1" s="1"/>
  <c r="I1205" i="1"/>
  <c r="J1205" i="1" s="1"/>
  <c r="K1516" i="1"/>
  <c r="B199" i="9216" s="1"/>
  <c r="L1469" i="1"/>
  <c r="N1422" i="1"/>
  <c r="L1390" i="1"/>
  <c r="L1187" i="1"/>
  <c r="L1139" i="1"/>
  <c r="L1091" i="1"/>
  <c r="L1026" i="1"/>
  <c r="K964" i="1"/>
  <c r="B268" i="20994" s="1"/>
  <c r="L902" i="1"/>
  <c r="L840" i="1"/>
  <c r="N573" i="1"/>
  <c r="N526" i="1"/>
  <c r="L431" i="1"/>
  <c r="L367" i="1"/>
  <c r="P281" i="1"/>
  <c r="L181" i="1"/>
  <c r="L119" i="1"/>
  <c r="K57" i="1"/>
  <c r="H223" i="9216" l="1"/>
  <c r="H292" i="20994"/>
  <c r="L1516" i="1"/>
  <c r="G211" i="9216"/>
  <c r="G280" i="20994"/>
  <c r="L964" i="1"/>
  <c r="E200" i="9216"/>
  <c r="E269" i="20994"/>
  <c r="C268" i="3"/>
  <c r="L57" i="1"/>
  <c r="K1563" i="1"/>
  <c r="B199" i="1024" s="1"/>
  <c r="L1563" i="1"/>
  <c r="L1610" i="1"/>
  <c r="H223" i="1024" l="1"/>
  <c r="H292" i="3"/>
  <c r="G211" i="1024"/>
  <c r="G280" i="3"/>
  <c r="E200" i="1024"/>
  <c r="E269" i="3"/>
  <c r="D74" i="25583" l="1"/>
  <c r="D74" i="25582"/>
  <c r="D70" i="25584"/>
  <c r="B55" i="25585"/>
  <c r="H55" i="25585" s="1"/>
  <c r="B55" i="25586"/>
  <c r="H55" i="25586" s="1"/>
  <c r="A55" i="25586"/>
  <c r="A55" i="25585" s="1"/>
  <c r="A267" i="25580" s="1"/>
  <c r="A267" i="4888" s="1"/>
  <c r="A147" i="10285" s="1"/>
  <c r="A147" i="768" s="1"/>
  <c r="A267" i="20994" s="1"/>
  <c r="A198" i="9216" s="1"/>
  <c r="A198" i="1024" s="1"/>
  <c r="A268" i="32" s="1"/>
  <c r="A198" i="2316" s="1"/>
  <c r="A198" i="2819" s="1"/>
  <c r="A267" i="2561" s="1"/>
  <c r="A198" i="523" s="1"/>
  <c r="A267" i="10541" s="1"/>
  <c r="A198" i="2048" s="1"/>
  <c r="A73" i="25582" s="1"/>
  <c r="A73" i="25583" s="1"/>
  <c r="A69" i="25584" s="1"/>
  <c r="A198" i="8196" s="1"/>
  <c r="A198" i="512" s="1"/>
  <c r="A267" i="25587" s="1"/>
  <c r="A198" i="25588" s="1"/>
  <c r="A198" i="25589" s="1"/>
  <c r="A198" i="25590" s="1"/>
  <c r="K118" i="1"/>
  <c r="K180" i="1"/>
  <c r="O280" i="1"/>
  <c r="B268" i="32" s="1"/>
  <c r="K366" i="1"/>
  <c r="B198" i="2316" s="1"/>
  <c r="H198" i="2316" s="1"/>
  <c r="K430" i="1"/>
  <c r="B267" i="2561" s="1"/>
  <c r="H267" i="2561" s="1"/>
  <c r="M525" i="1"/>
  <c r="M572" i="1"/>
  <c r="N572" i="1" s="1"/>
  <c r="K839" i="1"/>
  <c r="K901" i="1"/>
  <c r="K1025" i="1"/>
  <c r="K1090" i="1"/>
  <c r="B198" i="2819" s="1"/>
  <c r="H198" i="2819" s="1"/>
  <c r="K1138" i="1"/>
  <c r="B198" i="523" s="1"/>
  <c r="H198" i="523" s="1"/>
  <c r="K1186" i="1"/>
  <c r="B198" i="2048" s="1"/>
  <c r="H198" i="2048" s="1"/>
  <c r="K1389" i="1"/>
  <c r="M1421" i="1"/>
  <c r="K1468" i="1"/>
  <c r="K1609" i="1"/>
  <c r="K56" i="1"/>
  <c r="I589" i="1"/>
  <c r="J589" i="1" s="1"/>
  <c r="I651" i="1"/>
  <c r="J651" i="1" s="1"/>
  <c r="I1204" i="1"/>
  <c r="J1204" i="1" s="1"/>
  <c r="K1562" i="1"/>
  <c r="B198" i="1024" s="1"/>
  <c r="K1515" i="1"/>
  <c r="B198" i="9216" s="1"/>
  <c r="K963" i="1"/>
  <c r="B267" i="20994" s="1"/>
  <c r="L963" i="1" l="1"/>
  <c r="H222" i="1024"/>
  <c r="H291" i="20994"/>
  <c r="G222" i="2048"/>
  <c r="H222" i="9216"/>
  <c r="G222" i="523"/>
  <c r="G222" i="2316"/>
  <c r="L1562" i="1"/>
  <c r="G222" i="2819"/>
  <c r="G292" i="32"/>
  <c r="G210" i="1024"/>
  <c r="G210" i="9216"/>
  <c r="G279" i="20994"/>
  <c r="F210" i="2048"/>
  <c r="F67" i="25585"/>
  <c r="F210" i="523"/>
  <c r="F210" i="2316"/>
  <c r="F210" i="2819"/>
  <c r="F280" i="32"/>
  <c r="F67" i="25586"/>
  <c r="E268" i="20994"/>
  <c r="L1515" i="1"/>
  <c r="E199" i="9216"/>
  <c r="E199" i="1024"/>
  <c r="C267" i="3"/>
  <c r="L430" i="1"/>
  <c r="P280" i="1"/>
  <c r="L1138" i="1"/>
  <c r="L56" i="1"/>
  <c r="L366" i="1"/>
  <c r="D199" i="523"/>
  <c r="D199" i="2316"/>
  <c r="D199" i="2819"/>
  <c r="D269" i="32"/>
  <c r="D199" i="2048"/>
  <c r="L118" i="1"/>
  <c r="D56" i="25586"/>
  <c r="D56" i="25585"/>
  <c r="L1186" i="1"/>
  <c r="L1090" i="1"/>
  <c r="L1609" i="1"/>
  <c r="B198" i="25590"/>
  <c r="H198" i="25590" s="1"/>
  <c r="L901" i="1"/>
  <c r="B267" i="25587"/>
  <c r="H267" i="25587" s="1"/>
  <c r="L1468" i="1"/>
  <c r="B198" i="25588"/>
  <c r="H198" i="25588" s="1"/>
  <c r="L839" i="1"/>
  <c r="B198" i="8196"/>
  <c r="H198" i="8196" s="1"/>
  <c r="L180" i="1"/>
  <c r="B267" i="4888"/>
  <c r="B267" i="10541"/>
  <c r="H267" i="10541" s="1"/>
  <c r="N525" i="1"/>
  <c r="L1025" i="1"/>
  <c r="B198" i="25589"/>
  <c r="H198" i="25589" s="1"/>
  <c r="L1389" i="1"/>
  <c r="B198" i="512"/>
  <c r="H198" i="512" s="1"/>
  <c r="B267" i="25580"/>
  <c r="H267" i="25580" s="1"/>
  <c r="N1421" i="1"/>
  <c r="B147" i="768"/>
  <c r="H147" i="768" s="1"/>
  <c r="B147" i="10285"/>
  <c r="H147" i="10285" s="1"/>
  <c r="H267" i="4888" l="1"/>
  <c r="G222" i="512"/>
  <c r="G222" i="8196"/>
  <c r="G291" i="25587"/>
  <c r="H291" i="3"/>
  <c r="G171" i="10285"/>
  <c r="G171" i="768"/>
  <c r="G291" i="10541"/>
  <c r="G291" i="25580"/>
  <c r="G222" i="25589"/>
  <c r="G291" i="4888"/>
  <c r="G222" i="25588"/>
  <c r="G222" i="25590"/>
  <c r="G279" i="3"/>
  <c r="F279" i="10541"/>
  <c r="F210" i="25589"/>
  <c r="F279" i="4888"/>
  <c r="F210" i="25588"/>
  <c r="F210" i="25590"/>
  <c r="F159" i="768"/>
  <c r="F279" i="25580"/>
  <c r="F159" i="10285"/>
  <c r="F210" i="512"/>
  <c r="F210" i="8196"/>
  <c r="F279" i="25587"/>
  <c r="E268" i="3"/>
  <c r="D199" i="25588"/>
  <c r="D148" i="10285"/>
  <c r="D268" i="25587"/>
  <c r="D148" i="768"/>
  <c r="D268" i="10541"/>
  <c r="D199" i="25589"/>
  <c r="D268" i="4888"/>
  <c r="D199" i="25590"/>
  <c r="D268" i="25580"/>
  <c r="D199" i="512"/>
  <c r="D199" i="8196"/>
  <c r="D73" i="25582"/>
  <c r="D73" i="25583"/>
  <c r="D69" i="25584"/>
  <c r="O279" i="1"/>
  <c r="B54" i="25585"/>
  <c r="H54" i="25585" s="1"/>
  <c r="B54" i="25586"/>
  <c r="H54" i="25586" s="1"/>
  <c r="A54" i="25586"/>
  <c r="A54" i="25585" s="1"/>
  <c r="A266" i="25580" s="1"/>
  <c r="A266" i="4888" s="1"/>
  <c r="A146" i="10285" s="1"/>
  <c r="A146" i="768" s="1"/>
  <c r="A266" i="20994" s="1"/>
  <c r="A197" i="9216" s="1"/>
  <c r="A197" i="1024" s="1"/>
  <c r="A267" i="32" s="1"/>
  <c r="A197" i="2316" s="1"/>
  <c r="A197" i="2819" s="1"/>
  <c r="A266" i="2561" s="1"/>
  <c r="A197" i="523" s="1"/>
  <c r="A266" i="10541" s="1"/>
  <c r="A197" i="2048" s="1"/>
  <c r="A72" i="25582" s="1"/>
  <c r="A72" i="25583" s="1"/>
  <c r="A68" i="25584" s="1"/>
  <c r="A197" i="8196" s="1"/>
  <c r="A197" i="512" s="1"/>
  <c r="A266" i="25587" s="1"/>
  <c r="A197" i="25588" s="1"/>
  <c r="A197" i="25589" s="1"/>
  <c r="A197" i="25590" s="1"/>
  <c r="K1608" i="1"/>
  <c r="K1561" i="1"/>
  <c r="B197" i="1024" s="1"/>
  <c r="K1514" i="1"/>
  <c r="B197" i="9216" s="1"/>
  <c r="L1514" i="1"/>
  <c r="K1467" i="1"/>
  <c r="M1420" i="1"/>
  <c r="B146" i="768" s="1"/>
  <c r="H146" i="768" s="1"/>
  <c r="K1388" i="1"/>
  <c r="I1203" i="1"/>
  <c r="J1203" i="1" s="1"/>
  <c r="K1185" i="1"/>
  <c r="K1137" i="1"/>
  <c r="K1089" i="1"/>
  <c r="B197" i="2819" s="1"/>
  <c r="H197" i="2819" s="1"/>
  <c r="K1024" i="1"/>
  <c r="K962" i="1"/>
  <c r="L962" i="1" s="1"/>
  <c r="K900" i="1"/>
  <c r="K838" i="1"/>
  <c r="I650" i="1"/>
  <c r="J650" i="1" s="1"/>
  <c r="I588" i="1"/>
  <c r="J588" i="1" s="1"/>
  <c r="M571" i="1"/>
  <c r="N571" i="1" s="1"/>
  <c r="M524" i="1"/>
  <c r="K429" i="1"/>
  <c r="K365" i="1"/>
  <c r="K179" i="1"/>
  <c r="K117" i="1"/>
  <c r="K55" i="1"/>
  <c r="H221" i="1024" l="1"/>
  <c r="H221" i="9216"/>
  <c r="G221" i="2819"/>
  <c r="G170" i="768"/>
  <c r="G209" i="1024"/>
  <c r="G209" i="9216"/>
  <c r="F209" i="2819"/>
  <c r="F66" i="25586"/>
  <c r="F158" i="768"/>
  <c r="F66" i="25585"/>
  <c r="B266" i="20994"/>
  <c r="L1561" i="1"/>
  <c r="C266" i="3"/>
  <c r="N1420" i="1"/>
  <c r="L1089" i="1"/>
  <c r="E198" i="1024"/>
  <c r="E198" i="9216"/>
  <c r="D147" i="768"/>
  <c r="L1467" i="1"/>
  <c r="B197" i="25588"/>
  <c r="H197" i="25588" s="1"/>
  <c r="L1185" i="1"/>
  <c r="B197" i="2048"/>
  <c r="H197" i="2048" s="1"/>
  <c r="D198" i="2819"/>
  <c r="L1137" i="1"/>
  <c r="B197" i="523"/>
  <c r="H197" i="523" s="1"/>
  <c r="L1388" i="1"/>
  <c r="B197" i="512"/>
  <c r="H197" i="512" s="1"/>
  <c r="L1608" i="1"/>
  <c r="B197" i="25590"/>
  <c r="H197" i="25590" s="1"/>
  <c r="L55" i="1"/>
  <c r="L365" i="1"/>
  <c r="B197" i="2316"/>
  <c r="H197" i="2316" s="1"/>
  <c r="L429" i="1"/>
  <c r="B266" i="2561"/>
  <c r="H266" i="2561" s="1"/>
  <c r="L1024" i="1"/>
  <c r="B197" i="25589"/>
  <c r="H197" i="25589" s="1"/>
  <c r="D55" i="25586"/>
  <c r="D55" i="25585"/>
  <c r="L900" i="1"/>
  <c r="B266" i="25587"/>
  <c r="H266" i="25587" s="1"/>
  <c r="N524" i="1"/>
  <c r="B266" i="10541"/>
  <c r="H266" i="10541" s="1"/>
  <c r="B266" i="25580"/>
  <c r="H266" i="25580" s="1"/>
  <c r="L838" i="1"/>
  <c r="B197" i="8196"/>
  <c r="H197" i="8196" s="1"/>
  <c r="B146" i="10285"/>
  <c r="H146" i="10285" s="1"/>
  <c r="L117" i="1"/>
  <c r="L179" i="1"/>
  <c r="B266" i="4888"/>
  <c r="P279" i="1"/>
  <c r="B267" i="32"/>
  <c r="B67" i="25584"/>
  <c r="B71" i="25583"/>
  <c r="B53" i="25585"/>
  <c r="H53" i="25585" s="1"/>
  <c r="B53" i="25586"/>
  <c r="H53" i="25586" s="1"/>
  <c r="A53" i="25586"/>
  <c r="A53" i="25585" s="1"/>
  <c r="A265" i="25580" s="1"/>
  <c r="A265" i="4888" s="1"/>
  <c r="A145" i="10285" s="1"/>
  <c r="A145" i="768" s="1"/>
  <c r="A265" i="20994" s="1"/>
  <c r="A196" i="9216" s="1"/>
  <c r="A196" i="1024" s="1"/>
  <c r="A266" i="32" s="1"/>
  <c r="A196" i="2316" s="1"/>
  <c r="A196" i="2819" s="1"/>
  <c r="A265" i="2561" s="1"/>
  <c r="A196" i="523" s="1"/>
  <c r="A265" i="10541" s="1"/>
  <c r="A196" i="2048" s="1"/>
  <c r="A71" i="25582" s="1"/>
  <c r="A71" i="25583" s="1"/>
  <c r="A67" i="25584" s="1"/>
  <c r="A196" i="8196" s="1"/>
  <c r="A196" i="512" s="1"/>
  <c r="A265" i="25587" s="1"/>
  <c r="A196" i="25588" s="1"/>
  <c r="A196" i="25589" s="1"/>
  <c r="A196" i="25590" s="1"/>
  <c r="M290" i="1"/>
  <c r="I128" i="1"/>
  <c r="I190" i="1"/>
  <c r="I376" i="1"/>
  <c r="I440" i="1"/>
  <c r="B265" i="2561" s="1"/>
  <c r="H265" i="2561" s="1"/>
  <c r="K535" i="1"/>
  <c r="B265" i="10541" s="1"/>
  <c r="H265" i="10541" s="1"/>
  <c r="I849" i="1"/>
  <c r="I911" i="1"/>
  <c r="B265" i="25587" s="1"/>
  <c r="H265" i="25587" s="1"/>
  <c r="I1035" i="1"/>
  <c r="B196" i="25589" s="1"/>
  <c r="H196" i="25589" s="1"/>
  <c r="I1100" i="1"/>
  <c r="B196" i="2819" s="1"/>
  <c r="H196" i="2819" s="1"/>
  <c r="I1148" i="1"/>
  <c r="B196" i="523" s="1"/>
  <c r="H196" i="523" s="1"/>
  <c r="I1196" i="1"/>
  <c r="B196" i="2048" s="1"/>
  <c r="H196" i="2048" s="1"/>
  <c r="I1399" i="1"/>
  <c r="K1431" i="1"/>
  <c r="I1478" i="1"/>
  <c r="I1619" i="1"/>
  <c r="B196" i="25590" s="1"/>
  <c r="H196" i="25590" s="1"/>
  <c r="G599" i="1"/>
  <c r="H599" i="1" s="1"/>
  <c r="G661" i="1"/>
  <c r="H661" i="1" s="1"/>
  <c r="G1214" i="1"/>
  <c r="H1214" i="1" s="1"/>
  <c r="I1572" i="1"/>
  <c r="B196" i="1024" s="1"/>
  <c r="I1525" i="1"/>
  <c r="J1525" i="1" s="1"/>
  <c r="I973" i="1"/>
  <c r="J973" i="1" s="1"/>
  <c r="K582" i="1"/>
  <c r="B145" i="10285" s="1"/>
  <c r="H145" i="10285" s="1"/>
  <c r="I66" i="1"/>
  <c r="H266" i="4888" l="1"/>
  <c r="E82" i="25583"/>
  <c r="H290" i="20994"/>
  <c r="G290" i="25587"/>
  <c r="G221" i="25589"/>
  <c r="G221" i="2316"/>
  <c r="G221" i="25588"/>
  <c r="G291" i="32"/>
  <c r="G290" i="25580"/>
  <c r="G221" i="512"/>
  <c r="G170" i="10285"/>
  <c r="G290" i="10541"/>
  <c r="G221" i="2048"/>
  <c r="G290" i="4888"/>
  <c r="G221" i="8196"/>
  <c r="G221" i="25590"/>
  <c r="G221" i="523"/>
  <c r="H220" i="1024"/>
  <c r="H290" i="3"/>
  <c r="G91" i="25584"/>
  <c r="G95" i="25583"/>
  <c r="G220" i="25590"/>
  <c r="G220" i="2048"/>
  <c r="G289" i="25587"/>
  <c r="G220" i="523"/>
  <c r="G169" i="10285"/>
  <c r="G220" i="2819"/>
  <c r="G289" i="10541"/>
  <c r="G220" i="25589"/>
  <c r="G278" i="20994"/>
  <c r="F278" i="4888"/>
  <c r="F209" i="523"/>
  <c r="F278" i="25587"/>
  <c r="F209" i="2316"/>
  <c r="F209" i="2048"/>
  <c r="F158" i="10285"/>
  <c r="F209" i="8196"/>
  <c r="F209" i="25590"/>
  <c r="G278" i="3"/>
  <c r="F278" i="10541"/>
  <c r="F209" i="25588"/>
  <c r="F209" i="25589"/>
  <c r="F278" i="25580"/>
  <c r="F209" i="512"/>
  <c r="F208" i="1024"/>
  <c r="G208" i="1024"/>
  <c r="F79" i="25584"/>
  <c r="E79" i="25584"/>
  <c r="E83" i="25583"/>
  <c r="F83" i="25583"/>
  <c r="F208" i="2048"/>
  <c r="E208" i="2048"/>
  <c r="F208" i="523"/>
  <c r="E208" i="523"/>
  <c r="F208" i="2819"/>
  <c r="E208" i="2819"/>
  <c r="F208" i="25589"/>
  <c r="E208" i="25589"/>
  <c r="F208" i="25590"/>
  <c r="E208" i="25590"/>
  <c r="F277" i="25587"/>
  <c r="E277" i="25587"/>
  <c r="E157" i="10285"/>
  <c r="F157" i="10285"/>
  <c r="F65" i="25586"/>
  <c r="E65" i="25586"/>
  <c r="E277" i="10541"/>
  <c r="F277" i="10541"/>
  <c r="F65" i="25585"/>
  <c r="E65" i="25585"/>
  <c r="E207" i="25590"/>
  <c r="E207" i="25589"/>
  <c r="E276" i="25587"/>
  <c r="E78" i="25584"/>
  <c r="E207" i="2048"/>
  <c r="E276" i="10541"/>
  <c r="E207" i="523"/>
  <c r="E207" i="2819"/>
  <c r="F207" i="1024"/>
  <c r="E156" i="10285"/>
  <c r="E64" i="25585"/>
  <c r="E64" i="25586"/>
  <c r="E77" i="25584"/>
  <c r="E81" i="25583"/>
  <c r="F206" i="1024"/>
  <c r="E206" i="2048"/>
  <c r="E275" i="10541"/>
  <c r="E206" i="523"/>
  <c r="E206" i="25589"/>
  <c r="E206" i="2819"/>
  <c r="E206" i="25590"/>
  <c r="E275" i="25587"/>
  <c r="E155" i="10285"/>
  <c r="E63" i="25586"/>
  <c r="E63" i="25585"/>
  <c r="E76" i="25584"/>
  <c r="E80" i="25583"/>
  <c r="F205" i="1024"/>
  <c r="E205" i="2048"/>
  <c r="E205" i="2819"/>
  <c r="E205" i="25589"/>
  <c r="E205" i="25590"/>
  <c r="E274" i="25587"/>
  <c r="E154" i="10285"/>
  <c r="E62" i="25586"/>
  <c r="E274" i="10541"/>
  <c r="E62" i="25585"/>
  <c r="E205" i="523"/>
  <c r="E204" i="25590"/>
  <c r="E204" i="25589"/>
  <c r="E273" i="25587"/>
  <c r="E75" i="25584"/>
  <c r="E79" i="25583"/>
  <c r="E204" i="2048"/>
  <c r="E273" i="10541"/>
  <c r="E204" i="523"/>
  <c r="E204" i="2819"/>
  <c r="F204" i="1024"/>
  <c r="E153" i="10285"/>
  <c r="E61" i="25585"/>
  <c r="E61" i="25586"/>
  <c r="F203" i="1024"/>
  <c r="E267" i="20994"/>
  <c r="E272" i="25587"/>
  <c r="E272" i="10541"/>
  <c r="E60" i="25585"/>
  <c r="E203" i="25590"/>
  <c r="E152" i="10285"/>
  <c r="E78" i="25583"/>
  <c r="E203" i="25589"/>
  <c r="E60" i="25586"/>
  <c r="E203" i="2048"/>
  <c r="E74" i="25584"/>
  <c r="E203" i="523"/>
  <c r="E203" i="2819"/>
  <c r="E73" i="25584"/>
  <c r="E77" i="25583"/>
  <c r="F202" i="1024"/>
  <c r="E59" i="25586"/>
  <c r="E271" i="10541"/>
  <c r="E202" i="2048"/>
  <c r="E202" i="523"/>
  <c r="E202" i="2819"/>
  <c r="E202" i="25589"/>
  <c r="E202" i="25590"/>
  <c r="E271" i="25587"/>
  <c r="E151" i="10285"/>
  <c r="E59" i="25585"/>
  <c r="F201" i="1024"/>
  <c r="J1572" i="1"/>
  <c r="B265" i="20994"/>
  <c r="B196" i="9216"/>
  <c r="E72" i="25584"/>
  <c r="E76" i="25582"/>
  <c r="E76" i="25583"/>
  <c r="E270" i="10541"/>
  <c r="E201" i="2048"/>
  <c r="E201" i="523"/>
  <c r="E201" i="2819"/>
  <c r="E150" i="10285"/>
  <c r="E201" i="25589"/>
  <c r="E201" i="25590"/>
  <c r="E270" i="25587"/>
  <c r="E58" i="25586"/>
  <c r="E58" i="25585"/>
  <c r="F200" i="1024"/>
  <c r="E267" i="3"/>
  <c r="E75" i="25582"/>
  <c r="E75" i="25583"/>
  <c r="E71" i="25584"/>
  <c r="E269" i="10541"/>
  <c r="E269" i="25587"/>
  <c r="E57" i="25585"/>
  <c r="E200" i="2048"/>
  <c r="E200" i="523"/>
  <c r="E200" i="2819"/>
  <c r="E200" i="25590"/>
  <c r="E149" i="10285"/>
  <c r="E200" i="25589"/>
  <c r="E70" i="25584"/>
  <c r="E74" i="25583"/>
  <c r="E74" i="25582"/>
  <c r="F199" i="1024"/>
  <c r="E57" i="25586"/>
  <c r="E199" i="2048"/>
  <c r="E268" i="10541"/>
  <c r="E199" i="523"/>
  <c r="D197" i="2819"/>
  <c r="E199" i="2819"/>
  <c r="E148" i="10285"/>
  <c r="E199" i="25589"/>
  <c r="E56" i="25585"/>
  <c r="E199" i="25590"/>
  <c r="E268" i="25587"/>
  <c r="E56" i="25586"/>
  <c r="E69" i="25584"/>
  <c r="E73" i="25583"/>
  <c r="E73" i="25582"/>
  <c r="F197" i="1024"/>
  <c r="F198" i="1024"/>
  <c r="D198" i="2048"/>
  <c r="E198" i="25590"/>
  <c r="E198" i="2048"/>
  <c r="E198" i="523"/>
  <c r="D198" i="25590"/>
  <c r="D198" i="512"/>
  <c r="D198" i="523"/>
  <c r="D198" i="25588"/>
  <c r="D268" i="32"/>
  <c r="E198" i="2819"/>
  <c r="D267" i="4888"/>
  <c r="E197" i="2819"/>
  <c r="D54" i="25586"/>
  <c r="E55" i="25586"/>
  <c r="D198" i="8196"/>
  <c r="D198" i="2316"/>
  <c r="E267" i="10541"/>
  <c r="D54" i="25585"/>
  <c r="E55" i="25585"/>
  <c r="D267" i="25580"/>
  <c r="D147" i="10285"/>
  <c r="D146" i="10285"/>
  <c r="E147" i="10285"/>
  <c r="E198" i="25589"/>
  <c r="D267" i="25587"/>
  <c r="E267" i="25587"/>
  <c r="D267" i="10541"/>
  <c r="D198" i="25589"/>
  <c r="B265" i="25580"/>
  <c r="H265" i="25580" s="1"/>
  <c r="E197" i="25590"/>
  <c r="D197" i="25590"/>
  <c r="D197" i="25589"/>
  <c r="E197" i="25589"/>
  <c r="D266" i="25587"/>
  <c r="E266" i="25587"/>
  <c r="D68" i="25584"/>
  <c r="E68" i="25584"/>
  <c r="D72" i="25583"/>
  <c r="E72" i="25583"/>
  <c r="D72" i="25582"/>
  <c r="E72" i="25582"/>
  <c r="D197" i="2048"/>
  <c r="E197" i="2048"/>
  <c r="D266" i="10541"/>
  <c r="E266" i="10541"/>
  <c r="D197" i="523"/>
  <c r="E197" i="523"/>
  <c r="E197" i="1024"/>
  <c r="J66" i="1"/>
  <c r="E54" i="25586"/>
  <c r="J440" i="1"/>
  <c r="E146" i="10285"/>
  <c r="E54" i="25585"/>
  <c r="J1196" i="1"/>
  <c r="J1100" i="1"/>
  <c r="L535" i="1"/>
  <c r="L582" i="1"/>
  <c r="J1619" i="1"/>
  <c r="J128" i="1"/>
  <c r="N290" i="1"/>
  <c r="B266" i="32"/>
  <c r="J1035" i="1"/>
  <c r="J376" i="1"/>
  <c r="B196" i="2316"/>
  <c r="H196" i="2316" s="1"/>
  <c r="J190" i="1"/>
  <c r="B265" i="4888"/>
  <c r="J1148" i="1"/>
  <c r="C265" i="3"/>
  <c r="J911" i="1"/>
  <c r="L1431" i="1"/>
  <c r="B145" i="768"/>
  <c r="H145" i="768" s="1"/>
  <c r="J1478" i="1"/>
  <c r="B196" i="25588"/>
  <c r="H196" i="25588" s="1"/>
  <c r="J849" i="1"/>
  <c r="B196" i="8196"/>
  <c r="H196" i="8196" s="1"/>
  <c r="J1399" i="1"/>
  <c r="B196" i="512"/>
  <c r="H196" i="512" s="1"/>
  <c r="H265" i="4888" l="1"/>
  <c r="H220" i="9216"/>
  <c r="H289" i="20994"/>
  <c r="H289" i="3"/>
  <c r="G169" i="768"/>
  <c r="G220" i="2316"/>
  <c r="G289" i="4888"/>
  <c r="G220" i="8196"/>
  <c r="G220" i="512"/>
  <c r="G220" i="25588"/>
  <c r="G290" i="32"/>
  <c r="G289" i="25580"/>
  <c r="G208" i="9216"/>
  <c r="F208" i="9216"/>
  <c r="G277" i="20994"/>
  <c r="F277" i="20994"/>
  <c r="F277" i="3"/>
  <c r="G277" i="3"/>
  <c r="E277" i="4888"/>
  <c r="F277" i="4888"/>
  <c r="F208" i="8196"/>
  <c r="E208" i="8196"/>
  <c r="F208" i="25588"/>
  <c r="E208" i="25588"/>
  <c r="F208" i="2316"/>
  <c r="F157" i="768"/>
  <c r="E157" i="768"/>
  <c r="F208" i="512"/>
  <c r="E208" i="512"/>
  <c r="F278" i="32"/>
  <c r="E278" i="32"/>
  <c r="F277" i="25580"/>
  <c r="E277" i="25580"/>
  <c r="E207" i="25588"/>
  <c r="E207" i="512"/>
  <c r="E207" i="8196"/>
  <c r="E277" i="32"/>
  <c r="F207" i="9216"/>
  <c r="F276" i="20994"/>
  <c r="E156" i="768"/>
  <c r="E276" i="4888"/>
  <c r="E276" i="25580"/>
  <c r="F276" i="3"/>
  <c r="F206" i="9216"/>
  <c r="F275" i="20994"/>
  <c r="F275" i="3"/>
  <c r="E206" i="25588"/>
  <c r="E206" i="8196"/>
  <c r="E155" i="768"/>
  <c r="E206" i="512"/>
  <c r="E276" i="32"/>
  <c r="E275" i="25580"/>
  <c r="E275" i="4888"/>
  <c r="F205" i="9216"/>
  <c r="F274" i="20994"/>
  <c r="F274" i="3"/>
  <c r="E205" i="512"/>
  <c r="E275" i="32"/>
  <c r="E274" i="25580"/>
  <c r="E154" i="768"/>
  <c r="E274" i="4888"/>
  <c r="E205" i="8196"/>
  <c r="E205" i="25588"/>
  <c r="E204" i="25588"/>
  <c r="E204" i="512"/>
  <c r="E204" i="8196"/>
  <c r="E274" i="32"/>
  <c r="E197" i="9216"/>
  <c r="F204" i="9216"/>
  <c r="F273" i="20994"/>
  <c r="E153" i="768"/>
  <c r="E273" i="4888"/>
  <c r="E273" i="25580"/>
  <c r="F273" i="3"/>
  <c r="F203" i="9216"/>
  <c r="F272" i="20994"/>
  <c r="E272" i="25580"/>
  <c r="F272" i="3"/>
  <c r="E203" i="512"/>
  <c r="E203" i="8196"/>
  <c r="E272" i="4888"/>
  <c r="E203" i="25588"/>
  <c r="E152" i="768"/>
  <c r="F198" i="9216"/>
  <c r="F202" i="9216"/>
  <c r="F267" i="20994"/>
  <c r="F271" i="20994"/>
  <c r="F266" i="20994"/>
  <c r="E266" i="20994"/>
  <c r="F268" i="20994"/>
  <c r="F271" i="3"/>
  <c r="E151" i="768"/>
  <c r="E202" i="512"/>
  <c r="E272" i="32"/>
  <c r="E271" i="25580"/>
  <c r="E202" i="8196"/>
  <c r="E271" i="4888"/>
  <c r="E202" i="25588"/>
  <c r="F199" i="9216"/>
  <c r="F269" i="20994"/>
  <c r="F197" i="9216"/>
  <c r="F201" i="9216"/>
  <c r="F270" i="20994"/>
  <c r="F200" i="9216"/>
  <c r="F270" i="3"/>
  <c r="E201" i="8196"/>
  <c r="E270" i="4888"/>
  <c r="E150" i="768"/>
  <c r="E270" i="25580"/>
  <c r="E201" i="25588"/>
  <c r="E201" i="512"/>
  <c r="E271" i="32"/>
  <c r="F269" i="3"/>
  <c r="E269" i="4888"/>
  <c r="E200" i="512"/>
  <c r="E270" i="32"/>
  <c r="E149" i="768"/>
  <c r="E269" i="25580"/>
  <c r="E200" i="8196"/>
  <c r="E200" i="25588"/>
  <c r="F268" i="3"/>
  <c r="E269" i="32"/>
  <c r="E266" i="25580"/>
  <c r="E268" i="25580"/>
  <c r="E199" i="25588"/>
  <c r="E148" i="768"/>
  <c r="E199" i="512"/>
  <c r="E199" i="8196"/>
  <c r="E268" i="4888"/>
  <c r="D266" i="4888"/>
  <c r="E267" i="4888"/>
  <c r="E198" i="512"/>
  <c r="E198" i="25588"/>
  <c r="E147" i="768"/>
  <c r="F267" i="3"/>
  <c r="E198" i="8196"/>
  <c r="D266" i="25580"/>
  <c r="E267" i="25580"/>
  <c r="E267" i="32"/>
  <c r="E268" i="32"/>
  <c r="E197" i="25588"/>
  <c r="D197" i="25588"/>
  <c r="E197" i="512"/>
  <c r="D197" i="512"/>
  <c r="D197" i="8196"/>
  <c r="E197" i="8196"/>
  <c r="E266" i="3"/>
  <c r="F266" i="3"/>
  <c r="E266" i="4888"/>
  <c r="D267" i="32"/>
  <c r="D197" i="2316"/>
  <c r="D146" i="768"/>
  <c r="E146" i="768"/>
  <c r="B66" i="25584"/>
  <c r="B70" i="25583"/>
  <c r="B70" i="25582"/>
  <c r="G94" i="25583" l="1"/>
  <c r="G90" i="25584"/>
  <c r="G94" i="25582"/>
  <c r="F78" i="25584"/>
  <c r="F82" i="25583"/>
  <c r="F82" i="25582"/>
  <c r="D71" i="25582"/>
  <c r="D71" i="25583"/>
  <c r="D67" i="25584"/>
  <c r="I439" i="1"/>
  <c r="B264" i="2561" s="1"/>
  <c r="H264" i="2561" s="1"/>
  <c r="K534" i="1"/>
  <c r="K581" i="1"/>
  <c r="B144" i="10285" s="1"/>
  <c r="H144" i="10285" s="1"/>
  <c r="I848" i="1"/>
  <c r="B195" i="8196" s="1"/>
  <c r="H195" i="8196" s="1"/>
  <c r="I910" i="1"/>
  <c r="I1034" i="1"/>
  <c r="I1099" i="1"/>
  <c r="B195" i="2819" s="1"/>
  <c r="H195" i="2819" s="1"/>
  <c r="I1147" i="1"/>
  <c r="I1195" i="1"/>
  <c r="B195" i="2048" s="1"/>
  <c r="H195" i="2048" s="1"/>
  <c r="I1398" i="1"/>
  <c r="K1430" i="1"/>
  <c r="B144" i="768" s="1"/>
  <c r="H144" i="768" s="1"/>
  <c r="I1477" i="1"/>
  <c r="B195" i="25588" s="1"/>
  <c r="H195" i="25588" s="1"/>
  <c r="I1618" i="1"/>
  <c r="G598" i="1"/>
  <c r="H598" i="1" s="1"/>
  <c r="G660" i="1"/>
  <c r="H660" i="1" s="1"/>
  <c r="G1213" i="1"/>
  <c r="H1213" i="1" s="1"/>
  <c r="I1571" i="1"/>
  <c r="J1571" i="1" s="1"/>
  <c r="I1524" i="1"/>
  <c r="B195" i="9216" s="1"/>
  <c r="I972" i="1"/>
  <c r="J972" i="1" s="1"/>
  <c r="J1524" i="1" l="1"/>
  <c r="H219" i="9216"/>
  <c r="G219" i="25588"/>
  <c r="G219" i="8196"/>
  <c r="G219" i="2819"/>
  <c r="G168" i="10285"/>
  <c r="G168" i="768"/>
  <c r="G219" i="2048"/>
  <c r="F207" i="25588"/>
  <c r="F207" i="8196"/>
  <c r="F207" i="2048"/>
  <c r="F207" i="2819"/>
  <c r="G207" i="9216"/>
  <c r="F156" i="768"/>
  <c r="F156" i="10285"/>
  <c r="B264" i="20994"/>
  <c r="B195" i="1024"/>
  <c r="J1477" i="1"/>
  <c r="J848" i="1"/>
  <c r="E196" i="9216"/>
  <c r="D196" i="8196"/>
  <c r="D145" i="768"/>
  <c r="D145" i="10285"/>
  <c r="D196" i="25588"/>
  <c r="D196" i="2048"/>
  <c r="D196" i="2819"/>
  <c r="J1618" i="1"/>
  <c r="B195" i="25590"/>
  <c r="H195" i="25590" s="1"/>
  <c r="J1034" i="1"/>
  <c r="B195" i="25589"/>
  <c r="H195" i="25589" s="1"/>
  <c r="J1099" i="1"/>
  <c r="J910" i="1"/>
  <c r="B264" i="25587"/>
  <c r="H264" i="25587" s="1"/>
  <c r="J1398" i="1"/>
  <c r="B195" i="512"/>
  <c r="H195" i="512" s="1"/>
  <c r="L1430" i="1"/>
  <c r="L581" i="1"/>
  <c r="J1195" i="1"/>
  <c r="J1147" i="1"/>
  <c r="B195" i="523"/>
  <c r="H195" i="523" s="1"/>
  <c r="L534" i="1"/>
  <c r="B264" i="10541"/>
  <c r="H264" i="10541" s="1"/>
  <c r="B52" i="25585"/>
  <c r="H52" i="25585" s="1"/>
  <c r="B52" i="25586"/>
  <c r="H52" i="25586" s="1"/>
  <c r="A52" i="25586"/>
  <c r="A52" i="25585" s="1"/>
  <c r="A264" i="25580" s="1"/>
  <c r="A264" i="4888" s="1"/>
  <c r="A144" i="10285" s="1"/>
  <c r="A144" i="768" s="1"/>
  <c r="A264" i="20994" s="1"/>
  <c r="A195" i="9216" s="1"/>
  <c r="A195" i="1024" s="1"/>
  <c r="A265" i="32" s="1"/>
  <c r="A195" i="2316" s="1"/>
  <c r="A195" i="2819" s="1"/>
  <c r="A264" i="2561" s="1"/>
  <c r="A195" i="523" s="1"/>
  <c r="A264" i="10541" s="1"/>
  <c r="A195" i="2048" s="1"/>
  <c r="A70" i="25582" s="1"/>
  <c r="A70" i="25583" s="1"/>
  <c r="A66" i="25584" s="1"/>
  <c r="A195" i="8196" s="1"/>
  <c r="A195" i="512" s="1"/>
  <c r="A264" i="25587" s="1"/>
  <c r="A195" i="25588" s="1"/>
  <c r="A195" i="25589" s="1"/>
  <c r="A195" i="25590" s="1"/>
  <c r="J439" i="1"/>
  <c r="I375" i="1"/>
  <c r="B195" i="2316" s="1"/>
  <c r="H195" i="2316" s="1"/>
  <c r="M289" i="1"/>
  <c r="B265" i="32" s="1"/>
  <c r="I189" i="1"/>
  <c r="B264" i="4888" s="1"/>
  <c r="I127" i="1"/>
  <c r="I65" i="1"/>
  <c r="H264" i="4888" l="1"/>
  <c r="H219" i="1024"/>
  <c r="H288" i="20994"/>
  <c r="G289" i="32"/>
  <c r="G219" i="523"/>
  <c r="G219" i="25590"/>
  <c r="G219" i="512"/>
  <c r="G219" i="2316"/>
  <c r="G288" i="10541"/>
  <c r="G219" i="25589"/>
  <c r="G288" i="4888"/>
  <c r="G288" i="25587"/>
  <c r="F207" i="25590"/>
  <c r="F207" i="25589"/>
  <c r="F276" i="25587"/>
  <c r="F207" i="512"/>
  <c r="F276" i="10541"/>
  <c r="F207" i="523"/>
  <c r="F207" i="2316"/>
  <c r="F277" i="32"/>
  <c r="G207" i="1024"/>
  <c r="G276" i="20994"/>
  <c r="F276" i="4888"/>
  <c r="F64" i="25585"/>
  <c r="F64" i="25586"/>
  <c r="E196" i="1024"/>
  <c r="E265" i="20994"/>
  <c r="J65" i="1"/>
  <c r="D265" i="10541"/>
  <c r="D266" i="32"/>
  <c r="D196" i="523"/>
  <c r="D196" i="2316"/>
  <c r="D196" i="25589"/>
  <c r="D53" i="25585"/>
  <c r="D53" i="25586"/>
  <c r="D196" i="25590"/>
  <c r="D196" i="512"/>
  <c r="D265" i="4888"/>
  <c r="D265" i="25587"/>
  <c r="C264" i="3"/>
  <c r="J375" i="1"/>
  <c r="J189" i="1"/>
  <c r="N289" i="1"/>
  <c r="J127" i="1"/>
  <c r="B264" i="25580"/>
  <c r="H264" i="25580" s="1"/>
  <c r="B65" i="25584"/>
  <c r="B64" i="25584"/>
  <c r="B63" i="25584"/>
  <c r="B62" i="25584"/>
  <c r="B61" i="25584"/>
  <c r="B60" i="25584"/>
  <c r="B59" i="25584"/>
  <c r="B58" i="25584"/>
  <c r="B57" i="25584"/>
  <c r="B56" i="25584"/>
  <c r="B55" i="25584"/>
  <c r="B54" i="25584"/>
  <c r="B53" i="25584"/>
  <c r="B52" i="25584"/>
  <c r="B51" i="25584"/>
  <c r="B50" i="25584"/>
  <c r="B49" i="25584"/>
  <c r="B48" i="25584"/>
  <c r="B47" i="25584"/>
  <c r="B46" i="25584"/>
  <c r="B45" i="25584"/>
  <c r="B44" i="25584"/>
  <c r="B43" i="25584"/>
  <c r="B42" i="25584"/>
  <c r="B41" i="25584"/>
  <c r="B40" i="25584"/>
  <c r="B39" i="25584"/>
  <c r="B38" i="25584"/>
  <c r="B37" i="25584"/>
  <c r="B36" i="25584"/>
  <c r="B35" i="25584"/>
  <c r="B34" i="25584"/>
  <c r="B33" i="25584"/>
  <c r="B32" i="25584"/>
  <c r="B31" i="25584"/>
  <c r="B30" i="25584"/>
  <c r="B29" i="25584"/>
  <c r="B28" i="25584"/>
  <c r="B27" i="25584"/>
  <c r="B26" i="25584"/>
  <c r="B25" i="25584"/>
  <c r="B24" i="25584"/>
  <c r="B23" i="25584"/>
  <c r="B22" i="25584"/>
  <c r="B21" i="25584"/>
  <c r="B20" i="25584"/>
  <c r="B19" i="25584"/>
  <c r="B18" i="25584"/>
  <c r="B17" i="25584"/>
  <c r="B16" i="25584"/>
  <c r="B15" i="25584"/>
  <c r="B14" i="25584"/>
  <c r="B13" i="25584"/>
  <c r="B12" i="25584"/>
  <c r="B11" i="25584"/>
  <c r="B10" i="25584"/>
  <c r="B9" i="25584"/>
  <c r="B8" i="25584"/>
  <c r="B69" i="25583"/>
  <c r="B68" i="25583"/>
  <c r="B67" i="25583"/>
  <c r="B66" i="25583"/>
  <c r="B65" i="25583"/>
  <c r="B64" i="25583"/>
  <c r="B63" i="25583"/>
  <c r="B62" i="25583"/>
  <c r="B61" i="25583"/>
  <c r="B60" i="25583"/>
  <c r="B59" i="25583"/>
  <c r="B58" i="25583"/>
  <c r="B57" i="25583"/>
  <c r="B56" i="25583"/>
  <c r="B55" i="25583"/>
  <c r="B54" i="25583"/>
  <c r="B53" i="25583"/>
  <c r="B52" i="25583"/>
  <c r="B51" i="25583"/>
  <c r="B50" i="25583"/>
  <c r="B49" i="25583"/>
  <c r="B48" i="25583"/>
  <c r="B47" i="25583"/>
  <c r="B46" i="25583"/>
  <c r="B45" i="25583"/>
  <c r="B44" i="25583"/>
  <c r="B43" i="25583"/>
  <c r="B42" i="25583"/>
  <c r="B41" i="25583"/>
  <c r="B40" i="25583"/>
  <c r="B39" i="25583"/>
  <c r="B38" i="25583"/>
  <c r="B37" i="25583"/>
  <c r="B36" i="25583"/>
  <c r="B35" i="25583"/>
  <c r="B34" i="25583"/>
  <c r="B33" i="25583"/>
  <c r="B32" i="25583"/>
  <c r="B31" i="25583"/>
  <c r="B30" i="25583"/>
  <c r="B29" i="25583"/>
  <c r="B28" i="25583"/>
  <c r="B27" i="25583"/>
  <c r="B26" i="25583"/>
  <c r="B25" i="25583"/>
  <c r="B24" i="25583"/>
  <c r="B23" i="25583"/>
  <c r="B22" i="25583"/>
  <c r="B21" i="25583"/>
  <c r="B20" i="25583"/>
  <c r="B19" i="25583"/>
  <c r="B18" i="25583"/>
  <c r="B17" i="25583"/>
  <c r="B16" i="25583"/>
  <c r="B15" i="25583"/>
  <c r="B14" i="25583"/>
  <c r="B13" i="25583"/>
  <c r="B12" i="25583"/>
  <c r="B11" i="25583"/>
  <c r="B10" i="25583"/>
  <c r="B9" i="25583"/>
  <c r="B8" i="25583"/>
  <c r="B69" i="25582"/>
  <c r="B68" i="25582"/>
  <c r="B67" i="25582"/>
  <c r="B66" i="25582"/>
  <c r="B65" i="25582"/>
  <c r="B64" i="25582"/>
  <c r="B63" i="25582"/>
  <c r="B62" i="25582"/>
  <c r="B61" i="25582"/>
  <c r="B60" i="25582"/>
  <c r="B59" i="25582"/>
  <c r="B58" i="25582"/>
  <c r="B57" i="25582"/>
  <c r="B56" i="25582"/>
  <c r="B55" i="25582"/>
  <c r="B54" i="25582"/>
  <c r="B53" i="25582"/>
  <c r="B52" i="25582"/>
  <c r="B51" i="25582"/>
  <c r="B50" i="25582"/>
  <c r="B49" i="25582"/>
  <c r="B48" i="25582"/>
  <c r="B47" i="25582"/>
  <c r="B46" i="25582"/>
  <c r="B45" i="25582"/>
  <c r="B44" i="25582"/>
  <c r="B43" i="25582"/>
  <c r="B42" i="25582"/>
  <c r="B41" i="25582"/>
  <c r="B40" i="25582"/>
  <c r="B39" i="25582"/>
  <c r="B38" i="25582"/>
  <c r="B37" i="25582"/>
  <c r="B36" i="25582"/>
  <c r="B35" i="25582"/>
  <c r="B34" i="25582"/>
  <c r="B33" i="25582"/>
  <c r="B32" i="25582"/>
  <c r="B31" i="25582"/>
  <c r="B30" i="25582"/>
  <c r="B29" i="25582"/>
  <c r="B28" i="25582"/>
  <c r="B27" i="25582"/>
  <c r="B26" i="25582"/>
  <c r="B25" i="25582"/>
  <c r="B24" i="25582"/>
  <c r="B23" i="25582"/>
  <c r="B22" i="25582"/>
  <c r="B21" i="25582"/>
  <c r="B20" i="25582"/>
  <c r="B19" i="25582"/>
  <c r="B18" i="25582"/>
  <c r="B17" i="25582"/>
  <c r="B16" i="25582"/>
  <c r="B15" i="25582"/>
  <c r="B14" i="25582"/>
  <c r="B13" i="25582"/>
  <c r="B12" i="25582"/>
  <c r="B11" i="25582"/>
  <c r="B10" i="25582"/>
  <c r="B9" i="25582"/>
  <c r="B8" i="25582"/>
  <c r="B51" i="25585"/>
  <c r="H51" i="25585" s="1"/>
  <c r="B50" i="25585"/>
  <c r="H50" i="25585" s="1"/>
  <c r="B49" i="25585"/>
  <c r="H49" i="25585" s="1"/>
  <c r="B48" i="25585"/>
  <c r="H48" i="25585" s="1"/>
  <c r="B47" i="25585"/>
  <c r="H47" i="25585" s="1"/>
  <c r="B46" i="25585"/>
  <c r="H46" i="25585" s="1"/>
  <c r="B45" i="25585"/>
  <c r="H45" i="25585" s="1"/>
  <c r="B44" i="25585"/>
  <c r="H44" i="25585" s="1"/>
  <c r="B43" i="25585"/>
  <c r="H43" i="25585" s="1"/>
  <c r="B42" i="25585"/>
  <c r="H42" i="25585" s="1"/>
  <c r="B41" i="25585"/>
  <c r="H41" i="25585" s="1"/>
  <c r="B40" i="25585"/>
  <c r="H40" i="25585" s="1"/>
  <c r="B39" i="25585"/>
  <c r="H39" i="25585" s="1"/>
  <c r="B38" i="25585"/>
  <c r="H38" i="25585" s="1"/>
  <c r="B37" i="25585"/>
  <c r="H37" i="25585" s="1"/>
  <c r="B36" i="25585"/>
  <c r="H36" i="25585" s="1"/>
  <c r="B35" i="25585"/>
  <c r="H35" i="25585" s="1"/>
  <c r="B34" i="25585"/>
  <c r="H34" i="25585" s="1"/>
  <c r="B33" i="25585"/>
  <c r="H33" i="25585" s="1"/>
  <c r="B32" i="25585"/>
  <c r="H32" i="25585" s="1"/>
  <c r="B31" i="25585"/>
  <c r="H31" i="25585" s="1"/>
  <c r="B30" i="25585"/>
  <c r="H30" i="25585" s="1"/>
  <c r="B29" i="25585"/>
  <c r="H29" i="25585" s="1"/>
  <c r="B28" i="25585"/>
  <c r="H28" i="25585" s="1"/>
  <c r="B27" i="25585"/>
  <c r="H27" i="25585" s="1"/>
  <c r="B26" i="25585"/>
  <c r="H26" i="25585" s="1"/>
  <c r="B25" i="25585"/>
  <c r="H25" i="25585" s="1"/>
  <c r="B24" i="25585"/>
  <c r="H24" i="25585" s="1"/>
  <c r="B23" i="25585"/>
  <c r="H23" i="25585" s="1"/>
  <c r="B22" i="25585"/>
  <c r="H22" i="25585" s="1"/>
  <c r="B21" i="25585"/>
  <c r="H21" i="25585" s="1"/>
  <c r="B20" i="25585"/>
  <c r="H20" i="25585" s="1"/>
  <c r="B19" i="25585"/>
  <c r="H19" i="25585" s="1"/>
  <c r="B18" i="25585"/>
  <c r="H18" i="25585" s="1"/>
  <c r="B17" i="25585"/>
  <c r="H17" i="25585" s="1"/>
  <c r="B16" i="25585"/>
  <c r="H16" i="25585" s="1"/>
  <c r="B15" i="25585"/>
  <c r="H15" i="25585" s="1"/>
  <c r="B14" i="25585"/>
  <c r="H14" i="25585" s="1"/>
  <c r="B13" i="25585"/>
  <c r="H13" i="25585" s="1"/>
  <c r="B12" i="25585"/>
  <c r="H12" i="25585" s="1"/>
  <c r="B11" i="25585"/>
  <c r="H11" i="25585" s="1"/>
  <c r="B10" i="25585"/>
  <c r="H10" i="25585" s="1"/>
  <c r="B9" i="25585"/>
  <c r="H9" i="25585" s="1"/>
  <c r="B8" i="25585"/>
  <c r="B51" i="25586"/>
  <c r="H51" i="25586" s="1"/>
  <c r="B50" i="25586"/>
  <c r="H50" i="25586" s="1"/>
  <c r="B49" i="25586"/>
  <c r="H49" i="25586" s="1"/>
  <c r="B48" i="25586"/>
  <c r="H48" i="25586" s="1"/>
  <c r="B47" i="25586"/>
  <c r="H47" i="25586" s="1"/>
  <c r="B46" i="25586"/>
  <c r="H46" i="25586" s="1"/>
  <c r="B45" i="25586"/>
  <c r="H45" i="25586" s="1"/>
  <c r="B44" i="25586"/>
  <c r="H44" i="25586" s="1"/>
  <c r="B43" i="25586"/>
  <c r="H43" i="25586" s="1"/>
  <c r="B42" i="25586"/>
  <c r="H42" i="25586" s="1"/>
  <c r="B41" i="25586"/>
  <c r="H41" i="25586" s="1"/>
  <c r="B40" i="25586"/>
  <c r="H40" i="25586" s="1"/>
  <c r="B39" i="25586"/>
  <c r="H39" i="25586" s="1"/>
  <c r="B38" i="25586"/>
  <c r="H38" i="25586" s="1"/>
  <c r="B37" i="25586"/>
  <c r="H37" i="25586" s="1"/>
  <c r="B36" i="25586"/>
  <c r="H36" i="25586" s="1"/>
  <c r="B35" i="25586"/>
  <c r="H35" i="25586" s="1"/>
  <c r="B34" i="25586"/>
  <c r="H34" i="25586" s="1"/>
  <c r="B33" i="25586"/>
  <c r="H33" i="25586" s="1"/>
  <c r="B32" i="25586"/>
  <c r="H32" i="25586" s="1"/>
  <c r="B31" i="25586"/>
  <c r="H31" i="25586" s="1"/>
  <c r="B30" i="25586"/>
  <c r="H30" i="25586" s="1"/>
  <c r="B29" i="25586"/>
  <c r="H29" i="25586" s="1"/>
  <c r="B28" i="25586"/>
  <c r="H28" i="25586" s="1"/>
  <c r="B27" i="25586"/>
  <c r="H27" i="25586" s="1"/>
  <c r="B26" i="25586"/>
  <c r="H26" i="25586" s="1"/>
  <c r="B25" i="25586"/>
  <c r="H25" i="25586" s="1"/>
  <c r="B24" i="25586"/>
  <c r="H24" i="25586" s="1"/>
  <c r="B23" i="25586"/>
  <c r="H23" i="25586" s="1"/>
  <c r="B22" i="25586"/>
  <c r="H22" i="25586" s="1"/>
  <c r="B21" i="25586"/>
  <c r="H21" i="25586" s="1"/>
  <c r="B20" i="25586"/>
  <c r="H20" i="25586" s="1"/>
  <c r="B19" i="25586"/>
  <c r="H19" i="25586" s="1"/>
  <c r="B18" i="25586"/>
  <c r="H18" i="25586" s="1"/>
  <c r="B17" i="25586"/>
  <c r="H17" i="25586" s="1"/>
  <c r="B16" i="25586"/>
  <c r="H16" i="25586" s="1"/>
  <c r="B15" i="25586"/>
  <c r="H15" i="25586" s="1"/>
  <c r="B14" i="25586"/>
  <c r="H14" i="25586" s="1"/>
  <c r="B13" i="25586"/>
  <c r="H13" i="25586" s="1"/>
  <c r="B12" i="25586"/>
  <c r="H12" i="25586" s="1"/>
  <c r="B11" i="25586"/>
  <c r="H11" i="25586" s="1"/>
  <c r="B10" i="25586"/>
  <c r="H10" i="25586" s="1"/>
  <c r="B9" i="25586"/>
  <c r="H9" i="25586" s="1"/>
  <c r="B8" i="25586"/>
  <c r="A51" i="25586"/>
  <c r="A51" i="25585" s="1"/>
  <c r="A263" i="25580" s="1"/>
  <c r="A263" i="4888" s="1"/>
  <c r="A143" i="10285" s="1"/>
  <c r="A143" i="768" s="1"/>
  <c r="A263" i="20994" s="1"/>
  <c r="A194" i="9216" s="1"/>
  <c r="A194" i="1024" s="1"/>
  <c r="A264" i="32" s="1"/>
  <c r="A194" i="2316" s="1"/>
  <c r="A194" i="2819" s="1"/>
  <c r="A263" i="2561" s="1"/>
  <c r="A194" i="523" s="1"/>
  <c r="A263" i="10541" s="1"/>
  <c r="A194" i="2048" s="1"/>
  <c r="A69" i="25582" s="1"/>
  <c r="A69" i="25583" s="1"/>
  <c r="A65" i="25584" s="1"/>
  <c r="A194" i="8196" s="1"/>
  <c r="A194" i="512" s="1"/>
  <c r="A263" i="25587" s="1"/>
  <c r="A194" i="25588" s="1"/>
  <c r="A194" i="25589" s="1"/>
  <c r="A194" i="25590" s="1"/>
  <c r="I126" i="1"/>
  <c r="I188" i="1"/>
  <c r="J188" i="1" s="1"/>
  <c r="M288" i="1"/>
  <c r="I374" i="1"/>
  <c r="I438" i="1"/>
  <c r="B263" i="2561" s="1"/>
  <c r="H263" i="2561" s="1"/>
  <c r="K533" i="1"/>
  <c r="B263" i="10541" s="1"/>
  <c r="H263" i="10541" s="1"/>
  <c r="K580" i="1"/>
  <c r="I847" i="1"/>
  <c r="I909" i="1"/>
  <c r="I1033" i="1"/>
  <c r="I1098" i="1"/>
  <c r="B194" i="2819" s="1"/>
  <c r="H194" i="2819" s="1"/>
  <c r="I1146" i="1"/>
  <c r="I1194" i="1"/>
  <c r="B194" i="2048" s="1"/>
  <c r="H194" i="2048" s="1"/>
  <c r="I1397" i="1"/>
  <c r="B194" i="512" s="1"/>
  <c r="H194" i="512" s="1"/>
  <c r="K1429" i="1"/>
  <c r="I1476" i="1"/>
  <c r="I1617" i="1"/>
  <c r="I64" i="1"/>
  <c r="G597" i="1"/>
  <c r="H597" i="1" s="1"/>
  <c r="G659" i="1"/>
  <c r="H659" i="1" s="1"/>
  <c r="G1212" i="1"/>
  <c r="H1212" i="1" s="1"/>
  <c r="I1570" i="1"/>
  <c r="J1570" i="1" s="1"/>
  <c r="G1525" i="1"/>
  <c r="G1524" i="1"/>
  <c r="G1523" i="1"/>
  <c r="G1522" i="1"/>
  <c r="G1521" i="1"/>
  <c r="G1520" i="1"/>
  <c r="G1519" i="1"/>
  <c r="G1518" i="1"/>
  <c r="I1517" i="1"/>
  <c r="I1516" i="1"/>
  <c r="I1515" i="1"/>
  <c r="I1514" i="1"/>
  <c r="I1523" i="1"/>
  <c r="J1523" i="1" s="1"/>
  <c r="I971" i="1"/>
  <c r="B263" i="20994" s="1"/>
  <c r="E1352" i="1"/>
  <c r="C1352" i="1"/>
  <c r="E1351" i="1"/>
  <c r="C1351" i="1"/>
  <c r="E1350" i="1"/>
  <c r="C1350" i="1"/>
  <c r="E1349" i="1"/>
  <c r="C1349" i="1"/>
  <c r="E1348" i="1"/>
  <c r="C1348" i="1"/>
  <c r="E1347" i="1"/>
  <c r="C1347" i="1"/>
  <c r="E1346" i="1"/>
  <c r="C1346" i="1"/>
  <c r="E1345" i="1"/>
  <c r="C1345" i="1"/>
  <c r="E1344" i="1"/>
  <c r="C1344" i="1"/>
  <c r="E1343" i="1"/>
  <c r="C1343" i="1"/>
  <c r="E1342" i="1"/>
  <c r="E1341" i="1"/>
  <c r="E1305" i="1"/>
  <c r="C1305" i="1"/>
  <c r="E1304" i="1"/>
  <c r="C1304" i="1"/>
  <c r="E1303" i="1"/>
  <c r="C1303" i="1"/>
  <c r="E1302" i="1"/>
  <c r="C1302" i="1"/>
  <c r="E1301" i="1"/>
  <c r="C1301" i="1"/>
  <c r="E1300" i="1"/>
  <c r="C1300" i="1"/>
  <c r="E1299" i="1"/>
  <c r="C1299" i="1"/>
  <c r="E1298" i="1"/>
  <c r="C1298" i="1"/>
  <c r="E1297" i="1"/>
  <c r="C1297" i="1"/>
  <c r="E1296" i="1"/>
  <c r="C1296" i="1"/>
  <c r="E1295" i="1"/>
  <c r="E1294" i="1"/>
  <c r="E1258" i="1"/>
  <c r="C1258" i="1"/>
  <c r="E1257" i="1"/>
  <c r="C1257" i="1"/>
  <c r="E1256" i="1"/>
  <c r="C1256" i="1"/>
  <c r="E1255" i="1"/>
  <c r="C1255" i="1"/>
  <c r="E1254" i="1"/>
  <c r="C1254" i="1"/>
  <c r="E1253" i="1"/>
  <c r="C1253" i="1"/>
  <c r="E1252" i="1"/>
  <c r="C1252" i="1"/>
  <c r="E1251" i="1"/>
  <c r="C1251" i="1"/>
  <c r="E1250" i="1"/>
  <c r="C1250" i="1"/>
  <c r="E1249" i="1"/>
  <c r="C1249" i="1"/>
  <c r="E1248" i="1"/>
  <c r="E1247" i="1"/>
  <c r="E1214" i="1"/>
  <c r="C1214" i="1"/>
  <c r="E1213" i="1"/>
  <c r="C1213" i="1"/>
  <c r="E1212" i="1"/>
  <c r="C1212" i="1"/>
  <c r="G1211" i="1"/>
  <c r="E1211" i="1"/>
  <c r="C1211" i="1"/>
  <c r="G1210" i="1"/>
  <c r="E1210" i="1"/>
  <c r="C1210" i="1"/>
  <c r="G1209" i="1"/>
  <c r="E1209" i="1"/>
  <c r="C1209" i="1"/>
  <c r="G1208" i="1"/>
  <c r="E1208" i="1"/>
  <c r="C1208" i="1"/>
  <c r="G1207" i="1"/>
  <c r="E1207" i="1"/>
  <c r="C1207" i="1"/>
  <c r="G1206" i="1"/>
  <c r="E1206" i="1"/>
  <c r="C1206" i="1"/>
  <c r="G1205" i="1"/>
  <c r="E1205" i="1"/>
  <c r="C1205" i="1"/>
  <c r="G1204" i="1"/>
  <c r="E1204" i="1"/>
  <c r="C1204" i="1"/>
  <c r="G1203" i="1"/>
  <c r="E1203" i="1"/>
  <c r="C1203" i="1"/>
  <c r="E786" i="1"/>
  <c r="C786" i="1"/>
  <c r="E785" i="1"/>
  <c r="C785" i="1"/>
  <c r="E784" i="1"/>
  <c r="C784" i="1"/>
  <c r="E783" i="1"/>
  <c r="C783" i="1"/>
  <c r="E782" i="1"/>
  <c r="C782" i="1"/>
  <c r="E781" i="1"/>
  <c r="C781" i="1"/>
  <c r="E780" i="1"/>
  <c r="C780" i="1"/>
  <c r="E779" i="1"/>
  <c r="C779" i="1"/>
  <c r="E778" i="1"/>
  <c r="C778" i="1"/>
  <c r="E777" i="1"/>
  <c r="C777" i="1"/>
  <c r="E776" i="1"/>
  <c r="C776" i="1"/>
  <c r="E775" i="1"/>
  <c r="E723" i="1"/>
  <c r="C723" i="1"/>
  <c r="E722" i="1"/>
  <c r="C722" i="1"/>
  <c r="E721" i="1"/>
  <c r="C721" i="1"/>
  <c r="E720" i="1"/>
  <c r="C720" i="1"/>
  <c r="E719" i="1"/>
  <c r="C719" i="1"/>
  <c r="E718" i="1"/>
  <c r="C718" i="1"/>
  <c r="E717" i="1"/>
  <c r="C717" i="1"/>
  <c r="E716" i="1"/>
  <c r="C716" i="1"/>
  <c r="E715" i="1"/>
  <c r="C715" i="1"/>
  <c r="E714" i="1"/>
  <c r="C714" i="1"/>
  <c r="E713" i="1"/>
  <c r="C713" i="1"/>
  <c r="E712" i="1"/>
  <c r="E661" i="1"/>
  <c r="C661" i="1"/>
  <c r="E660" i="1"/>
  <c r="C660" i="1"/>
  <c r="E659" i="1"/>
  <c r="C659" i="1"/>
  <c r="G658" i="1"/>
  <c r="E658" i="1"/>
  <c r="C658" i="1"/>
  <c r="G657" i="1"/>
  <c r="E657" i="1"/>
  <c r="C657" i="1"/>
  <c r="G656" i="1"/>
  <c r="E656" i="1"/>
  <c r="C656" i="1"/>
  <c r="G655" i="1"/>
  <c r="E655" i="1"/>
  <c r="C655" i="1"/>
  <c r="G654" i="1"/>
  <c r="E654" i="1"/>
  <c r="C654" i="1"/>
  <c r="G653" i="1"/>
  <c r="E653" i="1"/>
  <c r="C653" i="1"/>
  <c r="G652" i="1"/>
  <c r="E652" i="1"/>
  <c r="C652" i="1"/>
  <c r="G651" i="1"/>
  <c r="E651" i="1"/>
  <c r="C651" i="1"/>
  <c r="G650" i="1"/>
  <c r="E650" i="1"/>
  <c r="C650" i="1"/>
  <c r="E599" i="1"/>
  <c r="C599" i="1"/>
  <c r="E598" i="1"/>
  <c r="C598" i="1"/>
  <c r="E597" i="1"/>
  <c r="C597" i="1"/>
  <c r="G596" i="1"/>
  <c r="E596" i="1"/>
  <c r="C596" i="1"/>
  <c r="G595" i="1"/>
  <c r="E595" i="1"/>
  <c r="C595" i="1"/>
  <c r="G594" i="1"/>
  <c r="E594" i="1"/>
  <c r="C594" i="1"/>
  <c r="G593" i="1"/>
  <c r="E593" i="1"/>
  <c r="C593" i="1"/>
  <c r="G592" i="1"/>
  <c r="E592" i="1"/>
  <c r="C592" i="1"/>
  <c r="G591" i="1"/>
  <c r="E591" i="1"/>
  <c r="C591" i="1"/>
  <c r="G590" i="1"/>
  <c r="E590" i="1"/>
  <c r="C590" i="1"/>
  <c r="G589" i="1"/>
  <c r="E589" i="1"/>
  <c r="C589" i="1"/>
  <c r="G588" i="1"/>
  <c r="E588" i="1"/>
  <c r="C588" i="1"/>
  <c r="G1619" i="1"/>
  <c r="E1619" i="1"/>
  <c r="C1619" i="1"/>
  <c r="G1618" i="1"/>
  <c r="E1618" i="1"/>
  <c r="C1618" i="1"/>
  <c r="G1617" i="1"/>
  <c r="E1617" i="1"/>
  <c r="C1617" i="1"/>
  <c r="I1616" i="1"/>
  <c r="G1616" i="1"/>
  <c r="E1616" i="1"/>
  <c r="C1616" i="1"/>
  <c r="I1615" i="1"/>
  <c r="G1615" i="1"/>
  <c r="E1615" i="1"/>
  <c r="C1615" i="1"/>
  <c r="I1614" i="1"/>
  <c r="G1614" i="1"/>
  <c r="E1614" i="1"/>
  <c r="C1614" i="1"/>
  <c r="I1613" i="1"/>
  <c r="G1613" i="1"/>
  <c r="E1613" i="1"/>
  <c r="I1612" i="1"/>
  <c r="G1612" i="1"/>
  <c r="E1612" i="1"/>
  <c r="I1611" i="1"/>
  <c r="G1611" i="1"/>
  <c r="E1611" i="1"/>
  <c r="I1610" i="1"/>
  <c r="G1610" i="1"/>
  <c r="E1610" i="1"/>
  <c r="I1609" i="1"/>
  <c r="G1609" i="1"/>
  <c r="E1609" i="1"/>
  <c r="I1608" i="1"/>
  <c r="G1608" i="1"/>
  <c r="E1608" i="1"/>
  <c r="G1572" i="1"/>
  <c r="G1571" i="1"/>
  <c r="G1570" i="1"/>
  <c r="G1569" i="1"/>
  <c r="G1568" i="1"/>
  <c r="G1567" i="1"/>
  <c r="G1566" i="1"/>
  <c r="G1565" i="1"/>
  <c r="I1564" i="1"/>
  <c r="I1563" i="1"/>
  <c r="I1562" i="1"/>
  <c r="I1561" i="1"/>
  <c r="G1478" i="1"/>
  <c r="C1478" i="1"/>
  <c r="G1477" i="1"/>
  <c r="C1477" i="1"/>
  <c r="G1476" i="1"/>
  <c r="C1476" i="1"/>
  <c r="I1475" i="1"/>
  <c r="G1475" i="1"/>
  <c r="C1475" i="1"/>
  <c r="I1474" i="1"/>
  <c r="G1474" i="1"/>
  <c r="C1474" i="1"/>
  <c r="I1473" i="1"/>
  <c r="G1473" i="1"/>
  <c r="C1473" i="1"/>
  <c r="I1472" i="1"/>
  <c r="G1472" i="1"/>
  <c r="I1471" i="1"/>
  <c r="G1471" i="1"/>
  <c r="I1470" i="1"/>
  <c r="G1470" i="1"/>
  <c r="E1470" i="1"/>
  <c r="I1469" i="1"/>
  <c r="G1469" i="1"/>
  <c r="E1469" i="1"/>
  <c r="I1468" i="1"/>
  <c r="G1468" i="1"/>
  <c r="E1468" i="1"/>
  <c r="I1467" i="1"/>
  <c r="G1467" i="1"/>
  <c r="E1467" i="1"/>
  <c r="I1431" i="1"/>
  <c r="G1431" i="1"/>
  <c r="E1431" i="1"/>
  <c r="I1430" i="1"/>
  <c r="G1430" i="1"/>
  <c r="E1430" i="1"/>
  <c r="I1429" i="1"/>
  <c r="G1429" i="1"/>
  <c r="E1429" i="1"/>
  <c r="K1428" i="1"/>
  <c r="I1428" i="1"/>
  <c r="G1428" i="1"/>
  <c r="E1428" i="1"/>
  <c r="K1427" i="1"/>
  <c r="I1427" i="1"/>
  <c r="G1427" i="1"/>
  <c r="E1427" i="1"/>
  <c r="K1426" i="1"/>
  <c r="I1426" i="1"/>
  <c r="G1426" i="1"/>
  <c r="E1426" i="1"/>
  <c r="K1425" i="1"/>
  <c r="I1425" i="1"/>
  <c r="G1425" i="1"/>
  <c r="K1424" i="1"/>
  <c r="I1424" i="1"/>
  <c r="G1424" i="1"/>
  <c r="K1423" i="1"/>
  <c r="I1423" i="1"/>
  <c r="G1423" i="1"/>
  <c r="K1422" i="1"/>
  <c r="I1422" i="1"/>
  <c r="G1422" i="1"/>
  <c r="K1421" i="1"/>
  <c r="I1421" i="1"/>
  <c r="G1421" i="1"/>
  <c r="K1420" i="1"/>
  <c r="I1420" i="1"/>
  <c r="G1420" i="1"/>
  <c r="G1399" i="1"/>
  <c r="E1399" i="1"/>
  <c r="C1399" i="1"/>
  <c r="G1398" i="1"/>
  <c r="E1398" i="1"/>
  <c r="C1398" i="1"/>
  <c r="G1397" i="1"/>
  <c r="E1397" i="1"/>
  <c r="C1397" i="1"/>
  <c r="I1396" i="1"/>
  <c r="G1396" i="1"/>
  <c r="E1396" i="1"/>
  <c r="C1396" i="1"/>
  <c r="I1395" i="1"/>
  <c r="G1395" i="1"/>
  <c r="E1395" i="1"/>
  <c r="C1395" i="1"/>
  <c r="I1394" i="1"/>
  <c r="G1394" i="1"/>
  <c r="E1394" i="1"/>
  <c r="C1394" i="1"/>
  <c r="I1393" i="1"/>
  <c r="G1393" i="1"/>
  <c r="E1393" i="1"/>
  <c r="I1392" i="1"/>
  <c r="G1392" i="1"/>
  <c r="E1392" i="1"/>
  <c r="I1391" i="1"/>
  <c r="G1391" i="1"/>
  <c r="E1391" i="1"/>
  <c r="I1390" i="1"/>
  <c r="G1390" i="1"/>
  <c r="E1390" i="1"/>
  <c r="I1389" i="1"/>
  <c r="G1389" i="1"/>
  <c r="E1389" i="1"/>
  <c r="I1388" i="1"/>
  <c r="G1388" i="1"/>
  <c r="E1388" i="1"/>
  <c r="G1196" i="1"/>
  <c r="E1196" i="1"/>
  <c r="C1196" i="1"/>
  <c r="G1195" i="1"/>
  <c r="E1195" i="1"/>
  <c r="C1195" i="1"/>
  <c r="G1194" i="1"/>
  <c r="E1194" i="1"/>
  <c r="C1194" i="1"/>
  <c r="I1193" i="1"/>
  <c r="G1193" i="1"/>
  <c r="E1193" i="1"/>
  <c r="C1193" i="1"/>
  <c r="I1192" i="1"/>
  <c r="G1192" i="1"/>
  <c r="E1192" i="1"/>
  <c r="C1192" i="1"/>
  <c r="I1191" i="1"/>
  <c r="G1191" i="1"/>
  <c r="E1191" i="1"/>
  <c r="C1191" i="1"/>
  <c r="I1190" i="1"/>
  <c r="G1190" i="1"/>
  <c r="E1190" i="1"/>
  <c r="I1189" i="1"/>
  <c r="G1189" i="1"/>
  <c r="E1189" i="1"/>
  <c r="I1188" i="1"/>
  <c r="G1188" i="1"/>
  <c r="E1188" i="1"/>
  <c r="I1187" i="1"/>
  <c r="G1187" i="1"/>
  <c r="E1187" i="1"/>
  <c r="I1186" i="1"/>
  <c r="G1186" i="1"/>
  <c r="E1186" i="1"/>
  <c r="I1185" i="1"/>
  <c r="G1185" i="1"/>
  <c r="E1185" i="1"/>
  <c r="G1148" i="1"/>
  <c r="E1148" i="1"/>
  <c r="C1148" i="1"/>
  <c r="G1147" i="1"/>
  <c r="E1147" i="1"/>
  <c r="C1147" i="1"/>
  <c r="G1146" i="1"/>
  <c r="E1146" i="1"/>
  <c r="C1146" i="1"/>
  <c r="I1145" i="1"/>
  <c r="G1145" i="1"/>
  <c r="E1145" i="1"/>
  <c r="C1145" i="1"/>
  <c r="I1144" i="1"/>
  <c r="G1144" i="1"/>
  <c r="E1144" i="1"/>
  <c r="C1144" i="1"/>
  <c r="I1143" i="1"/>
  <c r="G1143" i="1"/>
  <c r="E1143" i="1"/>
  <c r="C1143" i="1"/>
  <c r="I1142" i="1"/>
  <c r="G1142" i="1"/>
  <c r="E1142" i="1"/>
  <c r="I1141" i="1"/>
  <c r="G1141" i="1"/>
  <c r="E1141" i="1"/>
  <c r="I1140" i="1"/>
  <c r="G1140" i="1"/>
  <c r="E1140" i="1"/>
  <c r="I1139" i="1"/>
  <c r="G1139" i="1"/>
  <c r="E1139" i="1"/>
  <c r="I1138" i="1"/>
  <c r="G1138" i="1"/>
  <c r="E1138" i="1"/>
  <c r="I1137" i="1"/>
  <c r="G1137" i="1"/>
  <c r="E1137" i="1"/>
  <c r="G1100" i="1"/>
  <c r="E1100" i="1"/>
  <c r="C1100" i="1"/>
  <c r="G1099" i="1"/>
  <c r="E1099" i="1"/>
  <c r="C1099" i="1"/>
  <c r="G1098" i="1"/>
  <c r="E1098" i="1"/>
  <c r="C1098" i="1"/>
  <c r="I1097" i="1"/>
  <c r="G1097" i="1"/>
  <c r="E1097" i="1"/>
  <c r="C1097" i="1"/>
  <c r="I1096" i="1"/>
  <c r="G1096" i="1"/>
  <c r="E1096" i="1"/>
  <c r="C1096" i="1"/>
  <c r="I1095" i="1"/>
  <c r="G1095" i="1"/>
  <c r="E1095" i="1"/>
  <c r="C1095" i="1"/>
  <c r="I1094" i="1"/>
  <c r="G1094" i="1"/>
  <c r="E1094" i="1"/>
  <c r="I1093" i="1"/>
  <c r="G1093" i="1"/>
  <c r="E1093" i="1"/>
  <c r="I1092" i="1"/>
  <c r="G1092" i="1"/>
  <c r="E1092" i="1"/>
  <c r="I1091" i="1"/>
  <c r="G1091" i="1"/>
  <c r="E1091" i="1"/>
  <c r="I1090" i="1"/>
  <c r="G1090" i="1"/>
  <c r="E1090" i="1"/>
  <c r="I1089" i="1"/>
  <c r="G1089" i="1"/>
  <c r="E1089" i="1"/>
  <c r="G1035" i="1"/>
  <c r="E1035" i="1"/>
  <c r="C1035" i="1"/>
  <c r="G1034" i="1"/>
  <c r="E1034" i="1"/>
  <c r="C1034" i="1"/>
  <c r="G1033" i="1"/>
  <c r="E1033" i="1"/>
  <c r="C1033" i="1"/>
  <c r="I1032" i="1"/>
  <c r="G1032" i="1"/>
  <c r="E1032" i="1"/>
  <c r="C1032" i="1"/>
  <c r="I1031" i="1"/>
  <c r="G1031" i="1"/>
  <c r="E1031" i="1"/>
  <c r="C1031" i="1"/>
  <c r="I1030" i="1"/>
  <c r="G1030" i="1"/>
  <c r="E1030" i="1"/>
  <c r="C1030" i="1"/>
  <c r="I1029" i="1"/>
  <c r="G1029" i="1"/>
  <c r="E1029" i="1"/>
  <c r="I1028" i="1"/>
  <c r="G1028" i="1"/>
  <c r="E1028" i="1"/>
  <c r="I1027" i="1"/>
  <c r="G1027" i="1"/>
  <c r="E1027" i="1"/>
  <c r="I1026" i="1"/>
  <c r="G1026" i="1"/>
  <c r="E1026" i="1"/>
  <c r="I1025" i="1"/>
  <c r="G1025" i="1"/>
  <c r="E1025" i="1"/>
  <c r="I1024" i="1"/>
  <c r="G1024" i="1"/>
  <c r="E1024" i="1"/>
  <c r="G973" i="1"/>
  <c r="G972" i="1"/>
  <c r="G971" i="1"/>
  <c r="G970" i="1"/>
  <c r="G969" i="1"/>
  <c r="G968" i="1"/>
  <c r="G967" i="1"/>
  <c r="G966" i="1"/>
  <c r="I965" i="1"/>
  <c r="I964" i="1"/>
  <c r="I963" i="1"/>
  <c r="I962" i="1"/>
  <c r="G911" i="1"/>
  <c r="E911" i="1"/>
  <c r="C911" i="1"/>
  <c r="G910" i="1"/>
  <c r="E910" i="1"/>
  <c r="C910" i="1"/>
  <c r="G909" i="1"/>
  <c r="E909" i="1"/>
  <c r="C909" i="1"/>
  <c r="I908" i="1"/>
  <c r="G908" i="1"/>
  <c r="E908" i="1"/>
  <c r="C908" i="1"/>
  <c r="I907" i="1"/>
  <c r="G907" i="1"/>
  <c r="E907" i="1"/>
  <c r="C907" i="1"/>
  <c r="I906" i="1"/>
  <c r="G906" i="1"/>
  <c r="E906" i="1"/>
  <c r="C906" i="1"/>
  <c r="I905" i="1"/>
  <c r="G905" i="1"/>
  <c r="E905" i="1"/>
  <c r="I904" i="1"/>
  <c r="G904" i="1"/>
  <c r="E904" i="1"/>
  <c r="I903" i="1"/>
  <c r="G903" i="1"/>
  <c r="E903" i="1"/>
  <c r="I902" i="1"/>
  <c r="G902" i="1"/>
  <c r="E902" i="1"/>
  <c r="I901" i="1"/>
  <c r="G901" i="1"/>
  <c r="E901" i="1"/>
  <c r="I900" i="1"/>
  <c r="G900" i="1"/>
  <c r="E900" i="1"/>
  <c r="G849" i="1"/>
  <c r="E849" i="1"/>
  <c r="C849" i="1"/>
  <c r="G848" i="1"/>
  <c r="E848" i="1"/>
  <c r="C848" i="1"/>
  <c r="G847" i="1"/>
  <c r="E847" i="1"/>
  <c r="C847" i="1"/>
  <c r="I846" i="1"/>
  <c r="G846" i="1"/>
  <c r="E846" i="1"/>
  <c r="C846" i="1"/>
  <c r="I845" i="1"/>
  <c r="G845" i="1"/>
  <c r="E845" i="1"/>
  <c r="C845" i="1"/>
  <c r="I844" i="1"/>
  <c r="G844" i="1"/>
  <c r="E844" i="1"/>
  <c r="C844" i="1"/>
  <c r="I843" i="1"/>
  <c r="G843" i="1"/>
  <c r="E843" i="1"/>
  <c r="I842" i="1"/>
  <c r="G842" i="1"/>
  <c r="E842" i="1"/>
  <c r="I841" i="1"/>
  <c r="G841" i="1"/>
  <c r="E841" i="1"/>
  <c r="I840" i="1"/>
  <c r="G840" i="1"/>
  <c r="E840" i="1"/>
  <c r="I839" i="1"/>
  <c r="G839" i="1"/>
  <c r="E839" i="1"/>
  <c r="I838" i="1"/>
  <c r="G838" i="1"/>
  <c r="E838" i="1"/>
  <c r="I582" i="1"/>
  <c r="G582" i="1"/>
  <c r="E582" i="1"/>
  <c r="I581" i="1"/>
  <c r="G581" i="1"/>
  <c r="E581" i="1"/>
  <c r="I580" i="1"/>
  <c r="G580" i="1"/>
  <c r="E580" i="1"/>
  <c r="K579" i="1"/>
  <c r="I579" i="1"/>
  <c r="G579" i="1"/>
  <c r="E579" i="1"/>
  <c r="K578" i="1"/>
  <c r="I578" i="1"/>
  <c r="G578" i="1"/>
  <c r="E578" i="1"/>
  <c r="K577" i="1"/>
  <c r="I577" i="1"/>
  <c r="G577" i="1"/>
  <c r="E577" i="1"/>
  <c r="K576" i="1"/>
  <c r="I576" i="1"/>
  <c r="G576" i="1"/>
  <c r="K575" i="1"/>
  <c r="I575" i="1"/>
  <c r="G575" i="1"/>
  <c r="K574" i="1"/>
  <c r="I574" i="1"/>
  <c r="G574" i="1"/>
  <c r="K573" i="1"/>
  <c r="I573" i="1"/>
  <c r="G573" i="1"/>
  <c r="K572" i="1"/>
  <c r="I572" i="1"/>
  <c r="G572" i="1"/>
  <c r="K571" i="1"/>
  <c r="I571" i="1"/>
  <c r="G571" i="1"/>
  <c r="I535" i="1"/>
  <c r="G535" i="1"/>
  <c r="E535" i="1"/>
  <c r="I534" i="1"/>
  <c r="G534" i="1"/>
  <c r="E534" i="1"/>
  <c r="I533" i="1"/>
  <c r="G533" i="1"/>
  <c r="E533" i="1"/>
  <c r="K532" i="1"/>
  <c r="I532" i="1"/>
  <c r="G532" i="1"/>
  <c r="E532" i="1"/>
  <c r="K531" i="1"/>
  <c r="I531" i="1"/>
  <c r="G531" i="1"/>
  <c r="E531" i="1"/>
  <c r="K530" i="1"/>
  <c r="I530" i="1"/>
  <c r="G530" i="1"/>
  <c r="E530" i="1"/>
  <c r="K529" i="1"/>
  <c r="I529" i="1"/>
  <c r="G529" i="1"/>
  <c r="K528" i="1"/>
  <c r="I528" i="1"/>
  <c r="G528" i="1"/>
  <c r="K527" i="1"/>
  <c r="I527" i="1"/>
  <c r="G527" i="1"/>
  <c r="K526" i="1"/>
  <c r="I526" i="1"/>
  <c r="G526" i="1"/>
  <c r="K525" i="1"/>
  <c r="I525" i="1"/>
  <c r="G525" i="1"/>
  <c r="K524" i="1"/>
  <c r="I524" i="1"/>
  <c r="G524" i="1"/>
  <c r="G440" i="1"/>
  <c r="E440" i="1"/>
  <c r="C440" i="1"/>
  <c r="G439" i="1"/>
  <c r="E439" i="1"/>
  <c r="C439" i="1"/>
  <c r="G438" i="1"/>
  <c r="E438" i="1"/>
  <c r="C438" i="1"/>
  <c r="I437" i="1"/>
  <c r="G437" i="1"/>
  <c r="E437" i="1"/>
  <c r="C437" i="1"/>
  <c r="I436" i="1"/>
  <c r="G436" i="1"/>
  <c r="E436" i="1"/>
  <c r="C436" i="1"/>
  <c r="I435" i="1"/>
  <c r="G435" i="1"/>
  <c r="E435" i="1"/>
  <c r="C435" i="1"/>
  <c r="I434" i="1"/>
  <c r="G434" i="1"/>
  <c r="E434" i="1"/>
  <c r="I433" i="1"/>
  <c r="G433" i="1"/>
  <c r="E433" i="1"/>
  <c r="I432" i="1"/>
  <c r="G432" i="1"/>
  <c r="E432" i="1"/>
  <c r="I431" i="1"/>
  <c r="G431" i="1"/>
  <c r="E431" i="1"/>
  <c r="I430" i="1"/>
  <c r="G430" i="1"/>
  <c r="E430" i="1"/>
  <c r="I429" i="1"/>
  <c r="G429" i="1"/>
  <c r="E429" i="1"/>
  <c r="G376" i="1"/>
  <c r="E376" i="1"/>
  <c r="C376" i="1"/>
  <c r="G375" i="1"/>
  <c r="E375" i="1"/>
  <c r="C375" i="1"/>
  <c r="G374" i="1"/>
  <c r="E374" i="1"/>
  <c r="C374" i="1"/>
  <c r="I373" i="1"/>
  <c r="G373" i="1"/>
  <c r="E373" i="1"/>
  <c r="C373" i="1"/>
  <c r="I372" i="1"/>
  <c r="G372" i="1"/>
  <c r="E372" i="1"/>
  <c r="C372" i="1"/>
  <c r="I371" i="1"/>
  <c r="G371" i="1"/>
  <c r="E371" i="1"/>
  <c r="C371" i="1"/>
  <c r="I370" i="1"/>
  <c r="G370" i="1"/>
  <c r="E370" i="1"/>
  <c r="I369" i="1"/>
  <c r="G369" i="1"/>
  <c r="E369" i="1"/>
  <c r="I368" i="1"/>
  <c r="G368" i="1"/>
  <c r="E368" i="1"/>
  <c r="I367" i="1"/>
  <c r="G367" i="1"/>
  <c r="E367" i="1"/>
  <c r="I366" i="1"/>
  <c r="G366" i="1"/>
  <c r="E366" i="1"/>
  <c r="I365" i="1"/>
  <c r="G365" i="1"/>
  <c r="E365" i="1"/>
  <c r="K290" i="1"/>
  <c r="I290" i="1"/>
  <c r="G290" i="1"/>
  <c r="K289" i="1"/>
  <c r="I289" i="1"/>
  <c r="G289" i="1"/>
  <c r="K288" i="1"/>
  <c r="I288" i="1"/>
  <c r="G288" i="1"/>
  <c r="M287" i="1"/>
  <c r="K287" i="1"/>
  <c r="I287" i="1"/>
  <c r="G287" i="1"/>
  <c r="M286" i="1"/>
  <c r="K286" i="1"/>
  <c r="I286" i="1"/>
  <c r="G286" i="1"/>
  <c r="M285" i="1"/>
  <c r="K285" i="1"/>
  <c r="I285" i="1"/>
  <c r="G285" i="1"/>
  <c r="M284" i="1"/>
  <c r="K284" i="1"/>
  <c r="I284" i="1"/>
  <c r="M283" i="1"/>
  <c r="K283" i="1"/>
  <c r="I283" i="1"/>
  <c r="M282" i="1"/>
  <c r="K282" i="1"/>
  <c r="I282" i="1"/>
  <c r="M281" i="1"/>
  <c r="K281" i="1"/>
  <c r="I281" i="1"/>
  <c r="M280" i="1"/>
  <c r="K280" i="1"/>
  <c r="I280" i="1"/>
  <c r="M279" i="1"/>
  <c r="K279" i="1"/>
  <c r="I279" i="1"/>
  <c r="G190" i="1"/>
  <c r="E190" i="1"/>
  <c r="C190" i="1"/>
  <c r="G189" i="1"/>
  <c r="E189" i="1"/>
  <c r="C189" i="1"/>
  <c r="G188" i="1"/>
  <c r="E188" i="1"/>
  <c r="C188" i="1"/>
  <c r="I187" i="1"/>
  <c r="G187" i="1"/>
  <c r="E187" i="1"/>
  <c r="C187" i="1"/>
  <c r="I186" i="1"/>
  <c r="G186" i="1"/>
  <c r="E186" i="1"/>
  <c r="C186" i="1"/>
  <c r="I185" i="1"/>
  <c r="G185" i="1"/>
  <c r="E185" i="1"/>
  <c r="C185" i="1"/>
  <c r="I184" i="1"/>
  <c r="G184" i="1"/>
  <c r="E184" i="1"/>
  <c r="I183" i="1"/>
  <c r="G183" i="1"/>
  <c r="E183" i="1"/>
  <c r="I182" i="1"/>
  <c r="G182" i="1"/>
  <c r="E182" i="1"/>
  <c r="I181" i="1"/>
  <c r="G181" i="1"/>
  <c r="E181" i="1"/>
  <c r="I180" i="1"/>
  <c r="G180" i="1"/>
  <c r="E180" i="1"/>
  <c r="I179" i="1"/>
  <c r="G179" i="1"/>
  <c r="E179" i="1"/>
  <c r="G128" i="1"/>
  <c r="E128" i="1"/>
  <c r="C128" i="1"/>
  <c r="G127" i="1"/>
  <c r="E127" i="1"/>
  <c r="C127" i="1"/>
  <c r="G126" i="1"/>
  <c r="E126" i="1"/>
  <c r="C126" i="1"/>
  <c r="I125" i="1"/>
  <c r="G125" i="1"/>
  <c r="E125" i="1"/>
  <c r="C125" i="1"/>
  <c r="I124" i="1"/>
  <c r="G124" i="1"/>
  <c r="E124" i="1"/>
  <c r="C124" i="1"/>
  <c r="I123" i="1"/>
  <c r="G123" i="1"/>
  <c r="E123" i="1"/>
  <c r="C123" i="1"/>
  <c r="I122" i="1"/>
  <c r="G122" i="1"/>
  <c r="E122" i="1"/>
  <c r="I121" i="1"/>
  <c r="G121" i="1"/>
  <c r="E121" i="1"/>
  <c r="I120" i="1"/>
  <c r="G120" i="1"/>
  <c r="E120" i="1"/>
  <c r="I119" i="1"/>
  <c r="G119" i="1"/>
  <c r="E119" i="1"/>
  <c r="I118" i="1"/>
  <c r="G118" i="1"/>
  <c r="E118" i="1"/>
  <c r="I117" i="1"/>
  <c r="G117" i="1"/>
  <c r="E117" i="1"/>
  <c r="I63" i="1"/>
  <c r="I62" i="1"/>
  <c r="I61" i="1"/>
  <c r="I60" i="1"/>
  <c r="I59" i="1"/>
  <c r="I58" i="1"/>
  <c r="I57" i="1"/>
  <c r="I56" i="1"/>
  <c r="I55" i="1"/>
  <c r="G66" i="1"/>
  <c r="G65" i="1"/>
  <c r="G64" i="1"/>
  <c r="G63" i="1"/>
  <c r="G62" i="1"/>
  <c r="G61" i="1"/>
  <c r="G60" i="1"/>
  <c r="G59" i="1"/>
  <c r="G58" i="1"/>
  <c r="G57" i="1"/>
  <c r="G56" i="1"/>
  <c r="G55" i="1"/>
  <c r="E66" i="1"/>
  <c r="E65" i="1"/>
  <c r="E64" i="1"/>
  <c r="E63" i="1"/>
  <c r="E62" i="1"/>
  <c r="E61" i="1"/>
  <c r="E60" i="1"/>
  <c r="E59" i="1"/>
  <c r="E58" i="1"/>
  <c r="E57" i="1"/>
  <c r="E56" i="1"/>
  <c r="E55" i="1"/>
  <c r="H8" i="25586" l="1"/>
  <c r="C110" i="25586"/>
  <c r="H8" i="25585"/>
  <c r="C110" i="25585"/>
  <c r="C123" i="25584"/>
  <c r="C127" i="25583"/>
  <c r="C127" i="25582"/>
  <c r="C109" i="25585"/>
  <c r="C109" i="25586"/>
  <c r="C122" i="25584"/>
  <c r="C126" i="25583"/>
  <c r="C126" i="25582"/>
  <c r="C108" i="25586"/>
  <c r="C108" i="25585"/>
  <c r="C121" i="25584"/>
  <c r="C125" i="25583"/>
  <c r="C125" i="25582"/>
  <c r="C107" i="25586"/>
  <c r="C107" i="25585"/>
  <c r="C120" i="25584"/>
  <c r="C124" i="25583"/>
  <c r="C124" i="25582"/>
  <c r="C106" i="25586"/>
  <c r="C106" i="25585"/>
  <c r="C119" i="25584"/>
  <c r="C123" i="25583"/>
  <c r="C123" i="25582"/>
  <c r="C105" i="25585"/>
  <c r="C105" i="25586"/>
  <c r="C118" i="25584"/>
  <c r="C122" i="25583"/>
  <c r="C122" i="25582"/>
  <c r="C104" i="25585"/>
  <c r="C104" i="25586"/>
  <c r="C117" i="25584"/>
  <c r="C121" i="25583"/>
  <c r="C121" i="25582"/>
  <c r="C103" i="25585"/>
  <c r="C103" i="25586"/>
  <c r="C116" i="25584"/>
  <c r="C120" i="25583"/>
  <c r="C120" i="25582"/>
  <c r="C102" i="25586"/>
  <c r="C102" i="25585"/>
  <c r="C101" i="25585"/>
  <c r="C115" i="25584"/>
  <c r="C119" i="25583"/>
  <c r="C101" i="25586"/>
  <c r="C119" i="25582"/>
  <c r="C100" i="25586"/>
  <c r="C100" i="25585"/>
  <c r="C118" i="25582"/>
  <c r="C114" i="25584"/>
  <c r="C118" i="25583"/>
  <c r="C117" i="25582"/>
  <c r="C113" i="25584"/>
  <c r="C117" i="25583"/>
  <c r="C99" i="25586"/>
  <c r="C99" i="25585"/>
  <c r="C116" i="25583"/>
  <c r="C98" i="25586"/>
  <c r="C98" i="25585"/>
  <c r="C116" i="25582"/>
  <c r="C112" i="25584"/>
  <c r="C115" i="25583"/>
  <c r="C97" i="25586"/>
  <c r="C97" i="25585"/>
  <c r="C115" i="25582"/>
  <c r="C111" i="25584"/>
  <c r="C114" i="25582"/>
  <c r="C110" i="25584"/>
  <c r="C114" i="25583"/>
  <c r="C96" i="25586"/>
  <c r="C96" i="25585"/>
  <c r="C113" i="25582"/>
  <c r="C109" i="25584"/>
  <c r="C113" i="25583"/>
  <c r="C95" i="25586"/>
  <c r="C95" i="25585"/>
  <c r="C108" i="25584"/>
  <c r="C112" i="25582"/>
  <c r="C112" i="25583"/>
  <c r="C94" i="25586"/>
  <c r="C94" i="25585"/>
  <c r="C111" i="25582"/>
  <c r="C107" i="25584"/>
  <c r="C111" i="25583"/>
  <c r="C93" i="25586"/>
  <c r="C93" i="25585"/>
  <c r="C110" i="25583"/>
  <c r="C92" i="25586"/>
  <c r="C92" i="25585"/>
  <c r="C110" i="25582"/>
  <c r="C106" i="25584"/>
  <c r="C109" i="25582"/>
  <c r="C105" i="25584"/>
  <c r="C109" i="25583"/>
  <c r="C91" i="25586"/>
  <c r="C91" i="25585"/>
  <c r="C108" i="25583"/>
  <c r="C90" i="25586"/>
  <c r="C90" i="25585"/>
  <c r="C108" i="25582"/>
  <c r="C104" i="25584"/>
  <c r="C107" i="25583"/>
  <c r="C107" i="25582"/>
  <c r="C103" i="25584"/>
  <c r="C89" i="25586"/>
  <c r="C89" i="25585"/>
  <c r="C106" i="25582"/>
  <c r="C102" i="25584"/>
  <c r="C106" i="25583"/>
  <c r="C88" i="25585"/>
  <c r="C88" i="25586"/>
  <c r="C105" i="25582"/>
  <c r="C101" i="25584"/>
  <c r="C105" i="25583"/>
  <c r="C87" i="25586"/>
  <c r="C87" i="25585"/>
  <c r="C100" i="25584"/>
  <c r="C104" i="25582"/>
  <c r="C104" i="25583"/>
  <c r="C86" i="25586"/>
  <c r="C86" i="25585"/>
  <c r="C103" i="25582"/>
  <c r="C99" i="25584"/>
  <c r="C103" i="25583"/>
  <c r="C85" i="25586"/>
  <c r="C85" i="25585"/>
  <c r="C102" i="25583"/>
  <c r="C102" i="25582"/>
  <c r="C98" i="25584"/>
  <c r="C84" i="25586"/>
  <c r="C84" i="25585"/>
  <c r="C101" i="25582"/>
  <c r="C97" i="25584"/>
  <c r="C101" i="25583"/>
  <c r="C83" i="25586"/>
  <c r="C83" i="25585"/>
  <c r="C100" i="25582"/>
  <c r="C96" i="25584"/>
  <c r="C100" i="25583"/>
  <c r="C82" i="25586"/>
  <c r="C82" i="25585"/>
  <c r="C99" i="25582"/>
  <c r="C95" i="25584"/>
  <c r="C99" i="25583"/>
  <c r="C81" i="25586"/>
  <c r="C81" i="25585"/>
  <c r="C98" i="25582"/>
  <c r="C94" i="25584"/>
  <c r="C98" i="25583"/>
  <c r="C80" i="25586"/>
  <c r="C80" i="25585"/>
  <c r="C97" i="25583"/>
  <c r="C79" i="25586"/>
  <c r="C79" i="25585"/>
  <c r="C97" i="25582"/>
  <c r="C93" i="25584"/>
  <c r="C96" i="25583"/>
  <c r="C78" i="25586"/>
  <c r="C78" i="25585"/>
  <c r="C96" i="25582"/>
  <c r="C92" i="25584"/>
  <c r="C95" i="25582"/>
  <c r="C91" i="25584"/>
  <c r="C95" i="25583"/>
  <c r="C77" i="25586"/>
  <c r="C77" i="25585"/>
  <c r="C94" i="25583"/>
  <c r="C94" i="25582"/>
  <c r="C90" i="25584"/>
  <c r="G288" i="25580"/>
  <c r="C76" i="25585"/>
  <c r="H287" i="20994"/>
  <c r="C76" i="25586"/>
  <c r="G93" i="25583"/>
  <c r="G218" i="2819"/>
  <c r="C93" i="25582"/>
  <c r="C89" i="25584"/>
  <c r="G218" i="512"/>
  <c r="G287" i="10541"/>
  <c r="G93" i="25582"/>
  <c r="G89" i="25584"/>
  <c r="G218" i="2048"/>
  <c r="C93" i="25583"/>
  <c r="C75" i="25585"/>
  <c r="C75" i="25586"/>
  <c r="C92" i="25582"/>
  <c r="G92" i="25582"/>
  <c r="C88" i="25584"/>
  <c r="G88" i="25584"/>
  <c r="C92" i="25583"/>
  <c r="G92" i="25583"/>
  <c r="C74" i="25586"/>
  <c r="C74" i="25585"/>
  <c r="C91" i="25582"/>
  <c r="C87" i="25584"/>
  <c r="G91" i="25583"/>
  <c r="C91" i="25583"/>
  <c r="G91" i="25582"/>
  <c r="G87" i="25584"/>
  <c r="C73" i="25585"/>
  <c r="C73" i="25586"/>
  <c r="C72" i="25586"/>
  <c r="C72" i="25585"/>
  <c r="C90" i="25582"/>
  <c r="G90" i="25583"/>
  <c r="C86" i="25584"/>
  <c r="G90" i="25582"/>
  <c r="C90" i="25583"/>
  <c r="G86" i="25584"/>
  <c r="G89" i="25582"/>
  <c r="G85" i="25584"/>
  <c r="C85" i="25584"/>
  <c r="C89" i="25583"/>
  <c r="C89" i="25582"/>
  <c r="G89" i="25583"/>
  <c r="C71" i="25586"/>
  <c r="C71" i="25585"/>
  <c r="C84" i="25584"/>
  <c r="G84" i="25584"/>
  <c r="C88" i="25583"/>
  <c r="G88" i="25583"/>
  <c r="C88" i="25582"/>
  <c r="G88" i="25582"/>
  <c r="C70" i="25586"/>
  <c r="C70" i="25585"/>
  <c r="G87" i="25583"/>
  <c r="G87" i="25582"/>
  <c r="G83" i="25584"/>
  <c r="C69" i="25586"/>
  <c r="C69" i="25585"/>
  <c r="C87" i="25582"/>
  <c r="C83" i="25584"/>
  <c r="C87" i="25583"/>
  <c r="C82" i="25584"/>
  <c r="G82" i="25584"/>
  <c r="G86" i="25583"/>
  <c r="C86" i="25583"/>
  <c r="C86" i="25582"/>
  <c r="G86" i="25582"/>
  <c r="C68" i="25586"/>
  <c r="C68" i="25585"/>
  <c r="C81" i="25584"/>
  <c r="G81" i="25584"/>
  <c r="G85" i="25583"/>
  <c r="C85" i="25583"/>
  <c r="G85" i="25582"/>
  <c r="C85" i="25582"/>
  <c r="C67" i="25586"/>
  <c r="C67" i="25585"/>
  <c r="C66" i="25586"/>
  <c r="C84" i="25582"/>
  <c r="G84" i="25583"/>
  <c r="C66" i="25585"/>
  <c r="G84" i="25582"/>
  <c r="C80" i="25584"/>
  <c r="G80" i="25584"/>
  <c r="C84" i="25583"/>
  <c r="G83" i="25582"/>
  <c r="G79" i="25584"/>
  <c r="C83" i="25582"/>
  <c r="G83" i="25583"/>
  <c r="C79" i="25584"/>
  <c r="C83" i="25583"/>
  <c r="C65" i="25585"/>
  <c r="C65" i="25586"/>
  <c r="C78" i="25584"/>
  <c r="G78" i="25584"/>
  <c r="G82" i="25583"/>
  <c r="C82" i="25583"/>
  <c r="C82" i="25582"/>
  <c r="G82" i="25582"/>
  <c r="F276" i="25580"/>
  <c r="C64" i="25585"/>
  <c r="C64" i="25586"/>
  <c r="G276" i="3"/>
  <c r="C77" i="25584"/>
  <c r="F77" i="25584"/>
  <c r="G77" i="25584"/>
  <c r="F81" i="25583"/>
  <c r="C81" i="25583"/>
  <c r="G81" i="25583"/>
  <c r="F81" i="25582"/>
  <c r="C81" i="25582"/>
  <c r="G81" i="25582"/>
  <c r="G275" i="20994"/>
  <c r="F206" i="2048"/>
  <c r="F63" i="25586"/>
  <c r="F206" i="2819"/>
  <c r="C63" i="25585"/>
  <c r="F63" i="25585"/>
  <c r="C63" i="25586"/>
  <c r="F206" i="512"/>
  <c r="F275" i="10541"/>
  <c r="C76" i="25584"/>
  <c r="F76" i="25584"/>
  <c r="G76" i="25584"/>
  <c r="F80" i="25583"/>
  <c r="C80" i="25583"/>
  <c r="G80" i="25583"/>
  <c r="F80" i="25582"/>
  <c r="C80" i="25582"/>
  <c r="G80" i="25582"/>
  <c r="C62" i="25585"/>
  <c r="F62" i="25585"/>
  <c r="C62" i="25586"/>
  <c r="F62" i="25586"/>
  <c r="F75" i="25584"/>
  <c r="G75" i="25584"/>
  <c r="C75" i="25584"/>
  <c r="G79" i="25583"/>
  <c r="C79" i="25583"/>
  <c r="F79" i="25583"/>
  <c r="F79" i="25582"/>
  <c r="G79" i="25582"/>
  <c r="C79" i="25582"/>
  <c r="C61" i="25585"/>
  <c r="F61" i="25585"/>
  <c r="C61" i="25586"/>
  <c r="F61" i="25586"/>
  <c r="F78" i="25582"/>
  <c r="F74" i="25584"/>
  <c r="C60" i="25585"/>
  <c r="F60" i="25585"/>
  <c r="G78" i="25583"/>
  <c r="C74" i="25584"/>
  <c r="G78" i="25582"/>
  <c r="C78" i="25583"/>
  <c r="G74" i="25584"/>
  <c r="C60" i="25586"/>
  <c r="F60" i="25586"/>
  <c r="C78" i="25582"/>
  <c r="F78" i="25583"/>
  <c r="C73" i="25584"/>
  <c r="G73" i="25584"/>
  <c r="F73" i="25584"/>
  <c r="G77" i="25583"/>
  <c r="C77" i="25583"/>
  <c r="F77" i="25583"/>
  <c r="G77" i="25582"/>
  <c r="C77" i="25582"/>
  <c r="F77" i="25582"/>
  <c r="F59" i="25585"/>
  <c r="C59" i="25585"/>
  <c r="F59" i="25586"/>
  <c r="C59" i="25586"/>
  <c r="J1194" i="1"/>
  <c r="G76" i="25583"/>
  <c r="G76" i="25582"/>
  <c r="C72" i="25584"/>
  <c r="G72" i="25584"/>
  <c r="J971" i="1"/>
  <c r="B194" i="9216"/>
  <c r="C76" i="25583"/>
  <c r="B194" i="1024"/>
  <c r="C76" i="25582"/>
  <c r="F76" i="25583"/>
  <c r="F76" i="25582"/>
  <c r="F72" i="25584"/>
  <c r="C58" i="25585"/>
  <c r="F58" i="25586"/>
  <c r="F58" i="25585"/>
  <c r="C58" i="25586"/>
  <c r="G75" i="25583"/>
  <c r="G75" i="25582"/>
  <c r="G71" i="25584"/>
  <c r="C71" i="25584"/>
  <c r="F75" i="25583"/>
  <c r="C75" i="25583"/>
  <c r="F75" i="25582"/>
  <c r="F71" i="25584"/>
  <c r="C75" i="25582"/>
  <c r="C57" i="25585"/>
  <c r="F57" i="25585"/>
  <c r="G70" i="25584"/>
  <c r="C70" i="25584"/>
  <c r="F70" i="25584"/>
  <c r="G74" i="25583"/>
  <c r="C74" i="25583"/>
  <c r="F74" i="25583"/>
  <c r="G74" i="25582"/>
  <c r="C74" i="25582"/>
  <c r="F74" i="25582"/>
  <c r="F57" i="25586"/>
  <c r="C57" i="25586"/>
  <c r="F56" i="25586"/>
  <c r="C56" i="25585"/>
  <c r="C56" i="25586"/>
  <c r="F56" i="25585"/>
  <c r="G69" i="25584"/>
  <c r="C69" i="25584"/>
  <c r="F69" i="25584"/>
  <c r="C73" i="25583"/>
  <c r="F73" i="25583"/>
  <c r="G73" i="25583"/>
  <c r="C73" i="25582"/>
  <c r="F73" i="25582"/>
  <c r="G73" i="25582"/>
  <c r="C55" i="25585"/>
  <c r="F55" i="25585"/>
  <c r="C55" i="25586"/>
  <c r="F55" i="25586"/>
  <c r="G68" i="25584"/>
  <c r="C68" i="25584"/>
  <c r="F68" i="25584"/>
  <c r="F72" i="25583"/>
  <c r="C72" i="25583"/>
  <c r="G72" i="25583"/>
  <c r="C72" i="25582"/>
  <c r="G72" i="25582"/>
  <c r="F72" i="25582"/>
  <c r="F54" i="25586"/>
  <c r="F54" i="25585"/>
  <c r="C54" i="25585"/>
  <c r="C54" i="25586"/>
  <c r="G78" i="25586" s="1"/>
  <c r="G71" i="25583"/>
  <c r="C71" i="25583"/>
  <c r="E52" i="25585"/>
  <c r="F53" i="25585"/>
  <c r="E53" i="25585"/>
  <c r="E71" i="25582"/>
  <c r="F71" i="25582"/>
  <c r="E67" i="25584"/>
  <c r="F67" i="25584"/>
  <c r="C52" i="25586"/>
  <c r="C53" i="25586"/>
  <c r="F52" i="25586"/>
  <c r="E52" i="25586"/>
  <c r="E53" i="25586"/>
  <c r="F53" i="25586"/>
  <c r="C67" i="25584"/>
  <c r="D195" i="512"/>
  <c r="G71" i="25582"/>
  <c r="G67" i="25584"/>
  <c r="C71" i="25582"/>
  <c r="D265" i="25580"/>
  <c r="C52" i="25585"/>
  <c r="C53" i="25585"/>
  <c r="F52" i="25585"/>
  <c r="F71" i="25583"/>
  <c r="E71" i="25583"/>
  <c r="F69" i="25582"/>
  <c r="E265" i="3"/>
  <c r="F66" i="25584"/>
  <c r="E66" i="25584"/>
  <c r="C66" i="25584"/>
  <c r="G66" i="25584"/>
  <c r="G70" i="25583"/>
  <c r="G69" i="25583"/>
  <c r="F70" i="25583"/>
  <c r="C70" i="25583"/>
  <c r="E70" i="25583"/>
  <c r="F70" i="25582"/>
  <c r="E70" i="25582"/>
  <c r="G70" i="25582"/>
  <c r="C70" i="25582"/>
  <c r="E264" i="20994"/>
  <c r="D70" i="25583"/>
  <c r="D70" i="25582"/>
  <c r="D66" i="25584"/>
  <c r="C69" i="25582"/>
  <c r="F51" i="25586"/>
  <c r="D264" i="10541"/>
  <c r="D52" i="25585"/>
  <c r="J1098" i="1"/>
  <c r="D195" i="2819"/>
  <c r="D195" i="2048"/>
  <c r="J438" i="1"/>
  <c r="D52" i="25586"/>
  <c r="D69" i="25582"/>
  <c r="L533" i="1"/>
  <c r="J1397" i="1"/>
  <c r="C65" i="25584"/>
  <c r="B143" i="768"/>
  <c r="H143" i="768" s="1"/>
  <c r="L1429" i="1"/>
  <c r="L580" i="1"/>
  <c r="B143" i="10285"/>
  <c r="H143" i="10285" s="1"/>
  <c r="B264" i="32"/>
  <c r="N288" i="1"/>
  <c r="J1033" i="1"/>
  <c r="B194" i="25589"/>
  <c r="H194" i="25589" s="1"/>
  <c r="B263" i="4888"/>
  <c r="B194" i="25590"/>
  <c r="H194" i="25590" s="1"/>
  <c r="J1617" i="1"/>
  <c r="B263" i="25587"/>
  <c r="H263" i="25587" s="1"/>
  <c r="J909" i="1"/>
  <c r="B263" i="25580"/>
  <c r="H263" i="25580" s="1"/>
  <c r="J126" i="1"/>
  <c r="J1476" i="1"/>
  <c r="B194" i="25588"/>
  <c r="H194" i="25588" s="1"/>
  <c r="J847" i="1"/>
  <c r="B194" i="8196"/>
  <c r="H194" i="8196" s="1"/>
  <c r="C51" i="25586"/>
  <c r="J1146" i="1"/>
  <c r="B194" i="523"/>
  <c r="H194" i="523" s="1"/>
  <c r="J374" i="1"/>
  <c r="B194" i="2316"/>
  <c r="H194" i="2316" s="1"/>
  <c r="E65" i="25584"/>
  <c r="F65" i="25584"/>
  <c r="E69" i="25582"/>
  <c r="C69" i="25583"/>
  <c r="D65" i="25584"/>
  <c r="G69" i="25582"/>
  <c r="G65" i="25584"/>
  <c r="D51" i="25586"/>
  <c r="J64" i="1"/>
  <c r="C263" i="3"/>
  <c r="D51" i="25585"/>
  <c r="C51" i="25585"/>
  <c r="E51" i="25585"/>
  <c r="F51" i="25585"/>
  <c r="F69" i="25583"/>
  <c r="E69" i="25583"/>
  <c r="D69" i="25583"/>
  <c r="E51" i="25586"/>
  <c r="A50" i="25586"/>
  <c r="A50" i="25585" s="1"/>
  <c r="A262" i="25580" s="1"/>
  <c r="A262" i="4888" s="1"/>
  <c r="A142" i="10285" s="1"/>
  <c r="A142" i="768" s="1"/>
  <c r="A262" i="20994" s="1"/>
  <c r="A193" i="9216" s="1"/>
  <c r="A193" i="1024" s="1"/>
  <c r="A263" i="32" s="1"/>
  <c r="A193" i="2316" s="1"/>
  <c r="A193" i="2819" s="1"/>
  <c r="A262" i="2561" s="1"/>
  <c r="A193" i="523" s="1"/>
  <c r="A262" i="10541" s="1"/>
  <c r="A193" i="2048" s="1"/>
  <c r="A68" i="25582" s="1"/>
  <c r="A68" i="25583" s="1"/>
  <c r="A64" i="25584" s="1"/>
  <c r="A193" i="8196" s="1"/>
  <c r="A193" i="512" s="1"/>
  <c r="A262" i="25587" s="1"/>
  <c r="A193" i="25588" s="1"/>
  <c r="A193" i="25589" s="1"/>
  <c r="A193" i="25590" s="1"/>
  <c r="A49" i="25586"/>
  <c r="A49" i="25585" s="1"/>
  <c r="A261" i="25580" s="1"/>
  <c r="A261" i="4888" s="1"/>
  <c r="A141" i="10285" s="1"/>
  <c r="A141" i="768" s="1"/>
  <c r="A261" i="20994" s="1"/>
  <c r="A192" i="9216" s="1"/>
  <c r="A192" i="1024" s="1"/>
  <c r="A262" i="32" s="1"/>
  <c r="A192" i="2316" s="1"/>
  <c r="A192" i="2819" s="1"/>
  <c r="A261" i="2561" s="1"/>
  <c r="A192" i="523" s="1"/>
  <c r="A261" i="10541" s="1"/>
  <c r="A192" i="2048" s="1"/>
  <c r="A67" i="25582" s="1"/>
  <c r="A67" i="25583" s="1"/>
  <c r="A63" i="25584" s="1"/>
  <c r="A192" i="8196" s="1"/>
  <c r="A192" i="512" s="1"/>
  <c r="A261" i="25587" s="1"/>
  <c r="A192" i="25588" s="1"/>
  <c r="A192" i="25589" s="1"/>
  <c r="A192" i="25590" s="1"/>
  <c r="B262" i="25580"/>
  <c r="H262" i="25580" s="1"/>
  <c r="B262" i="4888"/>
  <c r="B193" i="2316"/>
  <c r="H193" i="2316" s="1"/>
  <c r="B142" i="10285"/>
  <c r="H142" i="10285" s="1"/>
  <c r="J908" i="1"/>
  <c r="J1032" i="1"/>
  <c r="B193" i="2819"/>
  <c r="H193" i="2819" s="1"/>
  <c r="B193" i="523"/>
  <c r="H193" i="523" s="1"/>
  <c r="B193" i="512"/>
  <c r="H193" i="512" s="1"/>
  <c r="J1396" i="1"/>
  <c r="J1475" i="1"/>
  <c r="C262" i="3"/>
  <c r="H658" i="1"/>
  <c r="H1211" i="1"/>
  <c r="J1616" i="1"/>
  <c r="I1569" i="1"/>
  <c r="B193" i="1024" s="1"/>
  <c r="I1522" i="1"/>
  <c r="J1145" i="1"/>
  <c r="J1097" i="1"/>
  <c r="I970" i="1"/>
  <c r="H596" i="1"/>
  <c r="L579" i="1"/>
  <c r="J373" i="1"/>
  <c r="J187" i="1"/>
  <c r="J125" i="1"/>
  <c r="B192" i="512"/>
  <c r="H192" i="512" s="1"/>
  <c r="B192" i="8196"/>
  <c r="H192" i="8196" s="1"/>
  <c r="B192" i="523"/>
  <c r="H192" i="523" s="1"/>
  <c r="B262" i="32"/>
  <c r="B141" i="768"/>
  <c r="H141" i="768" s="1"/>
  <c r="B261" i="4888"/>
  <c r="D49" i="25586"/>
  <c r="B192" i="2316"/>
  <c r="H192" i="2316" s="1"/>
  <c r="J372" i="1"/>
  <c r="J436" i="1"/>
  <c r="B141" i="10285"/>
  <c r="H141" i="10285" s="1"/>
  <c r="J907" i="1"/>
  <c r="J1031" i="1"/>
  <c r="J1144" i="1"/>
  <c r="B192" i="2048"/>
  <c r="H192" i="2048" s="1"/>
  <c r="L1427" i="1"/>
  <c r="J1474" i="1"/>
  <c r="J1615" i="1"/>
  <c r="J62" i="1"/>
  <c r="H595" i="1"/>
  <c r="H657" i="1"/>
  <c r="H1210" i="1"/>
  <c r="I1568" i="1"/>
  <c r="B192" i="1024" s="1"/>
  <c r="I1521" i="1"/>
  <c r="B192" i="9216" s="1"/>
  <c r="J1395" i="1"/>
  <c r="I969" i="1"/>
  <c r="J845" i="1"/>
  <c r="L578" i="1"/>
  <c r="N286" i="1"/>
  <c r="J186" i="1"/>
  <c r="B191" i="512"/>
  <c r="H191" i="512" s="1"/>
  <c r="D66" i="25582"/>
  <c r="B260" i="2561"/>
  <c r="H260" i="2561" s="1"/>
  <c r="B140" i="10285"/>
  <c r="H140" i="10285" s="1"/>
  <c r="B260" i="4888"/>
  <c r="J371" i="1"/>
  <c r="J435" i="1"/>
  <c r="L577" i="1"/>
  <c r="B191" i="8196"/>
  <c r="H191" i="8196" s="1"/>
  <c r="J906" i="1"/>
  <c r="J1030" i="1"/>
  <c r="B191" i="523"/>
  <c r="H191" i="523" s="1"/>
  <c r="B140" i="768"/>
  <c r="H140" i="768" s="1"/>
  <c r="J1614" i="1"/>
  <c r="C260" i="3"/>
  <c r="J61" i="1"/>
  <c r="H594" i="1"/>
  <c r="H656" i="1"/>
  <c r="H1209" i="1"/>
  <c r="I1567" i="1"/>
  <c r="I1520" i="1"/>
  <c r="J1520" i="1" s="1"/>
  <c r="L1426" i="1"/>
  <c r="J1394" i="1"/>
  <c r="I968" i="1"/>
  <c r="J844" i="1"/>
  <c r="J185" i="1"/>
  <c r="D62" i="25584"/>
  <c r="E65" i="25583"/>
  <c r="D65" i="25582"/>
  <c r="I1566" i="1"/>
  <c r="B190" i="1024" s="1"/>
  <c r="I967" i="1"/>
  <c r="I1519" i="1"/>
  <c r="B190" i="9216" s="1"/>
  <c r="C47" i="25585"/>
  <c r="B259" i="2561"/>
  <c r="H259" i="2561" s="1"/>
  <c r="L529" i="1"/>
  <c r="L1425" i="1"/>
  <c r="H593" i="1"/>
  <c r="H655" i="1"/>
  <c r="H1208" i="1"/>
  <c r="J1519" i="1"/>
  <c r="I1565" i="1"/>
  <c r="I1518" i="1"/>
  <c r="I966" i="1"/>
  <c r="J966" i="1" s="1"/>
  <c r="E46" i="25585"/>
  <c r="B258" i="10541"/>
  <c r="H258" i="10541" s="1"/>
  <c r="J1028" i="1"/>
  <c r="J1093" i="1"/>
  <c r="B189" i="523"/>
  <c r="H189" i="523" s="1"/>
  <c r="J1392" i="1"/>
  <c r="L1424" i="1"/>
  <c r="J1518" i="1"/>
  <c r="J59" i="1"/>
  <c r="H592" i="1"/>
  <c r="H654" i="1"/>
  <c r="H1207" i="1"/>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G59" i="25584"/>
  <c r="G63" i="25583"/>
  <c r="C45" i="25585"/>
  <c r="C44" i="25586"/>
  <c r="D45" i="25586"/>
  <c r="H1206" i="1"/>
  <c r="J1140" i="1"/>
  <c r="J1470" i="1"/>
  <c r="J1611" i="1"/>
  <c r="B136" i="768"/>
  <c r="H136" i="768" s="1"/>
  <c r="B187" i="2819"/>
  <c r="H187" i="2819" s="1"/>
  <c r="B256" i="20994"/>
  <c r="I256" i="20994" s="1"/>
  <c r="H653" i="1"/>
  <c r="H591" i="1"/>
  <c r="B256" i="10541"/>
  <c r="H256" i="10541" s="1"/>
  <c r="L527" i="1"/>
  <c r="J58" i="1"/>
  <c r="B257" i="25580"/>
  <c r="H257" i="25580" s="1"/>
  <c r="B257" i="4888"/>
  <c r="J367" i="1"/>
  <c r="F62" i="25583"/>
  <c r="D62" i="25583"/>
  <c r="F62" i="25582"/>
  <c r="C256" i="3"/>
  <c r="H590" i="1"/>
  <c r="H652" i="1"/>
  <c r="H1205" i="1"/>
  <c r="C57" i="25584"/>
  <c r="F61" i="25583"/>
  <c r="E61" i="25583"/>
  <c r="F61" i="25582"/>
  <c r="D43" i="25586"/>
  <c r="J430" i="1"/>
  <c r="B255" i="10541"/>
  <c r="H255" i="10541" s="1"/>
  <c r="B186" i="8196"/>
  <c r="H186" i="8196" s="1"/>
  <c r="J1389" i="1"/>
  <c r="B186" i="9216"/>
  <c r="I186" i="9216" s="1"/>
  <c r="J56" i="1"/>
  <c r="H589" i="1"/>
  <c r="H651" i="1"/>
  <c r="H1204" i="1"/>
  <c r="K108" i="3584"/>
  <c r="G118" i="3584"/>
  <c r="G119" i="3584"/>
  <c r="G116" i="3584"/>
  <c r="G117" i="3584"/>
  <c r="G114" i="3584"/>
  <c r="G115" i="3584"/>
  <c r="B129" i="32"/>
  <c r="F56" i="25584"/>
  <c r="G60" i="25582"/>
  <c r="H7" i="2819"/>
  <c r="H7" i="2316"/>
  <c r="B169" i="25580"/>
  <c r="B168" i="25580"/>
  <c r="B167" i="25580"/>
  <c r="B166" i="25580"/>
  <c r="B165" i="25580"/>
  <c r="B164" i="25580"/>
  <c r="B163" i="25580"/>
  <c r="B162" i="25580"/>
  <c r="B161" i="25580"/>
  <c r="B160" i="25580"/>
  <c r="B159" i="25580"/>
  <c r="B158" i="25580"/>
  <c r="B8" i="25580"/>
  <c r="E42" i="25586"/>
  <c r="J1608" i="1"/>
  <c r="B185" i="1024"/>
  <c r="I185" i="1024" s="1"/>
  <c r="B185" i="9216"/>
  <c r="I185" i="9216" s="1"/>
  <c r="J1388" i="1"/>
  <c r="H1203" i="1"/>
  <c r="J1185" i="1"/>
  <c r="J1137" i="1"/>
  <c r="H650" i="1"/>
  <c r="H588" i="1"/>
  <c r="L571" i="1"/>
  <c r="J179" i="1"/>
  <c r="J55" i="1"/>
  <c r="E50" i="25585"/>
  <c r="E44" i="25585"/>
  <c r="E48" i="25586"/>
  <c r="F599" i="1"/>
  <c r="B184" i="2048"/>
  <c r="H184" i="2048" s="1"/>
  <c r="F1214" i="1"/>
  <c r="B184" i="1024"/>
  <c r="I184" i="1024" s="1"/>
  <c r="H440" i="1"/>
  <c r="J535" i="1"/>
  <c r="B184" i="8196"/>
  <c r="H184" i="8196" s="1"/>
  <c r="H1035" i="1"/>
  <c r="B184" i="523"/>
  <c r="H184" i="523" s="1"/>
  <c r="H1399" i="1"/>
  <c r="J1431" i="1"/>
  <c r="D40" i="25585"/>
  <c r="C40" i="25586"/>
  <c r="B252" i="4888"/>
  <c r="B252" i="2561"/>
  <c r="H252" i="2561" s="1"/>
  <c r="B252" i="10541"/>
  <c r="H252" i="10541" s="1"/>
  <c r="B132" i="10285"/>
  <c r="H132" i="10285" s="1"/>
  <c r="B183" i="8196"/>
  <c r="H183" i="8196" s="1"/>
  <c r="H1099" i="1"/>
  <c r="H1147" i="1"/>
  <c r="B183" i="523"/>
  <c r="H183" i="523" s="1"/>
  <c r="B183" i="9216"/>
  <c r="I183" i="9216" s="1"/>
  <c r="H1571" i="1"/>
  <c r="F598" i="1"/>
  <c r="F1213" i="1"/>
  <c r="D39" i="25586"/>
  <c r="J533" i="1"/>
  <c r="H909" i="1"/>
  <c r="H1194" i="1"/>
  <c r="B182" i="512"/>
  <c r="H182" i="512" s="1"/>
  <c r="B182" i="9216"/>
  <c r="I182" i="9216" s="1"/>
  <c r="B182" i="1024"/>
  <c r="I182" i="1024" s="1"/>
  <c r="F597" i="1"/>
  <c r="F1212" i="1"/>
  <c r="C38" i="25585"/>
  <c r="H187" i="1"/>
  <c r="H437" i="1"/>
  <c r="B250" i="10541"/>
  <c r="H250" i="10541" s="1"/>
  <c r="B181" i="8196"/>
  <c r="H181" i="8196" s="1"/>
  <c r="H908" i="1"/>
  <c r="B181" i="2819"/>
  <c r="H181" i="2819" s="1"/>
  <c r="B181" i="1024"/>
  <c r="I181" i="1024" s="1"/>
  <c r="F596" i="1"/>
  <c r="F1211" i="1"/>
  <c r="E51" i="25584"/>
  <c r="D55" i="25582"/>
  <c r="E37" i="25586"/>
  <c r="B249" i="10541"/>
  <c r="H249" i="10541" s="1"/>
  <c r="B129" i="10285"/>
  <c r="H129" i="10285" s="1"/>
  <c r="J578" i="1"/>
  <c r="H1144" i="1"/>
  <c r="H1474" i="1"/>
  <c r="F595" i="1"/>
  <c r="F657" i="1"/>
  <c r="F1210" i="1"/>
  <c r="E50" i="25584"/>
  <c r="F36" i="25585"/>
  <c r="F594" i="1"/>
  <c r="F1209" i="1"/>
  <c r="H435" i="1"/>
  <c r="J577" i="1"/>
  <c r="B128" i="768"/>
  <c r="H128" i="768" s="1"/>
  <c r="H1567" i="1"/>
  <c r="E49" i="25584"/>
  <c r="D53" i="25582"/>
  <c r="F35" i="25586"/>
  <c r="F1208" i="1"/>
  <c r="F1207" i="1"/>
  <c r="F1206" i="1"/>
  <c r="B248" i="32"/>
  <c r="H370" i="1"/>
  <c r="H434" i="1"/>
  <c r="J529" i="1"/>
  <c r="H1393" i="1"/>
  <c r="B178" i="512"/>
  <c r="H178" i="512" s="1"/>
  <c r="F593" i="1"/>
  <c r="B165" i="516"/>
  <c r="F48" i="25584"/>
  <c r="E52" i="25582"/>
  <c r="F34" i="25585"/>
  <c r="F592" i="1"/>
  <c r="H59" i="1"/>
  <c r="H842" i="1"/>
  <c r="J575" i="1"/>
  <c r="B246" i="10541"/>
  <c r="H246" i="10541" s="1"/>
  <c r="B246" i="2561"/>
  <c r="H246" i="2561" s="1"/>
  <c r="B247" i="32"/>
  <c r="B246" i="4888"/>
  <c r="E9" i="25583"/>
  <c r="E9" i="25585"/>
  <c r="D10" i="25585"/>
  <c r="E11" i="25585"/>
  <c r="D12" i="25585"/>
  <c r="E14" i="25585"/>
  <c r="C16" i="25585"/>
  <c r="E24" i="25585"/>
  <c r="E21" i="25585"/>
  <c r="E23" i="25585"/>
  <c r="D27" i="25585"/>
  <c r="E32" i="25585"/>
  <c r="F30" i="25585"/>
  <c r="F32" i="25585"/>
  <c r="E47" i="25584"/>
  <c r="C47" i="25584"/>
  <c r="F63" i="25582"/>
  <c r="E33" i="25586"/>
  <c r="H182" i="1"/>
  <c r="H368" i="1"/>
  <c r="J574" i="1"/>
  <c r="B176" i="8196"/>
  <c r="H176" i="8196" s="1"/>
  <c r="H903" i="1"/>
  <c r="H1027" i="1"/>
  <c r="H1092" i="1"/>
  <c r="H1140" i="1"/>
  <c r="C245" i="3"/>
  <c r="F591" i="1"/>
  <c r="C46" i="25584"/>
  <c r="E50" i="25583"/>
  <c r="F32" i="25586"/>
  <c r="F590" i="1"/>
  <c r="F1205" i="1"/>
  <c r="B244" i="4888"/>
  <c r="J526" i="1"/>
  <c r="H1091" i="1"/>
  <c r="H1187" i="1"/>
  <c r="B175" i="2048"/>
  <c r="H175" i="2048" s="1"/>
  <c r="C45" i="25584"/>
  <c r="F49" i="25582"/>
  <c r="C31" i="25586"/>
  <c r="F589" i="1"/>
  <c r="F588" i="1"/>
  <c r="H180" i="1"/>
  <c r="H839" i="1"/>
  <c r="B174" i="2048"/>
  <c r="H174" i="2048" s="1"/>
  <c r="B123" i="768"/>
  <c r="H123" i="768" s="1"/>
  <c r="F651" i="1"/>
  <c r="F1204" i="1"/>
  <c r="E25" i="25586"/>
  <c r="E24" i="25586"/>
  <c r="E23" i="25586"/>
  <c r="D18" i="25586"/>
  <c r="E29" i="25586"/>
  <c r="D16" i="25586"/>
  <c r="F27" i="25586"/>
  <c r="C11" i="25586"/>
  <c r="D10" i="25586"/>
  <c r="C49" i="25586"/>
  <c r="F44" i="25584"/>
  <c r="D43" i="25584"/>
  <c r="E41" i="25584"/>
  <c r="C38" i="25584"/>
  <c r="F49" i="25584"/>
  <c r="E33" i="25584"/>
  <c r="D32" i="25584"/>
  <c r="C30" i="25584"/>
  <c r="G53" i="25584"/>
  <c r="F40" i="25584"/>
  <c r="C27" i="25584"/>
  <c r="G49" i="25584"/>
  <c r="C25" i="25584"/>
  <c r="D22" i="25584"/>
  <c r="G43" i="25584"/>
  <c r="E17" i="25584"/>
  <c r="C16" i="25584"/>
  <c r="D14" i="25584"/>
  <c r="C13" i="25584"/>
  <c r="G36" i="25584"/>
  <c r="E12" i="25584"/>
  <c r="E11" i="25584"/>
  <c r="C64" i="25584"/>
  <c r="C12" i="25584"/>
  <c r="C43" i="25583"/>
  <c r="C42" i="25583"/>
  <c r="D39" i="25583"/>
  <c r="D37" i="25583"/>
  <c r="F36" i="25583"/>
  <c r="C34" i="25583"/>
  <c r="F29" i="25583"/>
  <c r="D28" i="25583"/>
  <c r="D27" i="25583"/>
  <c r="C24" i="25583"/>
  <c r="E35" i="25583"/>
  <c r="E21" i="25583"/>
  <c r="E18" i="25583"/>
  <c r="D17" i="25583"/>
  <c r="C13" i="25583"/>
  <c r="E10" i="25583"/>
  <c r="C46" i="25582"/>
  <c r="E45" i="25582"/>
  <c r="F41" i="25582"/>
  <c r="G41" i="25582"/>
  <c r="E40" i="25582"/>
  <c r="C39" i="25582"/>
  <c r="C38" i="25582"/>
  <c r="E37" i="25582"/>
  <c r="F48" i="25582"/>
  <c r="E42" i="25582"/>
  <c r="C34" i="25582"/>
  <c r="F30" i="25582"/>
  <c r="F29" i="25582"/>
  <c r="G50" i="25582"/>
  <c r="C25" i="25582"/>
  <c r="C24" i="25582"/>
  <c r="E31" i="25582"/>
  <c r="F23" i="25582"/>
  <c r="E21" i="25582"/>
  <c r="E16" i="25582"/>
  <c r="E15" i="25582"/>
  <c r="C14" i="25582"/>
  <c r="G48" i="25582"/>
  <c r="C68" i="25582"/>
  <c r="C37" i="25582"/>
  <c r="C16" i="25582"/>
  <c r="E1514" i="1"/>
  <c r="B161" i="9216" s="1"/>
  <c r="D1517" i="1"/>
  <c r="D1516" i="1"/>
  <c r="D1515" i="1"/>
  <c r="D1514" i="1"/>
  <c r="N1510" i="1"/>
  <c r="N1509" i="1"/>
  <c r="N1508" i="1"/>
  <c r="N1507" i="1"/>
  <c r="N1506" i="1"/>
  <c r="N1505" i="1"/>
  <c r="N1504" i="1"/>
  <c r="N1502" i="1"/>
  <c r="N1501" i="1"/>
  <c r="N1500" i="1"/>
  <c r="N1499" i="1"/>
  <c r="L1510" i="1"/>
  <c r="L1509" i="1"/>
  <c r="L1508" i="1"/>
  <c r="L1507" i="1"/>
  <c r="L1506" i="1"/>
  <c r="L1505" i="1"/>
  <c r="L1504" i="1"/>
  <c r="H1503" i="1"/>
  <c r="F1503" i="1"/>
  <c r="F1500" i="1"/>
  <c r="F1499" i="1"/>
  <c r="D1510" i="1"/>
  <c r="D1509" i="1"/>
  <c r="D1508" i="1"/>
  <c r="D1507" i="1"/>
  <c r="D1506" i="1"/>
  <c r="D1505" i="1"/>
  <c r="D1503" i="1"/>
  <c r="D1502" i="1"/>
  <c r="D1499" i="1"/>
  <c r="N1495" i="1"/>
  <c r="N1494" i="1"/>
  <c r="N1493" i="1"/>
  <c r="N1492" i="1"/>
  <c r="N1491" i="1"/>
  <c r="N1490" i="1"/>
  <c r="N1489" i="1"/>
  <c r="N1488" i="1"/>
  <c r="N1487" i="1"/>
  <c r="N1486" i="1"/>
  <c r="N1485" i="1"/>
  <c r="N1484" i="1"/>
  <c r="L1495" i="1"/>
  <c r="L1492" i="1"/>
  <c r="L1491" i="1"/>
  <c r="L1489" i="1"/>
  <c r="L1488" i="1"/>
  <c r="L1487" i="1"/>
  <c r="L1486" i="1"/>
  <c r="L1485" i="1"/>
  <c r="J1495" i="1"/>
  <c r="J1494" i="1"/>
  <c r="J1493" i="1"/>
  <c r="J1492" i="1"/>
  <c r="J1491" i="1"/>
  <c r="J1490" i="1"/>
  <c r="J1489" i="1"/>
  <c r="J1488" i="1"/>
  <c r="J1487" i="1"/>
  <c r="J1486" i="1"/>
  <c r="J1485" i="1"/>
  <c r="J1484" i="1"/>
  <c r="H1495" i="1"/>
  <c r="H1494" i="1"/>
  <c r="H1493" i="1"/>
  <c r="H1492" i="1"/>
  <c r="H1491" i="1"/>
  <c r="H1490" i="1"/>
  <c r="H1489" i="1"/>
  <c r="H1488" i="1"/>
  <c r="H1487" i="1"/>
  <c r="H1486" i="1"/>
  <c r="H1485" i="1"/>
  <c r="H1484" i="1"/>
  <c r="F1488" i="1"/>
  <c r="F1489" i="1"/>
  <c r="F1490" i="1"/>
  <c r="F1491" i="1"/>
  <c r="F1492" i="1"/>
  <c r="F1493" i="1"/>
  <c r="F1494" i="1"/>
  <c r="F1495" i="1"/>
  <c r="F1485" i="1"/>
  <c r="F1486" i="1"/>
  <c r="F1487" i="1"/>
  <c r="D1494" i="1"/>
  <c r="D1495" i="1"/>
  <c r="D1489" i="1"/>
  <c r="D1490" i="1"/>
  <c r="D1491" i="1"/>
  <c r="D1492" i="1"/>
  <c r="D1493" i="1"/>
  <c r="D1488" i="1"/>
  <c r="F1472" i="1"/>
  <c r="F1471" i="1"/>
  <c r="D1472" i="1"/>
  <c r="D1471" i="1"/>
  <c r="D1470" i="1"/>
  <c r="D1469" i="1"/>
  <c r="D1468" i="1"/>
  <c r="D1467" i="1"/>
  <c r="N1463" i="1"/>
  <c r="N1462" i="1"/>
  <c r="N1461" i="1"/>
  <c r="N1460" i="1"/>
  <c r="N1459" i="1"/>
  <c r="N1458" i="1"/>
  <c r="N1457" i="1"/>
  <c r="N1456" i="1"/>
  <c r="N1455" i="1"/>
  <c r="N1454" i="1"/>
  <c r="N1453" i="1"/>
  <c r="N1452" i="1"/>
  <c r="L1463" i="1"/>
  <c r="L1462" i="1"/>
  <c r="L1461" i="1"/>
  <c r="L1460" i="1"/>
  <c r="L1459" i="1"/>
  <c r="L1458" i="1"/>
  <c r="L1457" i="1"/>
  <c r="L1456" i="1"/>
  <c r="L1455" i="1"/>
  <c r="L1454" i="1"/>
  <c r="L1453" i="1"/>
  <c r="L1452" i="1"/>
  <c r="J1463" i="1"/>
  <c r="J1462" i="1"/>
  <c r="J1461" i="1"/>
  <c r="J1460" i="1"/>
  <c r="J1459" i="1"/>
  <c r="J1458" i="1"/>
  <c r="J1457" i="1"/>
  <c r="J1456" i="1"/>
  <c r="J1455" i="1"/>
  <c r="J1454" i="1"/>
  <c r="J1453" i="1"/>
  <c r="J1452" i="1"/>
  <c r="H1463" i="1"/>
  <c r="H1462" i="1"/>
  <c r="H1461" i="1"/>
  <c r="H1460" i="1"/>
  <c r="H1459" i="1"/>
  <c r="H1458" i="1"/>
  <c r="H1457" i="1"/>
  <c r="H1456" i="1"/>
  <c r="H1455" i="1"/>
  <c r="H1454" i="1"/>
  <c r="H1453" i="1"/>
  <c r="H1452" i="1"/>
  <c r="F1463" i="1"/>
  <c r="F1462" i="1"/>
  <c r="F1461" i="1"/>
  <c r="F1460" i="1"/>
  <c r="F1459" i="1"/>
  <c r="F1458" i="1"/>
  <c r="F1457" i="1"/>
  <c r="F1456" i="1"/>
  <c r="F1455" i="1"/>
  <c r="F1454" i="1"/>
  <c r="F1453" i="1"/>
  <c r="F1452" i="1"/>
  <c r="D1463" i="1"/>
  <c r="D1462" i="1"/>
  <c r="D1461" i="1"/>
  <c r="D1460" i="1"/>
  <c r="D1459" i="1"/>
  <c r="D1458" i="1"/>
  <c r="D1457" i="1"/>
  <c r="D1456" i="1"/>
  <c r="D1455" i="1"/>
  <c r="D1454" i="1"/>
  <c r="D1453" i="1"/>
  <c r="D1452" i="1"/>
  <c r="N1448" i="1"/>
  <c r="N1447" i="1"/>
  <c r="N1446" i="1"/>
  <c r="N1445" i="1"/>
  <c r="N1444" i="1"/>
  <c r="N1443" i="1"/>
  <c r="N1442" i="1"/>
  <c r="N1441" i="1"/>
  <c r="N1440" i="1"/>
  <c r="N1439" i="1"/>
  <c r="N1438" i="1"/>
  <c r="N1437" i="1"/>
  <c r="L1448" i="1"/>
  <c r="L1447" i="1"/>
  <c r="L1446" i="1"/>
  <c r="L1445" i="1"/>
  <c r="L1444" i="1"/>
  <c r="L1443" i="1"/>
  <c r="L1442" i="1"/>
  <c r="L1441" i="1"/>
  <c r="L1440" i="1"/>
  <c r="L1439" i="1"/>
  <c r="L1438" i="1"/>
  <c r="L1437" i="1"/>
  <c r="J1448" i="1"/>
  <c r="J1447" i="1"/>
  <c r="J1446" i="1"/>
  <c r="J1445" i="1"/>
  <c r="J1444" i="1"/>
  <c r="J1443" i="1"/>
  <c r="J1442" i="1"/>
  <c r="J1441" i="1"/>
  <c r="J1440" i="1"/>
  <c r="J1439" i="1"/>
  <c r="J1438" i="1"/>
  <c r="J1437" i="1"/>
  <c r="H1438" i="1"/>
  <c r="H1439" i="1"/>
  <c r="H1440" i="1"/>
  <c r="H1441" i="1"/>
  <c r="H1442" i="1"/>
  <c r="H1443" i="1"/>
  <c r="H1444" i="1"/>
  <c r="H1445" i="1"/>
  <c r="H1446" i="1"/>
  <c r="H1447" i="1"/>
  <c r="H1448" i="1"/>
  <c r="H1437" i="1"/>
  <c r="F1438" i="1"/>
  <c r="F1439" i="1"/>
  <c r="F1440" i="1"/>
  <c r="F1441" i="1"/>
  <c r="F1442" i="1"/>
  <c r="F1443" i="1"/>
  <c r="F1444" i="1"/>
  <c r="F1445" i="1"/>
  <c r="F1446" i="1"/>
  <c r="F1447" i="1"/>
  <c r="F1448" i="1"/>
  <c r="F1437" i="1"/>
  <c r="D1442" i="1"/>
  <c r="D1443" i="1"/>
  <c r="D1444" i="1"/>
  <c r="D1445" i="1"/>
  <c r="D1446" i="1"/>
  <c r="D1447" i="1"/>
  <c r="D1448" i="1"/>
  <c r="D1441" i="1"/>
  <c r="F1425" i="1"/>
  <c r="F1424" i="1"/>
  <c r="F1423" i="1"/>
  <c r="F1422" i="1"/>
  <c r="F1421" i="1"/>
  <c r="F1420" i="1"/>
  <c r="D1431" i="1"/>
  <c r="D1430" i="1"/>
  <c r="D1429" i="1"/>
  <c r="D1428" i="1"/>
  <c r="D1427" i="1"/>
  <c r="D1426" i="1"/>
  <c r="D1425" i="1"/>
  <c r="D1424" i="1"/>
  <c r="D1423" i="1"/>
  <c r="D1422" i="1"/>
  <c r="D1421" i="1"/>
  <c r="D1420" i="1"/>
  <c r="P1416" i="1"/>
  <c r="P1415" i="1"/>
  <c r="P1414" i="1"/>
  <c r="P1413" i="1"/>
  <c r="P1412" i="1"/>
  <c r="P1411" i="1"/>
  <c r="P1410" i="1"/>
  <c r="P1409" i="1"/>
  <c r="P1408" i="1"/>
  <c r="P1407" i="1"/>
  <c r="P1406" i="1"/>
  <c r="P1405" i="1"/>
  <c r="N1416" i="1"/>
  <c r="N1415" i="1"/>
  <c r="N1414" i="1"/>
  <c r="N1413" i="1"/>
  <c r="N1412" i="1"/>
  <c r="N1411" i="1"/>
  <c r="N1410" i="1"/>
  <c r="N1409" i="1"/>
  <c r="N1408" i="1"/>
  <c r="N1407" i="1"/>
  <c r="N1406" i="1"/>
  <c r="N1405" i="1"/>
  <c r="L1416" i="1"/>
  <c r="L1415" i="1"/>
  <c r="L1414" i="1"/>
  <c r="L1413" i="1"/>
  <c r="L1412" i="1"/>
  <c r="L1411" i="1"/>
  <c r="L1410" i="1"/>
  <c r="L1409" i="1"/>
  <c r="L1408" i="1"/>
  <c r="L1407" i="1"/>
  <c r="L1406" i="1"/>
  <c r="L1405" i="1"/>
  <c r="J1416" i="1"/>
  <c r="J1415" i="1"/>
  <c r="J1414" i="1"/>
  <c r="J1413" i="1"/>
  <c r="J1412" i="1"/>
  <c r="J1411" i="1"/>
  <c r="J1410" i="1"/>
  <c r="J1409" i="1"/>
  <c r="J1408" i="1"/>
  <c r="J1407" i="1"/>
  <c r="J1406" i="1"/>
  <c r="J1405" i="1"/>
  <c r="H1416" i="1"/>
  <c r="H1415" i="1"/>
  <c r="H1414" i="1"/>
  <c r="H1413" i="1"/>
  <c r="H1412" i="1"/>
  <c r="H1411" i="1"/>
  <c r="H1410" i="1"/>
  <c r="H1409" i="1"/>
  <c r="H1408" i="1"/>
  <c r="H1407" i="1"/>
  <c r="H1406" i="1"/>
  <c r="H1405" i="1"/>
  <c r="F1416" i="1"/>
  <c r="F1415" i="1"/>
  <c r="F1414" i="1"/>
  <c r="F1413" i="1"/>
  <c r="F1412" i="1"/>
  <c r="F1411" i="1"/>
  <c r="F1410" i="1"/>
  <c r="F1409" i="1"/>
  <c r="F1408" i="1"/>
  <c r="F1407" i="1"/>
  <c r="F1406" i="1"/>
  <c r="F1405" i="1"/>
  <c r="D1413" i="1"/>
  <c r="D1414" i="1"/>
  <c r="D1415" i="1"/>
  <c r="D1416" i="1"/>
  <c r="D1412" i="1"/>
  <c r="B122" i="768"/>
  <c r="H122" i="768" s="1"/>
  <c r="B173" i="512"/>
  <c r="H173" i="512" s="1"/>
  <c r="B173" i="523"/>
  <c r="H173" i="523" s="1"/>
  <c r="F1203" i="1"/>
  <c r="D1214" i="1"/>
  <c r="D1213" i="1"/>
  <c r="D1212" i="1"/>
  <c r="D1211" i="1"/>
  <c r="D1210" i="1"/>
  <c r="D1209" i="1"/>
  <c r="D1208" i="1"/>
  <c r="D1207" i="1"/>
  <c r="D1206" i="1"/>
  <c r="D1205" i="1"/>
  <c r="D1204" i="1"/>
  <c r="D1203" i="1"/>
  <c r="F650" i="1"/>
  <c r="D661" i="1"/>
  <c r="D657" i="1"/>
  <c r="B149" i="516"/>
  <c r="D599" i="1"/>
  <c r="D598" i="1"/>
  <c r="D597" i="1"/>
  <c r="D596" i="1"/>
  <c r="D595" i="1"/>
  <c r="D594" i="1"/>
  <c r="D593" i="1"/>
  <c r="D592" i="1"/>
  <c r="D591" i="1"/>
  <c r="D590" i="1"/>
  <c r="D589" i="1"/>
  <c r="D588" i="1"/>
  <c r="B242" i="10541"/>
  <c r="H242" i="10541" s="1"/>
  <c r="H429" i="1"/>
  <c r="C241" i="3"/>
  <c r="F723" i="1"/>
  <c r="F1352" i="1"/>
  <c r="B171" i="36"/>
  <c r="F376" i="1"/>
  <c r="B241" i="10541"/>
  <c r="H241" i="10541" s="1"/>
  <c r="H582" i="1"/>
  <c r="B172" i="8196"/>
  <c r="H172" i="8196" s="1"/>
  <c r="F1035" i="1"/>
  <c r="F1148" i="1"/>
  <c r="F1196" i="1"/>
  <c r="B172" i="512"/>
  <c r="H172" i="512" s="1"/>
  <c r="E1478" i="1"/>
  <c r="F1478" i="1" s="1"/>
  <c r="B120" i="10285"/>
  <c r="H120" i="10285" s="1"/>
  <c r="F1147" i="1"/>
  <c r="B170" i="11522"/>
  <c r="E1477" i="1"/>
  <c r="F1477" i="1" s="1"/>
  <c r="B171" i="2316"/>
  <c r="H171" i="2316" s="1"/>
  <c r="G41" i="3584"/>
  <c r="E1473" i="1"/>
  <c r="F1473" i="1" s="1"/>
  <c r="E1474" i="1"/>
  <c r="F1474" i="1" s="1"/>
  <c r="E1475" i="1"/>
  <c r="E1476" i="1"/>
  <c r="F1476" i="1" s="1"/>
  <c r="F188" i="1"/>
  <c r="B239" i="10541"/>
  <c r="H239" i="10541" s="1"/>
  <c r="F847" i="1"/>
  <c r="F1033" i="1"/>
  <c r="B170" i="523"/>
  <c r="H170" i="523" s="1"/>
  <c r="B119" i="768"/>
  <c r="H119" i="768" s="1"/>
  <c r="F1617" i="1"/>
  <c r="F1256" i="1"/>
  <c r="F1303" i="1"/>
  <c r="A75" i="3584"/>
  <c r="G113" i="3584" s="1"/>
  <c r="F41" i="3584"/>
  <c r="B238" i="4888"/>
  <c r="B238" i="2561"/>
  <c r="H238" i="2561" s="1"/>
  <c r="F846" i="1"/>
  <c r="F1396" i="1"/>
  <c r="C238" i="3"/>
  <c r="B168" i="82"/>
  <c r="F1349" i="1"/>
  <c r="B167" i="36"/>
  <c r="F1254" i="1"/>
  <c r="F719" i="1"/>
  <c r="B168" i="523"/>
  <c r="H168" i="523" s="1"/>
  <c r="F907" i="1"/>
  <c r="F845" i="1"/>
  <c r="B237" i="2561"/>
  <c r="H237" i="2561" s="1"/>
  <c r="B168" i="2316"/>
  <c r="H168" i="2316" s="1"/>
  <c r="H528" i="1"/>
  <c r="F461" i="8"/>
  <c r="F431" i="8"/>
  <c r="F380" i="8"/>
  <c r="F1614" i="1"/>
  <c r="F1143" i="1"/>
  <c r="F844" i="1"/>
  <c r="H577" i="1"/>
  <c r="F185" i="1"/>
  <c r="B166" i="2316"/>
  <c r="H166" i="2316" s="1"/>
  <c r="F434" i="1"/>
  <c r="F780" i="1"/>
  <c r="B165" i="11522"/>
  <c r="B165" i="2316"/>
  <c r="H165" i="2316" s="1"/>
  <c r="F433" i="1"/>
  <c r="F1028" i="1"/>
  <c r="F1392" i="1"/>
  <c r="F59" i="1"/>
  <c r="F779" i="1"/>
  <c r="B164" i="36"/>
  <c r="B233" i="2561"/>
  <c r="H233" i="2561" s="1"/>
  <c r="F1092" i="1"/>
  <c r="F1140" i="1"/>
  <c r="F1391" i="1"/>
  <c r="B113" i="768"/>
  <c r="H113" i="768" s="1"/>
  <c r="B163" i="36"/>
  <c r="E1564" i="1"/>
  <c r="G1561" i="1" s="1"/>
  <c r="E1517" i="1"/>
  <c r="G1516" i="1" s="1"/>
  <c r="E965" i="1"/>
  <c r="E970" i="1" s="1"/>
  <c r="B238" i="20994" s="1"/>
  <c r="B232" i="4888"/>
  <c r="H102" i="1"/>
  <c r="B233" i="32"/>
  <c r="J281" i="1"/>
  <c r="B163" i="2316"/>
  <c r="H163" i="2316" s="1"/>
  <c r="H526" i="1"/>
  <c r="B163" i="523"/>
  <c r="H163" i="523" s="1"/>
  <c r="F1187" i="1"/>
  <c r="F1610" i="1"/>
  <c r="E1563" i="1"/>
  <c r="B163" i="1024" s="1"/>
  <c r="E1516" i="1"/>
  <c r="E964" i="1"/>
  <c r="B232" i="20994" s="1"/>
  <c r="F1389" i="1"/>
  <c r="F366" i="1"/>
  <c r="H525" i="1"/>
  <c r="F901" i="1"/>
  <c r="B162" i="2048"/>
  <c r="H162" i="2048" s="1"/>
  <c r="F1342" i="1"/>
  <c r="E1562" i="1"/>
  <c r="E1515" i="1"/>
  <c r="B162" i="9216" s="1"/>
  <c r="E963" i="1"/>
  <c r="B231" i="20994" s="1"/>
  <c r="F712" i="1"/>
  <c r="B160" i="515"/>
  <c r="B231" i="32"/>
  <c r="B230" i="10541"/>
  <c r="H230" i="10541" s="1"/>
  <c r="B161" i="8196"/>
  <c r="H161" i="8196" s="1"/>
  <c r="F900" i="1"/>
  <c r="B161" i="523"/>
  <c r="H161" i="523" s="1"/>
  <c r="B161" i="2048"/>
  <c r="H161" i="2048" s="1"/>
  <c r="E1561" i="1"/>
  <c r="E962" i="1"/>
  <c r="B159" i="515"/>
  <c r="D1258" i="1"/>
  <c r="B159" i="82"/>
  <c r="B160" i="2048"/>
  <c r="H160" i="2048" s="1"/>
  <c r="D1148" i="1"/>
  <c r="D911" i="1"/>
  <c r="D849" i="1"/>
  <c r="F582" i="1"/>
  <c r="F535" i="1"/>
  <c r="D190" i="1"/>
  <c r="D128" i="1"/>
  <c r="C1572" i="1"/>
  <c r="B160" i="1024" s="1"/>
  <c r="C1525" i="1"/>
  <c r="D1525" i="1" s="1"/>
  <c r="C973" i="1"/>
  <c r="D973" i="1"/>
  <c r="D189" i="1"/>
  <c r="D375" i="1"/>
  <c r="B159" i="8196"/>
  <c r="H159" i="8196" s="1"/>
  <c r="D1477" i="1"/>
  <c r="B158" i="11522"/>
  <c r="C1571" i="1"/>
  <c r="B159" i="1024" s="1"/>
  <c r="C1524" i="1"/>
  <c r="C972" i="1"/>
  <c r="D972" i="1" s="1"/>
  <c r="D1256" i="1"/>
  <c r="B107" i="768"/>
  <c r="H107" i="768" s="1"/>
  <c r="F580" i="1"/>
  <c r="C1570" i="1"/>
  <c r="C1523" i="1"/>
  <c r="C971" i="1"/>
  <c r="B227" i="32"/>
  <c r="D437" i="1"/>
  <c r="B106" i="10285"/>
  <c r="H106" i="10285" s="1"/>
  <c r="D846" i="1"/>
  <c r="D908" i="1"/>
  <c r="D1097" i="1"/>
  <c r="B157" i="2048"/>
  <c r="H157" i="2048" s="1"/>
  <c r="D1616" i="1"/>
  <c r="B156" i="11522"/>
  <c r="D1302" i="1"/>
  <c r="C1569" i="1"/>
  <c r="C1522" i="1"/>
  <c r="B157" i="9216" s="1"/>
  <c r="C970" i="1"/>
  <c r="B226" i="20994" s="1"/>
  <c r="B155" i="11522"/>
  <c r="D1301" i="1"/>
  <c r="B156" i="523"/>
  <c r="H156" i="523" s="1"/>
  <c r="B156" i="2048"/>
  <c r="H156" i="2048" s="1"/>
  <c r="F1427" i="1"/>
  <c r="D1614" i="1"/>
  <c r="C1568" i="1"/>
  <c r="B156" i="1024" s="1"/>
  <c r="C1521" i="1"/>
  <c r="D1521" i="1" s="1"/>
  <c r="B156" i="9216"/>
  <c r="B155" i="512"/>
  <c r="H155" i="512" s="1"/>
  <c r="D1143" i="1"/>
  <c r="B156" i="2819"/>
  <c r="H156" i="2819" s="1"/>
  <c r="D1095" i="1"/>
  <c r="C969" i="1"/>
  <c r="B225" i="20994" s="1"/>
  <c r="B225" i="32"/>
  <c r="H285" i="1"/>
  <c r="B225" i="4888"/>
  <c r="C1567" i="1"/>
  <c r="D1567" i="1" s="1"/>
  <c r="C1520" i="1"/>
  <c r="D1520" i="1" s="1"/>
  <c r="C968" i="1"/>
  <c r="D968" i="1" s="1"/>
  <c r="J1042" i="1"/>
  <c r="J1043" i="1"/>
  <c r="J1044" i="1"/>
  <c r="J1045" i="1"/>
  <c r="J1046" i="1"/>
  <c r="J1047" i="1"/>
  <c r="J1048" i="1"/>
  <c r="J1049" i="1"/>
  <c r="J1050" i="1"/>
  <c r="J1051" i="1"/>
  <c r="J1052" i="1"/>
  <c r="F792" i="1"/>
  <c r="B347" i="1"/>
  <c r="D56" i="1"/>
  <c r="D57" i="1"/>
  <c r="D58" i="1"/>
  <c r="D59" i="1"/>
  <c r="D60" i="1"/>
  <c r="D55" i="1"/>
  <c r="N41" i="1"/>
  <c r="N42" i="1"/>
  <c r="N43" i="1"/>
  <c r="N44" i="1"/>
  <c r="N45" i="1"/>
  <c r="N46" i="1"/>
  <c r="N47" i="1"/>
  <c r="N48" i="1"/>
  <c r="N49" i="1"/>
  <c r="N50" i="1"/>
  <c r="N51" i="1"/>
  <c r="N40" i="1"/>
  <c r="L41" i="1"/>
  <c r="L42" i="1"/>
  <c r="L43" i="1"/>
  <c r="L44" i="1"/>
  <c r="L45" i="1"/>
  <c r="L46" i="1"/>
  <c r="L47" i="1"/>
  <c r="L48" i="1"/>
  <c r="L49" i="1"/>
  <c r="L50" i="1"/>
  <c r="L51" i="1"/>
  <c r="L40" i="1"/>
  <c r="J41" i="1"/>
  <c r="J42" i="1"/>
  <c r="J43" i="1"/>
  <c r="J44" i="1"/>
  <c r="J45" i="1"/>
  <c r="J46" i="1"/>
  <c r="J47" i="1"/>
  <c r="J48" i="1"/>
  <c r="J49" i="1"/>
  <c r="J50" i="1"/>
  <c r="J51" i="1"/>
  <c r="J40" i="1"/>
  <c r="H43" i="1"/>
  <c r="H44" i="1"/>
  <c r="H45" i="1"/>
  <c r="H46" i="1"/>
  <c r="H47" i="1"/>
  <c r="H48" i="1"/>
  <c r="H49" i="1"/>
  <c r="H50" i="1"/>
  <c r="H51" i="1"/>
  <c r="H41" i="1"/>
  <c r="H42" i="1"/>
  <c r="H40" i="1"/>
  <c r="F42" i="1"/>
  <c r="F43" i="1"/>
  <c r="F44" i="1"/>
  <c r="F45" i="1"/>
  <c r="F46" i="1"/>
  <c r="F47" i="1"/>
  <c r="F48" i="1"/>
  <c r="F49" i="1"/>
  <c r="F50" i="1"/>
  <c r="F51" i="1"/>
  <c r="F41" i="1"/>
  <c r="F40" i="1"/>
  <c r="D51" i="1"/>
  <c r="D41" i="1"/>
  <c r="D42" i="1"/>
  <c r="D43" i="1"/>
  <c r="D44" i="1"/>
  <c r="D45" i="1"/>
  <c r="D46" i="1"/>
  <c r="D47" i="1"/>
  <c r="D48" i="1"/>
  <c r="D49" i="1"/>
  <c r="D50" i="1"/>
  <c r="D40" i="1"/>
  <c r="N25" i="1"/>
  <c r="N26" i="1"/>
  <c r="N27" i="1"/>
  <c r="N28" i="1"/>
  <c r="N29" i="1"/>
  <c r="N30" i="1"/>
  <c r="N31" i="1"/>
  <c r="N32" i="1"/>
  <c r="N33" i="1"/>
  <c r="N34" i="1"/>
  <c r="N35" i="1"/>
  <c r="N24" i="1"/>
  <c r="L25" i="1"/>
  <c r="L26" i="1"/>
  <c r="L27" i="1"/>
  <c r="L28" i="1"/>
  <c r="L29" i="1"/>
  <c r="L31" i="1"/>
  <c r="L32" i="1"/>
  <c r="L33" i="1"/>
  <c r="L34" i="1"/>
  <c r="L35" i="1"/>
  <c r="L24" i="1"/>
  <c r="J25" i="1"/>
  <c r="J26" i="1"/>
  <c r="J27" i="1"/>
  <c r="J28" i="1"/>
  <c r="J29" i="1"/>
  <c r="J30" i="1"/>
  <c r="J31" i="1"/>
  <c r="J32" i="1"/>
  <c r="J33" i="1"/>
  <c r="J34" i="1"/>
  <c r="J35" i="1"/>
  <c r="J24" i="1"/>
  <c r="H35" i="1"/>
  <c r="H25" i="1"/>
  <c r="H26" i="1"/>
  <c r="H27" i="1"/>
  <c r="H28" i="1"/>
  <c r="H29" i="1"/>
  <c r="H30" i="1"/>
  <c r="H31" i="1"/>
  <c r="H32" i="1"/>
  <c r="H33" i="1"/>
  <c r="H34" i="1"/>
  <c r="H24" i="1"/>
  <c r="F25" i="1"/>
  <c r="F26" i="1"/>
  <c r="F27" i="1"/>
  <c r="F28" i="1"/>
  <c r="F29" i="1"/>
  <c r="F30" i="1"/>
  <c r="F31" i="1"/>
  <c r="F32" i="1"/>
  <c r="F33" i="1"/>
  <c r="F34" i="1"/>
  <c r="F35" i="1"/>
  <c r="F24" i="1"/>
  <c r="D26" i="1"/>
  <c r="D27" i="1"/>
  <c r="D28" i="1"/>
  <c r="D30" i="1"/>
  <c r="D32" i="1"/>
  <c r="D33" i="1"/>
  <c r="D34" i="1"/>
  <c r="D35" i="1"/>
  <c r="D24" i="1"/>
  <c r="D25" i="1"/>
  <c r="B154" i="512"/>
  <c r="B154" i="8196"/>
  <c r="B154" i="2048"/>
  <c r="B223" i="10541"/>
  <c r="B154" i="523"/>
  <c r="B223" i="2561"/>
  <c r="B154" i="2819"/>
  <c r="B154" i="2316"/>
  <c r="B224" i="32"/>
  <c r="B103" i="768"/>
  <c r="B103" i="10285"/>
  <c r="B223" i="4888"/>
  <c r="B223" i="25580"/>
  <c r="C223" i="3"/>
  <c r="D1613" i="1"/>
  <c r="C1566" i="1"/>
  <c r="B154" i="1024" s="1"/>
  <c r="C1565" i="1"/>
  <c r="C1519" i="1"/>
  <c r="D1519" i="1" s="1"/>
  <c r="C1518" i="1"/>
  <c r="D1518" i="1" s="1"/>
  <c r="D1393" i="1"/>
  <c r="D1190" i="1"/>
  <c r="D1142" i="1"/>
  <c r="D1094" i="1"/>
  <c r="D1029" i="1"/>
  <c r="C967" i="1"/>
  <c r="B223" i="20994" s="1"/>
  <c r="C966" i="1"/>
  <c r="B222" i="20994" s="1"/>
  <c r="D905" i="1"/>
  <c r="D843" i="1"/>
  <c r="D1299" i="1"/>
  <c r="F576" i="1"/>
  <c r="F529" i="1"/>
  <c r="D434" i="1"/>
  <c r="D370" i="1"/>
  <c r="H284" i="1"/>
  <c r="D184" i="1"/>
  <c r="D122" i="1"/>
  <c r="B153" i="512"/>
  <c r="B153" i="8196"/>
  <c r="B153" i="2048"/>
  <c r="B222" i="10541"/>
  <c r="B153" i="523"/>
  <c r="B222" i="2561"/>
  <c r="B153" i="2819"/>
  <c r="B153" i="2316"/>
  <c r="B223" i="32"/>
  <c r="B102" i="768"/>
  <c r="B102" i="10285"/>
  <c r="B222" i="4888"/>
  <c r="B222" i="25580"/>
  <c r="C222" i="3"/>
  <c r="D1612" i="1"/>
  <c r="D1392" i="1"/>
  <c r="D1345" i="1"/>
  <c r="D1189" i="1"/>
  <c r="D1141" i="1"/>
  <c r="D1093" i="1"/>
  <c r="D1028" i="1"/>
  <c r="D904" i="1"/>
  <c r="D842" i="1"/>
  <c r="F575" i="1"/>
  <c r="F528" i="1"/>
  <c r="D433" i="1"/>
  <c r="D369" i="1"/>
  <c r="H283" i="1"/>
  <c r="D183" i="1"/>
  <c r="D121" i="1"/>
  <c r="B152" i="512"/>
  <c r="B152" i="8196"/>
  <c r="B152" i="2048"/>
  <c r="B221" i="10541"/>
  <c r="B152" i="523"/>
  <c r="B221" i="2561"/>
  <c r="B152" i="2819"/>
  <c r="B152" i="2316"/>
  <c r="B222" i="32"/>
  <c r="B152" i="1024"/>
  <c r="B152" i="9216"/>
  <c r="B221" i="20994"/>
  <c r="B101" i="768"/>
  <c r="B101" i="10285"/>
  <c r="B221" i="4888"/>
  <c r="B221" i="25580"/>
  <c r="D1611" i="1"/>
  <c r="D1564" i="1"/>
  <c r="D1391" i="1"/>
  <c r="D1250" i="1"/>
  <c r="D1188" i="1"/>
  <c r="D1140" i="1"/>
  <c r="D1092" i="1"/>
  <c r="D1027" i="1"/>
  <c r="D965" i="1"/>
  <c r="D903" i="1"/>
  <c r="D841" i="1"/>
  <c r="F574" i="1"/>
  <c r="F527" i="1"/>
  <c r="D432" i="1"/>
  <c r="D368" i="1"/>
  <c r="H282" i="1"/>
  <c r="D182" i="1"/>
  <c r="D120" i="1"/>
  <c r="C221" i="3"/>
  <c r="B151" i="512"/>
  <c r="B151" i="8196"/>
  <c r="B151" i="2048"/>
  <c r="B220" i="10541"/>
  <c r="B151" i="523"/>
  <c r="B220" i="2561"/>
  <c r="B151" i="2819"/>
  <c r="B151" i="2316"/>
  <c r="B221" i="32"/>
  <c r="B151" i="1024"/>
  <c r="B151" i="9216"/>
  <c r="B220" i="20994"/>
  <c r="B100" i="768"/>
  <c r="B100" i="10285"/>
  <c r="B220" i="4888"/>
  <c r="B220" i="25580"/>
  <c r="C220" i="3"/>
  <c r="D1610" i="1"/>
  <c r="D1563" i="1"/>
  <c r="D1390" i="1"/>
  <c r="D1343" i="1"/>
  <c r="D1187" i="1"/>
  <c r="D1139" i="1"/>
  <c r="D1091" i="1"/>
  <c r="D1026" i="1"/>
  <c r="D964" i="1"/>
  <c r="D902" i="1"/>
  <c r="D840" i="1"/>
  <c r="B150" i="82"/>
  <c r="F573" i="1"/>
  <c r="F526" i="1"/>
  <c r="D431" i="1"/>
  <c r="D367" i="1"/>
  <c r="H281" i="1"/>
  <c r="D181" i="1"/>
  <c r="D119" i="1"/>
  <c r="B150" i="512"/>
  <c r="B150" i="8196"/>
  <c r="B149" i="36"/>
  <c r="B149" i="515"/>
  <c r="B149" i="11522"/>
  <c r="B150" i="2048"/>
  <c r="B219" i="10541"/>
  <c r="B150" i="523"/>
  <c r="B219" i="2561"/>
  <c r="B150" i="2819"/>
  <c r="B150" i="2316"/>
  <c r="B220" i="32"/>
  <c r="B150" i="1024"/>
  <c r="B150" i="9216"/>
  <c r="B219" i="20994"/>
  <c r="B99" i="768"/>
  <c r="B99" i="10285"/>
  <c r="B219" i="4888"/>
  <c r="B219" i="25580"/>
  <c r="C219" i="3"/>
  <c r="D1609" i="1"/>
  <c r="D1562" i="1"/>
  <c r="D1389" i="1"/>
  <c r="D1342" i="1"/>
  <c r="D1295" i="1"/>
  <c r="D1248" i="1"/>
  <c r="D1186" i="1"/>
  <c r="D1138" i="1"/>
  <c r="D1090" i="1"/>
  <c r="D1025" i="1"/>
  <c r="D963" i="1"/>
  <c r="D901" i="1"/>
  <c r="D839" i="1"/>
  <c r="D776" i="1"/>
  <c r="F572" i="1"/>
  <c r="F525" i="1"/>
  <c r="D430" i="1"/>
  <c r="D366" i="1"/>
  <c r="H280" i="1"/>
  <c r="D180" i="1"/>
  <c r="D118" i="1"/>
  <c r="B218" i="25580"/>
  <c r="D117" i="1"/>
  <c r="B149" i="512"/>
  <c r="B149" i="8196"/>
  <c r="B148" i="36"/>
  <c r="B148" i="82"/>
  <c r="B148" i="515"/>
  <c r="B148" i="11522"/>
  <c r="B149" i="2048"/>
  <c r="B218" i="10541"/>
  <c r="B149" i="523"/>
  <c r="B218" i="2561"/>
  <c r="B149" i="2819"/>
  <c r="B149" i="2316"/>
  <c r="B219" i="32"/>
  <c r="B149" i="1024"/>
  <c r="B149" i="9216"/>
  <c r="B218" i="20994"/>
  <c r="B98" i="768"/>
  <c r="B98" i="10285"/>
  <c r="B218" i="4888"/>
  <c r="C218" i="3"/>
  <c r="D1608" i="1"/>
  <c r="D1561" i="1"/>
  <c r="D1388" i="1"/>
  <c r="D1341" i="1"/>
  <c r="D1294" i="1"/>
  <c r="D1247" i="1"/>
  <c r="D1185" i="1"/>
  <c r="D1137" i="1"/>
  <c r="D1089" i="1"/>
  <c r="D1024" i="1"/>
  <c r="D962" i="1"/>
  <c r="D900" i="1"/>
  <c r="D838" i="1"/>
  <c r="D775" i="1"/>
  <c r="D712" i="1"/>
  <c r="F571" i="1"/>
  <c r="F524" i="1"/>
  <c r="D365" i="1"/>
  <c r="D429" i="1"/>
  <c r="H279" i="1"/>
  <c r="D179" i="1"/>
  <c r="B8" i="1024"/>
  <c r="D8" i="1024"/>
  <c r="B9" i="1024"/>
  <c r="B10" i="1024"/>
  <c r="B11" i="1024"/>
  <c r="B12" i="1024"/>
  <c r="B13" i="1024"/>
  <c r="B14" i="1024"/>
  <c r="B15" i="1024"/>
  <c r="B17" i="1024"/>
  <c r="B18" i="1024"/>
  <c r="B19" i="1024"/>
  <c r="B20" i="1024"/>
  <c r="B21" i="1024"/>
  <c r="B22" i="1024"/>
  <c r="B23" i="1024"/>
  <c r="B24" i="1024"/>
  <c r="B25" i="1024"/>
  <c r="B26" i="1024"/>
  <c r="B27" i="1024"/>
  <c r="B28" i="1024"/>
  <c r="B29" i="1024"/>
  <c r="B30" i="1024"/>
  <c r="B31" i="1024"/>
  <c r="B32" i="1024"/>
  <c r="B33" i="1024"/>
  <c r="B34" i="1024"/>
  <c r="B35" i="1024"/>
  <c r="B36" i="1024"/>
  <c r="B37" i="1024"/>
  <c r="B38" i="1024"/>
  <c r="B39" i="1024"/>
  <c r="B40" i="1024"/>
  <c r="B41" i="1024"/>
  <c r="B42" i="1024"/>
  <c r="B43" i="1024"/>
  <c r="B44" i="1024"/>
  <c r="B45" i="1024"/>
  <c r="B46" i="1024"/>
  <c r="B47" i="1024"/>
  <c r="B48" i="1024"/>
  <c r="B49" i="1024"/>
  <c r="B50" i="1024"/>
  <c r="B51" i="1024"/>
  <c r="B52" i="1024"/>
  <c r="B54" i="1024"/>
  <c r="B55" i="1024"/>
  <c r="B56" i="1024"/>
  <c r="B57" i="1024"/>
  <c r="B58" i="1024"/>
  <c r="B60" i="1024"/>
  <c r="B61" i="1024"/>
  <c r="B64" i="1024"/>
  <c r="B65" i="1024"/>
  <c r="B66" i="1024"/>
  <c r="B67" i="1024"/>
  <c r="B68" i="1024"/>
  <c r="B69" i="1024"/>
  <c r="B70" i="1024"/>
  <c r="B71" i="1024"/>
  <c r="B72" i="1024"/>
  <c r="B73" i="1024"/>
  <c r="B74" i="1024"/>
  <c r="B76" i="1024"/>
  <c r="B77" i="1024"/>
  <c r="B80" i="1024"/>
  <c r="B81" i="1024"/>
  <c r="B83" i="1024"/>
  <c r="B84" i="1024"/>
  <c r="B85" i="1024"/>
  <c r="B86" i="1024"/>
  <c r="B87" i="1024"/>
  <c r="B88" i="1024"/>
  <c r="B89" i="1024"/>
  <c r="B90" i="1024"/>
  <c r="B93" i="1024"/>
  <c r="B105" i="1024"/>
  <c r="B130" i="1024"/>
  <c r="B131" i="1024"/>
  <c r="B132" i="1024"/>
  <c r="B133" i="1024"/>
  <c r="B134" i="1024"/>
  <c r="B135" i="1024"/>
  <c r="B136" i="1024"/>
  <c r="B137" i="1024"/>
  <c r="B138" i="1024"/>
  <c r="B139" i="1024"/>
  <c r="B140" i="1024"/>
  <c r="B142" i="1024"/>
  <c r="B143" i="1024"/>
  <c r="B144" i="1024"/>
  <c r="B145" i="1024"/>
  <c r="B146" i="1024"/>
  <c r="B147" i="1024"/>
  <c r="B148" i="1024"/>
  <c r="D12" i="8"/>
  <c r="D16" i="8"/>
  <c r="D21" i="8"/>
  <c r="D25" i="8"/>
  <c r="D28" i="8"/>
  <c r="D34" i="8"/>
  <c r="D35" i="8"/>
  <c r="D36" i="8"/>
  <c r="D38" i="8"/>
  <c r="D43" i="8"/>
  <c r="D47" i="8"/>
  <c r="D51" i="8"/>
  <c r="D55" i="8"/>
  <c r="D57" i="8"/>
  <c r="D60" i="8"/>
  <c r="D69" i="8"/>
  <c r="D73" i="8"/>
  <c r="D75" i="8"/>
  <c r="D77" i="8"/>
  <c r="D82" i="8"/>
  <c r="D84" i="8"/>
  <c r="D89" i="8"/>
  <c r="D95" i="8"/>
  <c r="D99" i="8"/>
  <c r="D103" i="8"/>
  <c r="D108" i="8"/>
  <c r="D112" i="8"/>
  <c r="D116" i="8"/>
  <c r="D121" i="8"/>
  <c r="D125" i="8"/>
  <c r="D130" i="8"/>
  <c r="D134" i="8"/>
  <c r="D143" i="8"/>
  <c r="D147" i="8"/>
  <c r="D151" i="8"/>
  <c r="D156" i="8"/>
  <c r="D160" i="8"/>
  <c r="D164" i="8"/>
  <c r="D167" i="8"/>
  <c r="D171" i="8"/>
  <c r="D173" i="8"/>
  <c r="D175" i="8"/>
  <c r="D177" i="8"/>
  <c r="D180" i="8"/>
  <c r="D184" i="8"/>
  <c r="D188" i="8"/>
  <c r="C18" i="3584"/>
  <c r="C19" i="3584" s="1"/>
  <c r="C20" i="3584" s="1"/>
  <c r="C21" i="3584" s="1"/>
  <c r="C22" i="3584" s="1"/>
  <c r="C23" i="3584" s="1"/>
  <c r="C24" i="3584" s="1"/>
  <c r="C25" i="3584" s="1"/>
  <c r="C26" i="3584" s="1"/>
  <c r="C31" i="3584"/>
  <c r="C32" i="3584" s="1"/>
  <c r="C35" i="3584"/>
  <c r="A59" i="3584"/>
  <c r="B59" i="3584"/>
  <c r="C59" i="3584" s="1"/>
  <c r="D59" i="3584" s="1"/>
  <c r="A60" i="3584"/>
  <c r="B60" i="3584"/>
  <c r="A61" i="3584"/>
  <c r="B61" i="3584"/>
  <c r="A62" i="3584"/>
  <c r="B62" i="3584"/>
  <c r="A63" i="3584"/>
  <c r="B63" i="3584"/>
  <c r="A64" i="3584"/>
  <c r="B64" i="3584"/>
  <c r="A65" i="3584"/>
  <c r="B65" i="3584"/>
  <c r="A66" i="3584"/>
  <c r="G108" i="3584" s="1"/>
  <c r="B66" i="3584"/>
  <c r="A67" i="3584"/>
  <c r="G109" i="3584" s="1"/>
  <c r="B67" i="3584"/>
  <c r="A68" i="3584"/>
  <c r="B68" i="3584"/>
  <c r="A69" i="3584"/>
  <c r="B69" i="3584"/>
  <c r="A70" i="3584"/>
  <c r="G110" i="3584" s="1"/>
  <c r="B70" i="3584"/>
  <c r="A71" i="3584"/>
  <c r="B71" i="3584"/>
  <c r="A72" i="3584"/>
  <c r="G111" i="3584" s="1"/>
  <c r="B72" i="3584"/>
  <c r="G112" i="3584"/>
  <c r="G107" i="3584"/>
  <c r="H107" i="3584"/>
  <c r="I107" i="3584"/>
  <c r="B74" i="515"/>
  <c r="B75" i="515"/>
  <c r="B76" i="515"/>
  <c r="B77" i="515"/>
  <c r="B78" i="515"/>
  <c r="B79" i="515"/>
  <c r="B80" i="515"/>
  <c r="B81" i="515"/>
  <c r="B82" i="515"/>
  <c r="B83" i="515"/>
  <c r="B84" i="515"/>
  <c r="B85" i="515"/>
  <c r="B86" i="515"/>
  <c r="B87" i="515"/>
  <c r="B88" i="515"/>
  <c r="F88" i="515" s="1"/>
  <c r="B89" i="515"/>
  <c r="B90" i="515"/>
  <c r="B91" i="515"/>
  <c r="B92" i="515"/>
  <c r="B93" i="515"/>
  <c r="B94" i="515"/>
  <c r="B95" i="515"/>
  <c r="B96" i="515"/>
  <c r="F96" i="515" s="1"/>
  <c r="B97" i="515"/>
  <c r="B98" i="515"/>
  <c r="B99" i="515"/>
  <c r="B100" i="515"/>
  <c r="D101" i="515" s="1"/>
  <c r="B101" i="515"/>
  <c r="B102" i="515"/>
  <c r="B103" i="515"/>
  <c r="B104" i="515"/>
  <c r="F104" i="515" s="1"/>
  <c r="B105" i="515"/>
  <c r="B106" i="515"/>
  <c r="B107" i="515"/>
  <c r="B108" i="515"/>
  <c r="B109" i="515"/>
  <c r="B110" i="515"/>
  <c r="B111" i="515"/>
  <c r="B112" i="515"/>
  <c r="B113" i="515"/>
  <c r="B114" i="515"/>
  <c r="B115" i="515"/>
  <c r="B116" i="515"/>
  <c r="G116" i="515" s="1"/>
  <c r="B117" i="515"/>
  <c r="B118" i="515"/>
  <c r="B119" i="515"/>
  <c r="B120" i="515"/>
  <c r="G120" i="515" s="1"/>
  <c r="B121" i="515"/>
  <c r="B122" i="515"/>
  <c r="B123" i="515"/>
  <c r="B124" i="515"/>
  <c r="B125" i="515"/>
  <c r="B126" i="515"/>
  <c r="B127" i="515"/>
  <c r="B128" i="515"/>
  <c r="G128" i="515" s="1"/>
  <c r="B129" i="515"/>
  <c r="F129" i="515" s="1"/>
  <c r="B130" i="515"/>
  <c r="B131" i="515"/>
  <c r="E131" i="515" s="1"/>
  <c r="B132" i="515"/>
  <c r="B133" i="515"/>
  <c r="B134" i="515"/>
  <c r="B135" i="515"/>
  <c r="B136" i="515"/>
  <c r="B137" i="515"/>
  <c r="B138" i="515"/>
  <c r="B139" i="515"/>
  <c r="B140" i="515"/>
  <c r="B141" i="515"/>
  <c r="B142" i="515"/>
  <c r="B143" i="515"/>
  <c r="G143" i="515" s="1"/>
  <c r="B144" i="515"/>
  <c r="B145" i="515"/>
  <c r="F145" i="515" s="1"/>
  <c r="B146" i="515"/>
  <c r="F146" i="515" s="1"/>
  <c r="B147" i="515"/>
  <c r="B5" i="11520"/>
  <c r="B6" i="11520"/>
  <c r="B7" i="11520"/>
  <c r="B8" i="11520"/>
  <c r="B9" i="11520"/>
  <c r="B10" i="11520"/>
  <c r="B11" i="11520"/>
  <c r="B12" i="11520"/>
  <c r="B13" i="11520"/>
  <c r="B14" i="11520"/>
  <c r="B15" i="11520"/>
  <c r="B16" i="11520"/>
  <c r="B17" i="11520"/>
  <c r="B18" i="11520"/>
  <c r="B19" i="11520"/>
  <c r="F19" i="11520" s="1"/>
  <c r="B20" i="11520"/>
  <c r="B21" i="11520"/>
  <c r="B22" i="11520"/>
  <c r="B23" i="11520"/>
  <c r="B24" i="11520"/>
  <c r="B25" i="11520"/>
  <c r="B27" i="11520"/>
  <c r="B28" i="11520"/>
  <c r="B29" i="11520"/>
  <c r="B30" i="11520"/>
  <c r="B31" i="11520"/>
  <c r="B32" i="11520"/>
  <c r="B33" i="11520"/>
  <c r="B34" i="11520"/>
  <c r="B35" i="11520"/>
  <c r="B36" i="11520"/>
  <c r="B37" i="11520"/>
  <c r="B38" i="11520"/>
  <c r="B39" i="11520"/>
  <c r="B40" i="11520"/>
  <c r="B41" i="11520"/>
  <c r="B42" i="11520"/>
  <c r="B43" i="11520"/>
  <c r="B44" i="11520"/>
  <c r="F44" i="11520" s="1"/>
  <c r="B45" i="11520"/>
  <c r="B46" i="11520"/>
  <c r="B47" i="11520"/>
  <c r="B48" i="11520"/>
  <c r="B49" i="11520"/>
  <c r="B50" i="11520"/>
  <c r="B51" i="11520"/>
  <c r="B52" i="11520"/>
  <c r="F52" i="11520" s="1"/>
  <c r="B53" i="11520"/>
  <c r="B54" i="11520"/>
  <c r="B55" i="11520"/>
  <c r="B56" i="11520"/>
  <c r="B57" i="11520"/>
  <c r="B58" i="11520"/>
  <c r="B59" i="11520"/>
  <c r="B60" i="11520"/>
  <c r="F60" i="11520" s="1"/>
  <c r="B61" i="11520"/>
  <c r="B62" i="11520"/>
  <c r="B63" i="11520"/>
  <c r="B64" i="11520"/>
  <c r="F64" i="11520" s="1"/>
  <c r="B65" i="11520"/>
  <c r="B66" i="11520"/>
  <c r="B67" i="11520"/>
  <c r="B68" i="11520"/>
  <c r="G68" i="11520" s="1"/>
  <c r="B69" i="11520"/>
  <c r="B70" i="11520"/>
  <c r="B71" i="11520"/>
  <c r="B72" i="11520"/>
  <c r="G72" i="11520" s="1"/>
  <c r="B73" i="11520"/>
  <c r="B9" i="25580"/>
  <c r="B10" i="25580"/>
  <c r="B11" i="25580"/>
  <c r="B12" i="25580"/>
  <c r="B13" i="25580"/>
  <c r="B14" i="25580"/>
  <c r="B15" i="25580"/>
  <c r="B16" i="25580"/>
  <c r="B17" i="25580"/>
  <c r="B18" i="25580"/>
  <c r="B19" i="25580"/>
  <c r="B20" i="25580"/>
  <c r="B21" i="25580"/>
  <c r="B22" i="25580"/>
  <c r="B23" i="25580"/>
  <c r="B24" i="25580"/>
  <c r="B25" i="25580"/>
  <c r="B26" i="25580"/>
  <c r="B27" i="25580"/>
  <c r="B28" i="25580"/>
  <c r="B29" i="25580"/>
  <c r="B30" i="25580"/>
  <c r="B31" i="25580"/>
  <c r="B32" i="25580"/>
  <c r="B33" i="25580"/>
  <c r="B34" i="25580"/>
  <c r="B35" i="25580"/>
  <c r="B36" i="25580"/>
  <c r="B37" i="25580"/>
  <c r="B38" i="25580"/>
  <c r="B39" i="25580"/>
  <c r="B40" i="25580"/>
  <c r="B41" i="25580"/>
  <c r="B42" i="25580"/>
  <c r="B43" i="25580"/>
  <c r="B44" i="25580"/>
  <c r="B45" i="25580"/>
  <c r="B46" i="25580"/>
  <c r="B47" i="25580"/>
  <c r="B48" i="25580"/>
  <c r="B49" i="25580"/>
  <c r="B50" i="25580"/>
  <c r="B51" i="25580"/>
  <c r="B52" i="25580"/>
  <c r="B53" i="25580"/>
  <c r="B54" i="25580"/>
  <c r="B55" i="25580"/>
  <c r="B56" i="25580"/>
  <c r="B57" i="25580"/>
  <c r="B58" i="25580"/>
  <c r="B59" i="25580"/>
  <c r="B60" i="25580"/>
  <c r="B61" i="25580"/>
  <c r="B62" i="25580"/>
  <c r="B63" i="25580"/>
  <c r="B64" i="25580"/>
  <c r="B65" i="25580"/>
  <c r="B66" i="25580"/>
  <c r="B67" i="25580"/>
  <c r="B68" i="25580"/>
  <c r="B69" i="25580"/>
  <c r="B70" i="25580"/>
  <c r="B71" i="25580"/>
  <c r="B72" i="25580"/>
  <c r="B73" i="25580"/>
  <c r="B75" i="25580"/>
  <c r="B76" i="25580"/>
  <c r="B77" i="25580"/>
  <c r="B78" i="25580"/>
  <c r="B79" i="25580"/>
  <c r="B80" i="25580"/>
  <c r="B81" i="25580"/>
  <c r="B82" i="25580"/>
  <c r="B83" i="25580"/>
  <c r="B84" i="25580"/>
  <c r="B85" i="25580"/>
  <c r="B86" i="25580"/>
  <c r="B87" i="25580"/>
  <c r="B88" i="25580"/>
  <c r="B89" i="25580"/>
  <c r="B90" i="25580"/>
  <c r="B91" i="25580"/>
  <c r="B92" i="25580"/>
  <c r="B93" i="25580"/>
  <c r="B94" i="25580"/>
  <c r="B95" i="25580"/>
  <c r="B96" i="25580"/>
  <c r="B97" i="25580"/>
  <c r="B98" i="25580"/>
  <c r="B99" i="25580"/>
  <c r="B100" i="25580"/>
  <c r="B101" i="25580"/>
  <c r="B102" i="25580"/>
  <c r="B103" i="25580"/>
  <c r="B104" i="25580"/>
  <c r="B105" i="25580"/>
  <c r="B106" i="25580"/>
  <c r="B107" i="25580"/>
  <c r="B108" i="25580"/>
  <c r="B109" i="25580"/>
  <c r="B110" i="25580"/>
  <c r="B111" i="25580"/>
  <c r="B112" i="25580"/>
  <c r="B113" i="25580"/>
  <c r="B114" i="25580"/>
  <c r="B115" i="25580"/>
  <c r="B116" i="25580"/>
  <c r="B117" i="25580"/>
  <c r="B118" i="25580"/>
  <c r="B119" i="25580"/>
  <c r="B120" i="25580"/>
  <c r="B121" i="25580"/>
  <c r="B122" i="25580"/>
  <c r="B123" i="25580"/>
  <c r="B124" i="25580"/>
  <c r="B125" i="25580"/>
  <c r="B126" i="25580"/>
  <c r="B127" i="25580"/>
  <c r="B128" i="25580"/>
  <c r="B129" i="25580"/>
  <c r="B130" i="25580"/>
  <c r="B131" i="25580"/>
  <c r="B132" i="25580"/>
  <c r="B133" i="25580"/>
  <c r="B134" i="25580"/>
  <c r="B135" i="25580"/>
  <c r="B136" i="25580"/>
  <c r="B137" i="25580"/>
  <c r="B138" i="25580"/>
  <c r="B139" i="25580"/>
  <c r="B140" i="25580"/>
  <c r="B141" i="25580"/>
  <c r="B142" i="25580"/>
  <c r="B143" i="25580"/>
  <c r="B144" i="25580"/>
  <c r="B145" i="25580"/>
  <c r="B146" i="25580"/>
  <c r="B147" i="25580"/>
  <c r="B148" i="25580"/>
  <c r="B149" i="25580"/>
  <c r="B150" i="25580"/>
  <c r="B151" i="25580"/>
  <c r="B152" i="25580"/>
  <c r="B153" i="25580"/>
  <c r="B154" i="25580"/>
  <c r="B155" i="25580"/>
  <c r="B156" i="25580"/>
  <c r="B157" i="25580"/>
  <c r="B170" i="25580"/>
  <c r="B171" i="25580"/>
  <c r="B172" i="25580"/>
  <c r="B173" i="25580"/>
  <c r="B174" i="25580"/>
  <c r="B175" i="25580"/>
  <c r="B176" i="25580"/>
  <c r="B177" i="25580"/>
  <c r="B178" i="25580"/>
  <c r="B179" i="25580"/>
  <c r="B180" i="25580"/>
  <c r="B181" i="25580"/>
  <c r="B182" i="25580"/>
  <c r="B183" i="25580"/>
  <c r="B184" i="25580"/>
  <c r="B185" i="25580"/>
  <c r="B186" i="25580"/>
  <c r="B187" i="25580"/>
  <c r="B188" i="25580"/>
  <c r="B189" i="25580"/>
  <c r="B190" i="25580"/>
  <c r="B191" i="25580"/>
  <c r="B192" i="25580"/>
  <c r="B193" i="25580"/>
  <c r="B194" i="25580"/>
  <c r="B195" i="25580"/>
  <c r="B196" i="25580"/>
  <c r="B197" i="25580"/>
  <c r="B198" i="25580"/>
  <c r="B199" i="25580"/>
  <c r="B200" i="25580"/>
  <c r="B201" i="25580"/>
  <c r="B202" i="25580"/>
  <c r="B203" i="25580"/>
  <c r="B204" i="25580"/>
  <c r="B205" i="25580"/>
  <c r="B206" i="25580"/>
  <c r="B207" i="25580"/>
  <c r="B208" i="25580"/>
  <c r="B209" i="25580"/>
  <c r="B210" i="25580"/>
  <c r="B211" i="25580"/>
  <c r="B212" i="25580"/>
  <c r="B213" i="25580"/>
  <c r="B214" i="25580"/>
  <c r="B215" i="25580"/>
  <c r="B216" i="25580"/>
  <c r="B217" i="25580"/>
  <c r="B57" i="523"/>
  <c r="B58" i="523"/>
  <c r="B59" i="523"/>
  <c r="B60" i="523"/>
  <c r="B61" i="523"/>
  <c r="B62" i="523"/>
  <c r="B63" i="523"/>
  <c r="B64" i="523"/>
  <c r="B65" i="523"/>
  <c r="B66" i="523"/>
  <c r="B67" i="523"/>
  <c r="B68" i="523"/>
  <c r="B69" i="523"/>
  <c r="B70" i="523"/>
  <c r="B71" i="523"/>
  <c r="B72" i="523"/>
  <c r="B73" i="523"/>
  <c r="B74" i="523"/>
  <c r="B75" i="523"/>
  <c r="B76" i="523"/>
  <c r="B77" i="523"/>
  <c r="B78" i="523"/>
  <c r="B79" i="523"/>
  <c r="B80" i="523"/>
  <c r="B81" i="523"/>
  <c r="B82" i="523"/>
  <c r="B83" i="523"/>
  <c r="B84" i="523"/>
  <c r="B85" i="523"/>
  <c r="B86" i="523"/>
  <c r="B87" i="523"/>
  <c r="B88" i="523"/>
  <c r="B89" i="523"/>
  <c r="B90" i="523"/>
  <c r="B91" i="523"/>
  <c r="B92" i="523"/>
  <c r="B93" i="523"/>
  <c r="B94" i="523"/>
  <c r="B95" i="523"/>
  <c r="B96" i="523"/>
  <c r="B97" i="523"/>
  <c r="B98" i="523"/>
  <c r="B99" i="523"/>
  <c r="B100" i="523"/>
  <c r="B101" i="523"/>
  <c r="B102" i="523"/>
  <c r="B103" i="523"/>
  <c r="B104" i="523"/>
  <c r="B105" i="523"/>
  <c r="B106" i="523"/>
  <c r="B107" i="523"/>
  <c r="B108" i="523"/>
  <c r="B109" i="523"/>
  <c r="B110" i="523"/>
  <c r="B111" i="523"/>
  <c r="B112" i="523"/>
  <c r="B113" i="523"/>
  <c r="B114" i="523"/>
  <c r="B115" i="523"/>
  <c r="B116" i="523"/>
  <c r="B117" i="523"/>
  <c r="B118" i="523"/>
  <c r="B119" i="523"/>
  <c r="B120" i="523"/>
  <c r="B121" i="523"/>
  <c r="B122" i="523"/>
  <c r="B123" i="523"/>
  <c r="B124" i="523"/>
  <c r="B125" i="523"/>
  <c r="B126" i="523"/>
  <c r="B127" i="523"/>
  <c r="B128" i="523"/>
  <c r="B129" i="523"/>
  <c r="B130" i="523"/>
  <c r="B131" i="523"/>
  <c r="B132" i="523"/>
  <c r="B133" i="523"/>
  <c r="B134" i="523"/>
  <c r="B135" i="523"/>
  <c r="B136" i="523"/>
  <c r="B137" i="523"/>
  <c r="B138" i="523"/>
  <c r="B139" i="523"/>
  <c r="B140" i="523"/>
  <c r="B141" i="523"/>
  <c r="B142" i="523"/>
  <c r="B143" i="523"/>
  <c r="B144" i="523"/>
  <c r="B145" i="523"/>
  <c r="B146" i="523"/>
  <c r="B147" i="523"/>
  <c r="B148" i="523"/>
  <c r="B8" i="4888"/>
  <c r="B9" i="4888"/>
  <c r="B10" i="4888"/>
  <c r="B11" i="4888"/>
  <c r="B12" i="4888"/>
  <c r="B13" i="4888"/>
  <c r="B14" i="4888"/>
  <c r="B15" i="4888"/>
  <c r="B16" i="4888"/>
  <c r="B17" i="4888"/>
  <c r="B18" i="4888"/>
  <c r="B19" i="4888"/>
  <c r="B20" i="4888"/>
  <c r="B21" i="4888"/>
  <c r="B22" i="4888"/>
  <c r="B23" i="4888"/>
  <c r="B24" i="4888"/>
  <c r="B25" i="4888"/>
  <c r="B26" i="4888"/>
  <c r="B27" i="4888"/>
  <c r="B28" i="4888"/>
  <c r="B29" i="4888"/>
  <c r="B30" i="4888"/>
  <c r="B31" i="4888"/>
  <c r="B32" i="4888"/>
  <c r="B33" i="4888"/>
  <c r="B34" i="4888"/>
  <c r="B35" i="4888"/>
  <c r="B36" i="4888"/>
  <c r="B37" i="4888"/>
  <c r="B38" i="4888"/>
  <c r="B39" i="4888"/>
  <c r="B40" i="4888"/>
  <c r="B41" i="4888"/>
  <c r="B42" i="4888"/>
  <c r="B43" i="4888"/>
  <c r="B44" i="4888"/>
  <c r="B45" i="4888"/>
  <c r="B46" i="4888"/>
  <c r="B47" i="4888"/>
  <c r="B48" i="4888"/>
  <c r="B49" i="4888"/>
  <c r="B50" i="4888"/>
  <c r="B51" i="4888"/>
  <c r="B52" i="4888"/>
  <c r="B53" i="4888"/>
  <c r="B54" i="4888"/>
  <c r="B55" i="4888"/>
  <c r="B56" i="4888"/>
  <c r="B57" i="4888"/>
  <c r="B58" i="4888"/>
  <c r="B59" i="4888"/>
  <c r="B60" i="4888"/>
  <c r="B61" i="4888"/>
  <c r="B62" i="4888"/>
  <c r="B63" i="4888"/>
  <c r="B64" i="4888"/>
  <c r="B65" i="4888"/>
  <c r="B66" i="4888"/>
  <c r="B67" i="4888"/>
  <c r="B68" i="4888"/>
  <c r="B69" i="4888"/>
  <c r="B70" i="4888"/>
  <c r="B71" i="4888"/>
  <c r="B72" i="4888"/>
  <c r="B73" i="4888"/>
  <c r="B74" i="4888"/>
  <c r="B75" i="4888"/>
  <c r="B76" i="4888"/>
  <c r="B77" i="4888"/>
  <c r="B78" i="4888"/>
  <c r="B79" i="4888"/>
  <c r="B80" i="4888"/>
  <c r="B81" i="4888"/>
  <c r="B82" i="4888"/>
  <c r="B83" i="4888"/>
  <c r="B84" i="4888"/>
  <c r="B85" i="4888"/>
  <c r="B86" i="4888"/>
  <c r="B87" i="4888"/>
  <c r="B88" i="4888"/>
  <c r="B89" i="4888"/>
  <c r="B90" i="4888"/>
  <c r="B91" i="4888"/>
  <c r="B92" i="4888"/>
  <c r="B93" i="4888"/>
  <c r="B94" i="4888"/>
  <c r="B95" i="4888"/>
  <c r="B96" i="4888"/>
  <c r="B97" i="4888"/>
  <c r="B98" i="4888"/>
  <c r="B99" i="4888"/>
  <c r="B100" i="4888"/>
  <c r="B101" i="4888"/>
  <c r="B102" i="4888"/>
  <c r="B103" i="4888"/>
  <c r="B104" i="4888"/>
  <c r="B105" i="4888"/>
  <c r="B106" i="4888"/>
  <c r="B107" i="4888"/>
  <c r="B108" i="4888"/>
  <c r="B109" i="4888"/>
  <c r="B110" i="4888"/>
  <c r="B111" i="4888"/>
  <c r="B112" i="4888"/>
  <c r="B113" i="4888"/>
  <c r="B114" i="4888"/>
  <c r="B115" i="4888"/>
  <c r="B116" i="4888"/>
  <c r="B117" i="4888"/>
  <c r="B118" i="4888"/>
  <c r="B119" i="4888"/>
  <c r="B120" i="4888"/>
  <c r="B121" i="4888"/>
  <c r="B122" i="4888"/>
  <c r="B123" i="4888"/>
  <c r="B124" i="4888"/>
  <c r="B125" i="4888"/>
  <c r="B126" i="4888"/>
  <c r="B127" i="4888"/>
  <c r="B128" i="4888"/>
  <c r="B129" i="4888"/>
  <c r="B130" i="4888"/>
  <c r="B131" i="4888"/>
  <c r="B132" i="4888"/>
  <c r="B133" i="4888"/>
  <c r="B134" i="4888"/>
  <c r="B135" i="4888"/>
  <c r="B136" i="4888"/>
  <c r="B137" i="4888"/>
  <c r="B139" i="4888"/>
  <c r="B140" i="4888"/>
  <c r="B141" i="4888"/>
  <c r="B142" i="4888"/>
  <c r="B143" i="4888"/>
  <c r="B144" i="4888"/>
  <c r="B145" i="4888"/>
  <c r="B146" i="4888"/>
  <c r="B147" i="4888"/>
  <c r="B148" i="4888"/>
  <c r="B149" i="4888"/>
  <c r="B150" i="4888"/>
  <c r="B151" i="4888"/>
  <c r="B152" i="4888"/>
  <c r="B153" i="4888"/>
  <c r="B154" i="4888"/>
  <c r="B155" i="4888"/>
  <c r="B156" i="4888"/>
  <c r="B157" i="4888"/>
  <c r="B158" i="4888"/>
  <c r="B159" i="4888"/>
  <c r="B160" i="4888"/>
  <c r="B161" i="4888"/>
  <c r="B162" i="4888"/>
  <c r="B163" i="4888"/>
  <c r="B164" i="4888"/>
  <c r="B165" i="4888"/>
  <c r="B166" i="4888"/>
  <c r="B167" i="4888"/>
  <c r="B168" i="4888"/>
  <c r="B169" i="4888"/>
  <c r="B170" i="4888"/>
  <c r="B171" i="4888"/>
  <c r="B172" i="4888"/>
  <c r="B173" i="4888"/>
  <c r="B174" i="4888"/>
  <c r="B175" i="4888"/>
  <c r="B176" i="4888"/>
  <c r="B177" i="4888"/>
  <c r="B178" i="4888"/>
  <c r="B179" i="4888"/>
  <c r="B180" i="4888"/>
  <c r="B181" i="4888"/>
  <c r="B182" i="4888"/>
  <c r="B183" i="4888"/>
  <c r="B184" i="4888"/>
  <c r="B185" i="4888"/>
  <c r="B186" i="4888"/>
  <c r="B187" i="4888"/>
  <c r="B188" i="4888"/>
  <c r="B189" i="4888"/>
  <c r="B190" i="4888"/>
  <c r="B191" i="4888"/>
  <c r="B192" i="4888"/>
  <c r="B193" i="4888"/>
  <c r="B194" i="4888"/>
  <c r="B195" i="4888"/>
  <c r="B196" i="4888"/>
  <c r="B197" i="4888"/>
  <c r="B198" i="4888"/>
  <c r="B199" i="4888"/>
  <c r="B200" i="4888"/>
  <c r="B201" i="4888"/>
  <c r="B202" i="4888"/>
  <c r="B203" i="4888"/>
  <c r="B204" i="4888"/>
  <c r="B205" i="4888"/>
  <c r="B206" i="4888"/>
  <c r="B207" i="4888"/>
  <c r="B208" i="4888"/>
  <c r="B209" i="4888"/>
  <c r="B210" i="4888"/>
  <c r="B211" i="4888"/>
  <c r="B212" i="4888"/>
  <c r="B213" i="4888"/>
  <c r="B214" i="4888"/>
  <c r="B215" i="4888"/>
  <c r="B216" i="4888"/>
  <c r="B217" i="4888"/>
  <c r="B149" i="2561"/>
  <c r="B150" i="2561"/>
  <c r="B151" i="2561"/>
  <c r="B152" i="2561"/>
  <c r="B153" i="2561"/>
  <c r="B154" i="2561"/>
  <c r="B159" i="2561"/>
  <c r="B162" i="2561"/>
  <c r="B171" i="2561"/>
  <c r="B191" i="2561"/>
  <c r="B192" i="2561"/>
  <c r="B193" i="2561"/>
  <c r="B194" i="2561"/>
  <c r="B195" i="2561"/>
  <c r="B196" i="2561"/>
  <c r="B197" i="2561"/>
  <c r="B198" i="2561"/>
  <c r="B199" i="2561"/>
  <c r="B200" i="2561"/>
  <c r="B201" i="2561"/>
  <c r="B202" i="2561"/>
  <c r="B203" i="2561"/>
  <c r="B204" i="2561"/>
  <c r="B205" i="2561"/>
  <c r="B206" i="2561"/>
  <c r="B207" i="2561"/>
  <c r="B208" i="2561"/>
  <c r="B209" i="2561"/>
  <c r="B210" i="2561"/>
  <c r="B211" i="2561"/>
  <c r="B212" i="2561"/>
  <c r="B213" i="2561"/>
  <c r="B214" i="2561"/>
  <c r="B215" i="2561"/>
  <c r="B216" i="2561"/>
  <c r="B217" i="2561"/>
  <c r="B8" i="32"/>
  <c r="B9"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206" i="32"/>
  <c r="B207" i="32"/>
  <c r="B208" i="32"/>
  <c r="B209" i="32"/>
  <c r="B210" i="32"/>
  <c r="B211" i="32"/>
  <c r="B212" i="32"/>
  <c r="B213" i="32"/>
  <c r="B214" i="32"/>
  <c r="B215" i="32"/>
  <c r="B216" i="32"/>
  <c r="B217" i="32"/>
  <c r="B218" i="32"/>
  <c r="C8" i="3"/>
  <c r="C9" i="3"/>
  <c r="C10" i="3"/>
  <c r="C11" i="3"/>
  <c r="C13" i="3"/>
  <c r="C14" i="3"/>
  <c r="C15" i="3"/>
  <c r="C16" i="3"/>
  <c r="C17" i="3"/>
  <c r="C18" i="3"/>
  <c r="C19" i="3"/>
  <c r="C20" i="3"/>
  <c r="C21" i="3"/>
  <c r="C22" i="3"/>
  <c r="C24" i="3"/>
  <c r="C25" i="3"/>
  <c r="C26" i="3"/>
  <c r="C27" i="3"/>
  <c r="C28" i="3"/>
  <c r="C29" i="3"/>
  <c r="C30" i="3"/>
  <c r="C31" i="3"/>
  <c r="C32" i="3"/>
  <c r="C33" i="3"/>
  <c r="C34" i="3"/>
  <c r="C35" i="3"/>
  <c r="C36" i="3"/>
  <c r="C37" i="3"/>
  <c r="C38" i="3"/>
  <c r="C39" i="3"/>
  <c r="C40" i="3"/>
  <c r="C41" i="3"/>
  <c r="C42" i="3"/>
  <c r="C43" i="3"/>
  <c r="C44" i="3"/>
  <c r="C45" i="3"/>
  <c r="C46" i="3"/>
  <c r="C47" i="3"/>
  <c r="C48" i="3"/>
  <c r="C50" i="3"/>
  <c r="C51" i="3"/>
  <c r="C52" i="3"/>
  <c r="C53" i="3"/>
  <c r="C54" i="3"/>
  <c r="C55" i="3"/>
  <c r="C56" i="3"/>
  <c r="C57" i="3"/>
  <c r="C58" i="3"/>
  <c r="C59" i="3"/>
  <c r="C60" i="3"/>
  <c r="C61" i="3"/>
  <c r="C62" i="3"/>
  <c r="C68" i="3"/>
  <c r="C69" i="3"/>
  <c r="C70" i="3"/>
  <c r="C71" i="3"/>
  <c r="C72" i="3"/>
  <c r="C73" i="3"/>
  <c r="C74" i="3"/>
  <c r="C75" i="3"/>
  <c r="C76" i="3"/>
  <c r="C77" i="3"/>
  <c r="C78" i="3"/>
  <c r="C80"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G401" i="3"/>
  <c r="D411" i="3"/>
  <c r="B7" i="40"/>
  <c r="I16" i="9728"/>
  <c r="N15" i="1"/>
  <c r="N16" i="1"/>
  <c r="N17" i="1"/>
  <c r="F18" i="1"/>
  <c r="E18" i="1" s="1"/>
  <c r="C23" i="3" s="1"/>
  <c r="N18" i="1"/>
  <c r="N19" i="1"/>
  <c r="H20" i="1"/>
  <c r="J9" i="1" s="1"/>
  <c r="J10" i="1" s="1"/>
  <c r="J11" i="1" s="1"/>
  <c r="J12" i="1" s="1"/>
  <c r="J13" i="1" s="1"/>
  <c r="J14" i="1" s="1"/>
  <c r="J15" i="1" s="1"/>
  <c r="J16" i="1" s="1"/>
  <c r="J17" i="1" s="1"/>
  <c r="J18" i="1" s="1"/>
  <c r="J19" i="1" s="1"/>
  <c r="J20" i="1" s="1"/>
  <c r="N20" i="1"/>
  <c r="C29" i="1"/>
  <c r="D29" i="1" s="1"/>
  <c r="K30" i="1"/>
  <c r="L30" i="1"/>
  <c r="C31" i="1"/>
  <c r="P46" i="1"/>
  <c r="F72" i="1"/>
  <c r="H72" i="1"/>
  <c r="J72" i="1"/>
  <c r="L72" i="1"/>
  <c r="N72" i="1"/>
  <c r="F73" i="1"/>
  <c r="H73" i="1"/>
  <c r="J73" i="1"/>
  <c r="L73" i="1"/>
  <c r="N73" i="1"/>
  <c r="F74" i="1"/>
  <c r="H74" i="1"/>
  <c r="J74" i="1"/>
  <c r="L74" i="1"/>
  <c r="N74" i="1"/>
  <c r="F75" i="1"/>
  <c r="H75" i="1"/>
  <c r="J75" i="1"/>
  <c r="L75" i="1"/>
  <c r="N75" i="1"/>
  <c r="F76" i="1"/>
  <c r="H76" i="1"/>
  <c r="J76" i="1"/>
  <c r="L76" i="1"/>
  <c r="N76" i="1"/>
  <c r="F77" i="1"/>
  <c r="H77" i="1"/>
  <c r="J77" i="1"/>
  <c r="L77" i="1"/>
  <c r="N77" i="1"/>
  <c r="D78" i="1"/>
  <c r="F78" i="1"/>
  <c r="H78" i="1"/>
  <c r="J78" i="1"/>
  <c r="L78" i="1"/>
  <c r="N78" i="1"/>
  <c r="D79" i="1"/>
  <c r="F79" i="1"/>
  <c r="H79" i="1"/>
  <c r="J79" i="1"/>
  <c r="L79" i="1"/>
  <c r="N79" i="1"/>
  <c r="D80" i="1"/>
  <c r="F80" i="1"/>
  <c r="H80" i="1"/>
  <c r="J80" i="1"/>
  <c r="L80" i="1"/>
  <c r="N80" i="1"/>
  <c r="D81" i="1"/>
  <c r="F81" i="1"/>
  <c r="H81" i="1"/>
  <c r="J81" i="1"/>
  <c r="L81" i="1"/>
  <c r="N81" i="1"/>
  <c r="D82" i="1"/>
  <c r="F82" i="1"/>
  <c r="H82" i="1"/>
  <c r="J82" i="1"/>
  <c r="L82" i="1"/>
  <c r="N82" i="1"/>
  <c r="D83" i="1"/>
  <c r="F83" i="1"/>
  <c r="H83" i="1"/>
  <c r="J83" i="1"/>
  <c r="L83" i="1"/>
  <c r="N83" i="1"/>
  <c r="C87" i="1"/>
  <c r="B74" i="25580" s="1"/>
  <c r="F87" i="1"/>
  <c r="H87" i="1"/>
  <c r="J87" i="1"/>
  <c r="L87" i="1"/>
  <c r="N87" i="1"/>
  <c r="D88" i="1"/>
  <c r="F88" i="1"/>
  <c r="H88" i="1"/>
  <c r="J88" i="1"/>
  <c r="L88" i="1"/>
  <c r="N88" i="1"/>
  <c r="D89" i="1"/>
  <c r="F89" i="1"/>
  <c r="H89" i="1"/>
  <c r="J89" i="1"/>
  <c r="L89" i="1"/>
  <c r="N89" i="1"/>
  <c r="D90" i="1"/>
  <c r="F90" i="1"/>
  <c r="H90" i="1"/>
  <c r="J90" i="1"/>
  <c r="L90" i="1"/>
  <c r="N90" i="1"/>
  <c r="D91" i="1"/>
  <c r="F91" i="1"/>
  <c r="H91" i="1"/>
  <c r="J91" i="1"/>
  <c r="L91" i="1"/>
  <c r="N91" i="1"/>
  <c r="D92" i="1"/>
  <c r="F92" i="1"/>
  <c r="H92" i="1"/>
  <c r="J92" i="1"/>
  <c r="L92" i="1"/>
  <c r="N92" i="1"/>
  <c r="D93" i="1"/>
  <c r="F93" i="1"/>
  <c r="H93" i="1"/>
  <c r="J93" i="1"/>
  <c r="L93" i="1"/>
  <c r="N93" i="1"/>
  <c r="D94" i="1"/>
  <c r="F94" i="1"/>
  <c r="H94" i="1"/>
  <c r="J94" i="1"/>
  <c r="L94" i="1"/>
  <c r="N94" i="1"/>
  <c r="D95" i="1"/>
  <c r="F95" i="1"/>
  <c r="H95" i="1"/>
  <c r="J95" i="1"/>
  <c r="L95" i="1"/>
  <c r="N95" i="1"/>
  <c r="D96" i="1"/>
  <c r="F96" i="1"/>
  <c r="H96" i="1"/>
  <c r="J96" i="1"/>
  <c r="L96" i="1"/>
  <c r="N96" i="1"/>
  <c r="D97" i="1"/>
  <c r="F97" i="1"/>
  <c r="H97" i="1"/>
  <c r="J97" i="1"/>
  <c r="L97" i="1"/>
  <c r="N97" i="1"/>
  <c r="D98" i="1"/>
  <c r="F98" i="1"/>
  <c r="H98" i="1"/>
  <c r="J98" i="1"/>
  <c r="L98" i="1"/>
  <c r="N98" i="1"/>
  <c r="D102" i="1"/>
  <c r="F102" i="1"/>
  <c r="J102" i="1"/>
  <c r="L102" i="1"/>
  <c r="N102" i="1"/>
  <c r="D103" i="1"/>
  <c r="F103" i="1"/>
  <c r="H103" i="1"/>
  <c r="J103" i="1"/>
  <c r="L103" i="1"/>
  <c r="N103" i="1"/>
  <c r="D104" i="1"/>
  <c r="F104" i="1"/>
  <c r="H104" i="1"/>
  <c r="J104" i="1"/>
  <c r="L104" i="1"/>
  <c r="N104" i="1"/>
  <c r="D105" i="1"/>
  <c r="F105" i="1"/>
  <c r="H105" i="1"/>
  <c r="J105" i="1"/>
  <c r="L105" i="1"/>
  <c r="N105" i="1"/>
  <c r="P105" i="1"/>
  <c r="D106" i="1"/>
  <c r="F106" i="1"/>
  <c r="H106" i="1"/>
  <c r="J106" i="1"/>
  <c r="L106" i="1"/>
  <c r="N106" i="1"/>
  <c r="D107" i="1"/>
  <c r="F107" i="1"/>
  <c r="H107" i="1"/>
  <c r="J107" i="1"/>
  <c r="L107" i="1"/>
  <c r="N107" i="1"/>
  <c r="D108" i="1"/>
  <c r="F108" i="1"/>
  <c r="H108" i="1"/>
  <c r="J108" i="1"/>
  <c r="L108" i="1"/>
  <c r="N108" i="1"/>
  <c r="D109" i="1"/>
  <c r="F109" i="1"/>
  <c r="H109" i="1"/>
  <c r="J109" i="1"/>
  <c r="L109" i="1"/>
  <c r="N109" i="1"/>
  <c r="D110" i="1"/>
  <c r="F110" i="1"/>
  <c r="H110" i="1"/>
  <c r="J110" i="1"/>
  <c r="L110" i="1"/>
  <c r="N110" i="1"/>
  <c r="D111" i="1"/>
  <c r="F111" i="1"/>
  <c r="H111" i="1"/>
  <c r="J111" i="1"/>
  <c r="L111" i="1"/>
  <c r="N111" i="1"/>
  <c r="D112" i="1"/>
  <c r="F112" i="1"/>
  <c r="H112" i="1"/>
  <c r="J112" i="1"/>
  <c r="L112" i="1"/>
  <c r="N112" i="1"/>
  <c r="D113" i="1"/>
  <c r="F113" i="1"/>
  <c r="H113" i="1"/>
  <c r="J113" i="1"/>
  <c r="L113" i="1"/>
  <c r="N113" i="1"/>
  <c r="F134" i="1"/>
  <c r="H134" i="1"/>
  <c r="J134" i="1"/>
  <c r="L134" i="1"/>
  <c r="N134" i="1"/>
  <c r="F135" i="1"/>
  <c r="H135" i="1"/>
  <c r="J135" i="1"/>
  <c r="L135" i="1"/>
  <c r="N135" i="1"/>
  <c r="F136" i="1"/>
  <c r="H136" i="1"/>
  <c r="J136" i="1"/>
  <c r="L136" i="1"/>
  <c r="N136" i="1"/>
  <c r="F137" i="1"/>
  <c r="H137" i="1"/>
  <c r="J137" i="1"/>
  <c r="L137" i="1"/>
  <c r="N137" i="1"/>
  <c r="F138" i="1"/>
  <c r="H138" i="1"/>
  <c r="J138" i="1"/>
  <c r="L138" i="1"/>
  <c r="N138" i="1"/>
  <c r="F139" i="1"/>
  <c r="H139" i="1"/>
  <c r="J139" i="1"/>
  <c r="L139" i="1"/>
  <c r="N139" i="1"/>
  <c r="D140" i="1"/>
  <c r="F140" i="1"/>
  <c r="H140" i="1"/>
  <c r="J140" i="1"/>
  <c r="L140" i="1"/>
  <c r="N140" i="1"/>
  <c r="D141" i="1"/>
  <c r="F141" i="1"/>
  <c r="H141" i="1"/>
  <c r="J141" i="1"/>
  <c r="L141" i="1"/>
  <c r="N141" i="1"/>
  <c r="D142" i="1"/>
  <c r="F142" i="1"/>
  <c r="H142" i="1"/>
  <c r="J142" i="1"/>
  <c r="L142" i="1"/>
  <c r="N142" i="1"/>
  <c r="D143" i="1"/>
  <c r="F143" i="1"/>
  <c r="H143" i="1"/>
  <c r="J143" i="1"/>
  <c r="L143" i="1"/>
  <c r="N143" i="1"/>
  <c r="D144" i="1"/>
  <c r="F144" i="1"/>
  <c r="H144" i="1"/>
  <c r="J144" i="1"/>
  <c r="L144" i="1"/>
  <c r="N144" i="1"/>
  <c r="D145" i="1"/>
  <c r="F145" i="1"/>
  <c r="H145" i="1"/>
  <c r="J145" i="1"/>
  <c r="L145" i="1"/>
  <c r="N145" i="1"/>
  <c r="D149" i="1"/>
  <c r="F149" i="1"/>
  <c r="H149" i="1"/>
  <c r="J149" i="1"/>
  <c r="L149" i="1"/>
  <c r="N149" i="1"/>
  <c r="D150" i="1"/>
  <c r="F150" i="1"/>
  <c r="H150" i="1"/>
  <c r="J150" i="1"/>
  <c r="L150" i="1"/>
  <c r="N150" i="1"/>
  <c r="D151" i="1"/>
  <c r="F151" i="1"/>
  <c r="H151" i="1"/>
  <c r="J151" i="1"/>
  <c r="L151" i="1"/>
  <c r="N151" i="1"/>
  <c r="D152" i="1"/>
  <c r="F152" i="1"/>
  <c r="H152" i="1"/>
  <c r="J152" i="1"/>
  <c r="L152" i="1"/>
  <c r="N152" i="1"/>
  <c r="D153" i="1"/>
  <c r="F153" i="1"/>
  <c r="H153" i="1"/>
  <c r="J153" i="1"/>
  <c r="L153" i="1"/>
  <c r="N153" i="1"/>
  <c r="D154" i="1"/>
  <c r="F154" i="1"/>
  <c r="H154" i="1"/>
  <c r="J154" i="1"/>
  <c r="L154" i="1"/>
  <c r="N154" i="1"/>
  <c r="D155" i="1"/>
  <c r="F155" i="1"/>
  <c r="H155" i="1"/>
  <c r="J155" i="1"/>
  <c r="L155" i="1"/>
  <c r="N155" i="1"/>
  <c r="D156" i="1"/>
  <c r="F156" i="1"/>
  <c r="H156" i="1"/>
  <c r="J156" i="1"/>
  <c r="L156" i="1"/>
  <c r="N156" i="1"/>
  <c r="D157" i="1"/>
  <c r="F157" i="1"/>
  <c r="H157" i="1"/>
  <c r="J157" i="1"/>
  <c r="L157" i="1"/>
  <c r="N157" i="1"/>
  <c r="D158" i="1"/>
  <c r="F158" i="1"/>
  <c r="H158" i="1"/>
  <c r="J158" i="1"/>
  <c r="L158" i="1"/>
  <c r="N158" i="1"/>
  <c r="D159" i="1"/>
  <c r="F159" i="1"/>
  <c r="H159" i="1"/>
  <c r="J159" i="1"/>
  <c r="L159" i="1"/>
  <c r="N159" i="1"/>
  <c r="D160" i="1"/>
  <c r="F160" i="1"/>
  <c r="H160" i="1"/>
  <c r="J160" i="1"/>
  <c r="L160" i="1"/>
  <c r="N160" i="1"/>
  <c r="D164" i="1"/>
  <c r="F164" i="1"/>
  <c r="H164" i="1"/>
  <c r="J164" i="1"/>
  <c r="L164" i="1"/>
  <c r="N164" i="1"/>
  <c r="D165" i="1"/>
  <c r="F165" i="1"/>
  <c r="H165" i="1"/>
  <c r="J165" i="1"/>
  <c r="L165" i="1"/>
  <c r="N165" i="1"/>
  <c r="D166" i="1"/>
  <c r="F166" i="1"/>
  <c r="H166" i="1"/>
  <c r="J166" i="1"/>
  <c r="L166" i="1"/>
  <c r="N166" i="1"/>
  <c r="D167" i="1"/>
  <c r="F167" i="1"/>
  <c r="H167" i="1"/>
  <c r="J167" i="1"/>
  <c r="L167" i="1"/>
  <c r="N167" i="1"/>
  <c r="P167" i="1"/>
  <c r="D168" i="1"/>
  <c r="F168" i="1"/>
  <c r="H168" i="1"/>
  <c r="J168" i="1"/>
  <c r="L168" i="1"/>
  <c r="N168" i="1"/>
  <c r="D169" i="1"/>
  <c r="F169" i="1"/>
  <c r="H169" i="1"/>
  <c r="J169" i="1"/>
  <c r="L169" i="1"/>
  <c r="N169" i="1"/>
  <c r="D170" i="1"/>
  <c r="F170" i="1"/>
  <c r="H170" i="1"/>
  <c r="J170" i="1"/>
  <c r="L170" i="1"/>
  <c r="N170" i="1"/>
  <c r="D171" i="1"/>
  <c r="F171" i="1"/>
  <c r="H171" i="1"/>
  <c r="J171" i="1"/>
  <c r="L171" i="1"/>
  <c r="N171" i="1"/>
  <c r="D172" i="1"/>
  <c r="F172" i="1"/>
  <c r="H172" i="1"/>
  <c r="J172" i="1"/>
  <c r="L172" i="1"/>
  <c r="N172" i="1"/>
  <c r="D173" i="1"/>
  <c r="F173" i="1"/>
  <c r="H173" i="1"/>
  <c r="J173" i="1"/>
  <c r="L173" i="1"/>
  <c r="N173" i="1"/>
  <c r="D174" i="1"/>
  <c r="F174" i="1"/>
  <c r="H174" i="1"/>
  <c r="J174" i="1"/>
  <c r="L174" i="1"/>
  <c r="N174" i="1"/>
  <c r="D175" i="1"/>
  <c r="F175" i="1"/>
  <c r="H175" i="1"/>
  <c r="J175" i="1"/>
  <c r="L175" i="1"/>
  <c r="N175" i="1"/>
  <c r="F196" i="1"/>
  <c r="H196" i="1"/>
  <c r="J196" i="1"/>
  <c r="L196" i="1"/>
  <c r="N196" i="1"/>
  <c r="F197" i="1"/>
  <c r="H197" i="1"/>
  <c r="J197" i="1"/>
  <c r="L197" i="1"/>
  <c r="N197" i="1"/>
  <c r="F198" i="1"/>
  <c r="H198" i="1"/>
  <c r="J198" i="1"/>
  <c r="L198" i="1"/>
  <c r="N198" i="1"/>
  <c r="F199" i="1"/>
  <c r="H199" i="1"/>
  <c r="J199" i="1"/>
  <c r="L199" i="1"/>
  <c r="N199" i="1"/>
  <c r="F200" i="1"/>
  <c r="H200" i="1"/>
  <c r="J200" i="1"/>
  <c r="L200" i="1"/>
  <c r="N200" i="1"/>
  <c r="F201" i="1"/>
  <c r="H201" i="1"/>
  <c r="J201" i="1"/>
  <c r="L201" i="1"/>
  <c r="N201" i="1"/>
  <c r="D202" i="1"/>
  <c r="F202" i="1"/>
  <c r="H202" i="1"/>
  <c r="J202" i="1"/>
  <c r="L202" i="1"/>
  <c r="N202" i="1"/>
  <c r="N203" i="1" s="1"/>
  <c r="D203" i="1"/>
  <c r="F203" i="1"/>
  <c r="H203" i="1"/>
  <c r="J203" i="1"/>
  <c r="L203" i="1"/>
  <c r="D204" i="1"/>
  <c r="F204" i="1"/>
  <c r="H204" i="1"/>
  <c r="J204" i="1"/>
  <c r="L204" i="1"/>
  <c r="N204" i="1"/>
  <c r="D205" i="1"/>
  <c r="F205" i="1"/>
  <c r="H205" i="1"/>
  <c r="J205" i="1"/>
  <c r="L205" i="1"/>
  <c r="N205" i="1"/>
  <c r="D206" i="1"/>
  <c r="F206" i="1"/>
  <c r="H206" i="1"/>
  <c r="J206" i="1"/>
  <c r="L206" i="1"/>
  <c r="N206" i="1"/>
  <c r="D207" i="1"/>
  <c r="F207" i="1"/>
  <c r="H207" i="1"/>
  <c r="J207" i="1"/>
  <c r="L207" i="1"/>
  <c r="N207" i="1"/>
  <c r="F212" i="1"/>
  <c r="H212" i="1"/>
  <c r="J212" i="1"/>
  <c r="L212" i="1"/>
  <c r="F213" i="1"/>
  <c r="H213" i="1"/>
  <c r="J213" i="1"/>
  <c r="L213" i="1"/>
  <c r="F214" i="1"/>
  <c r="H214" i="1"/>
  <c r="J214" i="1"/>
  <c r="L214" i="1"/>
  <c r="D215" i="1"/>
  <c r="F215" i="1"/>
  <c r="H215" i="1"/>
  <c r="J215" i="1"/>
  <c r="L215" i="1"/>
  <c r="D216" i="1"/>
  <c r="F216" i="1"/>
  <c r="H216" i="1"/>
  <c r="J216" i="1"/>
  <c r="L216" i="1"/>
  <c r="D217" i="1"/>
  <c r="F217" i="1"/>
  <c r="H217" i="1"/>
  <c r="J217" i="1"/>
  <c r="L217" i="1"/>
  <c r="D218" i="1"/>
  <c r="F218" i="1"/>
  <c r="H218" i="1"/>
  <c r="J218" i="1"/>
  <c r="K218" i="1"/>
  <c r="D219" i="1"/>
  <c r="F219" i="1"/>
  <c r="H219" i="1"/>
  <c r="J219" i="1"/>
  <c r="D220" i="1"/>
  <c r="F220" i="1"/>
  <c r="H220" i="1"/>
  <c r="J220" i="1"/>
  <c r="D221" i="1"/>
  <c r="F221" i="1"/>
  <c r="H221" i="1"/>
  <c r="J221" i="1"/>
  <c r="D222" i="1"/>
  <c r="F222" i="1"/>
  <c r="G222" i="1"/>
  <c r="B105" i="10498" s="1"/>
  <c r="J222" i="1"/>
  <c r="D223" i="1"/>
  <c r="F223" i="1"/>
  <c r="H223" i="1"/>
  <c r="J223" i="1"/>
  <c r="F230" i="1"/>
  <c r="H230" i="1"/>
  <c r="J230" i="1"/>
  <c r="L230" i="1"/>
  <c r="F231" i="1"/>
  <c r="H231" i="1"/>
  <c r="J231" i="1"/>
  <c r="L231" i="1"/>
  <c r="F232" i="1"/>
  <c r="H232" i="1"/>
  <c r="J232" i="1"/>
  <c r="L232" i="1"/>
  <c r="F233" i="1"/>
  <c r="H233" i="1"/>
  <c r="J233" i="1"/>
  <c r="L233" i="1"/>
  <c r="F234" i="1"/>
  <c r="H234" i="1"/>
  <c r="J234" i="1"/>
  <c r="L234" i="1"/>
  <c r="F235" i="1"/>
  <c r="H235" i="1"/>
  <c r="J235" i="1"/>
  <c r="L235" i="1"/>
  <c r="D236" i="1"/>
  <c r="F236" i="1"/>
  <c r="H236" i="1"/>
  <c r="J236" i="1"/>
  <c r="L236" i="1"/>
  <c r="N236" i="1"/>
  <c r="D237" i="1"/>
  <c r="F237" i="1"/>
  <c r="H237" i="1"/>
  <c r="J237" i="1"/>
  <c r="L237" i="1"/>
  <c r="N237" i="1"/>
  <c r="C238" i="1"/>
  <c r="B10" i="32" s="1"/>
  <c r="F238" i="1"/>
  <c r="H238" i="1"/>
  <c r="J238" i="1"/>
  <c r="L238" i="1"/>
  <c r="N238" i="1"/>
  <c r="D239" i="1"/>
  <c r="F239" i="1"/>
  <c r="H239" i="1"/>
  <c r="J239" i="1"/>
  <c r="L239" i="1"/>
  <c r="N239" i="1"/>
  <c r="D240" i="1"/>
  <c r="F240" i="1"/>
  <c r="H240" i="1"/>
  <c r="J240" i="1"/>
  <c r="L240" i="1"/>
  <c r="N240" i="1"/>
  <c r="D241" i="1"/>
  <c r="F241" i="1"/>
  <c r="H241" i="1"/>
  <c r="J241" i="1"/>
  <c r="L241" i="1"/>
  <c r="N230" i="1" s="1"/>
  <c r="N232" i="1" s="1"/>
  <c r="N233" i="1" s="1"/>
  <c r="N234" i="1" s="1"/>
  <c r="N235" i="1" s="1"/>
  <c r="N241" i="1"/>
  <c r="D247" i="1"/>
  <c r="J247" i="1"/>
  <c r="L247" i="1"/>
  <c r="D248" i="1"/>
  <c r="J248" i="1"/>
  <c r="L248" i="1"/>
  <c r="D249" i="1"/>
  <c r="J249" i="1"/>
  <c r="L249" i="1"/>
  <c r="D250" i="1"/>
  <c r="J250" i="1"/>
  <c r="L250" i="1"/>
  <c r="D251" i="1"/>
  <c r="F251" i="1"/>
  <c r="J251" i="1"/>
  <c r="L251" i="1"/>
  <c r="F252" i="1"/>
  <c r="J252" i="1"/>
  <c r="L252" i="1"/>
  <c r="D253" i="1"/>
  <c r="F253" i="1"/>
  <c r="H253" i="1"/>
  <c r="J253" i="1"/>
  <c r="L253" i="1"/>
  <c r="D254" i="1"/>
  <c r="F254" i="1"/>
  <c r="H254" i="1"/>
  <c r="J254" i="1"/>
  <c r="D255" i="1"/>
  <c r="F255" i="1"/>
  <c r="H255" i="1"/>
  <c r="J255" i="1"/>
  <c r="D256" i="1"/>
  <c r="F256" i="1"/>
  <c r="H256" i="1"/>
  <c r="J256" i="1"/>
  <c r="D257" i="1"/>
  <c r="F257" i="1"/>
  <c r="H257" i="1"/>
  <c r="J257" i="1"/>
  <c r="D258" i="1"/>
  <c r="F258" i="1"/>
  <c r="H258" i="1"/>
  <c r="J258" i="1"/>
  <c r="F263" i="1"/>
  <c r="H263" i="1"/>
  <c r="J263" i="1"/>
  <c r="L263" i="1"/>
  <c r="N263" i="1"/>
  <c r="F264" i="1"/>
  <c r="H264" i="1"/>
  <c r="J264" i="1"/>
  <c r="L264" i="1"/>
  <c r="N264" i="1"/>
  <c r="F265" i="1"/>
  <c r="H265" i="1"/>
  <c r="J265" i="1"/>
  <c r="L265" i="1"/>
  <c r="N265" i="1"/>
  <c r="F266" i="1"/>
  <c r="H266" i="1"/>
  <c r="I266" i="1"/>
  <c r="B162" i="32" s="1"/>
  <c r="L266" i="1"/>
  <c r="N266" i="1"/>
  <c r="F267" i="1"/>
  <c r="H267" i="1"/>
  <c r="J267" i="1"/>
  <c r="L267" i="1"/>
  <c r="N267" i="1"/>
  <c r="F268" i="1"/>
  <c r="H268" i="1"/>
  <c r="J268" i="1"/>
  <c r="L268" i="1"/>
  <c r="N268" i="1"/>
  <c r="F269" i="1"/>
  <c r="H269" i="1"/>
  <c r="J269" i="1"/>
  <c r="L269" i="1"/>
  <c r="N269" i="1"/>
  <c r="D270" i="1"/>
  <c r="F270" i="1"/>
  <c r="H270" i="1"/>
  <c r="J270" i="1"/>
  <c r="L270" i="1"/>
  <c r="N270" i="1"/>
  <c r="D271" i="1"/>
  <c r="F271" i="1"/>
  <c r="H271" i="1"/>
  <c r="J271" i="1"/>
  <c r="L271" i="1"/>
  <c r="N271" i="1"/>
  <c r="D272" i="1"/>
  <c r="F272" i="1"/>
  <c r="H272" i="1"/>
  <c r="J272" i="1"/>
  <c r="L272" i="1"/>
  <c r="N272" i="1"/>
  <c r="D273" i="1"/>
  <c r="F273" i="1"/>
  <c r="H273" i="1"/>
  <c r="J273" i="1"/>
  <c r="L273" i="1"/>
  <c r="N273" i="1"/>
  <c r="D274" i="1"/>
  <c r="F274" i="1"/>
  <c r="H274" i="1"/>
  <c r="J274" i="1"/>
  <c r="L274" i="1"/>
  <c r="N274" i="1"/>
  <c r="D279" i="1"/>
  <c r="F279" i="1"/>
  <c r="D280" i="1"/>
  <c r="F280" i="1"/>
  <c r="D281" i="1"/>
  <c r="F281" i="1"/>
  <c r="D282" i="1"/>
  <c r="F282" i="1"/>
  <c r="D283" i="1"/>
  <c r="F283" i="1"/>
  <c r="D284" i="1"/>
  <c r="F284" i="1"/>
  <c r="D285" i="1"/>
  <c r="F285" i="1"/>
  <c r="D286" i="1"/>
  <c r="F286" i="1"/>
  <c r="D287" i="1"/>
  <c r="F287" i="1"/>
  <c r="D288" i="1"/>
  <c r="F288" i="1"/>
  <c r="D289" i="1"/>
  <c r="F289" i="1"/>
  <c r="D290" i="1"/>
  <c r="F290" i="1"/>
  <c r="F298" i="1"/>
  <c r="H298" i="1"/>
  <c r="J298" i="1"/>
  <c r="L298" i="1"/>
  <c r="N298" i="1"/>
  <c r="F299" i="1"/>
  <c r="H299" i="1"/>
  <c r="J299" i="1"/>
  <c r="L299" i="1"/>
  <c r="N299" i="1"/>
  <c r="F300" i="1"/>
  <c r="H300" i="1"/>
  <c r="J300" i="1"/>
  <c r="L300" i="1"/>
  <c r="N300" i="1"/>
  <c r="F301" i="1"/>
  <c r="H301" i="1"/>
  <c r="J301" i="1"/>
  <c r="L301" i="1"/>
  <c r="N301" i="1"/>
  <c r="F302" i="1"/>
  <c r="H302" i="1"/>
  <c r="J302" i="1"/>
  <c r="L302" i="1"/>
  <c r="N302" i="1"/>
  <c r="F303" i="1"/>
  <c r="H303" i="1"/>
  <c r="J303" i="1"/>
  <c r="L303" i="1"/>
  <c r="N303" i="1"/>
  <c r="D304" i="1"/>
  <c r="F304" i="1"/>
  <c r="H304" i="1"/>
  <c r="J304" i="1"/>
  <c r="L304" i="1"/>
  <c r="N304" i="1"/>
  <c r="D305" i="1"/>
  <c r="F305" i="1"/>
  <c r="H305" i="1"/>
  <c r="J305" i="1"/>
  <c r="L305" i="1"/>
  <c r="N305" i="1"/>
  <c r="D306" i="1"/>
  <c r="F306" i="1"/>
  <c r="H306" i="1"/>
  <c r="J306" i="1"/>
  <c r="L306" i="1"/>
  <c r="N306" i="1"/>
  <c r="D307" i="1"/>
  <c r="F307" i="1"/>
  <c r="H307" i="1"/>
  <c r="J307" i="1"/>
  <c r="L307" i="1"/>
  <c r="N307" i="1"/>
  <c r="D308" i="1"/>
  <c r="F308" i="1"/>
  <c r="H308" i="1"/>
  <c r="J308" i="1"/>
  <c r="L308" i="1"/>
  <c r="N308" i="1"/>
  <c r="D309" i="1"/>
  <c r="F309" i="1"/>
  <c r="H309" i="1"/>
  <c r="J309" i="1"/>
  <c r="L309" i="1"/>
  <c r="N309" i="1"/>
  <c r="F315" i="1"/>
  <c r="H315" i="1"/>
  <c r="J315" i="1"/>
  <c r="F316" i="1"/>
  <c r="H316" i="1"/>
  <c r="J316" i="1"/>
  <c r="F317" i="1"/>
  <c r="H317" i="1"/>
  <c r="F318" i="1"/>
  <c r="H318" i="1"/>
  <c r="D319" i="1"/>
  <c r="F319" i="1"/>
  <c r="H319" i="1"/>
  <c r="D320" i="1"/>
  <c r="F320" i="1"/>
  <c r="H320" i="1"/>
  <c r="D321" i="1"/>
  <c r="F321" i="1"/>
  <c r="H321" i="1"/>
  <c r="D322" i="1"/>
  <c r="F322" i="1"/>
  <c r="H322" i="1"/>
  <c r="D323" i="1"/>
  <c r="F323" i="1"/>
  <c r="H323" i="1"/>
  <c r="D324" i="1"/>
  <c r="F324" i="1"/>
  <c r="H324" i="1"/>
  <c r="D325" i="1"/>
  <c r="F325" i="1"/>
  <c r="H325" i="1"/>
  <c r="D326" i="1"/>
  <c r="F326" i="1"/>
  <c r="H326" i="1"/>
  <c r="E333" i="1"/>
  <c r="F333" i="1" s="1"/>
  <c r="G333" i="1"/>
  <c r="I333" i="1"/>
  <c r="J333" i="1" s="1"/>
  <c r="L333" i="1"/>
  <c r="N333" i="1"/>
  <c r="E334" i="1"/>
  <c r="G334" i="1"/>
  <c r="H334" i="1" s="1"/>
  <c r="I334" i="1"/>
  <c r="J334" i="1" s="1"/>
  <c r="L334" i="1"/>
  <c r="N334" i="1"/>
  <c r="E335" i="1"/>
  <c r="G335" i="1"/>
  <c r="B31" i="2316" s="1"/>
  <c r="J335" i="1"/>
  <c r="L335" i="1"/>
  <c r="N335" i="1"/>
  <c r="C336" i="1"/>
  <c r="B8" i="2316" s="1"/>
  <c r="E336" i="1"/>
  <c r="G336" i="1"/>
  <c r="J336" i="1"/>
  <c r="L336" i="1"/>
  <c r="N336" i="1"/>
  <c r="C337" i="1"/>
  <c r="E337" i="1"/>
  <c r="G337" i="1"/>
  <c r="H337" i="1" s="1"/>
  <c r="J337" i="1"/>
  <c r="L337" i="1"/>
  <c r="N337" i="1"/>
  <c r="C338" i="1"/>
  <c r="D338" i="1" s="1"/>
  <c r="E338" i="1"/>
  <c r="F338" i="1" s="1"/>
  <c r="G338" i="1"/>
  <c r="H338" i="1" s="1"/>
  <c r="J338" i="1"/>
  <c r="L338" i="1"/>
  <c r="N338" i="1"/>
  <c r="C339" i="1"/>
  <c r="E339" i="1"/>
  <c r="G339" i="1"/>
  <c r="J339" i="1"/>
  <c r="L339" i="1"/>
  <c r="N339" i="1"/>
  <c r="C340" i="1"/>
  <c r="D340" i="1" s="1"/>
  <c r="E340" i="1"/>
  <c r="G340" i="1"/>
  <c r="J340" i="1"/>
  <c r="L340" i="1"/>
  <c r="N340" i="1"/>
  <c r="C341" i="1"/>
  <c r="E341" i="1"/>
  <c r="G341" i="1"/>
  <c r="J341" i="1"/>
  <c r="L341" i="1"/>
  <c r="N341" i="1"/>
  <c r="C342" i="1"/>
  <c r="D342" i="1" s="1"/>
  <c r="E342" i="1"/>
  <c r="G342" i="1"/>
  <c r="J342" i="1"/>
  <c r="L342" i="1"/>
  <c r="N342" i="1"/>
  <c r="C343" i="1"/>
  <c r="E343" i="1"/>
  <c r="F343" i="1" s="1"/>
  <c r="G343" i="1"/>
  <c r="J343" i="1"/>
  <c r="L343" i="1"/>
  <c r="N343" i="1"/>
  <c r="C344" i="1"/>
  <c r="D344" i="1" s="1"/>
  <c r="E344" i="1"/>
  <c r="F344" i="1" s="1"/>
  <c r="G344" i="1"/>
  <c r="B40" i="2316" s="1"/>
  <c r="J344" i="1"/>
  <c r="L344" i="1"/>
  <c r="N344" i="1"/>
  <c r="D349" i="1"/>
  <c r="F349" i="1"/>
  <c r="H349" i="1"/>
  <c r="J349" i="1"/>
  <c r="L349" i="1"/>
  <c r="N349" i="1"/>
  <c r="D350" i="1"/>
  <c r="F350" i="1"/>
  <c r="H350" i="1"/>
  <c r="J350" i="1"/>
  <c r="L350" i="1"/>
  <c r="N350" i="1"/>
  <c r="D351" i="1"/>
  <c r="F351" i="1"/>
  <c r="H351" i="1"/>
  <c r="J351" i="1"/>
  <c r="L351" i="1"/>
  <c r="N351" i="1"/>
  <c r="D352" i="1"/>
  <c r="F352" i="1"/>
  <c r="H352" i="1"/>
  <c r="J352" i="1"/>
  <c r="L352" i="1"/>
  <c r="N352" i="1"/>
  <c r="D353" i="1"/>
  <c r="F353" i="1"/>
  <c r="H353" i="1"/>
  <c r="J353" i="1"/>
  <c r="L353" i="1"/>
  <c r="N353" i="1"/>
  <c r="D354" i="1"/>
  <c r="F354" i="1"/>
  <c r="H354" i="1"/>
  <c r="J354" i="1"/>
  <c r="L354" i="1"/>
  <c r="N354" i="1"/>
  <c r="D355" i="1"/>
  <c r="F355" i="1"/>
  <c r="H355" i="1"/>
  <c r="J355" i="1"/>
  <c r="L355" i="1"/>
  <c r="N355" i="1"/>
  <c r="P355" i="1"/>
  <c r="D356" i="1"/>
  <c r="F356" i="1"/>
  <c r="H356" i="1"/>
  <c r="J356" i="1"/>
  <c r="L356" i="1"/>
  <c r="N356" i="1"/>
  <c r="D357" i="1"/>
  <c r="F357" i="1"/>
  <c r="H357" i="1"/>
  <c r="J357" i="1"/>
  <c r="L357" i="1"/>
  <c r="N357" i="1"/>
  <c r="D358" i="1"/>
  <c r="F358" i="1"/>
  <c r="H358" i="1"/>
  <c r="J358" i="1"/>
  <c r="L358" i="1"/>
  <c r="N358" i="1"/>
  <c r="D359" i="1"/>
  <c r="F359" i="1"/>
  <c r="H359" i="1"/>
  <c r="J359" i="1"/>
  <c r="L359" i="1"/>
  <c r="N359" i="1"/>
  <c r="D360" i="1"/>
  <c r="F360" i="1"/>
  <c r="H360" i="1"/>
  <c r="J360" i="1"/>
  <c r="L360" i="1"/>
  <c r="N360" i="1"/>
  <c r="D398" i="1"/>
  <c r="F398" i="1"/>
  <c r="H398" i="1"/>
  <c r="J398" i="1"/>
  <c r="L398" i="1"/>
  <c r="N398" i="1"/>
  <c r="D399" i="1"/>
  <c r="F399" i="1"/>
  <c r="H399" i="1"/>
  <c r="J399" i="1"/>
  <c r="L399" i="1"/>
  <c r="N399" i="1"/>
  <c r="D400" i="1"/>
  <c r="F400" i="1"/>
  <c r="H400" i="1"/>
  <c r="J400" i="1"/>
  <c r="L400" i="1"/>
  <c r="N400" i="1"/>
  <c r="D401" i="1"/>
  <c r="F401" i="1"/>
  <c r="H401" i="1"/>
  <c r="J401" i="1"/>
  <c r="L401" i="1"/>
  <c r="N401" i="1"/>
  <c r="D402" i="1"/>
  <c r="F402" i="1"/>
  <c r="H402" i="1"/>
  <c r="J402" i="1"/>
  <c r="L402" i="1"/>
  <c r="N402" i="1"/>
  <c r="D403" i="1"/>
  <c r="F403" i="1"/>
  <c r="H403" i="1"/>
  <c r="J403" i="1"/>
  <c r="L403" i="1"/>
  <c r="N403" i="1"/>
  <c r="D404" i="1"/>
  <c r="F404" i="1"/>
  <c r="H404" i="1"/>
  <c r="J404" i="1"/>
  <c r="L404" i="1"/>
  <c r="N404" i="1"/>
  <c r="D405" i="1"/>
  <c r="F405" i="1"/>
  <c r="H405" i="1"/>
  <c r="J405" i="1"/>
  <c r="L405" i="1"/>
  <c r="N405" i="1"/>
  <c r="D406" i="1"/>
  <c r="F406" i="1"/>
  <c r="H406" i="1"/>
  <c r="J406" i="1"/>
  <c r="L406" i="1"/>
  <c r="N406" i="1"/>
  <c r="D407" i="1"/>
  <c r="F407" i="1"/>
  <c r="H407" i="1"/>
  <c r="J407" i="1"/>
  <c r="L407" i="1"/>
  <c r="N407" i="1"/>
  <c r="D408" i="1"/>
  <c r="F408" i="1"/>
  <c r="H408" i="1"/>
  <c r="J408" i="1"/>
  <c r="L408" i="1"/>
  <c r="N408" i="1"/>
  <c r="D409" i="1"/>
  <c r="F409" i="1"/>
  <c r="H409" i="1"/>
  <c r="J409" i="1"/>
  <c r="L409" i="1"/>
  <c r="N409" i="1"/>
  <c r="D413" i="1"/>
  <c r="F413" i="1"/>
  <c r="H413" i="1"/>
  <c r="J413" i="1"/>
  <c r="L413" i="1"/>
  <c r="N413" i="1"/>
  <c r="P413" i="1"/>
  <c r="D414" i="1"/>
  <c r="F414" i="1"/>
  <c r="H414" i="1"/>
  <c r="J414" i="1"/>
  <c r="L414" i="1"/>
  <c r="N414" i="1"/>
  <c r="D415" i="1"/>
  <c r="F415" i="1"/>
  <c r="H415" i="1"/>
  <c r="J415" i="1"/>
  <c r="L415" i="1"/>
  <c r="N415" i="1"/>
  <c r="D416" i="1"/>
  <c r="F416" i="1"/>
  <c r="H416" i="1"/>
  <c r="J416" i="1"/>
  <c r="L416" i="1"/>
  <c r="N416" i="1"/>
  <c r="D417" i="1"/>
  <c r="F417" i="1"/>
  <c r="H417" i="1"/>
  <c r="J417" i="1"/>
  <c r="L417" i="1"/>
  <c r="N417" i="1"/>
  <c r="D418" i="1"/>
  <c r="F418" i="1"/>
  <c r="H418" i="1"/>
  <c r="J418" i="1"/>
  <c r="L418" i="1"/>
  <c r="N418" i="1"/>
  <c r="D419" i="1"/>
  <c r="F419" i="1"/>
  <c r="H419" i="1"/>
  <c r="J419" i="1"/>
  <c r="L419" i="1"/>
  <c r="N419" i="1"/>
  <c r="D420" i="1"/>
  <c r="F420" i="1"/>
  <c r="H420" i="1"/>
  <c r="J420" i="1"/>
  <c r="L420" i="1"/>
  <c r="N420" i="1"/>
  <c r="D421" i="1"/>
  <c r="F421" i="1"/>
  <c r="H421" i="1"/>
  <c r="J421" i="1"/>
  <c r="L421" i="1"/>
  <c r="N421" i="1"/>
  <c r="D422" i="1"/>
  <c r="F422" i="1"/>
  <c r="H422" i="1"/>
  <c r="J422" i="1"/>
  <c r="L422" i="1"/>
  <c r="N422" i="1"/>
  <c r="D423" i="1"/>
  <c r="F423" i="1"/>
  <c r="H423" i="1"/>
  <c r="J423" i="1"/>
  <c r="L423" i="1"/>
  <c r="N423" i="1"/>
  <c r="D424" i="1"/>
  <c r="F424" i="1"/>
  <c r="H424" i="1"/>
  <c r="J424" i="1"/>
  <c r="L424" i="1"/>
  <c r="N424" i="1"/>
  <c r="F444" i="1"/>
  <c r="H444" i="1"/>
  <c r="J444" i="1"/>
  <c r="L444" i="1"/>
  <c r="N444" i="1"/>
  <c r="F445" i="1"/>
  <c r="H445" i="1"/>
  <c r="J445" i="1"/>
  <c r="L445" i="1"/>
  <c r="N445" i="1"/>
  <c r="F446" i="1"/>
  <c r="H446" i="1"/>
  <c r="J446" i="1"/>
  <c r="L446" i="1"/>
  <c r="N446" i="1"/>
  <c r="F447" i="1"/>
  <c r="H447" i="1"/>
  <c r="J447" i="1"/>
  <c r="L447" i="1"/>
  <c r="N447" i="1"/>
  <c r="F448" i="1"/>
  <c r="H448" i="1"/>
  <c r="J448" i="1"/>
  <c r="L448" i="1"/>
  <c r="N448" i="1"/>
  <c r="F449" i="1"/>
  <c r="H449" i="1"/>
  <c r="J449" i="1"/>
  <c r="L449" i="1"/>
  <c r="N449" i="1"/>
  <c r="D450" i="1"/>
  <c r="F450" i="1"/>
  <c r="H450" i="1"/>
  <c r="J450" i="1"/>
  <c r="L450" i="1"/>
  <c r="N450" i="1"/>
  <c r="D451" i="1"/>
  <c r="F451" i="1"/>
  <c r="H451" i="1"/>
  <c r="J451" i="1"/>
  <c r="L451" i="1"/>
  <c r="N451" i="1"/>
  <c r="D452" i="1"/>
  <c r="F452" i="1"/>
  <c r="H452" i="1"/>
  <c r="J452" i="1"/>
  <c r="L452" i="1"/>
  <c r="N452" i="1"/>
  <c r="D453" i="1"/>
  <c r="F453" i="1"/>
  <c r="H453" i="1"/>
  <c r="J453" i="1"/>
  <c r="L453" i="1"/>
  <c r="N453" i="1"/>
  <c r="D454" i="1"/>
  <c r="F454" i="1"/>
  <c r="H454" i="1"/>
  <c r="J454" i="1"/>
  <c r="L454" i="1"/>
  <c r="N454" i="1"/>
  <c r="D455" i="1"/>
  <c r="F455" i="1"/>
  <c r="H455" i="1"/>
  <c r="J455" i="1"/>
  <c r="L455" i="1"/>
  <c r="N455" i="1"/>
  <c r="D464" i="1"/>
  <c r="F464" i="1"/>
  <c r="H464" i="1"/>
  <c r="J464" i="1"/>
  <c r="D465" i="1"/>
  <c r="F465" i="1"/>
  <c r="H465" i="1"/>
  <c r="J465" i="1"/>
  <c r="D466" i="1"/>
  <c r="F466" i="1"/>
  <c r="H466" i="1"/>
  <c r="D467" i="1"/>
  <c r="F467" i="1"/>
  <c r="H467" i="1"/>
  <c r="D468" i="1"/>
  <c r="F468" i="1"/>
  <c r="H468" i="1"/>
  <c r="D469" i="1"/>
  <c r="F469" i="1"/>
  <c r="H469" i="1"/>
  <c r="D470" i="1"/>
  <c r="F470" i="1"/>
  <c r="H470" i="1"/>
  <c r="D471" i="1"/>
  <c r="F471" i="1"/>
  <c r="H471" i="1"/>
  <c r="D472" i="1"/>
  <c r="F472" i="1"/>
  <c r="H472" i="1"/>
  <c r="D473" i="1"/>
  <c r="F473" i="1"/>
  <c r="H473" i="1"/>
  <c r="D474" i="1"/>
  <c r="F474" i="1"/>
  <c r="H474" i="1"/>
  <c r="D475" i="1"/>
  <c r="F475" i="1"/>
  <c r="H475" i="1"/>
  <c r="F481" i="1"/>
  <c r="H481" i="1"/>
  <c r="J481" i="1"/>
  <c r="L481" i="1"/>
  <c r="N481" i="1"/>
  <c r="F482" i="1"/>
  <c r="H482" i="1"/>
  <c r="J482" i="1"/>
  <c r="L482" i="1"/>
  <c r="N482" i="1"/>
  <c r="F483" i="1"/>
  <c r="H483" i="1"/>
  <c r="J483" i="1"/>
  <c r="L483" i="1"/>
  <c r="N483" i="1"/>
  <c r="F484" i="1"/>
  <c r="H484" i="1"/>
  <c r="J484" i="1"/>
  <c r="L484" i="1"/>
  <c r="N484" i="1"/>
  <c r="F485" i="1"/>
  <c r="H485" i="1"/>
  <c r="J485" i="1"/>
  <c r="L485" i="1"/>
  <c r="N485" i="1"/>
  <c r="F486" i="1"/>
  <c r="H486" i="1"/>
  <c r="J486" i="1"/>
  <c r="L486" i="1"/>
  <c r="N486" i="1"/>
  <c r="D487" i="1"/>
  <c r="F487" i="1"/>
  <c r="H487" i="1"/>
  <c r="J487" i="1"/>
  <c r="L487" i="1"/>
  <c r="N487" i="1"/>
  <c r="D488" i="1"/>
  <c r="F488" i="1"/>
  <c r="H488" i="1"/>
  <c r="J488" i="1"/>
  <c r="L488" i="1"/>
  <c r="N488" i="1"/>
  <c r="D489" i="1"/>
  <c r="F489" i="1"/>
  <c r="H489" i="1"/>
  <c r="J489" i="1"/>
  <c r="L489" i="1"/>
  <c r="N489" i="1"/>
  <c r="D490" i="1"/>
  <c r="F490" i="1"/>
  <c r="H490" i="1"/>
  <c r="J490" i="1"/>
  <c r="L490" i="1"/>
  <c r="N490" i="1"/>
  <c r="D491" i="1"/>
  <c r="F491" i="1"/>
  <c r="H491" i="1"/>
  <c r="J491" i="1"/>
  <c r="L491" i="1"/>
  <c r="N491" i="1"/>
  <c r="D492" i="1"/>
  <c r="F492" i="1"/>
  <c r="H492" i="1"/>
  <c r="J492" i="1"/>
  <c r="L492" i="1"/>
  <c r="N492" i="1"/>
  <c r="D495" i="1"/>
  <c r="F495" i="1"/>
  <c r="H495" i="1"/>
  <c r="J495" i="1"/>
  <c r="L495" i="1"/>
  <c r="N495" i="1"/>
  <c r="D496" i="1"/>
  <c r="F496" i="1"/>
  <c r="H496" i="1"/>
  <c r="J496" i="1"/>
  <c r="L496" i="1"/>
  <c r="N496" i="1"/>
  <c r="D497" i="1"/>
  <c r="F497" i="1"/>
  <c r="H497" i="1"/>
  <c r="J497" i="1"/>
  <c r="L497" i="1"/>
  <c r="N497" i="1"/>
  <c r="D498" i="1"/>
  <c r="F498" i="1"/>
  <c r="H498" i="1"/>
  <c r="J498" i="1"/>
  <c r="L498" i="1"/>
  <c r="N498" i="1"/>
  <c r="D499" i="1"/>
  <c r="F499" i="1"/>
  <c r="H499" i="1"/>
  <c r="J499" i="1"/>
  <c r="L499" i="1"/>
  <c r="N499" i="1"/>
  <c r="D500" i="1"/>
  <c r="F500" i="1"/>
  <c r="H500" i="1"/>
  <c r="J500" i="1"/>
  <c r="L500" i="1"/>
  <c r="N500" i="1"/>
  <c r="D501" i="1"/>
  <c r="F501" i="1"/>
  <c r="H501" i="1"/>
  <c r="J501" i="1"/>
  <c r="L501" i="1"/>
  <c r="N501" i="1"/>
  <c r="D502" i="1"/>
  <c r="F502" i="1"/>
  <c r="H502" i="1"/>
  <c r="J502" i="1"/>
  <c r="L502" i="1"/>
  <c r="N502" i="1"/>
  <c r="D503" i="1"/>
  <c r="F503" i="1"/>
  <c r="H503" i="1"/>
  <c r="J503" i="1"/>
  <c r="L503" i="1"/>
  <c r="N503" i="1"/>
  <c r="D504" i="1"/>
  <c r="F504" i="1"/>
  <c r="H504" i="1"/>
  <c r="J504" i="1"/>
  <c r="L504" i="1"/>
  <c r="N504" i="1"/>
  <c r="D505" i="1"/>
  <c r="F505" i="1"/>
  <c r="H505" i="1"/>
  <c r="J505" i="1"/>
  <c r="L505" i="1"/>
  <c r="N505" i="1"/>
  <c r="D506" i="1"/>
  <c r="F506" i="1"/>
  <c r="H506" i="1"/>
  <c r="J506" i="1"/>
  <c r="L506" i="1"/>
  <c r="N506" i="1"/>
  <c r="D509" i="1"/>
  <c r="F509" i="1"/>
  <c r="H509" i="1"/>
  <c r="J509" i="1"/>
  <c r="L509" i="1"/>
  <c r="N509" i="1"/>
  <c r="D524" i="1"/>
  <c r="D510" i="1"/>
  <c r="F510" i="1"/>
  <c r="H510" i="1"/>
  <c r="J510" i="1"/>
  <c r="L510" i="1"/>
  <c r="N510" i="1"/>
  <c r="D525" i="1"/>
  <c r="D511" i="1"/>
  <c r="F511" i="1"/>
  <c r="H511" i="1"/>
  <c r="J511" i="1"/>
  <c r="L511" i="1"/>
  <c r="N511" i="1"/>
  <c r="D526" i="1"/>
  <c r="D512" i="1"/>
  <c r="F512" i="1"/>
  <c r="H512" i="1"/>
  <c r="J512" i="1"/>
  <c r="L512" i="1"/>
  <c r="N512" i="1"/>
  <c r="D527" i="1"/>
  <c r="D513" i="1"/>
  <c r="F513" i="1"/>
  <c r="H513" i="1"/>
  <c r="J513" i="1"/>
  <c r="L513" i="1"/>
  <c r="N513" i="1"/>
  <c r="D528" i="1"/>
  <c r="D514" i="1"/>
  <c r="F514" i="1"/>
  <c r="H514" i="1"/>
  <c r="J514" i="1"/>
  <c r="L514" i="1"/>
  <c r="N514" i="1"/>
  <c r="D529" i="1"/>
  <c r="D515" i="1"/>
  <c r="F515" i="1"/>
  <c r="H515" i="1"/>
  <c r="J515" i="1"/>
  <c r="L515" i="1"/>
  <c r="N515" i="1"/>
  <c r="D530" i="1"/>
  <c r="D516" i="1"/>
  <c r="F516" i="1"/>
  <c r="H516" i="1"/>
  <c r="J516" i="1"/>
  <c r="L516" i="1"/>
  <c r="N516" i="1"/>
  <c r="D531" i="1"/>
  <c r="D517" i="1"/>
  <c r="F517" i="1"/>
  <c r="H517" i="1"/>
  <c r="J517" i="1"/>
  <c r="L517" i="1"/>
  <c r="N517" i="1"/>
  <c r="D532" i="1"/>
  <c r="D518" i="1"/>
  <c r="F518" i="1"/>
  <c r="H518" i="1"/>
  <c r="J518" i="1"/>
  <c r="L518" i="1"/>
  <c r="N518" i="1"/>
  <c r="D533" i="1"/>
  <c r="D519" i="1"/>
  <c r="F519" i="1"/>
  <c r="H519" i="1"/>
  <c r="J519" i="1"/>
  <c r="L519" i="1"/>
  <c r="N519" i="1"/>
  <c r="D534" i="1"/>
  <c r="D520" i="1"/>
  <c r="F520" i="1"/>
  <c r="H520" i="1"/>
  <c r="J520" i="1"/>
  <c r="L520" i="1"/>
  <c r="N520" i="1"/>
  <c r="D535" i="1"/>
  <c r="F541" i="1"/>
  <c r="H541" i="1"/>
  <c r="J541" i="1"/>
  <c r="L541" i="1"/>
  <c r="F542" i="1"/>
  <c r="H542" i="1"/>
  <c r="J542" i="1"/>
  <c r="L542" i="1"/>
  <c r="F543" i="1"/>
  <c r="H543" i="1"/>
  <c r="J543" i="1"/>
  <c r="L543" i="1"/>
  <c r="F544" i="1"/>
  <c r="H544" i="1"/>
  <c r="J544" i="1"/>
  <c r="L544" i="1"/>
  <c r="D545" i="1"/>
  <c r="F545" i="1"/>
  <c r="H545" i="1"/>
  <c r="J545" i="1"/>
  <c r="L545" i="1"/>
  <c r="D546" i="1"/>
  <c r="F546" i="1"/>
  <c r="H546" i="1"/>
  <c r="J546" i="1"/>
  <c r="L546" i="1"/>
  <c r="D547" i="1"/>
  <c r="F547" i="1"/>
  <c r="H547" i="1"/>
  <c r="J547" i="1"/>
  <c r="L547" i="1"/>
  <c r="D548" i="1"/>
  <c r="F548" i="1"/>
  <c r="H548" i="1"/>
  <c r="J548" i="1"/>
  <c r="D549" i="1"/>
  <c r="F549" i="1"/>
  <c r="H549" i="1"/>
  <c r="J549" i="1"/>
  <c r="D550" i="1"/>
  <c r="F550" i="1"/>
  <c r="H550" i="1"/>
  <c r="J550" i="1"/>
  <c r="D551" i="1"/>
  <c r="F551" i="1"/>
  <c r="H551" i="1"/>
  <c r="J551" i="1"/>
  <c r="D552" i="1"/>
  <c r="F552" i="1"/>
  <c r="H552" i="1"/>
  <c r="J552" i="1"/>
  <c r="F555" i="1"/>
  <c r="H555" i="1"/>
  <c r="J555" i="1"/>
  <c r="L555" i="1"/>
  <c r="N555" i="1"/>
  <c r="P555" i="1"/>
  <c r="F556" i="1"/>
  <c r="H556" i="1"/>
  <c r="J556" i="1"/>
  <c r="L556" i="1"/>
  <c r="N556" i="1"/>
  <c r="P556" i="1"/>
  <c r="F557" i="1"/>
  <c r="H557" i="1"/>
  <c r="J557" i="1"/>
  <c r="L557" i="1"/>
  <c r="N557" i="1"/>
  <c r="P557" i="1"/>
  <c r="F558" i="1"/>
  <c r="H558" i="1"/>
  <c r="J558" i="1"/>
  <c r="L558" i="1"/>
  <c r="N558" i="1"/>
  <c r="P558" i="1"/>
  <c r="F559" i="1"/>
  <c r="H559" i="1"/>
  <c r="J559" i="1"/>
  <c r="L559" i="1"/>
  <c r="N559" i="1"/>
  <c r="P559" i="1"/>
  <c r="F560" i="1"/>
  <c r="H560" i="1"/>
  <c r="J560" i="1"/>
  <c r="L560" i="1"/>
  <c r="N560" i="1"/>
  <c r="P560" i="1"/>
  <c r="F561" i="1"/>
  <c r="H561" i="1"/>
  <c r="J561" i="1"/>
  <c r="L561" i="1"/>
  <c r="N561" i="1"/>
  <c r="P561" i="1"/>
  <c r="F562" i="1"/>
  <c r="H562" i="1"/>
  <c r="J562" i="1"/>
  <c r="L562" i="1"/>
  <c r="N562" i="1"/>
  <c r="P562" i="1"/>
  <c r="D563" i="1"/>
  <c r="F563" i="1"/>
  <c r="H563" i="1"/>
  <c r="J563" i="1"/>
  <c r="L563" i="1"/>
  <c r="N563" i="1"/>
  <c r="P563" i="1"/>
  <c r="D564" i="1"/>
  <c r="F564" i="1"/>
  <c r="H564" i="1"/>
  <c r="J564" i="1"/>
  <c r="L564" i="1"/>
  <c r="N564" i="1"/>
  <c r="P564" i="1"/>
  <c r="D565" i="1"/>
  <c r="F565" i="1"/>
  <c r="H565" i="1"/>
  <c r="J565" i="1"/>
  <c r="L565" i="1"/>
  <c r="N565" i="1"/>
  <c r="P565" i="1"/>
  <c r="D566" i="1"/>
  <c r="F566" i="1"/>
  <c r="H566" i="1"/>
  <c r="J566" i="1"/>
  <c r="L566" i="1"/>
  <c r="N566" i="1"/>
  <c r="P566" i="1"/>
  <c r="D571" i="1"/>
  <c r="D572" i="1"/>
  <c r="D573" i="1"/>
  <c r="D574" i="1"/>
  <c r="D575" i="1"/>
  <c r="D576" i="1"/>
  <c r="D577" i="1"/>
  <c r="D578" i="1"/>
  <c r="D579" i="1"/>
  <c r="D580" i="1"/>
  <c r="D581" i="1"/>
  <c r="D582" i="1"/>
  <c r="F605" i="1"/>
  <c r="H605" i="1"/>
  <c r="J605" i="1"/>
  <c r="L605" i="1"/>
  <c r="N605" i="1"/>
  <c r="P605" i="1"/>
  <c r="F606" i="1"/>
  <c r="H606" i="1"/>
  <c r="J606" i="1"/>
  <c r="L606" i="1"/>
  <c r="N606" i="1"/>
  <c r="P606" i="1"/>
  <c r="F607" i="1"/>
  <c r="H607" i="1"/>
  <c r="J607" i="1"/>
  <c r="L607" i="1"/>
  <c r="N607" i="1"/>
  <c r="P607" i="1"/>
  <c r="F608" i="1"/>
  <c r="H608" i="1"/>
  <c r="J608" i="1"/>
  <c r="L608" i="1"/>
  <c r="N608" i="1"/>
  <c r="F609" i="1"/>
  <c r="H609" i="1"/>
  <c r="J609" i="1"/>
  <c r="L609" i="1"/>
  <c r="N609" i="1"/>
  <c r="F610" i="1"/>
  <c r="H610" i="1"/>
  <c r="J610" i="1"/>
  <c r="L610" i="1"/>
  <c r="N610" i="1"/>
  <c r="D611" i="1"/>
  <c r="F611" i="1"/>
  <c r="H611" i="1"/>
  <c r="J611" i="1"/>
  <c r="L611" i="1"/>
  <c r="N611" i="1"/>
  <c r="D612" i="1"/>
  <c r="F612" i="1"/>
  <c r="H612" i="1"/>
  <c r="J612" i="1"/>
  <c r="L612" i="1"/>
  <c r="N612" i="1"/>
  <c r="D613" i="1"/>
  <c r="F613" i="1"/>
  <c r="H613" i="1"/>
  <c r="J613" i="1"/>
  <c r="L613" i="1"/>
  <c r="N613" i="1"/>
  <c r="D614" i="1"/>
  <c r="F614" i="1"/>
  <c r="H614" i="1"/>
  <c r="J614" i="1"/>
  <c r="L614" i="1"/>
  <c r="N614" i="1"/>
  <c r="D615" i="1"/>
  <c r="F615" i="1"/>
  <c r="H615" i="1"/>
  <c r="J615" i="1"/>
  <c r="L615" i="1"/>
  <c r="N615" i="1"/>
  <c r="D616" i="1"/>
  <c r="F616" i="1"/>
  <c r="H616" i="1"/>
  <c r="J616" i="1"/>
  <c r="L616" i="1"/>
  <c r="N616" i="1"/>
  <c r="F620" i="1"/>
  <c r="H620" i="1"/>
  <c r="J620" i="1"/>
  <c r="L620" i="1"/>
  <c r="N620" i="1"/>
  <c r="F621" i="1"/>
  <c r="H621" i="1"/>
  <c r="J621" i="1"/>
  <c r="L621" i="1"/>
  <c r="N621" i="1"/>
  <c r="F622" i="1"/>
  <c r="H622" i="1"/>
  <c r="J622" i="1"/>
  <c r="L622" i="1"/>
  <c r="N622" i="1"/>
  <c r="F623" i="1"/>
  <c r="H623" i="1"/>
  <c r="J623" i="1"/>
  <c r="L623" i="1"/>
  <c r="N623" i="1"/>
  <c r="D624" i="1"/>
  <c r="F624" i="1"/>
  <c r="H624" i="1"/>
  <c r="J624" i="1"/>
  <c r="L624" i="1"/>
  <c r="N624" i="1"/>
  <c r="D625" i="1"/>
  <c r="F625" i="1"/>
  <c r="H625" i="1"/>
  <c r="J625" i="1"/>
  <c r="L625" i="1"/>
  <c r="N625" i="1"/>
  <c r="D626" i="1"/>
  <c r="F626" i="1"/>
  <c r="H626" i="1"/>
  <c r="J626" i="1"/>
  <c r="L626" i="1"/>
  <c r="N626" i="1"/>
  <c r="D627" i="1"/>
  <c r="F627" i="1"/>
  <c r="H627" i="1"/>
  <c r="J627" i="1"/>
  <c r="L627" i="1"/>
  <c r="N627" i="1"/>
  <c r="D628" i="1"/>
  <c r="F628" i="1"/>
  <c r="H628" i="1"/>
  <c r="J628" i="1"/>
  <c r="L628" i="1"/>
  <c r="N628" i="1"/>
  <c r="D629" i="1"/>
  <c r="F629" i="1"/>
  <c r="H629" i="1"/>
  <c r="J629" i="1"/>
  <c r="L629" i="1"/>
  <c r="N629" i="1"/>
  <c r="D630" i="1"/>
  <c r="F630" i="1"/>
  <c r="H630" i="1"/>
  <c r="J630" i="1"/>
  <c r="L630" i="1"/>
  <c r="N630" i="1"/>
  <c r="D631" i="1"/>
  <c r="F631" i="1"/>
  <c r="H631" i="1"/>
  <c r="J631" i="1"/>
  <c r="L631" i="1"/>
  <c r="N631" i="1"/>
  <c r="D635" i="1"/>
  <c r="F635" i="1"/>
  <c r="H635" i="1"/>
  <c r="J635" i="1"/>
  <c r="L635" i="1"/>
  <c r="N635" i="1"/>
  <c r="P635" i="1"/>
  <c r="D636" i="1"/>
  <c r="F636" i="1"/>
  <c r="H636" i="1"/>
  <c r="J636" i="1"/>
  <c r="L636" i="1"/>
  <c r="N636" i="1"/>
  <c r="D637" i="1"/>
  <c r="F637" i="1"/>
  <c r="H637" i="1"/>
  <c r="J637" i="1"/>
  <c r="L637" i="1"/>
  <c r="N637" i="1"/>
  <c r="D638" i="1"/>
  <c r="F638" i="1"/>
  <c r="H638" i="1"/>
  <c r="J638" i="1"/>
  <c r="L638" i="1"/>
  <c r="N638" i="1"/>
  <c r="D639" i="1"/>
  <c r="F639" i="1"/>
  <c r="H639" i="1"/>
  <c r="J639" i="1"/>
  <c r="L639" i="1"/>
  <c r="N639" i="1"/>
  <c r="D640" i="1"/>
  <c r="F640" i="1"/>
  <c r="H640" i="1"/>
  <c r="J640" i="1"/>
  <c r="L640" i="1"/>
  <c r="N640" i="1"/>
  <c r="D641" i="1"/>
  <c r="F641" i="1"/>
  <c r="H641" i="1"/>
  <c r="J641" i="1"/>
  <c r="L641" i="1"/>
  <c r="N641" i="1"/>
  <c r="D642" i="1"/>
  <c r="F642" i="1"/>
  <c r="H642" i="1"/>
  <c r="J642" i="1"/>
  <c r="L642" i="1"/>
  <c r="N642" i="1"/>
  <c r="D643" i="1"/>
  <c r="F643" i="1"/>
  <c r="H643" i="1"/>
  <c r="J643" i="1"/>
  <c r="L643" i="1"/>
  <c r="N643" i="1"/>
  <c r="D644" i="1"/>
  <c r="F644" i="1"/>
  <c r="H644" i="1"/>
  <c r="J644" i="1"/>
  <c r="L644" i="1"/>
  <c r="N644" i="1"/>
  <c r="D645" i="1"/>
  <c r="F645" i="1"/>
  <c r="H645" i="1"/>
  <c r="J645" i="1"/>
  <c r="L645" i="1"/>
  <c r="N645" i="1"/>
  <c r="D646" i="1"/>
  <c r="F646" i="1"/>
  <c r="H646" i="1"/>
  <c r="J646" i="1"/>
  <c r="L646" i="1"/>
  <c r="N646" i="1"/>
  <c r="F666" i="1"/>
  <c r="H666" i="1"/>
  <c r="J666" i="1"/>
  <c r="L666" i="1"/>
  <c r="N666" i="1"/>
  <c r="P666" i="1"/>
  <c r="F667" i="1"/>
  <c r="H667" i="1"/>
  <c r="J667" i="1"/>
  <c r="L667" i="1"/>
  <c r="N667" i="1"/>
  <c r="P667" i="1"/>
  <c r="F668" i="1"/>
  <c r="H668" i="1"/>
  <c r="J668" i="1"/>
  <c r="L668" i="1"/>
  <c r="N668" i="1"/>
  <c r="P668" i="1"/>
  <c r="F669" i="1"/>
  <c r="G669" i="1"/>
  <c r="B26" i="11520" s="1"/>
  <c r="J669" i="1"/>
  <c r="L669" i="1"/>
  <c r="N669" i="1"/>
  <c r="F670" i="1"/>
  <c r="H670" i="1"/>
  <c r="J670" i="1"/>
  <c r="L670" i="1"/>
  <c r="N670" i="1"/>
  <c r="F671" i="1"/>
  <c r="H671" i="1"/>
  <c r="J671" i="1"/>
  <c r="L671" i="1"/>
  <c r="N671" i="1"/>
  <c r="D672" i="1"/>
  <c r="F672" i="1"/>
  <c r="H672" i="1"/>
  <c r="J672" i="1"/>
  <c r="L672" i="1"/>
  <c r="N672" i="1"/>
  <c r="D673" i="1"/>
  <c r="F673" i="1"/>
  <c r="H673" i="1"/>
  <c r="J673" i="1"/>
  <c r="L673" i="1"/>
  <c r="N673" i="1"/>
  <c r="D674" i="1"/>
  <c r="F674" i="1"/>
  <c r="H674" i="1"/>
  <c r="J674" i="1"/>
  <c r="L674" i="1"/>
  <c r="N674" i="1"/>
  <c r="D675" i="1"/>
  <c r="F675" i="1"/>
  <c r="H675" i="1"/>
  <c r="J675" i="1"/>
  <c r="L675" i="1"/>
  <c r="N675" i="1"/>
  <c r="D676" i="1"/>
  <c r="F676" i="1"/>
  <c r="H676" i="1"/>
  <c r="J676" i="1"/>
  <c r="L676" i="1"/>
  <c r="N676" i="1"/>
  <c r="D677" i="1"/>
  <c r="F677" i="1"/>
  <c r="H677" i="1"/>
  <c r="J677" i="1"/>
  <c r="L677" i="1"/>
  <c r="N677" i="1"/>
  <c r="F682" i="1"/>
  <c r="H682" i="1"/>
  <c r="J682" i="1"/>
  <c r="L682" i="1"/>
  <c r="N682" i="1"/>
  <c r="F683" i="1"/>
  <c r="H683" i="1"/>
  <c r="J683" i="1"/>
  <c r="L683" i="1"/>
  <c r="N683" i="1"/>
  <c r="F684" i="1"/>
  <c r="H684" i="1"/>
  <c r="J684" i="1"/>
  <c r="L684" i="1"/>
  <c r="N684" i="1"/>
  <c r="F685" i="1"/>
  <c r="H685" i="1"/>
  <c r="J685" i="1"/>
  <c r="L685" i="1"/>
  <c r="N685" i="1"/>
  <c r="D686" i="1"/>
  <c r="F686" i="1"/>
  <c r="H686" i="1"/>
  <c r="J686" i="1"/>
  <c r="L686" i="1"/>
  <c r="N686" i="1"/>
  <c r="D687" i="1"/>
  <c r="F687" i="1"/>
  <c r="H687" i="1"/>
  <c r="J687" i="1"/>
  <c r="L687" i="1"/>
  <c r="N687" i="1"/>
  <c r="D688" i="1"/>
  <c r="F688" i="1"/>
  <c r="H688" i="1"/>
  <c r="J688" i="1"/>
  <c r="L688" i="1"/>
  <c r="N688" i="1"/>
  <c r="D689" i="1"/>
  <c r="F689" i="1"/>
  <c r="H689" i="1"/>
  <c r="J689" i="1"/>
  <c r="L689" i="1"/>
  <c r="N689" i="1"/>
  <c r="D690" i="1"/>
  <c r="F690" i="1"/>
  <c r="H690" i="1"/>
  <c r="J690" i="1"/>
  <c r="L690" i="1"/>
  <c r="N690" i="1"/>
  <c r="D691" i="1"/>
  <c r="F691" i="1"/>
  <c r="H691" i="1"/>
  <c r="J691" i="1"/>
  <c r="L691" i="1"/>
  <c r="N691" i="1"/>
  <c r="D692" i="1"/>
  <c r="F692" i="1"/>
  <c r="H692" i="1"/>
  <c r="J692" i="1"/>
  <c r="L692" i="1"/>
  <c r="N692" i="1"/>
  <c r="D693" i="1"/>
  <c r="F693" i="1"/>
  <c r="H693" i="1"/>
  <c r="J693" i="1"/>
  <c r="L693" i="1"/>
  <c r="N693" i="1"/>
  <c r="D697" i="1"/>
  <c r="F697" i="1"/>
  <c r="H697" i="1"/>
  <c r="J697" i="1"/>
  <c r="L697" i="1"/>
  <c r="N697" i="1"/>
  <c r="D698" i="1"/>
  <c r="F698" i="1"/>
  <c r="H698" i="1"/>
  <c r="J698" i="1"/>
  <c r="L698" i="1"/>
  <c r="N698" i="1"/>
  <c r="D699" i="1"/>
  <c r="F699" i="1"/>
  <c r="H699" i="1"/>
  <c r="J699" i="1"/>
  <c r="L699" i="1"/>
  <c r="N699" i="1"/>
  <c r="D700" i="1"/>
  <c r="F700" i="1"/>
  <c r="H700" i="1"/>
  <c r="J700" i="1"/>
  <c r="L700" i="1"/>
  <c r="N700" i="1"/>
  <c r="D701" i="1"/>
  <c r="F701" i="1"/>
  <c r="H701" i="1"/>
  <c r="J701" i="1"/>
  <c r="L701" i="1"/>
  <c r="N701" i="1"/>
  <c r="D702" i="1"/>
  <c r="F702" i="1"/>
  <c r="H702" i="1"/>
  <c r="J702" i="1"/>
  <c r="L702" i="1"/>
  <c r="N702" i="1"/>
  <c r="D703" i="1"/>
  <c r="F703" i="1"/>
  <c r="H703" i="1"/>
  <c r="J703" i="1"/>
  <c r="L703" i="1"/>
  <c r="N703" i="1"/>
  <c r="D704" i="1"/>
  <c r="F704" i="1"/>
  <c r="H704" i="1"/>
  <c r="J704" i="1"/>
  <c r="L704" i="1"/>
  <c r="N704" i="1"/>
  <c r="D705" i="1"/>
  <c r="F705" i="1"/>
  <c r="H705" i="1"/>
  <c r="J705" i="1"/>
  <c r="L705" i="1"/>
  <c r="N705" i="1"/>
  <c r="D706" i="1"/>
  <c r="F706" i="1"/>
  <c r="H706" i="1"/>
  <c r="J706" i="1"/>
  <c r="L706" i="1"/>
  <c r="N706" i="1"/>
  <c r="D707" i="1"/>
  <c r="F707" i="1"/>
  <c r="H707" i="1"/>
  <c r="J707" i="1"/>
  <c r="L707" i="1"/>
  <c r="N707" i="1"/>
  <c r="D708" i="1"/>
  <c r="F708" i="1"/>
  <c r="H708" i="1"/>
  <c r="J708" i="1"/>
  <c r="L708" i="1"/>
  <c r="N708" i="1"/>
  <c r="F730" i="1"/>
  <c r="H730" i="1"/>
  <c r="J730" i="1"/>
  <c r="L730" i="1"/>
  <c r="N730" i="1"/>
  <c r="P730" i="1"/>
  <c r="F731" i="1"/>
  <c r="H731" i="1"/>
  <c r="J731" i="1"/>
  <c r="L731" i="1"/>
  <c r="N731" i="1"/>
  <c r="P731" i="1"/>
  <c r="F732" i="1"/>
  <c r="H732" i="1"/>
  <c r="J732" i="1"/>
  <c r="L732" i="1"/>
  <c r="N732" i="1"/>
  <c r="P732" i="1"/>
  <c r="F733" i="1"/>
  <c r="H733" i="1"/>
  <c r="J733" i="1"/>
  <c r="L733" i="1"/>
  <c r="N733" i="1"/>
  <c r="F734" i="1"/>
  <c r="H734" i="1"/>
  <c r="J734" i="1"/>
  <c r="L734" i="1"/>
  <c r="N734" i="1"/>
  <c r="F735" i="1"/>
  <c r="H735" i="1"/>
  <c r="J735" i="1"/>
  <c r="L735" i="1"/>
  <c r="N735" i="1"/>
  <c r="D736" i="1"/>
  <c r="F736" i="1"/>
  <c r="H736" i="1"/>
  <c r="J736" i="1"/>
  <c r="L736" i="1"/>
  <c r="N736" i="1"/>
  <c r="D737" i="1"/>
  <c r="F737" i="1"/>
  <c r="H737" i="1"/>
  <c r="J737" i="1"/>
  <c r="L737" i="1"/>
  <c r="N737" i="1"/>
  <c r="D738" i="1"/>
  <c r="F738" i="1"/>
  <c r="H738" i="1"/>
  <c r="J738" i="1"/>
  <c r="L738" i="1"/>
  <c r="N738" i="1"/>
  <c r="D739" i="1"/>
  <c r="F739" i="1"/>
  <c r="H739" i="1"/>
  <c r="J739" i="1"/>
  <c r="L739" i="1"/>
  <c r="N739" i="1"/>
  <c r="D740" i="1"/>
  <c r="F740" i="1"/>
  <c r="H740" i="1"/>
  <c r="J740" i="1"/>
  <c r="L740" i="1"/>
  <c r="N740" i="1"/>
  <c r="D741" i="1"/>
  <c r="F741" i="1"/>
  <c r="H741" i="1"/>
  <c r="J741" i="1"/>
  <c r="L741" i="1"/>
  <c r="N741" i="1"/>
  <c r="F745" i="1"/>
  <c r="H745" i="1"/>
  <c r="J745" i="1"/>
  <c r="L745" i="1"/>
  <c r="N745" i="1"/>
  <c r="F746" i="1"/>
  <c r="H746" i="1"/>
  <c r="J746" i="1"/>
  <c r="L746" i="1"/>
  <c r="N746" i="1"/>
  <c r="F747" i="1"/>
  <c r="H747" i="1"/>
  <c r="J747" i="1"/>
  <c r="L747" i="1"/>
  <c r="N747" i="1"/>
  <c r="F748" i="1"/>
  <c r="H748" i="1"/>
  <c r="J748" i="1"/>
  <c r="L748" i="1"/>
  <c r="N748" i="1"/>
  <c r="D749" i="1"/>
  <c r="F749" i="1"/>
  <c r="H749" i="1"/>
  <c r="J749" i="1"/>
  <c r="L749" i="1"/>
  <c r="N749" i="1"/>
  <c r="D750" i="1"/>
  <c r="F750" i="1"/>
  <c r="H750" i="1"/>
  <c r="J750" i="1"/>
  <c r="L750" i="1"/>
  <c r="N750" i="1"/>
  <c r="D751" i="1"/>
  <c r="F751" i="1"/>
  <c r="H751" i="1"/>
  <c r="J751" i="1"/>
  <c r="L751" i="1"/>
  <c r="N751" i="1"/>
  <c r="D752" i="1"/>
  <c r="F752" i="1"/>
  <c r="H752" i="1"/>
  <c r="J752" i="1"/>
  <c r="L752" i="1"/>
  <c r="N752" i="1"/>
  <c r="D753" i="1"/>
  <c r="F753" i="1"/>
  <c r="H753" i="1"/>
  <c r="J753" i="1"/>
  <c r="L753" i="1"/>
  <c r="N753" i="1"/>
  <c r="D754" i="1"/>
  <c r="F754" i="1"/>
  <c r="H754" i="1"/>
  <c r="J754" i="1"/>
  <c r="L754" i="1"/>
  <c r="N754" i="1"/>
  <c r="D755" i="1"/>
  <c r="F755" i="1"/>
  <c r="H755" i="1"/>
  <c r="J755" i="1"/>
  <c r="L755" i="1"/>
  <c r="N755" i="1"/>
  <c r="D756" i="1"/>
  <c r="F756" i="1"/>
  <c r="H756" i="1"/>
  <c r="J756" i="1"/>
  <c r="L756" i="1"/>
  <c r="N756" i="1"/>
  <c r="D760" i="1"/>
  <c r="F760" i="1"/>
  <c r="H760" i="1"/>
  <c r="J760" i="1"/>
  <c r="L760" i="1"/>
  <c r="N760" i="1"/>
  <c r="D761" i="1"/>
  <c r="F761" i="1"/>
  <c r="H761" i="1"/>
  <c r="J761" i="1"/>
  <c r="L761" i="1"/>
  <c r="N761" i="1"/>
  <c r="D762" i="1"/>
  <c r="F762" i="1"/>
  <c r="H762" i="1"/>
  <c r="J762" i="1"/>
  <c r="L762" i="1"/>
  <c r="N762" i="1"/>
  <c r="D763" i="1"/>
  <c r="F763" i="1"/>
  <c r="H763" i="1"/>
  <c r="J763" i="1"/>
  <c r="L763" i="1"/>
  <c r="N763" i="1"/>
  <c r="D764" i="1"/>
  <c r="F764" i="1"/>
  <c r="H764" i="1"/>
  <c r="J764" i="1"/>
  <c r="L764" i="1"/>
  <c r="N764" i="1"/>
  <c r="D765" i="1"/>
  <c r="F765" i="1"/>
  <c r="H765" i="1"/>
  <c r="J765" i="1"/>
  <c r="L765" i="1"/>
  <c r="N765" i="1"/>
  <c r="D766" i="1"/>
  <c r="F766" i="1"/>
  <c r="H766" i="1"/>
  <c r="J766" i="1"/>
  <c r="L766" i="1"/>
  <c r="N766" i="1"/>
  <c r="D767" i="1"/>
  <c r="F767" i="1"/>
  <c r="H767" i="1"/>
  <c r="J767" i="1"/>
  <c r="L767" i="1"/>
  <c r="N767" i="1"/>
  <c r="D768" i="1"/>
  <c r="F768" i="1"/>
  <c r="H768" i="1"/>
  <c r="J768" i="1"/>
  <c r="L768" i="1"/>
  <c r="N768" i="1"/>
  <c r="D769" i="1"/>
  <c r="F769" i="1"/>
  <c r="H769" i="1"/>
  <c r="J769" i="1"/>
  <c r="L769" i="1"/>
  <c r="N769" i="1"/>
  <c r="D770" i="1"/>
  <c r="F770" i="1"/>
  <c r="H770" i="1"/>
  <c r="J770" i="1"/>
  <c r="L770" i="1"/>
  <c r="N770" i="1"/>
  <c r="D771" i="1"/>
  <c r="F771" i="1"/>
  <c r="H771" i="1"/>
  <c r="J771" i="1"/>
  <c r="L771" i="1"/>
  <c r="N771" i="1"/>
  <c r="H792" i="1"/>
  <c r="J792" i="1"/>
  <c r="L792" i="1"/>
  <c r="N792" i="1"/>
  <c r="P792" i="1"/>
  <c r="F793" i="1"/>
  <c r="H793" i="1"/>
  <c r="J793" i="1"/>
  <c r="L793" i="1"/>
  <c r="N793" i="1"/>
  <c r="P793" i="1"/>
  <c r="F794" i="1"/>
  <c r="H794" i="1"/>
  <c r="J794" i="1"/>
  <c r="L794" i="1"/>
  <c r="N794" i="1"/>
  <c r="P794" i="1"/>
  <c r="F795" i="1"/>
  <c r="H795" i="1"/>
  <c r="J795" i="1"/>
  <c r="L795" i="1"/>
  <c r="N795" i="1"/>
  <c r="F796" i="1"/>
  <c r="H796" i="1"/>
  <c r="J796" i="1"/>
  <c r="L796" i="1"/>
  <c r="N796" i="1"/>
  <c r="F797" i="1"/>
  <c r="H797" i="1"/>
  <c r="J797" i="1"/>
  <c r="L797" i="1"/>
  <c r="N797" i="1"/>
  <c r="D798" i="1"/>
  <c r="F798" i="1"/>
  <c r="H798" i="1"/>
  <c r="J798" i="1"/>
  <c r="L798" i="1"/>
  <c r="N798" i="1"/>
  <c r="D799" i="1"/>
  <c r="F799" i="1"/>
  <c r="H799" i="1"/>
  <c r="J799" i="1"/>
  <c r="L799" i="1"/>
  <c r="N799" i="1"/>
  <c r="D800" i="1"/>
  <c r="F800" i="1"/>
  <c r="H800" i="1"/>
  <c r="J800" i="1"/>
  <c r="L800" i="1"/>
  <c r="N800" i="1"/>
  <c r="D801" i="1"/>
  <c r="F801" i="1"/>
  <c r="H801" i="1"/>
  <c r="J801" i="1"/>
  <c r="L801" i="1"/>
  <c r="N801" i="1"/>
  <c r="D802" i="1"/>
  <c r="F802" i="1"/>
  <c r="H802" i="1"/>
  <c r="J802" i="1"/>
  <c r="L802" i="1"/>
  <c r="N802" i="1"/>
  <c r="D803" i="1"/>
  <c r="F803" i="1"/>
  <c r="H803" i="1"/>
  <c r="J803" i="1"/>
  <c r="L803" i="1"/>
  <c r="N803" i="1"/>
  <c r="F808" i="1"/>
  <c r="H808" i="1"/>
  <c r="J808" i="1"/>
  <c r="L808" i="1"/>
  <c r="N808" i="1"/>
  <c r="F809" i="1"/>
  <c r="H809" i="1"/>
  <c r="J809" i="1"/>
  <c r="L809" i="1"/>
  <c r="N809" i="1"/>
  <c r="F810" i="1"/>
  <c r="H810" i="1"/>
  <c r="J810" i="1"/>
  <c r="L810" i="1"/>
  <c r="N810" i="1"/>
  <c r="F811" i="1"/>
  <c r="H811" i="1"/>
  <c r="J811" i="1"/>
  <c r="L811" i="1"/>
  <c r="N811" i="1"/>
  <c r="D812" i="1"/>
  <c r="F812" i="1"/>
  <c r="H812" i="1"/>
  <c r="J812" i="1"/>
  <c r="L812" i="1"/>
  <c r="N812" i="1"/>
  <c r="D813" i="1"/>
  <c r="F813" i="1"/>
  <c r="H813" i="1"/>
  <c r="J813" i="1"/>
  <c r="L813" i="1"/>
  <c r="N813" i="1"/>
  <c r="D814" i="1"/>
  <c r="F814" i="1"/>
  <c r="H814" i="1"/>
  <c r="J814" i="1"/>
  <c r="L814" i="1"/>
  <c r="N814" i="1"/>
  <c r="D815" i="1"/>
  <c r="F815" i="1"/>
  <c r="H815" i="1"/>
  <c r="J815" i="1"/>
  <c r="L815" i="1"/>
  <c r="N815" i="1"/>
  <c r="D816" i="1"/>
  <c r="F816" i="1"/>
  <c r="H816" i="1"/>
  <c r="J816" i="1"/>
  <c r="L816" i="1"/>
  <c r="N816" i="1"/>
  <c r="D817" i="1"/>
  <c r="F817" i="1"/>
  <c r="H817" i="1"/>
  <c r="J817" i="1"/>
  <c r="L817" i="1"/>
  <c r="N817" i="1"/>
  <c r="D818" i="1"/>
  <c r="F818" i="1"/>
  <c r="H818" i="1"/>
  <c r="J818" i="1"/>
  <c r="L818" i="1"/>
  <c r="N818" i="1"/>
  <c r="D819" i="1"/>
  <c r="F819" i="1"/>
  <c r="H819" i="1"/>
  <c r="J819" i="1"/>
  <c r="L819" i="1"/>
  <c r="N819" i="1"/>
  <c r="D823" i="1"/>
  <c r="F823" i="1"/>
  <c r="H823" i="1"/>
  <c r="J823" i="1"/>
  <c r="L823" i="1"/>
  <c r="N823" i="1"/>
  <c r="P823" i="1"/>
  <c r="D824" i="1"/>
  <c r="F824" i="1"/>
  <c r="H824" i="1"/>
  <c r="J824" i="1"/>
  <c r="L824" i="1"/>
  <c r="N824" i="1"/>
  <c r="D825" i="1"/>
  <c r="F825" i="1"/>
  <c r="H825" i="1"/>
  <c r="J825" i="1"/>
  <c r="L825" i="1"/>
  <c r="N825" i="1"/>
  <c r="D826" i="1"/>
  <c r="F826" i="1"/>
  <c r="H826" i="1"/>
  <c r="J826" i="1"/>
  <c r="L826" i="1"/>
  <c r="N826" i="1"/>
  <c r="D827" i="1"/>
  <c r="F827" i="1"/>
  <c r="H827" i="1"/>
  <c r="J827" i="1"/>
  <c r="L827" i="1"/>
  <c r="N827" i="1"/>
  <c r="D828" i="1"/>
  <c r="F828" i="1"/>
  <c r="H828" i="1"/>
  <c r="J828" i="1"/>
  <c r="L828" i="1"/>
  <c r="N828" i="1"/>
  <c r="D829" i="1"/>
  <c r="F829" i="1"/>
  <c r="H829" i="1"/>
  <c r="J829" i="1"/>
  <c r="L829" i="1"/>
  <c r="N829" i="1"/>
  <c r="D830" i="1"/>
  <c r="F830" i="1"/>
  <c r="H830" i="1"/>
  <c r="J830" i="1"/>
  <c r="L830" i="1"/>
  <c r="N830" i="1"/>
  <c r="D831" i="1"/>
  <c r="F831" i="1"/>
  <c r="H831" i="1"/>
  <c r="J831" i="1"/>
  <c r="L831" i="1"/>
  <c r="N831" i="1"/>
  <c r="D832" i="1"/>
  <c r="F832" i="1"/>
  <c r="H832" i="1"/>
  <c r="J832" i="1"/>
  <c r="L832" i="1"/>
  <c r="N832" i="1"/>
  <c r="D833" i="1"/>
  <c r="F833" i="1"/>
  <c r="H833" i="1"/>
  <c r="J833" i="1"/>
  <c r="L833" i="1"/>
  <c r="N833" i="1"/>
  <c r="D834" i="1"/>
  <c r="F834" i="1"/>
  <c r="H834" i="1"/>
  <c r="J834" i="1"/>
  <c r="L834" i="1"/>
  <c r="N834" i="1"/>
  <c r="F855" i="1"/>
  <c r="H855" i="1"/>
  <c r="J855" i="1"/>
  <c r="L855" i="1"/>
  <c r="N855" i="1"/>
  <c r="F856" i="1"/>
  <c r="H856" i="1"/>
  <c r="J856" i="1"/>
  <c r="L856" i="1"/>
  <c r="N856" i="1"/>
  <c r="F857" i="1"/>
  <c r="H857" i="1"/>
  <c r="J857" i="1"/>
  <c r="L857" i="1"/>
  <c r="N857" i="1"/>
  <c r="F858" i="1"/>
  <c r="H858" i="1"/>
  <c r="J858" i="1"/>
  <c r="L858" i="1"/>
  <c r="N858" i="1"/>
  <c r="F859" i="1"/>
  <c r="H859" i="1"/>
  <c r="J859" i="1"/>
  <c r="L859" i="1"/>
  <c r="N859" i="1"/>
  <c r="F860" i="1"/>
  <c r="H860" i="1"/>
  <c r="J860" i="1"/>
  <c r="L860" i="1"/>
  <c r="N860" i="1"/>
  <c r="D861" i="1"/>
  <c r="F861" i="1"/>
  <c r="H861" i="1"/>
  <c r="J861" i="1"/>
  <c r="L861" i="1"/>
  <c r="N861" i="1"/>
  <c r="D862" i="1"/>
  <c r="F862" i="1"/>
  <c r="H862" i="1"/>
  <c r="J862" i="1"/>
  <c r="L862" i="1"/>
  <c r="N862" i="1"/>
  <c r="D863" i="1"/>
  <c r="F863" i="1"/>
  <c r="H863" i="1"/>
  <c r="J863" i="1"/>
  <c r="L863" i="1"/>
  <c r="N863" i="1"/>
  <c r="D864" i="1"/>
  <c r="F864" i="1"/>
  <c r="H864" i="1"/>
  <c r="J864" i="1"/>
  <c r="L864" i="1"/>
  <c r="N864" i="1"/>
  <c r="D865" i="1"/>
  <c r="F865" i="1"/>
  <c r="H865" i="1"/>
  <c r="J865" i="1"/>
  <c r="L865" i="1"/>
  <c r="N865" i="1"/>
  <c r="D866" i="1"/>
  <c r="F866" i="1"/>
  <c r="H866" i="1"/>
  <c r="J866" i="1"/>
  <c r="L866" i="1"/>
  <c r="N866" i="1"/>
  <c r="D870" i="1"/>
  <c r="F870" i="1"/>
  <c r="H870" i="1"/>
  <c r="J870" i="1"/>
  <c r="L870" i="1"/>
  <c r="N870" i="1"/>
  <c r="D871" i="1"/>
  <c r="F871" i="1"/>
  <c r="H871" i="1"/>
  <c r="J871" i="1"/>
  <c r="L871" i="1"/>
  <c r="N871" i="1"/>
  <c r="D872" i="1"/>
  <c r="F872" i="1"/>
  <c r="H872" i="1"/>
  <c r="J872" i="1"/>
  <c r="L872" i="1"/>
  <c r="N872" i="1"/>
  <c r="D873" i="1"/>
  <c r="F873" i="1"/>
  <c r="H873" i="1"/>
  <c r="J873" i="1"/>
  <c r="L873" i="1"/>
  <c r="N873" i="1"/>
  <c r="D874" i="1"/>
  <c r="F874" i="1"/>
  <c r="H874" i="1"/>
  <c r="J874" i="1"/>
  <c r="L874" i="1"/>
  <c r="N874" i="1"/>
  <c r="D875" i="1"/>
  <c r="F875" i="1"/>
  <c r="H875" i="1"/>
  <c r="J875" i="1"/>
  <c r="L875" i="1"/>
  <c r="N875" i="1"/>
  <c r="D876" i="1"/>
  <c r="F876" i="1"/>
  <c r="H876" i="1"/>
  <c r="J876" i="1"/>
  <c r="L876" i="1"/>
  <c r="N876" i="1"/>
  <c r="D877" i="1"/>
  <c r="F877" i="1"/>
  <c r="H877" i="1"/>
  <c r="J877" i="1"/>
  <c r="L877" i="1"/>
  <c r="N877" i="1"/>
  <c r="D878" i="1"/>
  <c r="F878" i="1"/>
  <c r="H878" i="1"/>
  <c r="J878" i="1"/>
  <c r="L878" i="1"/>
  <c r="N878" i="1"/>
  <c r="D879" i="1"/>
  <c r="F879" i="1"/>
  <c r="H879" i="1"/>
  <c r="J879" i="1"/>
  <c r="L879" i="1"/>
  <c r="N879" i="1"/>
  <c r="D880" i="1"/>
  <c r="F880" i="1"/>
  <c r="H880" i="1"/>
  <c r="J880" i="1"/>
  <c r="L880" i="1"/>
  <c r="N880" i="1"/>
  <c r="D881" i="1"/>
  <c r="F881" i="1"/>
  <c r="H881" i="1"/>
  <c r="J881" i="1"/>
  <c r="L881" i="1"/>
  <c r="N881" i="1"/>
  <c r="D885" i="1"/>
  <c r="F885" i="1"/>
  <c r="H885" i="1"/>
  <c r="J885" i="1"/>
  <c r="L885" i="1"/>
  <c r="N885" i="1"/>
  <c r="P885" i="1"/>
  <c r="D886" i="1"/>
  <c r="F886" i="1"/>
  <c r="H886" i="1"/>
  <c r="J886" i="1"/>
  <c r="L886" i="1"/>
  <c r="N886" i="1"/>
  <c r="D887" i="1"/>
  <c r="F887" i="1"/>
  <c r="H887" i="1"/>
  <c r="J887" i="1"/>
  <c r="L887" i="1"/>
  <c r="N887" i="1"/>
  <c r="D888" i="1"/>
  <c r="F888" i="1"/>
  <c r="H888" i="1"/>
  <c r="J888" i="1"/>
  <c r="L888" i="1"/>
  <c r="N888" i="1"/>
  <c r="D889" i="1"/>
  <c r="F889" i="1"/>
  <c r="H889" i="1"/>
  <c r="J889" i="1"/>
  <c r="L889" i="1"/>
  <c r="N889" i="1"/>
  <c r="D890" i="1"/>
  <c r="F890" i="1"/>
  <c r="H890" i="1"/>
  <c r="J890" i="1"/>
  <c r="L890" i="1"/>
  <c r="N890" i="1"/>
  <c r="D891" i="1"/>
  <c r="F891" i="1"/>
  <c r="H891" i="1"/>
  <c r="J891" i="1"/>
  <c r="L891" i="1"/>
  <c r="N891" i="1"/>
  <c r="D892" i="1"/>
  <c r="F892" i="1"/>
  <c r="H892" i="1"/>
  <c r="J892" i="1"/>
  <c r="L892" i="1"/>
  <c r="N892" i="1"/>
  <c r="D893" i="1"/>
  <c r="F893" i="1"/>
  <c r="H893" i="1"/>
  <c r="J893" i="1"/>
  <c r="L893" i="1"/>
  <c r="N893" i="1"/>
  <c r="D894" i="1"/>
  <c r="F894" i="1"/>
  <c r="H894" i="1"/>
  <c r="J894" i="1"/>
  <c r="L894" i="1"/>
  <c r="N894" i="1"/>
  <c r="D895" i="1"/>
  <c r="F895" i="1"/>
  <c r="H895" i="1"/>
  <c r="J895" i="1"/>
  <c r="L895" i="1"/>
  <c r="N895" i="1"/>
  <c r="D896" i="1"/>
  <c r="F896" i="1"/>
  <c r="H896" i="1"/>
  <c r="J896" i="1"/>
  <c r="L896" i="1"/>
  <c r="N896" i="1"/>
  <c r="F917" i="1"/>
  <c r="H917" i="1"/>
  <c r="J917" i="1"/>
  <c r="L917" i="1"/>
  <c r="N917" i="1"/>
  <c r="F918" i="1"/>
  <c r="H918" i="1"/>
  <c r="J918" i="1"/>
  <c r="L918" i="1"/>
  <c r="N918" i="1"/>
  <c r="F919" i="1"/>
  <c r="H919" i="1"/>
  <c r="J919" i="1"/>
  <c r="L919" i="1"/>
  <c r="N919" i="1"/>
  <c r="F920" i="1"/>
  <c r="H920" i="1"/>
  <c r="J920" i="1"/>
  <c r="L920" i="1"/>
  <c r="N920" i="1"/>
  <c r="F921" i="1"/>
  <c r="H921" i="1"/>
  <c r="J921" i="1"/>
  <c r="L921" i="1"/>
  <c r="N921" i="1"/>
  <c r="F922" i="1"/>
  <c r="H922" i="1"/>
  <c r="J922" i="1"/>
  <c r="L922" i="1"/>
  <c r="N922" i="1"/>
  <c r="N923" i="1" s="1"/>
  <c r="D923" i="1"/>
  <c r="F923" i="1"/>
  <c r="H923" i="1"/>
  <c r="J923" i="1"/>
  <c r="L923" i="1"/>
  <c r="D924" i="1"/>
  <c r="F924" i="1"/>
  <c r="H924" i="1"/>
  <c r="J924" i="1"/>
  <c r="L924" i="1"/>
  <c r="N924" i="1"/>
  <c r="D925" i="1"/>
  <c r="F925" i="1"/>
  <c r="H925" i="1"/>
  <c r="J925" i="1"/>
  <c r="L925" i="1"/>
  <c r="N925" i="1"/>
  <c r="D926" i="1"/>
  <c r="F926" i="1"/>
  <c r="H926" i="1"/>
  <c r="J926" i="1"/>
  <c r="L926" i="1"/>
  <c r="N926" i="1"/>
  <c r="D927" i="1"/>
  <c r="F927" i="1"/>
  <c r="H927" i="1"/>
  <c r="J927" i="1"/>
  <c r="L927" i="1"/>
  <c r="N927" i="1"/>
  <c r="D928" i="1"/>
  <c r="F928" i="1"/>
  <c r="H928" i="1"/>
  <c r="J928" i="1"/>
  <c r="L928" i="1"/>
  <c r="N928" i="1"/>
  <c r="F932" i="1"/>
  <c r="H932" i="1"/>
  <c r="J932" i="1"/>
  <c r="L932" i="1"/>
  <c r="N932" i="1"/>
  <c r="F933" i="1"/>
  <c r="H933" i="1"/>
  <c r="J933" i="1"/>
  <c r="L933" i="1"/>
  <c r="N933" i="1"/>
  <c r="F934" i="1"/>
  <c r="H934" i="1"/>
  <c r="J934" i="1"/>
  <c r="L934" i="1"/>
  <c r="N934" i="1"/>
  <c r="D935" i="1"/>
  <c r="F935" i="1"/>
  <c r="H935" i="1"/>
  <c r="J935" i="1"/>
  <c r="L935" i="1"/>
  <c r="N935" i="1"/>
  <c r="D936" i="1"/>
  <c r="F936" i="1"/>
  <c r="H936" i="1"/>
  <c r="J936" i="1"/>
  <c r="L936" i="1"/>
  <c r="N936" i="1"/>
  <c r="D937" i="1"/>
  <c r="F937" i="1"/>
  <c r="H937" i="1"/>
  <c r="J937" i="1"/>
  <c r="L937" i="1"/>
  <c r="N937" i="1"/>
  <c r="D938" i="1"/>
  <c r="F938" i="1"/>
  <c r="H938" i="1"/>
  <c r="J938" i="1"/>
  <c r="K938" i="1"/>
  <c r="N938" i="1"/>
  <c r="D939" i="1"/>
  <c r="F939" i="1"/>
  <c r="H939" i="1"/>
  <c r="J939" i="1"/>
  <c r="L939" i="1"/>
  <c r="N939" i="1"/>
  <c r="D940" i="1"/>
  <c r="F940" i="1"/>
  <c r="H940" i="1"/>
  <c r="J940" i="1"/>
  <c r="L940" i="1"/>
  <c r="N940" i="1"/>
  <c r="D941" i="1"/>
  <c r="F941" i="1"/>
  <c r="H941" i="1"/>
  <c r="J941" i="1"/>
  <c r="K941" i="1"/>
  <c r="K942" i="1" s="1"/>
  <c r="L942" i="1" s="1"/>
  <c r="N941" i="1"/>
  <c r="D942" i="1"/>
  <c r="F942" i="1"/>
  <c r="H942" i="1"/>
  <c r="J942" i="1"/>
  <c r="N942" i="1"/>
  <c r="D943" i="1"/>
  <c r="F943" i="1"/>
  <c r="H943" i="1"/>
  <c r="J943" i="1"/>
  <c r="L943" i="1"/>
  <c r="N943" i="1"/>
  <c r="D947" i="1"/>
  <c r="F947" i="1"/>
  <c r="H947" i="1"/>
  <c r="N947" i="1"/>
  <c r="C948" i="1"/>
  <c r="F948" i="1"/>
  <c r="H948" i="1"/>
  <c r="N948" i="1"/>
  <c r="E949" i="1"/>
  <c r="F949" i="1" s="1"/>
  <c r="H949" i="1"/>
  <c r="N949" i="1"/>
  <c r="D950" i="1"/>
  <c r="G950" i="1"/>
  <c r="N950" i="1"/>
  <c r="D951" i="1"/>
  <c r="F951" i="1"/>
  <c r="H951" i="1"/>
  <c r="M951" i="1"/>
  <c r="B210" i="20994" s="1"/>
  <c r="D952" i="1"/>
  <c r="F952" i="1"/>
  <c r="G952" i="1"/>
  <c r="L952" i="1"/>
  <c r="N952" i="1"/>
  <c r="D953" i="1"/>
  <c r="F953" i="1"/>
  <c r="L953" i="1"/>
  <c r="N953" i="1"/>
  <c r="D954" i="1"/>
  <c r="F954" i="1"/>
  <c r="L954" i="1"/>
  <c r="N954" i="1"/>
  <c r="D955" i="1"/>
  <c r="F955" i="1"/>
  <c r="L955" i="1"/>
  <c r="N955" i="1"/>
  <c r="D956" i="1"/>
  <c r="F956" i="1"/>
  <c r="L956" i="1"/>
  <c r="N956" i="1"/>
  <c r="D957" i="1"/>
  <c r="F957" i="1"/>
  <c r="L957" i="1"/>
  <c r="N957" i="1"/>
  <c r="D958" i="1"/>
  <c r="F958" i="1"/>
  <c r="L958" i="1"/>
  <c r="N958" i="1"/>
  <c r="F979" i="1"/>
  <c r="H979" i="1"/>
  <c r="J979" i="1"/>
  <c r="L979" i="1"/>
  <c r="N979" i="1"/>
  <c r="P979" i="1"/>
  <c r="F980" i="1"/>
  <c r="H980" i="1"/>
  <c r="J980" i="1"/>
  <c r="L980" i="1"/>
  <c r="N980" i="1"/>
  <c r="P980" i="1"/>
  <c r="F981" i="1"/>
  <c r="H981" i="1"/>
  <c r="J981" i="1"/>
  <c r="L981" i="1"/>
  <c r="N981" i="1"/>
  <c r="P981" i="1"/>
  <c r="F982" i="1"/>
  <c r="H982" i="1"/>
  <c r="J982" i="1"/>
  <c r="L982" i="1"/>
  <c r="N982" i="1"/>
  <c r="F983" i="1"/>
  <c r="H983" i="1"/>
  <c r="J983" i="1"/>
  <c r="L983" i="1"/>
  <c r="N983" i="1"/>
  <c r="F984" i="1"/>
  <c r="H984" i="1"/>
  <c r="J984" i="1"/>
  <c r="L984" i="1"/>
  <c r="N984" i="1"/>
  <c r="C985" i="1"/>
  <c r="F985" i="1"/>
  <c r="H985" i="1"/>
  <c r="J985" i="1"/>
  <c r="L985" i="1"/>
  <c r="N985" i="1"/>
  <c r="C986" i="1"/>
  <c r="F986" i="1"/>
  <c r="H986" i="1"/>
  <c r="J986" i="1"/>
  <c r="L986" i="1"/>
  <c r="M986" i="1"/>
  <c r="N986" i="1" s="1"/>
  <c r="C987" i="1"/>
  <c r="D987" i="1" s="1"/>
  <c r="F987" i="1"/>
  <c r="H987" i="1"/>
  <c r="J987" i="1"/>
  <c r="L987" i="1"/>
  <c r="N987" i="1"/>
  <c r="C988" i="1"/>
  <c r="F988" i="1"/>
  <c r="H988" i="1"/>
  <c r="J988" i="1"/>
  <c r="L988" i="1"/>
  <c r="N988" i="1"/>
  <c r="C989" i="1"/>
  <c r="F989" i="1"/>
  <c r="H989" i="1"/>
  <c r="J989" i="1"/>
  <c r="L989" i="1"/>
  <c r="N989" i="1"/>
  <c r="D990" i="1"/>
  <c r="F990" i="1"/>
  <c r="H990" i="1"/>
  <c r="J990" i="1"/>
  <c r="L990" i="1"/>
  <c r="N990" i="1"/>
  <c r="F994" i="1"/>
  <c r="H994" i="1"/>
  <c r="J994" i="1"/>
  <c r="L994" i="1"/>
  <c r="N994" i="1"/>
  <c r="F995" i="1"/>
  <c r="H995" i="1"/>
  <c r="J995" i="1"/>
  <c r="L995" i="1"/>
  <c r="N995" i="1"/>
  <c r="F996" i="1"/>
  <c r="H996" i="1"/>
  <c r="J996" i="1"/>
  <c r="L996" i="1"/>
  <c r="N996" i="1"/>
  <c r="F997" i="1"/>
  <c r="H997" i="1"/>
  <c r="J997" i="1"/>
  <c r="L997" i="1"/>
  <c r="N997" i="1"/>
  <c r="D998" i="1"/>
  <c r="F998" i="1"/>
  <c r="H998" i="1"/>
  <c r="J998" i="1"/>
  <c r="L998" i="1"/>
  <c r="N998" i="1"/>
  <c r="D999" i="1"/>
  <c r="F999" i="1"/>
  <c r="H999" i="1"/>
  <c r="J999" i="1"/>
  <c r="L999" i="1"/>
  <c r="N999" i="1"/>
  <c r="D1000" i="1"/>
  <c r="F1000" i="1"/>
  <c r="H1000" i="1"/>
  <c r="J1000" i="1"/>
  <c r="L1000" i="1"/>
  <c r="N1000" i="1"/>
  <c r="D1001" i="1"/>
  <c r="F1001" i="1"/>
  <c r="H1001" i="1"/>
  <c r="J1001" i="1"/>
  <c r="L1001" i="1"/>
  <c r="N1001" i="1"/>
  <c r="D1002" i="1"/>
  <c r="F1002" i="1"/>
  <c r="H1002" i="1"/>
  <c r="J1002" i="1"/>
  <c r="L1002" i="1"/>
  <c r="N1002" i="1"/>
  <c r="D1003" i="1"/>
  <c r="F1003" i="1"/>
  <c r="H1003" i="1"/>
  <c r="J1003" i="1"/>
  <c r="L1003" i="1"/>
  <c r="N1003" i="1"/>
  <c r="D1004" i="1"/>
  <c r="F1004" i="1"/>
  <c r="H1004" i="1"/>
  <c r="J1004" i="1"/>
  <c r="L1004" i="1"/>
  <c r="N1004" i="1"/>
  <c r="D1005" i="1"/>
  <c r="F1005" i="1"/>
  <c r="H1005" i="1"/>
  <c r="J1005" i="1"/>
  <c r="L1005" i="1"/>
  <c r="N1005" i="1"/>
  <c r="D1009" i="1"/>
  <c r="F1009" i="1"/>
  <c r="H1009" i="1"/>
  <c r="J1009" i="1"/>
  <c r="L1009" i="1"/>
  <c r="N1009" i="1"/>
  <c r="P1009" i="1"/>
  <c r="C1010" i="1"/>
  <c r="C1011" i="1" s="1"/>
  <c r="D1011" i="1" s="1"/>
  <c r="F1010" i="1"/>
  <c r="H1010" i="1"/>
  <c r="J1010" i="1"/>
  <c r="L1010" i="1"/>
  <c r="N1010" i="1"/>
  <c r="F1011" i="1"/>
  <c r="H1011" i="1"/>
  <c r="J1011" i="1"/>
  <c r="L1011" i="1"/>
  <c r="N1011" i="1"/>
  <c r="D1012" i="1"/>
  <c r="F1012" i="1"/>
  <c r="H1012" i="1"/>
  <c r="J1012" i="1"/>
  <c r="L1012" i="1"/>
  <c r="N1012" i="1"/>
  <c r="D1013" i="1"/>
  <c r="F1013" i="1"/>
  <c r="H1013" i="1"/>
  <c r="J1013" i="1"/>
  <c r="L1013" i="1"/>
  <c r="N1013" i="1"/>
  <c r="D1014" i="1"/>
  <c r="F1014" i="1"/>
  <c r="H1014" i="1"/>
  <c r="J1014" i="1"/>
  <c r="L1014" i="1"/>
  <c r="N1014" i="1"/>
  <c r="D1015" i="1"/>
  <c r="F1015" i="1"/>
  <c r="H1015" i="1"/>
  <c r="J1015" i="1"/>
  <c r="L1015" i="1"/>
  <c r="N1015" i="1"/>
  <c r="D1016" i="1"/>
  <c r="F1016" i="1"/>
  <c r="H1016" i="1"/>
  <c r="J1016" i="1"/>
  <c r="L1016" i="1"/>
  <c r="N1016" i="1"/>
  <c r="D1017" i="1"/>
  <c r="F1017" i="1"/>
  <c r="H1017" i="1"/>
  <c r="J1017" i="1"/>
  <c r="L1017" i="1"/>
  <c r="N1017" i="1"/>
  <c r="D1018" i="1"/>
  <c r="F1018" i="1"/>
  <c r="H1018" i="1"/>
  <c r="J1018" i="1"/>
  <c r="L1018" i="1"/>
  <c r="N1018" i="1"/>
  <c r="D1019" i="1"/>
  <c r="F1019" i="1"/>
  <c r="H1019" i="1"/>
  <c r="J1019" i="1"/>
  <c r="L1019" i="1"/>
  <c r="N1019" i="1"/>
  <c r="D1020" i="1"/>
  <c r="F1020" i="1"/>
  <c r="H1020" i="1"/>
  <c r="J1020" i="1"/>
  <c r="L1020" i="1"/>
  <c r="N1020" i="1"/>
  <c r="F1041" i="1"/>
  <c r="H1041" i="1"/>
  <c r="J1041" i="1"/>
  <c r="L1041" i="1"/>
  <c r="F1042" i="1"/>
  <c r="H1042" i="1"/>
  <c r="L1042" i="1"/>
  <c r="F1043" i="1"/>
  <c r="H1043" i="1"/>
  <c r="L1043" i="1"/>
  <c r="F1044" i="1"/>
  <c r="H1044" i="1"/>
  <c r="L1044" i="1"/>
  <c r="D1045" i="1"/>
  <c r="F1045" i="1"/>
  <c r="H1045" i="1"/>
  <c r="L1045" i="1"/>
  <c r="D1046" i="1"/>
  <c r="F1046" i="1"/>
  <c r="H1046" i="1"/>
  <c r="L1046" i="1"/>
  <c r="D1047" i="1"/>
  <c r="F1047" i="1"/>
  <c r="H1047" i="1"/>
  <c r="L1047" i="1"/>
  <c r="D1048" i="1"/>
  <c r="F1048" i="1"/>
  <c r="H1048" i="1"/>
  <c r="D1049" i="1"/>
  <c r="F1049" i="1"/>
  <c r="H1049" i="1"/>
  <c r="D1050" i="1"/>
  <c r="F1050" i="1"/>
  <c r="H1050" i="1"/>
  <c r="D1051" i="1"/>
  <c r="F1051" i="1"/>
  <c r="H1051" i="1"/>
  <c r="D1052" i="1"/>
  <c r="F1052" i="1"/>
  <c r="H1052" i="1"/>
  <c r="F1059" i="1"/>
  <c r="H1059" i="1"/>
  <c r="J1059" i="1"/>
  <c r="L1059" i="1"/>
  <c r="N1059" i="1"/>
  <c r="F1060" i="1"/>
  <c r="H1060" i="1"/>
  <c r="J1060" i="1"/>
  <c r="L1060" i="1"/>
  <c r="N1060" i="1"/>
  <c r="F1061" i="1"/>
  <c r="H1061" i="1"/>
  <c r="J1061" i="1"/>
  <c r="L1061" i="1"/>
  <c r="N1061" i="1"/>
  <c r="F1062" i="1"/>
  <c r="H1062" i="1"/>
  <c r="J1062" i="1"/>
  <c r="L1062" i="1"/>
  <c r="N1062" i="1"/>
  <c r="D1063" i="1"/>
  <c r="F1063" i="1"/>
  <c r="H1063" i="1"/>
  <c r="J1063" i="1"/>
  <c r="L1063" i="1"/>
  <c r="N1063" i="1"/>
  <c r="D1064" i="1"/>
  <c r="F1064" i="1"/>
  <c r="H1064" i="1"/>
  <c r="J1064" i="1"/>
  <c r="L1064" i="1"/>
  <c r="N1064" i="1"/>
  <c r="D1065" i="1"/>
  <c r="F1065" i="1"/>
  <c r="H1065" i="1"/>
  <c r="J1065" i="1"/>
  <c r="L1065" i="1"/>
  <c r="N1065" i="1"/>
  <c r="D1066" i="1"/>
  <c r="F1066" i="1"/>
  <c r="H1066" i="1"/>
  <c r="J1066" i="1"/>
  <c r="L1066" i="1"/>
  <c r="N1066" i="1"/>
  <c r="D1067" i="1"/>
  <c r="F1067" i="1"/>
  <c r="H1067" i="1"/>
  <c r="J1067" i="1"/>
  <c r="L1067" i="1"/>
  <c r="N1067" i="1"/>
  <c r="D1068" i="1"/>
  <c r="F1068" i="1"/>
  <c r="H1068" i="1"/>
  <c r="J1068" i="1"/>
  <c r="L1068" i="1"/>
  <c r="N1068" i="1"/>
  <c r="D1069" i="1"/>
  <c r="F1069" i="1"/>
  <c r="H1069" i="1"/>
  <c r="J1069" i="1"/>
  <c r="L1069" i="1"/>
  <c r="N1069" i="1"/>
  <c r="D1070" i="1"/>
  <c r="F1070" i="1"/>
  <c r="H1070" i="1"/>
  <c r="J1070" i="1"/>
  <c r="L1070" i="1"/>
  <c r="N1070" i="1"/>
  <c r="D1074" i="1"/>
  <c r="F1074" i="1"/>
  <c r="H1074" i="1"/>
  <c r="J1074" i="1"/>
  <c r="L1074" i="1"/>
  <c r="N1074" i="1"/>
  <c r="P1074" i="1"/>
  <c r="D1075" i="1"/>
  <c r="F1075" i="1"/>
  <c r="H1075" i="1"/>
  <c r="J1075" i="1"/>
  <c r="L1075" i="1"/>
  <c r="N1075" i="1"/>
  <c r="D1076" i="1"/>
  <c r="F1076" i="1"/>
  <c r="H1076" i="1"/>
  <c r="J1076" i="1"/>
  <c r="L1076" i="1"/>
  <c r="N1076" i="1"/>
  <c r="D1077" i="1"/>
  <c r="F1077" i="1"/>
  <c r="H1077" i="1"/>
  <c r="J1077" i="1"/>
  <c r="L1077" i="1"/>
  <c r="N1077" i="1"/>
  <c r="D1078" i="1"/>
  <c r="F1078" i="1"/>
  <c r="H1078" i="1"/>
  <c r="J1078" i="1"/>
  <c r="L1078" i="1"/>
  <c r="N1078" i="1"/>
  <c r="D1079" i="1"/>
  <c r="F1079" i="1"/>
  <c r="H1079" i="1"/>
  <c r="J1079" i="1"/>
  <c r="L1079" i="1"/>
  <c r="N1079" i="1"/>
  <c r="D1080" i="1"/>
  <c r="F1080" i="1"/>
  <c r="H1080" i="1"/>
  <c r="J1080" i="1"/>
  <c r="L1080" i="1"/>
  <c r="N1080" i="1"/>
  <c r="D1081" i="1"/>
  <c r="F1081" i="1"/>
  <c r="H1081" i="1"/>
  <c r="J1081" i="1"/>
  <c r="L1081" i="1"/>
  <c r="N1081" i="1"/>
  <c r="D1082" i="1"/>
  <c r="F1082" i="1"/>
  <c r="H1082" i="1"/>
  <c r="J1082" i="1"/>
  <c r="L1082" i="1"/>
  <c r="N1082" i="1"/>
  <c r="D1083" i="1"/>
  <c r="F1083" i="1"/>
  <c r="H1083" i="1"/>
  <c r="J1083" i="1"/>
  <c r="L1083" i="1"/>
  <c r="N1083" i="1"/>
  <c r="D1084" i="1"/>
  <c r="F1084" i="1"/>
  <c r="H1084" i="1"/>
  <c r="J1084" i="1"/>
  <c r="L1084" i="1"/>
  <c r="N1084" i="1"/>
  <c r="D1085" i="1"/>
  <c r="F1085" i="1"/>
  <c r="H1085" i="1"/>
  <c r="J1085" i="1"/>
  <c r="L1085" i="1"/>
  <c r="N1085" i="1"/>
  <c r="F1107" i="1"/>
  <c r="H1107" i="1"/>
  <c r="J1107" i="1"/>
  <c r="L1107" i="1"/>
  <c r="N1107" i="1"/>
  <c r="F1108" i="1"/>
  <c r="H1108" i="1"/>
  <c r="J1108" i="1"/>
  <c r="L1108" i="1"/>
  <c r="N1108" i="1"/>
  <c r="F1109" i="1"/>
  <c r="H1109" i="1"/>
  <c r="J1109" i="1"/>
  <c r="L1109" i="1"/>
  <c r="N1109" i="1"/>
  <c r="F1110" i="1"/>
  <c r="H1110" i="1"/>
  <c r="J1110" i="1"/>
  <c r="L1110" i="1"/>
  <c r="N1110" i="1"/>
  <c r="D1111" i="1"/>
  <c r="F1111" i="1"/>
  <c r="H1111" i="1"/>
  <c r="J1111" i="1"/>
  <c r="L1111" i="1"/>
  <c r="N1111" i="1"/>
  <c r="D1112" i="1"/>
  <c r="F1112" i="1"/>
  <c r="H1112" i="1"/>
  <c r="J1112" i="1"/>
  <c r="L1112" i="1"/>
  <c r="N1112" i="1"/>
  <c r="D1113" i="1"/>
  <c r="F1113" i="1"/>
  <c r="H1113" i="1"/>
  <c r="J1113" i="1"/>
  <c r="L1113" i="1"/>
  <c r="N1113" i="1"/>
  <c r="D1114" i="1"/>
  <c r="F1114" i="1"/>
  <c r="H1114" i="1"/>
  <c r="J1114" i="1"/>
  <c r="L1114" i="1"/>
  <c r="N1114" i="1"/>
  <c r="D1115" i="1"/>
  <c r="F1115" i="1"/>
  <c r="H1115" i="1"/>
  <c r="J1115" i="1"/>
  <c r="L1115" i="1"/>
  <c r="N1115" i="1"/>
  <c r="D1116" i="1"/>
  <c r="F1116" i="1"/>
  <c r="H1116" i="1"/>
  <c r="J1116" i="1"/>
  <c r="L1116" i="1"/>
  <c r="N1116" i="1"/>
  <c r="D1117" i="1"/>
  <c r="F1117" i="1"/>
  <c r="H1117" i="1"/>
  <c r="J1117" i="1"/>
  <c r="L1117" i="1"/>
  <c r="N1117" i="1"/>
  <c r="D1118" i="1"/>
  <c r="F1118" i="1"/>
  <c r="H1118" i="1"/>
  <c r="J1118" i="1"/>
  <c r="L1118" i="1"/>
  <c r="N1118" i="1"/>
  <c r="D1122" i="1"/>
  <c r="F1122" i="1"/>
  <c r="H1122" i="1"/>
  <c r="J1122" i="1"/>
  <c r="L1122" i="1"/>
  <c r="N1122" i="1"/>
  <c r="P1122" i="1"/>
  <c r="D1123" i="1"/>
  <c r="F1123" i="1"/>
  <c r="H1123" i="1"/>
  <c r="J1123" i="1"/>
  <c r="L1123" i="1"/>
  <c r="N1123" i="1"/>
  <c r="D1124" i="1"/>
  <c r="F1124" i="1"/>
  <c r="H1124" i="1"/>
  <c r="J1124" i="1"/>
  <c r="L1124" i="1"/>
  <c r="N1124" i="1"/>
  <c r="D1125" i="1"/>
  <c r="F1125" i="1"/>
  <c r="H1125" i="1"/>
  <c r="J1125" i="1"/>
  <c r="L1125" i="1"/>
  <c r="N1125" i="1"/>
  <c r="D1126" i="1"/>
  <c r="F1126" i="1"/>
  <c r="H1126" i="1"/>
  <c r="J1126" i="1"/>
  <c r="L1126" i="1"/>
  <c r="N1126" i="1"/>
  <c r="D1127" i="1"/>
  <c r="F1127" i="1"/>
  <c r="H1127" i="1"/>
  <c r="J1127" i="1"/>
  <c r="L1127" i="1"/>
  <c r="N1127" i="1"/>
  <c r="D1128" i="1"/>
  <c r="F1128" i="1"/>
  <c r="H1128" i="1"/>
  <c r="J1128" i="1"/>
  <c r="L1128" i="1"/>
  <c r="N1128" i="1"/>
  <c r="D1129" i="1"/>
  <c r="F1129" i="1"/>
  <c r="H1129" i="1"/>
  <c r="J1129" i="1"/>
  <c r="L1129" i="1"/>
  <c r="N1129" i="1"/>
  <c r="D1130" i="1"/>
  <c r="F1130" i="1"/>
  <c r="H1130" i="1"/>
  <c r="J1130" i="1"/>
  <c r="L1130" i="1"/>
  <c r="N1130" i="1"/>
  <c r="D1131" i="1"/>
  <c r="F1131" i="1"/>
  <c r="H1131" i="1"/>
  <c r="J1131" i="1"/>
  <c r="L1131" i="1"/>
  <c r="N1131" i="1"/>
  <c r="D1132" i="1"/>
  <c r="F1132" i="1"/>
  <c r="H1132" i="1"/>
  <c r="J1132" i="1"/>
  <c r="L1132" i="1"/>
  <c r="N1132" i="1"/>
  <c r="D1133" i="1"/>
  <c r="F1133" i="1"/>
  <c r="H1133" i="1"/>
  <c r="J1133" i="1"/>
  <c r="L1133" i="1"/>
  <c r="N1133" i="1"/>
  <c r="F1154" i="1"/>
  <c r="H1154" i="1"/>
  <c r="J1154" i="1"/>
  <c r="L1154" i="1"/>
  <c r="N1154" i="1"/>
  <c r="F1155" i="1"/>
  <c r="H1155" i="1"/>
  <c r="J1155" i="1"/>
  <c r="L1155" i="1"/>
  <c r="N1155" i="1"/>
  <c r="F1156" i="1"/>
  <c r="H1156" i="1"/>
  <c r="J1156" i="1"/>
  <c r="L1156" i="1"/>
  <c r="N1156" i="1"/>
  <c r="F1157" i="1"/>
  <c r="H1157" i="1"/>
  <c r="J1157" i="1"/>
  <c r="L1157" i="1"/>
  <c r="N1157" i="1"/>
  <c r="D1158" i="1"/>
  <c r="F1158" i="1"/>
  <c r="H1158" i="1"/>
  <c r="J1158" i="1"/>
  <c r="L1158" i="1"/>
  <c r="N1158" i="1"/>
  <c r="D1159" i="1"/>
  <c r="F1159" i="1"/>
  <c r="H1159" i="1"/>
  <c r="J1159" i="1"/>
  <c r="L1159" i="1"/>
  <c r="N1159" i="1"/>
  <c r="D1160" i="1"/>
  <c r="F1160" i="1"/>
  <c r="H1160" i="1"/>
  <c r="J1160" i="1"/>
  <c r="L1160" i="1"/>
  <c r="N1160" i="1"/>
  <c r="D1161" i="1"/>
  <c r="F1161" i="1"/>
  <c r="H1161" i="1"/>
  <c r="J1161" i="1"/>
  <c r="L1161" i="1"/>
  <c r="N1161" i="1"/>
  <c r="D1162" i="1"/>
  <c r="F1162" i="1"/>
  <c r="H1162" i="1"/>
  <c r="J1162" i="1"/>
  <c r="L1162" i="1"/>
  <c r="N1162" i="1"/>
  <c r="D1163" i="1"/>
  <c r="F1163" i="1"/>
  <c r="H1163" i="1"/>
  <c r="J1163" i="1"/>
  <c r="L1163" i="1"/>
  <c r="N1163" i="1"/>
  <c r="D1164" i="1"/>
  <c r="F1164" i="1"/>
  <c r="H1164" i="1"/>
  <c r="J1164" i="1"/>
  <c r="L1164" i="1"/>
  <c r="N1164" i="1"/>
  <c r="D1165" i="1"/>
  <c r="F1165" i="1"/>
  <c r="H1165" i="1"/>
  <c r="J1165" i="1"/>
  <c r="L1165" i="1"/>
  <c r="N1165" i="1"/>
  <c r="D1170" i="1"/>
  <c r="F1170" i="1"/>
  <c r="H1170" i="1"/>
  <c r="J1170" i="1"/>
  <c r="L1170" i="1"/>
  <c r="N1170" i="1"/>
  <c r="D1171" i="1"/>
  <c r="F1171" i="1"/>
  <c r="H1171" i="1"/>
  <c r="J1171" i="1"/>
  <c r="L1171" i="1"/>
  <c r="N1171" i="1"/>
  <c r="D1172" i="1"/>
  <c r="F1172" i="1"/>
  <c r="H1172" i="1"/>
  <c r="J1172" i="1"/>
  <c r="L1172" i="1"/>
  <c r="N1172" i="1"/>
  <c r="D1173" i="1"/>
  <c r="F1173" i="1"/>
  <c r="H1173" i="1"/>
  <c r="J1173" i="1"/>
  <c r="L1173" i="1"/>
  <c r="N1173" i="1"/>
  <c r="D1174" i="1"/>
  <c r="F1174" i="1"/>
  <c r="H1174" i="1"/>
  <c r="J1174" i="1"/>
  <c r="L1174" i="1"/>
  <c r="N1174" i="1"/>
  <c r="D1175" i="1"/>
  <c r="F1175" i="1"/>
  <c r="H1175" i="1"/>
  <c r="J1175" i="1"/>
  <c r="L1175" i="1"/>
  <c r="N1175" i="1"/>
  <c r="D1176" i="1"/>
  <c r="F1176" i="1"/>
  <c r="H1176" i="1"/>
  <c r="J1176" i="1"/>
  <c r="L1176" i="1"/>
  <c r="N1176" i="1"/>
  <c r="D1177" i="1"/>
  <c r="F1177" i="1"/>
  <c r="H1177" i="1"/>
  <c r="J1177" i="1"/>
  <c r="L1177" i="1"/>
  <c r="N1177" i="1"/>
  <c r="D1178" i="1"/>
  <c r="F1178" i="1"/>
  <c r="H1178" i="1"/>
  <c r="J1178" i="1"/>
  <c r="L1178" i="1"/>
  <c r="N1178" i="1"/>
  <c r="D1179" i="1"/>
  <c r="F1179" i="1"/>
  <c r="H1179" i="1"/>
  <c r="J1179" i="1"/>
  <c r="L1179" i="1"/>
  <c r="N1179" i="1"/>
  <c r="D1180" i="1"/>
  <c r="F1180" i="1"/>
  <c r="H1180" i="1"/>
  <c r="J1180" i="1"/>
  <c r="L1180" i="1"/>
  <c r="N1180" i="1"/>
  <c r="D1181" i="1"/>
  <c r="F1181" i="1"/>
  <c r="H1181" i="1"/>
  <c r="J1181" i="1"/>
  <c r="L1181" i="1"/>
  <c r="N1181" i="1"/>
  <c r="F1217" i="1"/>
  <c r="H1217" i="1"/>
  <c r="J1217" i="1"/>
  <c r="L1217" i="1"/>
  <c r="N1217" i="1"/>
  <c r="F1218" i="1"/>
  <c r="H1218" i="1"/>
  <c r="J1218" i="1"/>
  <c r="L1218" i="1"/>
  <c r="N1218" i="1"/>
  <c r="F1219" i="1"/>
  <c r="H1219" i="1"/>
  <c r="J1219" i="1"/>
  <c r="L1219" i="1"/>
  <c r="N1219" i="1"/>
  <c r="F1220" i="1"/>
  <c r="H1220" i="1"/>
  <c r="J1220" i="1"/>
  <c r="L1220" i="1"/>
  <c r="N1220" i="1"/>
  <c r="D1221" i="1"/>
  <c r="F1221" i="1"/>
  <c r="H1221" i="1"/>
  <c r="J1221" i="1"/>
  <c r="L1221" i="1"/>
  <c r="N1221" i="1"/>
  <c r="D1222" i="1"/>
  <c r="F1222" i="1"/>
  <c r="H1222" i="1"/>
  <c r="J1222" i="1"/>
  <c r="L1222" i="1"/>
  <c r="N1222" i="1"/>
  <c r="D1223" i="1"/>
  <c r="F1223" i="1"/>
  <c r="H1223" i="1"/>
  <c r="J1223" i="1"/>
  <c r="L1223" i="1"/>
  <c r="N1223" i="1"/>
  <c r="D1224" i="1"/>
  <c r="F1224" i="1"/>
  <c r="H1224" i="1"/>
  <c r="J1224" i="1"/>
  <c r="L1224" i="1"/>
  <c r="N1224" i="1"/>
  <c r="D1225" i="1"/>
  <c r="F1225" i="1"/>
  <c r="H1225" i="1"/>
  <c r="J1225" i="1"/>
  <c r="L1225" i="1"/>
  <c r="N1225" i="1"/>
  <c r="D1226" i="1"/>
  <c r="F1226" i="1"/>
  <c r="H1226" i="1"/>
  <c r="J1226" i="1"/>
  <c r="L1226" i="1"/>
  <c r="N1226" i="1"/>
  <c r="D1227" i="1"/>
  <c r="F1227" i="1"/>
  <c r="H1227" i="1"/>
  <c r="J1227" i="1"/>
  <c r="L1227" i="1"/>
  <c r="N1227" i="1"/>
  <c r="D1228" i="1"/>
  <c r="F1228" i="1"/>
  <c r="H1228" i="1"/>
  <c r="J1228" i="1"/>
  <c r="L1228" i="1"/>
  <c r="N1228" i="1"/>
  <c r="D1232" i="1"/>
  <c r="F1232" i="1"/>
  <c r="H1232" i="1"/>
  <c r="J1232" i="1"/>
  <c r="L1232" i="1"/>
  <c r="N1232" i="1"/>
  <c r="P1232" i="1"/>
  <c r="D1233" i="1"/>
  <c r="F1233" i="1"/>
  <c r="H1233" i="1"/>
  <c r="J1233" i="1"/>
  <c r="L1233" i="1"/>
  <c r="N1233" i="1"/>
  <c r="D1234" i="1"/>
  <c r="F1234" i="1"/>
  <c r="H1234" i="1"/>
  <c r="J1234" i="1"/>
  <c r="L1234" i="1"/>
  <c r="N1234" i="1"/>
  <c r="D1235" i="1"/>
  <c r="F1235" i="1"/>
  <c r="H1235" i="1"/>
  <c r="J1235" i="1"/>
  <c r="L1235" i="1"/>
  <c r="N1235" i="1"/>
  <c r="D1236" i="1"/>
  <c r="F1236" i="1"/>
  <c r="H1236" i="1"/>
  <c r="J1236" i="1"/>
  <c r="L1236" i="1"/>
  <c r="N1236" i="1"/>
  <c r="D1237" i="1"/>
  <c r="F1237" i="1"/>
  <c r="H1237" i="1"/>
  <c r="J1237" i="1"/>
  <c r="L1237" i="1"/>
  <c r="N1237" i="1"/>
  <c r="D1238" i="1"/>
  <c r="F1238" i="1"/>
  <c r="H1238" i="1"/>
  <c r="J1238" i="1"/>
  <c r="L1238" i="1"/>
  <c r="N1238" i="1"/>
  <c r="D1239" i="1"/>
  <c r="F1239" i="1"/>
  <c r="H1239" i="1"/>
  <c r="J1239" i="1"/>
  <c r="L1239" i="1"/>
  <c r="N1239" i="1"/>
  <c r="D1240" i="1"/>
  <c r="F1240" i="1"/>
  <c r="H1240" i="1"/>
  <c r="J1240" i="1"/>
  <c r="L1240" i="1"/>
  <c r="N1240" i="1"/>
  <c r="D1241" i="1"/>
  <c r="F1241" i="1"/>
  <c r="H1241" i="1"/>
  <c r="J1241" i="1"/>
  <c r="L1241" i="1"/>
  <c r="N1241" i="1"/>
  <c r="D1242" i="1"/>
  <c r="F1242" i="1"/>
  <c r="H1242" i="1"/>
  <c r="J1242" i="1"/>
  <c r="L1242" i="1"/>
  <c r="N1242" i="1"/>
  <c r="D1243" i="1"/>
  <c r="F1243" i="1"/>
  <c r="H1243" i="1"/>
  <c r="J1243" i="1"/>
  <c r="L1243" i="1"/>
  <c r="N1243" i="1"/>
  <c r="F1264" i="1"/>
  <c r="H1264" i="1"/>
  <c r="J1264" i="1"/>
  <c r="L1264" i="1"/>
  <c r="N1264" i="1"/>
  <c r="F1265" i="1"/>
  <c r="H1265" i="1"/>
  <c r="J1265" i="1"/>
  <c r="L1265" i="1"/>
  <c r="N1265" i="1"/>
  <c r="F1266" i="1"/>
  <c r="H1266" i="1"/>
  <c r="J1266" i="1"/>
  <c r="L1266" i="1"/>
  <c r="N1266" i="1"/>
  <c r="F1267" i="1"/>
  <c r="H1267" i="1"/>
  <c r="J1267" i="1"/>
  <c r="L1267" i="1"/>
  <c r="N1267" i="1"/>
  <c r="D1268" i="1"/>
  <c r="F1268" i="1"/>
  <c r="H1268" i="1"/>
  <c r="J1268" i="1"/>
  <c r="L1268" i="1"/>
  <c r="N1268" i="1"/>
  <c r="D1269" i="1"/>
  <c r="F1269" i="1"/>
  <c r="H1269" i="1"/>
  <c r="J1269" i="1"/>
  <c r="L1269" i="1"/>
  <c r="N1269" i="1"/>
  <c r="D1270" i="1"/>
  <c r="F1270" i="1"/>
  <c r="H1270" i="1"/>
  <c r="J1270" i="1"/>
  <c r="L1270" i="1"/>
  <c r="N1270" i="1"/>
  <c r="D1271" i="1"/>
  <c r="F1271" i="1"/>
  <c r="H1271" i="1"/>
  <c r="J1271" i="1"/>
  <c r="L1271" i="1"/>
  <c r="N1271" i="1"/>
  <c r="D1272" i="1"/>
  <c r="F1272" i="1"/>
  <c r="H1272" i="1"/>
  <c r="J1272" i="1"/>
  <c r="L1272" i="1"/>
  <c r="N1272" i="1"/>
  <c r="D1273" i="1"/>
  <c r="F1273" i="1"/>
  <c r="H1273" i="1"/>
  <c r="J1273" i="1"/>
  <c r="L1273" i="1"/>
  <c r="N1273" i="1"/>
  <c r="D1274" i="1"/>
  <c r="F1274" i="1"/>
  <c r="H1274" i="1"/>
  <c r="J1274" i="1"/>
  <c r="L1274" i="1"/>
  <c r="N1274" i="1"/>
  <c r="D1275" i="1"/>
  <c r="F1275" i="1"/>
  <c r="H1275" i="1"/>
  <c r="J1275" i="1"/>
  <c r="L1275" i="1"/>
  <c r="N1275" i="1"/>
  <c r="D1279" i="1"/>
  <c r="F1279" i="1"/>
  <c r="H1279" i="1"/>
  <c r="J1279" i="1"/>
  <c r="L1279" i="1"/>
  <c r="N1279" i="1"/>
  <c r="D1280" i="1"/>
  <c r="F1280" i="1"/>
  <c r="H1280" i="1"/>
  <c r="J1280" i="1"/>
  <c r="L1280" i="1"/>
  <c r="N1280" i="1"/>
  <c r="D1281" i="1"/>
  <c r="F1281" i="1"/>
  <c r="H1281" i="1"/>
  <c r="J1281" i="1"/>
  <c r="L1281" i="1"/>
  <c r="N1281" i="1"/>
  <c r="F1282" i="1"/>
  <c r="H1282" i="1"/>
  <c r="J1282" i="1"/>
  <c r="L1282" i="1"/>
  <c r="N1282" i="1"/>
  <c r="D1283" i="1"/>
  <c r="F1283" i="1"/>
  <c r="H1283" i="1"/>
  <c r="J1283" i="1"/>
  <c r="L1283" i="1"/>
  <c r="N1283" i="1"/>
  <c r="D1284" i="1"/>
  <c r="F1284" i="1"/>
  <c r="H1284" i="1"/>
  <c r="J1284" i="1"/>
  <c r="L1284" i="1"/>
  <c r="N1284" i="1"/>
  <c r="D1285" i="1"/>
  <c r="F1285" i="1"/>
  <c r="H1285" i="1"/>
  <c r="J1285" i="1"/>
  <c r="L1285" i="1"/>
  <c r="N1285" i="1"/>
  <c r="D1286" i="1"/>
  <c r="F1286" i="1"/>
  <c r="H1286" i="1"/>
  <c r="J1286" i="1"/>
  <c r="L1286" i="1"/>
  <c r="N1286" i="1"/>
  <c r="D1287" i="1"/>
  <c r="F1287" i="1"/>
  <c r="H1287" i="1"/>
  <c r="J1287" i="1"/>
  <c r="L1287" i="1"/>
  <c r="N1287" i="1"/>
  <c r="D1288" i="1"/>
  <c r="F1288" i="1"/>
  <c r="H1288" i="1"/>
  <c r="J1288" i="1"/>
  <c r="L1288" i="1"/>
  <c r="N1288" i="1"/>
  <c r="D1289" i="1"/>
  <c r="F1289" i="1"/>
  <c r="H1289" i="1"/>
  <c r="J1289" i="1"/>
  <c r="L1289" i="1"/>
  <c r="N1289" i="1"/>
  <c r="D1290" i="1"/>
  <c r="F1290" i="1"/>
  <c r="H1290" i="1"/>
  <c r="J1290" i="1"/>
  <c r="L1290" i="1"/>
  <c r="N1290" i="1"/>
  <c r="F1311" i="1"/>
  <c r="H1311" i="1"/>
  <c r="J1311" i="1"/>
  <c r="L1311" i="1"/>
  <c r="N1311" i="1"/>
  <c r="F1312" i="1"/>
  <c r="H1312" i="1"/>
  <c r="J1312" i="1"/>
  <c r="L1312" i="1"/>
  <c r="N1312" i="1"/>
  <c r="F1313" i="1"/>
  <c r="H1313" i="1"/>
  <c r="J1313" i="1"/>
  <c r="L1313" i="1"/>
  <c r="N1313" i="1"/>
  <c r="F1314" i="1"/>
  <c r="H1314" i="1"/>
  <c r="J1314" i="1"/>
  <c r="L1314" i="1"/>
  <c r="N1314" i="1"/>
  <c r="D1315" i="1"/>
  <c r="F1315" i="1"/>
  <c r="H1315" i="1"/>
  <c r="J1315" i="1"/>
  <c r="L1315" i="1"/>
  <c r="N1315" i="1"/>
  <c r="D1316" i="1"/>
  <c r="F1316" i="1"/>
  <c r="H1316" i="1"/>
  <c r="J1316" i="1"/>
  <c r="L1316" i="1"/>
  <c r="N1316" i="1"/>
  <c r="D1317" i="1"/>
  <c r="F1317" i="1"/>
  <c r="H1317" i="1"/>
  <c r="J1317" i="1"/>
  <c r="L1317" i="1"/>
  <c r="N1317" i="1"/>
  <c r="D1318" i="1"/>
  <c r="H1318" i="1"/>
  <c r="J1318" i="1"/>
  <c r="L1318" i="1"/>
  <c r="N1318" i="1"/>
  <c r="D1319" i="1"/>
  <c r="F1319" i="1"/>
  <c r="H1319" i="1"/>
  <c r="J1319" i="1"/>
  <c r="L1319" i="1"/>
  <c r="N1319" i="1"/>
  <c r="D1320" i="1"/>
  <c r="F1320" i="1"/>
  <c r="H1320" i="1"/>
  <c r="J1320" i="1"/>
  <c r="L1320" i="1"/>
  <c r="N1320" i="1"/>
  <c r="D1321" i="1"/>
  <c r="F1321" i="1"/>
  <c r="H1321" i="1"/>
  <c r="J1321" i="1"/>
  <c r="L1321" i="1"/>
  <c r="N1321" i="1"/>
  <c r="D1322" i="1"/>
  <c r="F1322" i="1"/>
  <c r="H1322" i="1"/>
  <c r="J1322" i="1"/>
  <c r="L1322" i="1"/>
  <c r="N1322" i="1"/>
  <c r="D1326" i="1"/>
  <c r="F1326" i="1"/>
  <c r="H1326" i="1"/>
  <c r="J1326" i="1"/>
  <c r="L1326" i="1"/>
  <c r="N1326" i="1"/>
  <c r="D1327" i="1"/>
  <c r="F1327" i="1"/>
  <c r="H1327" i="1"/>
  <c r="J1327" i="1"/>
  <c r="L1327" i="1"/>
  <c r="N1327" i="1"/>
  <c r="D1328" i="1"/>
  <c r="F1328" i="1"/>
  <c r="H1328" i="1"/>
  <c r="J1328" i="1"/>
  <c r="L1328" i="1"/>
  <c r="N1328" i="1"/>
  <c r="D1329" i="1"/>
  <c r="F1329" i="1"/>
  <c r="H1329" i="1"/>
  <c r="J1329" i="1"/>
  <c r="L1329" i="1"/>
  <c r="N1329" i="1"/>
  <c r="D1330" i="1"/>
  <c r="F1330" i="1"/>
  <c r="H1330" i="1"/>
  <c r="J1330" i="1"/>
  <c r="L1330" i="1"/>
  <c r="N1330" i="1"/>
  <c r="D1331" i="1"/>
  <c r="F1331" i="1"/>
  <c r="H1331" i="1"/>
  <c r="J1331" i="1"/>
  <c r="L1331" i="1"/>
  <c r="N1331" i="1"/>
  <c r="D1332" i="1"/>
  <c r="F1332" i="1"/>
  <c r="H1332" i="1"/>
  <c r="J1332" i="1"/>
  <c r="L1332" i="1"/>
  <c r="N1332" i="1"/>
  <c r="D1333" i="1"/>
  <c r="F1333" i="1"/>
  <c r="H1333" i="1"/>
  <c r="J1333" i="1"/>
  <c r="L1333" i="1"/>
  <c r="N1333" i="1"/>
  <c r="D1334" i="1"/>
  <c r="F1334" i="1"/>
  <c r="H1334" i="1"/>
  <c r="J1334" i="1"/>
  <c r="L1334" i="1"/>
  <c r="N1334" i="1"/>
  <c r="D1335" i="1"/>
  <c r="F1335" i="1"/>
  <c r="H1335" i="1"/>
  <c r="J1335" i="1"/>
  <c r="L1335" i="1"/>
  <c r="N1335" i="1"/>
  <c r="D1336" i="1"/>
  <c r="F1336" i="1"/>
  <c r="H1336" i="1"/>
  <c r="J1336" i="1"/>
  <c r="L1336" i="1"/>
  <c r="N1336" i="1"/>
  <c r="D1337" i="1"/>
  <c r="F1337" i="1"/>
  <c r="H1337" i="1"/>
  <c r="J1337" i="1"/>
  <c r="L1337" i="1"/>
  <c r="N1337" i="1"/>
  <c r="F1358" i="1"/>
  <c r="H1358" i="1"/>
  <c r="J1358" i="1"/>
  <c r="L1358" i="1"/>
  <c r="N1358" i="1"/>
  <c r="F1359" i="1"/>
  <c r="H1359" i="1"/>
  <c r="J1359" i="1"/>
  <c r="L1359" i="1"/>
  <c r="N1359" i="1"/>
  <c r="F1360" i="1"/>
  <c r="H1360" i="1"/>
  <c r="J1360" i="1"/>
  <c r="L1360" i="1"/>
  <c r="N1360" i="1"/>
  <c r="F1361" i="1"/>
  <c r="H1361" i="1"/>
  <c r="J1361" i="1"/>
  <c r="L1361" i="1"/>
  <c r="N1361" i="1"/>
  <c r="D1362" i="1"/>
  <c r="F1362" i="1"/>
  <c r="H1362" i="1"/>
  <c r="J1362" i="1"/>
  <c r="L1362" i="1"/>
  <c r="N1362" i="1"/>
  <c r="D1363" i="1"/>
  <c r="F1363" i="1"/>
  <c r="H1363" i="1"/>
  <c r="J1363" i="1"/>
  <c r="L1363" i="1"/>
  <c r="N1363" i="1"/>
  <c r="D1364" i="1"/>
  <c r="F1364" i="1"/>
  <c r="H1364" i="1"/>
  <c r="J1364" i="1"/>
  <c r="L1364" i="1"/>
  <c r="N1364" i="1"/>
  <c r="D1365" i="1"/>
  <c r="F1365" i="1"/>
  <c r="H1365" i="1"/>
  <c r="J1365" i="1"/>
  <c r="L1365" i="1"/>
  <c r="N1365" i="1"/>
  <c r="D1366" i="1"/>
  <c r="F1366" i="1"/>
  <c r="H1366" i="1"/>
  <c r="J1366" i="1"/>
  <c r="L1366" i="1"/>
  <c r="N1366" i="1"/>
  <c r="D1367" i="1"/>
  <c r="F1367" i="1"/>
  <c r="H1367" i="1"/>
  <c r="J1367" i="1"/>
  <c r="L1367" i="1"/>
  <c r="N1367" i="1"/>
  <c r="D1368" i="1"/>
  <c r="F1368" i="1"/>
  <c r="H1368" i="1"/>
  <c r="J1368" i="1"/>
  <c r="L1368" i="1"/>
  <c r="N1368" i="1"/>
  <c r="D1369" i="1"/>
  <c r="F1369" i="1"/>
  <c r="H1369" i="1"/>
  <c r="J1369" i="1"/>
  <c r="L1369" i="1"/>
  <c r="N1369" i="1"/>
  <c r="D1373" i="1"/>
  <c r="F1373" i="1"/>
  <c r="H1373" i="1"/>
  <c r="J1373" i="1"/>
  <c r="L1373" i="1"/>
  <c r="N1373" i="1"/>
  <c r="P1373" i="1"/>
  <c r="D1374" i="1"/>
  <c r="F1374" i="1"/>
  <c r="H1374" i="1"/>
  <c r="J1374" i="1"/>
  <c r="L1374" i="1"/>
  <c r="N1374" i="1"/>
  <c r="D1375" i="1"/>
  <c r="F1375" i="1"/>
  <c r="H1375" i="1"/>
  <c r="J1375" i="1"/>
  <c r="L1375" i="1"/>
  <c r="N1375" i="1"/>
  <c r="D1376" i="1"/>
  <c r="F1376" i="1"/>
  <c r="H1376" i="1"/>
  <c r="J1376" i="1"/>
  <c r="L1376" i="1"/>
  <c r="N1376" i="1"/>
  <c r="D1377" i="1"/>
  <c r="F1377" i="1"/>
  <c r="H1377" i="1"/>
  <c r="J1377" i="1"/>
  <c r="L1377" i="1"/>
  <c r="N1377" i="1"/>
  <c r="D1378" i="1"/>
  <c r="F1378" i="1"/>
  <c r="H1378" i="1"/>
  <c r="J1378" i="1"/>
  <c r="L1378" i="1"/>
  <c r="N1378" i="1"/>
  <c r="D1379" i="1"/>
  <c r="F1379" i="1"/>
  <c r="H1379" i="1"/>
  <c r="J1379" i="1"/>
  <c r="L1379" i="1"/>
  <c r="N1379" i="1"/>
  <c r="D1380" i="1"/>
  <c r="F1380" i="1"/>
  <c r="H1380" i="1"/>
  <c r="J1380" i="1"/>
  <c r="L1380" i="1"/>
  <c r="N1380" i="1"/>
  <c r="D1381" i="1"/>
  <c r="F1381" i="1"/>
  <c r="H1381" i="1"/>
  <c r="J1381" i="1"/>
  <c r="L1381" i="1"/>
  <c r="N1381" i="1"/>
  <c r="D1382" i="1"/>
  <c r="F1382" i="1"/>
  <c r="H1382" i="1"/>
  <c r="J1382" i="1"/>
  <c r="L1382" i="1"/>
  <c r="N1382" i="1"/>
  <c r="D1383" i="1"/>
  <c r="F1383" i="1"/>
  <c r="H1383" i="1"/>
  <c r="J1383" i="1"/>
  <c r="L1383" i="1"/>
  <c r="N1383" i="1"/>
  <c r="D1384" i="1"/>
  <c r="F1384" i="1"/>
  <c r="H1384" i="1"/>
  <c r="J1384" i="1"/>
  <c r="N1384" i="1"/>
  <c r="P1452" i="1"/>
  <c r="D1484" i="1"/>
  <c r="F1484" i="1"/>
  <c r="K1484" i="1"/>
  <c r="L1484" i="1" s="1"/>
  <c r="D1485" i="1"/>
  <c r="D1486" i="1"/>
  <c r="K1490" i="1"/>
  <c r="L1490" i="1" s="1"/>
  <c r="K1493" i="1"/>
  <c r="C1500" i="1"/>
  <c r="E1501" i="1"/>
  <c r="M1503" i="1"/>
  <c r="N1503" i="1" s="1"/>
  <c r="C1504" i="1"/>
  <c r="E1504" i="1"/>
  <c r="G1504" i="1"/>
  <c r="H1504" i="1" s="1"/>
  <c r="F1531" i="1"/>
  <c r="H1531" i="1"/>
  <c r="J1531" i="1"/>
  <c r="K1531" i="1"/>
  <c r="B53" i="1024" s="1"/>
  <c r="N1531" i="1"/>
  <c r="F1532" i="1"/>
  <c r="H1532" i="1"/>
  <c r="J1532" i="1"/>
  <c r="L1532" i="1"/>
  <c r="N1532" i="1"/>
  <c r="F1533" i="1"/>
  <c r="H1533" i="1"/>
  <c r="J1533" i="1"/>
  <c r="L1533" i="1"/>
  <c r="N1533" i="1"/>
  <c r="F1534" i="1"/>
  <c r="H1534" i="1"/>
  <c r="J1534" i="1"/>
  <c r="L1534" i="1"/>
  <c r="N1534" i="1"/>
  <c r="D1535" i="1"/>
  <c r="F1535" i="1"/>
  <c r="H1535" i="1"/>
  <c r="J1535" i="1"/>
  <c r="L1535" i="1"/>
  <c r="N1535" i="1"/>
  <c r="D1536" i="1"/>
  <c r="F1536" i="1"/>
  <c r="H1536" i="1"/>
  <c r="J1536" i="1"/>
  <c r="L1536" i="1"/>
  <c r="N1536" i="1"/>
  <c r="D1537" i="1"/>
  <c r="D1538" i="1" s="1"/>
  <c r="D1539" i="1" s="1"/>
  <c r="D1540" i="1" s="1"/>
  <c r="D1541" i="1" s="1"/>
  <c r="D1542" i="1" s="1"/>
  <c r="F1537" i="1"/>
  <c r="H1537" i="1"/>
  <c r="J1537" i="1"/>
  <c r="K1537" i="1"/>
  <c r="B59" i="1024" s="1"/>
  <c r="N1537" i="1"/>
  <c r="F1538" i="1"/>
  <c r="H1538" i="1"/>
  <c r="J1538" i="1"/>
  <c r="L1538" i="1"/>
  <c r="N1538" i="1"/>
  <c r="F1539" i="1"/>
  <c r="H1539" i="1"/>
  <c r="J1539" i="1"/>
  <c r="L1539" i="1"/>
  <c r="N1539" i="1"/>
  <c r="F1540" i="1"/>
  <c r="H1540" i="1"/>
  <c r="J1540" i="1"/>
  <c r="K1540" i="1"/>
  <c r="B62" i="1024" s="1"/>
  <c r="N1540" i="1"/>
  <c r="F1541" i="1"/>
  <c r="H1541" i="1"/>
  <c r="J1541" i="1"/>
  <c r="M1541" i="1"/>
  <c r="B75" i="1024" s="1"/>
  <c r="C1542" i="1"/>
  <c r="B16" i="1024" s="1"/>
  <c r="F1542" i="1"/>
  <c r="H1542" i="1"/>
  <c r="J1542" i="1"/>
  <c r="L1542" i="1"/>
  <c r="N1542" i="1"/>
  <c r="D1546" i="1"/>
  <c r="F1546" i="1"/>
  <c r="N1546" i="1"/>
  <c r="C1547" i="1"/>
  <c r="B78" i="1024" s="1"/>
  <c r="F1547" i="1"/>
  <c r="N1547" i="1"/>
  <c r="E1548" i="1"/>
  <c r="N1548" i="1"/>
  <c r="D1549" i="1"/>
  <c r="N1549" i="1"/>
  <c r="D1550" i="1"/>
  <c r="F1550" i="1"/>
  <c r="H1550" i="1"/>
  <c r="M1550" i="1"/>
  <c r="C1551" i="1"/>
  <c r="B82" i="1024" s="1"/>
  <c r="E1551" i="1"/>
  <c r="G1551" i="1"/>
  <c r="L1551" i="1"/>
  <c r="N1551" i="1"/>
  <c r="D1552" i="1"/>
  <c r="D1553" i="1" s="1"/>
  <c r="D1554" i="1" s="1"/>
  <c r="D1555" i="1" s="1"/>
  <c r="D1556" i="1" s="1"/>
  <c r="D1557" i="1" s="1"/>
  <c r="L1552" i="1"/>
  <c r="N1552" i="1"/>
  <c r="L1553" i="1"/>
  <c r="N1553" i="1"/>
  <c r="L1554" i="1"/>
  <c r="N1554" i="1"/>
  <c r="L1555" i="1"/>
  <c r="N1555" i="1"/>
  <c r="L1556" i="1"/>
  <c r="N1556" i="1"/>
  <c r="L1557" i="1"/>
  <c r="N1557" i="1"/>
  <c r="F1578" i="1"/>
  <c r="H1578" i="1"/>
  <c r="J1578" i="1"/>
  <c r="L1578" i="1"/>
  <c r="N1578" i="1"/>
  <c r="F1579" i="1"/>
  <c r="H1579" i="1"/>
  <c r="J1579" i="1"/>
  <c r="L1579" i="1"/>
  <c r="N1579" i="1"/>
  <c r="F1580" i="1"/>
  <c r="H1580" i="1"/>
  <c r="J1580" i="1"/>
  <c r="L1580" i="1"/>
  <c r="N1580" i="1"/>
  <c r="F1581" i="1"/>
  <c r="H1581" i="1"/>
  <c r="J1581" i="1"/>
  <c r="L1581" i="1"/>
  <c r="N1581" i="1"/>
  <c r="D1582" i="1"/>
  <c r="F1582" i="1"/>
  <c r="H1582" i="1"/>
  <c r="J1582" i="1"/>
  <c r="L1582" i="1"/>
  <c r="N1582" i="1"/>
  <c r="D1583" i="1"/>
  <c r="F1583" i="1"/>
  <c r="H1583" i="1"/>
  <c r="J1583" i="1"/>
  <c r="L1583" i="1"/>
  <c r="N1583" i="1"/>
  <c r="D1584" i="1"/>
  <c r="F1584" i="1"/>
  <c r="H1584" i="1"/>
  <c r="J1584" i="1"/>
  <c r="L1584" i="1"/>
  <c r="N1584" i="1"/>
  <c r="D1585" i="1"/>
  <c r="F1585" i="1"/>
  <c r="H1585" i="1"/>
  <c r="J1585" i="1"/>
  <c r="L1585" i="1"/>
  <c r="N1585" i="1"/>
  <c r="D1586" i="1"/>
  <c r="F1586" i="1"/>
  <c r="H1586" i="1"/>
  <c r="J1586" i="1"/>
  <c r="L1586" i="1"/>
  <c r="N1586" i="1"/>
  <c r="D1587" i="1"/>
  <c r="F1587" i="1"/>
  <c r="H1587" i="1"/>
  <c r="J1587" i="1"/>
  <c r="L1587" i="1"/>
  <c r="N1587" i="1"/>
  <c r="D1588" i="1"/>
  <c r="F1588" i="1"/>
  <c r="H1588" i="1"/>
  <c r="J1588" i="1"/>
  <c r="L1588" i="1"/>
  <c r="N1588" i="1"/>
  <c r="D1589" i="1"/>
  <c r="F1589" i="1"/>
  <c r="H1589" i="1"/>
  <c r="J1589" i="1"/>
  <c r="L1589" i="1"/>
  <c r="N1589" i="1"/>
  <c r="D1593" i="1"/>
  <c r="F1593" i="1"/>
  <c r="H1593" i="1"/>
  <c r="J1593" i="1"/>
  <c r="L1593" i="1"/>
  <c r="N1593" i="1"/>
  <c r="P1593" i="1"/>
  <c r="D1594" i="1"/>
  <c r="F1594" i="1"/>
  <c r="H1594" i="1"/>
  <c r="J1594" i="1"/>
  <c r="L1594" i="1"/>
  <c r="N1594" i="1"/>
  <c r="D1595" i="1"/>
  <c r="F1595" i="1"/>
  <c r="H1595" i="1"/>
  <c r="J1595" i="1"/>
  <c r="L1595" i="1"/>
  <c r="N1595" i="1"/>
  <c r="D1596" i="1"/>
  <c r="F1596" i="1"/>
  <c r="H1596" i="1"/>
  <c r="J1596" i="1"/>
  <c r="L1596" i="1"/>
  <c r="N1596" i="1"/>
  <c r="D1597" i="1"/>
  <c r="F1597" i="1"/>
  <c r="H1597" i="1"/>
  <c r="J1597" i="1"/>
  <c r="L1597" i="1"/>
  <c r="N1597" i="1"/>
  <c r="D1598" i="1"/>
  <c r="F1598" i="1"/>
  <c r="H1598" i="1"/>
  <c r="J1598" i="1"/>
  <c r="L1598" i="1"/>
  <c r="N1598" i="1"/>
  <c r="D1599" i="1"/>
  <c r="F1599" i="1"/>
  <c r="H1599" i="1"/>
  <c r="J1599" i="1"/>
  <c r="L1599" i="1"/>
  <c r="N1599" i="1"/>
  <c r="D1600" i="1"/>
  <c r="F1600" i="1"/>
  <c r="H1600" i="1"/>
  <c r="J1600" i="1"/>
  <c r="L1600" i="1"/>
  <c r="N1600" i="1"/>
  <c r="D1601" i="1"/>
  <c r="F1601" i="1"/>
  <c r="H1601" i="1"/>
  <c r="J1601" i="1"/>
  <c r="L1601" i="1"/>
  <c r="N1601" i="1"/>
  <c r="D1602" i="1"/>
  <c r="F1602" i="1"/>
  <c r="H1602" i="1"/>
  <c r="J1602" i="1"/>
  <c r="L1602" i="1"/>
  <c r="N1602" i="1"/>
  <c r="D1603" i="1"/>
  <c r="F1603" i="1"/>
  <c r="H1603" i="1"/>
  <c r="J1603" i="1"/>
  <c r="L1603" i="1"/>
  <c r="N1603" i="1"/>
  <c r="D1604" i="1"/>
  <c r="F1604" i="1"/>
  <c r="H1604" i="1"/>
  <c r="J1604" i="1"/>
  <c r="L1604" i="1"/>
  <c r="N1604" i="1"/>
  <c r="F1626" i="1"/>
  <c r="H1626" i="1"/>
  <c r="J1626" i="1"/>
  <c r="L1626" i="1"/>
  <c r="F1627" i="1"/>
  <c r="H1627" i="1"/>
  <c r="J1627" i="1"/>
  <c r="L1627" i="1"/>
  <c r="F1628" i="1"/>
  <c r="H1628" i="1"/>
  <c r="J1628" i="1"/>
  <c r="L1628" i="1"/>
  <c r="F1629" i="1"/>
  <c r="H1629" i="1"/>
  <c r="J1629" i="1"/>
  <c r="L1629" i="1"/>
  <c r="D1630" i="1"/>
  <c r="F1630" i="1"/>
  <c r="H1630" i="1"/>
  <c r="J1630" i="1"/>
  <c r="L1630" i="1"/>
  <c r="D1631" i="1"/>
  <c r="F1631" i="1"/>
  <c r="H1631" i="1"/>
  <c r="J1631" i="1"/>
  <c r="L1631" i="1"/>
  <c r="D1632" i="1"/>
  <c r="F1632" i="1"/>
  <c r="H1632" i="1"/>
  <c r="J1632" i="1"/>
  <c r="L1632" i="1"/>
  <c r="D1633" i="1"/>
  <c r="F1633" i="1"/>
  <c r="H1633" i="1"/>
  <c r="J1633" i="1"/>
  <c r="D1634" i="1"/>
  <c r="F1634" i="1"/>
  <c r="H1634" i="1"/>
  <c r="J1634" i="1"/>
  <c r="D1635" i="1"/>
  <c r="F1635" i="1"/>
  <c r="H1635" i="1"/>
  <c r="J1635" i="1"/>
  <c r="D1636" i="1"/>
  <c r="F1636" i="1"/>
  <c r="H1636" i="1"/>
  <c r="J1636" i="1"/>
  <c r="D1637" i="1"/>
  <c r="F1637" i="1"/>
  <c r="H1637" i="1"/>
  <c r="J1637" i="1"/>
  <c r="B5" i="11521"/>
  <c r="B6" i="11521"/>
  <c r="B7" i="11521"/>
  <c r="B8" i="11521"/>
  <c r="B9" i="11521"/>
  <c r="B10" i="11521"/>
  <c r="B11" i="11521"/>
  <c r="D12" i="11521" s="1"/>
  <c r="B12" i="11521"/>
  <c r="B13" i="11521"/>
  <c r="B14" i="11521"/>
  <c r="B15" i="11521"/>
  <c r="B16" i="11521"/>
  <c r="B17" i="11521"/>
  <c r="B18" i="11521"/>
  <c r="B19" i="11521"/>
  <c r="F19" i="11521" s="1"/>
  <c r="B20" i="11521"/>
  <c r="B21" i="11521"/>
  <c r="B22" i="11521"/>
  <c r="B23" i="11521"/>
  <c r="B24" i="11521"/>
  <c r="B25" i="11521"/>
  <c r="B26" i="11521"/>
  <c r="C26" i="11521" s="1"/>
  <c r="B27" i="11521"/>
  <c r="D28" i="11521" s="1"/>
  <c r="B28" i="11521"/>
  <c r="B29" i="11521"/>
  <c r="B30" i="11521"/>
  <c r="B31" i="11521"/>
  <c r="B32" i="11521"/>
  <c r="B33" i="11521"/>
  <c r="B34" i="11521"/>
  <c r="B35" i="11521"/>
  <c r="B36" i="11521"/>
  <c r="F36" i="11521" s="1"/>
  <c r="B37" i="11521"/>
  <c r="B38" i="11521"/>
  <c r="B39" i="11521"/>
  <c r="B40" i="11521"/>
  <c r="B41" i="11521"/>
  <c r="B42" i="11521"/>
  <c r="B43" i="11521"/>
  <c r="B44" i="11521"/>
  <c r="B45" i="11521"/>
  <c r="B46" i="11521"/>
  <c r="B47" i="11521"/>
  <c r="B48" i="11521"/>
  <c r="B49" i="11521"/>
  <c r="B50" i="11521"/>
  <c r="B51" i="11521"/>
  <c r="B52" i="11521"/>
  <c r="B53" i="11521"/>
  <c r="B54" i="11521"/>
  <c r="B55" i="11521"/>
  <c r="D56" i="11521" s="1"/>
  <c r="B56" i="11521"/>
  <c r="B8" i="40"/>
  <c r="B9" i="40"/>
  <c r="C9" i="40" s="1"/>
  <c r="B10" i="40"/>
  <c r="B11" i="40"/>
  <c r="B12" i="40"/>
  <c r="B13" i="40"/>
  <c r="C13" i="40" s="1"/>
  <c r="B14" i="40"/>
  <c r="B15" i="40"/>
  <c r="B16" i="40"/>
  <c r="B17" i="40"/>
  <c r="B18" i="40"/>
  <c r="B19" i="40"/>
  <c r="B20" i="40"/>
  <c r="B21" i="40"/>
  <c r="B22" i="40"/>
  <c r="B23" i="40"/>
  <c r="B24" i="40"/>
  <c r="B25" i="40"/>
  <c r="B26" i="40"/>
  <c r="B27" i="40"/>
  <c r="B28" i="40"/>
  <c r="B29" i="40"/>
  <c r="B30" i="40"/>
  <c r="B31" i="40"/>
  <c r="B32" i="40"/>
  <c r="B33" i="40"/>
  <c r="G33" i="40" s="1"/>
  <c r="B34" i="40"/>
  <c r="B35" i="40"/>
  <c r="B36" i="40"/>
  <c r="B37" i="40"/>
  <c r="G37" i="40" s="1"/>
  <c r="B38" i="40"/>
  <c r="B39" i="40"/>
  <c r="B40" i="40"/>
  <c r="B41" i="40"/>
  <c r="B42" i="40"/>
  <c r="B43" i="40"/>
  <c r="B44" i="40"/>
  <c r="B45" i="40"/>
  <c r="B46" i="40"/>
  <c r="B47" i="40"/>
  <c r="B48" i="40"/>
  <c r="B49" i="40"/>
  <c r="E49" i="40" s="1"/>
  <c r="B50" i="40"/>
  <c r="B51" i="40"/>
  <c r="B52" i="40"/>
  <c r="B53" i="40"/>
  <c r="B54" i="40"/>
  <c r="B55" i="40"/>
  <c r="B56" i="40"/>
  <c r="B57" i="40"/>
  <c r="B58" i="40"/>
  <c r="B59" i="40"/>
  <c r="B60" i="40"/>
  <c r="B61" i="40"/>
  <c r="E61" i="40" s="1"/>
  <c r="B62" i="40"/>
  <c r="B63" i="40"/>
  <c r="F63" i="40" s="1"/>
  <c r="B64" i="40"/>
  <c r="B65" i="40"/>
  <c r="C65" i="40" s="1"/>
  <c r="B66" i="40"/>
  <c r="B67" i="40"/>
  <c r="B68" i="40"/>
  <c r="B69" i="40"/>
  <c r="D70" i="40" s="1"/>
  <c r="B70" i="40"/>
  <c r="B71" i="40"/>
  <c r="B72" i="40"/>
  <c r="B73" i="40"/>
  <c r="G73" i="40" s="1"/>
  <c r="B74" i="40"/>
  <c r="B75" i="40"/>
  <c r="B76" i="40"/>
  <c r="B77" i="40"/>
  <c r="B78" i="40"/>
  <c r="B79" i="40"/>
  <c r="B80" i="40"/>
  <c r="B81" i="40"/>
  <c r="E81" i="40" s="1"/>
  <c r="B82" i="40"/>
  <c r="B83" i="40"/>
  <c r="B84" i="40"/>
  <c r="B85" i="40"/>
  <c r="B86" i="40"/>
  <c r="B87" i="40"/>
  <c r="B88" i="40"/>
  <c r="B89" i="40"/>
  <c r="C89" i="40" s="1"/>
  <c r="B90" i="40"/>
  <c r="B91" i="40"/>
  <c r="B92" i="40"/>
  <c r="B93" i="40"/>
  <c r="B94" i="40"/>
  <c r="B95" i="40"/>
  <c r="B96" i="40"/>
  <c r="B97" i="40"/>
  <c r="D98" i="40" s="1"/>
  <c r="B98" i="40"/>
  <c r="B99" i="40"/>
  <c r="B100" i="40"/>
  <c r="B101" i="40"/>
  <c r="D102" i="40" s="1"/>
  <c r="B102" i="40"/>
  <c r="B103" i="40"/>
  <c r="B104" i="40"/>
  <c r="B105" i="40"/>
  <c r="E105" i="40" s="1"/>
  <c r="B106" i="40"/>
  <c r="B107" i="40"/>
  <c r="B108" i="40"/>
  <c r="B109" i="40"/>
  <c r="B110" i="40"/>
  <c r="B111" i="40"/>
  <c r="B112" i="40"/>
  <c r="B113" i="40"/>
  <c r="C113" i="40" s="1"/>
  <c r="B114" i="40"/>
  <c r="B115" i="40"/>
  <c r="B116" i="40"/>
  <c r="B117" i="40"/>
  <c r="B118" i="40"/>
  <c r="B119" i="40"/>
  <c r="B120" i="40"/>
  <c r="B121" i="40"/>
  <c r="C121" i="40" s="1"/>
  <c r="B122" i="40"/>
  <c r="B123" i="40"/>
  <c r="B124" i="40"/>
  <c r="B125" i="40"/>
  <c r="F125" i="40" s="1"/>
  <c r="B126" i="40"/>
  <c r="B127" i="40"/>
  <c r="B128" i="40"/>
  <c r="B129" i="40"/>
  <c r="E129" i="40" s="1"/>
  <c r="B130" i="40"/>
  <c r="B131" i="40"/>
  <c r="B132" i="40"/>
  <c r="B133" i="40"/>
  <c r="B134" i="40"/>
  <c r="B135" i="40"/>
  <c r="F135" i="40" s="1"/>
  <c r="B136" i="40"/>
  <c r="B137" i="40"/>
  <c r="G137" i="40" s="1"/>
  <c r="B138" i="40"/>
  <c r="B139" i="40"/>
  <c r="B140" i="40"/>
  <c r="B141" i="40"/>
  <c r="G141" i="40" s="1"/>
  <c r="B142" i="40"/>
  <c r="B143" i="40"/>
  <c r="B144" i="40"/>
  <c r="B145" i="40"/>
  <c r="D146" i="40" s="1"/>
  <c r="B146" i="40"/>
  <c r="B147" i="40"/>
  <c r="B148" i="40"/>
  <c r="B152" i="40"/>
  <c r="B163" i="40"/>
  <c r="B167" i="40"/>
  <c r="G167" i="40" s="1"/>
  <c r="B169" i="40"/>
  <c r="B5" i="2"/>
  <c r="C19" i="2" s="1"/>
  <c r="B6" i="2"/>
  <c r="B7" i="2"/>
  <c r="B8" i="2"/>
  <c r="B9" i="2"/>
  <c r="B10" i="2"/>
  <c r="B11" i="2"/>
  <c r="B12" i="2"/>
  <c r="B13" i="2"/>
  <c r="E18" i="2" s="1"/>
  <c r="B14" i="2"/>
  <c r="B15" i="2"/>
  <c r="B16" i="2"/>
  <c r="B17" i="2"/>
  <c r="E17" i="2" s="1"/>
  <c r="B18" i="2"/>
  <c r="B19" i="2"/>
  <c r="B20" i="2"/>
  <c r="B21" i="2"/>
  <c r="B22" i="2"/>
  <c r="B23" i="2"/>
  <c r="B24" i="2"/>
  <c r="B25" i="2"/>
  <c r="F25" i="2" s="1"/>
  <c r="B26" i="2"/>
  <c r="B27" i="2"/>
  <c r="B28" i="2"/>
  <c r="B29" i="2"/>
  <c r="H29" i="2" s="1"/>
  <c r="B30" i="2"/>
  <c r="B31" i="2"/>
  <c r="B32" i="2"/>
  <c r="B33" i="2"/>
  <c r="B34" i="2"/>
  <c r="B35" i="2"/>
  <c r="B36" i="2"/>
  <c r="B37" i="2"/>
  <c r="E39" i="2" s="1"/>
  <c r="B38" i="2"/>
  <c r="B39" i="2"/>
  <c r="B137" i="2"/>
  <c r="B17" i="2316"/>
  <c r="B28" i="2316"/>
  <c r="B41" i="2316"/>
  <c r="B43" i="2316"/>
  <c r="B44" i="2316"/>
  <c r="B45" i="2316"/>
  <c r="B46" i="2316"/>
  <c r="B47" i="2316"/>
  <c r="B48" i="2316"/>
  <c r="B49" i="2316"/>
  <c r="B51" i="2316"/>
  <c r="B52" i="2316"/>
  <c r="B53" i="2316"/>
  <c r="B54" i="2316"/>
  <c r="B55" i="2316"/>
  <c r="B56" i="2316"/>
  <c r="B57" i="2316"/>
  <c r="B58" i="2316"/>
  <c r="B59" i="2316"/>
  <c r="B60" i="2316"/>
  <c r="B61" i="2316"/>
  <c r="B62" i="2316"/>
  <c r="B63" i="2316"/>
  <c r="B64" i="2316"/>
  <c r="B65" i="2316"/>
  <c r="B66" i="2316"/>
  <c r="B67" i="2316"/>
  <c r="B68" i="2316"/>
  <c r="B69" i="2316"/>
  <c r="B70" i="2316"/>
  <c r="B71" i="2316"/>
  <c r="B72" i="2316"/>
  <c r="B73" i="2316"/>
  <c r="B74" i="2316"/>
  <c r="B75" i="2316"/>
  <c r="B76" i="2316"/>
  <c r="B77" i="2316"/>
  <c r="B78" i="2316"/>
  <c r="B79" i="2316"/>
  <c r="B80" i="2316"/>
  <c r="B81" i="2316"/>
  <c r="B82" i="2316"/>
  <c r="B83" i="2316"/>
  <c r="B84" i="2316"/>
  <c r="B85" i="2316"/>
  <c r="B86" i="2316"/>
  <c r="B87" i="2316"/>
  <c r="B88" i="2316"/>
  <c r="B89" i="2316"/>
  <c r="B90" i="2316"/>
  <c r="B91" i="2316"/>
  <c r="B92" i="2316"/>
  <c r="B93" i="2316"/>
  <c r="B94" i="2316"/>
  <c r="B95" i="2316"/>
  <c r="B96" i="2316"/>
  <c r="B97" i="2316"/>
  <c r="B98" i="2316"/>
  <c r="B99" i="2316"/>
  <c r="B100" i="2316"/>
  <c r="B101" i="2316"/>
  <c r="B102" i="2316"/>
  <c r="B103" i="2316"/>
  <c r="B104" i="2316"/>
  <c r="B105" i="2316"/>
  <c r="B106" i="2316"/>
  <c r="B107" i="2316"/>
  <c r="B108" i="2316"/>
  <c r="B109" i="2316"/>
  <c r="B110" i="2316"/>
  <c r="B111" i="2316"/>
  <c r="B112" i="2316"/>
  <c r="B113" i="2316"/>
  <c r="B114" i="2316"/>
  <c r="B115" i="2316"/>
  <c r="B116" i="2316"/>
  <c r="B117" i="2316"/>
  <c r="B118" i="2316"/>
  <c r="B119" i="2316"/>
  <c r="B120" i="2316"/>
  <c r="B121" i="2316"/>
  <c r="B122" i="2316"/>
  <c r="B123" i="2316"/>
  <c r="B124" i="2316"/>
  <c r="B125" i="2316"/>
  <c r="B126" i="2316"/>
  <c r="B127" i="2316"/>
  <c r="B128" i="2316"/>
  <c r="B129" i="2316"/>
  <c r="B130" i="2316"/>
  <c r="B131" i="2316"/>
  <c r="B132" i="2316"/>
  <c r="B133" i="2316"/>
  <c r="B134" i="2316"/>
  <c r="B135" i="2316"/>
  <c r="B136" i="2316"/>
  <c r="B137" i="2316"/>
  <c r="B138" i="2316"/>
  <c r="B139" i="2316"/>
  <c r="B140" i="2316"/>
  <c r="B141" i="2316"/>
  <c r="B142" i="2316"/>
  <c r="B143" i="2316"/>
  <c r="B144" i="2316"/>
  <c r="B145" i="2316"/>
  <c r="B146" i="2316"/>
  <c r="B147" i="2316"/>
  <c r="B148" i="2316"/>
  <c r="B42" i="2819"/>
  <c r="B5" i="10498"/>
  <c r="B6" i="10498"/>
  <c r="B7" i="10498"/>
  <c r="B8" i="10498"/>
  <c r="C8" i="10498" s="1"/>
  <c r="B9" i="10498"/>
  <c r="B10" i="10498"/>
  <c r="B11" i="10498"/>
  <c r="B12" i="10498"/>
  <c r="E12" i="10498" s="1"/>
  <c r="B13" i="10498"/>
  <c r="B14" i="10498"/>
  <c r="B15" i="10498"/>
  <c r="B16" i="10498"/>
  <c r="D16" i="10498" s="1"/>
  <c r="B17" i="10498"/>
  <c r="B18" i="10498"/>
  <c r="B19" i="10498"/>
  <c r="B20" i="10498"/>
  <c r="D20" i="10498" s="1"/>
  <c r="B21" i="10498"/>
  <c r="B22" i="10498"/>
  <c r="B23" i="10498"/>
  <c r="B24" i="10498"/>
  <c r="D25" i="10498" s="1"/>
  <c r="B25" i="10498"/>
  <c r="B26" i="10498"/>
  <c r="B27" i="10498"/>
  <c r="B28" i="10498"/>
  <c r="E28" i="10498" s="1"/>
  <c r="B29" i="10498"/>
  <c r="B30" i="10498"/>
  <c r="B31" i="10498"/>
  <c r="B32" i="10498"/>
  <c r="E32" i="10498" s="1"/>
  <c r="B33" i="10498"/>
  <c r="B34" i="10498"/>
  <c r="B35" i="10498"/>
  <c r="B36" i="10498"/>
  <c r="F36" i="10498" s="1"/>
  <c r="B37" i="10498"/>
  <c r="B38" i="10498"/>
  <c r="B39" i="10498"/>
  <c r="C39" i="10498"/>
  <c r="B40" i="10498"/>
  <c r="B41" i="10498"/>
  <c r="B42" i="10498"/>
  <c r="B43" i="10498"/>
  <c r="B44" i="10498"/>
  <c r="C44" i="10498" s="1"/>
  <c r="B45" i="10498"/>
  <c r="B46" i="10498"/>
  <c r="B47" i="10498"/>
  <c r="D47" i="10498" s="1"/>
  <c r="B48" i="10498"/>
  <c r="B49" i="10498"/>
  <c r="B50" i="10498"/>
  <c r="B51" i="10498"/>
  <c r="G52" i="10498" s="1"/>
  <c r="B52" i="10498"/>
  <c r="B53" i="10498"/>
  <c r="B54" i="10498"/>
  <c r="B55" i="10498"/>
  <c r="B56" i="10498"/>
  <c r="B57" i="10498"/>
  <c r="B58" i="10498"/>
  <c r="B59" i="10498"/>
  <c r="B60" i="10498"/>
  <c r="B61" i="10498"/>
  <c r="B62" i="10498"/>
  <c r="E62" i="10498" s="1"/>
  <c r="B63" i="10498"/>
  <c r="B64" i="10498"/>
  <c r="B65" i="10498"/>
  <c r="B66" i="10498"/>
  <c r="B67" i="10498"/>
  <c r="B68" i="10498"/>
  <c r="B69" i="10498"/>
  <c r="B70" i="10498"/>
  <c r="B71" i="10498"/>
  <c r="B72" i="10498"/>
  <c r="C72" i="10498" s="1"/>
  <c r="B73" i="10498"/>
  <c r="G74" i="10498" s="1"/>
  <c r="B74" i="10498"/>
  <c r="G75" i="10498" s="1"/>
  <c r="B75" i="10498"/>
  <c r="B76" i="10498"/>
  <c r="B77" i="10498"/>
  <c r="B78" i="10498"/>
  <c r="B79" i="10498"/>
  <c r="B80" i="10498"/>
  <c r="B81" i="10498"/>
  <c r="G82" i="10498" s="1"/>
  <c r="B82" i="10498"/>
  <c r="B83" i="10498"/>
  <c r="B84" i="10498"/>
  <c r="B85" i="10498"/>
  <c r="B86" i="10498"/>
  <c r="F86" i="10498" s="1"/>
  <c r="B87" i="10498"/>
  <c r="B88" i="10498"/>
  <c r="B89" i="10498"/>
  <c r="B90" i="10498"/>
  <c r="B91" i="10498"/>
  <c r="F91" i="10498" s="1"/>
  <c r="B92" i="10498"/>
  <c r="B93" i="10498"/>
  <c r="B94" i="10498"/>
  <c r="B95" i="10498"/>
  <c r="B96" i="10498"/>
  <c r="B97" i="10498"/>
  <c r="B98" i="10498"/>
  <c r="B99" i="10498"/>
  <c r="B100" i="10498"/>
  <c r="B101" i="10498"/>
  <c r="B102" i="10498"/>
  <c r="D102" i="10498" s="1"/>
  <c r="B103" i="10498"/>
  <c r="B104" i="10498"/>
  <c r="B106" i="10498"/>
  <c r="B107" i="10498"/>
  <c r="E107" i="10498" s="1"/>
  <c r="B108" i="10498"/>
  <c r="B109" i="10498"/>
  <c r="B110" i="10498"/>
  <c r="B111" i="10498"/>
  <c r="B112" i="10498"/>
  <c r="B113" i="10498"/>
  <c r="B114" i="10498"/>
  <c r="B115" i="10498"/>
  <c r="B116" i="10498"/>
  <c r="B117" i="10498"/>
  <c r="B118" i="10498"/>
  <c r="B119" i="10498"/>
  <c r="D119" i="10498" s="1"/>
  <c r="B120" i="10498"/>
  <c r="C120" i="10498" s="1"/>
  <c r="B121" i="10498"/>
  <c r="B122" i="10498"/>
  <c r="B123" i="10498"/>
  <c r="E123" i="10498" s="1"/>
  <c r="B124" i="10498"/>
  <c r="B8" i="10285"/>
  <c r="B9" i="10285"/>
  <c r="B10" i="10285"/>
  <c r="D12" i="10285"/>
  <c r="D13" i="10285"/>
  <c r="B14" i="10285"/>
  <c r="B15" i="10285"/>
  <c r="B16" i="10285"/>
  <c r="B17" i="10285"/>
  <c r="B18" i="10285"/>
  <c r="B19" i="10285"/>
  <c r="B20" i="10285"/>
  <c r="B21" i="10285"/>
  <c r="B22" i="10285"/>
  <c r="B23" i="10285"/>
  <c r="B24" i="10285"/>
  <c r="B25" i="10285"/>
  <c r="B26" i="10285"/>
  <c r="B27" i="10285"/>
  <c r="B28" i="10285"/>
  <c r="B29" i="10285"/>
  <c r="B30" i="10285"/>
  <c r="B31" i="10285"/>
  <c r="B32" i="10285"/>
  <c r="B33" i="10285"/>
  <c r="B34" i="10285"/>
  <c r="B35" i="10285"/>
  <c r="B36" i="10285"/>
  <c r="B37" i="10285"/>
  <c r="B38" i="10285"/>
  <c r="B39" i="10285"/>
  <c r="B40" i="10285"/>
  <c r="B41" i="10285"/>
  <c r="B42" i="10285"/>
  <c r="B43" i="10285"/>
  <c r="B44" i="10285"/>
  <c r="B45" i="10285"/>
  <c r="B46" i="10285"/>
  <c r="B47" i="10285"/>
  <c r="B48" i="10285"/>
  <c r="B49" i="10285"/>
  <c r="B50" i="10285"/>
  <c r="B51" i="10285"/>
  <c r="B52" i="10285"/>
  <c r="B53" i="10285"/>
  <c r="B54" i="10285"/>
  <c r="B55" i="10285"/>
  <c r="B56" i="10285"/>
  <c r="B57" i="10285"/>
  <c r="B58" i="10285"/>
  <c r="B59" i="10285"/>
  <c r="B60" i="10285"/>
  <c r="B61" i="10285"/>
  <c r="B62" i="10285"/>
  <c r="B63" i="10285"/>
  <c r="B64" i="10285"/>
  <c r="B65" i="10285"/>
  <c r="B66" i="10285"/>
  <c r="B67" i="10285"/>
  <c r="B68" i="10285"/>
  <c r="B69" i="10285"/>
  <c r="B70" i="10285"/>
  <c r="B71" i="10285"/>
  <c r="B72" i="10285"/>
  <c r="B73" i="10285"/>
  <c r="B74" i="10285"/>
  <c r="B75" i="10285"/>
  <c r="B76" i="10285"/>
  <c r="B77" i="10285"/>
  <c r="B78" i="10285"/>
  <c r="B79" i="10285"/>
  <c r="B80" i="10285"/>
  <c r="B81" i="10285"/>
  <c r="B82" i="10285"/>
  <c r="B83" i="10285"/>
  <c r="B84" i="10285"/>
  <c r="B85" i="10285"/>
  <c r="B86" i="10285"/>
  <c r="B87" i="10285"/>
  <c r="B88" i="10285"/>
  <c r="B89" i="10285"/>
  <c r="B90" i="10285"/>
  <c r="B91" i="10285"/>
  <c r="B92" i="10285"/>
  <c r="B93" i="10285"/>
  <c r="B94" i="10285"/>
  <c r="B95" i="10285"/>
  <c r="B96" i="10285"/>
  <c r="B97" i="10285"/>
  <c r="B8" i="768"/>
  <c r="B9" i="768"/>
  <c r="B10" i="768"/>
  <c r="B11" i="768"/>
  <c r="B12" i="768"/>
  <c r="B13" i="768"/>
  <c r="B14" i="768"/>
  <c r="B15" i="768"/>
  <c r="B16" i="768"/>
  <c r="B17" i="768"/>
  <c r="B18" i="768"/>
  <c r="B19" i="768"/>
  <c r="B20" i="768"/>
  <c r="B21" i="768"/>
  <c r="B22" i="768"/>
  <c r="B23" i="768"/>
  <c r="B24" i="768"/>
  <c r="B25" i="768"/>
  <c r="B26" i="768"/>
  <c r="B27" i="768"/>
  <c r="B28" i="768"/>
  <c r="B29" i="768"/>
  <c r="B30" i="768"/>
  <c r="B31" i="768"/>
  <c r="B32" i="768"/>
  <c r="B33" i="768"/>
  <c r="B34" i="768"/>
  <c r="B35" i="768"/>
  <c r="B36" i="768"/>
  <c r="B37" i="768"/>
  <c r="B38" i="768"/>
  <c r="B39" i="768"/>
  <c r="B40" i="768"/>
  <c r="B41" i="768"/>
  <c r="B42" i="768"/>
  <c r="B43" i="768"/>
  <c r="B44" i="768"/>
  <c r="B45" i="768"/>
  <c r="B46" i="768"/>
  <c r="B47" i="768"/>
  <c r="B48" i="768"/>
  <c r="B49" i="768"/>
  <c r="B50" i="768"/>
  <c r="B51" i="768"/>
  <c r="B52" i="768"/>
  <c r="B53" i="768"/>
  <c r="B54" i="768"/>
  <c r="B55" i="768"/>
  <c r="B56" i="768"/>
  <c r="B57" i="768"/>
  <c r="B58" i="768"/>
  <c r="B59" i="768"/>
  <c r="B60" i="768"/>
  <c r="B61" i="768"/>
  <c r="B62" i="768"/>
  <c r="B63" i="768"/>
  <c r="B64" i="768"/>
  <c r="B65" i="768"/>
  <c r="B66" i="768"/>
  <c r="B67" i="768"/>
  <c r="B68" i="768"/>
  <c r="B69" i="768"/>
  <c r="B70" i="768"/>
  <c r="B71" i="768"/>
  <c r="B72" i="768"/>
  <c r="B73" i="768"/>
  <c r="B74" i="768"/>
  <c r="B75" i="768"/>
  <c r="B76" i="768"/>
  <c r="B77" i="768"/>
  <c r="B78" i="768"/>
  <c r="B79" i="768"/>
  <c r="B80" i="768"/>
  <c r="B81" i="768"/>
  <c r="B82" i="768"/>
  <c r="B83" i="768"/>
  <c r="B84" i="768"/>
  <c r="B85" i="768"/>
  <c r="B86" i="768"/>
  <c r="B87" i="768"/>
  <c r="B88" i="768"/>
  <c r="B89" i="768"/>
  <c r="B90" i="768"/>
  <c r="B91" i="768"/>
  <c r="B92" i="768"/>
  <c r="B93" i="768"/>
  <c r="B94" i="768"/>
  <c r="B95" i="768"/>
  <c r="B96" i="768"/>
  <c r="B97" i="768"/>
  <c r="B8" i="20994"/>
  <c r="D8" i="20994"/>
  <c r="B9" i="20994"/>
  <c r="D9" i="20994"/>
  <c r="B10" i="20994"/>
  <c r="B11" i="20994"/>
  <c r="B12" i="20994"/>
  <c r="B13" i="20994"/>
  <c r="B14" i="20994"/>
  <c r="B15" i="20994"/>
  <c r="B16" i="20994"/>
  <c r="B17" i="20994"/>
  <c r="B18" i="20994"/>
  <c r="B19" i="20994"/>
  <c r="B20" i="20994"/>
  <c r="B21" i="20994"/>
  <c r="B22" i="20994"/>
  <c r="B23" i="20994"/>
  <c r="B24" i="20994"/>
  <c r="B25" i="20994"/>
  <c r="B26" i="20994"/>
  <c r="B27" i="20994"/>
  <c r="B28" i="20994"/>
  <c r="B29" i="20994"/>
  <c r="B30" i="20994"/>
  <c r="B31" i="20994"/>
  <c r="B32" i="20994"/>
  <c r="B33" i="20994"/>
  <c r="B34" i="20994"/>
  <c r="B35" i="20994"/>
  <c r="B36" i="20994"/>
  <c r="B37" i="20994"/>
  <c r="B38" i="20994"/>
  <c r="B39" i="20994"/>
  <c r="B40" i="20994"/>
  <c r="B41" i="20994"/>
  <c r="B42" i="20994"/>
  <c r="B43" i="20994"/>
  <c r="B44" i="20994"/>
  <c r="B45" i="20994"/>
  <c r="B46" i="20994"/>
  <c r="B47" i="20994"/>
  <c r="B48" i="20994"/>
  <c r="B49" i="20994"/>
  <c r="B50" i="20994"/>
  <c r="B51" i="20994"/>
  <c r="B52" i="20994"/>
  <c r="B53" i="20994"/>
  <c r="B54" i="20994"/>
  <c r="B55" i="20994"/>
  <c r="B56" i="20994"/>
  <c r="B57" i="20994"/>
  <c r="B58" i="20994"/>
  <c r="B59" i="20994"/>
  <c r="B60" i="20994"/>
  <c r="B61" i="20994"/>
  <c r="B62" i="20994"/>
  <c r="B63" i="20994"/>
  <c r="B64" i="20994"/>
  <c r="B65" i="20994"/>
  <c r="B66" i="20994"/>
  <c r="B67" i="20994"/>
  <c r="B68" i="20994"/>
  <c r="B69" i="20994"/>
  <c r="B70" i="20994"/>
  <c r="B71" i="20994"/>
  <c r="B72" i="20994"/>
  <c r="B73" i="20994"/>
  <c r="B74" i="20994"/>
  <c r="B75" i="20994"/>
  <c r="B76" i="20994"/>
  <c r="B77" i="20994"/>
  <c r="B78" i="20994"/>
  <c r="B79" i="20994"/>
  <c r="B80" i="20994"/>
  <c r="B81" i="20994"/>
  <c r="B82" i="20994"/>
  <c r="B83" i="20994"/>
  <c r="B84" i="20994"/>
  <c r="B85" i="20994"/>
  <c r="B86" i="20994"/>
  <c r="B87" i="20994"/>
  <c r="B88" i="20994"/>
  <c r="B89" i="20994"/>
  <c r="B90" i="20994"/>
  <c r="B91" i="20994"/>
  <c r="B92" i="20994"/>
  <c r="B93" i="20994"/>
  <c r="B94" i="20994"/>
  <c r="B95" i="20994"/>
  <c r="B96" i="20994"/>
  <c r="B97" i="20994"/>
  <c r="B98" i="20994"/>
  <c r="B99" i="20994"/>
  <c r="B100" i="20994"/>
  <c r="B101" i="20994"/>
  <c r="B102" i="20994"/>
  <c r="B103" i="20994"/>
  <c r="B104" i="20994"/>
  <c r="B105" i="20994"/>
  <c r="B106" i="20994"/>
  <c r="B107" i="20994"/>
  <c r="B108" i="20994"/>
  <c r="B109" i="20994"/>
  <c r="B110" i="20994"/>
  <c r="B111" i="20994"/>
  <c r="B112" i="20994"/>
  <c r="B113" i="20994"/>
  <c r="B114" i="20994"/>
  <c r="B115" i="20994"/>
  <c r="B116" i="20994"/>
  <c r="B117" i="20994"/>
  <c r="B118" i="20994"/>
  <c r="B119" i="20994"/>
  <c r="B120" i="20994"/>
  <c r="B121" i="20994"/>
  <c r="B122" i="20994"/>
  <c r="B123" i="20994"/>
  <c r="B124" i="20994"/>
  <c r="B125" i="20994"/>
  <c r="B126" i="20994"/>
  <c r="B127" i="20994"/>
  <c r="B129" i="20994"/>
  <c r="B130" i="20994"/>
  <c r="B133" i="20994"/>
  <c r="B134" i="20994"/>
  <c r="B135" i="20994"/>
  <c r="B136" i="20994"/>
  <c r="B137" i="20994"/>
  <c r="B138" i="20994"/>
  <c r="B139" i="20994"/>
  <c r="B140" i="20994"/>
  <c r="B141" i="20994"/>
  <c r="B142" i="20994"/>
  <c r="B143" i="20994"/>
  <c r="B144" i="20994"/>
  <c r="B145" i="20994"/>
  <c r="B146" i="20994"/>
  <c r="B149" i="20994"/>
  <c r="B150" i="20994"/>
  <c r="B151" i="20994"/>
  <c r="B152" i="20994"/>
  <c r="B153" i="20994"/>
  <c r="B154" i="20994"/>
  <c r="B155" i="20994"/>
  <c r="B156" i="20994"/>
  <c r="B157" i="20994"/>
  <c r="B158" i="20994"/>
  <c r="B159" i="20994"/>
  <c r="B162" i="20994"/>
  <c r="B163" i="20994"/>
  <c r="B164" i="20994"/>
  <c r="B165" i="20994"/>
  <c r="B166" i="20994"/>
  <c r="B167" i="20994"/>
  <c r="B168" i="20994"/>
  <c r="B169" i="20994"/>
  <c r="B170" i="20994"/>
  <c r="B171" i="20994"/>
  <c r="B172" i="20994"/>
  <c r="B174" i="20994"/>
  <c r="B199" i="20994"/>
  <c r="B200" i="20994"/>
  <c r="B201" i="20994"/>
  <c r="B202" i="20994"/>
  <c r="B203" i="20994"/>
  <c r="B204" i="20994"/>
  <c r="B205" i="20994"/>
  <c r="B206" i="20994"/>
  <c r="B207" i="20994"/>
  <c r="B208" i="20994"/>
  <c r="B209" i="20994"/>
  <c r="B211" i="20994"/>
  <c r="B212" i="20994"/>
  <c r="B213" i="20994"/>
  <c r="B214" i="20994"/>
  <c r="B215" i="20994"/>
  <c r="B216" i="20994"/>
  <c r="B217" i="20994"/>
  <c r="B8" i="9216"/>
  <c r="D8" i="9216"/>
  <c r="B9" i="9216"/>
  <c r="B10" i="9216"/>
  <c r="B11" i="9216"/>
  <c r="B12" i="9216"/>
  <c r="B13" i="9216"/>
  <c r="B14" i="9216"/>
  <c r="B15" i="9216"/>
  <c r="B16" i="9216"/>
  <c r="B17" i="9216"/>
  <c r="B18" i="9216"/>
  <c r="B19" i="9216"/>
  <c r="B20" i="9216"/>
  <c r="B21" i="9216"/>
  <c r="B22" i="9216"/>
  <c r="B23" i="9216"/>
  <c r="B24" i="9216"/>
  <c r="B25" i="9216"/>
  <c r="B26" i="9216"/>
  <c r="B27" i="9216"/>
  <c r="B28" i="9216"/>
  <c r="B29" i="9216"/>
  <c r="B30" i="9216"/>
  <c r="B31" i="9216"/>
  <c r="B32" i="9216"/>
  <c r="B33" i="9216"/>
  <c r="B34" i="9216"/>
  <c r="B35" i="9216"/>
  <c r="B36" i="9216"/>
  <c r="B37" i="9216"/>
  <c r="B38" i="9216"/>
  <c r="B39" i="9216"/>
  <c r="B40" i="9216"/>
  <c r="B41" i="9216"/>
  <c r="B42" i="9216"/>
  <c r="B43" i="9216"/>
  <c r="B44" i="9216"/>
  <c r="B45" i="9216"/>
  <c r="B46" i="9216"/>
  <c r="B47" i="9216"/>
  <c r="B48" i="9216"/>
  <c r="B49" i="9216"/>
  <c r="B50" i="9216"/>
  <c r="B51" i="9216"/>
  <c r="B52" i="9216"/>
  <c r="B54" i="9216"/>
  <c r="B55" i="9216"/>
  <c r="B56" i="9216"/>
  <c r="B57" i="9216"/>
  <c r="B58" i="9216"/>
  <c r="B60" i="9216"/>
  <c r="B61" i="9216"/>
  <c r="B64" i="9216"/>
  <c r="B65" i="9216"/>
  <c r="B66" i="9216"/>
  <c r="B67" i="9216"/>
  <c r="B68" i="9216"/>
  <c r="B69" i="9216"/>
  <c r="B70" i="9216"/>
  <c r="B71" i="9216"/>
  <c r="B72" i="9216"/>
  <c r="B73" i="9216"/>
  <c r="B74" i="9216"/>
  <c r="B75" i="9216"/>
  <c r="B76" i="9216"/>
  <c r="B77" i="9216"/>
  <c r="B80" i="9216"/>
  <c r="B81" i="9216"/>
  <c r="B83" i="9216"/>
  <c r="B84" i="9216"/>
  <c r="B85" i="9216"/>
  <c r="B86" i="9216"/>
  <c r="B87" i="9216"/>
  <c r="B88" i="9216"/>
  <c r="B89" i="9216"/>
  <c r="B90" i="9216"/>
  <c r="B93" i="9216"/>
  <c r="B105" i="9216"/>
  <c r="B130" i="9216"/>
  <c r="B131" i="9216"/>
  <c r="B132" i="9216"/>
  <c r="B133" i="9216"/>
  <c r="B134" i="9216"/>
  <c r="B135" i="9216"/>
  <c r="B136" i="9216"/>
  <c r="B137" i="9216"/>
  <c r="B138" i="9216"/>
  <c r="B139" i="9216"/>
  <c r="B140" i="9216"/>
  <c r="B142" i="9216"/>
  <c r="B143" i="9216"/>
  <c r="B144" i="9216"/>
  <c r="B145" i="9216"/>
  <c r="B146" i="9216"/>
  <c r="B147" i="9216"/>
  <c r="B148" i="9216"/>
  <c r="B290" i="9216"/>
  <c r="B8" i="523"/>
  <c r="B9" i="523"/>
  <c r="B10" i="523"/>
  <c r="B11" i="523"/>
  <c r="B12" i="523"/>
  <c r="B13" i="523"/>
  <c r="B14" i="523"/>
  <c r="B15" i="523"/>
  <c r="B16" i="523"/>
  <c r="B17" i="523"/>
  <c r="B18" i="523"/>
  <c r="B19" i="523"/>
  <c r="B20" i="523"/>
  <c r="B21" i="523"/>
  <c r="B22" i="523"/>
  <c r="B23" i="523"/>
  <c r="B24" i="523"/>
  <c r="B25" i="523"/>
  <c r="B26" i="523"/>
  <c r="B27" i="523"/>
  <c r="B28" i="523"/>
  <c r="B29" i="523"/>
  <c r="B30" i="523"/>
  <c r="B31" i="523"/>
  <c r="B32" i="523"/>
  <c r="B33" i="523"/>
  <c r="B34" i="523"/>
  <c r="B35" i="523"/>
  <c r="B36" i="523"/>
  <c r="B37" i="523"/>
  <c r="B38" i="523"/>
  <c r="B39" i="523"/>
  <c r="B40" i="523"/>
  <c r="B41" i="523"/>
  <c r="B42" i="523"/>
  <c r="B43" i="523"/>
  <c r="B44" i="523"/>
  <c r="B45" i="523"/>
  <c r="B46" i="523"/>
  <c r="B47" i="523"/>
  <c r="B48" i="523"/>
  <c r="B49" i="523"/>
  <c r="B50" i="523"/>
  <c r="B51" i="523"/>
  <c r="B52" i="523"/>
  <c r="B53" i="523"/>
  <c r="B54" i="523"/>
  <c r="B55" i="523"/>
  <c r="B56" i="523"/>
  <c r="B7" i="516"/>
  <c r="B8" i="516"/>
  <c r="B9" i="516"/>
  <c r="B10" i="516"/>
  <c r="B11" i="516"/>
  <c r="C11" i="516" s="1"/>
  <c r="B12" i="516"/>
  <c r="B13" i="516"/>
  <c r="B14" i="516"/>
  <c r="C14" i="516" s="1"/>
  <c r="B15" i="516"/>
  <c r="B16" i="516"/>
  <c r="B17" i="516"/>
  <c r="B18" i="516"/>
  <c r="B19" i="516"/>
  <c r="B20" i="516"/>
  <c r="B21" i="516"/>
  <c r="B22" i="516"/>
  <c r="E22" i="516" s="1"/>
  <c r="B23" i="516"/>
  <c r="B24" i="516"/>
  <c r="B25" i="516"/>
  <c r="B26" i="516"/>
  <c r="E26" i="516" s="1"/>
  <c r="B27" i="516"/>
  <c r="B28" i="516"/>
  <c r="B29" i="516"/>
  <c r="B30" i="516"/>
  <c r="D31" i="516" s="1"/>
  <c r="B31" i="516"/>
  <c r="B32" i="516"/>
  <c r="B33" i="516"/>
  <c r="B34" i="516"/>
  <c r="D35" i="516" s="1"/>
  <c r="B35" i="516"/>
  <c r="B36" i="516"/>
  <c r="B37" i="516"/>
  <c r="B38" i="516"/>
  <c r="E38" i="516" s="1"/>
  <c r="B39" i="516"/>
  <c r="B40" i="516"/>
  <c r="B41" i="516"/>
  <c r="B42" i="516"/>
  <c r="C42" i="516" s="1"/>
  <c r="B43" i="516"/>
  <c r="B44" i="516"/>
  <c r="B45" i="516"/>
  <c r="B46" i="516"/>
  <c r="C46" i="516" s="1"/>
  <c r="B47" i="516"/>
  <c r="B48" i="516"/>
  <c r="B49" i="516"/>
  <c r="B50" i="516"/>
  <c r="B51" i="516"/>
  <c r="B52" i="516"/>
  <c r="B53" i="516"/>
  <c r="B54" i="516"/>
  <c r="C54" i="516" s="1"/>
  <c r="B55" i="516"/>
  <c r="G55" i="516" s="1"/>
  <c r="B56" i="516"/>
  <c r="B57" i="516"/>
  <c r="B58" i="516"/>
  <c r="B59" i="516"/>
  <c r="B60" i="516"/>
  <c r="B61" i="516"/>
  <c r="B62" i="516"/>
  <c r="E62" i="516" s="1"/>
  <c r="B63" i="516"/>
  <c r="B64" i="516"/>
  <c r="B65" i="516"/>
  <c r="B66" i="516"/>
  <c r="C66" i="516" s="1"/>
  <c r="B67" i="516"/>
  <c r="B68" i="516"/>
  <c r="B69" i="516"/>
  <c r="B70" i="516"/>
  <c r="B71" i="516"/>
  <c r="B72" i="516"/>
  <c r="E72" i="516" s="1"/>
  <c r="B73" i="516"/>
  <c r="B74" i="516"/>
  <c r="E74" i="516" s="1"/>
  <c r="B75" i="516"/>
  <c r="B76" i="516"/>
  <c r="B77" i="516"/>
  <c r="B78" i="516"/>
  <c r="C78" i="516" s="1"/>
  <c r="B79" i="516"/>
  <c r="B80" i="516"/>
  <c r="B81" i="516"/>
  <c r="B82" i="516"/>
  <c r="C82" i="516" s="1"/>
  <c r="B83" i="516"/>
  <c r="B84" i="516"/>
  <c r="B85" i="516"/>
  <c r="B86" i="516"/>
  <c r="F86" i="516" s="1"/>
  <c r="B87" i="516"/>
  <c r="B88" i="516"/>
  <c r="B89" i="516"/>
  <c r="B90" i="516"/>
  <c r="C90" i="516" s="1"/>
  <c r="B91" i="516"/>
  <c r="B92" i="516"/>
  <c r="B93" i="516"/>
  <c r="B94" i="516"/>
  <c r="G94" i="516" s="1"/>
  <c r="B95" i="516"/>
  <c r="B96" i="516"/>
  <c r="B97" i="516"/>
  <c r="B98" i="516"/>
  <c r="B99" i="516"/>
  <c r="B100" i="516"/>
  <c r="B101" i="516"/>
  <c r="B102" i="516"/>
  <c r="B103" i="516"/>
  <c r="B104" i="516"/>
  <c r="B105" i="516"/>
  <c r="B106" i="516"/>
  <c r="E106" i="516" s="1"/>
  <c r="B107" i="516"/>
  <c r="B108" i="516"/>
  <c r="B109" i="516"/>
  <c r="C109" i="516" s="1"/>
  <c r="B110" i="516"/>
  <c r="B111" i="516"/>
  <c r="B112" i="516"/>
  <c r="B113" i="516"/>
  <c r="F113" i="516" s="1"/>
  <c r="B114" i="516"/>
  <c r="B115" i="516"/>
  <c r="B116" i="516"/>
  <c r="B117" i="516"/>
  <c r="G117" i="516" s="1"/>
  <c r="B118" i="516"/>
  <c r="B119" i="516"/>
  <c r="B120" i="516"/>
  <c r="B121" i="516"/>
  <c r="B122" i="516"/>
  <c r="B123" i="516"/>
  <c r="B124" i="516"/>
  <c r="B125" i="516"/>
  <c r="G125" i="516" s="1"/>
  <c r="B126" i="516"/>
  <c r="B127" i="516"/>
  <c r="B128" i="516"/>
  <c r="B129" i="516"/>
  <c r="E129" i="516" s="1"/>
  <c r="B130" i="516"/>
  <c r="B131" i="516"/>
  <c r="B132" i="516"/>
  <c r="B133" i="516"/>
  <c r="C133" i="516" s="1"/>
  <c r="B134" i="516"/>
  <c r="B135" i="516"/>
  <c r="B136" i="516"/>
  <c r="B137" i="516"/>
  <c r="F137" i="516" s="1"/>
  <c r="B138" i="516"/>
  <c r="B139" i="516"/>
  <c r="B140" i="516"/>
  <c r="B141" i="516"/>
  <c r="F141" i="516" s="1"/>
  <c r="B142" i="516"/>
  <c r="B143" i="516"/>
  <c r="E143" i="516" s="1"/>
  <c r="B144" i="516"/>
  <c r="B145" i="516"/>
  <c r="D145" i="516" s="1"/>
  <c r="B146" i="516"/>
  <c r="B147" i="516"/>
  <c r="G147" i="516" s="1"/>
  <c r="B7" i="11522"/>
  <c r="B8" i="11522"/>
  <c r="C8" i="11522" s="1"/>
  <c r="B9" i="11522"/>
  <c r="B10" i="11522"/>
  <c r="B11" i="11522"/>
  <c r="B12" i="11522"/>
  <c r="D12" i="11522" s="1"/>
  <c r="B13" i="11522"/>
  <c r="B14" i="11522"/>
  <c r="B15" i="11522"/>
  <c r="B16" i="11522"/>
  <c r="D16" i="11522" s="1"/>
  <c r="B17" i="11522"/>
  <c r="B18" i="11522"/>
  <c r="B19" i="11522"/>
  <c r="B20" i="11522"/>
  <c r="D20" i="11522" s="1"/>
  <c r="B21" i="11522"/>
  <c r="B22" i="11522"/>
  <c r="B23" i="11522"/>
  <c r="B24" i="11522"/>
  <c r="F24" i="11522" s="1"/>
  <c r="B25" i="11522"/>
  <c r="B26" i="11522"/>
  <c r="B27" i="11522"/>
  <c r="B28" i="11522"/>
  <c r="D28" i="11522" s="1"/>
  <c r="B29" i="11522"/>
  <c r="B30" i="11522"/>
  <c r="B31" i="11522"/>
  <c r="B32" i="11522"/>
  <c r="B33" i="11522"/>
  <c r="B34" i="11522"/>
  <c r="B35" i="11522"/>
  <c r="B36" i="11522"/>
  <c r="B37" i="11522"/>
  <c r="B38" i="11522"/>
  <c r="F38" i="11522" s="1"/>
  <c r="B39" i="11522"/>
  <c r="B40" i="11522"/>
  <c r="G40" i="11522" s="1"/>
  <c r="B41" i="11522"/>
  <c r="B42" i="11522"/>
  <c r="B43" i="11522"/>
  <c r="B44" i="11522"/>
  <c r="D44" i="11522" s="1"/>
  <c r="B45" i="11522"/>
  <c r="B46" i="11522"/>
  <c r="B47" i="11522"/>
  <c r="B48" i="11522"/>
  <c r="D48" i="11522" s="1"/>
  <c r="B49" i="11522"/>
  <c r="B50" i="11522"/>
  <c r="B51" i="11522"/>
  <c r="B52" i="11522"/>
  <c r="D52" i="11522" s="1"/>
  <c r="B53" i="11522"/>
  <c r="B54" i="11522"/>
  <c r="B55" i="11522"/>
  <c r="B56" i="11522"/>
  <c r="D56" i="11522" s="1"/>
  <c r="B57" i="11522"/>
  <c r="B58" i="11522"/>
  <c r="B59" i="11522"/>
  <c r="B60" i="11522"/>
  <c r="E60" i="11522" s="1"/>
  <c r="B61" i="11522"/>
  <c r="B62" i="11522"/>
  <c r="B63" i="11522"/>
  <c r="B64" i="11522"/>
  <c r="D64" i="11522" s="1"/>
  <c r="B65" i="11522"/>
  <c r="B66" i="11522"/>
  <c r="B67" i="11522"/>
  <c r="B68" i="11522"/>
  <c r="E68" i="11522" s="1"/>
  <c r="B69" i="11522"/>
  <c r="B70" i="11522"/>
  <c r="B71" i="11522"/>
  <c r="B72" i="11522"/>
  <c r="G72" i="11522" s="1"/>
  <c r="B73" i="11522"/>
  <c r="B74" i="11522"/>
  <c r="B75" i="11522"/>
  <c r="B76" i="11522"/>
  <c r="C76" i="11522" s="1"/>
  <c r="B77" i="11522"/>
  <c r="B78" i="11522"/>
  <c r="B79" i="11522"/>
  <c r="B80" i="11522"/>
  <c r="F80" i="11522" s="1"/>
  <c r="B81" i="11522"/>
  <c r="B82" i="11522"/>
  <c r="B83" i="11522"/>
  <c r="B84" i="11522"/>
  <c r="F84" i="11522" s="1"/>
  <c r="B85" i="11522"/>
  <c r="B86" i="11522"/>
  <c r="B87" i="11522"/>
  <c r="B88" i="11522"/>
  <c r="D89" i="11522" s="1"/>
  <c r="B89" i="11522"/>
  <c r="B90" i="11522"/>
  <c r="B91" i="11522"/>
  <c r="B92" i="11522"/>
  <c r="G92" i="11522" s="1"/>
  <c r="B93" i="11522"/>
  <c r="B94" i="11522"/>
  <c r="B95" i="11522"/>
  <c r="B96" i="11522"/>
  <c r="D96" i="11522" s="1"/>
  <c r="B97" i="11522"/>
  <c r="G97" i="11522" s="1"/>
  <c r="B98" i="11522"/>
  <c r="B99" i="11522"/>
  <c r="B100" i="11522"/>
  <c r="E100" i="11522" s="1"/>
  <c r="B101" i="11522"/>
  <c r="B102" i="11522"/>
  <c r="B103" i="11522"/>
  <c r="B104" i="11522"/>
  <c r="D105" i="11522" s="1"/>
  <c r="B105" i="11522"/>
  <c r="B106" i="11522"/>
  <c r="B107" i="11522"/>
  <c r="B108" i="11522"/>
  <c r="G108" i="11522" s="1"/>
  <c r="B109" i="11522"/>
  <c r="B110" i="11522"/>
  <c r="B111" i="11522"/>
  <c r="B112" i="11522"/>
  <c r="D112" i="11522" s="1"/>
  <c r="B113" i="11522"/>
  <c r="B114" i="11522"/>
  <c r="B115" i="11522"/>
  <c r="B116" i="11522"/>
  <c r="G116" i="11522" s="1"/>
  <c r="B117" i="11522"/>
  <c r="B118" i="11522"/>
  <c r="B119" i="11522"/>
  <c r="B120" i="11522"/>
  <c r="F120" i="11522" s="1"/>
  <c r="B121" i="11522"/>
  <c r="B122" i="11522"/>
  <c r="B123" i="11522"/>
  <c r="B124" i="11522"/>
  <c r="E124" i="11522" s="1"/>
  <c r="B125" i="11522"/>
  <c r="B126" i="11522"/>
  <c r="B127" i="11522"/>
  <c r="E127" i="11522" s="1"/>
  <c r="B128" i="11522"/>
  <c r="C128" i="11522" s="1"/>
  <c r="B129" i="11522"/>
  <c r="B130" i="11522"/>
  <c r="B131" i="11522"/>
  <c r="B132" i="11522"/>
  <c r="G132" i="11522" s="1"/>
  <c r="B133" i="11522"/>
  <c r="B134" i="11522"/>
  <c r="B135" i="11522"/>
  <c r="B136" i="11522"/>
  <c r="D136" i="11522" s="1"/>
  <c r="B137" i="11522"/>
  <c r="B138" i="11522"/>
  <c r="F138" i="11522" s="1"/>
  <c r="B139" i="11522"/>
  <c r="B140" i="11522"/>
  <c r="C140" i="11522" s="1"/>
  <c r="B141" i="11522"/>
  <c r="B142" i="11522"/>
  <c r="B143" i="11522"/>
  <c r="B144" i="11522"/>
  <c r="D145" i="11522" s="1"/>
  <c r="B145" i="11522"/>
  <c r="B146" i="11522"/>
  <c r="B147" i="11522"/>
  <c r="B7" i="515"/>
  <c r="C142" i="515" s="1"/>
  <c r="B8" i="515"/>
  <c r="B9" i="515"/>
  <c r="B10" i="515"/>
  <c r="B11" i="515"/>
  <c r="D12" i="515" s="1"/>
  <c r="B12" i="515"/>
  <c r="B13" i="515"/>
  <c r="B14" i="515"/>
  <c r="B15" i="515"/>
  <c r="E21" i="515" s="1"/>
  <c r="B16" i="515"/>
  <c r="B17" i="515"/>
  <c r="B18" i="515"/>
  <c r="B19" i="515"/>
  <c r="D19" i="515" s="1"/>
  <c r="B20" i="515"/>
  <c r="B21" i="515"/>
  <c r="B22" i="515"/>
  <c r="B23" i="515"/>
  <c r="F23" i="515" s="1"/>
  <c r="B24" i="515"/>
  <c r="B25" i="515"/>
  <c r="B26" i="515"/>
  <c r="B27" i="515"/>
  <c r="E32" i="515" s="1"/>
  <c r="B28" i="515"/>
  <c r="B29" i="515"/>
  <c r="B30" i="515"/>
  <c r="B31" i="515"/>
  <c r="E31" i="515" s="1"/>
  <c r="B32" i="515"/>
  <c r="B33" i="515"/>
  <c r="B34" i="515"/>
  <c r="B35" i="515"/>
  <c r="D36" i="515" s="1"/>
  <c r="B36" i="515"/>
  <c r="B37" i="515"/>
  <c r="B38" i="515"/>
  <c r="B39" i="515"/>
  <c r="C39" i="515" s="1"/>
  <c r="B40" i="515"/>
  <c r="B41" i="515"/>
  <c r="B42" i="515"/>
  <c r="B43" i="515"/>
  <c r="G43" i="515" s="1"/>
  <c r="B44" i="515"/>
  <c r="B45" i="515"/>
  <c r="B46" i="515"/>
  <c r="B47" i="515"/>
  <c r="B48" i="515"/>
  <c r="B49" i="515"/>
  <c r="B50" i="515"/>
  <c r="B51" i="515"/>
  <c r="G75" i="515" s="1"/>
  <c r="B52" i="515"/>
  <c r="B53" i="515"/>
  <c r="B54" i="515"/>
  <c r="B55" i="515"/>
  <c r="D56" i="515" s="1"/>
  <c r="B56" i="515"/>
  <c r="B57" i="515"/>
  <c r="B58" i="515"/>
  <c r="B59" i="515"/>
  <c r="G59" i="515" s="1"/>
  <c r="B60" i="515"/>
  <c r="B61" i="515"/>
  <c r="B62" i="515"/>
  <c r="B63" i="515"/>
  <c r="D63" i="515" s="1"/>
  <c r="B64" i="515"/>
  <c r="B65" i="515"/>
  <c r="G89" i="515" s="1"/>
  <c r="B66" i="515"/>
  <c r="G90" i="515" s="1"/>
  <c r="B67" i="515"/>
  <c r="G67" i="515" s="1"/>
  <c r="B68" i="515"/>
  <c r="B69" i="515"/>
  <c r="B70" i="515"/>
  <c r="B71" i="515"/>
  <c r="F71" i="515" s="1"/>
  <c r="B72" i="515"/>
  <c r="B73" i="515"/>
  <c r="F85" i="515" s="1"/>
  <c r="B74" i="82"/>
  <c r="B75" i="82"/>
  <c r="B76" i="82"/>
  <c r="B77" i="82"/>
  <c r="B78" i="82"/>
  <c r="B79" i="82"/>
  <c r="B80" i="82"/>
  <c r="B81" i="82"/>
  <c r="B82" i="82"/>
  <c r="B83" i="82"/>
  <c r="B84" i="82"/>
  <c r="B85" i="82"/>
  <c r="B86" i="82"/>
  <c r="B87" i="82"/>
  <c r="E87" i="82" s="1"/>
  <c r="B88" i="82"/>
  <c r="B89" i="82"/>
  <c r="B90" i="82"/>
  <c r="B91" i="82"/>
  <c r="B92" i="82"/>
  <c r="B93" i="82"/>
  <c r="B94" i="82"/>
  <c r="B95" i="82"/>
  <c r="B96" i="82"/>
  <c r="B97" i="82"/>
  <c r="F97" i="82" s="1"/>
  <c r="B98" i="82"/>
  <c r="B99" i="82"/>
  <c r="B100" i="82"/>
  <c r="B101" i="82"/>
  <c r="B102" i="82"/>
  <c r="B103" i="82"/>
  <c r="B104" i="82"/>
  <c r="B105" i="82"/>
  <c r="F105" i="82" s="1"/>
  <c r="B106" i="82"/>
  <c r="B107" i="82"/>
  <c r="B108" i="82"/>
  <c r="B109" i="82"/>
  <c r="D110" i="82" s="1"/>
  <c r="B110" i="82"/>
  <c r="B111" i="82"/>
  <c r="B112" i="82"/>
  <c r="B113" i="82"/>
  <c r="G113" i="82" s="1"/>
  <c r="B114" i="82"/>
  <c r="B115" i="82"/>
  <c r="B116" i="82"/>
  <c r="B117" i="82"/>
  <c r="B118" i="82"/>
  <c r="B119" i="82"/>
  <c r="B120" i="82"/>
  <c r="B121" i="82"/>
  <c r="B122" i="82"/>
  <c r="B123" i="82"/>
  <c r="B124" i="82"/>
  <c r="B125" i="82"/>
  <c r="B126" i="82"/>
  <c r="B127" i="82"/>
  <c r="B128" i="82"/>
  <c r="B129" i="82"/>
  <c r="B130" i="82"/>
  <c r="B131" i="82"/>
  <c r="B132" i="82"/>
  <c r="B133" i="82"/>
  <c r="B134" i="82"/>
  <c r="B135" i="82"/>
  <c r="B136" i="82"/>
  <c r="B137" i="82"/>
  <c r="B138" i="82"/>
  <c r="B139" i="82"/>
  <c r="B140" i="82"/>
  <c r="B141" i="82"/>
  <c r="F141" i="82" s="1"/>
  <c r="B142" i="82"/>
  <c r="B143" i="82"/>
  <c r="B144" i="82"/>
  <c r="B145" i="82"/>
  <c r="B146" i="82"/>
  <c r="B147" i="82"/>
  <c r="B74" i="36"/>
  <c r="B75" i="36"/>
  <c r="B76" i="36"/>
  <c r="B77" i="36"/>
  <c r="B78" i="36"/>
  <c r="B79" i="36"/>
  <c r="B80" i="36"/>
  <c r="B81" i="36"/>
  <c r="B82" i="36"/>
  <c r="B83" i="36"/>
  <c r="B84" i="36"/>
  <c r="B85" i="36"/>
  <c r="B86" i="36"/>
  <c r="B87" i="36"/>
  <c r="B88" i="36"/>
  <c r="B89" i="36"/>
  <c r="B90" i="36"/>
  <c r="B91" i="36"/>
  <c r="B92" i="36"/>
  <c r="B93" i="36"/>
  <c r="B94" i="36"/>
  <c r="B95" i="36"/>
  <c r="F95" i="36" s="1"/>
  <c r="B96" i="36"/>
  <c r="B97" i="36"/>
  <c r="B98" i="36"/>
  <c r="B99" i="36"/>
  <c r="E108" i="36" s="1"/>
  <c r="B100" i="36"/>
  <c r="B101" i="36"/>
  <c r="B102" i="36"/>
  <c r="B103" i="36"/>
  <c r="D104" i="36" s="1"/>
  <c r="B104" i="36"/>
  <c r="B105" i="36"/>
  <c r="B106" i="36"/>
  <c r="B107" i="36"/>
  <c r="B108" i="36"/>
  <c r="B109" i="36"/>
  <c r="B110" i="36"/>
  <c r="D111" i="36" s="1"/>
  <c r="B111" i="36"/>
  <c r="B112" i="36"/>
  <c r="B113" i="36"/>
  <c r="B114" i="36"/>
  <c r="E114" i="36" s="1"/>
  <c r="B115" i="36"/>
  <c r="B116" i="36"/>
  <c r="B117" i="36"/>
  <c r="E117" i="36" s="1"/>
  <c r="B118" i="36"/>
  <c r="B119" i="36"/>
  <c r="B120" i="36"/>
  <c r="B121" i="36"/>
  <c r="B122" i="36"/>
  <c r="B123" i="36"/>
  <c r="B124" i="36"/>
  <c r="B125" i="36"/>
  <c r="B126" i="36"/>
  <c r="B127" i="36"/>
  <c r="B128" i="36"/>
  <c r="B129" i="36"/>
  <c r="B130" i="36"/>
  <c r="B131" i="36"/>
  <c r="B132" i="36"/>
  <c r="B133" i="36"/>
  <c r="F133" i="36" s="1"/>
  <c r="B134" i="36"/>
  <c r="B135" i="36"/>
  <c r="B136" i="36"/>
  <c r="F136" i="36" s="1"/>
  <c r="B137" i="36"/>
  <c r="F137" i="36" s="1"/>
  <c r="B138" i="36"/>
  <c r="F138" i="36" s="1"/>
  <c r="B139" i="36"/>
  <c r="B140" i="36"/>
  <c r="B141" i="36"/>
  <c r="F141" i="36" s="1"/>
  <c r="B142" i="36"/>
  <c r="B143" i="36"/>
  <c r="F143" i="36" s="1"/>
  <c r="B144" i="36"/>
  <c r="B145" i="36"/>
  <c r="G145" i="36" s="1"/>
  <c r="B146" i="36"/>
  <c r="B147" i="36"/>
  <c r="B7" i="82"/>
  <c r="B8" i="82"/>
  <c r="B9" i="82"/>
  <c r="B10" i="82"/>
  <c r="B11" i="82"/>
  <c r="B12" i="82"/>
  <c r="B13" i="82"/>
  <c r="B14" i="82"/>
  <c r="B15" i="82"/>
  <c r="B16" i="82"/>
  <c r="B17" i="82"/>
  <c r="B18" i="82"/>
  <c r="B19" i="82"/>
  <c r="B20" i="82"/>
  <c r="B21" i="82"/>
  <c r="B22" i="82"/>
  <c r="B23" i="82"/>
  <c r="B24" i="82"/>
  <c r="B25" i="82"/>
  <c r="B26" i="82"/>
  <c r="B27" i="82"/>
  <c r="B28" i="82"/>
  <c r="B29" i="82"/>
  <c r="B30" i="82"/>
  <c r="B31" i="82"/>
  <c r="B32" i="82"/>
  <c r="B33" i="82"/>
  <c r="B34" i="82"/>
  <c r="G34" i="82" s="1"/>
  <c r="B35" i="82"/>
  <c r="B36" i="82"/>
  <c r="B37" i="82"/>
  <c r="B38" i="82"/>
  <c r="B39" i="82"/>
  <c r="B40" i="82"/>
  <c r="B41" i="82"/>
  <c r="B42" i="82"/>
  <c r="G42" i="82" s="1"/>
  <c r="B43" i="82"/>
  <c r="B44" i="82"/>
  <c r="B45" i="82"/>
  <c r="B46" i="82"/>
  <c r="B47" i="82"/>
  <c r="B48" i="82"/>
  <c r="B50" i="82"/>
  <c r="B51" i="82"/>
  <c r="B52" i="82"/>
  <c r="B53" i="82"/>
  <c r="G77" i="82" s="1"/>
  <c r="B54" i="82"/>
  <c r="B55" i="82"/>
  <c r="B56" i="82"/>
  <c r="B57" i="82"/>
  <c r="E57" i="82" s="1"/>
  <c r="B58" i="82"/>
  <c r="B59" i="82"/>
  <c r="E59" i="82" s="1"/>
  <c r="B60" i="82"/>
  <c r="B61" i="82"/>
  <c r="B62" i="82"/>
  <c r="B63" i="82"/>
  <c r="B64" i="82"/>
  <c r="B65" i="82"/>
  <c r="F65" i="82" s="1"/>
  <c r="B66" i="82"/>
  <c r="B67" i="82"/>
  <c r="B68" i="82"/>
  <c r="B69" i="82"/>
  <c r="D70" i="82" s="1"/>
  <c r="B70" i="82"/>
  <c r="B71" i="82"/>
  <c r="B72" i="82"/>
  <c r="B73" i="82"/>
  <c r="F85" i="82" s="1"/>
  <c r="B74" i="8196"/>
  <c r="B75" i="8196"/>
  <c r="B76" i="8196"/>
  <c r="B77" i="8196"/>
  <c r="B78" i="8196"/>
  <c r="B79" i="8196"/>
  <c r="B80" i="8196"/>
  <c r="B81" i="8196"/>
  <c r="B82" i="8196"/>
  <c r="B83" i="8196"/>
  <c r="B84" i="8196"/>
  <c r="B85" i="8196"/>
  <c r="B86" i="8196"/>
  <c r="B87" i="8196"/>
  <c r="B88" i="8196"/>
  <c r="B89" i="8196"/>
  <c r="B90" i="8196"/>
  <c r="B91" i="8196"/>
  <c r="B92" i="8196"/>
  <c r="B93" i="8196"/>
  <c r="B94" i="8196"/>
  <c r="B95" i="8196"/>
  <c r="B96" i="8196"/>
  <c r="B97" i="8196"/>
  <c r="B98" i="8196"/>
  <c r="B99" i="8196"/>
  <c r="B100" i="8196"/>
  <c r="B101" i="8196"/>
  <c r="B102" i="8196"/>
  <c r="B103" i="8196"/>
  <c r="B104" i="8196"/>
  <c r="B105" i="8196"/>
  <c r="B106" i="8196"/>
  <c r="B107" i="8196"/>
  <c r="B108" i="8196"/>
  <c r="B109" i="8196"/>
  <c r="B110" i="8196"/>
  <c r="B111" i="8196"/>
  <c r="B112" i="8196"/>
  <c r="B113" i="8196"/>
  <c r="B114" i="8196"/>
  <c r="B115" i="8196"/>
  <c r="B116" i="8196"/>
  <c r="B117" i="8196"/>
  <c r="B118" i="8196"/>
  <c r="B119" i="8196"/>
  <c r="B120" i="8196"/>
  <c r="B121" i="8196"/>
  <c r="B122" i="8196"/>
  <c r="B123" i="8196"/>
  <c r="B124" i="8196"/>
  <c r="B125" i="8196"/>
  <c r="B126" i="8196"/>
  <c r="B127" i="8196"/>
  <c r="B128" i="8196"/>
  <c r="B129" i="8196"/>
  <c r="B130" i="8196"/>
  <c r="B131" i="8196"/>
  <c r="B132" i="8196"/>
  <c r="B133" i="8196"/>
  <c r="B134" i="8196"/>
  <c r="B135" i="8196"/>
  <c r="B136" i="8196"/>
  <c r="B137" i="8196"/>
  <c r="B138" i="8196"/>
  <c r="B140" i="8196"/>
  <c r="B141" i="8196"/>
  <c r="B142" i="8196"/>
  <c r="B143" i="8196"/>
  <c r="B144" i="8196"/>
  <c r="B145" i="8196"/>
  <c r="B146" i="8196"/>
  <c r="B147" i="8196"/>
  <c r="B148" i="8196"/>
  <c r="B8" i="512"/>
  <c r="B9" i="512"/>
  <c r="B10" i="512"/>
  <c r="B11" i="512"/>
  <c r="B12" i="512"/>
  <c r="B13" i="512"/>
  <c r="B14" i="512"/>
  <c r="B15" i="512"/>
  <c r="B16" i="512"/>
  <c r="B17" i="512"/>
  <c r="B18" i="512"/>
  <c r="B19" i="512"/>
  <c r="B20" i="512"/>
  <c r="B21" i="512"/>
  <c r="B22" i="512"/>
  <c r="B23" i="512"/>
  <c r="B24" i="512"/>
  <c r="B25" i="512"/>
  <c r="B26" i="512"/>
  <c r="B27" i="512"/>
  <c r="B28" i="512"/>
  <c r="B29" i="512"/>
  <c r="B30" i="512"/>
  <c r="B31" i="512"/>
  <c r="B32" i="512"/>
  <c r="B33" i="512"/>
  <c r="B34" i="512"/>
  <c r="B35" i="512"/>
  <c r="B36" i="512"/>
  <c r="B37" i="512"/>
  <c r="B38" i="512"/>
  <c r="B39" i="512"/>
  <c r="B40" i="512"/>
  <c r="B41" i="512"/>
  <c r="B42" i="512"/>
  <c r="B43" i="512"/>
  <c r="B44" i="512"/>
  <c r="B45" i="512"/>
  <c r="B46" i="512"/>
  <c r="B47" i="512"/>
  <c r="B48" i="512"/>
  <c r="B49" i="512"/>
  <c r="B50" i="512"/>
  <c r="B51" i="512"/>
  <c r="B52" i="512"/>
  <c r="B53" i="512"/>
  <c r="B54" i="512"/>
  <c r="B55" i="512"/>
  <c r="B56" i="512"/>
  <c r="B57" i="512"/>
  <c r="B58" i="512"/>
  <c r="B59" i="512"/>
  <c r="B60" i="512"/>
  <c r="B61" i="512"/>
  <c r="B62" i="512"/>
  <c r="B63" i="512"/>
  <c r="B64" i="512"/>
  <c r="B65" i="512"/>
  <c r="B66" i="512"/>
  <c r="B67" i="512"/>
  <c r="B68" i="512"/>
  <c r="B69" i="512"/>
  <c r="B70" i="512"/>
  <c r="B71" i="512"/>
  <c r="B72" i="512"/>
  <c r="B73" i="512"/>
  <c r="B74" i="512"/>
  <c r="B75" i="512"/>
  <c r="B76" i="512"/>
  <c r="B77" i="512"/>
  <c r="B78" i="512"/>
  <c r="B79" i="512"/>
  <c r="B80" i="512"/>
  <c r="B81" i="512"/>
  <c r="B82" i="512"/>
  <c r="B83" i="512"/>
  <c r="B84" i="512"/>
  <c r="B85" i="512"/>
  <c r="B86" i="512"/>
  <c r="B87" i="512"/>
  <c r="B88" i="512"/>
  <c r="B89" i="512"/>
  <c r="B90" i="512"/>
  <c r="B91" i="512"/>
  <c r="B92" i="512"/>
  <c r="B93" i="512"/>
  <c r="B94" i="512"/>
  <c r="B95" i="512"/>
  <c r="B96" i="512"/>
  <c r="B97" i="512"/>
  <c r="B98" i="512"/>
  <c r="B99" i="512"/>
  <c r="B100" i="512"/>
  <c r="B101" i="512"/>
  <c r="B102" i="512"/>
  <c r="B103" i="512"/>
  <c r="B104" i="512"/>
  <c r="B105" i="512"/>
  <c r="B106" i="512"/>
  <c r="B107" i="512"/>
  <c r="B108" i="512"/>
  <c r="B109" i="512"/>
  <c r="B110" i="512"/>
  <c r="B111" i="512"/>
  <c r="B112" i="512"/>
  <c r="B113" i="512"/>
  <c r="B114" i="512"/>
  <c r="B115" i="512"/>
  <c r="B116" i="512"/>
  <c r="B117" i="512"/>
  <c r="B118" i="512"/>
  <c r="B119" i="512"/>
  <c r="B120" i="512"/>
  <c r="B121" i="512"/>
  <c r="B122" i="512"/>
  <c r="B123" i="512"/>
  <c r="B124" i="512"/>
  <c r="B125" i="512"/>
  <c r="B126" i="512"/>
  <c r="B127" i="512"/>
  <c r="B128" i="512"/>
  <c r="B129" i="512"/>
  <c r="B130" i="512"/>
  <c r="B131" i="512"/>
  <c r="B132" i="512"/>
  <c r="B133" i="512"/>
  <c r="B134" i="512"/>
  <c r="B135" i="512"/>
  <c r="B137" i="512"/>
  <c r="B138" i="512"/>
  <c r="B139" i="512"/>
  <c r="B140" i="512"/>
  <c r="B141" i="512"/>
  <c r="B142" i="512"/>
  <c r="B143" i="512"/>
  <c r="B144" i="512"/>
  <c r="B145" i="512"/>
  <c r="B146" i="512"/>
  <c r="B147" i="512"/>
  <c r="B148" i="512"/>
  <c r="B7" i="36"/>
  <c r="B8" i="36"/>
  <c r="C92" i="36" s="1"/>
  <c r="B9" i="36"/>
  <c r="B10" i="36"/>
  <c r="B11" i="36"/>
  <c r="B12" i="36"/>
  <c r="B13" i="36"/>
  <c r="B14" i="36"/>
  <c r="B15" i="36"/>
  <c r="B16" i="36"/>
  <c r="C16" i="36" s="1"/>
  <c r="B17" i="36"/>
  <c r="B18" i="36"/>
  <c r="B19" i="36"/>
  <c r="B20" i="36"/>
  <c r="F20" i="36" s="1"/>
  <c r="B21" i="36"/>
  <c r="B22" i="36"/>
  <c r="B24" i="36"/>
  <c r="B25" i="36"/>
  <c r="C25" i="36" s="1"/>
  <c r="B26" i="36"/>
  <c r="B27" i="36"/>
  <c r="B28" i="36"/>
  <c r="B29" i="36"/>
  <c r="C29" i="36" s="1"/>
  <c r="B30" i="36"/>
  <c r="B31" i="36"/>
  <c r="B32" i="36"/>
  <c r="B33" i="36"/>
  <c r="F33" i="36" s="1"/>
  <c r="B34" i="36"/>
  <c r="B35" i="36"/>
  <c r="B36" i="36"/>
  <c r="B37" i="36"/>
  <c r="C37" i="36" s="1"/>
  <c r="B38" i="36"/>
  <c r="B39" i="36"/>
  <c r="B40" i="36"/>
  <c r="B41" i="36"/>
  <c r="G41" i="36" s="1"/>
  <c r="B42" i="36"/>
  <c r="B43" i="36"/>
  <c r="B44" i="36"/>
  <c r="B45" i="36"/>
  <c r="B46" i="36"/>
  <c r="B47" i="36"/>
  <c r="B48" i="36"/>
  <c r="B49" i="36"/>
  <c r="G49" i="36" s="1"/>
  <c r="B50" i="36"/>
  <c r="B51" i="36"/>
  <c r="B52" i="36"/>
  <c r="B53" i="36"/>
  <c r="B54" i="36"/>
  <c r="B55" i="36"/>
  <c r="B56" i="36"/>
  <c r="B57" i="36"/>
  <c r="F57" i="36" s="1"/>
  <c r="B58" i="36"/>
  <c r="B59" i="36"/>
  <c r="B60" i="36"/>
  <c r="B61" i="36"/>
  <c r="C61" i="36" s="1"/>
  <c r="B62" i="36"/>
  <c r="B63" i="36"/>
  <c r="B64" i="36"/>
  <c r="B65" i="36"/>
  <c r="F65" i="36" s="1"/>
  <c r="B66" i="36"/>
  <c r="B67" i="36"/>
  <c r="B68" i="36"/>
  <c r="B69" i="36"/>
  <c r="B70" i="36"/>
  <c r="B71" i="36"/>
  <c r="B72" i="36"/>
  <c r="B73" i="36"/>
  <c r="B8" i="2048"/>
  <c r="B9" i="2048"/>
  <c r="B10" i="2048"/>
  <c r="B11" i="2048"/>
  <c r="B12" i="2048"/>
  <c r="B13" i="2048"/>
  <c r="B14" i="2048"/>
  <c r="B15" i="2048"/>
  <c r="B16" i="2048"/>
  <c r="B17" i="2048"/>
  <c r="B18" i="2048"/>
  <c r="B19" i="2048"/>
  <c r="B20" i="2048"/>
  <c r="B21" i="2048"/>
  <c r="B22" i="2048"/>
  <c r="B23" i="2048"/>
  <c r="B24" i="2048"/>
  <c r="B25" i="2048"/>
  <c r="B26" i="2048"/>
  <c r="B27" i="2048"/>
  <c r="B28" i="2048"/>
  <c r="B29" i="2048"/>
  <c r="B30" i="2048"/>
  <c r="B31" i="2048"/>
  <c r="B32" i="2048"/>
  <c r="B33" i="2048"/>
  <c r="B34" i="2048"/>
  <c r="B35" i="2048"/>
  <c r="B36" i="2048"/>
  <c r="B37" i="2048"/>
  <c r="B38" i="2048"/>
  <c r="B39" i="2048"/>
  <c r="B40" i="2048"/>
  <c r="B41" i="2048"/>
  <c r="B42" i="2048"/>
  <c r="B43" i="2048"/>
  <c r="B44" i="2048"/>
  <c r="B45" i="2048"/>
  <c r="B46" i="2048"/>
  <c r="B47" i="2048"/>
  <c r="B48" i="2048"/>
  <c r="B49" i="2048"/>
  <c r="B50" i="2048"/>
  <c r="B51" i="2048"/>
  <c r="B52" i="2048"/>
  <c r="B53" i="2048"/>
  <c r="B54" i="2048"/>
  <c r="B55" i="2048"/>
  <c r="B56" i="2048"/>
  <c r="B57" i="2048"/>
  <c r="B58" i="2048"/>
  <c r="B59" i="2048"/>
  <c r="B60" i="2048"/>
  <c r="B61" i="2048"/>
  <c r="B62" i="2048"/>
  <c r="B63" i="2048"/>
  <c r="B64" i="2048"/>
  <c r="B65" i="2048"/>
  <c r="B66" i="2048"/>
  <c r="B67" i="2048"/>
  <c r="B68" i="2048"/>
  <c r="B69" i="2048"/>
  <c r="B70" i="2048"/>
  <c r="B71" i="2048"/>
  <c r="B72" i="2048"/>
  <c r="B73" i="2048"/>
  <c r="B74" i="2048"/>
  <c r="B75" i="2048"/>
  <c r="B76" i="2048"/>
  <c r="B77" i="2048"/>
  <c r="B78" i="2048"/>
  <c r="B79" i="2048"/>
  <c r="B80" i="2048"/>
  <c r="B81" i="2048"/>
  <c r="B82" i="2048"/>
  <c r="B83" i="2048"/>
  <c r="B84" i="2048"/>
  <c r="B85" i="2048"/>
  <c r="B86" i="2048"/>
  <c r="B87" i="2048"/>
  <c r="B88" i="2048"/>
  <c r="B89" i="2048"/>
  <c r="B90" i="2048"/>
  <c r="B91" i="2048"/>
  <c r="B92" i="2048"/>
  <c r="B93" i="2048"/>
  <c r="B94" i="2048"/>
  <c r="B95" i="2048"/>
  <c r="B96" i="2048"/>
  <c r="B97" i="2048"/>
  <c r="B98" i="2048"/>
  <c r="B99" i="2048"/>
  <c r="B100" i="2048"/>
  <c r="B101" i="2048"/>
  <c r="B102" i="2048"/>
  <c r="B103" i="2048"/>
  <c r="B104" i="2048"/>
  <c r="B105" i="2048"/>
  <c r="B106" i="2048"/>
  <c r="B107" i="2048"/>
  <c r="B108" i="2048"/>
  <c r="B109" i="2048"/>
  <c r="B110" i="2048"/>
  <c r="B111" i="2048"/>
  <c r="B112" i="2048"/>
  <c r="B113" i="2048"/>
  <c r="B114" i="2048"/>
  <c r="B115" i="2048"/>
  <c r="B116" i="2048"/>
  <c r="B117" i="2048"/>
  <c r="B118" i="2048"/>
  <c r="B119" i="2048"/>
  <c r="B120" i="2048"/>
  <c r="B121" i="2048"/>
  <c r="B122" i="2048"/>
  <c r="B123" i="2048"/>
  <c r="B124" i="2048"/>
  <c r="B125" i="2048"/>
  <c r="B126" i="2048"/>
  <c r="B127" i="2048"/>
  <c r="B128" i="2048"/>
  <c r="B129" i="2048"/>
  <c r="B130" i="2048"/>
  <c r="B131" i="2048"/>
  <c r="B132" i="2048"/>
  <c r="B133" i="2048"/>
  <c r="B134" i="2048"/>
  <c r="B135" i="2048"/>
  <c r="B136" i="2048"/>
  <c r="B137" i="2048"/>
  <c r="B138" i="2048"/>
  <c r="B139" i="2048"/>
  <c r="B140" i="2048"/>
  <c r="B141" i="2048"/>
  <c r="B142" i="2048"/>
  <c r="B143" i="2048"/>
  <c r="B144" i="2048"/>
  <c r="B145" i="2048"/>
  <c r="B146" i="2048"/>
  <c r="B147" i="2048"/>
  <c r="B148" i="2048"/>
  <c r="B8" i="10541"/>
  <c r="B9" i="10541"/>
  <c r="B10" i="10541"/>
  <c r="B11" i="10541"/>
  <c r="B12" i="10541"/>
  <c r="B13" i="10541"/>
  <c r="B14" i="10541"/>
  <c r="B15" i="10541"/>
  <c r="B16" i="10541"/>
  <c r="B17" i="10541"/>
  <c r="B18" i="10541"/>
  <c r="B19" i="10541"/>
  <c r="B20" i="10541"/>
  <c r="B21" i="10541"/>
  <c r="B22" i="10541"/>
  <c r="B23" i="10541"/>
  <c r="B24" i="10541"/>
  <c r="B25" i="10541"/>
  <c r="B26" i="10541"/>
  <c r="B27" i="10541"/>
  <c r="B28" i="10541"/>
  <c r="B29" i="10541"/>
  <c r="B30" i="10541"/>
  <c r="B31" i="10541"/>
  <c r="B32" i="10541"/>
  <c r="B33" i="10541"/>
  <c r="B34" i="10541"/>
  <c r="B35" i="10541"/>
  <c r="B36" i="10541"/>
  <c r="B37" i="10541"/>
  <c r="B38" i="10541"/>
  <c r="B39" i="10541"/>
  <c r="B40" i="10541"/>
  <c r="B41" i="10541"/>
  <c r="B42" i="10541"/>
  <c r="B43" i="10541"/>
  <c r="B44" i="10541"/>
  <c r="B45" i="10541"/>
  <c r="B46" i="10541"/>
  <c r="B47" i="10541"/>
  <c r="B48" i="10541"/>
  <c r="B49" i="10541"/>
  <c r="B50" i="10541"/>
  <c r="B51" i="10541"/>
  <c r="B52" i="10541"/>
  <c r="B53" i="10541"/>
  <c r="B54" i="10541"/>
  <c r="B55" i="10541"/>
  <c r="B56" i="10541"/>
  <c r="B57" i="10541"/>
  <c r="B58" i="10541"/>
  <c r="B59" i="10541"/>
  <c r="B60" i="10541"/>
  <c r="B61" i="10541"/>
  <c r="B62" i="10541"/>
  <c r="B63" i="10541"/>
  <c r="B64" i="10541"/>
  <c r="B65" i="10541"/>
  <c r="B66" i="10541"/>
  <c r="B67" i="10541"/>
  <c r="B68" i="10541"/>
  <c r="B69" i="10541"/>
  <c r="B70" i="10541"/>
  <c r="B71" i="10541"/>
  <c r="B72" i="10541"/>
  <c r="B73" i="10541"/>
  <c r="B74" i="10541"/>
  <c r="B75" i="10541"/>
  <c r="B76" i="10541"/>
  <c r="B77" i="10541"/>
  <c r="B78" i="10541"/>
  <c r="B79" i="10541"/>
  <c r="B80" i="10541"/>
  <c r="B81" i="10541"/>
  <c r="B82" i="10541"/>
  <c r="B83" i="10541"/>
  <c r="B84" i="10541"/>
  <c r="B85" i="10541"/>
  <c r="B86" i="10541"/>
  <c r="B87" i="10541"/>
  <c r="B88" i="10541"/>
  <c r="B89" i="10541"/>
  <c r="B90" i="10541"/>
  <c r="B91" i="10541"/>
  <c r="B92" i="10541"/>
  <c r="B93" i="10541"/>
  <c r="B94" i="10541"/>
  <c r="B95" i="10541"/>
  <c r="B96" i="10541"/>
  <c r="B97" i="10541"/>
  <c r="B98" i="10541"/>
  <c r="B99" i="10541"/>
  <c r="B100" i="10541"/>
  <c r="B101" i="10541"/>
  <c r="B102" i="10541"/>
  <c r="B103" i="10541"/>
  <c r="B104" i="10541"/>
  <c r="B105" i="10541"/>
  <c r="B106" i="10541"/>
  <c r="B107" i="10541"/>
  <c r="B108" i="10541"/>
  <c r="B109" i="10541"/>
  <c r="B110" i="10541"/>
  <c r="B111" i="10541"/>
  <c r="B112" i="10541"/>
  <c r="B113" i="10541"/>
  <c r="B114" i="10541"/>
  <c r="B115" i="10541"/>
  <c r="B116" i="10541"/>
  <c r="B117" i="10541"/>
  <c r="B118" i="10541"/>
  <c r="B119" i="10541"/>
  <c r="B120" i="10541"/>
  <c r="B121" i="10541"/>
  <c r="B122" i="10541"/>
  <c r="B123" i="10541"/>
  <c r="B124" i="10541"/>
  <c r="B125" i="10541"/>
  <c r="B126" i="10541"/>
  <c r="B127" i="10541"/>
  <c r="B128" i="10541"/>
  <c r="B129" i="10541"/>
  <c r="B130" i="10541"/>
  <c r="B131" i="10541"/>
  <c r="B132" i="10541"/>
  <c r="B133" i="10541"/>
  <c r="B134" i="10541"/>
  <c r="B135" i="10541"/>
  <c r="B136" i="10541"/>
  <c r="B137" i="10541"/>
  <c r="B138" i="10541"/>
  <c r="B139" i="10541"/>
  <c r="B140" i="10541"/>
  <c r="B141" i="10541"/>
  <c r="B142" i="10541"/>
  <c r="B143" i="10541"/>
  <c r="B144" i="10541"/>
  <c r="B145" i="10541"/>
  <c r="B146" i="10541"/>
  <c r="B147" i="10541"/>
  <c r="B148" i="10541"/>
  <c r="B149" i="10541"/>
  <c r="B150" i="10541"/>
  <c r="B151" i="10541"/>
  <c r="B152" i="10541"/>
  <c r="B153" i="10541"/>
  <c r="B154" i="10541"/>
  <c r="B155" i="10541"/>
  <c r="B156" i="10541"/>
  <c r="B157" i="10541"/>
  <c r="B158" i="10541"/>
  <c r="B159" i="10541"/>
  <c r="B160" i="10541"/>
  <c r="B161" i="10541"/>
  <c r="B162" i="10541"/>
  <c r="B163" i="10541"/>
  <c r="B164" i="10541"/>
  <c r="B165" i="10541"/>
  <c r="B166" i="10541"/>
  <c r="B167" i="10541"/>
  <c r="B168" i="10541"/>
  <c r="B169" i="10541"/>
  <c r="B170" i="10541"/>
  <c r="B171" i="10541"/>
  <c r="B172" i="10541"/>
  <c r="B173" i="10541"/>
  <c r="B174" i="10541"/>
  <c r="B175" i="10541"/>
  <c r="B176" i="10541"/>
  <c r="B177" i="10541"/>
  <c r="B178" i="10541"/>
  <c r="B179" i="10541"/>
  <c r="B180" i="10541"/>
  <c r="B181" i="10541"/>
  <c r="B182" i="10541"/>
  <c r="B183" i="10541"/>
  <c r="B184" i="10541"/>
  <c r="B185" i="10541"/>
  <c r="B186" i="10541"/>
  <c r="B187" i="10541"/>
  <c r="B188" i="10541"/>
  <c r="B189" i="10541"/>
  <c r="B190" i="10541"/>
  <c r="B191" i="10541"/>
  <c r="B192" i="10541"/>
  <c r="B193" i="10541"/>
  <c r="B194" i="10541"/>
  <c r="B195" i="10541"/>
  <c r="B196" i="10541"/>
  <c r="B197" i="10541"/>
  <c r="B198" i="10541"/>
  <c r="B199" i="10541"/>
  <c r="B200" i="10541"/>
  <c r="B201" i="10541"/>
  <c r="B202" i="10541"/>
  <c r="B203" i="10541"/>
  <c r="B204" i="10541"/>
  <c r="B205" i="10541"/>
  <c r="B206" i="10541"/>
  <c r="B207" i="10541"/>
  <c r="B208" i="10541"/>
  <c r="B209" i="10541"/>
  <c r="B210" i="10541"/>
  <c r="B211" i="10541"/>
  <c r="B212" i="10541"/>
  <c r="B213" i="10541"/>
  <c r="B214" i="10541"/>
  <c r="B215" i="10541"/>
  <c r="B216" i="10541"/>
  <c r="B217" i="10541"/>
  <c r="B10" i="8196"/>
  <c r="B11" i="8196"/>
  <c r="B12" i="8196"/>
  <c r="B13" i="8196"/>
  <c r="B14" i="8196"/>
  <c r="B15" i="8196"/>
  <c r="B16" i="8196"/>
  <c r="B17" i="8196"/>
  <c r="B18" i="8196"/>
  <c r="B19" i="8196"/>
  <c r="B20" i="8196"/>
  <c r="B21" i="8196"/>
  <c r="B22" i="8196"/>
  <c r="B23" i="8196"/>
  <c r="B24" i="8196"/>
  <c r="B25" i="8196"/>
  <c r="B26" i="8196"/>
  <c r="B27" i="8196"/>
  <c r="B28" i="8196"/>
  <c r="B29" i="8196"/>
  <c r="B30" i="8196"/>
  <c r="B31" i="8196"/>
  <c r="B32" i="8196"/>
  <c r="B33" i="8196"/>
  <c r="B34" i="8196"/>
  <c r="B35" i="8196"/>
  <c r="B36" i="8196"/>
  <c r="B37" i="8196"/>
  <c r="B38" i="8196"/>
  <c r="B39" i="8196"/>
  <c r="B40" i="8196"/>
  <c r="B41" i="8196"/>
  <c r="B42" i="8196"/>
  <c r="B43" i="8196"/>
  <c r="B44" i="8196"/>
  <c r="B45" i="8196"/>
  <c r="B46" i="8196"/>
  <c r="B47" i="8196"/>
  <c r="B48" i="8196"/>
  <c r="B49" i="8196"/>
  <c r="B50" i="8196"/>
  <c r="B51" i="8196"/>
  <c r="B52" i="8196"/>
  <c r="B53" i="8196"/>
  <c r="B54" i="8196"/>
  <c r="B55" i="8196"/>
  <c r="B56" i="8196"/>
  <c r="B57" i="8196"/>
  <c r="B58" i="8196"/>
  <c r="B59" i="8196"/>
  <c r="B60" i="8196"/>
  <c r="B61" i="8196"/>
  <c r="B62" i="8196"/>
  <c r="B63" i="8196"/>
  <c r="B64" i="8196"/>
  <c r="B65" i="8196"/>
  <c r="B67" i="8196"/>
  <c r="B68" i="8196"/>
  <c r="B69" i="8196"/>
  <c r="B70" i="8196"/>
  <c r="B71" i="8196"/>
  <c r="B72" i="8196"/>
  <c r="B73" i="8196"/>
  <c r="B8" i="2819"/>
  <c r="B9" i="2819"/>
  <c r="B10" i="2819"/>
  <c r="B11" i="2819"/>
  <c r="B12" i="2819"/>
  <c r="B13" i="2819"/>
  <c r="B14" i="2819"/>
  <c r="B15" i="2819"/>
  <c r="B16" i="2819"/>
  <c r="B17" i="2819"/>
  <c r="B18" i="2819"/>
  <c r="B19" i="2819"/>
  <c r="B20" i="2819"/>
  <c r="B21" i="2819"/>
  <c r="B22" i="2819"/>
  <c r="B23" i="2819"/>
  <c r="B24" i="2819"/>
  <c r="B25" i="2819"/>
  <c r="B26" i="2819"/>
  <c r="B27" i="2819"/>
  <c r="B28" i="2819"/>
  <c r="B29" i="2819"/>
  <c r="B30" i="2819"/>
  <c r="B31" i="2819"/>
  <c r="B32" i="2819"/>
  <c r="B33" i="2819"/>
  <c r="B34" i="2819"/>
  <c r="B35" i="2819"/>
  <c r="B36" i="2819"/>
  <c r="B37" i="2819"/>
  <c r="B38" i="2819"/>
  <c r="B39" i="2819"/>
  <c r="B40" i="2819"/>
  <c r="B41" i="2819"/>
  <c r="B43" i="2819"/>
  <c r="B44" i="2819"/>
  <c r="B45" i="2819"/>
  <c r="B46" i="2819"/>
  <c r="B47" i="2819"/>
  <c r="B48" i="2819"/>
  <c r="B49" i="2819"/>
  <c r="B50" i="2819"/>
  <c r="B51" i="2819"/>
  <c r="B52" i="2819"/>
  <c r="B53" i="2819"/>
  <c r="B54" i="2819"/>
  <c r="B55" i="2819"/>
  <c r="B56" i="2819"/>
  <c r="B57" i="2819"/>
  <c r="B58" i="2819"/>
  <c r="B59" i="2819"/>
  <c r="B60" i="2819"/>
  <c r="B61" i="2819"/>
  <c r="B62" i="2819"/>
  <c r="B63" i="2819"/>
  <c r="B64" i="2819"/>
  <c r="B65" i="2819"/>
  <c r="B66" i="2819"/>
  <c r="B67" i="2819"/>
  <c r="B68" i="2819"/>
  <c r="B69" i="2819"/>
  <c r="B70" i="2819"/>
  <c r="B71" i="2819"/>
  <c r="B72" i="2819"/>
  <c r="B73" i="2819"/>
  <c r="B74" i="2819"/>
  <c r="B75" i="2819"/>
  <c r="B76" i="2819"/>
  <c r="B77" i="2819"/>
  <c r="B80" i="2819"/>
  <c r="B81" i="2819"/>
  <c r="B82" i="2819"/>
  <c r="B83" i="2819"/>
  <c r="B84" i="2819"/>
  <c r="B85" i="2819"/>
  <c r="B86" i="2819"/>
  <c r="B87" i="2819"/>
  <c r="B88" i="2819"/>
  <c r="B89" i="2819"/>
  <c r="B90" i="2819"/>
  <c r="B91" i="2819"/>
  <c r="B92" i="2819"/>
  <c r="B93" i="2819"/>
  <c r="B94" i="2819"/>
  <c r="B95" i="2819"/>
  <c r="B96" i="2819"/>
  <c r="B97" i="2819"/>
  <c r="B98" i="2819"/>
  <c r="B99" i="2819"/>
  <c r="B100" i="2819"/>
  <c r="B101" i="2819"/>
  <c r="B102" i="2819"/>
  <c r="B103" i="2819"/>
  <c r="B104" i="2819"/>
  <c r="B105" i="2819"/>
  <c r="B106" i="2819"/>
  <c r="B107" i="2819"/>
  <c r="B108" i="2819"/>
  <c r="B109" i="2819"/>
  <c r="B110" i="2819"/>
  <c r="B111" i="2819"/>
  <c r="B112" i="2819"/>
  <c r="B113" i="2819"/>
  <c r="B114" i="2819"/>
  <c r="B115" i="2819"/>
  <c r="B116" i="2819"/>
  <c r="B117" i="2819"/>
  <c r="B118" i="2819"/>
  <c r="B119" i="2819"/>
  <c r="B120" i="2819"/>
  <c r="B121" i="2819"/>
  <c r="B122" i="2819"/>
  <c r="B123" i="2819"/>
  <c r="B124" i="2819"/>
  <c r="B125" i="2819"/>
  <c r="B126" i="2819"/>
  <c r="B127" i="2819"/>
  <c r="B128" i="2819"/>
  <c r="B129" i="2819"/>
  <c r="B130" i="2819"/>
  <c r="B131" i="2819"/>
  <c r="B132" i="2819"/>
  <c r="B133" i="2819"/>
  <c r="B134" i="2819"/>
  <c r="B135" i="2819"/>
  <c r="B136" i="2819"/>
  <c r="B137" i="2819"/>
  <c r="B138" i="2819"/>
  <c r="B139" i="2819"/>
  <c r="B140" i="2819"/>
  <c r="B141" i="2819"/>
  <c r="B142" i="2819"/>
  <c r="B143" i="2819"/>
  <c r="B144" i="2819"/>
  <c r="B145" i="2819"/>
  <c r="B146" i="2819"/>
  <c r="B147" i="2819"/>
  <c r="B148" i="2819"/>
  <c r="B8" i="2561"/>
  <c r="B9" i="2561"/>
  <c r="B10" i="2561"/>
  <c r="B11" i="2561"/>
  <c r="B12" i="2561"/>
  <c r="B13" i="2561"/>
  <c r="B14" i="2561"/>
  <c r="B15" i="2561"/>
  <c r="B16" i="2561"/>
  <c r="B17" i="2561"/>
  <c r="B18" i="2561"/>
  <c r="B19" i="2561"/>
  <c r="B20" i="2561"/>
  <c r="B21" i="2561"/>
  <c r="B22" i="2561"/>
  <c r="B23" i="2561"/>
  <c r="B24" i="2561"/>
  <c r="B25" i="2561"/>
  <c r="B26" i="2561"/>
  <c r="B27" i="2561"/>
  <c r="B28" i="2561"/>
  <c r="B29" i="2561"/>
  <c r="B30" i="2561"/>
  <c r="B31" i="2561"/>
  <c r="B32" i="2561"/>
  <c r="B33" i="2561"/>
  <c r="B34" i="2561"/>
  <c r="B35" i="2561"/>
  <c r="B36" i="2561"/>
  <c r="B37" i="2561"/>
  <c r="B38" i="2561"/>
  <c r="B39" i="2561"/>
  <c r="B40" i="2561"/>
  <c r="B41" i="2561"/>
  <c r="B42" i="2561"/>
  <c r="B43" i="2561"/>
  <c r="B44" i="2561"/>
  <c r="B45" i="2561"/>
  <c r="B46" i="2561"/>
  <c r="B47" i="2561"/>
  <c r="B48" i="2561"/>
  <c r="B49" i="2561"/>
  <c r="B50" i="2561"/>
  <c r="B51" i="2561"/>
  <c r="B52" i="2561"/>
  <c r="B53" i="2561"/>
  <c r="B54" i="2561"/>
  <c r="B55" i="2561"/>
  <c r="B56" i="2561"/>
  <c r="B57" i="2561"/>
  <c r="B58" i="2561"/>
  <c r="B59" i="2561"/>
  <c r="B60" i="2561"/>
  <c r="B61" i="2561"/>
  <c r="B62" i="2561"/>
  <c r="B63" i="2561"/>
  <c r="B64" i="2561"/>
  <c r="B65" i="2561"/>
  <c r="B66" i="2561"/>
  <c r="B67" i="2561"/>
  <c r="B68" i="2561"/>
  <c r="B69" i="2561"/>
  <c r="B70" i="2561"/>
  <c r="B71" i="2561"/>
  <c r="B72" i="2561"/>
  <c r="B73" i="2561"/>
  <c r="B74" i="2561"/>
  <c r="B75" i="2561"/>
  <c r="B76" i="2561"/>
  <c r="B77" i="2561"/>
  <c r="B78" i="2561"/>
  <c r="B79" i="2561"/>
  <c r="B80" i="2561"/>
  <c r="B81" i="2561"/>
  <c r="B82" i="2561"/>
  <c r="B83" i="2561"/>
  <c r="B84" i="2561"/>
  <c r="B85" i="2561"/>
  <c r="B86" i="2561"/>
  <c r="B87" i="2561"/>
  <c r="B88" i="2561"/>
  <c r="B89" i="2561"/>
  <c r="B90" i="2561"/>
  <c r="B91" i="2561"/>
  <c r="B92" i="2561"/>
  <c r="B93" i="2561"/>
  <c r="B94" i="2561"/>
  <c r="B95" i="2561"/>
  <c r="B96" i="2561"/>
  <c r="B97" i="2561"/>
  <c r="B98" i="2561"/>
  <c r="B99" i="2561"/>
  <c r="B100" i="2561"/>
  <c r="B101" i="2561"/>
  <c r="B102" i="2561"/>
  <c r="B103" i="2561"/>
  <c r="B104" i="2561"/>
  <c r="B105" i="2561"/>
  <c r="B106" i="2561"/>
  <c r="B107" i="2561"/>
  <c r="B108" i="2561"/>
  <c r="B109" i="2561"/>
  <c r="B110" i="2561"/>
  <c r="B111" i="2561"/>
  <c r="B112" i="2561"/>
  <c r="B113" i="2561"/>
  <c r="B114" i="2561"/>
  <c r="B115" i="2561"/>
  <c r="B116" i="2561"/>
  <c r="B117" i="2561"/>
  <c r="B118" i="2561"/>
  <c r="B119" i="2561"/>
  <c r="B120" i="2561"/>
  <c r="B121" i="2561"/>
  <c r="B122" i="2561"/>
  <c r="B123" i="2561"/>
  <c r="B124" i="2561"/>
  <c r="B125" i="2561"/>
  <c r="B126" i="2561"/>
  <c r="B127" i="2561"/>
  <c r="B128" i="2561"/>
  <c r="B129" i="2561"/>
  <c r="B130" i="2561"/>
  <c r="B131" i="2561"/>
  <c r="B132" i="2561"/>
  <c r="B133" i="2561"/>
  <c r="B134" i="2561"/>
  <c r="B135" i="2561"/>
  <c r="B136" i="2561"/>
  <c r="B137" i="2561"/>
  <c r="B138" i="2561"/>
  <c r="B139" i="2561"/>
  <c r="B140" i="2561"/>
  <c r="B141" i="2561"/>
  <c r="B142" i="2561"/>
  <c r="B143" i="2561"/>
  <c r="B144" i="2561"/>
  <c r="B145" i="2561"/>
  <c r="B146" i="2561"/>
  <c r="B147" i="2561"/>
  <c r="B148" i="2561"/>
  <c r="D1551" i="1"/>
  <c r="N1541" i="1"/>
  <c r="L1537" i="1"/>
  <c r="D213" i="1"/>
  <c r="B91" i="1024"/>
  <c r="F1548" i="1"/>
  <c r="J266" i="1"/>
  <c r="E1549" i="1"/>
  <c r="G1505" i="1"/>
  <c r="F23" i="11520"/>
  <c r="G53" i="11521"/>
  <c r="C36" i="11521"/>
  <c r="F24" i="11521"/>
  <c r="F20" i="11521"/>
  <c r="G39" i="2"/>
  <c r="F70" i="11520"/>
  <c r="E70" i="11520"/>
  <c r="D45" i="11520"/>
  <c r="E42" i="11520"/>
  <c r="E38" i="11520"/>
  <c r="G56" i="11520"/>
  <c r="E30" i="11520"/>
  <c r="G94" i="515"/>
  <c r="E68" i="11520"/>
  <c r="C54" i="11520"/>
  <c r="F54" i="11520"/>
  <c r="D55" i="11520"/>
  <c r="F66" i="11520"/>
  <c r="D63" i="11520"/>
  <c r="F62" i="11520"/>
  <c r="D51" i="11520"/>
  <c r="E46" i="11520"/>
  <c r="C35" i="11520"/>
  <c r="F47" i="11520"/>
  <c r="C29" i="11520"/>
  <c r="F60" i="10498"/>
  <c r="G43" i="10498"/>
  <c r="F25" i="10498"/>
  <c r="F23" i="10498"/>
  <c r="F19" i="10498"/>
  <c r="F17" i="10498"/>
  <c r="D24" i="2"/>
  <c r="C7" i="2"/>
  <c r="G31" i="2"/>
  <c r="H23" i="2"/>
  <c r="H17" i="2"/>
  <c r="H6" i="11521"/>
  <c r="H8" i="11521"/>
  <c r="H12" i="11521"/>
  <c r="G56" i="11521"/>
  <c r="F52" i="11521"/>
  <c r="F50" i="11521"/>
  <c r="C48" i="11521"/>
  <c r="C44" i="11521"/>
  <c r="F44" i="11521"/>
  <c r="C42" i="11521"/>
  <c r="F42" i="11521"/>
  <c r="G34" i="11521"/>
  <c r="C14" i="11521"/>
  <c r="C56" i="11521"/>
  <c r="E54" i="11521"/>
  <c r="H39" i="11521"/>
  <c r="C38" i="11521"/>
  <c r="G30" i="11521"/>
  <c r="G70" i="11520"/>
  <c r="F67" i="11520"/>
  <c r="G66" i="11520"/>
  <c r="F63" i="11520"/>
  <c r="G62" i="11520"/>
  <c r="F59" i="11520"/>
  <c r="G58" i="11520"/>
  <c r="E58" i="11520"/>
  <c r="F55" i="11520"/>
  <c r="F51" i="11520"/>
  <c r="F50" i="11520"/>
  <c r="F45" i="11520"/>
  <c r="D43" i="11520"/>
  <c r="F42" i="11520"/>
  <c r="F39" i="11520"/>
  <c r="F37" i="11520"/>
  <c r="F35" i="11520"/>
  <c r="F33" i="11520"/>
  <c r="F29" i="11520"/>
  <c r="D17" i="11520"/>
  <c r="D13" i="11520"/>
  <c r="D147" i="515"/>
  <c r="F125" i="515"/>
  <c r="F98" i="515"/>
  <c r="D75" i="515"/>
  <c r="B79" i="2819"/>
  <c r="G63" i="11520"/>
  <c r="G59" i="11520"/>
  <c r="G149" i="515"/>
  <c r="D26" i="11520"/>
  <c r="D1566" i="1"/>
  <c r="B154" i="9216"/>
  <c r="D966" i="1"/>
  <c r="C12" i="11521"/>
  <c r="G42" i="11521"/>
  <c r="G71" i="11520"/>
  <c r="G144" i="515"/>
  <c r="E89" i="11522"/>
  <c r="H52" i="11521"/>
  <c r="H48" i="11521"/>
  <c r="H46" i="11521"/>
  <c r="H42" i="11521"/>
  <c r="H30" i="11521"/>
  <c r="C128" i="3"/>
  <c r="D148" i="40"/>
  <c r="C79" i="3"/>
  <c r="G148" i="40"/>
  <c r="E41" i="10498"/>
  <c r="C81" i="10498"/>
  <c r="F38" i="2"/>
  <c r="D1547" i="1"/>
  <c r="D71" i="11520"/>
  <c r="D59" i="11520"/>
  <c r="D37" i="11520"/>
  <c r="D35" i="11520"/>
  <c r="D145" i="515"/>
  <c r="D137" i="515"/>
  <c r="D40" i="10498"/>
  <c r="C36" i="2"/>
  <c r="H28" i="2"/>
  <c r="C103" i="10498"/>
  <c r="G66" i="10498"/>
  <c r="C31" i="10498"/>
  <c r="C40" i="10498"/>
  <c r="C96" i="10498"/>
  <c r="F20" i="2"/>
  <c r="C20" i="2"/>
  <c r="D53" i="11521"/>
  <c r="H49" i="11521"/>
  <c r="E52" i="11521"/>
  <c r="H45" i="11521"/>
  <c r="E41" i="11521"/>
  <c r="H41" i="11521"/>
  <c r="E40" i="11521"/>
  <c r="E48" i="11521"/>
  <c r="G35" i="11521"/>
  <c r="G33" i="11521"/>
  <c r="F25" i="11521"/>
  <c r="F23" i="11521"/>
  <c r="G54" i="40"/>
  <c r="H27" i="11520"/>
  <c r="H59" i="11520"/>
  <c r="H43" i="11520"/>
  <c r="H5" i="11520"/>
  <c r="D40" i="9728"/>
  <c r="G61" i="11520"/>
  <c r="C57" i="11520"/>
  <c r="F57" i="11520"/>
  <c r="G55" i="11520"/>
  <c r="C55" i="11520"/>
  <c r="C43" i="11520"/>
  <c r="F43" i="11520"/>
  <c r="E39" i="11520"/>
  <c r="E33" i="11520"/>
  <c r="C33" i="11520"/>
  <c r="E29" i="11520"/>
  <c r="E34" i="11520"/>
  <c r="F22" i="11520"/>
  <c r="E20" i="11520"/>
  <c r="C20" i="11520"/>
  <c r="C18" i="11520"/>
  <c r="G42" i="11520"/>
  <c r="D18" i="11520"/>
  <c r="C13" i="11520"/>
  <c r="C64" i="11520"/>
  <c r="C50" i="11520"/>
  <c r="C42" i="11520"/>
  <c r="C30" i="11520"/>
  <c r="C44" i="11520"/>
  <c r="C66" i="11520"/>
  <c r="C62" i="11520"/>
  <c r="E147" i="515"/>
  <c r="F139" i="515"/>
  <c r="G131" i="515"/>
  <c r="E130" i="515"/>
  <c r="E126" i="515"/>
  <c r="G113" i="515"/>
  <c r="E109" i="515"/>
  <c r="G109" i="515"/>
  <c r="E97" i="515"/>
  <c r="G93" i="515"/>
  <c r="E91" i="515"/>
  <c r="E83" i="515"/>
  <c r="C12" i="2"/>
  <c r="C25" i="11521"/>
  <c r="F17" i="11521"/>
  <c r="B34" i="2316"/>
  <c r="E55" i="11521"/>
  <c r="L941" i="1"/>
  <c r="B131" i="20994"/>
  <c r="H340" i="1"/>
  <c r="B36" i="2316"/>
  <c r="D339" i="1"/>
  <c r="B11" i="2316"/>
  <c r="B42" i="2316"/>
  <c r="F248" i="1"/>
  <c r="F249" i="1" s="1"/>
  <c r="F250" i="1" s="1"/>
  <c r="F247" i="1"/>
  <c r="C73" i="11520"/>
  <c r="H6" i="11520"/>
  <c r="H53" i="11520"/>
  <c r="H35" i="11520"/>
  <c r="H51" i="11520"/>
  <c r="H12" i="11520"/>
  <c r="C53" i="11520"/>
  <c r="G53" i="11520"/>
  <c r="F18" i="11520"/>
  <c r="E18" i="11520"/>
  <c r="G145" i="515"/>
  <c r="G141" i="515"/>
  <c r="E141" i="515"/>
  <c r="G137" i="515"/>
  <c r="G133" i="515"/>
  <c r="E133" i="515"/>
  <c r="G129" i="515"/>
  <c r="E129" i="515"/>
  <c r="G123" i="515"/>
  <c r="E123" i="515"/>
  <c r="G119" i="515"/>
  <c r="G115" i="515"/>
  <c r="G111" i="515"/>
  <c r="G107" i="515"/>
  <c r="E107" i="515"/>
  <c r="G99" i="515"/>
  <c r="E99" i="515"/>
  <c r="D90" i="515"/>
  <c r="D11" i="2"/>
  <c r="D33" i="11521"/>
  <c r="E16" i="11521"/>
  <c r="D13" i="11521"/>
  <c r="D11" i="11521"/>
  <c r="D38" i="11520"/>
  <c r="D142" i="515"/>
  <c r="D136" i="515"/>
  <c r="D134" i="515"/>
  <c r="D118" i="515"/>
  <c r="D110" i="515"/>
  <c r="D86" i="515"/>
  <c r="D78" i="515"/>
  <c r="H70" i="11520"/>
  <c r="D60" i="10498"/>
  <c r="H66" i="11520"/>
  <c r="H62" i="11520"/>
  <c r="H60" i="11520"/>
  <c r="H50" i="11520"/>
  <c r="G101" i="11522"/>
  <c r="F65" i="11522"/>
  <c r="E51" i="11522"/>
  <c r="H31" i="2"/>
  <c r="H33" i="2"/>
  <c r="H7" i="2"/>
  <c r="H34" i="2"/>
  <c r="H39" i="2"/>
  <c r="H36" i="2"/>
  <c r="H15" i="2"/>
  <c r="F35" i="2"/>
  <c r="C35" i="2"/>
  <c r="C8" i="2"/>
  <c r="H24" i="11521"/>
  <c r="H21" i="11521"/>
  <c r="D37" i="11521"/>
  <c r="D19" i="11521"/>
  <c r="C6" i="11521"/>
  <c r="C45" i="11521"/>
  <c r="C15" i="11521"/>
  <c r="C37" i="11521"/>
  <c r="C19" i="11521"/>
  <c r="E65" i="11520"/>
  <c r="E59" i="11520"/>
  <c r="C58" i="11520"/>
  <c r="H56" i="11520"/>
  <c r="E53" i="11520"/>
  <c r="E47" i="11520"/>
  <c r="G46" i="11520"/>
  <c r="H42" i="11520"/>
  <c r="E45" i="11520"/>
  <c r="E35" i="11520"/>
  <c r="E43" i="11520"/>
  <c r="E37" i="11520"/>
  <c r="F32" i="11520"/>
  <c r="D30" i="11520"/>
  <c r="F25" i="11520"/>
  <c r="H25" i="11520"/>
  <c r="C25" i="11520"/>
  <c r="F21" i="11520"/>
  <c r="E21" i="11520"/>
  <c r="H21" i="11520"/>
  <c r="G43" i="11520"/>
  <c r="E17" i="11520"/>
  <c r="H17" i="11520"/>
  <c r="F17" i="11520"/>
  <c r="H15" i="11520"/>
  <c r="G37" i="11520"/>
  <c r="E13" i="11520"/>
  <c r="D14" i="11520"/>
  <c r="E11" i="11520"/>
  <c r="G33" i="11520"/>
  <c r="H9" i="11520"/>
  <c r="C9" i="11520"/>
  <c r="G29" i="11520"/>
  <c r="D6" i="11520"/>
  <c r="D146" i="515"/>
  <c r="G146" i="515"/>
  <c r="E146" i="515"/>
  <c r="D138" i="515"/>
  <c r="G138" i="515"/>
  <c r="D130" i="515"/>
  <c r="G130" i="515"/>
  <c r="G122" i="515"/>
  <c r="D116" i="515"/>
  <c r="D114" i="515"/>
  <c r="D106" i="515"/>
  <c r="G104" i="515"/>
  <c r="D102" i="515"/>
  <c r="G102" i="515"/>
  <c r="G100" i="515"/>
  <c r="D98" i="515"/>
  <c r="E98" i="515"/>
  <c r="E92" i="515"/>
  <c r="E90" i="515"/>
  <c r="D80" i="515"/>
  <c r="D140" i="40"/>
  <c r="F19" i="40"/>
  <c r="G56" i="515"/>
  <c r="H10" i="2"/>
  <c r="H8" i="2"/>
  <c r="D40" i="11521"/>
  <c r="D58" i="11520"/>
  <c r="D54" i="11520"/>
  <c r="D39" i="2"/>
  <c r="B53" i="9216"/>
  <c r="B66" i="8196"/>
  <c r="N951" i="1"/>
  <c r="D52" i="11520"/>
  <c r="G37" i="11522"/>
  <c r="D54" i="11521"/>
  <c r="F59" i="11522"/>
  <c r="F32" i="11521"/>
  <c r="G76" i="82"/>
  <c r="E62" i="11520"/>
  <c r="D62" i="11520"/>
  <c r="G55" i="11522"/>
  <c r="L1531" i="1"/>
  <c r="B91" i="9216"/>
  <c r="C137" i="36"/>
  <c r="G135" i="36"/>
  <c r="G119" i="36"/>
  <c r="E115" i="36"/>
  <c r="C113" i="36"/>
  <c r="G113" i="36"/>
  <c r="F113" i="36"/>
  <c r="F107" i="36"/>
  <c r="D92" i="36"/>
  <c r="D85" i="36"/>
  <c r="D84" i="36"/>
  <c r="D78" i="36"/>
  <c r="G75" i="36"/>
  <c r="E42" i="36"/>
  <c r="C142" i="36"/>
  <c r="C147" i="82"/>
  <c r="F143" i="82"/>
  <c r="F131" i="82"/>
  <c r="C131" i="82"/>
  <c r="D119" i="82"/>
  <c r="D115" i="82"/>
  <c r="E115" i="82"/>
  <c r="E120" i="82"/>
  <c r="D108" i="82"/>
  <c r="E99" i="82"/>
  <c r="F91" i="82"/>
  <c r="G85" i="82"/>
  <c r="E77" i="82"/>
  <c r="G75" i="82"/>
  <c r="E52" i="82"/>
  <c r="F34" i="82"/>
  <c r="F49" i="515"/>
  <c r="G45" i="515"/>
  <c r="D43" i="515"/>
  <c r="F146" i="11522"/>
  <c r="C142" i="11522"/>
  <c r="G142" i="11522"/>
  <c r="G126" i="11522"/>
  <c r="F126" i="11522"/>
  <c r="G118" i="11522"/>
  <c r="D115" i="11522"/>
  <c r="G110" i="11522"/>
  <c r="D110" i="11522"/>
  <c r="G102" i="11522"/>
  <c r="F98" i="11522"/>
  <c r="C94" i="11522"/>
  <c r="G80" i="11522"/>
  <c r="F78" i="11522"/>
  <c r="F68" i="11522"/>
  <c r="D63" i="11522"/>
  <c r="D59" i="11522"/>
  <c r="G56" i="11522"/>
  <c r="F54" i="11522"/>
  <c r="E42" i="11522"/>
  <c r="G38" i="11522"/>
  <c r="E38" i="11522"/>
  <c r="F30" i="11522"/>
  <c r="F26" i="11522"/>
  <c r="F22" i="11522"/>
  <c r="D18" i="11522"/>
  <c r="E147" i="516"/>
  <c r="E145" i="516"/>
  <c r="F143" i="516"/>
  <c r="E139" i="516"/>
  <c r="E136" i="516"/>
  <c r="F131" i="516"/>
  <c r="G129" i="516"/>
  <c r="C117" i="516"/>
  <c r="F115" i="516"/>
  <c r="F107" i="516"/>
  <c r="E101" i="516"/>
  <c r="G101" i="516"/>
  <c r="F101" i="516"/>
  <c r="G97" i="516"/>
  <c r="G95" i="516"/>
  <c r="E95" i="516"/>
  <c r="D93" i="516"/>
  <c r="E93" i="516"/>
  <c r="E91" i="516"/>
  <c r="G89" i="516"/>
  <c r="F89" i="516"/>
  <c r="C85" i="516"/>
  <c r="E81" i="516"/>
  <c r="F77" i="516"/>
  <c r="E86" i="516"/>
  <c r="G73" i="516"/>
  <c r="F71" i="516"/>
  <c r="D67" i="516"/>
  <c r="G67" i="516"/>
  <c r="E65" i="516"/>
  <c r="C61" i="516"/>
  <c r="F61" i="516"/>
  <c r="E57" i="516"/>
  <c r="F55" i="516"/>
  <c r="G51" i="516"/>
  <c r="E49" i="516"/>
  <c r="G49" i="516"/>
  <c r="E47" i="516"/>
  <c r="E41" i="516"/>
  <c r="F41" i="516"/>
  <c r="C37" i="516"/>
  <c r="F37" i="516"/>
  <c r="E27" i="516"/>
  <c r="D25" i="516"/>
  <c r="C17" i="516"/>
  <c r="C124" i="516"/>
  <c r="C124" i="10498"/>
  <c r="E124" i="10498"/>
  <c r="C122" i="10498"/>
  <c r="E122" i="10498"/>
  <c r="D122" i="10498"/>
  <c r="E120" i="10498"/>
  <c r="D121" i="10498"/>
  <c r="F120" i="10498"/>
  <c r="C118" i="10498"/>
  <c r="G118" i="10498"/>
  <c r="E121" i="10498"/>
  <c r="F118" i="10498"/>
  <c r="D118" i="10498"/>
  <c r="C116" i="10498"/>
  <c r="G116" i="10498"/>
  <c r="F116" i="10498"/>
  <c r="D116" i="10498"/>
  <c r="E110" i="10498"/>
  <c r="C110" i="10498"/>
  <c r="D109" i="10498"/>
  <c r="C108" i="10498"/>
  <c r="G109" i="10498"/>
  <c r="E117" i="10498"/>
  <c r="F103" i="10498"/>
  <c r="G104" i="10498"/>
  <c r="F113" i="10498"/>
  <c r="G102" i="10498"/>
  <c r="F101" i="10498"/>
  <c r="D100" i="10498"/>
  <c r="C97" i="10498"/>
  <c r="E93" i="10498"/>
  <c r="G94" i="10498"/>
  <c r="F93" i="10498"/>
  <c r="G92" i="10498"/>
  <c r="C91" i="10498"/>
  <c r="D92" i="10498"/>
  <c r="C89" i="10498"/>
  <c r="D90" i="10498"/>
  <c r="F87" i="10498"/>
  <c r="C87" i="10498"/>
  <c r="F85" i="10498"/>
  <c r="G84" i="10498"/>
  <c r="C83" i="10498"/>
  <c r="C79" i="10498"/>
  <c r="E79" i="10498"/>
  <c r="F79" i="10498"/>
  <c r="C77" i="10498"/>
  <c r="E77" i="10498"/>
  <c r="C75" i="10498"/>
  <c r="D76" i="10498"/>
  <c r="F75" i="10498"/>
  <c r="D74" i="10498"/>
  <c r="F71" i="10498"/>
  <c r="C67" i="10498"/>
  <c r="F67" i="10498"/>
  <c r="D68" i="10498"/>
  <c r="G64" i="10498"/>
  <c r="C63" i="10498"/>
  <c r="C61" i="10498"/>
  <c r="D59" i="10498"/>
  <c r="D57" i="10498"/>
  <c r="E57" i="10498"/>
  <c r="C55" i="10498"/>
  <c r="D55" i="10498"/>
  <c r="G56" i="10498"/>
  <c r="D56" i="10498"/>
  <c r="D53" i="10498"/>
  <c r="G50" i="10498"/>
  <c r="F49" i="10498"/>
  <c r="D49" i="10498"/>
  <c r="E49" i="10498"/>
  <c r="C47" i="10498"/>
  <c r="D43" i="10498"/>
  <c r="G42" i="10498"/>
  <c r="D41" i="10498"/>
  <c r="F41" i="10498"/>
  <c r="C41" i="10498"/>
  <c r="D42" i="10498"/>
  <c r="F39" i="10498"/>
  <c r="D39" i="10498"/>
  <c r="G40" i="10498"/>
  <c r="E39" i="10498"/>
  <c r="E37" i="10498"/>
  <c r="F35" i="10498"/>
  <c r="D35" i="10498"/>
  <c r="G36" i="10498"/>
  <c r="C35" i="10498"/>
  <c r="E33" i="10498"/>
  <c r="F31" i="10498"/>
  <c r="E29" i="10498"/>
  <c r="E27" i="10498"/>
  <c r="C27" i="10498"/>
  <c r="E25" i="10498"/>
  <c r="C25" i="10498"/>
  <c r="E19" i="10498"/>
  <c r="C19" i="10498"/>
  <c r="E17" i="10498"/>
  <c r="C17" i="10498"/>
  <c r="E13" i="10498"/>
  <c r="D12" i="10498"/>
  <c r="E11" i="10498"/>
  <c r="C7" i="10498"/>
  <c r="C107" i="10498"/>
  <c r="C92" i="10498"/>
  <c r="C86" i="10498"/>
  <c r="C52" i="10498"/>
  <c r="C100" i="10498"/>
  <c r="C26" i="10498"/>
  <c r="C24" i="10498"/>
  <c r="C22" i="10498"/>
  <c r="C14" i="10498"/>
  <c r="C123" i="10498"/>
  <c r="C109" i="10498"/>
  <c r="C68" i="10498"/>
  <c r="C60" i="10498"/>
  <c r="C54" i="10498"/>
  <c r="C46" i="10498"/>
  <c r="D61" i="10498"/>
  <c r="D967" i="1"/>
  <c r="G63" i="516"/>
  <c r="G107" i="516"/>
  <c r="D76" i="11522"/>
  <c r="D63" i="36"/>
  <c r="E50" i="36"/>
  <c r="E149" i="36"/>
  <c r="E35" i="10498"/>
  <c r="F61" i="10498"/>
  <c r="F69" i="10498"/>
  <c r="F73" i="10498"/>
  <c r="F81" i="10498"/>
  <c r="F89" i="10498"/>
  <c r="F97" i="10498"/>
  <c r="F43" i="36"/>
  <c r="C57" i="10498"/>
  <c r="C73" i="10498"/>
  <c r="C13" i="10498"/>
  <c r="D19" i="10498"/>
  <c r="C49" i="10498"/>
  <c r="C69" i="10498"/>
  <c r="C74" i="10498"/>
  <c r="C93" i="10498"/>
  <c r="C113" i="10498"/>
  <c r="C121" i="10498"/>
  <c r="C56" i="11522"/>
  <c r="C59" i="10498"/>
  <c r="C10" i="10498"/>
  <c r="D22" i="10498"/>
  <c r="D26" i="10498"/>
  <c r="E52" i="516"/>
  <c r="E124" i="516"/>
  <c r="D139" i="516"/>
  <c r="D147" i="516"/>
  <c r="G50" i="11522"/>
  <c r="F110" i="11522"/>
  <c r="F118" i="11522"/>
  <c r="C122" i="11522"/>
  <c r="C115" i="82"/>
  <c r="G133" i="82"/>
  <c r="E119" i="36"/>
  <c r="E29" i="36"/>
  <c r="C98" i="36"/>
  <c r="D57" i="515"/>
  <c r="G53" i="516"/>
  <c r="G71" i="516"/>
  <c r="E33" i="516"/>
  <c r="C48" i="10498"/>
  <c r="C56" i="10498"/>
  <c r="G80" i="10498"/>
  <c r="G46" i="11522"/>
  <c r="F70" i="11522"/>
  <c r="C124" i="11522"/>
  <c r="G115" i="82"/>
  <c r="F103" i="82"/>
  <c r="F83" i="10498"/>
  <c r="E135" i="82"/>
  <c r="E144" i="516"/>
  <c r="G134" i="11522"/>
  <c r="E113" i="82"/>
  <c r="G131" i="82"/>
  <c r="D121" i="82"/>
  <c r="D30" i="515"/>
  <c r="G65" i="515"/>
  <c r="F53" i="10498"/>
  <c r="E47" i="11521"/>
  <c r="K1494" i="1"/>
  <c r="B63" i="9216" s="1"/>
  <c r="D988" i="1"/>
  <c r="B8" i="8196"/>
  <c r="D986" i="1"/>
  <c r="F342" i="1"/>
  <c r="B26" i="2316"/>
  <c r="F337" i="1"/>
  <c r="B21" i="2316"/>
  <c r="L218" i="1"/>
  <c r="B125" i="10498"/>
  <c r="H20" i="10498" s="1"/>
  <c r="D212" i="1"/>
  <c r="D214" i="1"/>
  <c r="E83" i="516"/>
  <c r="D84" i="516"/>
  <c r="D93" i="10498"/>
  <c r="D65" i="10498"/>
  <c r="E37" i="516"/>
  <c r="G34" i="2"/>
  <c r="D101" i="10498"/>
  <c r="D97" i="10498"/>
  <c r="D85" i="10498"/>
  <c r="D70" i="11520"/>
  <c r="D50" i="11521"/>
  <c r="D30" i="11521"/>
  <c r="D63" i="10498"/>
  <c r="H22" i="11521"/>
  <c r="H16" i="11521"/>
  <c r="G44" i="11521"/>
  <c r="F38" i="11521"/>
  <c r="D34" i="11521"/>
  <c r="B106" i="9216"/>
  <c r="B27" i="2316"/>
  <c r="H11" i="2"/>
  <c r="D985" i="1"/>
  <c r="H952" i="1"/>
  <c r="B175" i="20994"/>
  <c r="G953" i="1"/>
  <c r="H953" i="1" s="1"/>
  <c r="H950" i="1"/>
  <c r="B173" i="20994"/>
  <c r="B160" i="20994"/>
  <c r="D948" i="1"/>
  <c r="B147" i="20994"/>
  <c r="C949" i="1"/>
  <c r="D949" i="1" s="1"/>
  <c r="H344" i="1"/>
  <c r="B16" i="2316"/>
  <c r="H343" i="1"/>
  <c r="B39" i="2316"/>
  <c r="D343" i="1"/>
  <c r="B15" i="2316"/>
  <c r="F341" i="1"/>
  <c r="B25" i="2316"/>
  <c r="B22" i="2316"/>
  <c r="H247" i="1"/>
  <c r="H248" i="1"/>
  <c r="H249" i="1" s="1"/>
  <c r="H250" i="1" s="1"/>
  <c r="H251" i="1" s="1"/>
  <c r="H252" i="1" s="1"/>
  <c r="G71" i="40"/>
  <c r="E59" i="40"/>
  <c r="H38" i="11520"/>
  <c r="H14" i="11520"/>
  <c r="H8" i="11520"/>
  <c r="H65" i="11520"/>
  <c r="H57" i="11520"/>
  <c r="H41" i="11520"/>
  <c r="H13" i="11520"/>
  <c r="H32" i="11520"/>
  <c r="H10" i="11520"/>
  <c r="H61" i="11520"/>
  <c r="H45" i="11520"/>
  <c r="H29" i="11520"/>
  <c r="H31" i="11520"/>
  <c r="H39" i="11520"/>
  <c r="H47" i="11520"/>
  <c r="H55" i="11520"/>
  <c r="H63" i="11520"/>
  <c r="H71" i="11520"/>
  <c r="H7" i="11520"/>
  <c r="H16" i="11520"/>
  <c r="H18" i="11520"/>
  <c r="H20" i="11520"/>
  <c r="H22" i="11520"/>
  <c r="H24" i="11520"/>
  <c r="H30" i="11520"/>
  <c r="H34" i="11520"/>
  <c r="H40" i="11520"/>
  <c r="H46" i="11520"/>
  <c r="H54" i="11520"/>
  <c r="H58" i="11520"/>
  <c r="F73" i="11520"/>
  <c r="G40" i="9728" s="1"/>
  <c r="H73" i="11520"/>
  <c r="E71" i="11520"/>
  <c r="D68" i="11520"/>
  <c r="D66" i="11520"/>
  <c r="F65" i="11520"/>
  <c r="E63" i="11520"/>
  <c r="C27" i="11520"/>
  <c r="E27" i="11520"/>
  <c r="C24" i="11520"/>
  <c r="E25" i="11520"/>
  <c r="E23" i="11520"/>
  <c r="F34" i="11520"/>
  <c r="E31" i="11520"/>
  <c r="D22" i="11520"/>
  <c r="C22" i="11520"/>
  <c r="G127" i="515"/>
  <c r="D126" i="515"/>
  <c r="G125" i="515"/>
  <c r="E125" i="515"/>
  <c r="G121" i="515"/>
  <c r="D122" i="515"/>
  <c r="G73" i="515"/>
  <c r="D18" i="515"/>
  <c r="C76" i="515"/>
  <c r="E128" i="40"/>
  <c r="E950" i="1"/>
  <c r="D92" i="40"/>
  <c r="E73" i="11520"/>
  <c r="H37" i="11520"/>
  <c r="E22" i="11520"/>
  <c r="E69" i="11520"/>
  <c r="C9" i="516"/>
  <c r="G33" i="516"/>
  <c r="B94" i="1024"/>
  <c r="E1552" i="1"/>
  <c r="F1551" i="1"/>
  <c r="B141" i="1024"/>
  <c r="N1550" i="1"/>
  <c r="B78" i="2819"/>
  <c r="H333" i="1"/>
  <c r="B29" i="2316"/>
  <c r="H222" i="1"/>
  <c r="D87" i="1"/>
  <c r="C137" i="516"/>
  <c r="B153" i="1024"/>
  <c r="D1565" i="1"/>
  <c r="E66" i="11520"/>
  <c r="G51" i="11520"/>
  <c r="E71" i="516"/>
  <c r="G47" i="516"/>
  <c r="G148" i="36"/>
  <c r="G144" i="82"/>
  <c r="G119" i="82"/>
  <c r="G119" i="516"/>
  <c r="G69" i="11520"/>
  <c r="F92" i="36"/>
  <c r="E132" i="36"/>
  <c r="G114" i="36"/>
  <c r="E95" i="515"/>
  <c r="F95" i="515"/>
  <c r="E87" i="515"/>
  <c r="F99" i="515"/>
  <c r="G85" i="515"/>
  <c r="E85" i="515"/>
  <c r="G78" i="515"/>
  <c r="E78" i="515"/>
  <c r="E82" i="515"/>
  <c r="E77" i="515"/>
  <c r="F76" i="515"/>
  <c r="E132" i="515"/>
  <c r="E128" i="515"/>
  <c r="G110" i="515"/>
  <c r="E104" i="515"/>
  <c r="G61" i="515"/>
  <c r="G53" i="515"/>
  <c r="D54" i="515"/>
  <c r="D53" i="515"/>
  <c r="F41" i="515"/>
  <c r="F37" i="515"/>
  <c r="G76" i="36"/>
  <c r="B224" i="20994"/>
  <c r="B155" i="1024"/>
  <c r="E89" i="515"/>
  <c r="E94" i="11522"/>
  <c r="F37" i="11522"/>
  <c r="F107" i="11522"/>
  <c r="F139" i="11522"/>
  <c r="E97" i="11522"/>
  <c r="F25" i="11522"/>
  <c r="G107" i="11522"/>
  <c r="E37" i="11522"/>
  <c r="D969" i="1"/>
  <c r="D1568" i="1"/>
  <c r="F106" i="82"/>
  <c r="G62" i="36"/>
  <c r="F132" i="82"/>
  <c r="C126" i="82"/>
  <c r="E77" i="11522"/>
  <c r="F145" i="516"/>
  <c r="G144" i="516"/>
  <c r="G123" i="516"/>
  <c r="F85" i="516"/>
  <c r="D131" i="515"/>
  <c r="E118" i="515"/>
  <c r="F118" i="515"/>
  <c r="F127" i="515"/>
  <c r="D115" i="515"/>
  <c r="G142" i="515"/>
  <c r="F142" i="515"/>
  <c r="F134" i="515"/>
  <c r="F137" i="515"/>
  <c r="D93" i="515"/>
  <c r="F91" i="515"/>
  <c r="G148" i="515"/>
  <c r="E42" i="10498"/>
  <c r="F126" i="515"/>
  <c r="D123" i="515"/>
  <c r="C11" i="11522"/>
  <c r="F130" i="36"/>
  <c r="G123" i="82"/>
  <c r="G116" i="82"/>
  <c r="G110" i="82"/>
  <c r="G95" i="82"/>
  <c r="F72" i="515"/>
  <c r="G136" i="516"/>
  <c r="E120" i="515"/>
  <c r="F110" i="515"/>
  <c r="G110" i="40"/>
  <c r="E113" i="36"/>
  <c r="G98" i="36"/>
  <c r="G78" i="36"/>
  <c r="E75" i="82"/>
  <c r="C134" i="82"/>
  <c r="E60" i="82"/>
  <c r="C74" i="82"/>
  <c r="G91" i="82"/>
  <c r="F118" i="82"/>
  <c r="F128" i="82"/>
  <c r="E127" i="515"/>
  <c r="G114" i="515"/>
  <c r="D107" i="515"/>
  <c r="G82" i="515"/>
  <c r="F33" i="515"/>
  <c r="C147" i="11522"/>
  <c r="D147" i="11522"/>
  <c r="G145" i="11522"/>
  <c r="E143" i="11522"/>
  <c r="D143" i="11522"/>
  <c r="F123" i="11522"/>
  <c r="E119" i="11522"/>
  <c r="E109" i="11522"/>
  <c r="F121" i="11522"/>
  <c r="D107" i="11522"/>
  <c r="G103" i="11522"/>
  <c r="F99" i="11522"/>
  <c r="F83" i="11522"/>
  <c r="E31" i="11522"/>
  <c r="F114" i="11522"/>
  <c r="G95" i="11522"/>
  <c r="F93" i="11522"/>
  <c r="C73" i="11522"/>
  <c r="G67" i="11522"/>
  <c r="E59" i="11522"/>
  <c r="G41" i="11522"/>
  <c r="D40" i="11522"/>
  <c r="C19" i="11522"/>
  <c r="D15" i="11522"/>
  <c r="D149" i="11522"/>
  <c r="G94" i="11522"/>
  <c r="G61" i="11522"/>
  <c r="E21" i="11522"/>
  <c r="E78" i="11522"/>
  <c r="G66" i="11522"/>
  <c r="H38" i="10498"/>
  <c r="G101" i="10498"/>
  <c r="E78" i="10498"/>
  <c r="G65" i="10498"/>
  <c r="F40" i="11521"/>
  <c r="G40" i="11521"/>
  <c r="H72" i="10498"/>
  <c r="E94" i="10498"/>
  <c r="G87" i="10498"/>
  <c r="E40" i="10498"/>
  <c r="G56" i="516"/>
  <c r="F64" i="516"/>
  <c r="E84" i="516"/>
  <c r="F74" i="82"/>
  <c r="D18" i="10498"/>
  <c r="C20" i="10498"/>
  <c r="G97" i="10498"/>
  <c r="F90" i="516"/>
  <c r="G112" i="36"/>
  <c r="G77" i="10498"/>
  <c r="C53" i="11522"/>
  <c r="F80" i="36"/>
  <c r="G132" i="82"/>
  <c r="F40" i="10498"/>
  <c r="C87" i="11522"/>
  <c r="C75" i="11522"/>
  <c r="E118" i="11522"/>
  <c r="D139" i="515"/>
  <c r="F149" i="515"/>
  <c r="F123" i="515"/>
  <c r="D119" i="515"/>
  <c r="F106" i="515"/>
  <c r="G60" i="36"/>
  <c r="F50" i="36"/>
  <c r="F46" i="36"/>
  <c r="F89" i="82"/>
  <c r="C56" i="82"/>
  <c r="C52" i="82"/>
  <c r="E126" i="11522"/>
  <c r="D95" i="515"/>
  <c r="D91" i="515"/>
  <c r="F101" i="515"/>
  <c r="F28" i="516"/>
  <c r="G34" i="516"/>
  <c r="F21" i="515"/>
  <c r="E110" i="11522"/>
  <c r="E99" i="516"/>
  <c r="G93" i="516"/>
  <c r="F53" i="515"/>
  <c r="C69" i="36"/>
  <c r="G43" i="36"/>
  <c r="D35" i="36"/>
  <c r="C27" i="36"/>
  <c r="G143" i="36"/>
  <c r="F112" i="82"/>
  <c r="E112" i="82"/>
  <c r="C112" i="82"/>
  <c r="F45" i="82"/>
  <c r="F41" i="82"/>
  <c r="F27" i="82"/>
  <c r="E25" i="82"/>
  <c r="F68" i="515"/>
  <c r="G68" i="515"/>
  <c r="F64" i="515"/>
  <c r="F62" i="515"/>
  <c r="G60" i="515"/>
  <c r="E56" i="515"/>
  <c r="G52" i="515"/>
  <c r="G48" i="515"/>
  <c r="F44" i="515"/>
  <c r="F36" i="515"/>
  <c r="C34" i="515"/>
  <c r="F28" i="515"/>
  <c r="D29" i="515"/>
  <c r="D21" i="515"/>
  <c r="E134" i="11522"/>
  <c r="G138" i="516"/>
  <c r="E138" i="516"/>
  <c r="F136" i="516"/>
  <c r="G132" i="516"/>
  <c r="F144" i="516"/>
  <c r="F132" i="516"/>
  <c r="F130" i="516"/>
  <c r="F142" i="516"/>
  <c r="E130" i="516"/>
  <c r="G128" i="516"/>
  <c r="F140" i="516"/>
  <c r="F128" i="516"/>
  <c r="F126" i="516"/>
  <c r="G126" i="516"/>
  <c r="F124" i="516"/>
  <c r="F122" i="516"/>
  <c r="G120" i="516"/>
  <c r="F120" i="516"/>
  <c r="G116" i="516"/>
  <c r="G140" i="516"/>
  <c r="F116" i="516"/>
  <c r="G106" i="516"/>
  <c r="F94" i="516"/>
  <c r="G98" i="10498"/>
  <c r="F109" i="10498"/>
  <c r="D47" i="40"/>
  <c r="C10" i="11520"/>
  <c r="D10" i="11520"/>
  <c r="F20" i="11520"/>
  <c r="D9" i="11520"/>
  <c r="C41" i="11520"/>
  <c r="C38" i="11520"/>
  <c r="C34" i="11520"/>
  <c r="C71" i="11520"/>
  <c r="C16" i="11520"/>
  <c r="C12" i="11520"/>
  <c r="C37" i="11520"/>
  <c r="C17" i="11520"/>
  <c r="D148" i="515"/>
  <c r="E148" i="515"/>
  <c r="E149" i="515"/>
  <c r="C133" i="515"/>
  <c r="F133" i="515"/>
  <c r="F138" i="515"/>
  <c r="D127" i="515"/>
  <c r="G134" i="515"/>
  <c r="F122" i="515"/>
  <c r="D111" i="515"/>
  <c r="G132" i="515"/>
  <c r="E102" i="515"/>
  <c r="D103" i="515"/>
  <c r="C77" i="515"/>
  <c r="F77" i="515"/>
  <c r="F69" i="515"/>
  <c r="G69" i="515"/>
  <c r="E75" i="515"/>
  <c r="G49" i="515"/>
  <c r="F45" i="515"/>
  <c r="C11" i="515"/>
  <c r="F123" i="40"/>
  <c r="E108" i="516"/>
  <c r="G62" i="40"/>
  <c r="C32" i="516"/>
  <c r="D119" i="516"/>
  <c r="D133" i="515"/>
  <c r="D141" i="515"/>
  <c r="G33" i="515"/>
  <c r="C79" i="515"/>
  <c r="G126" i="515"/>
  <c r="E59" i="516"/>
  <c r="F29" i="515"/>
  <c r="G149" i="11522"/>
  <c r="G77" i="515"/>
  <c r="F81" i="515"/>
  <c r="F89" i="515"/>
  <c r="F105" i="515"/>
  <c r="F121" i="515"/>
  <c r="F130" i="515"/>
  <c r="F141" i="515"/>
  <c r="G30" i="11520"/>
  <c r="G34" i="11520"/>
  <c r="F96" i="516"/>
  <c r="F104" i="516"/>
  <c r="E114" i="516"/>
  <c r="F116" i="40"/>
  <c r="F124" i="40"/>
  <c r="C39" i="11520"/>
  <c r="C46" i="11520"/>
  <c r="E110" i="515"/>
  <c r="C8" i="11520"/>
  <c r="C14" i="11520"/>
  <c r="E106" i="515"/>
  <c r="C32" i="11520"/>
  <c r="C70" i="11520"/>
  <c r="E40" i="9728" s="1"/>
  <c r="E121" i="515"/>
  <c r="F97" i="11522"/>
  <c r="F109" i="11522"/>
  <c r="F39" i="2"/>
  <c r="H27" i="2"/>
  <c r="F19" i="2"/>
  <c r="F31" i="2"/>
  <c r="G82" i="36"/>
  <c r="F135" i="11522"/>
  <c r="G81" i="11522"/>
  <c r="G44" i="516"/>
  <c r="F32" i="516"/>
  <c r="C65" i="11520"/>
  <c r="C63" i="11520"/>
  <c r="C51" i="11520"/>
  <c r="C49" i="11520"/>
  <c r="C47" i="11520"/>
  <c r="C45" i="11520"/>
  <c r="C69" i="11520"/>
  <c r="C67" i="11520"/>
  <c r="C31" i="11520"/>
  <c r="E16" i="11520"/>
  <c r="E14" i="11520"/>
  <c r="E12" i="11520"/>
  <c r="C144" i="515"/>
  <c r="F103" i="515"/>
  <c r="G81" i="515"/>
  <c r="F54" i="515"/>
  <c r="F82" i="515"/>
  <c r="F87" i="516"/>
  <c r="G146" i="516"/>
  <c r="D140" i="516"/>
  <c r="E140" i="516"/>
  <c r="G112" i="516"/>
  <c r="D112" i="516"/>
  <c r="F60" i="516"/>
  <c r="F72" i="516"/>
  <c r="F39" i="516"/>
  <c r="F31" i="516"/>
  <c r="F43" i="516"/>
  <c r="F147" i="516"/>
  <c r="F127" i="516"/>
  <c r="E127" i="516"/>
  <c r="F135" i="516"/>
  <c r="E131" i="516"/>
  <c r="F123" i="516"/>
  <c r="E121" i="516"/>
  <c r="G143" i="516"/>
  <c r="E119" i="516"/>
  <c r="C119" i="516"/>
  <c r="D117" i="516"/>
  <c r="E115" i="516"/>
  <c r="G139" i="516"/>
  <c r="G115" i="516"/>
  <c r="G137" i="516"/>
  <c r="F108" i="516"/>
  <c r="G108" i="516"/>
  <c r="F40" i="516"/>
  <c r="G40" i="516"/>
  <c r="G36" i="516"/>
  <c r="F48" i="516"/>
  <c r="F34" i="516"/>
  <c r="D143" i="516"/>
  <c r="D137" i="516"/>
  <c r="F28" i="11521"/>
  <c r="C20" i="11521"/>
  <c r="B228" i="20994"/>
  <c r="B229" i="20994"/>
  <c r="F963" i="1"/>
  <c r="D148" i="36"/>
  <c r="F147" i="36"/>
  <c r="D147" i="36"/>
  <c r="C141" i="36"/>
  <c r="D139" i="36"/>
  <c r="E139" i="36"/>
  <c r="D137" i="36"/>
  <c r="C133" i="36"/>
  <c r="F140" i="36"/>
  <c r="E128" i="36"/>
  <c r="G124" i="36"/>
  <c r="E131" i="36"/>
  <c r="F131" i="36"/>
  <c r="F117" i="36"/>
  <c r="F96" i="36"/>
  <c r="G94" i="36"/>
  <c r="D43" i="36"/>
  <c r="C135" i="36"/>
  <c r="D135" i="36"/>
  <c r="E134" i="36"/>
  <c r="G140" i="36"/>
  <c r="F54" i="36"/>
  <c r="E54" i="36"/>
  <c r="E30" i="36"/>
  <c r="C78" i="82"/>
  <c r="C84" i="82"/>
  <c r="G139" i="82"/>
  <c r="E126" i="82"/>
  <c r="D10" i="82"/>
  <c r="D84" i="82"/>
  <c r="D124" i="82"/>
  <c r="E131" i="82"/>
  <c r="E146" i="82"/>
  <c r="C146" i="82"/>
  <c r="F146" i="82"/>
  <c r="E144" i="82"/>
  <c r="F139" i="82"/>
  <c r="D139" i="82"/>
  <c r="E139" i="82"/>
  <c r="D138" i="82"/>
  <c r="D135" i="82"/>
  <c r="F135" i="82"/>
  <c r="E138" i="82"/>
  <c r="E142" i="82"/>
  <c r="G135" i="82"/>
  <c r="E147" i="82"/>
  <c r="E127" i="82"/>
  <c r="C127" i="82"/>
  <c r="F127" i="82"/>
  <c r="G127" i="82"/>
  <c r="F123" i="82"/>
  <c r="E124" i="82"/>
  <c r="E134" i="82"/>
  <c r="E123" i="82"/>
  <c r="C88" i="82"/>
  <c r="D89" i="82"/>
  <c r="G88" i="82"/>
  <c r="F100" i="82"/>
  <c r="F88" i="82"/>
  <c r="F86" i="82"/>
  <c r="D86" i="82"/>
  <c r="F98" i="82"/>
  <c r="G86" i="82"/>
  <c r="D87" i="82"/>
  <c r="C86" i="82"/>
  <c r="F96" i="82"/>
  <c r="D85" i="82"/>
  <c r="G108" i="82"/>
  <c r="F94" i="82"/>
  <c r="F82" i="82"/>
  <c r="G82" i="82"/>
  <c r="D82" i="82"/>
  <c r="C82" i="82"/>
  <c r="F92" i="82"/>
  <c r="G80" i="82"/>
  <c r="F80" i="82"/>
  <c r="F78" i="82"/>
  <c r="G78" i="82"/>
  <c r="D77" i="82"/>
  <c r="G100" i="82"/>
  <c r="E66" i="82"/>
  <c r="D64" i="82"/>
  <c r="E64" i="82"/>
  <c r="E50" i="82"/>
  <c r="D50" i="82"/>
  <c r="G50" i="82"/>
  <c r="E42" i="82"/>
  <c r="F49" i="82"/>
  <c r="D34" i="82"/>
  <c r="G33" i="82"/>
  <c r="E31" i="82"/>
  <c r="G31" i="82"/>
  <c r="E21" i="82"/>
  <c r="G45" i="82"/>
  <c r="D19" i="82"/>
  <c r="F19" i="82"/>
  <c r="E16" i="82"/>
  <c r="F147" i="82"/>
  <c r="D147" i="82"/>
  <c r="G134" i="82"/>
  <c r="D134" i="82"/>
  <c r="D132" i="82"/>
  <c r="E132" i="82"/>
  <c r="E119" i="82"/>
  <c r="F110" i="82"/>
  <c r="D104" i="82"/>
  <c r="F104" i="82"/>
  <c r="G102" i="82"/>
  <c r="E102" i="82"/>
  <c r="G94" i="82"/>
  <c r="F22" i="82"/>
  <c r="G120" i="36"/>
  <c r="D120" i="36"/>
  <c r="D117" i="36"/>
  <c r="D116" i="36"/>
  <c r="E116" i="36"/>
  <c r="D115" i="36"/>
  <c r="F112" i="36"/>
  <c r="D113" i="36"/>
  <c r="D110" i="36"/>
  <c r="G108" i="36"/>
  <c r="D109" i="36"/>
  <c r="G106" i="36"/>
  <c r="E97" i="36"/>
  <c r="F109" i="36"/>
  <c r="F97" i="36"/>
  <c r="F90" i="36"/>
  <c r="G83" i="36"/>
  <c r="D81" i="36"/>
  <c r="F87" i="36"/>
  <c r="G116" i="36"/>
  <c r="F132" i="36"/>
  <c r="F94" i="36"/>
  <c r="F108" i="36"/>
  <c r="F128" i="36"/>
  <c r="F88" i="36"/>
  <c r="D71" i="36"/>
  <c r="D149" i="36"/>
  <c r="F116" i="36"/>
  <c r="G92" i="36"/>
  <c r="G132" i="36"/>
  <c r="F110" i="36"/>
  <c r="F120" i="36"/>
  <c r="F100" i="36"/>
  <c r="D90" i="36"/>
  <c r="G121" i="36"/>
  <c r="F77" i="36"/>
  <c r="E76" i="36"/>
  <c r="D121" i="36"/>
  <c r="C120" i="36"/>
  <c r="F75" i="36"/>
  <c r="C77" i="36"/>
  <c r="D77" i="36"/>
  <c r="D95" i="36"/>
  <c r="D97" i="36"/>
  <c r="G101" i="36"/>
  <c r="C103" i="36"/>
  <c r="E120" i="36"/>
  <c r="E82" i="36"/>
  <c r="F124" i="36"/>
  <c r="E146" i="36"/>
  <c r="D143" i="36"/>
  <c r="G142" i="36"/>
  <c r="E142" i="36"/>
  <c r="E140" i="36"/>
  <c r="E136" i="36"/>
  <c r="E135" i="36"/>
  <c r="E143" i="36"/>
  <c r="D136" i="36"/>
  <c r="C131" i="36"/>
  <c r="F127" i="36"/>
  <c r="E127" i="36"/>
  <c r="D127" i="36"/>
  <c r="F123" i="36"/>
  <c r="F62" i="36"/>
  <c r="E62" i="36"/>
  <c r="G84" i="36"/>
  <c r="F58" i="36"/>
  <c r="E58" i="36"/>
  <c r="F34" i="36"/>
  <c r="F74" i="36"/>
  <c r="F21" i="36"/>
  <c r="G142" i="82"/>
  <c r="F108" i="82"/>
  <c r="G97" i="82"/>
  <c r="G74" i="82"/>
  <c r="C72" i="82"/>
  <c r="C58" i="82"/>
  <c r="D131" i="516"/>
  <c r="G88" i="516"/>
  <c r="G84" i="516"/>
  <c r="C49" i="516"/>
  <c r="G32" i="11521"/>
  <c r="C22" i="11521"/>
  <c r="B164" i="1024"/>
  <c r="E1565" i="1"/>
  <c r="B165" i="1024" s="1"/>
  <c r="E1519" i="1"/>
  <c r="E1566" i="1"/>
  <c r="E1520" i="1"/>
  <c r="B164" i="9216"/>
  <c r="C106" i="82"/>
  <c r="B237" i="32"/>
  <c r="F38" i="516"/>
  <c r="D73" i="516"/>
  <c r="D97" i="516"/>
  <c r="F82" i="516"/>
  <c r="G52" i="516"/>
  <c r="G48" i="516"/>
  <c r="F965" i="1"/>
  <c r="F89" i="36"/>
  <c r="F1094" i="1"/>
  <c r="F1029" i="1"/>
  <c r="F118" i="516"/>
  <c r="E118" i="516"/>
  <c r="E1518" i="1"/>
  <c r="E1521" i="1"/>
  <c r="E1568" i="1"/>
  <c r="B168" i="1024" s="1"/>
  <c r="F144" i="515"/>
  <c r="E134" i="515"/>
  <c r="D99" i="515"/>
  <c r="E105" i="515"/>
  <c r="F97" i="515"/>
  <c r="G97" i="515"/>
  <c r="F93" i="515"/>
  <c r="E93" i="515"/>
  <c r="D87" i="515"/>
  <c r="F87" i="515"/>
  <c r="D83" i="515"/>
  <c r="G83" i="515"/>
  <c r="F90" i="515"/>
  <c r="F78" i="515"/>
  <c r="E86" i="515"/>
  <c r="E76" i="515"/>
  <c r="D70" i="515"/>
  <c r="F65" i="515"/>
  <c r="F61" i="515"/>
  <c r="F73" i="515"/>
  <c r="F48" i="515"/>
  <c r="E35" i="515"/>
  <c r="G147" i="515"/>
  <c r="C143" i="515"/>
  <c r="E144" i="515"/>
  <c r="F117" i="515"/>
  <c r="G117" i="515"/>
  <c r="G139" i="515"/>
  <c r="F115" i="515"/>
  <c r="F111" i="515"/>
  <c r="E113" i="515"/>
  <c r="F109" i="515"/>
  <c r="D149" i="515"/>
  <c r="E1522" i="1"/>
  <c r="F1522" i="1" s="1"/>
  <c r="F1564" i="1"/>
  <c r="E1569" i="1"/>
  <c r="B169" i="1024" s="1"/>
  <c r="F127" i="40"/>
  <c r="G96" i="40"/>
  <c r="F44" i="40"/>
  <c r="D16" i="2"/>
  <c r="D12" i="2"/>
  <c r="E38" i="82"/>
  <c r="H7" i="11521"/>
  <c r="D970" i="1"/>
  <c r="H48" i="10498"/>
  <c r="H36" i="10498"/>
  <c r="H56" i="10498"/>
  <c r="H89" i="10498"/>
  <c r="F71" i="36"/>
  <c r="F69" i="36"/>
  <c r="D68" i="36"/>
  <c r="D67" i="36"/>
  <c r="F63" i="36"/>
  <c r="E63" i="36"/>
  <c r="G59" i="36"/>
  <c r="E59" i="36"/>
  <c r="C57" i="36"/>
  <c r="G55" i="36"/>
  <c r="F55" i="36"/>
  <c r="C53" i="36"/>
  <c r="F51" i="36"/>
  <c r="E51" i="36"/>
  <c r="C49" i="36"/>
  <c r="G47" i="36"/>
  <c r="F39" i="36"/>
  <c r="E39" i="36"/>
  <c r="D39" i="36"/>
  <c r="E33" i="36"/>
  <c r="E31" i="36"/>
  <c r="C20" i="36"/>
  <c r="C12" i="36"/>
  <c r="C28" i="36"/>
  <c r="G67" i="82"/>
  <c r="D67" i="82"/>
  <c r="E65" i="82"/>
  <c r="E63" i="82"/>
  <c r="G59" i="82"/>
  <c r="D59" i="82"/>
  <c r="D51" i="82"/>
  <c r="E51" i="82"/>
  <c r="G47" i="82"/>
  <c r="G43" i="82"/>
  <c r="F39" i="82"/>
  <c r="G39" i="82"/>
  <c r="C39" i="82"/>
  <c r="F37" i="82"/>
  <c r="D38" i="82"/>
  <c r="E37" i="82"/>
  <c r="E35" i="82"/>
  <c r="D35" i="82"/>
  <c r="C35" i="82"/>
  <c r="D33" i="82"/>
  <c r="F33" i="82"/>
  <c r="F29" i="82"/>
  <c r="E29" i="82"/>
  <c r="D27" i="82"/>
  <c r="C25" i="82"/>
  <c r="C23" i="82"/>
  <c r="F21" i="82"/>
  <c r="D20" i="82"/>
  <c r="E19" i="82"/>
  <c r="D11" i="82"/>
  <c r="C11" i="82"/>
  <c r="E138" i="36"/>
  <c r="C134" i="36"/>
  <c r="E126" i="36"/>
  <c r="D112" i="36"/>
  <c r="G104" i="36"/>
  <c r="D102" i="36"/>
  <c r="G100" i="36"/>
  <c r="D101" i="36"/>
  <c r="C76" i="36"/>
  <c r="E66" i="36"/>
  <c r="D59" i="36"/>
  <c r="G54" i="36"/>
  <c r="D54" i="36"/>
  <c r="D52" i="36"/>
  <c r="D44" i="36"/>
  <c r="E44" i="36"/>
  <c r="F38" i="36"/>
  <c r="E34" i="36"/>
  <c r="D22" i="36"/>
  <c r="C19" i="36"/>
  <c r="F23" i="36"/>
  <c r="D11" i="36"/>
  <c r="D140" i="82"/>
  <c r="E128" i="82"/>
  <c r="D127" i="82"/>
  <c r="G124" i="82"/>
  <c r="G148" i="82"/>
  <c r="C120" i="82"/>
  <c r="G120" i="82"/>
  <c r="D114" i="82"/>
  <c r="E110" i="82"/>
  <c r="G106" i="82"/>
  <c r="D107" i="82"/>
  <c r="E106" i="82"/>
  <c r="G104" i="82"/>
  <c r="E104" i="82"/>
  <c r="C100" i="82"/>
  <c r="E100" i="82"/>
  <c r="G98" i="82"/>
  <c r="E98" i="82"/>
  <c r="C96" i="82"/>
  <c r="D71" i="82"/>
  <c r="F68" i="82"/>
  <c r="G58" i="82"/>
  <c r="E58" i="82"/>
  <c r="E56" i="82"/>
  <c r="E24" i="82"/>
  <c r="C38" i="82"/>
  <c r="C109" i="82"/>
  <c r="C107" i="82"/>
  <c r="C99" i="82"/>
  <c r="C91" i="82"/>
  <c r="C77" i="82"/>
  <c r="C67" i="82"/>
  <c r="C26" i="82"/>
  <c r="C18" i="82"/>
  <c r="D73" i="515"/>
  <c r="E71" i="515"/>
  <c r="D69" i="515"/>
  <c r="G64" i="515"/>
  <c r="D65" i="515"/>
  <c r="G62" i="515"/>
  <c r="D62" i="515"/>
  <c r="F60" i="515"/>
  <c r="C52" i="515"/>
  <c r="D49" i="515"/>
  <c r="G46" i="515"/>
  <c r="D46" i="515"/>
  <c r="D42" i="515"/>
  <c r="F40" i="515"/>
  <c r="D41" i="515"/>
  <c r="D35" i="515"/>
  <c r="D33" i="515"/>
  <c r="D32" i="515"/>
  <c r="F24" i="515"/>
  <c r="D25" i="515"/>
  <c r="D17" i="515"/>
  <c r="D14" i="515"/>
  <c r="D8" i="515"/>
  <c r="F143" i="11522"/>
  <c r="C143" i="11522"/>
  <c r="F141" i="11522"/>
  <c r="E139" i="11522"/>
  <c r="G139" i="11522"/>
  <c r="D140" i="11522"/>
  <c r="E137" i="11522"/>
  <c r="E142" i="11522"/>
  <c r="G135" i="11522"/>
  <c r="E135" i="11522"/>
  <c r="D135" i="11522"/>
  <c r="E146" i="11522"/>
  <c r="F133" i="11522"/>
  <c r="G131" i="11522"/>
  <c r="E131" i="11522"/>
  <c r="D130" i="11522"/>
  <c r="F127" i="11522"/>
  <c r="G127" i="11522"/>
  <c r="D127" i="11522"/>
  <c r="G123" i="11522"/>
  <c r="C123" i="11522"/>
  <c r="G121" i="11522"/>
  <c r="G119" i="11522"/>
  <c r="F119" i="11522"/>
  <c r="D119" i="11522"/>
  <c r="E117" i="11522"/>
  <c r="G117" i="11522"/>
  <c r="D118" i="11522"/>
  <c r="C113" i="11522"/>
  <c r="G111" i="11522"/>
  <c r="E116" i="11522"/>
  <c r="D111" i="11522"/>
  <c r="E114" i="11522"/>
  <c r="C109" i="11522"/>
  <c r="D109" i="11522"/>
  <c r="C107" i="11522"/>
  <c r="E103" i="11522"/>
  <c r="D104" i="11522"/>
  <c r="D103" i="11522"/>
  <c r="E101" i="11522"/>
  <c r="C101" i="11522"/>
  <c r="D102" i="11522"/>
  <c r="C99" i="11522"/>
  <c r="E99" i="11522"/>
  <c r="E102" i="11522"/>
  <c r="E104" i="11522"/>
  <c r="C95" i="11522"/>
  <c r="D95" i="11522"/>
  <c r="D94" i="11522"/>
  <c r="G93" i="11522"/>
  <c r="E91" i="11522"/>
  <c r="G91" i="11522"/>
  <c r="F89" i="11522"/>
  <c r="G89" i="11522"/>
  <c r="G87" i="11522"/>
  <c r="E87" i="11522"/>
  <c r="E88" i="11522"/>
  <c r="D87" i="11522"/>
  <c r="E98" i="11522"/>
  <c r="C85" i="11522"/>
  <c r="D86" i="11522"/>
  <c r="E83" i="11522"/>
  <c r="G83" i="11522"/>
  <c r="F81" i="11522"/>
  <c r="C81" i="11522"/>
  <c r="G79" i="11522"/>
  <c r="D79" i="11522"/>
  <c r="F77" i="11522"/>
  <c r="G77" i="11522"/>
  <c r="D78" i="11522"/>
  <c r="G75" i="11522"/>
  <c r="E84" i="11522"/>
  <c r="G73" i="11522"/>
  <c r="D73" i="11522"/>
  <c r="C71" i="11522"/>
  <c r="G71" i="11522"/>
  <c r="E71" i="11522"/>
  <c r="G69" i="11522"/>
  <c r="F69" i="11522"/>
  <c r="D70" i="11522"/>
  <c r="C65" i="11522"/>
  <c r="G65" i="11522"/>
  <c r="D66" i="11522"/>
  <c r="D65" i="11522"/>
  <c r="E63" i="11522"/>
  <c r="F63" i="11522"/>
  <c r="G63" i="11522"/>
  <c r="E61" i="11522"/>
  <c r="D62" i="11522"/>
  <c r="C59" i="11522"/>
  <c r="C57" i="11522"/>
  <c r="C55" i="11522"/>
  <c r="E55" i="11522"/>
  <c r="F55" i="11522"/>
  <c r="E53" i="11522"/>
  <c r="D54" i="11522"/>
  <c r="C51" i="11522"/>
  <c r="G51" i="11522"/>
  <c r="E58" i="11522"/>
  <c r="E54" i="11522"/>
  <c r="D51" i="11522"/>
  <c r="C49" i="11522"/>
  <c r="E47" i="11522"/>
  <c r="G47" i="11522"/>
  <c r="D46" i="11522"/>
  <c r="F45" i="11522"/>
  <c r="C43" i="11522"/>
  <c r="G43" i="11522"/>
  <c r="D43" i="11522"/>
  <c r="E41" i="11522"/>
  <c r="C41" i="11522"/>
  <c r="F39" i="11522"/>
  <c r="E50" i="11522"/>
  <c r="C39" i="11522"/>
  <c r="E46" i="11522"/>
  <c r="D39" i="11522"/>
  <c r="D38" i="11522"/>
  <c r="C37" i="11522"/>
  <c r="E35" i="11522"/>
  <c r="G35" i="11522"/>
  <c r="F33" i="11522"/>
  <c r="C33" i="11522"/>
  <c r="D34" i="11522"/>
  <c r="F31" i="11522"/>
  <c r="D31" i="11522"/>
  <c r="G31" i="11522"/>
  <c r="E36" i="11522"/>
  <c r="E25" i="11522"/>
  <c r="D26" i="11522"/>
  <c r="D25" i="11522"/>
  <c r="C23" i="11522"/>
  <c r="F23" i="11522"/>
  <c r="C21" i="11522"/>
  <c r="D21" i="11522"/>
  <c r="F19" i="11522"/>
  <c r="D19" i="11522"/>
  <c r="E17" i="11522"/>
  <c r="D17" i="11522"/>
  <c r="E26" i="11522"/>
  <c r="C13" i="11522"/>
  <c r="D14" i="11522"/>
  <c r="D11" i="11522"/>
  <c r="C110" i="11522"/>
  <c r="C10" i="11522"/>
  <c r="C86" i="11522"/>
  <c r="C130" i="11522"/>
  <c r="C114" i="11522"/>
  <c r="C84" i="11522"/>
  <c r="C66" i="11522"/>
  <c r="C50" i="11522"/>
  <c r="C38" i="11522"/>
  <c r="C34" i="11522"/>
  <c r="C30" i="11522"/>
  <c r="C22" i="11522"/>
  <c r="C16" i="11522"/>
  <c r="C126" i="11522"/>
  <c r="C46" i="11522"/>
  <c r="C64" i="11522"/>
  <c r="D144" i="516"/>
  <c r="G142" i="516"/>
  <c r="D142" i="516"/>
  <c r="D128" i="516"/>
  <c r="E128" i="516"/>
  <c r="D103" i="516"/>
  <c r="G96" i="516"/>
  <c r="D96" i="516"/>
  <c r="C96" i="516"/>
  <c r="E92" i="516"/>
  <c r="D89" i="516"/>
  <c r="G80" i="516"/>
  <c r="E80" i="516"/>
  <c r="G78" i="516"/>
  <c r="C74" i="516"/>
  <c r="G72" i="516"/>
  <c r="D72" i="516"/>
  <c r="E66" i="516"/>
  <c r="G64" i="516"/>
  <c r="E64" i="516"/>
  <c r="D60" i="516"/>
  <c r="C60" i="516"/>
  <c r="F56" i="516"/>
  <c r="D57" i="516"/>
  <c r="D56" i="516"/>
  <c r="C56" i="516"/>
  <c r="D53" i="516"/>
  <c r="D52" i="516"/>
  <c r="D47" i="516"/>
  <c r="E42" i="516"/>
  <c r="E40" i="516"/>
  <c r="G38" i="516"/>
  <c r="D37" i="516"/>
  <c r="E36" i="516"/>
  <c r="C34" i="516"/>
  <c r="G32" i="516"/>
  <c r="E32" i="516"/>
  <c r="E28" i="516"/>
  <c r="D20" i="516"/>
  <c r="E20" i="516"/>
  <c r="C20" i="516"/>
  <c r="D17" i="516"/>
  <c r="D16" i="516"/>
  <c r="D48" i="82"/>
  <c r="F31" i="36"/>
  <c r="F35" i="36"/>
  <c r="C45" i="36"/>
  <c r="G51" i="36"/>
  <c r="F59" i="36"/>
  <c r="F61" i="36"/>
  <c r="D126" i="36"/>
  <c r="C37" i="82"/>
  <c r="G52" i="36"/>
  <c r="C79" i="11522"/>
  <c r="C98" i="11522"/>
  <c r="G49" i="82"/>
  <c r="C102" i="82"/>
  <c r="G126" i="82"/>
  <c r="C132" i="82"/>
  <c r="G45" i="11522"/>
  <c r="F43" i="11522"/>
  <c r="F84" i="516"/>
  <c r="F35" i="82"/>
  <c r="F92" i="516"/>
  <c r="G60" i="516"/>
  <c r="F52" i="516"/>
  <c r="G70" i="516"/>
  <c r="G102" i="36"/>
  <c r="E142" i="516"/>
  <c r="E86" i="11522"/>
  <c r="F29" i="11522"/>
  <c r="C15" i="11522"/>
  <c r="E19" i="11522"/>
  <c r="E45" i="11522"/>
  <c r="F51" i="11522"/>
  <c r="F53" i="11522"/>
  <c r="G59" i="11522"/>
  <c r="F67" i="11522"/>
  <c r="F85" i="11522"/>
  <c r="C93" i="11522"/>
  <c r="E95" i="11522"/>
  <c r="F95" i="11522"/>
  <c r="C27" i="11522"/>
  <c r="E27" i="11522"/>
  <c r="D99" i="11522"/>
  <c r="G99" i="11522"/>
  <c r="F115" i="11522"/>
  <c r="E107" i="11522"/>
  <c r="G133" i="11522"/>
  <c r="E115" i="11522"/>
  <c r="E111" i="11522"/>
  <c r="F111" i="11522"/>
  <c r="C145" i="11522"/>
  <c r="E145" i="11522"/>
  <c r="E147" i="11522"/>
  <c r="C17" i="82"/>
  <c r="C92" i="82"/>
  <c r="G37" i="82"/>
  <c r="C148" i="82"/>
  <c r="F72" i="82"/>
  <c r="C30" i="82"/>
  <c r="G35" i="36"/>
  <c r="C80" i="82"/>
  <c r="G68" i="82"/>
  <c r="D81" i="82"/>
  <c r="F114" i="82"/>
  <c r="G118" i="82"/>
  <c r="F72" i="36"/>
  <c r="G90" i="36"/>
  <c r="G134" i="36"/>
  <c r="G51" i="82"/>
  <c r="D29" i="11522"/>
  <c r="D18" i="82"/>
  <c r="F78" i="36"/>
  <c r="C116" i="82"/>
  <c r="G48" i="36"/>
  <c r="F55" i="82"/>
  <c r="F116" i="82"/>
  <c r="F25" i="82"/>
  <c r="F47" i="36"/>
  <c r="F41" i="11522"/>
  <c r="F61" i="11522"/>
  <c r="C25" i="11522"/>
  <c r="E129" i="11522"/>
  <c r="F131" i="11522"/>
  <c r="F75" i="11522"/>
  <c r="F35" i="11522"/>
  <c r="G50" i="36"/>
  <c r="F146" i="36"/>
  <c r="C77" i="11522"/>
  <c r="C129" i="11522"/>
  <c r="G138" i="82"/>
  <c r="E124" i="36"/>
  <c r="E38" i="36"/>
  <c r="F20" i="516"/>
  <c r="G58" i="36"/>
  <c r="D136" i="516"/>
  <c r="F36" i="516"/>
  <c r="D124" i="516"/>
  <c r="E80" i="82"/>
  <c r="D100" i="516"/>
  <c r="D42" i="11522"/>
  <c r="F149" i="11522"/>
  <c r="D116" i="516"/>
  <c r="D105" i="516"/>
  <c r="E24" i="516"/>
  <c r="C25" i="515"/>
  <c r="C78" i="11522"/>
  <c r="E48" i="516"/>
  <c r="D22" i="515"/>
  <c r="E96" i="516"/>
  <c r="E60" i="516"/>
  <c r="D69" i="11522"/>
  <c r="E37" i="36"/>
  <c r="D82" i="36"/>
  <c r="D116" i="82"/>
  <c r="D52" i="82"/>
  <c r="D123" i="11522"/>
  <c r="E62" i="11522"/>
  <c r="D87" i="516"/>
  <c r="D41" i="516"/>
  <c r="C10" i="516"/>
  <c r="D120" i="82"/>
  <c r="C14" i="11522"/>
  <c r="C70" i="516"/>
  <c r="D55" i="36"/>
  <c r="C19" i="82"/>
  <c r="E138" i="11522"/>
  <c r="E106" i="11522"/>
  <c r="D80" i="516"/>
  <c r="E73" i="11522"/>
  <c r="C102" i="11522"/>
  <c r="E35" i="36"/>
  <c r="C48" i="516"/>
  <c r="D8" i="516"/>
  <c r="D13" i="516"/>
  <c r="D24" i="516"/>
  <c r="D28" i="516"/>
  <c r="D32" i="516"/>
  <c r="D40" i="516"/>
  <c r="D44" i="516"/>
  <c r="D61" i="516"/>
  <c r="D79" i="516"/>
  <c r="D81" i="516"/>
  <c r="D88" i="516"/>
  <c r="D111" i="516"/>
  <c r="E16" i="11522"/>
  <c r="E18" i="11522"/>
  <c r="E22" i="11522"/>
  <c r="D22" i="11522"/>
  <c r="D27" i="11522"/>
  <c r="C26" i="11522"/>
  <c r="D35" i="11522"/>
  <c r="C42" i="11522"/>
  <c r="D55" i="11522"/>
  <c r="C58" i="11522"/>
  <c r="C62" i="11522"/>
  <c r="D68" i="11522"/>
  <c r="D71" i="11522"/>
  <c r="D88" i="11522"/>
  <c r="D98" i="11522"/>
  <c r="D101" i="11522"/>
  <c r="C118" i="11522"/>
  <c r="C134" i="11522"/>
  <c r="E140" i="11522"/>
  <c r="D9" i="515"/>
  <c r="C23" i="515"/>
  <c r="D34" i="515"/>
  <c r="C35" i="515"/>
  <c r="D37" i="515"/>
  <c r="D45" i="515"/>
  <c r="D61" i="515"/>
  <c r="D43" i="82"/>
  <c r="G70" i="82"/>
  <c r="C51" i="82"/>
  <c r="D60" i="82"/>
  <c r="E70" i="82"/>
  <c r="D68" i="82"/>
  <c r="D75" i="82"/>
  <c r="D92" i="82"/>
  <c r="D100" i="82"/>
  <c r="E114" i="82"/>
  <c r="E116" i="82"/>
  <c r="E140" i="82"/>
  <c r="C50" i="36"/>
  <c r="D27" i="36"/>
  <c r="E36" i="36"/>
  <c r="D31" i="36"/>
  <c r="E46" i="36"/>
  <c r="E52" i="36"/>
  <c r="D51" i="36"/>
  <c r="D60" i="36"/>
  <c r="E70" i="36"/>
  <c r="D128" i="36"/>
  <c r="C49" i="82"/>
  <c r="E45" i="82"/>
  <c r="D42" i="82"/>
  <c r="D46" i="82"/>
  <c r="D55" i="82"/>
  <c r="E61" i="82"/>
  <c r="E71" i="82"/>
  <c r="D19" i="36"/>
  <c r="D20" i="36"/>
  <c r="D23" i="36"/>
  <c r="C36" i="36"/>
  <c r="D47" i="36"/>
  <c r="E47" i="36"/>
  <c r="C68" i="36"/>
  <c r="E71" i="36"/>
  <c r="D10" i="11522"/>
  <c r="E23" i="11522"/>
  <c r="C63" i="11522"/>
  <c r="C119" i="11522"/>
  <c r="G147" i="11522"/>
  <c r="F120" i="82"/>
  <c r="C31" i="11522"/>
  <c r="G39" i="11522"/>
  <c r="G109" i="11522"/>
  <c r="G143" i="11522"/>
  <c r="F32" i="515"/>
  <c r="G44" i="515"/>
  <c r="G54" i="515"/>
  <c r="C61" i="11522"/>
  <c r="C35" i="11522"/>
  <c r="C83" i="11522"/>
  <c r="E123" i="11522"/>
  <c r="G72" i="515"/>
  <c r="F73" i="11522"/>
  <c r="C135" i="11522"/>
  <c r="C81" i="82"/>
  <c r="F20" i="515"/>
  <c r="E33" i="11522"/>
  <c r="E43" i="11522"/>
  <c r="F47" i="11522"/>
  <c r="G53" i="11522"/>
  <c r="F71" i="11522"/>
  <c r="G85" i="11522"/>
  <c r="F91" i="11522"/>
  <c r="C97" i="11522"/>
  <c r="F101" i="11522"/>
  <c r="G115" i="11522"/>
  <c r="C121" i="11522"/>
  <c r="C137" i="11522"/>
  <c r="G32" i="515"/>
  <c r="G92" i="82"/>
  <c r="D111" i="82"/>
  <c r="F138" i="82"/>
  <c r="F63" i="82"/>
  <c r="E67" i="82"/>
  <c r="C18" i="11522"/>
  <c r="G67" i="36"/>
  <c r="D18" i="36"/>
  <c r="E79" i="11522"/>
  <c r="E57" i="11522"/>
  <c r="F121" i="10498"/>
  <c r="G121" i="10498"/>
  <c r="F104" i="10498"/>
  <c r="C104" i="10498"/>
  <c r="F96" i="10498"/>
  <c r="G93" i="10498"/>
  <c r="G85" i="10498"/>
  <c r="F84" i="10498"/>
  <c r="C84" i="10498"/>
  <c r="F76" i="10498"/>
  <c r="F74" i="10498"/>
  <c r="F72" i="10498"/>
  <c r="D72" i="10498"/>
  <c r="G69" i="10498"/>
  <c r="F68" i="10498"/>
  <c r="F64" i="10498"/>
  <c r="C64" i="10498"/>
  <c r="G57" i="10498"/>
  <c r="F56" i="10498"/>
  <c r="E54" i="10498"/>
  <c r="G55" i="10498"/>
  <c r="F54" i="10498"/>
  <c r="E52" i="10498"/>
  <c r="F52" i="10498"/>
  <c r="E50" i="10498"/>
  <c r="C50" i="10498"/>
  <c r="E48" i="10498"/>
  <c r="E46" i="10498"/>
  <c r="F46" i="10498"/>
  <c r="E55" i="10498"/>
  <c r="G47" i="10498"/>
  <c r="E47" i="10498"/>
  <c r="E44" i="10498"/>
  <c r="F38" i="10498"/>
  <c r="G35" i="10498"/>
  <c r="F34" i="10498"/>
  <c r="E34" i="10498"/>
  <c r="C34" i="10498"/>
  <c r="F32" i="10498"/>
  <c r="G31" i="10498"/>
  <c r="F30" i="10498"/>
  <c r="F28" i="10498"/>
  <c r="F26" i="10498"/>
  <c r="E26" i="10498"/>
  <c r="E22" i="10498"/>
  <c r="E31" i="10498"/>
  <c r="F22" i="10498"/>
  <c r="E23" i="10498"/>
  <c r="E20" i="10498"/>
  <c r="E18" i="10498"/>
  <c r="E16" i="10498"/>
  <c r="E14" i="10498"/>
  <c r="D15" i="10498"/>
  <c r="C38" i="2"/>
  <c r="H38" i="2"/>
  <c r="F36" i="2"/>
  <c r="G36" i="2"/>
  <c r="D29" i="2"/>
  <c r="F28" i="2"/>
  <c r="D28" i="2"/>
  <c r="E28" i="2"/>
  <c r="D27" i="2"/>
  <c r="F24" i="2"/>
  <c r="H24" i="2"/>
  <c r="D20" i="2"/>
  <c r="H20" i="2"/>
  <c r="D19" i="2"/>
  <c r="H18" i="2"/>
  <c r="D8" i="2"/>
  <c r="C7" i="768"/>
  <c r="F55" i="11521"/>
  <c r="E53" i="11521"/>
  <c r="H53" i="11521"/>
  <c r="F49" i="11521"/>
  <c r="E56" i="11521"/>
  <c r="E50" i="11521"/>
  <c r="E49" i="11521"/>
  <c r="C49" i="11521"/>
  <c r="D49" i="11521"/>
  <c r="H47" i="11521"/>
  <c r="G45" i="11521"/>
  <c r="D45" i="11521"/>
  <c r="C41" i="11521"/>
  <c r="G41" i="11521"/>
  <c r="F41" i="11521"/>
  <c r="E39" i="11521"/>
  <c r="H37" i="11521"/>
  <c r="E44" i="11521"/>
  <c r="E37" i="11521"/>
  <c r="E38" i="11521"/>
  <c r="E46" i="11521"/>
  <c r="H35" i="11521"/>
  <c r="C33" i="11521"/>
  <c r="H33" i="11521"/>
  <c r="F33" i="11521"/>
  <c r="H29" i="11521"/>
  <c r="E29" i="11521"/>
  <c r="G29" i="11521"/>
  <c r="D29" i="11521"/>
  <c r="F27" i="11521"/>
  <c r="E34" i="11521"/>
  <c r="E28" i="11521"/>
  <c r="E32" i="11521"/>
  <c r="E25" i="11521"/>
  <c r="E36" i="11521"/>
  <c r="D26" i="11521"/>
  <c r="D25" i="11521"/>
  <c r="E21" i="11521"/>
  <c r="D22" i="11521"/>
  <c r="D21" i="11521"/>
  <c r="D18" i="11521"/>
  <c r="C17" i="11521"/>
  <c r="H13" i="11521"/>
  <c r="E24" i="11521"/>
  <c r="E22" i="11521"/>
  <c r="C13" i="11521"/>
  <c r="H9" i="11521"/>
  <c r="C9" i="11521"/>
  <c r="H5" i="11521"/>
  <c r="D6" i="11521"/>
  <c r="D67" i="40"/>
  <c r="G48" i="40"/>
  <c r="D1572" i="1"/>
  <c r="F964" i="1"/>
  <c r="F43" i="82"/>
  <c r="F71" i="82"/>
  <c r="E56" i="10498"/>
  <c r="C139" i="82"/>
  <c r="G962" i="1"/>
  <c r="F1568" i="1"/>
  <c r="B153" i="9216"/>
  <c r="D1571" i="1"/>
  <c r="F1563" i="1"/>
  <c r="G36" i="11521"/>
  <c r="F30" i="11521"/>
  <c r="F26" i="11521"/>
  <c r="C24" i="11521"/>
  <c r="H26" i="11520"/>
  <c r="E26" i="11520"/>
  <c r="C26" i="11520"/>
  <c r="F26" i="11520"/>
  <c r="F38" i="11520"/>
  <c r="G50" i="11520"/>
  <c r="E1523" i="1"/>
  <c r="F1523" i="1" s="1"/>
  <c r="E1567" i="1"/>
  <c r="F1567" i="1" s="1"/>
  <c r="D133" i="36"/>
  <c r="F121" i="36"/>
  <c r="F104" i="36"/>
  <c r="D36" i="36"/>
  <c r="C139" i="11522"/>
  <c r="C127" i="11522"/>
  <c r="C91" i="11522"/>
  <c r="C89" i="11522"/>
  <c r="F87" i="11522"/>
  <c r="G130" i="36"/>
  <c r="E55" i="36"/>
  <c r="E972" i="1"/>
  <c r="E973" i="1"/>
  <c r="E1525" i="1"/>
  <c r="F1525" i="1" s="1"/>
  <c r="E1572" i="1"/>
  <c r="F1572" i="1" s="1"/>
  <c r="G37" i="11521"/>
  <c r="F56" i="515"/>
  <c r="E1570" i="1"/>
  <c r="H35" i="10498"/>
  <c r="H86" i="10498"/>
  <c r="H34" i="10498"/>
  <c r="H124" i="10498"/>
  <c r="H103" i="10498"/>
  <c r="H90" i="10498"/>
  <c r="H108" i="10498"/>
  <c r="D144" i="36"/>
  <c r="F27" i="11522"/>
  <c r="G128" i="82"/>
  <c r="G104" i="516"/>
  <c r="D104" i="516"/>
  <c r="F57" i="82"/>
  <c r="G46" i="82"/>
  <c r="F38" i="82"/>
  <c r="D39" i="82"/>
  <c r="F50" i="82"/>
  <c r="F70" i="515"/>
  <c r="G70" i="515"/>
  <c r="G36" i="515"/>
  <c r="F22" i="516"/>
  <c r="G41" i="82"/>
  <c r="G35" i="82"/>
  <c r="F23" i="82"/>
  <c r="C124" i="82"/>
  <c r="C122" i="82"/>
  <c r="D95" i="82"/>
  <c r="E34" i="82"/>
  <c r="E146" i="516"/>
  <c r="G134" i="516"/>
  <c r="E132" i="516"/>
  <c r="F44" i="516"/>
  <c r="D34" i="36"/>
  <c r="F148" i="515"/>
  <c r="E102" i="516"/>
  <c r="B170" i="9216"/>
  <c r="L281" i="1"/>
  <c r="F69" i="82"/>
  <c r="B166" i="1024"/>
  <c r="F1566" i="1"/>
  <c r="F30" i="2"/>
  <c r="H30" i="2"/>
  <c r="H22" i="2"/>
  <c r="D23" i="2"/>
  <c r="F22" i="2"/>
  <c r="F34" i="2"/>
  <c r="C14" i="2"/>
  <c r="D15" i="2"/>
  <c r="H14" i="2"/>
  <c r="F26" i="2"/>
  <c r="G38" i="2"/>
  <c r="D7" i="2"/>
  <c r="F18" i="2"/>
  <c r="H6" i="2"/>
  <c r="D84" i="40"/>
  <c r="E78" i="40"/>
  <c r="F1516" i="1"/>
  <c r="B163" i="9216"/>
  <c r="F1518" i="1"/>
  <c r="B165" i="9216"/>
  <c r="H50" i="10498"/>
  <c r="H70" i="10498"/>
  <c r="H63" i="10498"/>
  <c r="H97" i="10498"/>
  <c r="H110" i="10498"/>
  <c r="H42" i="10498"/>
  <c r="H92" i="10498"/>
  <c r="H93" i="10498"/>
  <c r="H27" i="10498"/>
  <c r="H55" i="10498"/>
  <c r="H6" i="10498"/>
  <c r="H75" i="10498"/>
  <c r="E125" i="10498"/>
  <c r="H10" i="10498"/>
  <c r="H39" i="10498"/>
  <c r="H25" i="10498"/>
  <c r="H41" i="10498"/>
  <c r="H125" i="10498"/>
  <c r="H21" i="10498"/>
  <c r="H81" i="10498"/>
  <c r="H49" i="10498"/>
  <c r="H31" i="10498"/>
  <c r="H22" i="10498"/>
  <c r="H11" i="10498"/>
  <c r="H19" i="10498"/>
  <c r="H114" i="10498"/>
  <c r="H121" i="10498"/>
  <c r="H24" i="10498"/>
  <c r="H13" i="10498"/>
  <c r="H60" i="10498"/>
  <c r="H7" i="10498"/>
  <c r="H26" i="10498"/>
  <c r="H101" i="10498"/>
  <c r="H30" i="10498"/>
  <c r="C62" i="82"/>
  <c r="G62" i="82"/>
  <c r="G54" i="82"/>
  <c r="C54" i="82"/>
  <c r="E54" i="82"/>
  <c r="G32" i="82"/>
  <c r="F37" i="2"/>
  <c r="H37" i="2"/>
  <c r="C29" i="2"/>
  <c r="E49" i="36"/>
  <c r="D42" i="36"/>
  <c r="F25" i="36"/>
  <c r="D10" i="36"/>
  <c r="D9" i="36"/>
  <c r="D143" i="82"/>
  <c r="E143" i="82"/>
  <c r="G143" i="82"/>
  <c r="D144" i="82"/>
  <c r="G136" i="82"/>
  <c r="E136" i="82"/>
  <c r="F136" i="82"/>
  <c r="F30" i="82"/>
  <c r="E30" i="82"/>
  <c r="D30" i="82"/>
  <c r="D22" i="82"/>
  <c r="D23" i="82"/>
  <c r="C22" i="82"/>
  <c r="D66" i="515"/>
  <c r="G66" i="515"/>
  <c r="F58" i="515"/>
  <c r="D58" i="515"/>
  <c r="E64" i="515"/>
  <c r="G58" i="515"/>
  <c r="E58" i="515"/>
  <c r="F50" i="515"/>
  <c r="D50" i="515"/>
  <c r="G50" i="515"/>
  <c r="G42" i="515"/>
  <c r="F42" i="515"/>
  <c r="F34" i="515"/>
  <c r="E38" i="515"/>
  <c r="D26" i="515"/>
  <c r="F26" i="515"/>
  <c r="D27" i="515"/>
  <c r="F30" i="515"/>
  <c r="D11" i="515"/>
  <c r="D10" i="515"/>
  <c r="F22" i="515"/>
  <c r="D138" i="11522"/>
  <c r="G138" i="11522"/>
  <c r="C138" i="11522"/>
  <c r="D139" i="11522"/>
  <c r="F130" i="11522"/>
  <c r="G130" i="11522"/>
  <c r="D131" i="11522"/>
  <c r="F142" i="11522"/>
  <c r="E130" i="11522"/>
  <c r="G122" i="11522"/>
  <c r="F134" i="11522"/>
  <c r="F122" i="11522"/>
  <c r="E122" i="11522"/>
  <c r="D122" i="11522"/>
  <c r="G146" i="11522"/>
  <c r="F79" i="11522"/>
  <c r="D67" i="11522"/>
  <c r="C67" i="11522"/>
  <c r="C36" i="11522"/>
  <c r="C28" i="11522"/>
  <c r="D13" i="11522"/>
  <c r="E122" i="516"/>
  <c r="F134" i="516"/>
  <c r="D123" i="516"/>
  <c r="D115" i="516"/>
  <c r="G114" i="516"/>
  <c r="G88" i="10498"/>
  <c r="G73" i="10498"/>
  <c r="D73" i="10498"/>
  <c r="D1504" i="1"/>
  <c r="B82" i="9216"/>
  <c r="H336" i="1"/>
  <c r="B32" i="2316"/>
  <c r="F335" i="1"/>
  <c r="B19" i="2316"/>
  <c r="F1520" i="1"/>
  <c r="B167" i="9216"/>
  <c r="E1553" i="1"/>
  <c r="B96" i="1024" s="1"/>
  <c r="F142" i="36"/>
  <c r="E130" i="36"/>
  <c r="D131" i="36"/>
  <c r="F135" i="36"/>
  <c r="E123" i="36"/>
  <c r="G103" i="36"/>
  <c r="C119" i="82"/>
  <c r="F119" i="82"/>
  <c r="F1549" i="1"/>
  <c r="B92" i="1024"/>
  <c r="E60" i="36"/>
  <c r="D146" i="36"/>
  <c r="E137" i="36"/>
  <c r="F133" i="82"/>
  <c r="F79" i="516"/>
  <c r="F91" i="516"/>
  <c r="E79" i="516"/>
  <c r="G79" i="516"/>
  <c r="G103" i="516"/>
  <c r="F83" i="516"/>
  <c r="F75" i="516"/>
  <c r="F63" i="516"/>
  <c r="C63" i="516"/>
  <c r="G87" i="516"/>
  <c r="E63" i="516"/>
  <c r="E67" i="516"/>
  <c r="C55" i="516"/>
  <c r="E55" i="516"/>
  <c r="F67" i="516"/>
  <c r="D48" i="516"/>
  <c r="F47" i="516"/>
  <c r="F51" i="516"/>
  <c r="G39" i="516"/>
  <c r="E43" i="516"/>
  <c r="E39" i="516"/>
  <c r="E51" i="516"/>
  <c r="E23" i="516"/>
  <c r="F27" i="516"/>
  <c r="E16" i="516"/>
  <c r="E19" i="516"/>
  <c r="E17" i="516"/>
  <c r="E107" i="516"/>
  <c r="F119" i="516"/>
  <c r="F58" i="82"/>
  <c r="F70" i="82"/>
  <c r="B9" i="8196"/>
  <c r="D989" i="1"/>
  <c r="F119" i="515"/>
  <c r="F107" i="515"/>
  <c r="F962" i="1"/>
  <c r="B230" i="20994"/>
  <c r="F1475" i="1"/>
  <c r="F66" i="82"/>
  <c r="E68" i="82"/>
  <c r="G54" i="11521"/>
  <c r="C54" i="11521"/>
  <c r="H54" i="11521"/>
  <c r="C46" i="11521"/>
  <c r="G46" i="11521"/>
  <c r="C18" i="11521"/>
  <c r="C32" i="11521"/>
  <c r="C16" i="11521"/>
  <c r="C50" i="11521"/>
  <c r="G31" i="40"/>
  <c r="D85" i="516"/>
  <c r="D71" i="516"/>
  <c r="G90" i="10498"/>
  <c r="B175" i="9216"/>
  <c r="H1516" i="1"/>
  <c r="D133" i="82"/>
  <c r="E112" i="516"/>
  <c r="G71" i="36"/>
  <c r="G62" i="10498"/>
  <c r="C11" i="10498"/>
  <c r="G964" i="1"/>
  <c r="H964" i="1" s="1"/>
  <c r="E971" i="1"/>
  <c r="D65" i="82"/>
  <c r="C71" i="10498"/>
  <c r="D64" i="10498"/>
  <c r="F42" i="10498"/>
  <c r="D11" i="10498"/>
  <c r="G109" i="36"/>
  <c r="C28" i="11521"/>
  <c r="L1493" i="1"/>
  <c r="B62" i="9216"/>
  <c r="G965" i="1"/>
  <c r="B245" i="20994" s="1"/>
  <c r="G68" i="36"/>
  <c r="D78" i="82"/>
  <c r="F147" i="11522"/>
  <c r="C17" i="11522"/>
  <c r="D9" i="516"/>
  <c r="F122" i="10498"/>
  <c r="D971" i="1"/>
  <c r="B227" i="20994"/>
  <c r="G963" i="1"/>
  <c r="B243" i="20994" s="1"/>
  <c r="F46" i="515"/>
  <c r="G41" i="515"/>
  <c r="B161" i="1024"/>
  <c r="F1561" i="1"/>
  <c r="B162" i="1024"/>
  <c r="F1562" i="1"/>
  <c r="G91" i="515"/>
  <c r="G40" i="515"/>
  <c r="G1515" i="1"/>
  <c r="B174" i="9216" s="1"/>
  <c r="E81" i="515"/>
  <c r="F102" i="515"/>
  <c r="F78" i="40"/>
  <c r="F66" i="515"/>
  <c r="C112" i="10498"/>
  <c r="F124" i="10498"/>
  <c r="D113" i="10498"/>
  <c r="F112" i="10498"/>
  <c r="E112" i="10498"/>
  <c r="G60" i="11522"/>
  <c r="F136" i="11522"/>
  <c r="E136" i="11522"/>
  <c r="G113" i="11522"/>
  <c r="G137" i="11522"/>
  <c r="F113" i="11522"/>
  <c r="E113" i="11522"/>
  <c r="D114" i="11522"/>
  <c r="F94" i="11522"/>
  <c r="G106" i="11522"/>
  <c r="F82" i="11522"/>
  <c r="G82" i="11522"/>
  <c r="E82" i="11522"/>
  <c r="C82" i="11522"/>
  <c r="D82" i="11522"/>
  <c r="D83" i="11522"/>
  <c r="G68" i="516"/>
  <c r="D68" i="516"/>
  <c r="F68" i="516"/>
  <c r="D69" i="516"/>
  <c r="E68" i="516"/>
  <c r="F80" i="516"/>
  <c r="G92" i="516"/>
  <c r="E128" i="11522"/>
  <c r="C105" i="11522"/>
  <c r="F105" i="11522"/>
  <c r="E105" i="11522"/>
  <c r="G105" i="11522"/>
  <c r="D106" i="11522"/>
  <c r="F117" i="11522"/>
  <c r="G90" i="11522"/>
  <c r="C90" i="11522"/>
  <c r="F102" i="11522"/>
  <c r="E90" i="11522"/>
  <c r="F90" i="11522"/>
  <c r="D91" i="11522"/>
  <c r="G114" i="11522"/>
  <c r="D90" i="11522"/>
  <c r="F64" i="11522"/>
  <c r="F123" i="10498"/>
  <c r="D144" i="11522"/>
  <c r="G120" i="11522"/>
  <c r="D120" i="11522"/>
  <c r="F74" i="11522"/>
  <c r="G98" i="11522"/>
  <c r="G74" i="11522"/>
  <c r="D75" i="11522"/>
  <c r="C74" i="11522"/>
  <c r="E98" i="516"/>
  <c r="F110" i="516"/>
  <c r="E76" i="516"/>
  <c r="D77" i="516"/>
  <c r="F88" i="516"/>
  <c r="G76" i="516"/>
  <c r="F76" i="516"/>
  <c r="C76" i="516"/>
  <c r="G100" i="516"/>
  <c r="D76" i="516"/>
  <c r="D74" i="11522"/>
  <c r="G129" i="11522"/>
  <c r="F70" i="36"/>
  <c r="G70" i="36"/>
  <c r="F29" i="36"/>
  <c r="F41" i="36"/>
  <c r="F26" i="36"/>
  <c r="G38" i="36"/>
  <c r="D14" i="36"/>
  <c r="F28" i="82"/>
  <c r="G52" i="82"/>
  <c r="G38" i="82"/>
  <c r="D14" i="82"/>
  <c r="F26" i="82"/>
  <c r="C14" i="82"/>
  <c r="E144" i="36"/>
  <c r="C144" i="36"/>
  <c r="G144" i="36"/>
  <c r="F144" i="36"/>
  <c r="D108" i="10498"/>
  <c r="G100" i="10498"/>
  <c r="C99" i="10498"/>
  <c r="G124" i="10498"/>
  <c r="F99" i="10498"/>
  <c r="H99" i="10498"/>
  <c r="H26" i="2"/>
  <c r="D26" i="2"/>
  <c r="E114" i="10498"/>
  <c r="G114" i="10498"/>
  <c r="D114" i="10498"/>
  <c r="D115" i="10498"/>
  <c r="C114" i="10498"/>
  <c r="D9" i="10498"/>
  <c r="G32" i="2"/>
  <c r="F32" i="2"/>
  <c r="H32" i="2"/>
  <c r="D32" i="2"/>
  <c r="D104" i="10498"/>
  <c r="G105" i="10498"/>
  <c r="G66" i="82"/>
  <c r="C42" i="82"/>
  <c r="F54" i="82"/>
  <c r="F42" i="82"/>
  <c r="F32" i="82"/>
  <c r="C129" i="36"/>
  <c r="D89" i="36"/>
  <c r="D71" i="515"/>
  <c r="E55" i="515"/>
  <c r="G135" i="516"/>
  <c r="G111" i="516"/>
  <c r="E111" i="516"/>
  <c r="E123" i="516"/>
  <c r="F111" i="516"/>
  <c r="E120" i="516"/>
  <c r="G43" i="516"/>
  <c r="E35" i="516"/>
  <c r="G59" i="516"/>
  <c r="F35" i="516"/>
  <c r="D36" i="516"/>
  <c r="G37" i="515"/>
  <c r="F25" i="515"/>
  <c r="D13" i="515"/>
  <c r="F101" i="36"/>
  <c r="F67" i="36"/>
  <c r="E67" i="36"/>
  <c r="F44" i="82"/>
  <c r="E104" i="516"/>
  <c r="D26" i="516"/>
  <c r="E62" i="82"/>
  <c r="D63" i="82"/>
  <c r="F62" i="82"/>
  <c r="C55" i="82"/>
  <c r="E55" i="82"/>
  <c r="F67" i="82"/>
  <c r="F46" i="82"/>
  <c r="C46" i="82"/>
  <c r="G34" i="11522"/>
  <c r="F34" i="11522"/>
  <c r="E34" i="11522"/>
  <c r="F46" i="11522"/>
  <c r="G58" i="11522"/>
  <c r="D49" i="516"/>
  <c r="F49" i="516"/>
  <c r="D36" i="40"/>
  <c r="D62" i="36"/>
  <c r="E28" i="36"/>
  <c r="D28" i="36"/>
  <c r="F140" i="11522"/>
  <c r="E116" i="516"/>
  <c r="D109" i="516"/>
  <c r="G109" i="516"/>
  <c r="H16" i="2"/>
  <c r="G51" i="11521"/>
  <c r="D27" i="11521"/>
  <c r="G30" i="2"/>
  <c r="D31" i="2"/>
  <c r="G139" i="36"/>
  <c r="D140" i="36"/>
  <c r="F139" i="36"/>
  <c r="E74" i="36"/>
  <c r="G63" i="36"/>
  <c r="G87" i="36"/>
  <c r="G38" i="515"/>
  <c r="F38" i="515"/>
  <c r="D38" i="515"/>
  <c r="G66" i="36"/>
  <c r="F66" i="36"/>
  <c r="F30" i="36"/>
  <c r="G42" i="36"/>
  <c r="F22" i="36"/>
  <c r="G34" i="36"/>
  <c r="D96" i="82"/>
  <c r="F107" i="82"/>
  <c r="G91" i="516"/>
  <c r="D92" i="516"/>
  <c r="F69" i="516"/>
  <c r="E69" i="516"/>
  <c r="G85" i="516"/>
  <c r="G61" i="516"/>
  <c r="E61" i="516"/>
  <c r="G77" i="516"/>
  <c r="F65" i="516"/>
  <c r="F42" i="36"/>
  <c r="F144" i="82"/>
  <c r="F59" i="516"/>
  <c r="E122" i="82"/>
  <c r="D10" i="516"/>
  <c r="F24" i="516"/>
  <c r="G117" i="10498"/>
  <c r="G29" i="2"/>
  <c r="G52" i="11521"/>
  <c r="C52" i="11521"/>
  <c r="D103" i="82"/>
  <c r="E33" i="82"/>
  <c r="D26" i="82"/>
  <c r="D62" i="516"/>
  <c r="C106" i="10498"/>
  <c r="E29" i="11522"/>
  <c r="F103" i="516"/>
  <c r="F52" i="515"/>
  <c r="D124" i="36"/>
  <c r="D98" i="36"/>
  <c r="C138" i="82"/>
  <c r="F50" i="11522"/>
  <c r="D120" i="516"/>
  <c r="C101" i="10498"/>
  <c r="G118" i="515"/>
  <c r="F94" i="515"/>
  <c r="D27" i="11520"/>
  <c r="G34" i="515"/>
  <c r="B244" i="20994"/>
  <c r="H1515" i="1"/>
  <c r="E1554" i="1"/>
  <c r="F1554" i="1" s="1"/>
  <c r="B239" i="20994"/>
  <c r="F971" i="1"/>
  <c r="E37" i="25585"/>
  <c r="H186" i="1"/>
  <c r="H1031" i="1"/>
  <c r="C60" i="3584"/>
  <c r="B167" i="516"/>
  <c r="B161" i="36"/>
  <c r="B167" i="11522"/>
  <c r="C167" i="11522" s="1"/>
  <c r="H1619" i="1"/>
  <c r="G87" i="40"/>
  <c r="B254" i="32"/>
  <c r="J117" i="1"/>
  <c r="C62" i="40"/>
  <c r="F86" i="40"/>
  <c r="B150" i="36"/>
  <c r="F1350" i="1"/>
  <c r="B169" i="36"/>
  <c r="C169" i="36" s="1"/>
  <c r="F905" i="1"/>
  <c r="B159" i="516"/>
  <c r="B170" i="515"/>
  <c r="F1304" i="1"/>
  <c r="E148" i="40"/>
  <c r="E100" i="40"/>
  <c r="E16" i="40"/>
  <c r="D111" i="40"/>
  <c r="D63" i="40"/>
  <c r="F62" i="40"/>
  <c r="F30" i="40"/>
  <c r="C119" i="40"/>
  <c r="G79" i="40"/>
  <c r="D1257" i="1"/>
  <c r="D651" i="1"/>
  <c r="F715" i="1"/>
  <c r="F783" i="1"/>
  <c r="B162" i="516"/>
  <c r="F652" i="1"/>
  <c r="F721" i="1"/>
  <c r="H533" i="1"/>
  <c r="B160" i="40"/>
  <c r="F160" i="40" s="1"/>
  <c r="B165" i="82"/>
  <c r="G80" i="40"/>
  <c r="G40" i="40"/>
  <c r="F67" i="40"/>
  <c r="D18" i="40"/>
  <c r="G86" i="40"/>
  <c r="C143" i="40"/>
  <c r="C145" i="40"/>
  <c r="E52" i="40"/>
  <c r="F122" i="40"/>
  <c r="F74" i="40"/>
  <c r="D36" i="25584"/>
  <c r="J531" i="1"/>
  <c r="F1185" i="1"/>
  <c r="C247" i="3"/>
  <c r="D1346" i="1"/>
  <c r="B153" i="36"/>
  <c r="D62" i="1"/>
  <c r="F1345" i="1"/>
  <c r="B169" i="11522"/>
  <c r="C169" i="11522" s="1"/>
  <c r="B128" i="10285"/>
  <c r="H128" i="10285" s="1"/>
  <c r="B107" i="10285"/>
  <c r="H107" i="10285" s="1"/>
  <c r="D716" i="1"/>
  <c r="D653" i="1"/>
  <c r="B151" i="516"/>
  <c r="D786" i="1"/>
  <c r="F126" i="1"/>
  <c r="F1248" i="1"/>
  <c r="B161" i="11522"/>
  <c r="D659" i="1"/>
  <c r="B157" i="516"/>
  <c r="C157" i="516" s="1"/>
  <c r="C246" i="3"/>
  <c r="B188" i="2561"/>
  <c r="B161" i="40"/>
  <c r="F713" i="1"/>
  <c r="C234" i="3"/>
  <c r="B161" i="516"/>
  <c r="D1035" i="1"/>
  <c r="B164" i="11522"/>
  <c r="C164" i="11522" s="1"/>
  <c r="F1251" i="1"/>
  <c r="B153" i="515"/>
  <c r="B168" i="40"/>
  <c r="F720" i="1"/>
  <c r="B170" i="2561"/>
  <c r="B183" i="1024"/>
  <c r="I183" i="1024" s="1"/>
  <c r="D61" i="1"/>
  <c r="F62" i="1"/>
  <c r="F65" i="1"/>
  <c r="C240" i="3"/>
  <c r="C252" i="3"/>
  <c r="J1561" i="1"/>
  <c r="F1348" i="1"/>
  <c r="F1257" i="1"/>
  <c r="D9" i="25584"/>
  <c r="B157" i="11522"/>
  <c r="D1032" i="1"/>
  <c r="B121" i="10285"/>
  <c r="H121" i="10285" s="1"/>
  <c r="D910" i="1"/>
  <c r="B164" i="82"/>
  <c r="B151" i="40"/>
  <c r="D715" i="1"/>
  <c r="D1255" i="1"/>
  <c r="H401" i="3"/>
  <c r="G402" i="3"/>
  <c r="G403" i="3" s="1"/>
  <c r="H403" i="3" s="1"/>
  <c r="H1523" i="1"/>
  <c r="C232" i="3"/>
  <c r="F655" i="1"/>
  <c r="C250" i="3"/>
  <c r="F1302" i="1"/>
  <c r="B168" i="515"/>
  <c r="G168" i="82"/>
  <c r="D1349" i="1"/>
  <c r="B156" i="36"/>
  <c r="J532" i="1"/>
  <c r="B155" i="515"/>
  <c r="C155" i="515" s="1"/>
  <c r="F118" i="1"/>
  <c r="B168" i="36"/>
  <c r="L524" i="1"/>
  <c r="B254" i="10541"/>
  <c r="H254" i="10541" s="1"/>
  <c r="B159" i="40"/>
  <c r="F159" i="40" s="1"/>
  <c r="D723" i="1"/>
  <c r="F661" i="1"/>
  <c r="B171" i="516"/>
  <c r="H118" i="516" s="1"/>
  <c r="B156" i="515"/>
  <c r="E156" i="515" s="1"/>
  <c r="B160" i="516"/>
  <c r="B149" i="82"/>
  <c r="E149" i="82" s="1"/>
  <c r="B151" i="11522"/>
  <c r="C151" i="11522" s="1"/>
  <c r="G404" i="3"/>
  <c r="E56" i="25583"/>
  <c r="H183" i="1"/>
  <c r="J1091" i="1"/>
  <c r="F47" i="25583"/>
  <c r="B155" i="36"/>
  <c r="G155" i="36" s="1"/>
  <c r="D1348" i="1"/>
  <c r="C14" i="25584"/>
  <c r="H55" i="1"/>
  <c r="C242" i="3"/>
  <c r="H439" i="1"/>
  <c r="B149" i="40"/>
  <c r="G149" i="40" s="1"/>
  <c r="D713" i="1"/>
  <c r="B166" i="11522"/>
  <c r="G166" i="11522" s="1"/>
  <c r="F1253" i="1"/>
  <c r="B154" i="36"/>
  <c r="D1347" i="1"/>
  <c r="B167" i="82"/>
  <c r="G167" i="82" s="1"/>
  <c r="F782" i="1"/>
  <c r="D1305" i="1"/>
  <c r="F66" i="1"/>
  <c r="B155" i="516"/>
  <c r="F155" i="516" s="1"/>
  <c r="J182" i="1"/>
  <c r="F1247" i="1"/>
  <c r="B160" i="11522"/>
  <c r="F160" i="11522" s="1"/>
  <c r="B255" i="2561"/>
  <c r="H255" i="2561" s="1"/>
  <c r="D719" i="1"/>
  <c r="B155" i="40"/>
  <c r="F656" i="1"/>
  <c r="B166" i="516"/>
  <c r="F1344" i="1"/>
  <c r="B236" i="4888"/>
  <c r="J368" i="1"/>
  <c r="H1196" i="1"/>
  <c r="B189" i="1024"/>
  <c r="J1565" i="1"/>
  <c r="J1141" i="1"/>
  <c r="B258" i="20994"/>
  <c r="B189" i="9216"/>
  <c r="G107" i="40"/>
  <c r="F132" i="40"/>
  <c r="E79" i="40"/>
  <c r="E80" i="40"/>
  <c r="F82" i="40"/>
  <c r="D71" i="40"/>
  <c r="F55" i="40"/>
  <c r="D44" i="40"/>
  <c r="F104" i="40"/>
  <c r="E104" i="40"/>
  <c r="G104" i="40"/>
  <c r="G98" i="40"/>
  <c r="D52" i="40"/>
  <c r="F139" i="40"/>
  <c r="D119" i="40"/>
  <c r="D28" i="40"/>
  <c r="F20" i="40"/>
  <c r="F32" i="40"/>
  <c r="F143" i="40"/>
  <c r="F84" i="40"/>
  <c r="F126" i="40"/>
  <c r="E54" i="25584"/>
  <c r="C9" i="25584"/>
  <c r="F43" i="25584"/>
  <c r="D36" i="25583"/>
  <c r="F22" i="25582"/>
  <c r="C41" i="25582"/>
  <c r="B259" i="32"/>
  <c r="B125" i="10285"/>
  <c r="H125" i="10285" s="1"/>
  <c r="H1148" i="1"/>
  <c r="H1470" i="1"/>
  <c r="B253" i="2561"/>
  <c r="H253" i="2561" s="1"/>
  <c r="H841" i="1"/>
  <c r="L526" i="1"/>
  <c r="B164" i="523"/>
  <c r="H164" i="523" s="1"/>
  <c r="H527" i="1"/>
  <c r="B233" i="10541"/>
  <c r="H233" i="10541" s="1"/>
  <c r="B255" i="32"/>
  <c r="N279" i="1"/>
  <c r="H846" i="1"/>
  <c r="B252" i="20994"/>
  <c r="I252" i="20994" s="1"/>
  <c r="H972" i="1"/>
  <c r="J181" i="1"/>
  <c r="B256" i="4888"/>
  <c r="B169" i="512"/>
  <c r="H169" i="512" s="1"/>
  <c r="B244" i="10541"/>
  <c r="H244" i="10541" s="1"/>
  <c r="B231" i="25580"/>
  <c r="H231" i="25580" s="1"/>
  <c r="H121" i="1"/>
  <c r="H1570" i="1"/>
  <c r="H524" i="1"/>
  <c r="F123" i="1"/>
  <c r="B236" i="25580"/>
  <c r="H236" i="25580" s="1"/>
  <c r="H1429" i="1"/>
  <c r="B181" i="512"/>
  <c r="H181" i="512" s="1"/>
  <c r="H1396" i="1"/>
  <c r="H1521" i="1"/>
  <c r="B180" i="9216"/>
  <c r="I180" i="9216" s="1"/>
  <c r="F369" i="1"/>
  <c r="H848" i="1"/>
  <c r="L1422" i="1"/>
  <c r="G47" i="40"/>
  <c r="D40" i="40"/>
  <c r="C54" i="40"/>
  <c r="F47" i="40"/>
  <c r="G68" i="40"/>
  <c r="D132" i="40"/>
  <c r="C47" i="40"/>
  <c r="G138" i="40"/>
  <c r="D121" i="40"/>
  <c r="E132" i="40"/>
  <c r="G139" i="40"/>
  <c r="F120" i="40"/>
  <c r="E86" i="40"/>
  <c r="D79" i="40"/>
  <c r="D80" i="40"/>
  <c r="F79" i="40"/>
  <c r="G52" i="40"/>
  <c r="F115" i="40"/>
  <c r="G91" i="40"/>
  <c r="E124" i="40"/>
  <c r="D112" i="40"/>
  <c r="F111" i="40"/>
  <c r="E127" i="40"/>
  <c r="E99" i="40"/>
  <c r="F51" i="40"/>
  <c r="E51" i="40"/>
  <c r="D127" i="40"/>
  <c r="F99" i="40"/>
  <c r="C124" i="40"/>
  <c r="D15" i="25584"/>
  <c r="D35" i="25584"/>
  <c r="E35" i="25584"/>
  <c r="F22" i="25584"/>
  <c r="C34" i="25584"/>
  <c r="D41" i="25584"/>
  <c r="E16" i="25584"/>
  <c r="D31" i="25584"/>
  <c r="E42" i="25584"/>
  <c r="D54" i="25584"/>
  <c r="D23" i="25584"/>
  <c r="E36" i="25584"/>
  <c r="F43" i="25583"/>
  <c r="D16" i="25583"/>
  <c r="C15" i="25583"/>
  <c r="C35" i="25583"/>
  <c r="E38" i="25583"/>
  <c r="D38" i="25583"/>
  <c r="C20" i="25583"/>
  <c r="C38" i="25583"/>
  <c r="G43" i="25583"/>
  <c r="D57" i="25582"/>
  <c r="C55" i="25582"/>
  <c r="D14" i="25582"/>
  <c r="G42" i="25582"/>
  <c r="D1618" i="1"/>
  <c r="F902" i="1"/>
  <c r="F1026" i="1"/>
  <c r="F1099" i="1"/>
  <c r="F375" i="1"/>
  <c r="B242" i="2561"/>
  <c r="H242" i="2561" s="1"/>
  <c r="B116" i="768"/>
  <c r="H116" i="768" s="1"/>
  <c r="H1426" i="1"/>
  <c r="F436" i="1"/>
  <c r="H123" i="1"/>
  <c r="J279" i="1"/>
  <c r="H1137" i="1"/>
  <c r="H904" i="1"/>
  <c r="H65" i="1"/>
  <c r="C224" i="3"/>
  <c r="H1428" i="1"/>
  <c r="B118" i="768"/>
  <c r="H118" i="768" s="1"/>
  <c r="H366" i="1"/>
  <c r="H849" i="1"/>
  <c r="F1469" i="1"/>
  <c r="C235" i="3"/>
  <c r="B181" i="2561"/>
  <c r="H1616" i="1"/>
  <c r="C251" i="3"/>
  <c r="H64" i="1"/>
  <c r="B179" i="1024"/>
  <c r="I179" i="1024" s="1"/>
  <c r="H1030" i="1"/>
  <c r="B132" i="768"/>
  <c r="H132" i="768" s="1"/>
  <c r="J1430" i="1"/>
  <c r="F1428" i="1"/>
  <c r="B106" i="768"/>
  <c r="H106" i="768" s="1"/>
  <c r="F367" i="1"/>
  <c r="B236" i="2561"/>
  <c r="H236" i="2561" s="1"/>
  <c r="F435" i="1"/>
  <c r="F903" i="1"/>
  <c r="F61" i="1"/>
  <c r="F56" i="1"/>
  <c r="C231" i="3"/>
  <c r="H1186" i="1"/>
  <c r="H56" i="1"/>
  <c r="H63" i="1"/>
  <c r="F57" i="1"/>
  <c r="C236" i="3"/>
  <c r="C225" i="3"/>
  <c r="C243" i="3"/>
  <c r="F64" i="1"/>
  <c r="F63" i="1"/>
  <c r="C237" i="3"/>
  <c r="J57" i="1"/>
  <c r="C239" i="3"/>
  <c r="B164" i="2819"/>
  <c r="H164" i="2819" s="1"/>
  <c r="H58" i="1"/>
  <c r="H288" i="1"/>
  <c r="B228" i="32"/>
  <c r="B170" i="2316"/>
  <c r="H170" i="2316" s="1"/>
  <c r="F374" i="1"/>
  <c r="H1089" i="1"/>
  <c r="J527" i="1"/>
  <c r="B245" i="10541"/>
  <c r="H245" i="10541" s="1"/>
  <c r="J839" i="1"/>
  <c r="H1473" i="1"/>
  <c r="H61" i="1"/>
  <c r="C248" i="3"/>
  <c r="F58" i="1"/>
  <c r="C233" i="3"/>
  <c r="H531" i="1"/>
  <c r="B237" i="10541"/>
  <c r="H237" i="10541" s="1"/>
  <c r="B155" i="2561"/>
  <c r="J1563" i="1"/>
  <c r="B187" i="1024"/>
  <c r="I187" i="1024" s="1"/>
  <c r="H575" i="1"/>
  <c r="B114" i="10285"/>
  <c r="H114" i="10285" s="1"/>
  <c r="F1470" i="1"/>
  <c r="B251" i="2561"/>
  <c r="H251" i="2561" s="1"/>
  <c r="H438" i="1"/>
  <c r="L289" i="1"/>
  <c r="B253" i="32"/>
  <c r="F579" i="1"/>
  <c r="B175" i="2316"/>
  <c r="H175" i="2316" s="1"/>
  <c r="H367" i="1"/>
  <c r="H1617" i="1"/>
  <c r="B182" i="2561"/>
  <c r="B163" i="2561"/>
  <c r="C244" i="3"/>
  <c r="H57" i="1"/>
  <c r="C227" i="3"/>
  <c r="D64" i="1"/>
  <c r="D65" i="1"/>
  <c r="C228" i="3"/>
  <c r="F1467" i="1"/>
  <c r="J838" i="1"/>
  <c r="B185" i="8196"/>
  <c r="H185" i="8196" s="1"/>
  <c r="B245" i="32"/>
  <c r="D1193" i="1"/>
  <c r="B172" i="2316"/>
  <c r="H172" i="2316" s="1"/>
  <c r="H60" i="1"/>
  <c r="H1032" i="1"/>
  <c r="C229" i="3"/>
  <c r="D66" i="1"/>
  <c r="F60" i="1"/>
  <c r="B109" i="10285"/>
  <c r="H109" i="10285" s="1"/>
  <c r="J1420" i="1"/>
  <c r="H1098" i="1"/>
  <c r="D781" i="1"/>
  <c r="B154" i="82"/>
  <c r="E18" i="25582"/>
  <c r="J1428" i="1"/>
  <c r="B130" i="768"/>
  <c r="H130" i="768" s="1"/>
  <c r="F659" i="1"/>
  <c r="B169" i="516"/>
  <c r="B170" i="516"/>
  <c r="G170" i="516" s="1"/>
  <c r="F660" i="1"/>
  <c r="H1477" i="1"/>
  <c r="H189" i="1"/>
  <c r="D14" i="25583"/>
  <c r="B153" i="82"/>
  <c r="C153" i="82" s="1"/>
  <c r="D780" i="1"/>
  <c r="F1429" i="1"/>
  <c r="D1303" i="1"/>
  <c r="B157" i="515"/>
  <c r="G157" i="515" s="1"/>
  <c r="B169" i="515"/>
  <c r="F1397" i="1"/>
  <c r="B170" i="512"/>
  <c r="H170" i="512" s="1"/>
  <c r="B170" i="8196"/>
  <c r="H170" i="8196" s="1"/>
  <c r="B165" i="36"/>
  <c r="F1346" i="1"/>
  <c r="B116" i="10285"/>
  <c r="H116" i="10285" s="1"/>
  <c r="F1394" i="1"/>
  <c r="B167" i="512"/>
  <c r="H167" i="512" s="1"/>
  <c r="B243" i="2561"/>
  <c r="H243" i="2561" s="1"/>
  <c r="H430" i="1"/>
  <c r="D1252" i="1"/>
  <c r="B153" i="11522"/>
  <c r="E153" i="11522" s="1"/>
  <c r="F1347" i="1"/>
  <c r="B166" i="36"/>
  <c r="C166" i="36" s="1"/>
  <c r="F1192" i="1"/>
  <c r="B168" i="2048"/>
  <c r="H168" i="2048" s="1"/>
  <c r="F1301" i="1"/>
  <c r="B167" i="515"/>
  <c r="C167" i="515" s="1"/>
  <c r="B168" i="11522"/>
  <c r="F1255" i="1"/>
  <c r="D38" i="25582"/>
  <c r="D718" i="1"/>
  <c r="B154" i="40"/>
  <c r="F1351" i="1"/>
  <c r="B170" i="36"/>
  <c r="F27" i="25583"/>
  <c r="D1298" i="1"/>
  <c r="B152" i="515"/>
  <c r="D785" i="1"/>
  <c r="B158" i="82"/>
  <c r="E158" i="82" s="1"/>
  <c r="B164" i="515"/>
  <c r="G164" i="515" s="1"/>
  <c r="F1298" i="1"/>
  <c r="F1299" i="1"/>
  <c r="B165" i="515"/>
  <c r="H1189" i="1"/>
  <c r="B177" i="2048"/>
  <c r="H177" i="2048" s="1"/>
  <c r="B185" i="2561"/>
  <c r="J964" i="1"/>
  <c r="B171" i="82"/>
  <c r="H112" i="82" s="1"/>
  <c r="F786" i="1"/>
  <c r="D32" i="25583"/>
  <c r="J1472" i="1"/>
  <c r="B150" i="11522"/>
  <c r="D1249" i="1"/>
  <c r="D658" i="1"/>
  <c r="B156" i="516"/>
  <c r="G35" i="25584"/>
  <c r="B124" i="10285"/>
  <c r="H124" i="10285" s="1"/>
  <c r="J573" i="1"/>
  <c r="F1300" i="1"/>
  <c r="B166" i="515"/>
  <c r="D655" i="1"/>
  <c r="B153" i="516"/>
  <c r="H375" i="1"/>
  <c r="B183" i="2316"/>
  <c r="H183" i="2316" s="1"/>
  <c r="D714" i="1"/>
  <c r="B150" i="40"/>
  <c r="E150" i="40" s="1"/>
  <c r="B152" i="36"/>
  <c r="C152" i="36" s="1"/>
  <c r="F1252" i="1"/>
  <c r="H1569" i="1"/>
  <c r="C47" i="25583"/>
  <c r="C49" i="25583"/>
  <c r="H1471" i="1"/>
  <c r="G34" i="25582"/>
  <c r="G57" i="25582"/>
  <c r="J434" i="1"/>
  <c r="C56" i="25582"/>
  <c r="C53" i="25584"/>
  <c r="J1188" i="1"/>
  <c r="B188" i="2048"/>
  <c r="H188" i="2048" s="1"/>
  <c r="D1475" i="1"/>
  <c r="B157" i="8196"/>
  <c r="H157" i="8196" s="1"/>
  <c r="B234" i="4888"/>
  <c r="F183" i="1"/>
  <c r="H901" i="1"/>
  <c r="B244" i="25580"/>
  <c r="H244" i="25580" s="1"/>
  <c r="B176" i="2561"/>
  <c r="H1611" i="1"/>
  <c r="H847" i="1"/>
  <c r="B182" i="8196"/>
  <c r="H182" i="8196" s="1"/>
  <c r="J581" i="1"/>
  <c r="B184" i="512"/>
  <c r="H184" i="512" s="1"/>
  <c r="F182" i="1"/>
  <c r="B233" i="4888"/>
  <c r="B167" i="2561"/>
  <c r="J524" i="1"/>
  <c r="D36" i="25585"/>
  <c r="F904" i="1"/>
  <c r="B167" i="8196"/>
  <c r="H167" i="8196" s="1"/>
  <c r="B168" i="8196"/>
  <c r="H168" i="8196" s="1"/>
  <c r="B172" i="2561"/>
  <c r="F1619" i="1"/>
  <c r="D186" i="1"/>
  <c r="H1397" i="1"/>
  <c r="D1394" i="1"/>
  <c r="B176" i="2819"/>
  <c r="H176" i="2819" s="1"/>
  <c r="B177" i="8196"/>
  <c r="H177" i="8196" s="1"/>
  <c r="F1430" i="1"/>
  <c r="B108" i="768"/>
  <c r="H108" i="768" s="1"/>
  <c r="B234" i="2561"/>
  <c r="H234" i="2561" s="1"/>
  <c r="B188" i="8196"/>
  <c r="H188" i="8196" s="1"/>
  <c r="J841" i="1"/>
  <c r="B157" i="2561"/>
  <c r="B227" i="4888"/>
  <c r="D188" i="1"/>
  <c r="L284" i="1"/>
  <c r="B133" i="768"/>
  <c r="H133" i="768" s="1"/>
  <c r="H1572" i="1"/>
  <c r="B189" i="2819"/>
  <c r="H189" i="2819" s="1"/>
  <c r="J369" i="1"/>
  <c r="B257" i="20994"/>
  <c r="I257" i="20994" s="1"/>
  <c r="J965" i="1"/>
  <c r="D1474" i="1"/>
  <c r="B251" i="10541"/>
  <c r="H251" i="10541" s="1"/>
  <c r="H1025" i="1"/>
  <c r="B174" i="2819"/>
  <c r="H174" i="2819" s="1"/>
  <c r="L283" i="1"/>
  <c r="B139" i="10285"/>
  <c r="H139" i="10285" s="1"/>
  <c r="L576" i="1"/>
  <c r="B224" i="4888"/>
  <c r="D185" i="1"/>
  <c r="B224" i="25580"/>
  <c r="H224" i="25580" s="1"/>
  <c r="D123" i="1"/>
  <c r="B164" i="8196"/>
  <c r="H164" i="8196" s="1"/>
  <c r="F841" i="1"/>
  <c r="B235" i="2561"/>
  <c r="H235" i="2561" s="1"/>
  <c r="B117" i="10285"/>
  <c r="H117" i="10285" s="1"/>
  <c r="H578" i="1"/>
  <c r="H1427" i="1"/>
  <c r="B117" i="768"/>
  <c r="H117" i="768" s="1"/>
  <c r="B180" i="8196"/>
  <c r="H180" i="8196" s="1"/>
  <c r="H845" i="1"/>
  <c r="B182" i="2048"/>
  <c r="H182" i="2048" s="1"/>
  <c r="J1024" i="1"/>
  <c r="J1514" i="1"/>
  <c r="B179" i="2819"/>
  <c r="H179" i="2819" s="1"/>
  <c r="H1095" i="1"/>
  <c r="B174" i="8196"/>
  <c r="H174" i="8196" s="1"/>
  <c r="B179" i="2316"/>
  <c r="H179" i="2316" s="1"/>
  <c r="H371" i="1"/>
  <c r="B250" i="25580"/>
  <c r="H250" i="25580" s="1"/>
  <c r="B188" i="523"/>
  <c r="H188" i="523" s="1"/>
  <c r="B228" i="25580"/>
  <c r="H228" i="25580" s="1"/>
  <c r="J572" i="1"/>
  <c r="B123" i="10285"/>
  <c r="H123" i="10285" s="1"/>
  <c r="B160" i="8196"/>
  <c r="H160" i="8196" s="1"/>
  <c r="B109" i="768"/>
  <c r="H109" i="768" s="1"/>
  <c r="F1431" i="1"/>
  <c r="B239" i="25580"/>
  <c r="H239" i="25580" s="1"/>
  <c r="F1398" i="1"/>
  <c r="B171" i="512"/>
  <c r="H171" i="512" s="1"/>
  <c r="H1478" i="1"/>
  <c r="J1027" i="1"/>
  <c r="B180" i="2048"/>
  <c r="H180" i="2048" s="1"/>
  <c r="H1192" i="1"/>
  <c r="H900" i="1"/>
  <c r="D43" i="25583"/>
  <c r="B162" i="512"/>
  <c r="H162" i="512" s="1"/>
  <c r="B242" i="4888"/>
  <c r="H179" i="1"/>
  <c r="E9" i="25582"/>
  <c r="C32" i="25582"/>
  <c r="C57" i="25582"/>
  <c r="C45" i="25582"/>
  <c r="B163" i="516"/>
  <c r="F653" i="1"/>
  <c r="D124" i="1"/>
  <c r="B225" i="25580"/>
  <c r="H225" i="25580" s="1"/>
  <c r="B240" i="10541"/>
  <c r="H240" i="10541" s="1"/>
  <c r="H534" i="1"/>
  <c r="H579" i="1"/>
  <c r="B118" i="10285"/>
  <c r="H118" i="10285" s="1"/>
  <c r="B254" i="4888"/>
  <c r="B151" i="82"/>
  <c r="C151" i="82" s="1"/>
  <c r="D778" i="1"/>
  <c r="D1253" i="1"/>
  <c r="B154" i="11522"/>
  <c r="J280" i="1"/>
  <c r="B232" i="32"/>
  <c r="B245" i="4888"/>
  <c r="F714" i="1"/>
  <c r="B162" i="40"/>
  <c r="G162" i="40" s="1"/>
  <c r="F778" i="1"/>
  <c r="B163" i="82"/>
  <c r="D660" i="1"/>
  <c r="B158" i="516"/>
  <c r="E158" i="516" s="1"/>
  <c r="D1473" i="1"/>
  <c r="D721" i="1"/>
  <c r="B157" i="40"/>
  <c r="F1295" i="1"/>
  <c r="B161" i="515"/>
  <c r="F161" i="515" s="1"/>
  <c r="D50" i="25583"/>
  <c r="D1096" i="1"/>
  <c r="B226" i="2561"/>
  <c r="H226" i="2561" s="1"/>
  <c r="D784" i="1"/>
  <c r="B157" i="82"/>
  <c r="F437" i="1"/>
  <c r="H1524" i="1"/>
  <c r="B158" i="2048"/>
  <c r="H158" i="2048" s="1"/>
  <c r="D1194" i="1"/>
  <c r="H905" i="1"/>
  <c r="B227" i="10541"/>
  <c r="H227" i="10541" s="1"/>
  <c r="F533" i="1"/>
  <c r="B179" i="2048"/>
  <c r="H179" i="2048" s="1"/>
  <c r="H1191" i="1"/>
  <c r="B172" i="2048"/>
  <c r="H172" i="2048" s="1"/>
  <c r="L279" i="1"/>
  <c r="B243" i="32"/>
  <c r="D777" i="1"/>
  <c r="F1095" i="1"/>
  <c r="F785" i="1"/>
  <c r="B170" i="82"/>
  <c r="B259" i="4888"/>
  <c r="J184" i="1"/>
  <c r="D37" i="25584"/>
  <c r="J905" i="1"/>
  <c r="B190" i="2316"/>
  <c r="H190" i="2316" s="1"/>
  <c r="J370" i="1"/>
  <c r="B186" i="512"/>
  <c r="H186" i="512" s="1"/>
  <c r="J180" i="1"/>
  <c r="B255" i="4888"/>
  <c r="H1190" i="1"/>
  <c r="B178" i="2048"/>
  <c r="H178" i="2048" s="1"/>
  <c r="J1562" i="1"/>
  <c r="B186" i="1024"/>
  <c r="I186" i="1024" s="1"/>
  <c r="B189" i="512"/>
  <c r="H189" i="512" s="1"/>
  <c r="D64" i="25582"/>
  <c r="G63" i="25582"/>
  <c r="J1468" i="1"/>
  <c r="B188" i="2316"/>
  <c r="H188" i="2316" s="1"/>
  <c r="J1471" i="1"/>
  <c r="B189" i="2316"/>
  <c r="H189" i="2316" s="1"/>
  <c r="F439" i="1"/>
  <c r="B240" i="2561"/>
  <c r="H240" i="2561" s="1"/>
  <c r="B241" i="25580"/>
  <c r="H241" i="25580" s="1"/>
  <c r="H1608" i="1"/>
  <c r="B173" i="2561"/>
  <c r="F187" i="1"/>
  <c r="B171" i="523"/>
  <c r="H171" i="523" s="1"/>
  <c r="B230" i="4888"/>
  <c r="F179" i="1"/>
  <c r="F843" i="1"/>
  <c r="B166" i="8196"/>
  <c r="H166" i="8196" s="1"/>
  <c r="B234" i="10541"/>
  <c r="H234" i="10541" s="1"/>
  <c r="F125" i="1"/>
  <c r="J285" i="1"/>
  <c r="B105" i="10285"/>
  <c r="H105" i="10285" s="1"/>
  <c r="F578" i="1"/>
  <c r="B163" i="2048"/>
  <c r="H163" i="2048" s="1"/>
  <c r="B166" i="2819"/>
  <c r="H166" i="2819" s="1"/>
  <c r="B105" i="768"/>
  <c r="H105" i="768" s="1"/>
  <c r="F911" i="1"/>
  <c r="F430" i="1"/>
  <c r="B231" i="2561"/>
  <c r="H231" i="2561" s="1"/>
  <c r="H1423" i="1"/>
  <c r="F1093" i="1"/>
  <c r="B169" i="2048"/>
  <c r="H169" i="2048" s="1"/>
  <c r="F1193" i="1"/>
  <c r="F42" i="25586"/>
  <c r="B137" i="768"/>
  <c r="H137" i="768" s="1"/>
  <c r="L1423" i="1"/>
  <c r="B165" i="2819"/>
  <c r="H165" i="2819" s="1"/>
  <c r="B253" i="4888"/>
  <c r="H190" i="1"/>
  <c r="B134" i="10285"/>
  <c r="H134" i="10285" s="1"/>
  <c r="B185" i="512"/>
  <c r="H185" i="512" s="1"/>
  <c r="B164" i="2048"/>
  <c r="H164" i="2048" s="1"/>
  <c r="F1188" i="1"/>
  <c r="F1144" i="1"/>
  <c r="D1033" i="1"/>
  <c r="D1034" i="1"/>
  <c r="B244" i="32"/>
  <c r="L280" i="1"/>
  <c r="H1469" i="1"/>
  <c r="B179" i="523"/>
  <c r="H179" i="523" s="1"/>
  <c r="H1143" i="1"/>
  <c r="B248" i="2561"/>
  <c r="H248" i="2561" s="1"/>
  <c r="F1608" i="1"/>
  <c r="B161" i="2561"/>
  <c r="F117" i="1"/>
  <c r="B124" i="768"/>
  <c r="H124" i="768" s="1"/>
  <c r="J1422" i="1"/>
  <c r="B247" i="10541"/>
  <c r="H247" i="10541" s="1"/>
  <c r="H581" i="1"/>
  <c r="F1100" i="1"/>
  <c r="H1094" i="1"/>
  <c r="B247" i="2561"/>
  <c r="H247" i="2561" s="1"/>
  <c r="B248" i="20994"/>
  <c r="I248" i="20994" s="1"/>
  <c r="H968" i="1"/>
  <c r="J366" i="1"/>
  <c r="B186" i="2316"/>
  <c r="H186" i="2316" s="1"/>
  <c r="B104" i="10285"/>
  <c r="H104" i="10285" s="1"/>
  <c r="F577" i="1"/>
  <c r="B119" i="10285"/>
  <c r="H119" i="10285" s="1"/>
  <c r="H580" i="1"/>
  <c r="H433" i="1"/>
  <c r="J1026" i="1"/>
  <c r="B229" i="4888"/>
  <c r="F1618" i="1"/>
  <c r="B126" i="10285"/>
  <c r="H126" i="10285" s="1"/>
  <c r="H125" i="1"/>
  <c r="B184" i="2316"/>
  <c r="H184" i="2316" s="1"/>
  <c r="H376" i="1"/>
  <c r="F1186" i="1"/>
  <c r="F849" i="1"/>
  <c r="B255" i="25580"/>
  <c r="H255" i="25580" s="1"/>
  <c r="B178" i="2819"/>
  <c r="H178" i="2819" s="1"/>
  <c r="H1029" i="1"/>
  <c r="J433" i="1"/>
  <c r="B258" i="2561"/>
  <c r="H258" i="2561" s="1"/>
  <c r="H1142" i="1"/>
  <c r="B178" i="523"/>
  <c r="H178" i="523" s="1"/>
  <c r="B178" i="2316"/>
  <c r="H178" i="2316" s="1"/>
  <c r="H1472" i="1"/>
  <c r="D60" i="25583"/>
  <c r="E60" i="25583"/>
  <c r="J534" i="1"/>
  <c r="D58" i="25582"/>
  <c r="C58" i="25582"/>
  <c r="B249" i="4888"/>
  <c r="D1297" i="1"/>
  <c r="B151" i="515"/>
  <c r="C151" i="515" s="1"/>
  <c r="B153" i="40"/>
  <c r="D717" i="1"/>
  <c r="D782" i="1"/>
  <c r="B155" i="82"/>
  <c r="F1137" i="1"/>
  <c r="E28" i="25584"/>
  <c r="B130" i="10285"/>
  <c r="H130" i="10285" s="1"/>
  <c r="J579" i="1"/>
  <c r="B185" i="2048"/>
  <c r="H185" i="2048" s="1"/>
  <c r="J431" i="1"/>
  <c r="B256" i="2561"/>
  <c r="H256" i="2561" s="1"/>
  <c r="J1612" i="1"/>
  <c r="B189" i="2561"/>
  <c r="D1351" i="1"/>
  <c r="B158" i="36"/>
  <c r="F158" i="36" s="1"/>
  <c r="B159" i="2316"/>
  <c r="H159" i="2316" s="1"/>
  <c r="F1296" i="1"/>
  <c r="B162" i="515"/>
  <c r="B164" i="40"/>
  <c r="G164" i="40" s="1"/>
  <c r="F716" i="1"/>
  <c r="F1258" i="1"/>
  <c r="B171" i="11522"/>
  <c r="D652" i="1"/>
  <c r="B150" i="516"/>
  <c r="G150" i="516" s="1"/>
  <c r="H122" i="1"/>
  <c r="C29" i="25585"/>
  <c r="C8" i="25585"/>
  <c r="E12" i="25585"/>
  <c r="B164" i="516"/>
  <c r="G164" i="516" s="1"/>
  <c r="F654" i="1"/>
  <c r="F1138" i="1"/>
  <c r="B162" i="523"/>
  <c r="H162" i="523" s="1"/>
  <c r="F777" i="1"/>
  <c r="B162" i="82"/>
  <c r="G162" i="82" s="1"/>
  <c r="D656" i="1"/>
  <c r="B154" i="516"/>
  <c r="H1566" i="1"/>
  <c r="B178" i="1024"/>
  <c r="I178" i="1024" s="1"/>
  <c r="B249" i="25580"/>
  <c r="H249" i="25580" s="1"/>
  <c r="H124" i="1"/>
  <c r="J963" i="1"/>
  <c r="B255" i="20994"/>
  <c r="I255" i="20994" s="1"/>
  <c r="F775" i="1"/>
  <c r="B160" i="82"/>
  <c r="F1096" i="1"/>
  <c r="D16" i="25584"/>
  <c r="F36" i="25584"/>
  <c r="D376" i="1"/>
  <c r="F658" i="1"/>
  <c r="B168" i="516"/>
  <c r="D1192" i="1"/>
  <c r="B156" i="82"/>
  <c r="D783" i="1"/>
  <c r="B159" i="11522"/>
  <c r="C159" i="11522" s="1"/>
  <c r="H1090" i="1"/>
  <c r="C230" i="3"/>
  <c r="F55" i="1"/>
  <c r="B156" i="40"/>
  <c r="E156" i="40" s="1"/>
  <c r="D720" i="1"/>
  <c r="F1024" i="1"/>
  <c r="B166" i="82"/>
  <c r="G166" i="82" s="1"/>
  <c r="F781" i="1"/>
  <c r="B138" i="768"/>
  <c r="H138" i="768" s="1"/>
  <c r="J1094" i="1"/>
  <c r="F34" i="25582"/>
  <c r="F1097" i="1"/>
  <c r="G61" i="25582"/>
  <c r="B190" i="2561"/>
  <c r="B190" i="2819"/>
  <c r="H190" i="2819" s="1"/>
  <c r="J1029" i="1"/>
  <c r="B260" i="32"/>
  <c r="C257" i="3"/>
  <c r="H1615" i="1"/>
  <c r="B180" i="2561"/>
  <c r="B157" i="523"/>
  <c r="H157" i="523" s="1"/>
  <c r="D1145" i="1"/>
  <c r="F1089" i="1"/>
  <c r="B161" i="2819"/>
  <c r="H161" i="2819" s="1"/>
  <c r="F909" i="1"/>
  <c r="B120" i="768"/>
  <c r="H120" i="768" s="1"/>
  <c r="H1430" i="1"/>
  <c r="B176" i="2316"/>
  <c r="H176" i="2316" s="1"/>
  <c r="B246" i="20994"/>
  <c r="I246" i="20994" s="1"/>
  <c r="H966" i="1"/>
  <c r="B251" i="25580"/>
  <c r="H251" i="25580" s="1"/>
  <c r="H126" i="1"/>
  <c r="B257" i="10541"/>
  <c r="H257" i="10541" s="1"/>
  <c r="J840" i="1"/>
  <c r="B187" i="8196"/>
  <c r="H187" i="8196" s="1"/>
  <c r="L525" i="1"/>
  <c r="L528" i="1"/>
  <c r="N283" i="1"/>
  <c r="B239" i="4888"/>
  <c r="B155" i="523"/>
  <c r="H155" i="523" s="1"/>
  <c r="F838" i="1"/>
  <c r="F180" i="1"/>
  <c r="B231" i="4888"/>
  <c r="B112" i="768"/>
  <c r="H112" i="768" s="1"/>
  <c r="H1422" i="1"/>
  <c r="F181" i="1"/>
  <c r="F1027" i="1"/>
  <c r="B174" i="512"/>
  <c r="H174" i="512" s="1"/>
  <c r="H1389" i="1"/>
  <c r="B243" i="10541"/>
  <c r="H243" i="10541" s="1"/>
  <c r="J525" i="1"/>
  <c r="B176" i="523"/>
  <c r="H176" i="523" s="1"/>
  <c r="B184" i="2561"/>
  <c r="B158" i="523"/>
  <c r="H158" i="523" s="1"/>
  <c r="D1146" i="1"/>
  <c r="L290" i="1"/>
  <c r="B243" i="25580"/>
  <c r="H243" i="25580" s="1"/>
  <c r="B180" i="523"/>
  <c r="H180" i="523" s="1"/>
  <c r="B180" i="2316"/>
  <c r="H180" i="2316" s="1"/>
  <c r="H372" i="1"/>
  <c r="H1193" i="1"/>
  <c r="B181" i="2048"/>
  <c r="H181" i="2048" s="1"/>
  <c r="B254" i="20994"/>
  <c r="I254" i="20994" s="1"/>
  <c r="J962" i="1"/>
  <c r="J1515" i="1"/>
  <c r="B136" i="10285"/>
  <c r="H136" i="10285" s="1"/>
  <c r="L573" i="1"/>
  <c r="B259" i="10541"/>
  <c r="H259" i="10541" s="1"/>
  <c r="H118" i="1"/>
  <c r="H574" i="1"/>
  <c r="B113" i="10285"/>
  <c r="H113" i="10285" s="1"/>
  <c r="H1424" i="1"/>
  <c r="B114" i="768"/>
  <c r="H114" i="768" s="1"/>
  <c r="B167" i="2819"/>
  <c r="H167" i="2819" s="1"/>
  <c r="F1030" i="1"/>
  <c r="F1098" i="1"/>
  <c r="B170" i="2819"/>
  <c r="H170" i="2819" s="1"/>
  <c r="F910" i="1"/>
  <c r="F127" i="1"/>
  <c r="B172" i="523"/>
  <c r="H172" i="523" s="1"/>
  <c r="H1519" i="1"/>
  <c r="B178" i="9216"/>
  <c r="I178" i="9216" s="1"/>
  <c r="H184" i="1"/>
  <c r="B247" i="4888"/>
  <c r="H1145" i="1"/>
  <c r="B181" i="523"/>
  <c r="H181" i="523" s="1"/>
  <c r="B188" i="512"/>
  <c r="H188" i="512" s="1"/>
  <c r="J1391" i="1"/>
  <c r="B190" i="512"/>
  <c r="H190" i="512" s="1"/>
  <c r="J1393" i="1"/>
  <c r="D435" i="1"/>
  <c r="B224" i="2561"/>
  <c r="H224" i="2561" s="1"/>
  <c r="D1196" i="1"/>
  <c r="H287" i="1"/>
  <c r="D1031" i="1"/>
  <c r="B160" i="2819"/>
  <c r="H160" i="2819" s="1"/>
  <c r="D1100" i="1"/>
  <c r="B231" i="10541"/>
  <c r="H231" i="10541" s="1"/>
  <c r="J290" i="1"/>
  <c r="B242" i="32"/>
  <c r="B122" i="10285"/>
  <c r="H122" i="10285" s="1"/>
  <c r="J571" i="1"/>
  <c r="H1388" i="1"/>
  <c r="D27" i="25586"/>
  <c r="H431" i="1"/>
  <c r="B244" i="2561"/>
  <c r="H244" i="2561" s="1"/>
  <c r="H432" i="1"/>
  <c r="B245" i="2561"/>
  <c r="H245" i="2561" s="1"/>
  <c r="B177" i="523"/>
  <c r="H177" i="523" s="1"/>
  <c r="H1141" i="1"/>
  <c r="H374" i="1"/>
  <c r="J1089" i="1"/>
  <c r="B185" i="2819"/>
  <c r="H185" i="2819" s="1"/>
  <c r="B135" i="768"/>
  <c r="H135" i="768" s="1"/>
  <c r="L1421" i="1"/>
  <c r="B257" i="32"/>
  <c r="N281" i="1"/>
  <c r="J904" i="1"/>
  <c r="F368" i="1"/>
  <c r="B164" i="2316"/>
  <c r="H164" i="2316" s="1"/>
  <c r="H181" i="1"/>
  <c r="J528" i="1"/>
  <c r="H1392" i="1"/>
  <c r="B177" i="512"/>
  <c r="H177" i="512" s="1"/>
  <c r="F1395" i="1"/>
  <c r="B168" i="512"/>
  <c r="H168" i="512" s="1"/>
  <c r="H902" i="1"/>
  <c r="B227" i="2561"/>
  <c r="H227" i="2561" s="1"/>
  <c r="D438" i="1"/>
  <c r="B246" i="25580"/>
  <c r="H246" i="25580" s="1"/>
  <c r="H436" i="1"/>
  <c r="B249" i="2561"/>
  <c r="H249" i="2561" s="1"/>
  <c r="F30" i="25586"/>
  <c r="L574" i="1"/>
  <c r="B137" i="10285"/>
  <c r="H137" i="10285" s="1"/>
  <c r="J1390" i="1"/>
  <c r="B187" i="512"/>
  <c r="H187" i="512" s="1"/>
  <c r="B188" i="9216"/>
  <c r="I188" i="9216" s="1"/>
  <c r="J1517" i="1"/>
  <c r="L575" i="1"/>
  <c r="B138" i="10285"/>
  <c r="H138" i="10285" s="1"/>
  <c r="B235" i="4888"/>
  <c r="F184" i="1"/>
  <c r="B156" i="2561"/>
  <c r="D1615" i="1"/>
  <c r="B156" i="8196"/>
  <c r="H156" i="8196" s="1"/>
  <c r="D845" i="1"/>
  <c r="F370" i="1"/>
  <c r="F1615" i="1"/>
  <c r="B168" i="2561"/>
  <c r="F124" i="1"/>
  <c r="B237" i="25580"/>
  <c r="H237" i="25580" s="1"/>
  <c r="B169" i="523"/>
  <c r="H169" i="523" s="1"/>
  <c r="F1145" i="1"/>
  <c r="B169" i="2316"/>
  <c r="H169" i="2316" s="1"/>
  <c r="F373" i="1"/>
  <c r="F1194" i="1"/>
  <c r="B170" i="2048"/>
  <c r="H170" i="2048" s="1"/>
  <c r="B172" i="2819"/>
  <c r="H172" i="2819" s="1"/>
  <c r="B127" i="768"/>
  <c r="H127" i="768" s="1"/>
  <c r="J1425" i="1"/>
  <c r="H1568" i="1"/>
  <c r="B180" i="1024"/>
  <c r="I180" i="1024" s="1"/>
  <c r="H907" i="1"/>
  <c r="B250" i="4888"/>
  <c r="B182" i="523"/>
  <c r="H182" i="523" s="1"/>
  <c r="H1146" i="1"/>
  <c r="B183" i="2561"/>
  <c r="H1618" i="1"/>
  <c r="H1034" i="1"/>
  <c r="B184" i="9216"/>
  <c r="I184" i="9216" s="1"/>
  <c r="H1525" i="1"/>
  <c r="B253" i="25580"/>
  <c r="H253" i="25580" s="1"/>
  <c r="H128" i="1"/>
  <c r="B254" i="2561"/>
  <c r="H254" i="2561" s="1"/>
  <c r="J429" i="1"/>
  <c r="B256" i="32"/>
  <c r="N280" i="1"/>
  <c r="J120" i="1"/>
  <c r="J121" i="1"/>
  <c r="B258" i="25580"/>
  <c r="H258" i="25580" s="1"/>
  <c r="B251" i="32"/>
  <c r="L287" i="1"/>
  <c r="B166" i="523"/>
  <c r="H166" i="523" s="1"/>
  <c r="F1142" i="1"/>
  <c r="B104" i="768"/>
  <c r="H104" i="768" s="1"/>
  <c r="F1426" i="1"/>
  <c r="B230" i="2561"/>
  <c r="H230" i="2561" s="1"/>
  <c r="F429" i="1"/>
  <c r="B162" i="2316"/>
  <c r="H162" i="2316" s="1"/>
  <c r="F1468" i="1"/>
  <c r="F1139" i="1"/>
  <c r="F842" i="1"/>
  <c r="B165" i="8196"/>
  <c r="H165" i="8196" s="1"/>
  <c r="F1190" i="1"/>
  <c r="B166" i="2048"/>
  <c r="H166" i="2048" s="1"/>
  <c r="J1423" i="1"/>
  <c r="B125" i="768"/>
  <c r="H125" i="768" s="1"/>
  <c r="B126" i="768"/>
  <c r="H126" i="768" s="1"/>
  <c r="J1424" i="1"/>
  <c r="E34" i="25585"/>
  <c r="J576" i="1"/>
  <c r="B127" i="10285"/>
  <c r="H127" i="10285" s="1"/>
  <c r="H1421" i="1"/>
  <c r="B111" i="768"/>
  <c r="H111" i="768" s="1"/>
  <c r="F372" i="1"/>
  <c r="D1144" i="1"/>
  <c r="B226" i="10541"/>
  <c r="H226" i="10541" s="1"/>
  <c r="F532" i="1"/>
  <c r="D1098" i="1"/>
  <c r="B158" i="2819"/>
  <c r="H158" i="2819" s="1"/>
  <c r="B228" i="2561"/>
  <c r="H228" i="2561" s="1"/>
  <c r="D439" i="1"/>
  <c r="D1399" i="1"/>
  <c r="B160" i="512"/>
  <c r="H160" i="512" s="1"/>
  <c r="H117" i="1"/>
  <c r="B242" i="25580"/>
  <c r="H242" i="25580" s="1"/>
  <c r="J1516" i="1"/>
  <c r="B187" i="9216"/>
  <c r="I187" i="9216" s="1"/>
  <c r="B167" i="2316"/>
  <c r="H167" i="2316" s="1"/>
  <c r="F371" i="1"/>
  <c r="B167" i="523"/>
  <c r="H167" i="523" s="1"/>
  <c r="B169" i="8196"/>
  <c r="H169" i="8196" s="1"/>
  <c r="B228" i="4888"/>
  <c r="B230" i="25580"/>
  <c r="H230" i="25580" s="1"/>
  <c r="H576" i="1"/>
  <c r="B115" i="10285"/>
  <c r="H115" i="10285" s="1"/>
  <c r="H535" i="1"/>
  <c r="B164" i="512"/>
  <c r="H164" i="512" s="1"/>
  <c r="B229" i="10541"/>
  <c r="H229" i="10541" s="1"/>
  <c r="D371" i="1"/>
  <c r="B155" i="2316"/>
  <c r="H155" i="2316" s="1"/>
  <c r="D906" i="1"/>
  <c r="B157" i="2819"/>
  <c r="H157" i="2819" s="1"/>
  <c r="B159" i="523"/>
  <c r="H159" i="523" s="1"/>
  <c r="D1147" i="1"/>
  <c r="F1399" i="1"/>
  <c r="D1397" i="1"/>
  <c r="B158" i="512"/>
  <c r="H158" i="512" s="1"/>
  <c r="H1185" i="1"/>
  <c r="B173" i="2048"/>
  <c r="H173" i="2048" s="1"/>
  <c r="B248" i="25580"/>
  <c r="H248" i="25580" s="1"/>
  <c r="H969" i="1"/>
  <c r="B249" i="20994"/>
  <c r="I249" i="20994" s="1"/>
  <c r="J900" i="1"/>
  <c r="L1420" i="1"/>
  <c r="B134" i="768"/>
  <c r="H134" i="768" s="1"/>
  <c r="J1025" i="1"/>
  <c r="J903" i="1"/>
  <c r="B187" i="2048"/>
  <c r="H187" i="2048" s="1"/>
  <c r="J1187" i="1"/>
  <c r="B238" i="25580"/>
  <c r="H238" i="25580" s="1"/>
  <c r="B182" i="2819"/>
  <c r="H182" i="2819" s="1"/>
  <c r="H1033" i="1"/>
  <c r="J118" i="1"/>
  <c r="D19" i="25585"/>
  <c r="J901" i="1"/>
  <c r="C48" i="25585"/>
  <c r="C24" i="25585"/>
  <c r="E39" i="40"/>
  <c r="G59" i="40"/>
  <c r="G69" i="40"/>
  <c r="D27" i="40"/>
  <c r="F27" i="40"/>
  <c r="D16" i="40"/>
  <c r="F106" i="40"/>
  <c r="F28" i="40"/>
  <c r="F26" i="40"/>
  <c r="E135" i="40"/>
  <c r="E138" i="40"/>
  <c r="E145" i="40"/>
  <c r="E84" i="40"/>
  <c r="D68" i="40"/>
  <c r="F68" i="40"/>
  <c r="F80" i="40"/>
  <c r="F140" i="40"/>
  <c r="F59" i="40"/>
  <c r="E146" i="40"/>
  <c r="D139" i="40"/>
  <c r="F71" i="40"/>
  <c r="D59" i="40"/>
  <c r="G83" i="40"/>
  <c r="C38" i="40"/>
  <c r="G38" i="40"/>
  <c r="D39" i="40"/>
  <c r="G35" i="40"/>
  <c r="D12" i="40"/>
  <c r="F23" i="40"/>
  <c r="F50" i="40"/>
  <c r="F94" i="40"/>
  <c r="G94" i="40"/>
  <c r="G118" i="40"/>
  <c r="G112" i="40"/>
  <c r="D89" i="40"/>
  <c r="D88" i="40"/>
  <c r="C81" i="40"/>
  <c r="F58" i="40"/>
  <c r="E58" i="40"/>
  <c r="G82" i="40"/>
  <c r="E43" i="40"/>
  <c r="F100" i="40"/>
  <c r="E88" i="40"/>
  <c r="F136" i="40"/>
  <c r="D130" i="40"/>
  <c r="G131" i="40"/>
  <c r="E107" i="40"/>
  <c r="F119" i="40"/>
  <c r="E87" i="40"/>
  <c r="D87" i="40"/>
  <c r="G111" i="40"/>
  <c r="F87" i="40"/>
  <c r="C72" i="40"/>
  <c r="E103" i="40"/>
  <c r="G103" i="40"/>
  <c r="F96" i="40"/>
  <c r="E96" i="40"/>
  <c r="C96" i="40"/>
  <c r="D75" i="40"/>
  <c r="D76" i="40"/>
  <c r="E75" i="40"/>
  <c r="E119" i="40"/>
  <c r="E82" i="40"/>
  <c r="E74" i="40"/>
  <c r="G70" i="40"/>
  <c r="C46" i="40"/>
  <c r="G39" i="40"/>
  <c r="G63" i="40"/>
  <c r="F39" i="40"/>
  <c r="G56" i="40"/>
  <c r="G32" i="40"/>
  <c r="E126" i="40"/>
  <c r="D122" i="40"/>
  <c r="G99" i="40"/>
  <c r="C44" i="40"/>
  <c r="G44" i="40"/>
  <c r="F25" i="25584"/>
  <c r="D12" i="25584"/>
  <c r="D51" i="25584"/>
  <c r="E40" i="25584"/>
  <c r="F54" i="25584"/>
  <c r="C51" i="25584"/>
  <c r="E15" i="25584"/>
  <c r="C42" i="25584"/>
  <c r="C11" i="25584"/>
  <c r="D50" i="25584"/>
  <c r="F53" i="25584"/>
  <c r="D19" i="25584"/>
  <c r="E34" i="25584"/>
  <c r="G32" i="25583"/>
  <c r="E12" i="25583"/>
  <c r="F60" i="25583"/>
  <c r="D48" i="25583"/>
  <c r="E57" i="25583"/>
  <c r="E49" i="25583"/>
  <c r="E22" i="25583"/>
  <c r="E16" i="25583"/>
  <c r="D20" i="25583"/>
  <c r="C60" i="25583"/>
  <c r="C19" i="25583"/>
  <c r="D49" i="25583"/>
  <c r="C14" i="25583"/>
  <c r="C29" i="25583"/>
  <c r="D25" i="25583"/>
  <c r="G35" i="25583"/>
  <c r="F32" i="25583"/>
  <c r="E15" i="25583"/>
  <c r="E48" i="25583"/>
  <c r="F38" i="25583"/>
  <c r="C45" i="25583"/>
  <c r="F56" i="25583"/>
  <c r="C37" i="25583"/>
  <c r="E20" i="25583"/>
  <c r="C27" i="25582"/>
  <c r="F24" i="25582"/>
  <c r="D29" i="25582"/>
  <c r="E36" i="25582"/>
  <c r="F46" i="25582"/>
  <c r="E12" i="25582"/>
  <c r="D19" i="25582"/>
  <c r="E43" i="25582"/>
  <c r="G56" i="25582"/>
  <c r="F38" i="25582"/>
  <c r="E39" i="25582"/>
  <c r="C35" i="25582"/>
  <c r="F20" i="25585"/>
  <c r="E18" i="25585"/>
  <c r="C28" i="25585"/>
  <c r="C34" i="25585"/>
  <c r="D26" i="25585"/>
  <c r="F46" i="25585"/>
  <c r="E19" i="25586"/>
  <c r="C24" i="25586"/>
  <c r="C25" i="25586"/>
  <c r="F34" i="25586"/>
  <c r="E27" i="25582"/>
  <c r="E33" i="25582"/>
  <c r="F35" i="25582"/>
  <c r="E28" i="25582"/>
  <c r="E35" i="25582"/>
  <c r="D23" i="25582"/>
  <c r="E32" i="25582"/>
  <c r="E24" i="25582"/>
  <c r="G55" i="25582"/>
  <c r="N282" i="1"/>
  <c r="B258" i="32"/>
  <c r="B187" i="523"/>
  <c r="H187" i="523" s="1"/>
  <c r="J1139" i="1"/>
  <c r="J1610" i="1"/>
  <c r="B187" i="2561"/>
  <c r="F61" i="25584"/>
  <c r="G61" i="25584"/>
  <c r="C61" i="25584"/>
  <c r="N284" i="1"/>
  <c r="F776" i="1"/>
  <c r="B161" i="82"/>
  <c r="F1297" i="1"/>
  <c r="B163" i="515"/>
  <c r="J1613" i="1"/>
  <c r="B173" i="2819"/>
  <c r="H173" i="2819" s="1"/>
  <c r="H1024" i="1"/>
  <c r="F28" i="25582"/>
  <c r="C253" i="3"/>
  <c r="H66" i="1"/>
  <c r="J183" i="1"/>
  <c r="B258" i="4888"/>
  <c r="B190" i="523"/>
  <c r="H190" i="523" s="1"/>
  <c r="J1142" i="1"/>
  <c r="D1476" i="1"/>
  <c r="B158" i="515"/>
  <c r="F158" i="515" s="1"/>
  <c r="D1304" i="1"/>
  <c r="B160" i="2561"/>
  <c r="D1619" i="1"/>
  <c r="F44" i="25582"/>
  <c r="E31" i="25583"/>
  <c r="E34" i="25583"/>
  <c r="H1028" i="1"/>
  <c r="L286" i="1"/>
  <c r="B250" i="32"/>
  <c r="B150" i="515"/>
  <c r="F150" i="515" s="1"/>
  <c r="D1296" i="1"/>
  <c r="D909" i="1"/>
  <c r="D1350" i="1"/>
  <c r="B157" i="36"/>
  <c r="G157" i="36" s="1"/>
  <c r="D1478" i="1"/>
  <c r="B160" i="2316"/>
  <c r="H160" i="2316" s="1"/>
  <c r="D1352" i="1"/>
  <c r="B159" i="36"/>
  <c r="B171" i="515"/>
  <c r="H120" i="515" s="1"/>
  <c r="F1305" i="1"/>
  <c r="D654" i="1"/>
  <c r="B152" i="516"/>
  <c r="E152" i="516" s="1"/>
  <c r="C226" i="3"/>
  <c r="D63" i="1"/>
  <c r="B158" i="2561"/>
  <c r="D1617" i="1"/>
  <c r="B159" i="512"/>
  <c r="H159" i="512" s="1"/>
  <c r="D1398" i="1"/>
  <c r="F581" i="1"/>
  <c r="B108" i="10285"/>
  <c r="H108" i="10285" s="1"/>
  <c r="B160" i="36"/>
  <c r="F160" i="36" s="1"/>
  <c r="F1341" i="1"/>
  <c r="B235" i="25580"/>
  <c r="H235" i="25580" s="1"/>
  <c r="F122" i="1"/>
  <c r="F906" i="1"/>
  <c r="F718" i="1"/>
  <c r="B166" i="40"/>
  <c r="G166" i="40" s="1"/>
  <c r="H1612" i="1"/>
  <c r="B177" i="2561"/>
  <c r="G52" i="25582"/>
  <c r="H1614" i="1"/>
  <c r="B179" i="2561"/>
  <c r="H910" i="1"/>
  <c r="H127" i="1"/>
  <c r="B252" i="25580"/>
  <c r="H252" i="25580" s="1"/>
  <c r="F908" i="1"/>
  <c r="B171" i="2819"/>
  <c r="H171" i="2819" s="1"/>
  <c r="F1034" i="1"/>
  <c r="B241" i="32"/>
  <c r="J289" i="1"/>
  <c r="H1431" i="1"/>
  <c r="B121" i="768"/>
  <c r="H121" i="768" s="1"/>
  <c r="J286" i="1"/>
  <c r="B238" i="32"/>
  <c r="B152" i="11522"/>
  <c r="C152" i="11522" s="1"/>
  <c r="D1251" i="1"/>
  <c r="D1300" i="1"/>
  <c r="B154" i="515"/>
  <c r="G154" i="515" s="1"/>
  <c r="H1610" i="1"/>
  <c r="B175" i="2561"/>
  <c r="H843" i="1"/>
  <c r="B178" i="8196"/>
  <c r="H178" i="8196" s="1"/>
  <c r="H971" i="1"/>
  <c r="B251" i="20994"/>
  <c r="I251" i="20994" s="1"/>
  <c r="B252" i="32"/>
  <c r="L288" i="1"/>
  <c r="D46" i="25583"/>
  <c r="F46" i="25583"/>
  <c r="C41" i="25584"/>
  <c r="H1565" i="1"/>
  <c r="B177" i="1024"/>
  <c r="I177" i="1024" s="1"/>
  <c r="F54" i="25582"/>
  <c r="H18" i="516"/>
  <c r="B169" i="2561"/>
  <c r="F1616" i="1"/>
  <c r="J288" i="1"/>
  <c r="B240" i="32"/>
  <c r="G37" i="25582"/>
  <c r="B177" i="2316"/>
  <c r="H177" i="2316" s="1"/>
  <c r="H369" i="1"/>
  <c r="B177" i="2819"/>
  <c r="H177" i="2819" s="1"/>
  <c r="H1093" i="1"/>
  <c r="F52" i="25583"/>
  <c r="F1611" i="1"/>
  <c r="B164" i="2561"/>
  <c r="B234" i="25580"/>
  <c r="H234" i="25580" s="1"/>
  <c r="F121" i="1"/>
  <c r="F440" i="1"/>
  <c r="B241" i="2561"/>
  <c r="H241" i="2561" s="1"/>
  <c r="B152" i="82"/>
  <c r="G152" i="82" s="1"/>
  <c r="D779" i="1"/>
  <c r="B174" i="2316"/>
  <c r="H174" i="2316" s="1"/>
  <c r="H1468" i="1"/>
  <c r="B250" i="20994"/>
  <c r="I250" i="20994" s="1"/>
  <c r="H970" i="1"/>
  <c r="B253" i="10541"/>
  <c r="H253" i="10541" s="1"/>
  <c r="G59" i="25583"/>
  <c r="F59" i="25583"/>
  <c r="E59" i="25583"/>
  <c r="C59" i="25583"/>
  <c r="B151" i="36"/>
  <c r="D1344" i="1"/>
  <c r="D722" i="1"/>
  <c r="B158" i="40"/>
  <c r="E158" i="40" s="1"/>
  <c r="B184" i="2819"/>
  <c r="H184" i="2819" s="1"/>
  <c r="H1100" i="1"/>
  <c r="B165" i="40"/>
  <c r="C165" i="40" s="1"/>
  <c r="F717" i="1"/>
  <c r="J287" i="1"/>
  <c r="B239" i="32"/>
  <c r="B169" i="82"/>
  <c r="F784" i="1"/>
  <c r="B254" i="25580"/>
  <c r="H254" i="25580" s="1"/>
  <c r="F31" i="25584"/>
  <c r="F26" i="25584"/>
  <c r="B175" i="2819"/>
  <c r="H175" i="2819" s="1"/>
  <c r="H1026" i="1"/>
  <c r="D373" i="1"/>
  <c r="B157" i="2316"/>
  <c r="H157" i="2316" s="1"/>
  <c r="F1612" i="1"/>
  <c r="B165" i="2561"/>
  <c r="D56" i="25582"/>
  <c r="G64" i="25582"/>
  <c r="D440" i="1"/>
  <c r="B229" i="2561"/>
  <c r="H229" i="2561" s="1"/>
  <c r="E47" i="25583"/>
  <c r="B225" i="2561"/>
  <c r="H225" i="2561" s="1"/>
  <c r="D436" i="1"/>
  <c r="D1254" i="1"/>
  <c r="D42" i="25584"/>
  <c r="H572" i="1"/>
  <c r="B111" i="10285"/>
  <c r="H111" i="10285" s="1"/>
  <c r="B235" i="32"/>
  <c r="J283" i="1"/>
  <c r="B171" i="40"/>
  <c r="H101" i="40" s="1"/>
  <c r="J1421" i="1"/>
  <c r="B243" i="4888"/>
  <c r="J1426" i="1"/>
  <c r="F1343" i="1"/>
  <c r="B162" i="36"/>
  <c r="G162" i="36" s="1"/>
  <c r="B177" i="9216"/>
  <c r="I177" i="9216" s="1"/>
  <c r="H1518" i="1"/>
  <c r="F1294" i="1"/>
  <c r="E13" i="25583"/>
  <c r="F722" i="1"/>
  <c r="B170" i="40"/>
  <c r="B148" i="516"/>
  <c r="D650" i="1"/>
  <c r="F1613" i="1"/>
  <c r="B166" i="2561"/>
  <c r="B160" i="523"/>
  <c r="H160" i="523" s="1"/>
  <c r="H290" i="1"/>
  <c r="B230" i="32"/>
  <c r="D1395" i="1"/>
  <c r="B156" i="512"/>
  <c r="H156" i="512" s="1"/>
  <c r="D907" i="1"/>
  <c r="D1195" i="1"/>
  <c r="B159" i="2048"/>
  <c r="H159" i="2048" s="1"/>
  <c r="B228" i="10541"/>
  <c r="H228" i="10541" s="1"/>
  <c r="F534" i="1"/>
  <c r="B161" i="512"/>
  <c r="H161" i="512" s="1"/>
  <c r="F1388" i="1"/>
  <c r="F1390" i="1"/>
  <c r="B163" i="512"/>
  <c r="H163" i="512" s="1"/>
  <c r="H529" i="1"/>
  <c r="B235" i="10541"/>
  <c r="H235" i="10541" s="1"/>
  <c r="H530" i="1"/>
  <c r="B236" i="10541"/>
  <c r="H236" i="10541" s="1"/>
  <c r="F1191" i="1"/>
  <c r="B167" i="2048"/>
  <c r="H167" i="2048" s="1"/>
  <c r="F1195" i="1"/>
  <c r="B171" i="2048"/>
  <c r="H171" i="2048" s="1"/>
  <c r="F1609" i="1"/>
  <c r="B165" i="512"/>
  <c r="H165" i="512" s="1"/>
  <c r="F432" i="1"/>
  <c r="B238" i="10541"/>
  <c r="H238" i="10541" s="1"/>
  <c r="H532" i="1"/>
  <c r="F438" i="1"/>
  <c r="B239" i="2561"/>
  <c r="H239" i="2561" s="1"/>
  <c r="F190" i="1"/>
  <c r="B241" i="4888"/>
  <c r="B173" i="8196"/>
  <c r="H173" i="8196" s="1"/>
  <c r="H838" i="1"/>
  <c r="H840" i="1"/>
  <c r="B175" i="8196"/>
  <c r="H175" i="8196" s="1"/>
  <c r="E29" i="25585"/>
  <c r="E39" i="25585"/>
  <c r="E13" i="25585"/>
  <c r="C13" i="25585"/>
  <c r="D13" i="25585"/>
  <c r="B248" i="10541"/>
  <c r="H248" i="10541" s="1"/>
  <c r="J530" i="1"/>
  <c r="B190" i="8196"/>
  <c r="H190" i="8196" s="1"/>
  <c r="J843" i="1"/>
  <c r="B259" i="25580"/>
  <c r="H259" i="25580" s="1"/>
  <c r="J122" i="1"/>
  <c r="J1473" i="1"/>
  <c r="B191" i="2316"/>
  <c r="H191" i="2316" s="1"/>
  <c r="B139" i="768"/>
  <c r="H139" i="768" s="1"/>
  <c r="D372" i="1"/>
  <c r="B156" i="2316"/>
  <c r="H156" i="2316" s="1"/>
  <c r="D844" i="1"/>
  <c r="B155" i="8196"/>
  <c r="H155" i="8196" s="1"/>
  <c r="D847" i="1"/>
  <c r="B158" i="8196"/>
  <c r="H158" i="8196" s="1"/>
  <c r="B159" i="2819"/>
  <c r="H159" i="2819" s="1"/>
  <c r="D1099" i="1"/>
  <c r="B234" i="32"/>
  <c r="J282" i="1"/>
  <c r="F1141" i="1"/>
  <c r="B165" i="523"/>
  <c r="H165" i="523" s="1"/>
  <c r="F1393" i="1"/>
  <c r="B166" i="512"/>
  <c r="H166" i="512" s="1"/>
  <c r="L285" i="1"/>
  <c r="B249" i="32"/>
  <c r="H911" i="1"/>
  <c r="B186" i="2048"/>
  <c r="H186" i="2048" s="1"/>
  <c r="J1186" i="1"/>
  <c r="D44" i="25585"/>
  <c r="B188" i="2819"/>
  <c r="H188" i="2819" s="1"/>
  <c r="J1092" i="1"/>
  <c r="J1191" i="1"/>
  <c r="B191" i="2048"/>
  <c r="H191" i="2048" s="1"/>
  <c r="F29" i="25585"/>
  <c r="B185" i="523"/>
  <c r="H185" i="523" s="1"/>
  <c r="D1191" i="1"/>
  <c r="B155" i="2048"/>
  <c r="H155" i="2048" s="1"/>
  <c r="F848" i="1"/>
  <c r="B171" i="8196"/>
  <c r="H171" i="8196" s="1"/>
  <c r="B240" i="25580"/>
  <c r="H240" i="25580" s="1"/>
  <c r="D34" i="25585"/>
  <c r="D25" i="25585"/>
  <c r="C25" i="25585"/>
  <c r="E20" i="25585"/>
  <c r="F21" i="25585"/>
  <c r="H1520" i="1"/>
  <c r="B179" i="9216"/>
  <c r="I179" i="9216" s="1"/>
  <c r="H906" i="1"/>
  <c r="B248" i="4888"/>
  <c r="H185" i="1"/>
  <c r="J1427" i="1"/>
  <c r="B129" i="768"/>
  <c r="H129" i="768" s="1"/>
  <c r="H1522" i="1"/>
  <c r="B181" i="9216"/>
  <c r="I181" i="9216" s="1"/>
  <c r="H373" i="1"/>
  <c r="J1429" i="1"/>
  <c r="B131" i="768"/>
  <c r="H131" i="768" s="1"/>
  <c r="B186" i="2561"/>
  <c r="J1609" i="1"/>
  <c r="B186" i="523"/>
  <c r="H186" i="523" s="1"/>
  <c r="J1138" i="1"/>
  <c r="J902" i="1"/>
  <c r="B188" i="1024"/>
  <c r="I188" i="1024" s="1"/>
  <c r="J1564" i="1"/>
  <c r="B226" i="4888"/>
  <c r="D187" i="1"/>
  <c r="B227" i="25580"/>
  <c r="H227" i="25580" s="1"/>
  <c r="D126" i="1"/>
  <c r="B229" i="25580"/>
  <c r="H229" i="25580" s="1"/>
  <c r="H1097" i="1"/>
  <c r="B182" i="2316"/>
  <c r="H182" i="2316" s="1"/>
  <c r="H1476" i="1"/>
  <c r="F25" i="25585"/>
  <c r="B232" i="10541"/>
  <c r="H232" i="10541" s="1"/>
  <c r="D127" i="1"/>
  <c r="D1030" i="1"/>
  <c r="B155" i="2819"/>
  <c r="H155" i="2819" s="1"/>
  <c r="B237" i="4888"/>
  <c r="F186" i="1"/>
  <c r="E33" i="25585"/>
  <c r="F1146" i="1"/>
  <c r="B250" i="2561"/>
  <c r="H250" i="2561" s="1"/>
  <c r="H286" i="1"/>
  <c r="B226" i="32"/>
  <c r="B224" i="10541"/>
  <c r="H224" i="10541" s="1"/>
  <c r="F530" i="1"/>
  <c r="B157" i="512"/>
  <c r="H157" i="512" s="1"/>
  <c r="D1396" i="1"/>
  <c r="B110" i="768"/>
  <c r="H110" i="768" s="1"/>
  <c r="H1420" i="1"/>
  <c r="B112" i="10285"/>
  <c r="H112" i="10285" s="1"/>
  <c r="H573" i="1"/>
  <c r="H1467" i="1"/>
  <c r="D13" i="25586"/>
  <c r="D20" i="25586"/>
  <c r="F28" i="25586"/>
  <c r="H1188" i="1"/>
  <c r="B176" i="2048"/>
  <c r="H176" i="2048" s="1"/>
  <c r="H120" i="1"/>
  <c r="B245" i="25580"/>
  <c r="H245" i="25580" s="1"/>
  <c r="C31" i="25585"/>
  <c r="F31" i="25585"/>
  <c r="C15" i="25585"/>
  <c r="J582" i="1"/>
  <c r="B133" i="10285"/>
  <c r="H133" i="10285" s="1"/>
  <c r="J365" i="1"/>
  <c r="D49" i="25585"/>
  <c r="H289" i="1"/>
  <c r="B229" i="32"/>
  <c r="B176" i="512"/>
  <c r="H176" i="512" s="1"/>
  <c r="H1391" i="1"/>
  <c r="C32" i="25585"/>
  <c r="F24" i="25585"/>
  <c r="C19" i="25585"/>
  <c r="C12" i="25585"/>
  <c r="C40" i="25585"/>
  <c r="C42" i="25585"/>
  <c r="C39" i="25585"/>
  <c r="C18" i="25585"/>
  <c r="C11" i="25585"/>
  <c r="C10" i="25585"/>
  <c r="B247" i="25580"/>
  <c r="H247" i="25580" s="1"/>
  <c r="D35" i="25585"/>
  <c r="C35" i="25585"/>
  <c r="B179" i="8196"/>
  <c r="H179" i="8196" s="1"/>
  <c r="H844" i="1"/>
  <c r="C36" i="25585"/>
  <c r="B180" i="512"/>
  <c r="H180" i="512" s="1"/>
  <c r="H1395" i="1"/>
  <c r="H188" i="1"/>
  <c r="B251" i="4888"/>
  <c r="F531" i="1"/>
  <c r="B225" i="10541"/>
  <c r="H225" i="10541" s="1"/>
  <c r="F1091" i="1"/>
  <c r="B163" i="2819"/>
  <c r="H163" i="2819" s="1"/>
  <c r="H365" i="1"/>
  <c r="B173" i="2316"/>
  <c r="H173" i="2316" s="1"/>
  <c r="D14" i="25586"/>
  <c r="E30" i="25586"/>
  <c r="D29" i="25586"/>
  <c r="B174" i="2561"/>
  <c r="H1609" i="1"/>
  <c r="H1394" i="1"/>
  <c r="B179" i="512"/>
  <c r="H179" i="512" s="1"/>
  <c r="H1475" i="1"/>
  <c r="B181" i="2316"/>
  <c r="H181" i="2316" s="1"/>
  <c r="B131" i="10285"/>
  <c r="H131" i="10285" s="1"/>
  <c r="J580" i="1"/>
  <c r="B183" i="2819"/>
  <c r="H183" i="2819" s="1"/>
  <c r="H1096" i="1"/>
  <c r="B180" i="2819"/>
  <c r="H180" i="2819" s="1"/>
  <c r="B169" i="2819"/>
  <c r="H169" i="2819" s="1"/>
  <c r="F1032" i="1"/>
  <c r="F128" i="1"/>
  <c r="H1390" i="1"/>
  <c r="B175" i="512"/>
  <c r="H175" i="512" s="1"/>
  <c r="J1189" i="1"/>
  <c r="B189" i="2048"/>
  <c r="H189" i="2048" s="1"/>
  <c r="F46" i="25586"/>
  <c r="B158" i="2316"/>
  <c r="H158" i="2316" s="1"/>
  <c r="D374" i="1"/>
  <c r="B161" i="2316"/>
  <c r="H161" i="2316" s="1"/>
  <c r="F365" i="1"/>
  <c r="F1025" i="1"/>
  <c r="B163" i="8196"/>
  <c r="H163" i="8196" s="1"/>
  <c r="F840" i="1"/>
  <c r="F189" i="1"/>
  <c r="B240" i="4888"/>
  <c r="H973" i="1"/>
  <c r="B253" i="20994"/>
  <c r="I253" i="20994" s="1"/>
  <c r="J1467" i="1"/>
  <c r="B185" i="2316"/>
  <c r="H185" i="2316" s="1"/>
  <c r="B135" i="10285"/>
  <c r="H135" i="10285" s="1"/>
  <c r="L572" i="1"/>
  <c r="J119" i="1"/>
  <c r="B256" i="25580"/>
  <c r="H256" i="25580" s="1"/>
  <c r="B260" i="25580"/>
  <c r="H260" i="25580" s="1"/>
  <c r="J123" i="1"/>
  <c r="D125" i="1"/>
  <c r="B226" i="25580"/>
  <c r="H226" i="25580" s="1"/>
  <c r="H571" i="1"/>
  <c r="B110" i="10285"/>
  <c r="H110" i="10285" s="1"/>
  <c r="F839" i="1"/>
  <c r="B162" i="8196"/>
  <c r="H162" i="8196" s="1"/>
  <c r="B232" i="2561"/>
  <c r="H232" i="2561" s="1"/>
  <c r="F431" i="1"/>
  <c r="F1189" i="1"/>
  <c r="B165" i="2048"/>
  <c r="H165" i="2048" s="1"/>
  <c r="B168" i="2819"/>
  <c r="H168" i="2819" s="1"/>
  <c r="F1031" i="1"/>
  <c r="H119" i="1"/>
  <c r="H1613" i="1"/>
  <c r="B178" i="2561"/>
  <c r="B186" i="2819"/>
  <c r="H186" i="2819" s="1"/>
  <c r="J1090" i="1"/>
  <c r="J842" i="1"/>
  <c r="B189" i="8196"/>
  <c r="H189" i="8196" s="1"/>
  <c r="D848" i="1"/>
  <c r="B233" i="25580"/>
  <c r="H233" i="25580" s="1"/>
  <c r="F120" i="1"/>
  <c r="B247" i="20994"/>
  <c r="I247" i="20994" s="1"/>
  <c r="H967" i="1"/>
  <c r="B183" i="2048"/>
  <c r="H183" i="2048" s="1"/>
  <c r="H1195" i="1"/>
  <c r="E41" i="25585"/>
  <c r="B257" i="2561"/>
  <c r="H257" i="2561" s="1"/>
  <c r="J432" i="1"/>
  <c r="J1469" i="1"/>
  <c r="B187" i="2316"/>
  <c r="H187" i="2316" s="1"/>
  <c r="J1143" i="1"/>
  <c r="B260" i="10541"/>
  <c r="H260" i="10541" s="1"/>
  <c r="L530" i="1"/>
  <c r="B162" i="2819"/>
  <c r="H162" i="2819" s="1"/>
  <c r="F1090" i="1"/>
  <c r="B232" i="25580"/>
  <c r="H232" i="25580" s="1"/>
  <c r="F119" i="1"/>
  <c r="H1139" i="1"/>
  <c r="B175" i="523"/>
  <c r="H175" i="523" s="1"/>
  <c r="B183" i="512"/>
  <c r="H183" i="512" s="1"/>
  <c r="H1398" i="1"/>
  <c r="D14" i="25585"/>
  <c r="F40" i="25585"/>
  <c r="E20" i="25586"/>
  <c r="F37" i="25585"/>
  <c r="F147" i="40"/>
  <c r="C147" i="40"/>
  <c r="D147" i="40"/>
  <c r="E147" i="40"/>
  <c r="D83" i="40"/>
  <c r="F83" i="40"/>
  <c r="D91" i="40"/>
  <c r="G90" i="40"/>
  <c r="E90" i="40"/>
  <c r="F90" i="40"/>
  <c r="G114" i="40"/>
  <c r="C90" i="40"/>
  <c r="E54" i="40"/>
  <c r="F54" i="40"/>
  <c r="C42" i="40"/>
  <c r="G42" i="40"/>
  <c r="F42" i="40"/>
  <c r="E42" i="40"/>
  <c r="C19" i="40"/>
  <c r="D19" i="40"/>
  <c r="D20" i="40"/>
  <c r="E111" i="40"/>
  <c r="F121" i="40"/>
  <c r="E112" i="40"/>
  <c r="E24" i="40"/>
  <c r="F24" i="40"/>
  <c r="D24" i="40"/>
  <c r="C24" i="40"/>
  <c r="D32" i="40"/>
  <c r="F43" i="40"/>
  <c r="D31" i="40"/>
  <c r="G55" i="40"/>
  <c r="F31" i="40"/>
  <c r="G43" i="40"/>
  <c r="E143" i="40"/>
  <c r="E139" i="40"/>
  <c r="E136" i="40"/>
  <c r="E140" i="40"/>
  <c r="C106" i="40"/>
  <c r="E106" i="40"/>
  <c r="F118" i="40"/>
  <c r="G106" i="40"/>
  <c r="D107" i="40"/>
  <c r="E44" i="40"/>
  <c r="E38" i="40"/>
  <c r="E47" i="40"/>
  <c r="E46" i="40"/>
  <c r="G135" i="40"/>
  <c r="C108" i="40"/>
  <c r="D108" i="40"/>
  <c r="E108" i="40"/>
  <c r="G132" i="40"/>
  <c r="G124" i="40"/>
  <c r="G100" i="40"/>
  <c r="E76" i="40"/>
  <c r="G76" i="40"/>
  <c r="G36" i="40"/>
  <c r="C36" i="40"/>
  <c r="C30" i="40"/>
  <c r="C18" i="40"/>
  <c r="G116" i="40"/>
  <c r="D60" i="40"/>
  <c r="G146" i="40"/>
  <c r="F128" i="40"/>
  <c r="D35" i="40"/>
  <c r="C34" i="40"/>
  <c r="E122" i="40"/>
  <c r="C122" i="40"/>
  <c r="C115" i="40"/>
  <c r="D115" i="40"/>
  <c r="C107" i="40"/>
  <c r="E57" i="40"/>
  <c r="E50" i="40"/>
  <c r="E55" i="40"/>
  <c r="D50" i="40"/>
  <c r="G67" i="40"/>
  <c r="D43" i="40"/>
  <c r="C43" i="40"/>
  <c r="D23" i="40"/>
  <c r="C66" i="40"/>
  <c r="G66" i="40"/>
  <c r="G60" i="40"/>
  <c r="F112" i="40"/>
  <c r="D124" i="40"/>
  <c r="G108" i="40"/>
  <c r="F34" i="40"/>
  <c r="G84" i="40"/>
  <c r="F131" i="40"/>
  <c r="E131" i="40"/>
  <c r="C131" i="40"/>
  <c r="G120" i="40"/>
  <c r="D72" i="40"/>
  <c r="F72" i="40"/>
  <c r="C100" i="40"/>
  <c r="E60" i="40"/>
  <c r="F108" i="40"/>
  <c r="F138" i="40"/>
  <c r="C138" i="40"/>
  <c r="D138" i="40"/>
  <c r="G46" i="40"/>
  <c r="F46" i="40"/>
  <c r="C25" i="40"/>
  <c r="D66" i="40"/>
  <c r="F88" i="40"/>
  <c r="F36" i="40"/>
  <c r="C128" i="40"/>
  <c r="D100" i="40"/>
  <c r="F76" i="40"/>
  <c r="C140" i="40"/>
  <c r="D95" i="40"/>
  <c r="C95" i="40"/>
  <c r="G78" i="40"/>
  <c r="G58" i="40"/>
  <c r="C21" i="25584"/>
  <c r="D45" i="25584"/>
  <c r="G45" i="25584"/>
  <c r="F39" i="25584"/>
  <c r="F62" i="25584"/>
  <c r="G52" i="25584"/>
  <c r="G46" i="25584"/>
  <c r="E19" i="25584"/>
  <c r="C58" i="25584"/>
  <c r="F34" i="25584"/>
  <c r="G39" i="25584"/>
  <c r="E30" i="25584"/>
  <c r="F21" i="25584"/>
  <c r="C39" i="25584"/>
  <c r="D29" i="25584"/>
  <c r="C28" i="25584"/>
  <c r="E21" i="25584"/>
  <c r="C49" i="25584"/>
  <c r="F47" i="25584"/>
  <c r="E13" i="25584"/>
  <c r="G38" i="25584"/>
  <c r="D13" i="25584"/>
  <c r="C19" i="25584"/>
  <c r="D47" i="25584"/>
  <c r="E22" i="25584"/>
  <c r="C26" i="25584"/>
  <c r="F50" i="25584"/>
  <c r="D24" i="25584"/>
  <c r="G54" i="25584"/>
  <c r="E31" i="25584"/>
  <c r="E38" i="25584"/>
  <c r="C44" i="25584"/>
  <c r="E14" i="25584"/>
  <c r="C36" i="25584"/>
  <c r="E26" i="25584"/>
  <c r="G51" i="25584"/>
  <c r="G47" i="25584"/>
  <c r="F24" i="25584"/>
  <c r="D26" i="25584"/>
  <c r="F23" i="25584"/>
  <c r="G41" i="25584"/>
  <c r="C17" i="25584"/>
  <c r="C24" i="25584"/>
  <c r="C31" i="25584"/>
  <c r="C15" i="25584"/>
  <c r="C22" i="25584"/>
  <c r="C40" i="25584"/>
  <c r="E9" i="25584"/>
  <c r="F38" i="25584"/>
  <c r="G62" i="25584"/>
  <c r="E24" i="25584"/>
  <c r="D53" i="25584"/>
  <c r="C35" i="25584"/>
  <c r="C54" i="25584"/>
  <c r="D23" i="25583"/>
  <c r="E24" i="25583"/>
  <c r="D40" i="25583"/>
  <c r="E28" i="25583"/>
  <c r="E32" i="25583"/>
  <c r="C23" i="25583"/>
  <c r="C39" i="25583"/>
  <c r="F50" i="25583"/>
  <c r="D45" i="25583"/>
  <c r="G49" i="25583"/>
  <c r="D35" i="25583"/>
  <c r="F35" i="25583"/>
  <c r="E27" i="25583"/>
  <c r="G40" i="25583"/>
  <c r="F26" i="25583"/>
  <c r="G51" i="25583"/>
  <c r="C56" i="25583"/>
  <c r="C27" i="25583"/>
  <c r="G47" i="25583"/>
  <c r="F45" i="25583"/>
  <c r="F42" i="25583"/>
  <c r="C28" i="25583"/>
  <c r="E45" i="25583"/>
  <c r="G50" i="25583"/>
  <c r="C55" i="25583"/>
  <c r="F34" i="25583"/>
  <c r="E30" i="25583"/>
  <c r="F23" i="25583"/>
  <c r="F57" i="25583"/>
  <c r="F44" i="25583"/>
  <c r="G44" i="25583"/>
  <c r="F24" i="25583"/>
  <c r="E26" i="25583"/>
  <c r="E23" i="25583"/>
  <c r="C50" i="25583"/>
  <c r="C17" i="25583"/>
  <c r="D12" i="25583"/>
  <c r="C51" i="25583"/>
  <c r="E29" i="25583"/>
  <c r="F39" i="25583"/>
  <c r="E42" i="25583"/>
  <c r="C31" i="25583"/>
  <c r="C16" i="25583"/>
  <c r="E37" i="25583"/>
  <c r="C44" i="25583"/>
  <c r="G39" i="25583"/>
  <c r="E39" i="25583"/>
  <c r="C46" i="25583"/>
  <c r="F21" i="25583"/>
  <c r="C40" i="25583"/>
  <c r="F66" i="25583"/>
  <c r="E51" i="25583"/>
  <c r="C33" i="25583"/>
  <c r="D31" i="25583"/>
  <c r="F51" i="25583"/>
  <c r="E17" i="25583"/>
  <c r="E66" i="25583"/>
  <c r="D24" i="25583"/>
  <c r="F20" i="25583"/>
  <c r="E11" i="25583"/>
  <c r="C26" i="25583"/>
  <c r="C11" i="25583"/>
  <c r="G66" i="25583"/>
  <c r="F36" i="25582"/>
  <c r="F50" i="25582"/>
  <c r="E47" i="25582"/>
  <c r="D50" i="25582"/>
  <c r="E57" i="25582"/>
  <c r="D13" i="25582"/>
  <c r="E56" i="25582"/>
  <c r="F47" i="25582"/>
  <c r="E49" i="25582"/>
  <c r="C36" i="25582"/>
  <c r="E58" i="25582"/>
  <c r="D42" i="25582"/>
  <c r="E59" i="25582"/>
  <c r="D33" i="25582"/>
  <c r="G66" i="25582"/>
  <c r="E44" i="25582"/>
  <c r="D24" i="25582"/>
  <c r="C13" i="25582"/>
  <c r="D37" i="25582"/>
  <c r="F26" i="25582"/>
  <c r="E38" i="25582"/>
  <c r="E66" i="25582"/>
  <c r="D44" i="25582"/>
  <c r="E61" i="25582"/>
  <c r="D48" i="25582"/>
  <c r="C47" i="25582"/>
  <c r="D11" i="25582"/>
  <c r="D28" i="25582"/>
  <c r="D32" i="25582"/>
  <c r="D31" i="25582"/>
  <c r="G47" i="25582"/>
  <c r="F66" i="25582"/>
  <c r="D63" i="25582"/>
  <c r="E48" i="25582"/>
  <c r="E55" i="25582"/>
  <c r="G38" i="25582"/>
  <c r="F56" i="25582"/>
  <c r="F43" i="25582"/>
  <c r="C53" i="25582"/>
  <c r="E17" i="25582"/>
  <c r="G33" i="25582"/>
  <c r="E50" i="25582"/>
  <c r="E41" i="25582"/>
  <c r="E54" i="25582"/>
  <c r="D43" i="25582"/>
  <c r="D12" i="25582"/>
  <c r="F44" i="25585"/>
  <c r="F45" i="25585"/>
  <c r="C33" i="25585"/>
  <c r="C26" i="25585"/>
  <c r="E16" i="25585"/>
  <c r="D32" i="25585"/>
  <c r="D20" i="25585"/>
  <c r="D33" i="25585"/>
  <c r="C20" i="25585"/>
  <c r="D39" i="25585"/>
  <c r="F28" i="25585"/>
  <c r="E38" i="25585"/>
  <c r="C14" i="25585"/>
  <c r="F22" i="25585"/>
  <c r="C22" i="25585"/>
  <c r="C44" i="25585"/>
  <c r="F35" i="25585"/>
  <c r="C23" i="25585"/>
  <c r="F23" i="25585"/>
  <c r="F33" i="25586"/>
  <c r="C17" i="25586"/>
  <c r="D21" i="25586"/>
  <c r="E43" i="25586"/>
  <c r="E44" i="25586"/>
  <c r="F48" i="25586"/>
  <c r="D22" i="25586"/>
  <c r="E41" i="25586"/>
  <c r="D44" i="25586"/>
  <c r="D42" i="25586"/>
  <c r="F40" i="25586"/>
  <c r="D58" i="25584"/>
  <c r="C61" i="25583"/>
  <c r="D67" i="25583"/>
  <c r="G62" i="25583"/>
  <c r="E62" i="25583"/>
  <c r="C67" i="25583"/>
  <c r="J60" i="1"/>
  <c r="C259" i="3"/>
  <c r="C255" i="3"/>
  <c r="C254" i="3"/>
  <c r="C261" i="3"/>
  <c r="C258" i="3"/>
  <c r="D62" i="25582"/>
  <c r="G67" i="25582"/>
  <c r="F67" i="25582"/>
  <c r="D61" i="25583"/>
  <c r="D66" i="25583"/>
  <c r="F63" i="25583"/>
  <c r="D61" i="25584"/>
  <c r="D60" i="25584"/>
  <c r="E63" i="25583"/>
  <c r="C65" i="25583"/>
  <c r="C65" i="25582"/>
  <c r="C63" i="25583"/>
  <c r="E65" i="25582"/>
  <c r="C62" i="25582"/>
  <c r="D63" i="25583"/>
  <c r="G60" i="25584"/>
  <c r="E67" i="25583"/>
  <c r="C60" i="25584"/>
  <c r="D67" i="25582"/>
  <c r="G62" i="25582"/>
  <c r="C56" i="25584"/>
  <c r="D33" i="40"/>
  <c r="F45" i="40"/>
  <c r="E27" i="40"/>
  <c r="E31" i="40"/>
  <c r="E30" i="40"/>
  <c r="E34" i="40"/>
  <c r="E36" i="40"/>
  <c r="G49" i="40"/>
  <c r="E28" i="40"/>
  <c r="E26" i="40"/>
  <c r="F22" i="40"/>
  <c r="D11" i="40"/>
  <c r="G134" i="40"/>
  <c r="F146" i="40"/>
  <c r="E102" i="40"/>
  <c r="G102" i="40"/>
  <c r="F114" i="40"/>
  <c r="G126" i="40"/>
  <c r="D103" i="40"/>
  <c r="F102" i="40"/>
  <c r="E95" i="40"/>
  <c r="G95" i="40"/>
  <c r="F107" i="40"/>
  <c r="F95" i="40"/>
  <c r="G119" i="40"/>
  <c r="C48" i="40"/>
  <c r="F48" i="40"/>
  <c r="G72" i="40"/>
  <c r="F60" i="40"/>
  <c r="E92" i="40"/>
  <c r="E63" i="40"/>
  <c r="E67" i="40"/>
  <c r="E62" i="40"/>
  <c r="C61" i="40"/>
  <c r="E68" i="40"/>
  <c r="E72" i="40"/>
  <c r="E71" i="40"/>
  <c r="E48" i="40"/>
  <c r="E32" i="40"/>
  <c r="G144" i="40"/>
  <c r="C144" i="40"/>
  <c r="F144" i="40"/>
  <c r="E144" i="40"/>
  <c r="D144" i="40"/>
  <c r="F53" i="40"/>
  <c r="C14" i="40"/>
  <c r="D15" i="40"/>
  <c r="D48" i="40"/>
  <c r="G88" i="40"/>
  <c r="C64" i="40"/>
  <c r="D64" i="40"/>
  <c r="E64" i="40"/>
  <c r="G64" i="40"/>
  <c r="F64" i="40"/>
  <c r="G142" i="40"/>
  <c r="E142" i="40"/>
  <c r="D143" i="40"/>
  <c r="C142" i="40"/>
  <c r="F142" i="40"/>
  <c r="C134" i="40"/>
  <c r="F134" i="40"/>
  <c r="F92" i="40"/>
  <c r="C92" i="40"/>
  <c r="G92" i="40"/>
  <c r="C10" i="40"/>
  <c r="E134" i="40"/>
  <c r="C136" i="40"/>
  <c r="C40" i="40"/>
  <c r="F52" i="40"/>
  <c r="D123" i="40"/>
  <c r="F66" i="40"/>
  <c r="E115" i="40"/>
  <c r="G123" i="40"/>
  <c r="E18" i="40"/>
  <c r="F101" i="40"/>
  <c r="E83" i="40"/>
  <c r="F148" i="40"/>
  <c r="F70" i="40"/>
  <c r="D135" i="40"/>
  <c r="G128" i="40"/>
  <c r="D128" i="40"/>
  <c r="G65" i="40"/>
  <c r="C132" i="40"/>
  <c r="C146" i="40"/>
  <c r="C16" i="40"/>
  <c r="C120" i="40"/>
  <c r="C126" i="40"/>
  <c r="C55" i="40"/>
  <c r="C71" i="40"/>
  <c r="C114" i="40"/>
  <c r="C104" i="40"/>
  <c r="C63" i="40"/>
  <c r="C51" i="40"/>
  <c r="C22" i="40"/>
  <c r="C78" i="40"/>
  <c r="C87" i="40"/>
  <c r="C73" i="40"/>
  <c r="C99" i="40"/>
  <c r="C59" i="40"/>
  <c r="F98" i="40"/>
  <c r="C98" i="40"/>
  <c r="E98" i="40"/>
  <c r="E91" i="40"/>
  <c r="F91" i="40"/>
  <c r="C91" i="40"/>
  <c r="G115" i="40"/>
  <c r="E70" i="40"/>
  <c r="E22" i="40"/>
  <c r="E23" i="40"/>
  <c r="G122" i="40"/>
  <c r="G140" i="40"/>
  <c r="E118" i="40"/>
  <c r="E19" i="40"/>
  <c r="D55" i="40"/>
  <c r="E29" i="40"/>
  <c r="E40" i="40"/>
  <c r="C116" i="40"/>
  <c r="G143" i="40"/>
  <c r="D120" i="40"/>
  <c r="C20" i="40"/>
  <c r="E20" i="40"/>
  <c r="E66" i="40"/>
  <c r="E110" i="40"/>
  <c r="G147" i="40"/>
  <c r="C83" i="40"/>
  <c r="D99" i="40"/>
  <c r="D136" i="40"/>
  <c r="D116" i="40"/>
  <c r="F40" i="40"/>
  <c r="E123" i="40"/>
  <c r="F75" i="40"/>
  <c r="G75" i="40"/>
  <c r="D51" i="40"/>
  <c r="G50" i="40"/>
  <c r="G74" i="40"/>
  <c r="C35" i="40"/>
  <c r="F35" i="40"/>
  <c r="E35" i="40"/>
  <c r="G51" i="40"/>
  <c r="C27" i="40"/>
  <c r="E120" i="40"/>
  <c r="G136" i="40"/>
  <c r="F110" i="40"/>
  <c r="F130" i="40"/>
  <c r="G130" i="40"/>
  <c r="D131" i="40"/>
  <c r="C130" i="40"/>
  <c r="E130" i="40"/>
  <c r="C103" i="40"/>
  <c r="F103" i="40"/>
  <c r="D104" i="40"/>
  <c r="G127" i="40"/>
  <c r="D96" i="40"/>
  <c r="C56" i="40"/>
  <c r="D56" i="40"/>
  <c r="F56" i="40"/>
  <c r="E56" i="40"/>
  <c r="D34" i="40"/>
  <c r="G34" i="40"/>
  <c r="F64" i="25584"/>
  <c r="E10" i="25584"/>
  <c r="D30" i="25584"/>
  <c r="D17" i="25584"/>
  <c r="E59" i="25584"/>
  <c r="D38" i="25584"/>
  <c r="D56" i="25584"/>
  <c r="F27" i="25584"/>
  <c r="C18" i="25584"/>
  <c r="D49" i="25584"/>
  <c r="G48" i="25584"/>
  <c r="F28" i="25584"/>
  <c r="E46" i="25584"/>
  <c r="D20" i="25584"/>
  <c r="C33" i="25584"/>
  <c r="F20" i="25584"/>
  <c r="G56" i="25584"/>
  <c r="F32" i="25584"/>
  <c r="C37" i="25584"/>
  <c r="F29" i="25584"/>
  <c r="G32" i="25584"/>
  <c r="D48" i="25584"/>
  <c r="C52" i="25584"/>
  <c r="D33" i="25584"/>
  <c r="E25" i="25584"/>
  <c r="F51" i="25584"/>
  <c r="G40" i="25584"/>
  <c r="G33" i="25584"/>
  <c r="D25" i="25584"/>
  <c r="E43" i="25584"/>
  <c r="F33" i="25584"/>
  <c r="E53" i="25584"/>
  <c r="C50" i="25584"/>
  <c r="D57" i="25584"/>
  <c r="E57" i="25584"/>
  <c r="E45" i="25584"/>
  <c r="F52" i="25584"/>
  <c r="C10" i="25584"/>
  <c r="C32" i="25584"/>
  <c r="D28" i="25584"/>
  <c r="C62" i="25584"/>
  <c r="E62" i="25584"/>
  <c r="F45" i="25584"/>
  <c r="F63" i="25584"/>
  <c r="F41" i="25584"/>
  <c r="F58" i="25584"/>
  <c r="F30" i="25584"/>
  <c r="E29" i="25584"/>
  <c r="D40" i="25584"/>
  <c r="G37" i="25584"/>
  <c r="E44" i="25584"/>
  <c r="C23" i="25584"/>
  <c r="C48" i="25584"/>
  <c r="F60" i="25584"/>
  <c r="E63" i="25584"/>
  <c r="F57" i="25584"/>
  <c r="F55" i="25584"/>
  <c r="D46" i="25584"/>
  <c r="D27" i="25584"/>
  <c r="D55" i="25584"/>
  <c r="E55" i="25584"/>
  <c r="D59" i="25584"/>
  <c r="G44" i="25584"/>
  <c r="E37" i="25584"/>
  <c r="D21" i="25584"/>
  <c r="C29" i="25584"/>
  <c r="E58" i="25584"/>
  <c r="C43" i="25584"/>
  <c r="F46" i="25584"/>
  <c r="E48" i="25584"/>
  <c r="D34" i="25584"/>
  <c r="F37" i="25584"/>
  <c r="C59" i="25584"/>
  <c r="D10" i="25584"/>
  <c r="E18" i="25584"/>
  <c r="E27" i="25584"/>
  <c r="F59" i="25584"/>
  <c r="C55" i="25584"/>
  <c r="D11" i="25584"/>
  <c r="E56" i="25584"/>
  <c r="C63" i="25584"/>
  <c r="E61" i="25584"/>
  <c r="C20" i="25584"/>
  <c r="G57" i="25584"/>
  <c r="E32" i="25584"/>
  <c r="D44" i="25584"/>
  <c r="G63" i="25584"/>
  <c r="F53" i="25583"/>
  <c r="C10" i="25583"/>
  <c r="F37" i="25583"/>
  <c r="G60" i="25583"/>
  <c r="G58" i="25583"/>
  <c r="D41" i="25583"/>
  <c r="D22" i="25583"/>
  <c r="D55" i="25583"/>
  <c r="D10" i="25583"/>
  <c r="F67" i="25583"/>
  <c r="G65" i="25583"/>
  <c r="G61" i="25583"/>
  <c r="E25" i="25583"/>
  <c r="D53" i="25583"/>
  <c r="F25" i="25583"/>
  <c r="C53" i="25583"/>
  <c r="D34" i="25583"/>
  <c r="D18" i="25583"/>
  <c r="E46" i="25583"/>
  <c r="F49" i="25583"/>
  <c r="C58" i="25583"/>
  <c r="E43" i="25583"/>
  <c r="D42" i="25583"/>
  <c r="E19" i="25583"/>
  <c r="D52" i="25583"/>
  <c r="E55" i="25583"/>
  <c r="G38" i="25583"/>
  <c r="C25" i="25583"/>
  <c r="D9" i="25583"/>
  <c r="F65" i="25583"/>
  <c r="D64" i="25583"/>
  <c r="G53" i="25583"/>
  <c r="E53" i="25583"/>
  <c r="E58" i="25583"/>
  <c r="F22" i="25583"/>
  <c r="E52" i="25583"/>
  <c r="G42" i="25583"/>
  <c r="D58" i="25583"/>
  <c r="D21" i="25583"/>
  <c r="D47" i="25583"/>
  <c r="D15" i="25583"/>
  <c r="F31" i="25583"/>
  <c r="C21" i="25583"/>
  <c r="C64" i="25583"/>
  <c r="G64" i="25583"/>
  <c r="D29" i="25583"/>
  <c r="G41" i="25583"/>
  <c r="E36" i="25583"/>
  <c r="F48" i="25583"/>
  <c r="F41" i="25583"/>
  <c r="G34" i="25583"/>
  <c r="D65" i="25583"/>
  <c r="G33" i="25583"/>
  <c r="F28" i="25583"/>
  <c r="D11" i="25583"/>
  <c r="C9" i="25583"/>
  <c r="C52" i="25583"/>
  <c r="C18" i="25583"/>
  <c r="G37" i="25583"/>
  <c r="G56" i="25583"/>
  <c r="D57" i="25583"/>
  <c r="F55" i="25583"/>
  <c r="E33" i="25583"/>
  <c r="G36" i="25583"/>
  <c r="F64" i="25583"/>
  <c r="G57" i="25583"/>
  <c r="F30" i="25583"/>
  <c r="C36" i="25583"/>
  <c r="E41" i="25583"/>
  <c r="G67" i="25583"/>
  <c r="C62" i="25583"/>
  <c r="D44" i="25583"/>
  <c r="F40" i="25583"/>
  <c r="E68" i="25582"/>
  <c r="E11" i="25582"/>
  <c r="F42" i="25582"/>
  <c r="D41" i="25582"/>
  <c r="D21" i="25582"/>
  <c r="D15" i="25582"/>
  <c r="D17" i="25582"/>
  <c r="E46" i="25582"/>
  <c r="C64" i="25582"/>
  <c r="C52" i="25582"/>
  <c r="C51" i="25582"/>
  <c r="C17" i="25582"/>
  <c r="D45" i="25582"/>
  <c r="G54" i="25582"/>
  <c r="F57" i="25582"/>
  <c r="F45" i="25582"/>
  <c r="E14" i="25582"/>
  <c r="F59" i="25582"/>
  <c r="D10" i="25582"/>
  <c r="C31" i="25582"/>
  <c r="E13" i="25582"/>
  <c r="E25" i="25582"/>
  <c r="E60" i="25582"/>
  <c r="C19" i="25582"/>
  <c r="E51" i="25582"/>
  <c r="D54" i="25582"/>
  <c r="D16" i="25582"/>
  <c r="E23" i="25582"/>
  <c r="F55" i="25582"/>
  <c r="D35" i="25582"/>
  <c r="D46" i="25582"/>
  <c r="C63" i="25582"/>
  <c r="C18" i="25582"/>
  <c r="C28" i="25582"/>
  <c r="D18" i="25582"/>
  <c r="C15" i="25582"/>
  <c r="F20" i="25582"/>
  <c r="D25" i="25582"/>
  <c r="C30" i="25582"/>
  <c r="D40" i="25582"/>
  <c r="F52" i="25582"/>
  <c r="G40" i="25582"/>
  <c r="C66" i="25582"/>
  <c r="C59" i="25582"/>
  <c r="D30" i="25582"/>
  <c r="F58" i="25582"/>
  <c r="D61" i="25582"/>
  <c r="C26" i="25582"/>
  <c r="F21" i="25582"/>
  <c r="C49" i="25582"/>
  <c r="D47" i="25582"/>
  <c r="C67" i="25582"/>
  <c r="E67" i="25582"/>
  <c r="C42" i="25582"/>
  <c r="G59" i="25582"/>
  <c r="F27" i="25582"/>
  <c r="D49" i="25582"/>
  <c r="E30" i="25582"/>
  <c r="G36" i="25582"/>
  <c r="F51" i="25582"/>
  <c r="G53" i="25582"/>
  <c r="F40" i="25582"/>
  <c r="C20" i="25582"/>
  <c r="E22" i="25582"/>
  <c r="G46" i="25582"/>
  <c r="C61" i="25582"/>
  <c r="E10" i="25582"/>
  <c r="C29" i="25582"/>
  <c r="C12" i="25582"/>
  <c r="D27" i="25582"/>
  <c r="G49" i="25582"/>
  <c r="G65" i="25582"/>
  <c r="F64" i="25582"/>
  <c r="C21" i="25582"/>
  <c r="F25" i="25582"/>
  <c r="D51" i="25582"/>
  <c r="E20" i="25582"/>
  <c r="F39" i="25582"/>
  <c r="D22" i="25582"/>
  <c r="G43" i="25582"/>
  <c r="D60" i="25582"/>
  <c r="G51" i="25582"/>
  <c r="D39" i="25582"/>
  <c r="E29" i="25582"/>
  <c r="C23" i="25582"/>
  <c r="G35" i="25582"/>
  <c r="G58" i="25582"/>
  <c r="C22" i="25582"/>
  <c r="C33" i="25582"/>
  <c r="F60" i="25582"/>
  <c r="C10" i="25582"/>
  <c r="C60" i="25582"/>
  <c r="C43" i="25582"/>
  <c r="F33" i="25582"/>
  <c r="D34" i="25582"/>
  <c r="F37" i="25582"/>
  <c r="G45" i="25582"/>
  <c r="D52" i="25582"/>
  <c r="G44" i="25582"/>
  <c r="G39" i="25582"/>
  <c r="C44" i="25582"/>
  <c r="C40" i="25582"/>
  <c r="G32" i="25582"/>
  <c r="E62" i="25582"/>
  <c r="D59" i="25582"/>
  <c r="E53" i="25582"/>
  <c r="E63" i="25582"/>
  <c r="C54" i="25582"/>
  <c r="E34" i="25582"/>
  <c r="F32" i="25582"/>
  <c r="C48" i="25582"/>
  <c r="F50" i="25585"/>
  <c r="D17" i="25585"/>
  <c r="D11" i="25585"/>
  <c r="D38" i="25585"/>
  <c r="E26" i="25585"/>
  <c r="E49" i="25585"/>
  <c r="D46" i="25585"/>
  <c r="C27" i="25585"/>
  <c r="F27" i="25585"/>
  <c r="E28" i="25585"/>
  <c r="C21" i="25585"/>
  <c r="E42" i="25585"/>
  <c r="C43" i="25585"/>
  <c r="D29" i="25585"/>
  <c r="E43" i="25585"/>
  <c r="F49" i="25585"/>
  <c r="D22" i="25585"/>
  <c r="E36" i="25585"/>
  <c r="E15" i="25585"/>
  <c r="C17" i="25585"/>
  <c r="E35" i="25585"/>
  <c r="D9" i="25585"/>
  <c r="E47" i="25585"/>
  <c r="E45" i="25585"/>
  <c r="E17" i="25585"/>
  <c r="D23" i="25585"/>
  <c r="D42" i="25585"/>
  <c r="F38" i="25585"/>
  <c r="F41" i="25585"/>
  <c r="C46" i="25585"/>
  <c r="C37" i="25585"/>
  <c r="C49" i="25585"/>
  <c r="E31" i="25585"/>
  <c r="C9" i="25585"/>
  <c r="E19" i="25585"/>
  <c r="F43" i="25585"/>
  <c r="E40" i="25585"/>
  <c r="E25" i="25585"/>
  <c r="D45" i="25585"/>
  <c r="D18" i="25585"/>
  <c r="E22" i="25585"/>
  <c r="E48" i="25585"/>
  <c r="F26" i="25585"/>
  <c r="D24" i="25585"/>
  <c r="F47" i="25585"/>
  <c r="D48" i="25585"/>
  <c r="D41" i="25585"/>
  <c r="D37" i="25585"/>
  <c r="E10" i="25585"/>
  <c r="C41" i="25585"/>
  <c r="E27" i="25585"/>
  <c r="E30" i="25585"/>
  <c r="D47" i="25585"/>
  <c r="F42" i="25585"/>
  <c r="D15" i="25585"/>
  <c r="C30" i="25585"/>
  <c r="D30" i="25585"/>
  <c r="D31" i="25585"/>
  <c r="D28" i="25585"/>
  <c r="F33" i="25585"/>
  <c r="D21" i="25585"/>
  <c r="F39" i="25585"/>
  <c r="F50" i="25586"/>
  <c r="D28" i="25586"/>
  <c r="F38" i="25586"/>
  <c r="F23" i="25586"/>
  <c r="D37" i="25586"/>
  <c r="E38" i="25586"/>
  <c r="D30" i="25586"/>
  <c r="E21" i="25586"/>
  <c r="E32" i="25586"/>
  <c r="C23" i="25586"/>
  <c r="E36" i="25586"/>
  <c r="F21" i="25586"/>
  <c r="E28" i="25586"/>
  <c r="D17" i="25586"/>
  <c r="C9" i="25586"/>
  <c r="E34" i="25586"/>
  <c r="D47" i="25586"/>
  <c r="F37" i="25586"/>
  <c r="D15" i="25586"/>
  <c r="D46" i="25586"/>
  <c r="D48" i="25586"/>
  <c r="D12" i="25586"/>
  <c r="E15" i="25586"/>
  <c r="B56" i="25598"/>
  <c r="B55" i="25598"/>
  <c r="B54" i="25598"/>
  <c r="B53" i="25598"/>
  <c r="B52" i="25598"/>
  <c r="B51" i="25598"/>
  <c r="B50" i="25598"/>
  <c r="B49" i="25598"/>
  <c r="B48" i="25598"/>
  <c r="B47" i="25598"/>
  <c r="B46" i="25598"/>
  <c r="B45" i="25598"/>
  <c r="B44" i="25598"/>
  <c r="B43" i="25598"/>
  <c r="B42" i="25598"/>
  <c r="B41" i="25598"/>
  <c r="B40" i="25598"/>
  <c r="D40" i="25598" s="1"/>
  <c r="B39" i="25598"/>
  <c r="B38" i="25598"/>
  <c r="B37" i="25598"/>
  <c r="B36" i="25598"/>
  <c r="B35" i="25598"/>
  <c r="B34" i="25598"/>
  <c r="B33" i="25598"/>
  <c r="B32" i="25598"/>
  <c r="B31" i="25598"/>
  <c r="B30" i="25598"/>
  <c r="B29" i="25598"/>
  <c r="B28" i="25598"/>
  <c r="B27" i="25598"/>
  <c r="F39" i="25598" s="1"/>
  <c r="B26" i="25598"/>
  <c r="B25" i="25598"/>
  <c r="B24" i="25598"/>
  <c r="B23" i="25598"/>
  <c r="B22" i="25598"/>
  <c r="G46" i="25598" s="1"/>
  <c r="B21" i="25598"/>
  <c r="B20" i="25598"/>
  <c r="B19" i="25598"/>
  <c r="B18" i="25598"/>
  <c r="B17" i="25598"/>
  <c r="B16" i="25598"/>
  <c r="B15" i="25598"/>
  <c r="G39" i="25598" s="1"/>
  <c r="B14" i="25598"/>
  <c r="B13" i="25598"/>
  <c r="B12" i="25598"/>
  <c r="B11" i="25598"/>
  <c r="B10" i="25598"/>
  <c r="B9" i="25598"/>
  <c r="B8" i="25598"/>
  <c r="B7" i="25598"/>
  <c r="G31" i="25598" s="1"/>
  <c r="B6" i="25598"/>
  <c r="B5" i="25598"/>
  <c r="B4" i="25598"/>
  <c r="B73" i="25597"/>
  <c r="B72" i="25597"/>
  <c r="D72" i="25597" s="1"/>
  <c r="B71" i="25597"/>
  <c r="B70" i="25597"/>
  <c r="E71" i="25597" s="1"/>
  <c r="B69" i="25597"/>
  <c r="B68" i="25597"/>
  <c r="B67" i="25597"/>
  <c r="B65" i="25597"/>
  <c r="B64" i="25597"/>
  <c r="B63" i="25597"/>
  <c r="B62" i="25597"/>
  <c r="B61" i="25597"/>
  <c r="B60" i="25597"/>
  <c r="B59" i="25597"/>
  <c r="B58" i="25597"/>
  <c r="B57" i="25597"/>
  <c r="B56" i="25597"/>
  <c r="B55" i="25597"/>
  <c r="B54" i="25597"/>
  <c r="B53" i="25597"/>
  <c r="B52" i="25597"/>
  <c r="B51" i="25597"/>
  <c r="B50" i="25597"/>
  <c r="B49" i="25597"/>
  <c r="B48" i="25597"/>
  <c r="B47" i="25597"/>
  <c r="B46" i="25597"/>
  <c r="B45" i="25597"/>
  <c r="B44" i="25597"/>
  <c r="B43" i="25597"/>
  <c r="B42" i="25597"/>
  <c r="B41" i="25597"/>
  <c r="B40" i="25597"/>
  <c r="B39" i="25597"/>
  <c r="B38" i="25597"/>
  <c r="B37" i="25597"/>
  <c r="B36" i="25597"/>
  <c r="B35" i="25597"/>
  <c r="B34" i="25597"/>
  <c r="F46" i="25597" s="1"/>
  <c r="B33" i="25597"/>
  <c r="B32" i="25597"/>
  <c r="B31" i="25597"/>
  <c r="B30" i="25597"/>
  <c r="B29" i="25597"/>
  <c r="B28" i="25597"/>
  <c r="B27" i="25597"/>
  <c r="B26" i="25597"/>
  <c r="B25" i="25597"/>
  <c r="B24" i="25597"/>
  <c r="F36" i="25597" s="1"/>
  <c r="B23" i="25597"/>
  <c r="B22" i="25597"/>
  <c r="B21" i="25597"/>
  <c r="F33" i="25597" s="1"/>
  <c r="B20" i="25597"/>
  <c r="B19" i="25597"/>
  <c r="B18" i="25597"/>
  <c r="B17" i="25597"/>
  <c r="D17" i="25597" s="1"/>
  <c r="B16" i="25597"/>
  <c r="B15" i="25597"/>
  <c r="B14" i="25597"/>
  <c r="B13" i="25597"/>
  <c r="B12" i="25597"/>
  <c r="B11" i="25597"/>
  <c r="B10" i="25597"/>
  <c r="B9" i="25597"/>
  <c r="B8" i="25597"/>
  <c r="B7" i="25597"/>
  <c r="B6" i="25597"/>
  <c r="C71" i="25597" s="1"/>
  <c r="B5" i="25597"/>
  <c r="B73" i="25596"/>
  <c r="B72" i="25596"/>
  <c r="B71" i="25596"/>
  <c r="B70" i="25596"/>
  <c r="B69" i="25596"/>
  <c r="B68" i="25596"/>
  <c r="B67" i="25596"/>
  <c r="B66" i="25596"/>
  <c r="B65" i="25596"/>
  <c r="B64" i="25596"/>
  <c r="B63" i="25596"/>
  <c r="B62" i="25596"/>
  <c r="B61" i="25596"/>
  <c r="B60" i="25596"/>
  <c r="B59" i="25596"/>
  <c r="B58" i="25596"/>
  <c r="B57" i="25596"/>
  <c r="F69" i="25596" s="1"/>
  <c r="B56" i="25596"/>
  <c r="B55" i="25596"/>
  <c r="H55" i="25596" s="1"/>
  <c r="B54" i="25596"/>
  <c r="B53" i="25596"/>
  <c r="B52" i="25596"/>
  <c r="H52" i="25596" s="1"/>
  <c r="B51" i="25596"/>
  <c r="B50" i="25596"/>
  <c r="B49" i="25596"/>
  <c r="B48" i="25596"/>
  <c r="B47" i="25596"/>
  <c r="B46" i="25596"/>
  <c r="H46" i="25596" s="1"/>
  <c r="B45" i="25596"/>
  <c r="B44" i="25596"/>
  <c r="B43" i="25596"/>
  <c r="B42" i="25596"/>
  <c r="B41" i="25596"/>
  <c r="B40" i="25596"/>
  <c r="B39" i="25596"/>
  <c r="B38" i="25596"/>
  <c r="B37" i="25596"/>
  <c r="B36" i="25596"/>
  <c r="B35" i="25596"/>
  <c r="D36" i="25596" s="1"/>
  <c r="B34" i="25596"/>
  <c r="E36" i="25596" s="1"/>
  <c r="B33" i="25596"/>
  <c r="B32" i="25596"/>
  <c r="B31" i="25596"/>
  <c r="B30" i="25596"/>
  <c r="B29" i="25596"/>
  <c r="B28" i="25596"/>
  <c r="B27" i="25596"/>
  <c r="B26" i="25596"/>
  <c r="B25" i="25596"/>
  <c r="E25" i="25596" s="1"/>
  <c r="B24" i="25596"/>
  <c r="F36" i="25596" s="1"/>
  <c r="B23" i="25596"/>
  <c r="B22" i="25596"/>
  <c r="B21" i="25596"/>
  <c r="B20" i="25596"/>
  <c r="B19" i="25596"/>
  <c r="B18" i="25596"/>
  <c r="H17" i="25596"/>
  <c r="B17" i="25596"/>
  <c r="B16" i="25596"/>
  <c r="B15" i="25596"/>
  <c r="H14" i="25596"/>
  <c r="B14" i="25596"/>
  <c r="D14" i="25596" s="1"/>
  <c r="B13" i="25596"/>
  <c r="B12" i="25596"/>
  <c r="G36" i="25596" s="1"/>
  <c r="B11" i="25596"/>
  <c r="B10" i="25596"/>
  <c r="B9" i="25596"/>
  <c r="B8" i="25596"/>
  <c r="B7" i="25596"/>
  <c r="B6" i="25596"/>
  <c r="B5" i="25596"/>
  <c r="C44" i="25596" s="1"/>
  <c r="B73" i="25595"/>
  <c r="B72" i="25595"/>
  <c r="B71" i="25595"/>
  <c r="B70" i="25595"/>
  <c r="B69" i="25595"/>
  <c r="B68" i="25595"/>
  <c r="B67" i="25595"/>
  <c r="B66" i="25595"/>
  <c r="B65" i="25595"/>
  <c r="B64" i="25595"/>
  <c r="B63" i="25595"/>
  <c r="E63" i="25595" s="1"/>
  <c r="B62" i="25595"/>
  <c r="B61" i="25595"/>
  <c r="B60" i="25595"/>
  <c r="B59" i="25595"/>
  <c r="B58" i="25595"/>
  <c r="E70" i="25595" s="1"/>
  <c r="B57" i="25595"/>
  <c r="B56" i="25595"/>
  <c r="B55" i="25595"/>
  <c r="B54" i="25595"/>
  <c r="B53" i="25595"/>
  <c r="B52" i="25595"/>
  <c r="B51" i="25595"/>
  <c r="B50" i="25595"/>
  <c r="B49" i="25595"/>
  <c r="B48" i="25595"/>
  <c r="B47" i="25595"/>
  <c r="B46" i="25595"/>
  <c r="D47" i="25595" s="1"/>
  <c r="B45" i="25595"/>
  <c r="B44" i="25595"/>
  <c r="B43" i="25595"/>
  <c r="B42" i="25595"/>
  <c r="B41" i="25595"/>
  <c r="B40" i="25595"/>
  <c r="B39" i="25595"/>
  <c r="B38" i="25595"/>
  <c r="B37" i="25595"/>
  <c r="B36" i="25595"/>
  <c r="B35" i="25595"/>
  <c r="B34" i="25595"/>
  <c r="B33" i="25595"/>
  <c r="B32" i="25595"/>
  <c r="B31" i="25595"/>
  <c r="B30" i="25595"/>
  <c r="B29" i="25595"/>
  <c r="B28" i="25595"/>
  <c r="B27" i="25595"/>
  <c r="B26" i="25595"/>
  <c r="B25" i="25595"/>
  <c r="B24" i="25595"/>
  <c r="B23" i="25595"/>
  <c r="B22" i="25595"/>
  <c r="B21" i="25595"/>
  <c r="F33" i="25595" s="1"/>
  <c r="B20" i="25595"/>
  <c r="B19" i="25595"/>
  <c r="B18" i="25595"/>
  <c r="B17" i="25595"/>
  <c r="B16" i="25595"/>
  <c r="B15" i="25595"/>
  <c r="B14" i="25595"/>
  <c r="B13" i="25595"/>
  <c r="B12" i="25595"/>
  <c r="B11" i="25595"/>
  <c r="B10" i="25595"/>
  <c r="E18" i="25595" s="1"/>
  <c r="B9" i="25595"/>
  <c r="B8" i="25595"/>
  <c r="F20" i="25595" s="1"/>
  <c r="B7" i="25595"/>
  <c r="B6" i="25595"/>
  <c r="C63" i="25595" s="1"/>
  <c r="B5" i="25595"/>
  <c r="B73" i="25594"/>
  <c r="H60" i="25594" s="1"/>
  <c r="B72" i="25594"/>
  <c r="B71" i="25594"/>
  <c r="B70" i="25594"/>
  <c r="B69" i="25594"/>
  <c r="B68" i="25594"/>
  <c r="B67" i="25594"/>
  <c r="B66" i="25594"/>
  <c r="B65" i="25594"/>
  <c r="B64" i="25594"/>
  <c r="B63" i="25594"/>
  <c r="B62" i="25594"/>
  <c r="B61" i="25594"/>
  <c r="D62" i="25594" s="1"/>
  <c r="B60" i="25594"/>
  <c r="B59" i="25594"/>
  <c r="B58" i="25594"/>
  <c r="B57" i="25594"/>
  <c r="B56" i="25594"/>
  <c r="B55" i="25594"/>
  <c r="F67" i="25594" s="1"/>
  <c r="B54" i="25594"/>
  <c r="B53" i="25594"/>
  <c r="B52" i="25594"/>
  <c r="B51" i="25594"/>
  <c r="B50" i="25594"/>
  <c r="B49" i="25594"/>
  <c r="B48" i="25594"/>
  <c r="B47" i="25594"/>
  <c r="B46" i="25594"/>
  <c r="B45" i="25594"/>
  <c r="B44" i="25594"/>
  <c r="B43" i="25594"/>
  <c r="B42" i="25594"/>
  <c r="B41" i="25594"/>
  <c r="B40" i="25594"/>
  <c r="B39" i="25594"/>
  <c r="B38" i="25594"/>
  <c r="B37" i="25594"/>
  <c r="B36" i="25594"/>
  <c r="B35" i="25594"/>
  <c r="B34" i="25594"/>
  <c r="B33" i="25594"/>
  <c r="B32" i="25594"/>
  <c r="B31" i="25594"/>
  <c r="B30" i="25594"/>
  <c r="B29" i="25594"/>
  <c r="B28" i="25594"/>
  <c r="G52" i="25594" s="1"/>
  <c r="B27" i="25594"/>
  <c r="B26" i="25594"/>
  <c r="B25" i="25594"/>
  <c r="B24" i="25594"/>
  <c r="B23" i="25594"/>
  <c r="B22" i="25594"/>
  <c r="F34" i="25594" s="1"/>
  <c r="B21" i="25594"/>
  <c r="B20" i="25594"/>
  <c r="B19" i="25594"/>
  <c r="B18" i="25594"/>
  <c r="B17" i="25594"/>
  <c r="F29" i="25594" s="1"/>
  <c r="B16" i="25594"/>
  <c r="B15" i="25594"/>
  <c r="B14" i="25594"/>
  <c r="B13" i="25594"/>
  <c r="B12" i="25594"/>
  <c r="B11" i="25594"/>
  <c r="B10" i="25594"/>
  <c r="E17" i="25594" s="1"/>
  <c r="B9" i="25594"/>
  <c r="B8" i="25594"/>
  <c r="B7" i="25594"/>
  <c r="B6" i="25594"/>
  <c r="D6" i="25594" s="1"/>
  <c r="B5" i="25594"/>
  <c r="B108" i="25593"/>
  <c r="B107" i="25593"/>
  <c r="B106" i="25593"/>
  <c r="B105" i="25593"/>
  <c r="B104" i="25593"/>
  <c r="B103" i="25593"/>
  <c r="B102" i="25593"/>
  <c r="B101" i="25593"/>
  <c r="B100" i="25593"/>
  <c r="B99" i="25593"/>
  <c r="B98" i="25593"/>
  <c r="B97" i="25593"/>
  <c r="B96" i="25593"/>
  <c r="B95" i="25593"/>
  <c r="B94" i="25593"/>
  <c r="B93" i="25593"/>
  <c r="B92" i="25593"/>
  <c r="B91" i="25593"/>
  <c r="B90" i="25593"/>
  <c r="B89" i="25593"/>
  <c r="B88" i="25593"/>
  <c r="B87" i="25593"/>
  <c r="F99" i="25593" s="1"/>
  <c r="B86" i="25593"/>
  <c r="B85" i="25593"/>
  <c r="B84" i="25593"/>
  <c r="B83" i="25593"/>
  <c r="B82" i="25593"/>
  <c r="B81" i="25593"/>
  <c r="B80" i="25593"/>
  <c r="B79" i="25593"/>
  <c r="B78" i="25593"/>
  <c r="D78" i="25593" s="1"/>
  <c r="B77" i="25593"/>
  <c r="B76" i="25593"/>
  <c r="B75" i="25593"/>
  <c r="B74" i="25593"/>
  <c r="B73" i="25593"/>
  <c r="F85" i="25593" s="1"/>
  <c r="B72" i="25593"/>
  <c r="D73" i="25593" s="1"/>
  <c r="B71" i="25593"/>
  <c r="E79" i="25593" s="1"/>
  <c r="B70" i="25593"/>
  <c r="B69" i="25593"/>
  <c r="B68" i="25593"/>
  <c r="D69" i="25593" s="1"/>
  <c r="B67" i="25593"/>
  <c r="B66" i="25593"/>
  <c r="B65" i="25593"/>
  <c r="B64" i="25593"/>
  <c r="B63" i="25593"/>
  <c r="B62" i="25593"/>
  <c r="B61" i="25593"/>
  <c r="G85" i="25593" s="1"/>
  <c r="B60" i="25593"/>
  <c r="B59" i="25593"/>
  <c r="B58" i="25593"/>
  <c r="B57" i="25593"/>
  <c r="B56" i="25593"/>
  <c r="B55" i="25593"/>
  <c r="B54" i="25593"/>
  <c r="B53" i="25593"/>
  <c r="G77" i="25593" s="1"/>
  <c r="B52" i="25593"/>
  <c r="B51" i="25593"/>
  <c r="B50" i="25593"/>
  <c r="B49" i="25593"/>
  <c r="B48" i="25593"/>
  <c r="B47" i="25593"/>
  <c r="E47" i="25593" s="1"/>
  <c r="B46" i="25593"/>
  <c r="B45" i="25593"/>
  <c r="G69" i="25593" s="1"/>
  <c r="B44" i="25593"/>
  <c r="B43" i="25593"/>
  <c r="B42" i="25593"/>
  <c r="B41" i="25593"/>
  <c r="B40" i="25593"/>
  <c r="B39" i="25593"/>
  <c r="B38" i="25593"/>
  <c r="B37" i="25593"/>
  <c r="G61" i="25593" s="1"/>
  <c r="B36" i="25593"/>
  <c r="B35" i="25593"/>
  <c r="B34" i="25593"/>
  <c r="B33" i="25593"/>
  <c r="B32" i="25593"/>
  <c r="B31" i="25593"/>
  <c r="B30" i="25593"/>
  <c r="B29" i="25593"/>
  <c r="B28" i="25593"/>
  <c r="B27" i="25593"/>
  <c r="B26" i="25593"/>
  <c r="B25" i="25593"/>
  <c r="B24" i="25593"/>
  <c r="B23" i="25593"/>
  <c r="E23" i="25593" s="1"/>
  <c r="B22" i="25593"/>
  <c r="B21" i="25593"/>
  <c r="G45" i="25593" s="1"/>
  <c r="B20" i="25593"/>
  <c r="B19" i="25593"/>
  <c r="B18" i="25593"/>
  <c r="B17" i="25593"/>
  <c r="B16" i="25593"/>
  <c r="G40" i="25593" s="1"/>
  <c r="B15" i="25593"/>
  <c r="B14" i="25593"/>
  <c r="B13" i="25593"/>
  <c r="B12" i="25593"/>
  <c r="B11" i="25593"/>
  <c r="B10" i="25593"/>
  <c r="B9" i="25593"/>
  <c r="B8" i="25593"/>
  <c r="B7" i="25593"/>
  <c r="B6" i="25593"/>
  <c r="C72" i="25593" s="1"/>
  <c r="B5" i="25593"/>
  <c r="F17" i="25593" s="1"/>
  <c r="B137" i="25592"/>
  <c r="B73" i="25592"/>
  <c r="D38" i="9728" s="1"/>
  <c r="B72" i="25592"/>
  <c r="B71" i="25592"/>
  <c r="B70" i="25592"/>
  <c r="H69" i="25592"/>
  <c r="B69" i="25592"/>
  <c r="B68" i="25592"/>
  <c r="B67" i="25592"/>
  <c r="B66" i="25592"/>
  <c r="D66" i="25592" s="1"/>
  <c r="B65" i="25592"/>
  <c r="B64" i="25592"/>
  <c r="B63" i="25592"/>
  <c r="B62" i="25592"/>
  <c r="B61" i="25592"/>
  <c r="B60" i="25592"/>
  <c r="B59" i="25592"/>
  <c r="H59" i="25592" s="1"/>
  <c r="B58" i="25592"/>
  <c r="B57" i="25592"/>
  <c r="B56" i="25592"/>
  <c r="B55" i="25592"/>
  <c r="B54" i="25592"/>
  <c r="B53" i="25592"/>
  <c r="H53" i="25592" s="1"/>
  <c r="B52" i="25592"/>
  <c r="H52" i="25592" s="1"/>
  <c r="B51" i="25592"/>
  <c r="B50" i="25592"/>
  <c r="B49" i="25592"/>
  <c r="B48" i="25592"/>
  <c r="B47" i="25592"/>
  <c r="B46" i="25592"/>
  <c r="B45" i="25592"/>
  <c r="B44" i="25592"/>
  <c r="H44" i="25592" s="1"/>
  <c r="B43" i="25592"/>
  <c r="B42" i="25592"/>
  <c r="B41" i="25592"/>
  <c r="B40" i="25592"/>
  <c r="B39" i="25592"/>
  <c r="B38" i="25592"/>
  <c r="B37" i="25592"/>
  <c r="H37" i="25592" s="1"/>
  <c r="B36" i="25592"/>
  <c r="B35" i="25592"/>
  <c r="B34" i="25592"/>
  <c r="B33" i="25592"/>
  <c r="B32" i="25592"/>
  <c r="B31" i="25592"/>
  <c r="B30" i="25592"/>
  <c r="B29" i="25592"/>
  <c r="B28" i="25592"/>
  <c r="B27" i="25592"/>
  <c r="B26" i="25592"/>
  <c r="G50" i="25592" s="1"/>
  <c r="B25" i="25592"/>
  <c r="B24" i="25592"/>
  <c r="B23" i="25592"/>
  <c r="B22" i="25592"/>
  <c r="B21" i="25592"/>
  <c r="B20" i="25592"/>
  <c r="B19" i="25592"/>
  <c r="B18" i="25592"/>
  <c r="B17" i="25592"/>
  <c r="H17" i="25592" s="1"/>
  <c r="B16" i="25592"/>
  <c r="F28" i="25592" s="1"/>
  <c r="B15" i="25592"/>
  <c r="G39" i="25592" s="1"/>
  <c r="B14" i="25592"/>
  <c r="B13" i="25592"/>
  <c r="H13" i="25592" s="1"/>
  <c r="B12" i="25592"/>
  <c r="B11" i="25592"/>
  <c r="B10" i="25592"/>
  <c r="B9" i="25592"/>
  <c r="H9" i="25592" s="1"/>
  <c r="B8" i="25592"/>
  <c r="B7" i="25592"/>
  <c r="H7" i="25592" s="1"/>
  <c r="B6" i="25592"/>
  <c r="C57" i="25592" s="1"/>
  <c r="B5" i="25592"/>
  <c r="B56" i="25591"/>
  <c r="B55" i="25591"/>
  <c r="B54" i="25591"/>
  <c r="B53" i="25591"/>
  <c r="B52" i="25591"/>
  <c r="B51" i="25591"/>
  <c r="B50" i="25591"/>
  <c r="B49" i="25591"/>
  <c r="E52" i="25591" s="1"/>
  <c r="B48" i="25591"/>
  <c r="B47" i="25591"/>
  <c r="B46" i="25591"/>
  <c r="B45" i="25591"/>
  <c r="B44" i="25591"/>
  <c r="B43" i="25591"/>
  <c r="B42" i="25591"/>
  <c r="B41" i="25591"/>
  <c r="B40" i="25591"/>
  <c r="F52" i="25591" s="1"/>
  <c r="B39" i="25591"/>
  <c r="B38" i="25591"/>
  <c r="F50" i="25591" s="1"/>
  <c r="B37" i="25591"/>
  <c r="B36" i="25591"/>
  <c r="B35" i="25591"/>
  <c r="B34" i="25591"/>
  <c r="B33" i="25591"/>
  <c r="B32" i="25591"/>
  <c r="B31" i="25591"/>
  <c r="G55" i="25591" s="1"/>
  <c r="B30" i="25591"/>
  <c r="B29" i="25591"/>
  <c r="B28" i="25591"/>
  <c r="B27" i="25591"/>
  <c r="E27" i="25591" s="1"/>
  <c r="B26" i="25591"/>
  <c r="B25" i="25591"/>
  <c r="B24" i="25591"/>
  <c r="B23" i="25591"/>
  <c r="B22" i="25591"/>
  <c r="B21" i="25591"/>
  <c r="B20" i="25591"/>
  <c r="B19" i="25591"/>
  <c r="B18" i="25591"/>
  <c r="B17" i="25591"/>
  <c r="B16" i="25591"/>
  <c r="B15" i="25591"/>
  <c r="H15" i="25591" s="1"/>
  <c r="B14" i="25591"/>
  <c r="B13" i="25591"/>
  <c r="B12" i="25591"/>
  <c r="B11" i="25591"/>
  <c r="B10" i="25591"/>
  <c r="B9" i="25591"/>
  <c r="F21" i="25591" s="1"/>
  <c r="B8" i="25591"/>
  <c r="G32" i="25591" s="1"/>
  <c r="B7" i="25591"/>
  <c r="B6" i="25591"/>
  <c r="B5" i="25591"/>
  <c r="C31" i="25591" s="1"/>
  <c r="B193" i="25590"/>
  <c r="H193" i="25590" s="1"/>
  <c r="B192" i="25590"/>
  <c r="H192" i="25590" s="1"/>
  <c r="B191" i="25590"/>
  <c r="H191" i="25590" s="1"/>
  <c r="B190" i="25590"/>
  <c r="H190" i="25590" s="1"/>
  <c r="B189" i="25590"/>
  <c r="H189" i="25590" s="1"/>
  <c r="B188" i="25590"/>
  <c r="H188" i="25590" s="1"/>
  <c r="B187" i="25590"/>
  <c r="H187" i="25590" s="1"/>
  <c r="B186" i="25590"/>
  <c r="H186" i="25590" s="1"/>
  <c r="B185" i="25590"/>
  <c r="H185" i="25590" s="1"/>
  <c r="B184" i="25590"/>
  <c r="H184" i="25590" s="1"/>
  <c r="B183" i="25590"/>
  <c r="H183" i="25590" s="1"/>
  <c r="B182" i="25590"/>
  <c r="H182" i="25590" s="1"/>
  <c r="B181" i="25590"/>
  <c r="H181" i="25590" s="1"/>
  <c r="B180" i="25590"/>
  <c r="H180" i="25590" s="1"/>
  <c r="B179" i="25590"/>
  <c r="H179" i="25590" s="1"/>
  <c r="B178" i="25590"/>
  <c r="H178" i="25590" s="1"/>
  <c r="B177" i="25590"/>
  <c r="H177" i="25590" s="1"/>
  <c r="B176" i="25590"/>
  <c r="H176" i="25590" s="1"/>
  <c r="B175" i="25590"/>
  <c r="H175" i="25590" s="1"/>
  <c r="B174" i="25590"/>
  <c r="H174" i="25590" s="1"/>
  <c r="B173" i="25590"/>
  <c r="H173" i="25590" s="1"/>
  <c r="B172" i="25590"/>
  <c r="H172" i="25590" s="1"/>
  <c r="B171" i="25590"/>
  <c r="H171" i="25590" s="1"/>
  <c r="B170" i="25590"/>
  <c r="H170" i="25590" s="1"/>
  <c r="B169" i="25590"/>
  <c r="H169" i="25590" s="1"/>
  <c r="B168" i="25590"/>
  <c r="H168" i="25590" s="1"/>
  <c r="B167" i="25590"/>
  <c r="H167" i="25590" s="1"/>
  <c r="B166" i="25590"/>
  <c r="H166" i="25590" s="1"/>
  <c r="B165" i="25590"/>
  <c r="H165" i="25590" s="1"/>
  <c r="B164" i="25590"/>
  <c r="H164" i="25590" s="1"/>
  <c r="B163" i="25590"/>
  <c r="H163" i="25590" s="1"/>
  <c r="B162" i="25590"/>
  <c r="H162" i="25590" s="1"/>
  <c r="B161" i="25590"/>
  <c r="H161" i="25590" s="1"/>
  <c r="B160" i="25590"/>
  <c r="H160" i="25590" s="1"/>
  <c r="B159" i="25590"/>
  <c r="H159" i="25590" s="1"/>
  <c r="B158" i="25590"/>
  <c r="H158" i="25590" s="1"/>
  <c r="B157" i="25590"/>
  <c r="H157" i="25590" s="1"/>
  <c r="B156" i="25590"/>
  <c r="H156" i="25590" s="1"/>
  <c r="B155" i="25590"/>
  <c r="H155" i="25590" s="1"/>
  <c r="B154" i="25590"/>
  <c r="B153" i="25590"/>
  <c r="B152" i="25590"/>
  <c r="B151" i="25590"/>
  <c r="B150" i="25590"/>
  <c r="B149" i="25590"/>
  <c r="B148" i="25590"/>
  <c r="B147" i="25590"/>
  <c r="B146" i="25590"/>
  <c r="B145" i="25590"/>
  <c r="B144" i="25590"/>
  <c r="B143" i="25590"/>
  <c r="B142" i="25590"/>
  <c r="B141" i="25590"/>
  <c r="B140" i="25590"/>
  <c r="B139" i="25590"/>
  <c r="B138" i="25590"/>
  <c r="B137" i="25590"/>
  <c r="B136" i="25590"/>
  <c r="B135" i="25590"/>
  <c r="B134" i="25590"/>
  <c r="B133" i="25590"/>
  <c r="B132" i="25590"/>
  <c r="B131" i="25590"/>
  <c r="B130" i="25590"/>
  <c r="B129" i="25590"/>
  <c r="B128" i="25590"/>
  <c r="B127" i="25590"/>
  <c r="B126" i="25590"/>
  <c r="B125" i="25590"/>
  <c r="B124" i="25590"/>
  <c r="B123" i="25590"/>
  <c r="B122" i="25590"/>
  <c r="B121" i="25590"/>
  <c r="B120" i="25590"/>
  <c r="B119" i="25590"/>
  <c r="B118" i="25590"/>
  <c r="B117" i="25590"/>
  <c r="B116" i="25590"/>
  <c r="B115" i="25590"/>
  <c r="B114" i="25590"/>
  <c r="B113" i="25590"/>
  <c r="B112" i="25590"/>
  <c r="B111" i="25590"/>
  <c r="B110" i="25590"/>
  <c r="B109" i="25590"/>
  <c r="B108" i="25590"/>
  <c r="B107" i="25590"/>
  <c r="B106" i="25590"/>
  <c r="B105" i="25590"/>
  <c r="B104" i="25590"/>
  <c r="B103" i="25590"/>
  <c r="B102" i="25590"/>
  <c r="B101" i="25590"/>
  <c r="B100" i="25590"/>
  <c r="B99" i="25590"/>
  <c r="B98" i="25590"/>
  <c r="B97" i="25590"/>
  <c r="B96" i="25590"/>
  <c r="B95" i="25590"/>
  <c r="B94" i="25590"/>
  <c r="B93" i="25590"/>
  <c r="B92" i="25590"/>
  <c r="B91" i="25590"/>
  <c r="B90" i="25590"/>
  <c r="B89" i="25590"/>
  <c r="B88" i="25590"/>
  <c r="B87" i="25590"/>
  <c r="B86" i="25590"/>
  <c r="B85" i="25590"/>
  <c r="B84" i="25590"/>
  <c r="B83" i="25590"/>
  <c r="B82" i="25590"/>
  <c r="B81" i="25590"/>
  <c r="B80" i="25590"/>
  <c r="B79" i="25590"/>
  <c r="B78" i="25590"/>
  <c r="B77" i="25590"/>
  <c r="B76" i="25590"/>
  <c r="B75" i="25590"/>
  <c r="B74" i="25590"/>
  <c r="B73" i="25590"/>
  <c r="B72" i="25590"/>
  <c r="B71" i="25590"/>
  <c r="B70" i="25590"/>
  <c r="B69" i="25590"/>
  <c r="B68" i="25590"/>
  <c r="B67" i="25590"/>
  <c r="B66" i="25590"/>
  <c r="B65" i="25590"/>
  <c r="B64" i="25590"/>
  <c r="B63" i="25590"/>
  <c r="B62" i="25590"/>
  <c r="B61" i="25590"/>
  <c r="B60" i="25590"/>
  <c r="B59" i="25590"/>
  <c r="B58" i="25590"/>
  <c r="B57" i="25590"/>
  <c r="B56" i="25590"/>
  <c r="B55" i="25590"/>
  <c r="B54" i="25590"/>
  <c r="B53" i="25590"/>
  <c r="B52" i="25590"/>
  <c r="B51" i="25590"/>
  <c r="B50" i="25590"/>
  <c r="B49" i="25590"/>
  <c r="B48" i="25590"/>
  <c r="B47" i="25590"/>
  <c r="B46" i="25590"/>
  <c r="B45" i="25590"/>
  <c r="B44" i="25590"/>
  <c r="B43" i="25590"/>
  <c r="B42" i="25590"/>
  <c r="B41" i="25590"/>
  <c r="B40" i="25590"/>
  <c r="B39" i="25590"/>
  <c r="B38" i="25590"/>
  <c r="B37" i="25590"/>
  <c r="B36" i="25590"/>
  <c r="B35" i="25590"/>
  <c r="B34" i="25590"/>
  <c r="B33" i="25590"/>
  <c r="B32" i="25590"/>
  <c r="B31" i="25590"/>
  <c r="B30" i="25590"/>
  <c r="B29" i="25590"/>
  <c r="B28" i="25590"/>
  <c r="B27" i="25590"/>
  <c r="B26" i="25590"/>
  <c r="B25" i="25590"/>
  <c r="B24" i="25590"/>
  <c r="B23" i="25590"/>
  <c r="B22" i="25590"/>
  <c r="B21" i="25590"/>
  <c r="B20" i="25590"/>
  <c r="B19" i="25590"/>
  <c r="B18" i="25590"/>
  <c r="B17" i="25590"/>
  <c r="B16" i="25590"/>
  <c r="B15" i="25590"/>
  <c r="B14" i="25590"/>
  <c r="B13" i="25590"/>
  <c r="B12" i="25590"/>
  <c r="B11" i="25590"/>
  <c r="B10" i="25590"/>
  <c r="B9" i="25590"/>
  <c r="B8" i="25590"/>
  <c r="B193" i="25589"/>
  <c r="H193" i="25589" s="1"/>
  <c r="B192" i="25589"/>
  <c r="H192" i="25589" s="1"/>
  <c r="B191" i="25589"/>
  <c r="H191" i="25589" s="1"/>
  <c r="B190" i="25589"/>
  <c r="H190" i="25589" s="1"/>
  <c r="B189" i="25589"/>
  <c r="H189" i="25589" s="1"/>
  <c r="B188" i="25589"/>
  <c r="H188" i="25589" s="1"/>
  <c r="B187" i="25589"/>
  <c r="H187" i="25589" s="1"/>
  <c r="B186" i="25589"/>
  <c r="H186" i="25589" s="1"/>
  <c r="B185" i="25589"/>
  <c r="H185" i="25589" s="1"/>
  <c r="B184" i="25589"/>
  <c r="H184" i="25589" s="1"/>
  <c r="B183" i="25589"/>
  <c r="H183" i="25589" s="1"/>
  <c r="B182" i="25589"/>
  <c r="H182" i="25589" s="1"/>
  <c r="B181" i="25589"/>
  <c r="H181" i="25589" s="1"/>
  <c r="B180" i="25589"/>
  <c r="H180" i="25589" s="1"/>
  <c r="B179" i="25589"/>
  <c r="H179" i="25589" s="1"/>
  <c r="B178" i="25589"/>
  <c r="H178" i="25589" s="1"/>
  <c r="B177" i="25589"/>
  <c r="H177" i="25589" s="1"/>
  <c r="B176" i="25589"/>
  <c r="H176" i="25589" s="1"/>
  <c r="B175" i="25589"/>
  <c r="H175" i="25589" s="1"/>
  <c r="B174" i="25589"/>
  <c r="H174" i="25589" s="1"/>
  <c r="B173" i="25589"/>
  <c r="H173" i="25589" s="1"/>
  <c r="B172" i="25589"/>
  <c r="H172" i="25589" s="1"/>
  <c r="B171" i="25589"/>
  <c r="H171" i="25589" s="1"/>
  <c r="B170" i="25589"/>
  <c r="H170" i="25589" s="1"/>
  <c r="B169" i="25589"/>
  <c r="H169" i="25589" s="1"/>
  <c r="B168" i="25589"/>
  <c r="H168" i="25589" s="1"/>
  <c r="B167" i="25589"/>
  <c r="H167" i="25589" s="1"/>
  <c r="B166" i="25589"/>
  <c r="H166" i="25589" s="1"/>
  <c r="B165" i="25589"/>
  <c r="H165" i="25589" s="1"/>
  <c r="B164" i="25589"/>
  <c r="H164" i="25589" s="1"/>
  <c r="B163" i="25589"/>
  <c r="H163" i="25589" s="1"/>
  <c r="B162" i="25589"/>
  <c r="H162" i="25589" s="1"/>
  <c r="B161" i="25589"/>
  <c r="H161" i="25589" s="1"/>
  <c r="B160" i="25589"/>
  <c r="H160" i="25589" s="1"/>
  <c r="B159" i="25589"/>
  <c r="H159" i="25589" s="1"/>
  <c r="B158" i="25589"/>
  <c r="H158" i="25589" s="1"/>
  <c r="B157" i="25589"/>
  <c r="H157" i="25589" s="1"/>
  <c r="B156" i="25589"/>
  <c r="H156" i="25589" s="1"/>
  <c r="B155" i="25589"/>
  <c r="H155" i="25589" s="1"/>
  <c r="B154" i="25589"/>
  <c r="B153" i="25589"/>
  <c r="B152" i="25589"/>
  <c r="B151" i="25589"/>
  <c r="B150" i="25589"/>
  <c r="B149" i="25589"/>
  <c r="B148" i="25589"/>
  <c r="B147" i="25589"/>
  <c r="B146" i="25589"/>
  <c r="B145" i="25589"/>
  <c r="B144" i="25589"/>
  <c r="B143" i="25589"/>
  <c r="B142" i="25589"/>
  <c r="B141" i="25589"/>
  <c r="B140" i="25589"/>
  <c r="B139" i="25589"/>
  <c r="B138" i="25589"/>
  <c r="B137" i="25589"/>
  <c r="B136" i="25589"/>
  <c r="B135" i="25589"/>
  <c r="B134" i="25589"/>
  <c r="B133" i="25589"/>
  <c r="B132" i="25589"/>
  <c r="B131" i="25589"/>
  <c r="B130" i="25589"/>
  <c r="B129" i="25589"/>
  <c r="B128" i="25589"/>
  <c r="B127" i="25589"/>
  <c r="B126" i="25589"/>
  <c r="B125" i="25589"/>
  <c r="B124" i="25589"/>
  <c r="B123" i="25589"/>
  <c r="B122" i="25589"/>
  <c r="B121" i="25589"/>
  <c r="B120" i="25589"/>
  <c r="B119" i="25589"/>
  <c r="B118" i="25589"/>
  <c r="B117" i="25589"/>
  <c r="B116" i="25589"/>
  <c r="B115" i="25589"/>
  <c r="B114" i="25589"/>
  <c r="B113" i="25589"/>
  <c r="B112" i="25589"/>
  <c r="B111" i="25589"/>
  <c r="B110" i="25589"/>
  <c r="B109" i="25589"/>
  <c r="B108" i="25589"/>
  <c r="B107" i="25589"/>
  <c r="B106" i="25589"/>
  <c r="B105" i="25589"/>
  <c r="B104" i="25589"/>
  <c r="B103" i="25589"/>
  <c r="B102" i="25589"/>
  <c r="B101" i="25589"/>
  <c r="B100" i="25589"/>
  <c r="B99" i="25589"/>
  <c r="B98" i="25589"/>
  <c r="B97" i="25589"/>
  <c r="B96" i="25589"/>
  <c r="B95" i="25589"/>
  <c r="B94" i="25589"/>
  <c r="B93" i="25589"/>
  <c r="B92" i="25589"/>
  <c r="B91" i="25589"/>
  <c r="B90" i="25589"/>
  <c r="B89" i="25589"/>
  <c r="B88" i="25589"/>
  <c r="B87" i="25589"/>
  <c r="B86" i="25589"/>
  <c r="B85" i="25589"/>
  <c r="B84" i="25589"/>
  <c r="B83" i="25589"/>
  <c r="B82" i="25589"/>
  <c r="B81" i="25589"/>
  <c r="B80" i="25589"/>
  <c r="B79" i="25589"/>
  <c r="B78" i="25589"/>
  <c r="B77" i="25589"/>
  <c r="B76" i="25589"/>
  <c r="B75" i="25589"/>
  <c r="B74" i="25589"/>
  <c r="B73" i="25589"/>
  <c r="B72" i="25589"/>
  <c r="B71" i="25589"/>
  <c r="B70" i="25589"/>
  <c r="B69" i="25589"/>
  <c r="B68" i="25589"/>
  <c r="B67" i="25589"/>
  <c r="B66" i="25589"/>
  <c r="B65" i="25589"/>
  <c r="B64" i="25589"/>
  <c r="B63" i="25589"/>
  <c r="B62" i="25589"/>
  <c r="B61" i="25589"/>
  <c r="B60" i="25589"/>
  <c r="B59" i="25589"/>
  <c r="B58" i="25589"/>
  <c r="B57" i="25589"/>
  <c r="B56" i="25589"/>
  <c r="B55" i="25589"/>
  <c r="B54" i="25589"/>
  <c r="B53" i="25589"/>
  <c r="B52" i="25589"/>
  <c r="B51" i="25589"/>
  <c r="B50" i="25589"/>
  <c r="B49" i="25589"/>
  <c r="B48" i="25589"/>
  <c r="B47" i="25589"/>
  <c r="B46" i="25589"/>
  <c r="B45" i="25589"/>
  <c r="B44" i="25589"/>
  <c r="B43" i="25589"/>
  <c r="B41" i="25589"/>
  <c r="B40" i="25589"/>
  <c r="B39" i="25589"/>
  <c r="B38" i="25589"/>
  <c r="B37" i="25589"/>
  <c r="B36" i="25589"/>
  <c r="B35" i="25589"/>
  <c r="B34" i="25589"/>
  <c r="B33" i="25589"/>
  <c r="B32" i="25589"/>
  <c r="B31" i="25589"/>
  <c r="B30" i="25589"/>
  <c r="B29" i="25589"/>
  <c r="B28" i="25589"/>
  <c r="B27" i="25589"/>
  <c r="B26" i="25589"/>
  <c r="B25" i="25589"/>
  <c r="B24" i="25589"/>
  <c r="B23" i="25589"/>
  <c r="B22" i="25589"/>
  <c r="B21" i="25589"/>
  <c r="B20" i="25589"/>
  <c r="B19" i="25589"/>
  <c r="B18" i="25589"/>
  <c r="B17" i="25589"/>
  <c r="B16" i="25589"/>
  <c r="B15" i="25589"/>
  <c r="B14" i="25589"/>
  <c r="B13" i="25589"/>
  <c r="B12" i="25589"/>
  <c r="B11" i="25589"/>
  <c r="B10" i="25589"/>
  <c r="B9" i="25589"/>
  <c r="B8" i="25589"/>
  <c r="B193" i="25588"/>
  <c r="H193" i="25588" s="1"/>
  <c r="B192" i="25588"/>
  <c r="H192" i="25588" s="1"/>
  <c r="B191" i="25588"/>
  <c r="H191" i="25588" s="1"/>
  <c r="B190" i="25588"/>
  <c r="H190" i="25588" s="1"/>
  <c r="B189" i="25588"/>
  <c r="H189" i="25588" s="1"/>
  <c r="B188" i="25588"/>
  <c r="H188" i="25588" s="1"/>
  <c r="B187" i="25588"/>
  <c r="H187" i="25588" s="1"/>
  <c r="B186" i="25588"/>
  <c r="H186" i="25588" s="1"/>
  <c r="B185" i="25588"/>
  <c r="H185" i="25588" s="1"/>
  <c r="B184" i="25588"/>
  <c r="H184" i="25588" s="1"/>
  <c r="B183" i="25588"/>
  <c r="H183" i="25588" s="1"/>
  <c r="B182" i="25588"/>
  <c r="H182" i="25588" s="1"/>
  <c r="B181" i="25588"/>
  <c r="H181" i="25588" s="1"/>
  <c r="B180" i="25588"/>
  <c r="H180" i="25588" s="1"/>
  <c r="B179" i="25588"/>
  <c r="H179" i="25588" s="1"/>
  <c r="B178" i="25588"/>
  <c r="H178" i="25588" s="1"/>
  <c r="B177" i="25588"/>
  <c r="H177" i="25588" s="1"/>
  <c r="B176" i="25588"/>
  <c r="H176" i="25588" s="1"/>
  <c r="B175" i="25588"/>
  <c r="H175" i="25588" s="1"/>
  <c r="B174" i="25588"/>
  <c r="H174" i="25588" s="1"/>
  <c r="B173" i="25588"/>
  <c r="H173" i="25588" s="1"/>
  <c r="B172" i="25588"/>
  <c r="B171" i="25588"/>
  <c r="B170" i="25588"/>
  <c r="B169" i="25588"/>
  <c r="B168" i="25588"/>
  <c r="B167" i="25588"/>
  <c r="B166" i="25588"/>
  <c r="B165" i="25588"/>
  <c r="B164" i="25588"/>
  <c r="H164" i="25588" s="1"/>
  <c r="B163" i="25588"/>
  <c r="H163" i="25588" s="1"/>
  <c r="B162" i="25588"/>
  <c r="H162" i="25588" s="1"/>
  <c r="B161" i="25588"/>
  <c r="H161" i="25588" s="1"/>
  <c r="B160" i="25588"/>
  <c r="H160" i="25588" s="1"/>
  <c r="B159" i="25588"/>
  <c r="H159" i="25588" s="1"/>
  <c r="B158" i="25588"/>
  <c r="H158" i="25588" s="1"/>
  <c r="B157" i="25588"/>
  <c r="H157" i="25588" s="1"/>
  <c r="B156" i="25588"/>
  <c r="H156" i="25588" s="1"/>
  <c r="B155" i="25588"/>
  <c r="H155" i="25588" s="1"/>
  <c r="B154" i="25588"/>
  <c r="B153" i="25588"/>
  <c r="B152" i="25588"/>
  <c r="B151" i="25588"/>
  <c r="B150" i="25588"/>
  <c r="B149" i="25588"/>
  <c r="B148" i="25588"/>
  <c r="B147" i="25588"/>
  <c r="B146" i="25588"/>
  <c r="B145" i="25588"/>
  <c r="B144" i="25588"/>
  <c r="B143" i="25588"/>
  <c r="B142" i="25588"/>
  <c r="B141" i="25588"/>
  <c r="B140" i="25588"/>
  <c r="B139" i="25588"/>
  <c r="B138" i="25588"/>
  <c r="B137" i="25588"/>
  <c r="B136" i="25588"/>
  <c r="B135" i="25588"/>
  <c r="B134" i="25588"/>
  <c r="B133" i="25588"/>
  <c r="B132" i="25588"/>
  <c r="B131" i="25588"/>
  <c r="B130" i="25588"/>
  <c r="B129" i="25588"/>
  <c r="B128" i="25588"/>
  <c r="B127" i="25588"/>
  <c r="B126" i="25588"/>
  <c r="B125" i="25588"/>
  <c r="B124" i="25588"/>
  <c r="B123" i="25588"/>
  <c r="B122" i="25588"/>
  <c r="B121" i="25588"/>
  <c r="B120" i="25588"/>
  <c r="B119" i="25588"/>
  <c r="B118" i="25588"/>
  <c r="B117" i="25588"/>
  <c r="B116" i="25588"/>
  <c r="B115" i="25588"/>
  <c r="B114" i="25588"/>
  <c r="B113" i="25588"/>
  <c r="B112" i="25588"/>
  <c r="B111" i="25588"/>
  <c r="B110" i="25588"/>
  <c r="B109" i="25588"/>
  <c r="B108" i="25588"/>
  <c r="B107" i="25588"/>
  <c r="B106" i="25588"/>
  <c r="B105" i="25588"/>
  <c r="B104" i="25588"/>
  <c r="B103" i="25588"/>
  <c r="B102" i="25588"/>
  <c r="B101" i="25588"/>
  <c r="B100" i="25588"/>
  <c r="B99" i="25588"/>
  <c r="B98" i="25588"/>
  <c r="B97" i="25588"/>
  <c r="B96" i="25588"/>
  <c r="B95" i="25588"/>
  <c r="B94" i="25588"/>
  <c r="B93" i="25588"/>
  <c r="B92" i="25588"/>
  <c r="B91" i="25588"/>
  <c r="B90" i="25588"/>
  <c r="B89" i="25588"/>
  <c r="B88" i="25588"/>
  <c r="B87" i="25588"/>
  <c r="B86" i="25588"/>
  <c r="B85" i="25588"/>
  <c r="B84" i="25588"/>
  <c r="B83" i="25588"/>
  <c r="B82" i="25588"/>
  <c r="B81" i="25588"/>
  <c r="B80" i="25588"/>
  <c r="B79" i="25588"/>
  <c r="B78" i="25588"/>
  <c r="B77" i="25588"/>
  <c r="B76" i="25588"/>
  <c r="B75" i="25588"/>
  <c r="B74" i="25588"/>
  <c r="B73" i="25588"/>
  <c r="B72" i="25588"/>
  <c r="B71" i="25588"/>
  <c r="B70" i="25588"/>
  <c r="B69" i="25588"/>
  <c r="B68" i="25588"/>
  <c r="B67" i="25588"/>
  <c r="B66" i="25588"/>
  <c r="B65" i="25588"/>
  <c r="B64" i="25588"/>
  <c r="B63" i="25588"/>
  <c r="B62" i="25588"/>
  <c r="B61" i="25588"/>
  <c r="B60" i="25588"/>
  <c r="B59" i="25588"/>
  <c r="B58" i="25588"/>
  <c r="B57" i="25588"/>
  <c r="B56" i="25588"/>
  <c r="B55" i="25588"/>
  <c r="B54" i="25588"/>
  <c r="B53" i="25588"/>
  <c r="B52" i="25588"/>
  <c r="B51" i="25588"/>
  <c r="B50" i="25588"/>
  <c r="B49" i="25588"/>
  <c r="B48" i="25588"/>
  <c r="B47" i="25588"/>
  <c r="B46" i="25588"/>
  <c r="B45" i="25588"/>
  <c r="B44" i="25588"/>
  <c r="B43" i="25588"/>
  <c r="B42" i="25588"/>
  <c r="B41" i="25588"/>
  <c r="B40" i="25588"/>
  <c r="B39" i="25588"/>
  <c r="B38" i="25588"/>
  <c r="B37" i="25588"/>
  <c r="B36" i="25588"/>
  <c r="B35" i="25588"/>
  <c r="B34" i="25588"/>
  <c r="B33" i="25588"/>
  <c r="B32" i="25588"/>
  <c r="B31" i="25588"/>
  <c r="B30" i="25588"/>
  <c r="B29" i="25588"/>
  <c r="B28" i="25588"/>
  <c r="B27" i="25588"/>
  <c r="B26" i="25588"/>
  <c r="B25" i="25588"/>
  <c r="B24" i="25588"/>
  <c r="B23" i="25588"/>
  <c r="B22" i="25588"/>
  <c r="B21" i="25588"/>
  <c r="B20" i="25588"/>
  <c r="B19" i="25588"/>
  <c r="B18" i="25588"/>
  <c r="B17" i="25588"/>
  <c r="B15" i="25588"/>
  <c r="B14" i="25588"/>
  <c r="B13" i="25588"/>
  <c r="B12" i="25588"/>
  <c r="B11" i="25588"/>
  <c r="B10" i="25588"/>
  <c r="B9" i="25588"/>
  <c r="B8" i="25588"/>
  <c r="B262" i="25587"/>
  <c r="H262" i="25587" s="1"/>
  <c r="B261" i="25587"/>
  <c r="H261" i="25587" s="1"/>
  <c r="B260" i="25587"/>
  <c r="H260" i="25587" s="1"/>
  <c r="B259" i="25587"/>
  <c r="H259" i="25587" s="1"/>
  <c r="B258" i="25587"/>
  <c r="H258" i="25587" s="1"/>
  <c r="B257" i="25587"/>
  <c r="H257" i="25587" s="1"/>
  <c r="B256" i="25587"/>
  <c r="H256" i="25587" s="1"/>
  <c r="B255" i="25587"/>
  <c r="H255" i="25587" s="1"/>
  <c r="B254" i="25587"/>
  <c r="H254" i="25587" s="1"/>
  <c r="B253" i="25587"/>
  <c r="H253" i="25587" s="1"/>
  <c r="B252" i="25587"/>
  <c r="H252" i="25587" s="1"/>
  <c r="B251" i="25587"/>
  <c r="H251" i="25587" s="1"/>
  <c r="B250" i="25587"/>
  <c r="H250" i="25587" s="1"/>
  <c r="B249" i="25587"/>
  <c r="H249" i="25587" s="1"/>
  <c r="B248" i="25587"/>
  <c r="H248" i="25587" s="1"/>
  <c r="B247" i="25587"/>
  <c r="H247" i="25587" s="1"/>
  <c r="B246" i="25587"/>
  <c r="H246" i="25587" s="1"/>
  <c r="B245" i="25587"/>
  <c r="H245" i="25587" s="1"/>
  <c r="B244" i="25587"/>
  <c r="H244" i="25587" s="1"/>
  <c r="B243" i="25587"/>
  <c r="H243" i="25587" s="1"/>
  <c r="B242" i="25587"/>
  <c r="H242" i="25587" s="1"/>
  <c r="B241" i="25587"/>
  <c r="H241" i="25587" s="1"/>
  <c r="B240" i="25587"/>
  <c r="H240" i="25587" s="1"/>
  <c r="B239" i="25587"/>
  <c r="H239" i="25587" s="1"/>
  <c r="B238" i="25587"/>
  <c r="H238" i="25587" s="1"/>
  <c r="B237" i="25587"/>
  <c r="H237" i="25587" s="1"/>
  <c r="B236" i="25587"/>
  <c r="H236" i="25587" s="1"/>
  <c r="B235" i="25587"/>
  <c r="H235" i="25587" s="1"/>
  <c r="B234" i="25587"/>
  <c r="H234" i="25587" s="1"/>
  <c r="B233" i="25587"/>
  <c r="H233" i="25587" s="1"/>
  <c r="B232" i="25587"/>
  <c r="H232" i="25587" s="1"/>
  <c r="B231" i="25587"/>
  <c r="H231" i="25587" s="1"/>
  <c r="B230" i="25587"/>
  <c r="H230" i="25587" s="1"/>
  <c r="B229" i="25587"/>
  <c r="H229" i="25587" s="1"/>
  <c r="B228" i="25587"/>
  <c r="H228" i="25587" s="1"/>
  <c r="B227" i="25587"/>
  <c r="H227" i="25587" s="1"/>
  <c r="B226" i="25587"/>
  <c r="H226" i="25587" s="1"/>
  <c r="B225" i="25587"/>
  <c r="H225" i="25587" s="1"/>
  <c r="B224" i="25587"/>
  <c r="H224" i="25587" s="1"/>
  <c r="B223" i="25587"/>
  <c r="B222" i="25587"/>
  <c r="B221" i="25587"/>
  <c r="B220" i="25587"/>
  <c r="B219" i="25587"/>
  <c r="B218" i="25587"/>
  <c r="B217" i="25587"/>
  <c r="B216" i="25587"/>
  <c r="B215" i="25587"/>
  <c r="B214" i="25587"/>
  <c r="B213" i="25587"/>
  <c r="B212" i="25587"/>
  <c r="B211" i="25587"/>
  <c r="B210" i="25587"/>
  <c r="B209" i="25587"/>
  <c r="B208" i="25587"/>
  <c r="B207" i="25587"/>
  <c r="B206" i="25587"/>
  <c r="B205" i="25587"/>
  <c r="B204" i="25587"/>
  <c r="B203" i="25587"/>
  <c r="B202" i="25587"/>
  <c r="B201" i="25587"/>
  <c r="B200" i="25587"/>
  <c r="B199" i="25587"/>
  <c r="B198" i="25587"/>
  <c r="B197" i="25587"/>
  <c r="B196" i="25587"/>
  <c r="B195" i="25587"/>
  <c r="B194" i="25587"/>
  <c r="B193" i="25587"/>
  <c r="B192" i="25587"/>
  <c r="B191" i="25587"/>
  <c r="B190" i="25587"/>
  <c r="B189" i="25587"/>
  <c r="B188" i="25587"/>
  <c r="B187" i="25587"/>
  <c r="B186" i="25587"/>
  <c r="B185" i="25587"/>
  <c r="B184" i="25587"/>
  <c r="B183" i="25587"/>
  <c r="B182" i="25587"/>
  <c r="B181" i="25587"/>
  <c r="B180" i="25587"/>
  <c r="B179" i="25587"/>
  <c r="B178" i="25587"/>
  <c r="B177" i="25587"/>
  <c r="B176" i="25587"/>
  <c r="B175" i="25587"/>
  <c r="B174" i="25587"/>
  <c r="B173" i="25587"/>
  <c r="B172" i="25587"/>
  <c r="B171" i="25587"/>
  <c r="B170" i="25587"/>
  <c r="B169" i="25587"/>
  <c r="B168" i="25587"/>
  <c r="B167" i="25587"/>
  <c r="B166" i="25587"/>
  <c r="B165" i="25587"/>
  <c r="B164" i="25587"/>
  <c r="B163" i="25587"/>
  <c r="B162" i="25587"/>
  <c r="B161" i="25587"/>
  <c r="B160" i="25587"/>
  <c r="B159" i="25587"/>
  <c r="B158" i="25587"/>
  <c r="B157" i="25587"/>
  <c r="B156" i="25587"/>
  <c r="B155" i="25587"/>
  <c r="B154" i="25587"/>
  <c r="B153" i="25587"/>
  <c r="B152" i="25587"/>
  <c r="B151" i="25587"/>
  <c r="B150" i="25587"/>
  <c r="B149" i="25587"/>
  <c r="B148" i="25587"/>
  <c r="B147" i="25587"/>
  <c r="B146" i="25587"/>
  <c r="B145" i="25587"/>
  <c r="B144" i="25587"/>
  <c r="B143" i="25587"/>
  <c r="B142" i="25587"/>
  <c r="B141" i="25587"/>
  <c r="B140" i="25587"/>
  <c r="B139" i="25587"/>
  <c r="B138" i="25587"/>
  <c r="B137" i="25587"/>
  <c r="B136" i="25587"/>
  <c r="B135" i="25587"/>
  <c r="B134" i="25587"/>
  <c r="B133" i="25587"/>
  <c r="B132" i="25587"/>
  <c r="B131" i="25587"/>
  <c r="B130" i="25587"/>
  <c r="B129" i="25587"/>
  <c r="B128" i="25587"/>
  <c r="B127" i="25587"/>
  <c r="B126" i="25587"/>
  <c r="B125" i="25587"/>
  <c r="B124" i="25587"/>
  <c r="B123" i="25587"/>
  <c r="B122" i="25587"/>
  <c r="B121" i="25587"/>
  <c r="B120" i="25587"/>
  <c r="B119" i="25587"/>
  <c r="B118" i="25587"/>
  <c r="B117" i="25587"/>
  <c r="B116" i="25587"/>
  <c r="B115" i="25587"/>
  <c r="B114" i="25587"/>
  <c r="B113" i="25587"/>
  <c r="B112" i="25587"/>
  <c r="B111" i="25587"/>
  <c r="B110" i="25587"/>
  <c r="B109" i="25587"/>
  <c r="B108" i="25587"/>
  <c r="B107" i="25587"/>
  <c r="B106" i="25587"/>
  <c r="B105" i="25587"/>
  <c r="B104" i="25587"/>
  <c r="B103" i="25587"/>
  <c r="B102" i="25587"/>
  <c r="B101" i="25587"/>
  <c r="B100" i="25587"/>
  <c r="B99" i="25587"/>
  <c r="B98" i="25587"/>
  <c r="B97" i="25587"/>
  <c r="B96" i="25587"/>
  <c r="B95" i="25587"/>
  <c r="B94" i="25587"/>
  <c r="B93" i="25587"/>
  <c r="B92" i="25587"/>
  <c r="B91" i="25587"/>
  <c r="B90" i="25587"/>
  <c r="B89" i="25587"/>
  <c r="B88" i="25587"/>
  <c r="B87" i="25587"/>
  <c r="B86" i="25587"/>
  <c r="B85" i="25587"/>
  <c r="B84" i="25587"/>
  <c r="B83" i="25587"/>
  <c r="B82" i="25587"/>
  <c r="B81" i="25587"/>
  <c r="B80" i="25587"/>
  <c r="B79" i="25587"/>
  <c r="B78" i="25587"/>
  <c r="B77" i="25587"/>
  <c r="B76" i="25587"/>
  <c r="B75" i="25587"/>
  <c r="B74" i="25587"/>
  <c r="B73" i="25587"/>
  <c r="B72" i="25587"/>
  <c r="B71" i="25587"/>
  <c r="B70" i="25587"/>
  <c r="B69" i="25587"/>
  <c r="B68" i="25587"/>
  <c r="B67" i="25587"/>
  <c r="B66" i="25587"/>
  <c r="B65" i="25587"/>
  <c r="B64" i="25587"/>
  <c r="B63" i="25587"/>
  <c r="B62" i="25587"/>
  <c r="B61" i="25587"/>
  <c r="B60" i="25587"/>
  <c r="B59" i="25587"/>
  <c r="B58" i="25587"/>
  <c r="B57" i="25587"/>
  <c r="B56" i="25587"/>
  <c r="B55" i="25587"/>
  <c r="B54" i="25587"/>
  <c r="B53" i="25587"/>
  <c r="B52" i="25587"/>
  <c r="B51" i="25587"/>
  <c r="B50" i="25587"/>
  <c r="B49" i="25587"/>
  <c r="B48" i="25587"/>
  <c r="B47" i="25587"/>
  <c r="B46" i="25587"/>
  <c r="B45" i="25587"/>
  <c r="B44" i="25587"/>
  <c r="B43" i="25587"/>
  <c r="B42" i="25587"/>
  <c r="B41" i="25587"/>
  <c r="B40" i="25587"/>
  <c r="B39" i="25587"/>
  <c r="B38" i="25587"/>
  <c r="B37" i="25587"/>
  <c r="B36" i="25587"/>
  <c r="B35" i="25587"/>
  <c r="B34" i="25587"/>
  <c r="B33" i="25587"/>
  <c r="B32" i="25587"/>
  <c r="B31" i="25587"/>
  <c r="B30" i="25587"/>
  <c r="B29" i="25587"/>
  <c r="B28" i="25587"/>
  <c r="B27" i="25587"/>
  <c r="B26" i="25587"/>
  <c r="B25" i="25587"/>
  <c r="B24" i="25587"/>
  <c r="B23" i="25587"/>
  <c r="B22" i="25587"/>
  <c r="B21" i="25587"/>
  <c r="B20" i="25587"/>
  <c r="B19" i="25587"/>
  <c r="B18" i="25587"/>
  <c r="B17" i="25587"/>
  <c r="B16" i="25587"/>
  <c r="B15" i="25587"/>
  <c r="B14" i="25587"/>
  <c r="B13" i="25587"/>
  <c r="B12" i="25587"/>
  <c r="B11" i="25587"/>
  <c r="B10" i="25587"/>
  <c r="B9" i="25587"/>
  <c r="B8" i="25587"/>
  <c r="H250" i="4888" l="1"/>
  <c r="H255" i="4888"/>
  <c r="H259" i="4888"/>
  <c r="H254" i="4888"/>
  <c r="H257" i="4888"/>
  <c r="H262" i="4888"/>
  <c r="H226" i="4888"/>
  <c r="H248" i="4888"/>
  <c r="H247" i="4888"/>
  <c r="H245" i="4888"/>
  <c r="H233" i="4888"/>
  <c r="H238" i="4888"/>
  <c r="H246" i="4888"/>
  <c r="H240" i="4888"/>
  <c r="H231" i="4888"/>
  <c r="H229" i="4888"/>
  <c r="H252" i="4888"/>
  <c r="H261" i="4888"/>
  <c r="G110" i="25586"/>
  <c r="F6" i="9728" s="1"/>
  <c r="E6" i="9728"/>
  <c r="H241" i="4888"/>
  <c r="H237" i="4888"/>
  <c r="H258" i="4888"/>
  <c r="H234" i="4888"/>
  <c r="H256" i="4888"/>
  <c r="H225" i="4888"/>
  <c r="H228" i="4888"/>
  <c r="H249" i="4888"/>
  <c r="H230" i="4888"/>
  <c r="H224" i="4888"/>
  <c r="H227" i="4888"/>
  <c r="H232" i="4888"/>
  <c r="H263" i="4888"/>
  <c r="G110" i="25585"/>
  <c r="F7" i="9728" s="1"/>
  <c r="E7" i="9728"/>
  <c r="H239" i="4888"/>
  <c r="H253" i="4888"/>
  <c r="H242" i="4888"/>
  <c r="H260" i="4888"/>
  <c r="H251" i="4888"/>
  <c r="H243" i="4888"/>
  <c r="H235" i="4888"/>
  <c r="H236" i="4888"/>
  <c r="H244" i="4888"/>
  <c r="C252" i="25590"/>
  <c r="C252" i="25589"/>
  <c r="C252" i="25588"/>
  <c r="C321" i="25587"/>
  <c r="C252" i="512"/>
  <c r="C252" i="8196"/>
  <c r="C252" i="2048"/>
  <c r="C321" i="10541"/>
  <c r="C252" i="523"/>
  <c r="C321" i="2561"/>
  <c r="D322" i="2561" s="1"/>
  <c r="I12" i="9728" s="1"/>
  <c r="C252" i="2819"/>
  <c r="C252" i="2316"/>
  <c r="C252" i="1024"/>
  <c r="C252" i="9216"/>
  <c r="C321" i="20994"/>
  <c r="C201" i="768"/>
  <c r="C201" i="10285"/>
  <c r="C321" i="4888"/>
  <c r="C321" i="25580"/>
  <c r="D321" i="3"/>
  <c r="G109" i="25585"/>
  <c r="G109" i="25586"/>
  <c r="C251" i="25589"/>
  <c r="C251" i="25588"/>
  <c r="C320" i="25587"/>
  <c r="C251" i="512"/>
  <c r="C251" i="8196"/>
  <c r="C320" i="10541"/>
  <c r="C251" i="523"/>
  <c r="C320" i="2561"/>
  <c r="D321" i="2561" s="1"/>
  <c r="C251" i="2819"/>
  <c r="C251" i="2316"/>
  <c r="C251" i="9216"/>
  <c r="C320" i="20994"/>
  <c r="C200" i="768"/>
  <c r="C320" i="4888"/>
  <c r="C200" i="10285"/>
  <c r="C320" i="25580"/>
  <c r="D320" i="3"/>
  <c r="G108" i="25585"/>
  <c r="G108" i="25586"/>
  <c r="C251" i="25590"/>
  <c r="C250" i="25590"/>
  <c r="C250" i="25589"/>
  <c r="C250" i="25588"/>
  <c r="C319" i="25587"/>
  <c r="C250" i="512"/>
  <c r="C250" i="8196"/>
  <c r="C251" i="2048"/>
  <c r="C250" i="2048"/>
  <c r="C319" i="10541"/>
  <c r="C250" i="523"/>
  <c r="C319" i="2561"/>
  <c r="C250" i="2819"/>
  <c r="C250" i="2316"/>
  <c r="C251" i="1024"/>
  <c r="C250" i="1024"/>
  <c r="C250" i="9216"/>
  <c r="C319" i="20994"/>
  <c r="C199" i="768"/>
  <c r="C199" i="10285"/>
  <c r="C319" i="4888"/>
  <c r="C319" i="25580"/>
  <c r="D319" i="3"/>
  <c r="G107" i="25586"/>
  <c r="G107" i="25585"/>
  <c r="C249" i="25590"/>
  <c r="C249" i="25589"/>
  <c r="C249" i="25588"/>
  <c r="C318" i="25587"/>
  <c r="C249" i="512"/>
  <c r="C249" i="8196"/>
  <c r="C249" i="2048"/>
  <c r="C318" i="10541"/>
  <c r="C249" i="523"/>
  <c r="C318" i="2561"/>
  <c r="C249" i="2819"/>
  <c r="C249" i="2316"/>
  <c r="C249" i="1024"/>
  <c r="C249" i="9216"/>
  <c r="C318" i="20994"/>
  <c r="C198" i="768"/>
  <c r="C198" i="10285"/>
  <c r="C318" i="4888"/>
  <c r="C318" i="25580"/>
  <c r="D318" i="3"/>
  <c r="G106" i="25585"/>
  <c r="G106" i="25586"/>
  <c r="C248" i="25590"/>
  <c r="C248" i="25589"/>
  <c r="C248" i="25588"/>
  <c r="C317" i="25587"/>
  <c r="C248" i="512"/>
  <c r="C248" i="8196"/>
  <c r="C248" i="2048"/>
  <c r="C317" i="10541"/>
  <c r="C248" i="523"/>
  <c r="C317" i="2561"/>
  <c r="C248" i="2819"/>
  <c r="C248" i="2316"/>
  <c r="C248" i="1024"/>
  <c r="C248" i="9216"/>
  <c r="C317" i="20994"/>
  <c r="C197" i="768"/>
  <c r="C197" i="10285"/>
  <c r="C317" i="4888"/>
  <c r="C317" i="25580"/>
  <c r="G105" i="25585"/>
  <c r="G105" i="25586"/>
  <c r="D317" i="3"/>
  <c r="C247" i="25590"/>
  <c r="C247" i="25589"/>
  <c r="C247" i="25588"/>
  <c r="C316" i="25587"/>
  <c r="C247" i="512"/>
  <c r="C247" i="8196"/>
  <c r="C247" i="2048"/>
  <c r="C316" i="10541"/>
  <c r="C247" i="523"/>
  <c r="C316" i="2561"/>
  <c r="C247" i="2819"/>
  <c r="C247" i="2316"/>
  <c r="C247" i="1024"/>
  <c r="C247" i="9216"/>
  <c r="C316" i="20994"/>
  <c r="C196" i="768"/>
  <c r="C196" i="10285"/>
  <c r="C316" i="4888"/>
  <c r="C316" i="25580"/>
  <c r="G104" i="25585"/>
  <c r="G104" i="25586"/>
  <c r="D316" i="3"/>
  <c r="C246" i="25590"/>
  <c r="C246" i="25589"/>
  <c r="C246" i="25588"/>
  <c r="C315" i="25587"/>
  <c r="C246" i="512"/>
  <c r="C246" i="8196"/>
  <c r="C246" i="2048"/>
  <c r="C315" i="10541"/>
  <c r="C246" i="523"/>
  <c r="C315" i="2561"/>
  <c r="C246" i="2819"/>
  <c r="C246" i="2316"/>
  <c r="C246" i="1024"/>
  <c r="C246" i="9216"/>
  <c r="C315" i="20994"/>
  <c r="C195" i="768"/>
  <c r="C195" i="10285"/>
  <c r="C315" i="4888"/>
  <c r="C315" i="25580"/>
  <c r="G103" i="25585"/>
  <c r="G103" i="25586"/>
  <c r="D315" i="3"/>
  <c r="C245" i="25590"/>
  <c r="C245" i="25589"/>
  <c r="C245" i="25588"/>
  <c r="C314" i="25587"/>
  <c r="C245" i="512"/>
  <c r="C245" i="8196"/>
  <c r="C245" i="2048"/>
  <c r="C314" i="10541"/>
  <c r="C245" i="523"/>
  <c r="C314" i="2561"/>
  <c r="C245" i="2819"/>
  <c r="C245" i="2316"/>
  <c r="C245" i="1024"/>
  <c r="C245" i="9216"/>
  <c r="C314" i="20994"/>
  <c r="C194" i="768"/>
  <c r="C194" i="10285"/>
  <c r="C314" i="4888"/>
  <c r="C314" i="25580"/>
  <c r="D314" i="3"/>
  <c r="G102" i="25586"/>
  <c r="G102" i="25585"/>
  <c r="C244" i="25590"/>
  <c r="C244" i="25589"/>
  <c r="C244" i="25588"/>
  <c r="C313" i="25587"/>
  <c r="C244" i="512"/>
  <c r="C244" i="8196"/>
  <c r="C244" i="2048"/>
  <c r="C313" i="10541"/>
  <c r="C244" i="523"/>
  <c r="C313" i="2561"/>
  <c r="E322" i="2561" s="1"/>
  <c r="H12" i="9728" s="1"/>
  <c r="C244" i="2819"/>
  <c r="C244" i="2316"/>
  <c r="E253" i="2316" s="1"/>
  <c r="H21" i="9728" s="1"/>
  <c r="C244" i="1024"/>
  <c r="C244" i="9216"/>
  <c r="C313" i="20994"/>
  <c r="C193" i="768"/>
  <c r="C193" i="10285"/>
  <c r="C313" i="4888"/>
  <c r="C313" i="25580"/>
  <c r="D313" i="3"/>
  <c r="G101" i="25586"/>
  <c r="G101" i="25585"/>
  <c r="C312" i="25587"/>
  <c r="C243" i="25589"/>
  <c r="D43" i="25597"/>
  <c r="E55" i="25597"/>
  <c r="D54" i="25597"/>
  <c r="D29" i="25598"/>
  <c r="C243" i="9216"/>
  <c r="C115" i="10498"/>
  <c r="G112" i="10498"/>
  <c r="C98" i="10498"/>
  <c r="C90" i="10498"/>
  <c r="C42" i="10498"/>
  <c r="D312" i="3"/>
  <c r="C312" i="25580"/>
  <c r="C243" i="25590"/>
  <c r="D51" i="25592"/>
  <c r="C243" i="8196"/>
  <c r="C312" i="2561"/>
  <c r="C243" i="2048"/>
  <c r="F122" i="36"/>
  <c r="D91" i="36"/>
  <c r="D79" i="36"/>
  <c r="D101" i="82"/>
  <c r="C192" i="768"/>
  <c r="C312" i="4888"/>
  <c r="C243" i="1024"/>
  <c r="F85" i="36"/>
  <c r="D69" i="36"/>
  <c r="G77" i="36"/>
  <c r="D45" i="36"/>
  <c r="D12" i="36"/>
  <c r="D102" i="516"/>
  <c r="D70" i="516"/>
  <c r="D50" i="516"/>
  <c r="D18" i="516"/>
  <c r="C243" i="523"/>
  <c r="C192" i="10285"/>
  <c r="C47" i="11521"/>
  <c r="C43" i="11521"/>
  <c r="C39" i="11521"/>
  <c r="D35" i="11521"/>
  <c r="D31" i="11521"/>
  <c r="D7" i="11521"/>
  <c r="C243" i="2316"/>
  <c r="C243" i="25588"/>
  <c r="C243" i="2819"/>
  <c r="C312" i="10541"/>
  <c r="C243" i="512"/>
  <c r="C312" i="20994"/>
  <c r="D49" i="11520"/>
  <c r="G40" i="11520"/>
  <c r="C36" i="11520"/>
  <c r="E32" i="11520"/>
  <c r="D29" i="11520"/>
  <c r="D15" i="11520"/>
  <c r="C11" i="11520"/>
  <c r="D7" i="11520"/>
  <c r="G100" i="25585"/>
  <c r="G75" i="25586"/>
  <c r="G100" i="25586"/>
  <c r="C242" i="25590"/>
  <c r="C242" i="25589"/>
  <c r="C242" i="25588"/>
  <c r="C311" i="25587"/>
  <c r="C242" i="512"/>
  <c r="C242" i="8196"/>
  <c r="C242" i="2048"/>
  <c r="C311" i="10541"/>
  <c r="C242" i="523"/>
  <c r="C311" i="2561"/>
  <c r="C242" i="2819"/>
  <c r="C242" i="2316"/>
  <c r="C242" i="1024"/>
  <c r="E195" i="9216"/>
  <c r="C242" i="9216"/>
  <c r="C311" i="20994"/>
  <c r="C191" i="768"/>
  <c r="C191" i="10285"/>
  <c r="C311" i="4888"/>
  <c r="C311" i="25580"/>
  <c r="D311" i="3"/>
  <c r="G98" i="25586"/>
  <c r="G99" i="25585"/>
  <c r="G99" i="25586"/>
  <c r="C241" i="25590"/>
  <c r="C241" i="25589"/>
  <c r="C241" i="25588"/>
  <c r="C310" i="25587"/>
  <c r="C241" i="512"/>
  <c r="C241" i="8196"/>
  <c r="C241" i="2048"/>
  <c r="C310" i="10541"/>
  <c r="C241" i="523"/>
  <c r="C310" i="2561"/>
  <c r="C241" i="2819"/>
  <c r="C241" i="2316"/>
  <c r="C241" i="1024"/>
  <c r="C241" i="9216"/>
  <c r="C310" i="20994"/>
  <c r="C190" i="768"/>
  <c r="C190" i="10285"/>
  <c r="C310" i="4888"/>
  <c r="C310" i="25580"/>
  <c r="D310" i="3"/>
  <c r="G98" i="25585"/>
  <c r="C240" i="25590"/>
  <c r="C240" i="25589"/>
  <c r="C240" i="25588"/>
  <c r="C309" i="25587"/>
  <c r="C240" i="512"/>
  <c r="C240" i="8196"/>
  <c r="C240" i="2048"/>
  <c r="C309" i="10541"/>
  <c r="C240" i="523"/>
  <c r="C309" i="2561"/>
  <c r="F321" i="2561" s="1"/>
  <c r="C240" i="2819"/>
  <c r="C240" i="2316"/>
  <c r="C240" i="1024"/>
  <c r="C240" i="9216"/>
  <c r="C309" i="20994"/>
  <c r="C189" i="768"/>
  <c r="C189" i="10285"/>
  <c r="C309" i="4888"/>
  <c r="C309" i="25580"/>
  <c r="D309" i="3"/>
  <c r="G97" i="25586"/>
  <c r="G97" i="25585"/>
  <c r="C239" i="25590"/>
  <c r="C239" i="25589"/>
  <c r="C239" i="25588"/>
  <c r="C308" i="25587"/>
  <c r="C239" i="512"/>
  <c r="C239" i="8196"/>
  <c r="C239" i="2048"/>
  <c r="C308" i="10541"/>
  <c r="C239" i="523"/>
  <c r="C308" i="2561"/>
  <c r="C239" i="2819"/>
  <c r="C239" i="2316"/>
  <c r="C239" i="1024"/>
  <c r="C239" i="9216"/>
  <c r="C308" i="20994"/>
  <c r="C188" i="768"/>
  <c r="C188" i="10285"/>
  <c r="C308" i="4888"/>
  <c r="C308" i="25580"/>
  <c r="D308" i="3"/>
  <c r="G96" i="25585"/>
  <c r="G96" i="25586"/>
  <c r="C238" i="25590"/>
  <c r="C238" i="25589"/>
  <c r="C238" i="25588"/>
  <c r="C307" i="25587"/>
  <c r="C238" i="512"/>
  <c r="C238" i="8196"/>
  <c r="C238" i="2048"/>
  <c r="C307" i="10541"/>
  <c r="C238" i="523"/>
  <c r="C307" i="2561"/>
  <c r="F319" i="2561" s="1"/>
  <c r="C238" i="2819"/>
  <c r="C238" i="2316"/>
  <c r="C238" i="1024"/>
  <c r="C238" i="9216"/>
  <c r="C307" i="20994"/>
  <c r="C187" i="768"/>
  <c r="C187" i="10285"/>
  <c r="C307" i="4888"/>
  <c r="C307" i="25580"/>
  <c r="D307" i="3"/>
  <c r="G95" i="25586"/>
  <c r="G95" i="25585"/>
  <c r="C237" i="25590"/>
  <c r="C237" i="25589"/>
  <c r="C237" i="25588"/>
  <c r="C306" i="25587"/>
  <c r="C237" i="512"/>
  <c r="C237" i="8196"/>
  <c r="C237" i="2048"/>
  <c r="C306" i="10541"/>
  <c r="C237" i="523"/>
  <c r="C306" i="2561"/>
  <c r="C237" i="2819"/>
  <c r="C237" i="2316"/>
  <c r="C237" i="1024"/>
  <c r="C237" i="9216"/>
  <c r="C306" i="20994"/>
  <c r="C186" i="768"/>
  <c r="C186" i="10285"/>
  <c r="C306" i="4888"/>
  <c r="C306" i="25580"/>
  <c r="D306" i="3"/>
  <c r="G94" i="25585"/>
  <c r="G94" i="25586"/>
  <c r="C236" i="25590"/>
  <c r="C236" i="25589"/>
  <c r="C236" i="25588"/>
  <c r="C305" i="25587"/>
  <c r="C236" i="512"/>
  <c r="C236" i="8196"/>
  <c r="C236" i="2048"/>
  <c r="C305" i="10541"/>
  <c r="C236" i="523"/>
  <c r="C305" i="2561"/>
  <c r="C236" i="2819"/>
  <c r="C236" i="2316"/>
  <c r="C236" i="1024"/>
  <c r="C236" i="9216"/>
  <c r="C305" i="20994"/>
  <c r="C185" i="768"/>
  <c r="C185" i="10285"/>
  <c r="C305" i="4888"/>
  <c r="C305" i="25580"/>
  <c r="D305" i="3"/>
  <c r="G93" i="25586"/>
  <c r="G93" i="25585"/>
  <c r="C235" i="25590"/>
  <c r="C235" i="25589"/>
  <c r="C235" i="25588"/>
  <c r="C304" i="25587"/>
  <c r="C235" i="512"/>
  <c r="C235" i="8196"/>
  <c r="C235" i="2048"/>
  <c r="C304" i="10541"/>
  <c r="C235" i="523"/>
  <c r="C304" i="2561"/>
  <c r="C235" i="2819"/>
  <c r="C235" i="2316"/>
  <c r="C235" i="1024"/>
  <c r="C235" i="9216"/>
  <c r="C304" i="20994"/>
  <c r="C184" i="768"/>
  <c r="C184" i="10285"/>
  <c r="C304" i="4888"/>
  <c r="C304" i="25580"/>
  <c r="D304" i="3"/>
  <c r="G92" i="25586"/>
  <c r="G92" i="25585"/>
  <c r="C234" i="25590"/>
  <c r="C234" i="25589"/>
  <c r="C234" i="25588"/>
  <c r="C303" i="25587"/>
  <c r="C234" i="512"/>
  <c r="C234" i="8196"/>
  <c r="C234" i="2048"/>
  <c r="C303" i="10541"/>
  <c r="C234" i="523"/>
  <c r="C303" i="2561"/>
  <c r="C234" i="2819"/>
  <c r="C234" i="2316"/>
  <c r="C234" i="1024"/>
  <c r="C234" i="9216"/>
  <c r="C303" i="20994"/>
  <c r="C183" i="768"/>
  <c r="C183" i="10285"/>
  <c r="C303" i="4888"/>
  <c r="C303" i="25580"/>
  <c r="D303" i="3"/>
  <c r="G91" i="25585"/>
  <c r="G91" i="25586"/>
  <c r="C233" i="25590"/>
  <c r="C233" i="25589"/>
  <c r="C232" i="25588"/>
  <c r="C233" i="25588"/>
  <c r="C301" i="25587"/>
  <c r="C302" i="25587"/>
  <c r="C233" i="512"/>
  <c r="C233" i="8196"/>
  <c r="C233" i="2048"/>
  <c r="C302" i="10541"/>
  <c r="C233" i="523"/>
  <c r="C302" i="2561"/>
  <c r="C233" i="2819"/>
  <c r="C233" i="2316"/>
  <c r="C233" i="1024"/>
  <c r="C233" i="9216"/>
  <c r="C302" i="20994"/>
  <c r="C182" i="768"/>
  <c r="C182" i="10285"/>
  <c r="C302" i="4888"/>
  <c r="C302" i="25580"/>
  <c r="D302" i="3"/>
  <c r="G90" i="25586"/>
  <c r="G90" i="25585"/>
  <c r="C232" i="25590"/>
  <c r="C232" i="25589"/>
  <c r="C232" i="512"/>
  <c r="C232" i="8196"/>
  <c r="C232" i="2048"/>
  <c r="C301" i="10541"/>
  <c r="C232" i="523"/>
  <c r="C301" i="2561"/>
  <c r="C232" i="2819"/>
  <c r="C232" i="2316"/>
  <c r="C232" i="1024"/>
  <c r="C232" i="9216"/>
  <c r="C301" i="20994"/>
  <c r="C181" i="768"/>
  <c r="C181" i="10285"/>
  <c r="C301" i="4888"/>
  <c r="C301" i="25580"/>
  <c r="D301" i="3"/>
  <c r="G89" i="25585"/>
  <c r="C231" i="25590"/>
  <c r="C231" i="25589"/>
  <c r="C231" i="25588"/>
  <c r="C300" i="25587"/>
  <c r="C231" i="512"/>
  <c r="C231" i="8196"/>
  <c r="C231" i="2048"/>
  <c r="C300" i="10541"/>
  <c r="C231" i="523"/>
  <c r="C300" i="2561"/>
  <c r="C231" i="2819"/>
  <c r="C231" i="2316"/>
  <c r="C231" i="1024"/>
  <c r="C231" i="9216"/>
  <c r="C300" i="20994"/>
  <c r="C180" i="768"/>
  <c r="C180" i="10285"/>
  <c r="C300" i="4888"/>
  <c r="C300" i="25580"/>
  <c r="G89" i="25586"/>
  <c r="D300" i="3"/>
  <c r="G88" i="25585"/>
  <c r="G88" i="25586"/>
  <c r="C230" i="25590"/>
  <c r="D38" i="25593"/>
  <c r="D38" i="25595"/>
  <c r="D18" i="25596"/>
  <c r="H18" i="25598"/>
  <c r="C230" i="9216"/>
  <c r="C299" i="4888"/>
  <c r="C230" i="1024"/>
  <c r="C299" i="25580"/>
  <c r="D20" i="25591"/>
  <c r="G63" i="25596"/>
  <c r="F17" i="25598"/>
  <c r="E37" i="25598"/>
  <c r="F49" i="25598"/>
  <c r="D53" i="25598"/>
  <c r="B172" i="9216"/>
  <c r="C230" i="8196"/>
  <c r="C299" i="2561"/>
  <c r="C230" i="2048"/>
  <c r="C179" i="768"/>
  <c r="C230" i="25588"/>
  <c r="H60" i="25592"/>
  <c r="D41" i="25593"/>
  <c r="D20" i="25596"/>
  <c r="D6" i="25598"/>
  <c r="D18" i="25598"/>
  <c r="C230" i="523"/>
  <c r="C179" i="10285"/>
  <c r="H23" i="11520"/>
  <c r="E142" i="515"/>
  <c r="C299" i="25587"/>
  <c r="C230" i="25589"/>
  <c r="F37" i="25596"/>
  <c r="C230" i="2819"/>
  <c r="C299" i="10541"/>
  <c r="C230" i="512"/>
  <c r="C299" i="20994"/>
  <c r="C230" i="2316"/>
  <c r="D299" i="3"/>
  <c r="G87" i="25585"/>
  <c r="G87" i="25586"/>
  <c r="C229" i="25590"/>
  <c r="C229" i="25589"/>
  <c r="C229" i="25588"/>
  <c r="C298" i="25587"/>
  <c r="C229" i="512"/>
  <c r="C229" i="8196"/>
  <c r="C229" i="2048"/>
  <c r="C298" i="10541"/>
  <c r="C229" i="523"/>
  <c r="C298" i="2561"/>
  <c r="G322" i="2561" s="1"/>
  <c r="F12" i="9728" s="1"/>
  <c r="C229" i="2819"/>
  <c r="C229" i="2316"/>
  <c r="C229" i="1024"/>
  <c r="C229" i="9216"/>
  <c r="C298" i="20994"/>
  <c r="C178" i="768"/>
  <c r="C178" i="10285"/>
  <c r="C298" i="4888"/>
  <c r="C298" i="25580"/>
  <c r="D165" i="36"/>
  <c r="H91" i="516"/>
  <c r="D298" i="3"/>
  <c r="G86" i="25585"/>
  <c r="G86" i="25586"/>
  <c r="G83" i="2316"/>
  <c r="C228" i="25588"/>
  <c r="D17" i="25591"/>
  <c r="H20" i="25591"/>
  <c r="D8" i="25593"/>
  <c r="D24" i="25593"/>
  <c r="E94" i="25593"/>
  <c r="C7" i="25594"/>
  <c r="F35" i="25594"/>
  <c r="C47" i="25594"/>
  <c r="D70" i="25594"/>
  <c r="E34" i="25596"/>
  <c r="F30" i="25598"/>
  <c r="D42" i="25598"/>
  <c r="H963" i="1"/>
  <c r="C228" i="523"/>
  <c r="C177" i="10285"/>
  <c r="E51" i="11521"/>
  <c r="E23" i="11521"/>
  <c r="C297" i="25587"/>
  <c r="C228" i="25589"/>
  <c r="D10" i="25591"/>
  <c r="F18" i="25591"/>
  <c r="E35" i="25591"/>
  <c r="D56" i="25591"/>
  <c r="H11" i="25592"/>
  <c r="D27" i="25592"/>
  <c r="H30" i="25592"/>
  <c r="E66" i="25592"/>
  <c r="D56" i="25593"/>
  <c r="G76" i="25593"/>
  <c r="D9" i="25594"/>
  <c r="D24" i="25594"/>
  <c r="H52" i="25594"/>
  <c r="H30" i="25595"/>
  <c r="H22" i="25596"/>
  <c r="D34" i="25596"/>
  <c r="H35" i="25596"/>
  <c r="E11" i="25597"/>
  <c r="E19" i="25598"/>
  <c r="H965" i="1"/>
  <c r="B167" i="1024"/>
  <c r="H100" i="10498"/>
  <c r="H117" i="10498"/>
  <c r="B148" i="20994"/>
  <c r="H77" i="10498"/>
  <c r="C228" i="2819"/>
  <c r="C297" i="10541"/>
  <c r="C228" i="512"/>
  <c r="C297" i="20994"/>
  <c r="D93" i="40"/>
  <c r="D45" i="40"/>
  <c r="D25" i="40"/>
  <c r="D17" i="40"/>
  <c r="C228" i="2316"/>
  <c r="D297" i="3"/>
  <c r="C297" i="25580"/>
  <c r="E27" i="25593"/>
  <c r="F58" i="25594"/>
  <c r="F33" i="25598"/>
  <c r="C228" i="25590"/>
  <c r="D53" i="25591"/>
  <c r="H5" i="25592"/>
  <c r="D31" i="25592"/>
  <c r="H35" i="25592"/>
  <c r="H65" i="25592"/>
  <c r="E14" i="25593"/>
  <c r="E26" i="25593"/>
  <c r="G54" i="25593"/>
  <c r="G58" i="25593"/>
  <c r="D102" i="25593"/>
  <c r="H5" i="25594"/>
  <c r="F21" i="25594"/>
  <c r="G33" i="25594"/>
  <c r="G73" i="25594"/>
  <c r="F39" i="9728" s="1"/>
  <c r="D8" i="25595"/>
  <c r="H11" i="25595"/>
  <c r="H27" i="25595"/>
  <c r="D26" i="25596"/>
  <c r="H33" i="25596"/>
  <c r="D55" i="25596"/>
  <c r="E61" i="25596"/>
  <c r="D13" i="25597"/>
  <c r="E48" i="25597"/>
  <c r="D15" i="25598"/>
  <c r="C24" i="25598"/>
  <c r="B169" i="9216"/>
  <c r="H67" i="10498"/>
  <c r="G125" i="10498"/>
  <c r="H106" i="10498"/>
  <c r="C228" i="9216"/>
  <c r="E81" i="10498"/>
  <c r="C297" i="4888"/>
  <c r="C228" i="1024"/>
  <c r="B155" i="9216"/>
  <c r="F1514" i="1"/>
  <c r="C50" i="25594"/>
  <c r="C228" i="8196"/>
  <c r="C297" i="2561"/>
  <c r="G321" i="2561" s="1"/>
  <c r="C228" i="2048"/>
  <c r="C177" i="768"/>
  <c r="E116" i="40"/>
  <c r="E124" i="515"/>
  <c r="D108" i="515"/>
  <c r="E80" i="515"/>
  <c r="D76" i="515"/>
  <c r="G85" i="25585"/>
  <c r="G85" i="25586"/>
  <c r="C227" i="25590"/>
  <c r="C227" i="25589"/>
  <c r="C227" i="25588"/>
  <c r="C296" i="25587"/>
  <c r="C227" i="512"/>
  <c r="C227" i="8196"/>
  <c r="C227" i="2048"/>
  <c r="C296" i="10541"/>
  <c r="C227" i="523"/>
  <c r="C296" i="2561"/>
  <c r="C227" i="2819"/>
  <c r="C227" i="2316"/>
  <c r="C227" i="1024"/>
  <c r="C227" i="9216"/>
  <c r="C296" i="20994"/>
  <c r="C176" i="768"/>
  <c r="C176" i="10285"/>
  <c r="C296" i="4888"/>
  <c r="C296" i="25580"/>
  <c r="D296" i="3"/>
  <c r="G84" i="25585"/>
  <c r="G62" i="32"/>
  <c r="G84" i="25586"/>
  <c r="C405" i="3"/>
  <c r="H116" i="3"/>
  <c r="C407" i="3"/>
  <c r="C226" i="25590"/>
  <c r="D7" i="25591"/>
  <c r="D42" i="25591"/>
  <c r="D50" i="25591"/>
  <c r="G55" i="25592"/>
  <c r="F18" i="25593"/>
  <c r="E34" i="25593"/>
  <c r="G44" i="25593"/>
  <c r="H41" i="25593"/>
  <c r="E11" i="25594"/>
  <c r="C15" i="25594"/>
  <c r="G35" i="25594"/>
  <c r="H55" i="25594"/>
  <c r="E19" i="25595"/>
  <c r="D34" i="25595"/>
  <c r="G62" i="25595"/>
  <c r="E41" i="25596"/>
  <c r="F48" i="25596"/>
  <c r="D24" i="25597"/>
  <c r="D29" i="25597"/>
  <c r="F32" i="25597"/>
  <c r="C46" i="25597"/>
  <c r="E52" i="25597"/>
  <c r="D5" i="25598"/>
  <c r="C7" i="25598"/>
  <c r="D11" i="25598"/>
  <c r="G30" i="25598"/>
  <c r="F43" i="25598"/>
  <c r="F47" i="25598"/>
  <c r="D61" i="82"/>
  <c r="F60" i="82"/>
  <c r="F56" i="82"/>
  <c r="D41" i="82"/>
  <c r="D36" i="82"/>
  <c r="D32" i="82"/>
  <c r="D29" i="82"/>
  <c r="C24" i="82"/>
  <c r="C20" i="82"/>
  <c r="D17" i="82"/>
  <c r="D12" i="82"/>
  <c r="D9" i="82"/>
  <c r="E129" i="36"/>
  <c r="D125" i="36"/>
  <c r="G122" i="516"/>
  <c r="C226" i="523"/>
  <c r="C175" i="10285"/>
  <c r="H15" i="11521"/>
  <c r="C226" i="2316"/>
  <c r="D295" i="3"/>
  <c r="E1524" i="1"/>
  <c r="E31" i="25591"/>
  <c r="F39" i="25591"/>
  <c r="E47" i="25591"/>
  <c r="E51" i="25591"/>
  <c r="C12" i="25592"/>
  <c r="G41" i="25592"/>
  <c r="G60" i="25593"/>
  <c r="G86" i="25593"/>
  <c r="G90" i="25593"/>
  <c r="G98" i="25593"/>
  <c r="D12" i="25594"/>
  <c r="D20" i="25594"/>
  <c r="G44" i="25594"/>
  <c r="D12" i="25595"/>
  <c r="H20" i="25596"/>
  <c r="F30" i="25596"/>
  <c r="E46" i="25596"/>
  <c r="H65" i="25596"/>
  <c r="F22" i="25597"/>
  <c r="D44" i="25597"/>
  <c r="E47" i="25597"/>
  <c r="E53" i="25597"/>
  <c r="C5" i="25598"/>
  <c r="E35" i="25598"/>
  <c r="E44" i="25598"/>
  <c r="E48" i="25598"/>
  <c r="G51" i="25598"/>
  <c r="C226" i="2819"/>
  <c r="C295" i="10541"/>
  <c r="C226" i="512"/>
  <c r="G83" i="82"/>
  <c r="G99" i="82"/>
  <c r="D37" i="11522"/>
  <c r="D33" i="11522"/>
  <c r="D122" i="516"/>
  <c r="C295" i="20994"/>
  <c r="F55" i="10498"/>
  <c r="D58" i="40"/>
  <c r="D42" i="40"/>
  <c r="D30" i="40"/>
  <c r="C295" i="4888"/>
  <c r="C226" i="1024"/>
  <c r="E148" i="11522"/>
  <c r="C149" i="11522"/>
  <c r="G1514" i="1"/>
  <c r="C226" i="25588"/>
  <c r="D22" i="25591"/>
  <c r="D26" i="25591"/>
  <c r="F29" i="25591"/>
  <c r="D44" i="25591"/>
  <c r="E48" i="25592"/>
  <c r="G36" i="25593"/>
  <c r="F39" i="25593"/>
  <c r="D53" i="25593"/>
  <c r="C9" i="25594"/>
  <c r="C31" i="25594"/>
  <c r="G41" i="25594"/>
  <c r="D51" i="25594"/>
  <c r="D18" i="25595"/>
  <c r="C28" i="25595"/>
  <c r="D33" i="25595"/>
  <c r="G52" i="25595"/>
  <c r="D27" i="25596"/>
  <c r="G50" i="25596"/>
  <c r="E16" i="25597"/>
  <c r="D26" i="25597"/>
  <c r="D46" i="25597"/>
  <c r="D47" i="25597"/>
  <c r="E50" i="25597"/>
  <c r="C36" i="25598"/>
  <c r="F52" i="25598"/>
  <c r="E90" i="82"/>
  <c r="D64" i="516"/>
  <c r="E44" i="516"/>
  <c r="C226" i="9216"/>
  <c r="H94" i="10498"/>
  <c r="E91" i="10498"/>
  <c r="D79" i="10498"/>
  <c r="H66" i="10498"/>
  <c r="G136" i="515"/>
  <c r="G92" i="515"/>
  <c r="G84" i="515"/>
  <c r="C295" i="25587"/>
  <c r="C226" i="25589"/>
  <c r="F37" i="25591"/>
  <c r="D54" i="25592"/>
  <c r="G71" i="25592"/>
  <c r="H36" i="25593"/>
  <c r="C25" i="25594"/>
  <c r="C28" i="25594"/>
  <c r="G38" i="25594"/>
  <c r="C64" i="25594"/>
  <c r="D15" i="25595"/>
  <c r="G29" i="25595"/>
  <c r="D42" i="25595"/>
  <c r="C49" i="25595"/>
  <c r="D19" i="25596"/>
  <c r="F34" i="25596"/>
  <c r="G44" i="25596"/>
  <c r="C10" i="25597"/>
  <c r="C16" i="25597"/>
  <c r="C31" i="25597"/>
  <c r="C38" i="25597"/>
  <c r="F65" i="25597"/>
  <c r="C26" i="25598"/>
  <c r="F46" i="25598"/>
  <c r="C226" i="8196"/>
  <c r="C295" i="2561"/>
  <c r="G319" i="2561" s="1"/>
  <c r="C226" i="2048"/>
  <c r="C107" i="36"/>
  <c r="C87" i="36"/>
  <c r="C83" i="36"/>
  <c r="C75" i="36"/>
  <c r="E145" i="82"/>
  <c r="E137" i="82"/>
  <c r="E133" i="82"/>
  <c r="E129" i="82"/>
  <c r="E121" i="82"/>
  <c r="G93" i="82"/>
  <c r="D146" i="11522"/>
  <c r="C135" i="516"/>
  <c r="C175" i="768"/>
  <c r="C60" i="40"/>
  <c r="D140" i="515"/>
  <c r="C295" i="25580"/>
  <c r="G83" i="25586"/>
  <c r="G83" i="25585"/>
  <c r="C225" i="25588"/>
  <c r="C294" i="25587"/>
  <c r="C225" i="512"/>
  <c r="C225" i="8196"/>
  <c r="C225" i="2048"/>
  <c r="C294" i="10541"/>
  <c r="G188" i="10541"/>
  <c r="C225" i="523"/>
  <c r="C294" i="2561"/>
  <c r="G318" i="2561" s="1"/>
  <c r="C225" i="1024"/>
  <c r="C225" i="9216"/>
  <c r="C294" i="20994"/>
  <c r="C174" i="768"/>
  <c r="C174" i="10285"/>
  <c r="C294" i="4888"/>
  <c r="C48" i="4888"/>
  <c r="G114" i="25580"/>
  <c r="C294" i="25580"/>
  <c r="D294" i="3"/>
  <c r="G82" i="25585"/>
  <c r="G82" i="25586"/>
  <c r="C224" i="25590"/>
  <c r="C224" i="25589"/>
  <c r="C224" i="25588"/>
  <c r="C293" i="25587"/>
  <c r="C224" i="512"/>
  <c r="C224" i="8196"/>
  <c r="C224" i="2048"/>
  <c r="C293" i="10541"/>
  <c r="C224" i="523"/>
  <c r="C293" i="2561"/>
  <c r="C224" i="2819"/>
  <c r="C224" i="2316"/>
  <c r="C224" i="1024"/>
  <c r="C224" i="9216"/>
  <c r="C293" i="20994"/>
  <c r="C173" i="768"/>
  <c r="C173" i="10285"/>
  <c r="G89" i="10285"/>
  <c r="C293" i="4888"/>
  <c r="C293" i="25580"/>
  <c r="E20" i="3"/>
  <c r="D293" i="3"/>
  <c r="C409" i="3"/>
  <c r="F165" i="3"/>
  <c r="G81" i="25585"/>
  <c r="G81" i="25586"/>
  <c r="C223" i="25590"/>
  <c r="C223" i="25589"/>
  <c r="C223" i="25588"/>
  <c r="C292" i="25587"/>
  <c r="C223" i="512"/>
  <c r="C223" i="8196"/>
  <c r="C223" i="2048"/>
  <c r="C292" i="10541"/>
  <c r="C223" i="523"/>
  <c r="C292" i="2561"/>
  <c r="C223" i="2819"/>
  <c r="C223" i="2316"/>
  <c r="C223" i="1024"/>
  <c r="C223" i="9216"/>
  <c r="C292" i="20994"/>
  <c r="C172" i="768"/>
  <c r="C172" i="10285"/>
  <c r="C292" i="4888"/>
  <c r="C292" i="25580"/>
  <c r="D292" i="3"/>
  <c r="G80" i="25585"/>
  <c r="G80" i="25586"/>
  <c r="C222" i="2316"/>
  <c r="D105" i="10498"/>
  <c r="F117" i="10498"/>
  <c r="C23" i="25593"/>
  <c r="C50" i="25593"/>
  <c r="C68" i="25595"/>
  <c r="C118" i="36"/>
  <c r="C222" i="9216"/>
  <c r="G79" i="10498"/>
  <c r="C222" i="1024"/>
  <c r="G149" i="516"/>
  <c r="G79" i="25586"/>
  <c r="C9" i="25595"/>
  <c r="D13" i="25595"/>
  <c r="F24" i="25595"/>
  <c r="E35" i="25595"/>
  <c r="C38" i="25595"/>
  <c r="C43" i="25595"/>
  <c r="C55" i="25595"/>
  <c r="C66" i="25596"/>
  <c r="C291" i="25587"/>
  <c r="C222" i="25589"/>
  <c r="G37" i="25591"/>
  <c r="D16" i="25591"/>
  <c r="D28" i="25591"/>
  <c r="E29" i="25591"/>
  <c r="D37" i="25591"/>
  <c r="F45" i="25591"/>
  <c r="H12" i="25592"/>
  <c r="F19" i="25592"/>
  <c r="E23" i="25592"/>
  <c r="F41" i="25592"/>
  <c r="F44" i="25592"/>
  <c r="D38" i="25592"/>
  <c r="D44" i="25592"/>
  <c r="H46" i="25592"/>
  <c r="G49" i="25592"/>
  <c r="E54" i="25592"/>
  <c r="F73" i="25592"/>
  <c r="G38" i="9728" s="1"/>
  <c r="D65" i="25592"/>
  <c r="D67" i="25592"/>
  <c r="C70" i="25592"/>
  <c r="E38" i="9728" s="1"/>
  <c r="D71" i="25592"/>
  <c r="H73" i="25592"/>
  <c r="D21" i="25593"/>
  <c r="F26" i="25593"/>
  <c r="D29" i="25593"/>
  <c r="C32" i="25593"/>
  <c r="D51" i="25593"/>
  <c r="C64" i="25593"/>
  <c r="F72" i="25593"/>
  <c r="G101" i="25593"/>
  <c r="G80" i="25593"/>
  <c r="D83" i="25593"/>
  <c r="C87" i="25593"/>
  <c r="D96" i="25593"/>
  <c r="D7" i="25594"/>
  <c r="H12" i="25594"/>
  <c r="F17" i="25594"/>
  <c r="C26" i="25594"/>
  <c r="C29" i="25594"/>
  <c r="D36" i="25594"/>
  <c r="G45" i="25594"/>
  <c r="E53" i="25594"/>
  <c r="C56" i="25594"/>
  <c r="C59" i="25594"/>
  <c r="F72" i="25594"/>
  <c r="C12" i="25595"/>
  <c r="D19" i="25595"/>
  <c r="G49" i="25595"/>
  <c r="C27" i="25595"/>
  <c r="F32" i="25595"/>
  <c r="E34" i="25595"/>
  <c r="G39" i="25595"/>
  <c r="G42" i="25595"/>
  <c r="C46" i="25595"/>
  <c r="F59" i="25595"/>
  <c r="H68" i="25595"/>
  <c r="C6" i="25596"/>
  <c r="C9" i="25596"/>
  <c r="H13" i="25596"/>
  <c r="D21" i="25596"/>
  <c r="D23" i="25596"/>
  <c r="H25" i="25596"/>
  <c r="G31" i="25596"/>
  <c r="C36" i="25596"/>
  <c r="D39" i="25596"/>
  <c r="F45" i="25596"/>
  <c r="G47" i="25596"/>
  <c r="D53" i="25596"/>
  <c r="H59" i="25596"/>
  <c r="H61" i="25596"/>
  <c r="D68" i="25596"/>
  <c r="F17" i="25597"/>
  <c r="C9" i="25597"/>
  <c r="D20" i="25597"/>
  <c r="E34" i="25597"/>
  <c r="C39" i="25597"/>
  <c r="C42" i="25597"/>
  <c r="F44" i="25597"/>
  <c r="C49" i="25597"/>
  <c r="D55" i="25597"/>
  <c r="G17" i="25597"/>
  <c r="D13" i="25598"/>
  <c r="C18" i="25598"/>
  <c r="D21" i="25598"/>
  <c r="C25" i="25598"/>
  <c r="E27" i="25598"/>
  <c r="C31" i="25598"/>
  <c r="E33" i="25598"/>
  <c r="C35" i="25598"/>
  <c r="D37" i="25598"/>
  <c r="C42" i="25598"/>
  <c r="C44" i="25598"/>
  <c r="E54" i="25598"/>
  <c r="D97" i="40"/>
  <c r="D105" i="40"/>
  <c r="E97" i="40"/>
  <c r="D137" i="40"/>
  <c r="D49" i="40"/>
  <c r="D142" i="40"/>
  <c r="C41" i="40"/>
  <c r="D10" i="40"/>
  <c r="D26" i="40"/>
  <c r="E33" i="40"/>
  <c r="F41" i="40"/>
  <c r="D114" i="40"/>
  <c r="E113" i="40"/>
  <c r="E121" i="40"/>
  <c r="H24" i="516"/>
  <c r="H39" i="516"/>
  <c r="C57" i="40"/>
  <c r="C110" i="40"/>
  <c r="D73" i="40"/>
  <c r="D129" i="40"/>
  <c r="G129" i="40"/>
  <c r="G81" i="40"/>
  <c r="C11" i="40"/>
  <c r="C31" i="40"/>
  <c r="C139" i="40"/>
  <c r="C68" i="40"/>
  <c r="C15" i="40"/>
  <c r="C157" i="40"/>
  <c r="C170" i="36"/>
  <c r="G169" i="516"/>
  <c r="C135" i="40"/>
  <c r="C118" i="40"/>
  <c r="E17" i="40"/>
  <c r="G145" i="40"/>
  <c r="C39" i="40"/>
  <c r="C168" i="40"/>
  <c r="G161" i="40"/>
  <c r="C97" i="40"/>
  <c r="C86" i="40"/>
  <c r="G165" i="82"/>
  <c r="C50" i="40"/>
  <c r="C137" i="40"/>
  <c r="C170" i="515"/>
  <c r="F1553" i="1"/>
  <c r="G76" i="515"/>
  <c r="D74" i="82"/>
  <c r="C31" i="2"/>
  <c r="G45" i="36"/>
  <c r="G65" i="36"/>
  <c r="C66" i="36"/>
  <c r="D39" i="515"/>
  <c r="C30" i="2"/>
  <c r="E27" i="11521"/>
  <c r="F51" i="11521"/>
  <c r="G133" i="516"/>
  <c r="G140" i="11522"/>
  <c r="E61" i="36"/>
  <c r="G56" i="82"/>
  <c r="C67" i="36"/>
  <c r="G35" i="516"/>
  <c r="C43" i="516"/>
  <c r="C111" i="516"/>
  <c r="G55" i="515"/>
  <c r="G89" i="36"/>
  <c r="D129" i="36"/>
  <c r="D8" i="10498"/>
  <c r="D107" i="10498"/>
  <c r="E28" i="82"/>
  <c r="D29" i="36"/>
  <c r="D99" i="516"/>
  <c r="D98" i="516"/>
  <c r="C120" i="11522"/>
  <c r="C144" i="11522"/>
  <c r="G144" i="11522"/>
  <c r="H111" i="10498"/>
  <c r="G76" i="11522"/>
  <c r="D128" i="11522"/>
  <c r="D129" i="11522"/>
  <c r="D137" i="11522"/>
  <c r="H119" i="10498"/>
  <c r="D112" i="10498"/>
  <c r="F124" i="515"/>
  <c r="C94" i="516"/>
  <c r="G115" i="10498"/>
  <c r="C78" i="10498"/>
  <c r="C29" i="516"/>
  <c r="D54" i="82"/>
  <c r="F63" i="10498"/>
  <c r="C123" i="516"/>
  <c r="D81" i="40"/>
  <c r="F23" i="516"/>
  <c r="F149" i="36"/>
  <c r="C145" i="36"/>
  <c r="D61" i="36"/>
  <c r="E79" i="36"/>
  <c r="C12" i="11522"/>
  <c r="F40" i="11522"/>
  <c r="F36" i="11522"/>
  <c r="E17" i="515"/>
  <c r="E70" i="515"/>
  <c r="D67" i="515"/>
  <c r="D26" i="36"/>
  <c r="E41" i="36"/>
  <c r="E29" i="2"/>
  <c r="D37" i="2"/>
  <c r="E37" i="2"/>
  <c r="D8" i="82"/>
  <c r="H47" i="10498"/>
  <c r="C6" i="2"/>
  <c r="C22" i="2"/>
  <c r="E22" i="2"/>
  <c r="D30" i="2"/>
  <c r="D69" i="82"/>
  <c r="C69" i="82"/>
  <c r="D110" i="516"/>
  <c r="C16" i="516"/>
  <c r="C138" i="516"/>
  <c r="C36" i="515"/>
  <c r="C53" i="82"/>
  <c r="D58" i="82"/>
  <c r="E76" i="82"/>
  <c r="D88" i="36"/>
  <c r="C12" i="40"/>
  <c r="D15" i="11521"/>
  <c r="H19" i="11521"/>
  <c r="H31" i="11521"/>
  <c r="E35" i="11521"/>
  <c r="G39" i="11521"/>
  <c r="G47" i="11521"/>
  <c r="C18" i="2"/>
  <c r="E20" i="2"/>
  <c r="E24" i="2"/>
  <c r="C32" i="2"/>
  <c r="D24" i="10498"/>
  <c r="D28" i="10498"/>
  <c r="C36" i="10498"/>
  <c r="G45" i="10498"/>
  <c r="G49" i="10498"/>
  <c r="G53" i="10498"/>
  <c r="G63" i="10498"/>
  <c r="E84" i="10498"/>
  <c r="G103" i="10498"/>
  <c r="E73" i="82"/>
  <c r="D53" i="36"/>
  <c r="D30" i="36"/>
  <c r="D57" i="82"/>
  <c r="D37" i="36"/>
  <c r="D13" i="36"/>
  <c r="C82" i="36"/>
  <c r="D59" i="515"/>
  <c r="E33" i="515"/>
  <c r="D20" i="515"/>
  <c r="D84" i="11522"/>
  <c r="E69" i="11522"/>
  <c r="C20" i="11522"/>
  <c r="D8" i="11522"/>
  <c r="E94" i="516"/>
  <c r="D78" i="516"/>
  <c r="D55" i="516"/>
  <c r="D42" i="516"/>
  <c r="C38" i="516"/>
  <c r="C88" i="516"/>
  <c r="D93" i="82"/>
  <c r="E112" i="11522"/>
  <c r="C102" i="516"/>
  <c r="C63" i="515"/>
  <c r="D38" i="36"/>
  <c r="C128" i="36"/>
  <c r="D90" i="516"/>
  <c r="C14" i="36"/>
  <c r="C8" i="516"/>
  <c r="C90" i="82"/>
  <c r="C72" i="515"/>
  <c r="F73" i="36"/>
  <c r="C43" i="36"/>
  <c r="C33" i="36"/>
  <c r="E53" i="82"/>
  <c r="C30" i="516"/>
  <c r="E34" i="516"/>
  <c r="C40" i="516"/>
  <c r="D43" i="516"/>
  <c r="C52" i="516"/>
  <c r="G66" i="516"/>
  <c r="D74" i="516"/>
  <c r="F78" i="516"/>
  <c r="C40" i="11522"/>
  <c r="C68" i="11522"/>
  <c r="C92" i="11522"/>
  <c r="C148" i="11522"/>
  <c r="E20" i="11522"/>
  <c r="E48" i="11522"/>
  <c r="E65" i="11522"/>
  <c r="D72" i="11522"/>
  <c r="E96" i="11522"/>
  <c r="C8" i="515"/>
  <c r="E37" i="515"/>
  <c r="C42" i="515"/>
  <c r="E59" i="515"/>
  <c r="C40" i="82"/>
  <c r="C145" i="82"/>
  <c r="E48" i="82"/>
  <c r="G72" i="82"/>
  <c r="D98" i="82"/>
  <c r="G114" i="82"/>
  <c r="D141" i="82"/>
  <c r="C38" i="36"/>
  <c r="C60" i="36"/>
  <c r="D76" i="36"/>
  <c r="C104" i="36"/>
  <c r="C126" i="36"/>
  <c r="F134" i="36"/>
  <c r="D66" i="82"/>
  <c r="C73" i="82"/>
  <c r="C22" i="36"/>
  <c r="C18" i="36"/>
  <c r="C54" i="36"/>
  <c r="H11" i="11521"/>
  <c r="D117" i="515"/>
  <c r="E136" i="515"/>
  <c r="F147" i="515"/>
  <c r="F132" i="515"/>
  <c r="E968" i="1"/>
  <c r="F46" i="516"/>
  <c r="G90" i="516"/>
  <c r="D87" i="36"/>
  <c r="E967" i="1"/>
  <c r="D37" i="82"/>
  <c r="G127" i="36"/>
  <c r="E83" i="36"/>
  <c r="E78" i="36"/>
  <c r="C73" i="36"/>
  <c r="C90" i="36"/>
  <c r="E111" i="36"/>
  <c r="D100" i="36"/>
  <c r="F79" i="36"/>
  <c r="D83" i="36"/>
  <c r="E100" i="36"/>
  <c r="D108" i="36"/>
  <c r="F126" i="36"/>
  <c r="E118" i="36"/>
  <c r="D130" i="82"/>
  <c r="G40" i="82"/>
  <c r="E44" i="82"/>
  <c r="D76" i="82"/>
  <c r="E82" i="82"/>
  <c r="E88" i="82"/>
  <c r="D145" i="82"/>
  <c r="F73" i="82"/>
  <c r="E32" i="82"/>
  <c r="F129" i="36"/>
  <c r="D122" i="36"/>
  <c r="E133" i="36"/>
  <c r="C139" i="36"/>
  <c r="D142" i="36"/>
  <c r="D19" i="516"/>
  <c r="G54" i="516"/>
  <c r="E113" i="516"/>
  <c r="F129" i="516"/>
  <c r="D121" i="516"/>
  <c r="E125" i="516"/>
  <c r="C127" i="516"/>
  <c r="G82" i="516"/>
  <c r="D141" i="516"/>
  <c r="D129" i="516"/>
  <c r="C56" i="515"/>
  <c r="E70" i="10498"/>
  <c r="E100" i="515"/>
  <c r="C120" i="515"/>
  <c r="C15" i="11520"/>
  <c r="G32" i="11520"/>
  <c r="C76" i="40"/>
  <c r="C128" i="516"/>
  <c r="G108" i="515"/>
  <c r="C40" i="11520"/>
  <c r="G102" i="516"/>
  <c r="E50" i="515"/>
  <c r="C60" i="515"/>
  <c r="F119" i="36"/>
  <c r="C31" i="36"/>
  <c r="F45" i="36"/>
  <c r="C71" i="36"/>
  <c r="F79" i="515"/>
  <c r="E91" i="82"/>
  <c r="F100" i="515"/>
  <c r="D121" i="515"/>
  <c r="F102" i="82"/>
  <c r="G99" i="10498"/>
  <c r="E86" i="10498"/>
  <c r="E80" i="10498"/>
  <c r="E149" i="11522"/>
  <c r="F140" i="515"/>
  <c r="D89" i="515"/>
  <c r="H16" i="10498"/>
  <c r="C117" i="515"/>
  <c r="C99" i="516"/>
  <c r="E137" i="516"/>
  <c r="E66" i="11522"/>
  <c r="F108" i="515"/>
  <c r="D113" i="515"/>
  <c r="F92" i="515"/>
  <c r="E88" i="515"/>
  <c r="F59" i="515"/>
  <c r="C145" i="516"/>
  <c r="N231" i="1"/>
  <c r="H335" i="1"/>
  <c r="D1010" i="1"/>
  <c r="C124" i="515"/>
  <c r="E57" i="515"/>
  <c r="D128" i="515"/>
  <c r="H68" i="11520"/>
  <c r="H52" i="11520"/>
  <c r="B10" i="2316"/>
  <c r="D91" i="10498"/>
  <c r="D60" i="515"/>
  <c r="F103" i="36"/>
  <c r="F47" i="10498"/>
  <c r="D44" i="515"/>
  <c r="D52" i="10498"/>
  <c r="C114" i="36"/>
  <c r="E141" i="36"/>
  <c r="D95" i="516"/>
  <c r="E70" i="11522"/>
  <c r="C62" i="10498"/>
  <c r="C12" i="10498"/>
  <c r="C70" i="10498"/>
  <c r="D13" i="10498"/>
  <c r="G44" i="10498"/>
  <c r="F51" i="10498"/>
  <c r="D62" i="10498"/>
  <c r="E71" i="10498"/>
  <c r="E73" i="10498"/>
  <c r="D83" i="10498"/>
  <c r="D87" i="10498"/>
  <c r="D98" i="10498"/>
  <c r="G111" i="10498"/>
  <c r="C62" i="516"/>
  <c r="E30" i="516"/>
  <c r="E70" i="516"/>
  <c r="C87" i="516"/>
  <c r="D107" i="516"/>
  <c r="F121" i="516"/>
  <c r="D138" i="516"/>
  <c r="G145" i="516"/>
  <c r="C24" i="11522"/>
  <c r="F104" i="11522"/>
  <c r="D68" i="515"/>
  <c r="F75" i="82"/>
  <c r="F81" i="82"/>
  <c r="G87" i="82"/>
  <c r="F93" i="82"/>
  <c r="F121" i="82"/>
  <c r="C100" i="36"/>
  <c r="C124" i="36"/>
  <c r="E57" i="36"/>
  <c r="E77" i="36"/>
  <c r="G85" i="36"/>
  <c r="E95" i="36"/>
  <c r="C109" i="36"/>
  <c r="F115" i="36"/>
  <c r="C123" i="36"/>
  <c r="C143" i="36"/>
  <c r="G80" i="515"/>
  <c r="D100" i="515"/>
  <c r="D120" i="515"/>
  <c r="E140" i="515"/>
  <c r="G31" i="11520"/>
  <c r="G35" i="11520"/>
  <c r="D16" i="11520"/>
  <c r="C19" i="11520"/>
  <c r="H19" i="11520"/>
  <c r="D32" i="11520"/>
  <c r="C10" i="2"/>
  <c r="E74" i="10498"/>
  <c r="D124" i="515"/>
  <c r="D105" i="515"/>
  <c r="F131" i="515"/>
  <c r="E139" i="515"/>
  <c r="C60" i="11520"/>
  <c r="C23" i="11520"/>
  <c r="C70" i="40"/>
  <c r="D96" i="36"/>
  <c r="B141" i="9216"/>
  <c r="E15" i="2"/>
  <c r="E60" i="11520"/>
  <c r="E72" i="11520"/>
  <c r="H40" i="9728" s="1"/>
  <c r="C68" i="11520"/>
  <c r="G52" i="11520"/>
  <c r="C222" i="2819"/>
  <c r="C291" i="10541"/>
  <c r="C222" i="512"/>
  <c r="E94" i="36"/>
  <c r="F98" i="36"/>
  <c r="E92" i="82"/>
  <c r="D90" i="82"/>
  <c r="C136" i="516"/>
  <c r="D54" i="516"/>
  <c r="D30" i="516"/>
  <c r="D14" i="516"/>
  <c r="C222" i="523"/>
  <c r="B59" i="9216"/>
  <c r="C171" i="768"/>
  <c r="E16" i="2"/>
  <c r="D291" i="3"/>
  <c r="F160" i="515"/>
  <c r="C222" i="25588"/>
  <c r="E49" i="25591"/>
  <c r="E104" i="25593"/>
  <c r="D36" i="25598"/>
  <c r="C222" i="8196"/>
  <c r="C222" i="25590"/>
  <c r="D21" i="25591"/>
  <c r="G40" i="25591"/>
  <c r="G45" i="25591"/>
  <c r="G44" i="25592"/>
  <c r="F24" i="25592"/>
  <c r="G33" i="25592"/>
  <c r="C36" i="25592"/>
  <c r="E53" i="25592"/>
  <c r="G54" i="25592"/>
  <c r="D62" i="25592"/>
  <c r="C68" i="25592"/>
  <c r="G70" i="25592"/>
  <c r="F19" i="25593"/>
  <c r="G33" i="25593"/>
  <c r="C40" i="25593"/>
  <c r="C42" i="25593"/>
  <c r="D48" i="25593"/>
  <c r="F58" i="25593"/>
  <c r="H61" i="25593"/>
  <c r="G65" i="25593"/>
  <c r="C69" i="25593"/>
  <c r="F75" i="25593"/>
  <c r="G88" i="25593"/>
  <c r="G106" i="25593"/>
  <c r="C13" i="25594"/>
  <c r="C16" i="25594"/>
  <c r="C18" i="25594"/>
  <c r="C32" i="25594"/>
  <c r="G36" i="25594"/>
  <c r="G39" i="25594"/>
  <c r="F42" i="25594"/>
  <c r="G57" i="25594"/>
  <c r="G59" i="25594"/>
  <c r="G62" i="25594"/>
  <c r="E66" i="25594"/>
  <c r="C7" i="25595"/>
  <c r="F19" i="25595"/>
  <c r="C25" i="25595"/>
  <c r="C30" i="25595"/>
  <c r="H32" i="25595"/>
  <c r="H34" i="25595"/>
  <c r="E39" i="25595"/>
  <c r="F44" i="25595"/>
  <c r="E54" i="25595"/>
  <c r="C67" i="25595"/>
  <c r="D69" i="25595"/>
  <c r="C72" i="25595"/>
  <c r="D8" i="25596"/>
  <c r="H16" i="25596"/>
  <c r="H21" i="25596"/>
  <c r="G29" i="25596"/>
  <c r="G42" i="25596"/>
  <c r="C60" i="25596"/>
  <c r="C62" i="25596"/>
  <c r="G68" i="25596"/>
  <c r="C12" i="25597"/>
  <c r="E20" i="25597"/>
  <c r="D23" i="25597"/>
  <c r="F29" i="25597"/>
  <c r="F35" i="25597"/>
  <c r="C43" i="25597"/>
  <c r="C63" i="25597"/>
  <c r="B66" i="25597"/>
  <c r="C66" i="25597" s="1"/>
  <c r="C46" i="25598"/>
  <c r="C12" i="25598"/>
  <c r="F16" i="25598"/>
  <c r="C20" i="25598"/>
  <c r="C23" i="25598"/>
  <c r="F27" i="25598"/>
  <c r="F31" i="25598"/>
  <c r="C39" i="25598"/>
  <c r="F45" i="25598"/>
  <c r="G55" i="25598"/>
  <c r="G105" i="40"/>
  <c r="C17" i="40"/>
  <c r="E65" i="40"/>
  <c r="G41" i="40"/>
  <c r="F73" i="40"/>
  <c r="E41" i="40"/>
  <c r="E25" i="40"/>
  <c r="C33" i="40"/>
  <c r="D41" i="40"/>
  <c r="D113" i="40"/>
  <c r="G113" i="40"/>
  <c r="C49" i="40"/>
  <c r="D106" i="40"/>
  <c r="E137" i="40"/>
  <c r="D90" i="40"/>
  <c r="F89" i="40"/>
  <c r="E151" i="11522"/>
  <c r="H64" i="516"/>
  <c r="C148" i="40"/>
  <c r="D57" i="40"/>
  <c r="C74" i="40"/>
  <c r="C82" i="40"/>
  <c r="G89" i="40"/>
  <c r="C129" i="40"/>
  <c r="C58" i="40"/>
  <c r="C88" i="40"/>
  <c r="D94" i="40"/>
  <c r="C163" i="40"/>
  <c r="C28" i="40"/>
  <c r="H76" i="11522"/>
  <c r="F157" i="82"/>
  <c r="C26" i="40"/>
  <c r="C111" i="40"/>
  <c r="C67" i="40"/>
  <c r="G121" i="40"/>
  <c r="C84" i="40"/>
  <c r="D145" i="40"/>
  <c r="C52" i="40"/>
  <c r="G97" i="40"/>
  <c r="C168" i="36"/>
  <c r="G161" i="516"/>
  <c r="F153" i="36"/>
  <c r="C112" i="40"/>
  <c r="C80" i="40"/>
  <c r="G161" i="36"/>
  <c r="C9" i="515"/>
  <c r="G91" i="36"/>
  <c r="D23" i="516"/>
  <c r="C25" i="2"/>
  <c r="D91" i="516"/>
  <c r="C8" i="82"/>
  <c r="C63" i="36"/>
  <c r="F53" i="36"/>
  <c r="C27" i="11521"/>
  <c r="F109" i="516"/>
  <c r="G148" i="11522"/>
  <c r="F24" i="82"/>
  <c r="C104" i="516"/>
  <c r="C13" i="515"/>
  <c r="G31" i="515"/>
  <c r="C89" i="36"/>
  <c r="G129" i="36"/>
  <c r="G44" i="82"/>
  <c r="D145" i="36"/>
  <c r="D28" i="82"/>
  <c r="G53" i="36"/>
  <c r="G98" i="516"/>
  <c r="C98" i="516"/>
  <c r="D45" i="11522"/>
  <c r="D121" i="11522"/>
  <c r="F132" i="11522"/>
  <c r="E144" i="11522"/>
  <c r="F144" i="11522"/>
  <c r="C111" i="10498"/>
  <c r="F128" i="11522"/>
  <c r="G128" i="11522"/>
  <c r="D113" i="11522"/>
  <c r="C136" i="11522"/>
  <c r="G136" i="11522"/>
  <c r="F119" i="10498"/>
  <c r="E62" i="515"/>
  <c r="G36" i="36"/>
  <c r="G64" i="11522"/>
  <c r="G118" i="516"/>
  <c r="C140" i="516"/>
  <c r="F19" i="516"/>
  <c r="F36" i="82"/>
  <c r="F28" i="36"/>
  <c r="E18" i="516"/>
  <c r="D46" i="36"/>
  <c r="G137" i="36"/>
  <c r="E145" i="36"/>
  <c r="C79" i="36"/>
  <c r="C130" i="36"/>
  <c r="F114" i="516"/>
  <c r="D114" i="516"/>
  <c r="C122" i="516"/>
  <c r="F20" i="11522"/>
  <c r="F28" i="11522"/>
  <c r="G36" i="11522"/>
  <c r="E67" i="11522"/>
  <c r="E60" i="515"/>
  <c r="D17" i="36"/>
  <c r="G73" i="36"/>
  <c r="F29" i="2"/>
  <c r="C37" i="2"/>
  <c r="G37" i="2"/>
  <c r="F20" i="82"/>
  <c r="D62" i="82"/>
  <c r="H102" i="10498"/>
  <c r="D6" i="2"/>
  <c r="E14" i="2"/>
  <c r="D14" i="2"/>
  <c r="E30" i="2"/>
  <c r="G69" i="82"/>
  <c r="F61" i="82"/>
  <c r="G53" i="82"/>
  <c r="G57" i="82"/>
  <c r="D11" i="516"/>
  <c r="E78" i="82"/>
  <c r="B132" i="20994"/>
  <c r="E15" i="11521"/>
  <c r="D20" i="11521"/>
  <c r="D24" i="11521"/>
  <c r="C31" i="11521"/>
  <c r="C35" i="11521"/>
  <c r="F39" i="11521"/>
  <c r="F47" i="11521"/>
  <c r="D55" i="11521"/>
  <c r="C24" i="2"/>
  <c r="E26" i="2"/>
  <c r="C28" i="2"/>
  <c r="E32" i="2"/>
  <c r="D38" i="2"/>
  <c r="F20" i="10498"/>
  <c r="F24" i="10498"/>
  <c r="D29" i="10498"/>
  <c r="E36" i="10498"/>
  <c r="F44" i="10498"/>
  <c r="F62" i="10498"/>
  <c r="E72" i="10498"/>
  <c r="E76" i="10498"/>
  <c r="F102" i="10498"/>
  <c r="C26" i="36"/>
  <c r="D21" i="82"/>
  <c r="D75" i="36"/>
  <c r="C52" i="36"/>
  <c r="C138" i="36"/>
  <c r="E96" i="82"/>
  <c r="C17" i="515"/>
  <c r="E76" i="11522"/>
  <c r="E40" i="11522"/>
  <c r="D24" i="11522"/>
  <c r="D113" i="516"/>
  <c r="D51" i="516"/>
  <c r="C118" i="516"/>
  <c r="D45" i="82"/>
  <c r="D116" i="11522"/>
  <c r="C104" i="11522"/>
  <c r="E54" i="516"/>
  <c r="C116" i="516"/>
  <c r="C96" i="36"/>
  <c r="D32" i="11522"/>
  <c r="D38" i="516"/>
  <c r="F90" i="82"/>
  <c r="C16" i="515"/>
  <c r="G69" i="36"/>
  <c r="C41" i="36"/>
  <c r="D34" i="516"/>
  <c r="G42" i="516"/>
  <c r="F74" i="516"/>
  <c r="C80" i="516"/>
  <c r="C92" i="516"/>
  <c r="C144" i="516"/>
  <c r="C48" i="11522"/>
  <c r="C100" i="11522"/>
  <c r="C132" i="11522"/>
  <c r="C32" i="11522"/>
  <c r="E24" i="11522"/>
  <c r="E75" i="11522"/>
  <c r="D93" i="11522"/>
  <c r="D108" i="11522"/>
  <c r="D124" i="11522"/>
  <c r="C53" i="515"/>
  <c r="C32" i="515"/>
  <c r="C44" i="515"/>
  <c r="D51" i="515"/>
  <c r="C65" i="82"/>
  <c r="C75" i="82"/>
  <c r="F52" i="82"/>
  <c r="D97" i="82"/>
  <c r="G33" i="36"/>
  <c r="G37" i="36"/>
  <c r="C58" i="36"/>
  <c r="G61" i="82"/>
  <c r="G65" i="82"/>
  <c r="D73" i="82"/>
  <c r="C8" i="36"/>
  <c r="C42" i="36"/>
  <c r="C23" i="36"/>
  <c r="C47" i="36"/>
  <c r="E73" i="36"/>
  <c r="D8" i="40"/>
  <c r="F1569" i="1"/>
  <c r="G88" i="515"/>
  <c r="E135" i="515"/>
  <c r="E969" i="1"/>
  <c r="G110" i="516"/>
  <c r="G62" i="516"/>
  <c r="C44" i="516"/>
  <c r="E966" i="1"/>
  <c r="B233" i="20994"/>
  <c r="G123" i="10498"/>
  <c r="G86" i="516"/>
  <c r="G44" i="36"/>
  <c r="C140" i="36"/>
  <c r="E106" i="36"/>
  <c r="F83" i="36"/>
  <c r="E80" i="36"/>
  <c r="C94" i="36"/>
  <c r="C148" i="36"/>
  <c r="C65" i="36"/>
  <c r="E92" i="36"/>
  <c r="F91" i="36"/>
  <c r="C97" i="36"/>
  <c r="F118" i="36"/>
  <c r="E36" i="82"/>
  <c r="D44" i="82"/>
  <c r="G64" i="82"/>
  <c r="G90" i="82"/>
  <c r="E84" i="82"/>
  <c r="D137" i="82"/>
  <c r="G36" i="82"/>
  <c r="D130" i="36"/>
  <c r="C125" i="36"/>
  <c r="G118" i="36"/>
  <c r="C119" i="36"/>
  <c r="D123" i="36"/>
  <c r="G133" i="36"/>
  <c r="F145" i="36"/>
  <c r="F54" i="516"/>
  <c r="C113" i="516"/>
  <c r="G141" i="516"/>
  <c r="F125" i="516"/>
  <c r="D134" i="516"/>
  <c r="D146" i="516"/>
  <c r="F128" i="515"/>
  <c r="E19" i="2"/>
  <c r="G50" i="516"/>
  <c r="G124" i="515"/>
  <c r="D118" i="516"/>
  <c r="C113" i="515"/>
  <c r="C108" i="516"/>
  <c r="C64" i="516"/>
  <c r="C48" i="11520"/>
  <c r="C52" i="11520"/>
  <c r="F102" i="516"/>
  <c r="G130" i="516"/>
  <c r="E28" i="515"/>
  <c r="E36" i="515"/>
  <c r="G61" i="36"/>
  <c r="C17" i="2"/>
  <c r="C12" i="516"/>
  <c r="E92" i="10498"/>
  <c r="G41" i="10498"/>
  <c r="F90" i="10498"/>
  <c r="C39" i="2"/>
  <c r="F82" i="10498"/>
  <c r="G48" i="11522"/>
  <c r="F51" i="515"/>
  <c r="D125" i="515"/>
  <c r="E96" i="515"/>
  <c r="C69" i="516"/>
  <c r="C143" i="516"/>
  <c r="D143" i="515"/>
  <c r="E24" i="10498"/>
  <c r="E52" i="515"/>
  <c r="F120" i="515"/>
  <c r="E112" i="515"/>
  <c r="C109" i="515"/>
  <c r="D85" i="515"/>
  <c r="G121" i="516"/>
  <c r="G31" i="516"/>
  <c r="B33" i="2316"/>
  <c r="G35" i="515"/>
  <c r="E53" i="515"/>
  <c r="D72" i="11520"/>
  <c r="H64" i="11520"/>
  <c r="H48" i="11520"/>
  <c r="B12" i="2316"/>
  <c r="D148" i="11522"/>
  <c r="E122" i="36"/>
  <c r="G125" i="36"/>
  <c r="G68" i="10498"/>
  <c r="D130" i="516"/>
  <c r="C80" i="36"/>
  <c r="D114" i="36"/>
  <c r="G32" i="11522"/>
  <c r="E51" i="10498"/>
  <c r="C73" i="516"/>
  <c r="C28" i="10498"/>
  <c r="C32" i="10498"/>
  <c r="C43" i="10498"/>
  <c r="D48" i="10498"/>
  <c r="C51" i="10498"/>
  <c r="G72" i="10498"/>
  <c r="D75" i="10498"/>
  <c r="D82" i="10498"/>
  <c r="E83" i="10498"/>
  <c r="E89" i="10498"/>
  <c r="C36" i="516"/>
  <c r="C106" i="516"/>
  <c r="C25" i="516"/>
  <c r="C33" i="516"/>
  <c r="C57" i="516"/>
  <c r="D106" i="516"/>
  <c r="E109" i="516"/>
  <c r="D126" i="516"/>
  <c r="G88" i="11522"/>
  <c r="G100" i="11522"/>
  <c r="F108" i="11522"/>
  <c r="F116" i="11522"/>
  <c r="E132" i="11522"/>
  <c r="C45" i="515"/>
  <c r="F77" i="82"/>
  <c r="E81" i="82"/>
  <c r="G89" i="82"/>
  <c r="E97" i="82"/>
  <c r="D109" i="82"/>
  <c r="G145" i="82"/>
  <c r="C149" i="36"/>
  <c r="C132" i="36"/>
  <c r="C59" i="36"/>
  <c r="C101" i="36"/>
  <c r="F125" i="36"/>
  <c r="C147" i="36"/>
  <c r="E74" i="515"/>
  <c r="D84" i="515"/>
  <c r="E138" i="515"/>
  <c r="G140" i="515"/>
  <c r="C7" i="11520"/>
  <c r="D12" i="11520"/>
  <c r="G39" i="11520"/>
  <c r="D20" i="11520"/>
  <c r="E19" i="11520"/>
  <c r="G47" i="11520"/>
  <c r="D40" i="11520"/>
  <c r="C55" i="11521"/>
  <c r="C23" i="2"/>
  <c r="F66" i="516"/>
  <c r="H44" i="11520"/>
  <c r="D132" i="515"/>
  <c r="D144" i="515"/>
  <c r="D88" i="515"/>
  <c r="E137" i="515"/>
  <c r="E145" i="515"/>
  <c r="L1540" i="1"/>
  <c r="E31" i="11521"/>
  <c r="F135" i="515"/>
  <c r="F143" i="515"/>
  <c r="F31" i="11521"/>
  <c r="D25" i="2"/>
  <c r="C59" i="516"/>
  <c r="F27" i="11520"/>
  <c r="G60" i="11520"/>
  <c r="F31" i="11520"/>
  <c r="D53" i="11520"/>
  <c r="F17" i="2"/>
  <c r="C13" i="2"/>
  <c r="D77" i="515"/>
  <c r="E40" i="11520"/>
  <c r="E52" i="11520"/>
  <c r="H5" i="2"/>
  <c r="G95" i="36"/>
  <c r="C55" i="36"/>
  <c r="E43" i="36"/>
  <c r="G147" i="36"/>
  <c r="D91" i="82"/>
  <c r="E135" i="516"/>
  <c r="C115" i="516"/>
  <c r="G131" i="516"/>
  <c r="C171" i="10285"/>
  <c r="E31" i="2"/>
  <c r="E23" i="2"/>
  <c r="H19" i="2"/>
  <c r="C15" i="2"/>
  <c r="K1384" i="1"/>
  <c r="C291" i="4888"/>
  <c r="B160" i="9216"/>
  <c r="C164" i="36"/>
  <c r="C291" i="25580"/>
  <c r="D55" i="25592"/>
  <c r="C25" i="25593"/>
  <c r="C58" i="25595"/>
  <c r="E38" i="25597"/>
  <c r="D66" i="25597"/>
  <c r="D15" i="25591"/>
  <c r="H21" i="25591"/>
  <c r="E33" i="25591"/>
  <c r="E36" i="25591"/>
  <c r="E38" i="25591"/>
  <c r="D40" i="25591"/>
  <c r="E46" i="25591"/>
  <c r="C14" i="25592"/>
  <c r="E17" i="25592"/>
  <c r="C28" i="25592"/>
  <c r="D33" i="25592"/>
  <c r="F43" i="25592"/>
  <c r="G45" i="25592"/>
  <c r="G57" i="25592"/>
  <c r="C60" i="25592"/>
  <c r="F62" i="25592"/>
  <c r="H70" i="25592"/>
  <c r="C72" i="25592"/>
  <c r="D17" i="25593"/>
  <c r="D46" i="25593"/>
  <c r="G66" i="25593"/>
  <c r="F82" i="25593"/>
  <c r="D93" i="25593"/>
  <c r="G97" i="25593"/>
  <c r="D101" i="25593"/>
  <c r="H6" i="25594"/>
  <c r="C11" i="25594"/>
  <c r="C17" i="25594"/>
  <c r="H18" i="25594"/>
  <c r="G30" i="25594"/>
  <c r="D38" i="25594"/>
  <c r="G64" i="25594"/>
  <c r="D43" i="25594"/>
  <c r="E47" i="25594"/>
  <c r="F50" i="25594"/>
  <c r="D52" i="25594"/>
  <c r="C55" i="25594"/>
  <c r="D60" i="25594"/>
  <c r="E67" i="25594"/>
  <c r="C11" i="25595"/>
  <c r="C13" i="25595"/>
  <c r="C20" i="25595"/>
  <c r="C23" i="25595"/>
  <c r="C33" i="25595"/>
  <c r="G43" i="25595"/>
  <c r="G45" i="25595"/>
  <c r="E48" i="25595"/>
  <c r="G51" i="25595"/>
  <c r="D58" i="25595"/>
  <c r="C61" i="25595"/>
  <c r="F67" i="25595"/>
  <c r="F70" i="25595"/>
  <c r="C7" i="25596"/>
  <c r="H18" i="25596"/>
  <c r="E29" i="25596"/>
  <c r="E37" i="25596"/>
  <c r="G40" i="25596"/>
  <c r="D43" i="25596"/>
  <c r="D59" i="25596"/>
  <c r="G60" i="25596"/>
  <c r="G72" i="25596"/>
  <c r="E13" i="25597"/>
  <c r="E18" i="25597"/>
  <c r="D25" i="25597"/>
  <c r="D30" i="25597"/>
  <c r="D42" i="25597"/>
  <c r="F43" i="25597"/>
  <c r="D48" i="25597"/>
  <c r="F66" i="25597"/>
  <c r="E56" i="25597"/>
  <c r="D67" i="25597"/>
  <c r="C13" i="25598"/>
  <c r="D17" i="25598"/>
  <c r="E28" i="25598"/>
  <c r="E32" i="25598"/>
  <c r="F34" i="25598"/>
  <c r="G37" i="25598"/>
  <c r="C41" i="25598"/>
  <c r="C43" i="25598"/>
  <c r="D45" i="25598"/>
  <c r="C105" i="40"/>
  <c r="E73" i="40"/>
  <c r="G57" i="40"/>
  <c r="D9" i="40"/>
  <c r="D65" i="40"/>
  <c r="H79" i="516"/>
  <c r="C32" i="40"/>
  <c r="D74" i="40"/>
  <c r="C102" i="40"/>
  <c r="D82" i="40"/>
  <c r="C94" i="40"/>
  <c r="C123" i="40"/>
  <c r="C153" i="40"/>
  <c r="C154" i="40"/>
  <c r="C127" i="40"/>
  <c r="C151" i="40"/>
  <c r="C23" i="40"/>
  <c r="C75" i="40"/>
  <c r="C79" i="40"/>
  <c r="C23" i="516"/>
  <c r="D86" i="516"/>
  <c r="F95" i="82"/>
  <c r="E65" i="36"/>
  <c r="C51" i="11521"/>
  <c r="C16" i="2"/>
  <c r="F124" i="11522"/>
  <c r="G48" i="82"/>
  <c r="D25" i="82"/>
  <c r="C35" i="516"/>
  <c r="F27" i="515"/>
  <c r="F63" i="515"/>
  <c r="E89" i="36"/>
  <c r="F114" i="10498"/>
  <c r="F40" i="82"/>
  <c r="D70" i="36"/>
  <c r="F98" i="516"/>
  <c r="G44" i="11522"/>
  <c r="E74" i="11522"/>
  <c r="E120" i="11522"/>
  <c r="C68" i="516"/>
  <c r="F148" i="11522"/>
  <c r="F48" i="11522"/>
  <c r="D50" i="36"/>
  <c r="E86" i="82"/>
  <c r="E30" i="515"/>
  <c r="D13" i="82"/>
  <c r="F53" i="82"/>
  <c r="C9" i="36"/>
  <c r="C15" i="516"/>
  <c r="E46" i="516"/>
  <c r="C71" i="516"/>
  <c r="C79" i="516"/>
  <c r="F145" i="82"/>
  <c r="C46" i="36"/>
  <c r="G32" i="36"/>
  <c r="G79" i="36"/>
  <c r="E87" i="10498"/>
  <c r="C114" i="516"/>
  <c r="F32" i="11522"/>
  <c r="D36" i="11522"/>
  <c r="E34" i="515"/>
  <c r="C58" i="515"/>
  <c r="E61" i="515"/>
  <c r="F37" i="36"/>
  <c r="F49" i="36"/>
  <c r="B172" i="1024"/>
  <c r="E69" i="82"/>
  <c r="D63" i="516"/>
  <c r="G46" i="516"/>
  <c r="C81" i="516"/>
  <c r="F42" i="516"/>
  <c r="C13" i="36"/>
  <c r="C8" i="40"/>
  <c r="D88" i="82"/>
  <c r="G37" i="10498"/>
  <c r="H27" i="11521"/>
  <c r="D47" i="11521"/>
  <c r="H55" i="11521"/>
  <c r="D18" i="2"/>
  <c r="C34" i="2"/>
  <c r="D17" i="10498"/>
  <c r="D21" i="10498"/>
  <c r="G33" i="10498"/>
  <c r="G71" i="10498"/>
  <c r="D124" i="10498"/>
  <c r="G73" i="82"/>
  <c r="D66" i="36"/>
  <c r="C84" i="36"/>
  <c r="C88" i="36"/>
  <c r="G60" i="82"/>
  <c r="E29" i="515"/>
  <c r="E108" i="11522"/>
  <c r="D92" i="11522"/>
  <c r="D82" i="516"/>
  <c r="D53" i="82"/>
  <c r="E78" i="516"/>
  <c r="D21" i="36"/>
  <c r="G57" i="36"/>
  <c r="E82" i="516"/>
  <c r="D83" i="516"/>
  <c r="C51" i="36"/>
  <c r="C21" i="36"/>
  <c r="D39" i="516"/>
  <c r="C142" i="516"/>
  <c r="C80" i="11522"/>
  <c r="C112" i="11522"/>
  <c r="C108" i="11522"/>
  <c r="D41" i="11522"/>
  <c r="E80" i="11522"/>
  <c r="D81" i="11522"/>
  <c r="E92" i="11522"/>
  <c r="D100" i="11522"/>
  <c r="D132" i="11522"/>
  <c r="D28" i="515"/>
  <c r="D52" i="515"/>
  <c r="C11" i="36"/>
  <c r="C17" i="36"/>
  <c r="C34" i="36"/>
  <c r="C44" i="36"/>
  <c r="D58" i="36"/>
  <c r="C70" i="36"/>
  <c r="C112" i="36"/>
  <c r="D134" i="36"/>
  <c r="D138" i="36"/>
  <c r="C62" i="36"/>
  <c r="C10" i="36"/>
  <c r="C30" i="36"/>
  <c r="C39" i="36"/>
  <c r="E53" i="36"/>
  <c r="E69" i="36"/>
  <c r="G954" i="1"/>
  <c r="E143" i="515"/>
  <c r="F35" i="515"/>
  <c r="F1565" i="1"/>
  <c r="G107" i="36"/>
  <c r="E84" i="36"/>
  <c r="C110" i="36"/>
  <c r="D118" i="36"/>
  <c r="C108" i="36"/>
  <c r="G138" i="36"/>
  <c r="D80" i="36"/>
  <c r="E85" i="36"/>
  <c r="D107" i="36"/>
  <c r="D83" i="82"/>
  <c r="G137" i="82"/>
  <c r="D146" i="82"/>
  <c r="C127" i="36"/>
  <c r="D119" i="36"/>
  <c r="E125" i="36"/>
  <c r="D135" i="515"/>
  <c r="G113" i="516"/>
  <c r="E117" i="516"/>
  <c r="C147" i="516"/>
  <c r="C39" i="516"/>
  <c r="G122" i="36"/>
  <c r="C38" i="515"/>
  <c r="D11" i="11520"/>
  <c r="C105" i="515"/>
  <c r="D8" i="11520"/>
  <c r="C28" i="516"/>
  <c r="C72" i="516"/>
  <c r="C96" i="515"/>
  <c r="D109" i="515"/>
  <c r="F106" i="516"/>
  <c r="E54" i="515"/>
  <c r="C70" i="515"/>
  <c r="C85" i="36"/>
  <c r="D49" i="82"/>
  <c r="C35" i="36"/>
  <c r="G112" i="515"/>
  <c r="E90" i="10498"/>
  <c r="E82" i="10498"/>
  <c r="F116" i="515"/>
  <c r="F112" i="515"/>
  <c r="F83" i="82"/>
  <c r="E108" i="515"/>
  <c r="B176" i="20994"/>
  <c r="C65" i="516"/>
  <c r="G51" i="515"/>
  <c r="D23" i="11520"/>
  <c r="H11" i="11520"/>
  <c r="H28" i="11520"/>
  <c r="B14" i="2316"/>
  <c r="D48" i="11521"/>
  <c r="G76" i="10498"/>
  <c r="E72" i="11522"/>
  <c r="F43" i="10498"/>
  <c r="E43" i="10498"/>
  <c r="C82" i="10498"/>
  <c r="C16" i="10498"/>
  <c r="D44" i="10498"/>
  <c r="D71" i="10498"/>
  <c r="E75" i="10498"/>
  <c r="D78" i="10498"/>
  <c r="C120" i="516"/>
  <c r="C45" i="516"/>
  <c r="C75" i="516"/>
  <c r="C83" i="516"/>
  <c r="C89" i="516"/>
  <c r="C105" i="516"/>
  <c r="E89" i="82"/>
  <c r="G111" i="82"/>
  <c r="C122" i="36"/>
  <c r="C105" i="36"/>
  <c r="C117" i="36"/>
  <c r="D17" i="2"/>
  <c r="D48" i="11520"/>
  <c r="E15" i="11520"/>
  <c r="D19" i="11520"/>
  <c r="F40" i="11520"/>
  <c r="C11" i="11521"/>
  <c r="H13" i="2"/>
  <c r="C1548" i="1"/>
  <c r="D129" i="515"/>
  <c r="E48" i="11520"/>
  <c r="K1541" i="1"/>
  <c r="C291" i="2561"/>
  <c r="C222" i="2048"/>
  <c r="D105" i="36"/>
  <c r="E96" i="36"/>
  <c r="E94" i="82"/>
  <c r="F80" i="515"/>
  <c r="E93" i="11522"/>
  <c r="C146" i="516"/>
  <c r="C130" i="516"/>
  <c r="C291" i="20994"/>
  <c r="G60" i="10498"/>
  <c r="D14" i="10498"/>
  <c r="C26" i="2"/>
  <c r="F38" i="40"/>
  <c r="J1568" i="1"/>
  <c r="G79" i="25585"/>
  <c r="C221" i="25590"/>
  <c r="C221" i="25589"/>
  <c r="C221" i="25588"/>
  <c r="C290" i="25587"/>
  <c r="C221" i="512"/>
  <c r="C221" i="8196"/>
  <c r="C221" i="2048"/>
  <c r="C290" i="10541"/>
  <c r="C221" i="523"/>
  <c r="C290" i="2561"/>
  <c r="C221" i="2819"/>
  <c r="C221" i="2316"/>
  <c r="E167" i="32"/>
  <c r="C221" i="1024"/>
  <c r="C221" i="9216"/>
  <c r="C290" i="20994"/>
  <c r="C170" i="768"/>
  <c r="C170" i="10285"/>
  <c r="C290" i="4888"/>
  <c r="C290" i="25580"/>
  <c r="D290" i="3"/>
  <c r="G78" i="25585"/>
  <c r="C220" i="25590"/>
  <c r="C220" i="25589"/>
  <c r="C220" i="25588"/>
  <c r="C289" i="25587"/>
  <c r="C220" i="512"/>
  <c r="C220" i="8196"/>
  <c r="C220" i="2048"/>
  <c r="C289" i="10541"/>
  <c r="C220" i="523"/>
  <c r="G131" i="523"/>
  <c r="C289" i="2561"/>
  <c r="G313" i="2561" s="1"/>
  <c r="C220" i="2819"/>
  <c r="C220" i="2316"/>
  <c r="C220" i="1024"/>
  <c r="C220" i="9216"/>
  <c r="C289" i="20994"/>
  <c r="C169" i="768"/>
  <c r="C169" i="10285"/>
  <c r="C289" i="4888"/>
  <c r="C289" i="25580"/>
  <c r="H198" i="3"/>
  <c r="D289" i="3"/>
  <c r="G77" i="25585"/>
  <c r="G77" i="25586"/>
  <c r="C219" i="25590"/>
  <c r="C219" i="25589"/>
  <c r="C219" i="25588"/>
  <c r="C288" i="25587"/>
  <c r="C219" i="512"/>
  <c r="C219" i="8196"/>
  <c r="C219" i="2048"/>
  <c r="C288" i="10541"/>
  <c r="C219" i="523"/>
  <c r="C288" i="2561"/>
  <c r="C219" i="2819"/>
  <c r="C219" i="2316"/>
  <c r="C219" i="1024"/>
  <c r="C219" i="9216"/>
  <c r="C288" i="20994"/>
  <c r="H125" i="20994"/>
  <c r="C168" i="768"/>
  <c r="C168" i="10285"/>
  <c r="C288" i="4888"/>
  <c r="C288" i="25580"/>
  <c r="H59" i="516"/>
  <c r="H154" i="516"/>
  <c r="H32" i="516"/>
  <c r="H22" i="516"/>
  <c r="G76" i="25585"/>
  <c r="C218" i="25590"/>
  <c r="C218" i="25589"/>
  <c r="C218" i="25588"/>
  <c r="C287" i="25587"/>
  <c r="C218" i="512"/>
  <c r="C218" i="8196"/>
  <c r="C218" i="2048"/>
  <c r="C287" i="10541"/>
  <c r="C218" i="523"/>
  <c r="C287" i="2561"/>
  <c r="C218" i="2819"/>
  <c r="C218" i="2316"/>
  <c r="H218" i="1024"/>
  <c r="C218" i="1024"/>
  <c r="C218" i="9216"/>
  <c r="H218" i="9216"/>
  <c r="C287" i="20994"/>
  <c r="C167" i="768"/>
  <c r="C167" i="10285"/>
  <c r="C287" i="4888"/>
  <c r="D65" i="25580"/>
  <c r="C287" i="25580"/>
  <c r="E168" i="82"/>
  <c r="G76" i="25586"/>
  <c r="D287" i="3"/>
  <c r="G287" i="25587"/>
  <c r="G218" i="25589"/>
  <c r="G218" i="8196"/>
  <c r="G218" i="523"/>
  <c r="G218" i="25590"/>
  <c r="G218" i="25588"/>
  <c r="C217" i="25590"/>
  <c r="C217" i="25589"/>
  <c r="C217" i="25588"/>
  <c r="C286" i="25587"/>
  <c r="C217" i="512"/>
  <c r="C217" i="8196"/>
  <c r="C217" i="2048"/>
  <c r="C286" i="10541"/>
  <c r="C217" i="523"/>
  <c r="C286" i="2561"/>
  <c r="C217" i="2819"/>
  <c r="G287" i="25580"/>
  <c r="G287" i="4888"/>
  <c r="G288" i="32"/>
  <c r="G167" i="768"/>
  <c r="G218" i="2316"/>
  <c r="G167" i="10285"/>
  <c r="G75" i="25585"/>
  <c r="C217" i="2316"/>
  <c r="H217" i="1024"/>
  <c r="C217" i="1024"/>
  <c r="C217" i="9216"/>
  <c r="C286" i="20994"/>
  <c r="C166" i="768"/>
  <c r="C166" i="10285"/>
  <c r="C286" i="4888"/>
  <c r="G209" i="4888"/>
  <c r="C286" i="25580"/>
  <c r="G160" i="40"/>
  <c r="F159" i="82"/>
  <c r="G164" i="36"/>
  <c r="H287" i="3"/>
  <c r="D286" i="3"/>
  <c r="H286" i="3"/>
  <c r="G217" i="523"/>
  <c r="G166" i="10285"/>
  <c r="G286" i="25587"/>
  <c r="G217" i="25590"/>
  <c r="G217" i="2819"/>
  <c r="G217" i="2316"/>
  <c r="G217" i="25588"/>
  <c r="G286" i="4888"/>
  <c r="G217" i="25589"/>
  <c r="G217" i="512"/>
  <c r="G286" i="25580"/>
  <c r="C216" i="25590"/>
  <c r="C216" i="25589"/>
  <c r="C216" i="25588"/>
  <c r="C285" i="25587"/>
  <c r="C216" i="512"/>
  <c r="C216" i="8196"/>
  <c r="C216" i="2048"/>
  <c r="C285" i="10541"/>
  <c r="C216" i="523"/>
  <c r="C285" i="2561"/>
  <c r="C216" i="2819"/>
  <c r="C216" i="2316"/>
  <c r="C216" i="1024"/>
  <c r="H216" i="1024"/>
  <c r="C216" i="9216"/>
  <c r="H216" i="9216"/>
  <c r="C285" i="20994"/>
  <c r="C165" i="768"/>
  <c r="C165" i="10285"/>
  <c r="C285" i="4888"/>
  <c r="C285" i="25580"/>
  <c r="D285" i="3"/>
  <c r="G216" i="25589"/>
  <c r="G216" i="2316"/>
  <c r="G286" i="32"/>
  <c r="G216" i="2048"/>
  <c r="G165" i="10285"/>
  <c r="G216" i="523"/>
  <c r="G285" i="25587"/>
  <c r="G216" i="25590"/>
  <c r="G285" i="4888"/>
  <c r="G216" i="8196"/>
  <c r="G216" i="25588"/>
  <c r="G165" i="768"/>
  <c r="G216" i="512"/>
  <c r="C215" i="25588"/>
  <c r="C284" i="25587"/>
  <c r="C215" i="512"/>
  <c r="C215" i="8196"/>
  <c r="C215" i="2048"/>
  <c r="C284" i="10541"/>
  <c r="C215" i="523"/>
  <c r="C284" i="2561"/>
  <c r="C215" i="2316"/>
  <c r="C215" i="1024"/>
  <c r="C215" i="9216"/>
  <c r="C284" i="20994"/>
  <c r="C164" i="768"/>
  <c r="C164" i="10285"/>
  <c r="C284" i="4888"/>
  <c r="C284" i="25580"/>
  <c r="G73" i="25585"/>
  <c r="G73" i="25586"/>
  <c r="H285" i="3"/>
  <c r="G215" i="25588"/>
  <c r="G284" i="25580"/>
  <c r="G215" i="2048"/>
  <c r="H86" i="516"/>
  <c r="G72" i="25585"/>
  <c r="G215" i="2316"/>
  <c r="H40" i="516"/>
  <c r="H102" i="516"/>
  <c r="H145" i="516"/>
  <c r="G164" i="768"/>
  <c r="G215" i="8196"/>
  <c r="G284" i="4888"/>
  <c r="G215" i="512"/>
  <c r="G284" i="25587"/>
  <c r="G284" i="10541"/>
  <c r="G215" i="523"/>
  <c r="G164" i="10285"/>
  <c r="C214" i="25590"/>
  <c r="C214" i="25589"/>
  <c r="C214" i="25588"/>
  <c r="C283" i="25587"/>
  <c r="C214" i="512"/>
  <c r="C214" i="8196"/>
  <c r="C214" i="2048"/>
  <c r="C283" i="10541"/>
  <c r="C214" i="523"/>
  <c r="C283" i="2561"/>
  <c r="C214" i="2819"/>
  <c r="C214" i="2316"/>
  <c r="C214" i="1024"/>
  <c r="H214" i="1024"/>
  <c r="C214" i="9216"/>
  <c r="H214" i="9216"/>
  <c r="C283" i="20994"/>
  <c r="C163" i="768"/>
  <c r="C163" i="10285"/>
  <c r="C283" i="4888"/>
  <c r="C283" i="25580"/>
  <c r="D283" i="3"/>
  <c r="H283" i="3"/>
  <c r="C164" i="40"/>
  <c r="H121" i="515"/>
  <c r="G214" i="25589"/>
  <c r="G214" i="8196"/>
  <c r="G214" i="523"/>
  <c r="G214" i="512"/>
  <c r="G284" i="32"/>
  <c r="G163" i="10285"/>
  <c r="G283" i="10541"/>
  <c r="G283" i="25587"/>
  <c r="G214" i="25590"/>
  <c r="G163" i="768"/>
  <c r="G283" i="25580"/>
  <c r="G214" i="2819"/>
  <c r="G214" i="2316"/>
  <c r="G283" i="4888"/>
  <c r="G214" i="25588"/>
  <c r="G71" i="25585"/>
  <c r="C213" i="25590"/>
  <c r="C213" i="25589"/>
  <c r="C213" i="25588"/>
  <c r="C282" i="25587"/>
  <c r="C213" i="512"/>
  <c r="C213" i="8196"/>
  <c r="C213" i="2048"/>
  <c r="C282" i="10541"/>
  <c r="C213" i="523"/>
  <c r="C282" i="2561"/>
  <c r="C213" i="2819"/>
  <c r="C213" i="2316"/>
  <c r="C213" i="1024"/>
  <c r="H213" i="1024"/>
  <c r="C213" i="9216"/>
  <c r="H213" i="9216"/>
  <c r="C282" i="20994"/>
  <c r="H282" i="20994"/>
  <c r="C162" i="768"/>
  <c r="C162" i="10285"/>
  <c r="C282" i="4888"/>
  <c r="C282" i="25580"/>
  <c r="D282" i="3"/>
  <c r="H282" i="3"/>
  <c r="G282" i="25580"/>
  <c r="G162" i="10285"/>
  <c r="G162" i="768"/>
  <c r="G282" i="10541"/>
  <c r="G70" i="25585"/>
  <c r="G282" i="25587"/>
  <c r="G213" i="25590"/>
  <c r="G213" i="2048"/>
  <c r="G282" i="4888"/>
  <c r="G213" i="512"/>
  <c r="G213" i="2819"/>
  <c r="G283" i="32"/>
  <c r="G213" i="523"/>
  <c r="G213" i="25588"/>
  <c r="G213" i="8196"/>
  <c r="G213" i="25589"/>
  <c r="G213" i="2316"/>
  <c r="C212" i="25590"/>
  <c r="C212" i="25589"/>
  <c r="C212" i="25588"/>
  <c r="C281" i="25587"/>
  <c r="C212" i="512"/>
  <c r="C212" i="8196"/>
  <c r="C212" i="2048"/>
  <c r="C281" i="10541"/>
  <c r="C212" i="523"/>
  <c r="C281" i="2561"/>
  <c r="C212" i="2819"/>
  <c r="C212" i="2316"/>
  <c r="C212" i="1024"/>
  <c r="C212" i="9216"/>
  <c r="C281" i="20994"/>
  <c r="C161" i="768"/>
  <c r="C161" i="10285"/>
  <c r="C281" i="4888"/>
  <c r="C281" i="25580"/>
  <c r="D281" i="3"/>
  <c r="H212" i="1024"/>
  <c r="H212" i="9216"/>
  <c r="H281" i="3"/>
  <c r="G161" i="768"/>
  <c r="H281" i="20994"/>
  <c r="G281" i="4888"/>
  <c r="C158" i="40"/>
  <c r="G281" i="10541"/>
  <c r="G212" i="523"/>
  <c r="G212" i="2048"/>
  <c r="G281" i="25580"/>
  <c r="G212" i="25588"/>
  <c r="F158" i="40"/>
  <c r="H90" i="11522"/>
  <c r="G282" i="32"/>
  <c r="G212" i="2316"/>
  <c r="G212" i="8196"/>
  <c r="G69" i="25585"/>
  <c r="G281" i="25587"/>
  <c r="G212" i="25590"/>
  <c r="G212" i="2819"/>
  <c r="G212" i="25589"/>
  <c r="G161" i="10285"/>
  <c r="G212" i="512"/>
  <c r="C211" i="25590"/>
  <c r="C211" i="25589"/>
  <c r="C211" i="25588"/>
  <c r="C280" i="25587"/>
  <c r="C211" i="512"/>
  <c r="C211" i="8196"/>
  <c r="C211" i="2048"/>
  <c r="C280" i="10541"/>
  <c r="C211" i="523"/>
  <c r="C280" i="2561"/>
  <c r="C211" i="2819"/>
  <c r="C211" i="2316"/>
  <c r="C211" i="1024"/>
  <c r="C211" i="9216"/>
  <c r="C280" i="20994"/>
  <c r="C160" i="768"/>
  <c r="C160" i="10285"/>
  <c r="C280" i="4888"/>
  <c r="C280" i="25580"/>
  <c r="D280" i="3"/>
  <c r="H280" i="3"/>
  <c r="G211" i="25589"/>
  <c r="G211" i="2316"/>
  <c r="G281" i="32"/>
  <c r="G280" i="25580"/>
  <c r="H211" i="9216"/>
  <c r="G211" i="8196"/>
  <c r="G280" i="4888"/>
  <c r="H280" i="20994"/>
  <c r="G68" i="25586"/>
  <c r="G280" i="25587"/>
  <c r="G211" i="25590"/>
  <c r="G211" i="2048"/>
  <c r="G160" i="10285"/>
  <c r="H211" i="1024"/>
  <c r="G280" i="10541"/>
  <c r="G211" i="2819"/>
  <c r="G211" i="25588"/>
  <c r="G211" i="523"/>
  <c r="G211" i="512"/>
  <c r="G160" i="768"/>
  <c r="G68" i="25585"/>
  <c r="C210" i="25590"/>
  <c r="C210" i="25589"/>
  <c r="C210" i="25588"/>
  <c r="C279" i="25587"/>
  <c r="C210" i="512"/>
  <c r="C210" i="8196"/>
  <c r="C210" i="2048"/>
  <c r="C279" i="10541"/>
  <c r="G53" i="523"/>
  <c r="C210" i="523"/>
  <c r="C279" i="2561"/>
  <c r="C210" i="2819"/>
  <c r="C210" i="2316"/>
  <c r="C210" i="1024"/>
  <c r="C210" i="9216"/>
  <c r="C279" i="20994"/>
  <c r="C159" i="768"/>
  <c r="C159" i="10285"/>
  <c r="C279" i="4888"/>
  <c r="C279" i="25580"/>
  <c r="D279" i="3"/>
  <c r="H279" i="3"/>
  <c r="G210" i="2819"/>
  <c r="G280" i="32"/>
  <c r="G210" i="2316"/>
  <c r="G210" i="512"/>
  <c r="G279" i="10541"/>
  <c r="G279" i="25587"/>
  <c r="G210" i="25590"/>
  <c r="G159" i="10285"/>
  <c r="G279" i="25580"/>
  <c r="H210" i="9216"/>
  <c r="G210" i="25588"/>
  <c r="G210" i="523"/>
  <c r="H210" i="1024"/>
  <c r="G279" i="4888"/>
  <c r="G67" i="25585"/>
  <c r="G210" i="25589"/>
  <c r="G210" i="2048"/>
  <c r="G159" i="768"/>
  <c r="H279" i="20994"/>
  <c r="G210" i="8196"/>
  <c r="C209" i="25590"/>
  <c r="C209" i="25589"/>
  <c r="C209" i="25588"/>
  <c r="C278" i="25587"/>
  <c r="C209" i="512"/>
  <c r="C209" i="8196"/>
  <c r="C209" i="2048"/>
  <c r="C278" i="10541"/>
  <c r="C209" i="523"/>
  <c r="C278" i="2561"/>
  <c r="G121" i="2819"/>
  <c r="C209" i="2819"/>
  <c r="C209" i="2316"/>
  <c r="C209" i="1024"/>
  <c r="E70" i="1024"/>
  <c r="C209" i="9216"/>
  <c r="C278" i="20994"/>
  <c r="C158" i="768"/>
  <c r="C158" i="10285"/>
  <c r="G131" i="4888"/>
  <c r="C278" i="4888"/>
  <c r="C278" i="25580"/>
  <c r="D278" i="3"/>
  <c r="F153" i="40"/>
  <c r="C160" i="36"/>
  <c r="C157" i="82"/>
  <c r="G209" i="25590"/>
  <c r="G209" i="523"/>
  <c r="G209" i="2048"/>
  <c r="G66" i="25585"/>
  <c r="G209" i="2819"/>
  <c r="G209" i="512"/>
  <c r="G278" i="4888"/>
  <c r="G209" i="2316"/>
  <c r="G158" i="10285"/>
  <c r="H278" i="3"/>
  <c r="G158" i="768"/>
  <c r="H278" i="20994"/>
  <c r="G278" i="25587"/>
  <c r="G278" i="25580"/>
  <c r="H18" i="11522"/>
  <c r="H209" i="9216"/>
  <c r="G209" i="25588"/>
  <c r="D162" i="40"/>
  <c r="H45" i="11522"/>
  <c r="G209" i="8196"/>
  <c r="H209" i="1024"/>
  <c r="G209" i="25589"/>
  <c r="D158" i="40"/>
  <c r="F157" i="40"/>
  <c r="H29" i="11522"/>
  <c r="G278" i="10541"/>
  <c r="C208" i="25590"/>
  <c r="C208" i="25589"/>
  <c r="C208" i="25588"/>
  <c r="C277" i="25587"/>
  <c r="C208" i="512"/>
  <c r="C208" i="8196"/>
  <c r="C208" i="2048"/>
  <c r="C277" i="10541"/>
  <c r="E132" i="523"/>
  <c r="C208" i="523"/>
  <c r="C277" i="2561"/>
  <c r="C208" i="2819"/>
  <c r="C208" i="2316"/>
  <c r="C208" i="1024"/>
  <c r="C208" i="9216"/>
  <c r="C277" i="20994"/>
  <c r="C157" i="768"/>
  <c r="C157" i="10285"/>
  <c r="C277" i="4888"/>
  <c r="C277" i="25580"/>
  <c r="D277" i="3"/>
  <c r="H120" i="516"/>
  <c r="H15" i="516"/>
  <c r="H37" i="516"/>
  <c r="H126" i="516"/>
  <c r="H147" i="516"/>
  <c r="H114" i="516"/>
  <c r="H25" i="516"/>
  <c r="H55" i="516"/>
  <c r="H137" i="516"/>
  <c r="H97" i="516"/>
  <c r="H33" i="516"/>
  <c r="H109" i="516"/>
  <c r="H133" i="516"/>
  <c r="H74" i="516"/>
  <c r="H103" i="516"/>
  <c r="H19" i="516"/>
  <c r="H96" i="516"/>
  <c r="H123" i="516"/>
  <c r="H7" i="516"/>
  <c r="H34" i="516"/>
  <c r="H144" i="516"/>
  <c r="H122" i="516"/>
  <c r="H73" i="516"/>
  <c r="H30" i="516"/>
  <c r="H23" i="516"/>
  <c r="H127" i="516"/>
  <c r="H107" i="516"/>
  <c r="H52" i="516"/>
  <c r="G171" i="516"/>
  <c r="H72" i="516"/>
  <c r="H85" i="516"/>
  <c r="H61" i="516"/>
  <c r="H125" i="516"/>
  <c r="H128" i="516"/>
  <c r="H36" i="516"/>
  <c r="H113" i="516"/>
  <c r="H115" i="516"/>
  <c r="H138" i="516"/>
  <c r="H41" i="516"/>
  <c r="F155" i="36"/>
  <c r="C155" i="516"/>
  <c r="H277" i="3"/>
  <c r="H208" i="9216"/>
  <c r="G208" i="2048"/>
  <c r="H277" i="20994"/>
  <c r="G277" i="4888"/>
  <c r="G208" i="523"/>
  <c r="G157" i="10285"/>
  <c r="G208" i="2316"/>
  <c r="G157" i="768"/>
  <c r="G277" i="25587"/>
  <c r="G208" i="512"/>
  <c r="G208" i="8196"/>
  <c r="G208" i="25588"/>
  <c r="G65" i="25585"/>
  <c r="G208" i="25589"/>
  <c r="G208" i="2819"/>
  <c r="G277" i="10541"/>
  <c r="G277" i="25580"/>
  <c r="G278" i="32"/>
  <c r="H208" i="1024"/>
  <c r="G208" i="25590"/>
  <c r="G207" i="25590"/>
  <c r="C207" i="25590"/>
  <c r="G207" i="25589"/>
  <c r="C207" i="25589"/>
  <c r="C207" i="25588"/>
  <c r="G207" i="25588"/>
  <c r="C276" i="25587"/>
  <c r="G276" i="25587"/>
  <c r="C207" i="512"/>
  <c r="G72" i="512"/>
  <c r="G207" i="512"/>
  <c r="G52" i="8196"/>
  <c r="C207" i="8196"/>
  <c r="G207" i="8196"/>
  <c r="C207" i="2048"/>
  <c r="G207" i="2048"/>
  <c r="C48" i="2048"/>
  <c r="C276" i="10541"/>
  <c r="G276" i="10541"/>
  <c r="C207" i="523"/>
  <c r="G207" i="523"/>
  <c r="C276" i="2561"/>
  <c r="G207" i="2819"/>
  <c r="C207" i="2819"/>
  <c r="G207" i="2316"/>
  <c r="G138" i="2316"/>
  <c r="C207" i="2316"/>
  <c r="G277" i="32"/>
  <c r="C207" i="1024"/>
  <c r="H207" i="1024"/>
  <c r="H207" i="9216"/>
  <c r="C207" i="9216"/>
  <c r="C276" i="20994"/>
  <c r="H276" i="20994"/>
  <c r="C156" i="768"/>
  <c r="G156" i="768"/>
  <c r="E20" i="10285"/>
  <c r="C156" i="10285"/>
  <c r="G156" i="10285"/>
  <c r="G276" i="4888"/>
  <c r="C276" i="4888"/>
  <c r="G276" i="25580"/>
  <c r="C276" i="25580"/>
  <c r="G64" i="25585"/>
  <c r="G64" i="25586"/>
  <c r="D276" i="3"/>
  <c r="H276" i="3"/>
  <c r="C206" i="25590"/>
  <c r="C206" i="25589"/>
  <c r="C206" i="25588"/>
  <c r="C275" i="25587"/>
  <c r="C206" i="512"/>
  <c r="C206" i="8196"/>
  <c r="C206" i="2048"/>
  <c r="C275" i="10541"/>
  <c r="C206" i="523"/>
  <c r="C275" i="2561"/>
  <c r="C206" i="2819"/>
  <c r="C206" i="2316"/>
  <c r="C30" i="2316"/>
  <c r="G63" i="32"/>
  <c r="C206" i="1024"/>
  <c r="G206" i="1024"/>
  <c r="G206" i="9216"/>
  <c r="C206" i="9216"/>
  <c r="C275" i="20994"/>
  <c r="C155" i="768"/>
  <c r="C155" i="10285"/>
  <c r="C275" i="4888"/>
  <c r="C275" i="25580"/>
  <c r="H45" i="3"/>
  <c r="H37" i="3"/>
  <c r="G275" i="3"/>
  <c r="E158" i="3"/>
  <c r="G117" i="3"/>
  <c r="H275" i="3"/>
  <c r="D275" i="3"/>
  <c r="H53" i="3"/>
  <c r="C401" i="3"/>
  <c r="G206" i="25588"/>
  <c r="G206" i="2819"/>
  <c r="F275" i="25587"/>
  <c r="F155" i="10285"/>
  <c r="G206" i="25589"/>
  <c r="G155" i="768"/>
  <c r="G276" i="32"/>
  <c r="F206" i="8196"/>
  <c r="H275" i="20994"/>
  <c r="G206" i="2048"/>
  <c r="F206" i="25590"/>
  <c r="G63" i="25585"/>
  <c r="G206" i="25590"/>
  <c r="G206" i="2316"/>
  <c r="F206" i="25588"/>
  <c r="F275" i="4888"/>
  <c r="F155" i="768"/>
  <c r="F206" i="2316"/>
  <c r="F206" i="25589"/>
  <c r="G275" i="10541"/>
  <c r="H206" i="1024"/>
  <c r="G275" i="25580"/>
  <c r="H206" i="9216"/>
  <c r="F206" i="523"/>
  <c r="F275" i="25580"/>
  <c r="G275" i="25587"/>
  <c r="G155" i="10285"/>
  <c r="G275" i="4888"/>
  <c r="G206" i="523"/>
  <c r="G206" i="8196"/>
  <c r="G206" i="512"/>
  <c r="F276" i="32"/>
  <c r="C205" i="25590"/>
  <c r="C205" i="25589"/>
  <c r="C205" i="25588"/>
  <c r="C274" i="25587"/>
  <c r="C205" i="512"/>
  <c r="C205" i="8196"/>
  <c r="C205" i="2048"/>
  <c r="C274" i="10541"/>
  <c r="C205" i="523"/>
  <c r="C274" i="2561"/>
  <c r="G298" i="2561" s="1"/>
  <c r="C205" i="2819"/>
  <c r="G65" i="2316"/>
  <c r="C205" i="2316"/>
  <c r="E117" i="32"/>
  <c r="G205" i="1024"/>
  <c r="C205" i="1024"/>
  <c r="C205" i="9216"/>
  <c r="C274" i="20994"/>
  <c r="C154" i="768"/>
  <c r="C16" i="768"/>
  <c r="C154" i="10285"/>
  <c r="D194" i="4888"/>
  <c r="E123" i="4888"/>
  <c r="C274" i="4888"/>
  <c r="C274" i="25580"/>
  <c r="D274" i="3"/>
  <c r="G274" i="3"/>
  <c r="H274" i="3"/>
  <c r="H203" i="3"/>
  <c r="G274" i="25587"/>
  <c r="F205" i="25590"/>
  <c r="G205" i="2316"/>
  <c r="G274" i="4888"/>
  <c r="F205" i="523"/>
  <c r="G62" i="25585"/>
  <c r="G205" i="25588"/>
  <c r="G154" i="10285"/>
  <c r="F205" i="2819"/>
  <c r="G205" i="25589"/>
  <c r="G274" i="25580"/>
  <c r="H205" i="1024"/>
  <c r="F274" i="25587"/>
  <c r="G205" i="25590"/>
  <c r="H205" i="9216"/>
  <c r="G205" i="2819"/>
  <c r="F154" i="10285"/>
  <c r="F205" i="25588"/>
  <c r="F205" i="2316"/>
  <c r="F205" i="25589"/>
  <c r="G205" i="8196"/>
  <c r="F274" i="4888"/>
  <c r="H274" i="20994"/>
  <c r="G275" i="32"/>
  <c r="G205" i="523"/>
  <c r="G205" i="2048"/>
  <c r="G154" i="768"/>
  <c r="G205" i="512"/>
  <c r="G274" i="10541"/>
  <c r="F205" i="512"/>
  <c r="F274" i="25580"/>
  <c r="G204" i="25590"/>
  <c r="C204" i="25590"/>
  <c r="F204" i="25590"/>
  <c r="F204" i="25589"/>
  <c r="C204" i="25589"/>
  <c r="G204" i="25589"/>
  <c r="F204" i="25588"/>
  <c r="C204" i="25588"/>
  <c r="G204" i="25588"/>
  <c r="C273" i="25587"/>
  <c r="F273" i="25587"/>
  <c r="G273" i="25587"/>
  <c r="G204" i="512"/>
  <c r="C204" i="512"/>
  <c r="F204" i="512"/>
  <c r="C204" i="8196"/>
  <c r="G204" i="8196"/>
  <c r="F204" i="8196"/>
  <c r="C204" i="2048"/>
  <c r="F204" i="2048"/>
  <c r="G204" i="2048"/>
  <c r="C273" i="10541"/>
  <c r="G115" i="10541"/>
  <c r="F59" i="10541"/>
  <c r="G123" i="10541"/>
  <c r="D148" i="10541"/>
  <c r="G273" i="10541"/>
  <c r="C204" i="523"/>
  <c r="G204" i="523"/>
  <c r="F204" i="523"/>
  <c r="C273" i="2561"/>
  <c r="C120" i="2561"/>
  <c r="C204" i="2819"/>
  <c r="G204" i="2819"/>
  <c r="F204" i="2316"/>
  <c r="G204" i="2316"/>
  <c r="C204" i="2316"/>
  <c r="G274" i="32"/>
  <c r="F274" i="32"/>
  <c r="H204" i="1024"/>
  <c r="G204" i="1024"/>
  <c r="C204" i="1024"/>
  <c r="C204" i="9216"/>
  <c r="H204" i="9216"/>
  <c r="G204" i="9216"/>
  <c r="C273" i="20994"/>
  <c r="H273" i="20994"/>
  <c r="H78" i="20994"/>
  <c r="F93" i="20994"/>
  <c r="H102" i="20994"/>
  <c r="C153" i="768"/>
  <c r="F153" i="768"/>
  <c r="G153" i="768"/>
  <c r="E51" i="10285"/>
  <c r="C153" i="10285"/>
  <c r="C152" i="10285"/>
  <c r="F153" i="10285"/>
  <c r="G153" i="10285"/>
  <c r="F42" i="4888"/>
  <c r="G273" i="4888"/>
  <c r="F273" i="4888"/>
  <c r="C273" i="4888"/>
  <c r="C272" i="4888"/>
  <c r="G34" i="4888"/>
  <c r="F50" i="4888"/>
  <c r="G273" i="25580"/>
  <c r="C273" i="25580"/>
  <c r="C272" i="25580"/>
  <c r="G61" i="25585"/>
  <c r="G273" i="3"/>
  <c r="D273" i="3"/>
  <c r="C203" i="25590"/>
  <c r="C203" i="25589"/>
  <c r="C203" i="25588"/>
  <c r="C272" i="25587"/>
  <c r="C203" i="512"/>
  <c r="F25" i="512"/>
  <c r="F89" i="512"/>
  <c r="F81" i="512"/>
  <c r="C203" i="8196"/>
  <c r="G109" i="8196"/>
  <c r="C203" i="2048"/>
  <c r="C272" i="10541"/>
  <c r="C203" i="523"/>
  <c r="C272" i="2561"/>
  <c r="C203" i="2819"/>
  <c r="C203" i="2316"/>
  <c r="G122" i="2316"/>
  <c r="E195" i="1024"/>
  <c r="C203" i="1024"/>
  <c r="C73" i="9216"/>
  <c r="D73" i="9216" s="1"/>
  <c r="C203" i="9216"/>
  <c r="C272" i="20994"/>
  <c r="C152" i="768"/>
  <c r="D272" i="3"/>
  <c r="G203" i="25588"/>
  <c r="F272" i="25580"/>
  <c r="G272" i="4888"/>
  <c r="F203" i="2048"/>
  <c r="G272" i="10541"/>
  <c r="G203" i="523"/>
  <c r="G203" i="2819"/>
  <c r="G203" i="25589"/>
  <c r="G203" i="512"/>
  <c r="F203" i="2316"/>
  <c r="H203" i="9216"/>
  <c r="F203" i="8196"/>
  <c r="F203" i="512"/>
  <c r="F272" i="25587"/>
  <c r="G203" i="25590"/>
  <c r="H272" i="20994"/>
  <c r="H203" i="1024"/>
  <c r="G152" i="768"/>
  <c r="G60" i="25585"/>
  <c r="F203" i="25588"/>
  <c r="G203" i="8196"/>
  <c r="G272" i="25580"/>
  <c r="G272" i="3"/>
  <c r="F203" i="25589"/>
  <c r="G203" i="2316"/>
  <c r="F272" i="10541"/>
  <c r="H115" i="40"/>
  <c r="H272" i="3"/>
  <c r="F152" i="768"/>
  <c r="F272" i="4888"/>
  <c r="G272" i="25587"/>
  <c r="F203" i="25590"/>
  <c r="G203" i="2048"/>
  <c r="G152" i="10285"/>
  <c r="F203" i="523"/>
  <c r="F152" i="10285"/>
  <c r="C202" i="25590"/>
  <c r="C202" i="25589"/>
  <c r="C202" i="25588"/>
  <c r="C271" i="25587"/>
  <c r="C202" i="512"/>
  <c r="C202" i="8196"/>
  <c r="C202" i="2048"/>
  <c r="C71" i="2048"/>
  <c r="G144" i="2048"/>
  <c r="C271" i="10541"/>
  <c r="C202" i="523"/>
  <c r="C271" i="2561"/>
  <c r="C202" i="2819"/>
  <c r="C202" i="2316"/>
  <c r="G85" i="1024"/>
  <c r="G202" i="1024"/>
  <c r="C202" i="1024"/>
  <c r="G202" i="9216"/>
  <c r="C202" i="9216"/>
  <c r="F206" i="20994"/>
  <c r="C271" i="20994"/>
  <c r="C151" i="768"/>
  <c r="C151" i="10285"/>
  <c r="C271" i="4888"/>
  <c r="C271" i="25580"/>
  <c r="D271" i="3"/>
  <c r="G271" i="3"/>
  <c r="H271" i="3"/>
  <c r="G271" i="25587"/>
  <c r="F202" i="25590"/>
  <c r="G271" i="4888"/>
  <c r="F271" i="10541"/>
  <c r="G202" i="2316"/>
  <c r="F202" i="2316"/>
  <c r="F151" i="10285"/>
  <c r="G202" i="25588"/>
  <c r="G151" i="10285"/>
  <c r="H202" i="1024"/>
  <c r="G202" i="523"/>
  <c r="G272" i="32"/>
  <c r="G202" i="25589"/>
  <c r="F271" i="25580"/>
  <c r="G202" i="8196"/>
  <c r="H202" i="9216"/>
  <c r="G202" i="2048"/>
  <c r="G59" i="25585"/>
  <c r="F202" i="512"/>
  <c r="F272" i="32"/>
  <c r="F271" i="25587"/>
  <c r="G202" i="25590"/>
  <c r="F202" i="8196"/>
  <c r="G151" i="768"/>
  <c r="F271" i="4888"/>
  <c r="G202" i="512"/>
  <c r="F202" i="25588"/>
  <c r="G271" i="25580"/>
  <c r="F202" i="2819"/>
  <c r="F202" i="25589"/>
  <c r="H271" i="20994"/>
  <c r="F151" i="768"/>
  <c r="F202" i="523"/>
  <c r="G202" i="2819"/>
  <c r="G271" i="10541"/>
  <c r="F142" i="512"/>
  <c r="F134" i="512"/>
  <c r="G47" i="8196"/>
  <c r="G148" i="2048"/>
  <c r="F20" i="2048"/>
  <c r="E44" i="2048"/>
  <c r="E84" i="2048"/>
  <c r="E104" i="2048"/>
  <c r="G108" i="2048"/>
  <c r="G39" i="10541"/>
  <c r="G47" i="10541"/>
  <c r="G127" i="10541"/>
  <c r="G142" i="10541"/>
  <c r="G52" i="523"/>
  <c r="G36" i="523"/>
  <c r="G70" i="2316"/>
  <c r="E73" i="768"/>
  <c r="D55" i="768"/>
  <c r="H150" i="516"/>
  <c r="E150" i="516"/>
  <c r="C150" i="516"/>
  <c r="H61" i="82"/>
  <c r="F150" i="516"/>
  <c r="E153" i="40"/>
  <c r="F168" i="515"/>
  <c r="H6" i="25591"/>
  <c r="F22" i="25591"/>
  <c r="F26" i="25591"/>
  <c r="H33" i="25591"/>
  <c r="D39" i="25591"/>
  <c r="F44" i="25591"/>
  <c r="D9" i="25592"/>
  <c r="D14" i="25592"/>
  <c r="H33" i="25592"/>
  <c r="D36" i="25592"/>
  <c r="F38" i="25592"/>
  <c r="H41" i="25592"/>
  <c r="D49" i="25592"/>
  <c r="E51" i="25592"/>
  <c r="F57" i="25592"/>
  <c r="D60" i="25592"/>
  <c r="H62" i="25592"/>
  <c r="D68" i="25592"/>
  <c r="D25" i="25593"/>
  <c r="G53" i="25593"/>
  <c r="F32" i="25593"/>
  <c r="D37" i="25593"/>
  <c r="C45" i="25593"/>
  <c r="F48" i="25593"/>
  <c r="G64" i="25593"/>
  <c r="G72" i="25593"/>
  <c r="F90" i="25593"/>
  <c r="E97" i="25593"/>
  <c r="H8" i="25594"/>
  <c r="G31" i="25594"/>
  <c r="F37" i="25594"/>
  <c r="G43" i="25594"/>
  <c r="G72" i="25594"/>
  <c r="D56" i="25594"/>
  <c r="E61" i="25594"/>
  <c r="F64" i="25594"/>
  <c r="D6" i="25595"/>
  <c r="D23" i="25595"/>
  <c r="C32" i="25595"/>
  <c r="D39" i="25595"/>
  <c r="H42" i="25595"/>
  <c r="E51" i="25595"/>
  <c r="G54" i="25595"/>
  <c r="E58" i="25595"/>
  <c r="E61" i="25595"/>
  <c r="D9" i="25596"/>
  <c r="E19" i="25596"/>
  <c r="F23" i="25596"/>
  <c r="H29" i="25596"/>
  <c r="C35" i="25596"/>
  <c r="E43" i="25596"/>
  <c r="E53" i="25596"/>
  <c r="D66" i="25596"/>
  <c r="C13" i="25597"/>
  <c r="C34" i="25597"/>
  <c r="F41" i="25597"/>
  <c r="D49" i="25597"/>
  <c r="D53" i="25597"/>
  <c r="D58" i="25597"/>
  <c r="D70" i="25597"/>
  <c r="C6" i="25598"/>
  <c r="C15" i="25598"/>
  <c r="D22" i="25598"/>
  <c r="F25" i="25598"/>
  <c r="G42" i="25598"/>
  <c r="F44" i="25598"/>
  <c r="H99" i="40"/>
  <c r="H131" i="11522"/>
  <c r="E153" i="82"/>
  <c r="F970" i="1"/>
  <c r="C201" i="2819"/>
  <c r="C270" i="10541"/>
  <c r="D56" i="82"/>
  <c r="G97" i="36"/>
  <c r="F86" i="11522"/>
  <c r="C67" i="516"/>
  <c r="D12" i="516"/>
  <c r="C150" i="10285"/>
  <c r="D27" i="10498"/>
  <c r="C18" i="10498"/>
  <c r="D36" i="11521"/>
  <c r="G149" i="36"/>
  <c r="C163" i="36"/>
  <c r="C270" i="25580"/>
  <c r="H16" i="25591"/>
  <c r="C23" i="25591"/>
  <c r="G34" i="25591"/>
  <c r="E39" i="25591"/>
  <c r="G42" i="25591"/>
  <c r="H44" i="25591"/>
  <c r="G53" i="25591"/>
  <c r="C9" i="25592"/>
  <c r="H14" i="25592"/>
  <c r="D18" i="25592"/>
  <c r="E35" i="25592"/>
  <c r="F36" i="25592"/>
  <c r="G38" i="25592"/>
  <c r="C44" i="25592"/>
  <c r="C46" i="25592"/>
  <c r="F49" i="25592"/>
  <c r="H51" i="25592"/>
  <c r="H57" i="25592"/>
  <c r="G60" i="25592"/>
  <c r="F68" i="25592"/>
  <c r="C73" i="25592"/>
  <c r="H7" i="25593"/>
  <c r="F29" i="25593"/>
  <c r="G32" i="25593"/>
  <c r="F45" i="25593"/>
  <c r="G56" i="25593"/>
  <c r="D61" i="25593"/>
  <c r="H69" i="25593"/>
  <c r="E87" i="25593"/>
  <c r="H97" i="25593"/>
  <c r="G102" i="25593"/>
  <c r="D105" i="25593"/>
  <c r="C21" i="25594"/>
  <c r="F25" i="25594"/>
  <c r="G56" i="25594"/>
  <c r="D48" i="25594"/>
  <c r="C51" i="25594"/>
  <c r="F59" i="25594"/>
  <c r="D68" i="25594"/>
  <c r="G71" i="25594"/>
  <c r="F23" i="25595"/>
  <c r="F36" i="25595"/>
  <c r="E49" i="25595"/>
  <c r="F51" i="25595"/>
  <c r="F58" i="25595"/>
  <c r="F61" i="25595"/>
  <c r="E71" i="25595"/>
  <c r="C14" i="25596"/>
  <c r="D17" i="25596"/>
  <c r="C19" i="25596"/>
  <c r="F21" i="25596"/>
  <c r="F35" i="25596"/>
  <c r="F43" i="25596"/>
  <c r="G53" i="25596"/>
  <c r="C57" i="25596"/>
  <c r="F60" i="25596"/>
  <c r="C63" i="25596"/>
  <c r="E69" i="25596"/>
  <c r="D73" i="25596"/>
  <c r="I42" i="9728" s="1"/>
  <c r="D27" i="25597"/>
  <c r="C69" i="25597"/>
  <c r="E72" i="25597"/>
  <c r="E15" i="25598"/>
  <c r="E17" i="25598"/>
  <c r="D23" i="25598"/>
  <c r="C47" i="25598"/>
  <c r="F54" i="25598"/>
  <c r="D160" i="11522"/>
  <c r="F162" i="516"/>
  <c r="G46" i="36"/>
  <c r="D142" i="82"/>
  <c r="F126" i="82"/>
  <c r="E74" i="82"/>
  <c r="C201" i="9216"/>
  <c r="G50" i="11521"/>
  <c r="E156" i="11522"/>
  <c r="E159" i="515"/>
  <c r="C201" i="25588"/>
  <c r="D34" i="25591"/>
  <c r="C32" i="25592"/>
  <c r="G36" i="25592"/>
  <c r="H38" i="25592"/>
  <c r="D42" i="25592"/>
  <c r="H49" i="25592"/>
  <c r="G68" i="25592"/>
  <c r="D73" i="25592"/>
  <c r="I38" i="9728" s="1"/>
  <c r="G29" i="25593"/>
  <c r="F40" i="25593"/>
  <c r="G43" i="25593"/>
  <c r="G49" i="25593"/>
  <c r="D65" i="25593"/>
  <c r="G70" i="25593"/>
  <c r="G92" i="25593"/>
  <c r="G54" i="25594"/>
  <c r="D57" i="25594"/>
  <c r="D65" i="25594"/>
  <c r="G69" i="25594"/>
  <c r="F66" i="25595"/>
  <c r="C11" i="25596"/>
  <c r="F17" i="25596"/>
  <c r="D24" i="25596"/>
  <c r="C30" i="25596"/>
  <c r="C67" i="25596"/>
  <c r="F47" i="25597"/>
  <c r="D50" i="25597"/>
  <c r="G40" i="25598"/>
  <c r="C201" i="8196"/>
  <c r="F82" i="36"/>
  <c r="G81" i="82"/>
  <c r="C201" i="2316"/>
  <c r="E150" i="82"/>
  <c r="H95" i="36"/>
  <c r="J1521" i="1"/>
  <c r="C270" i="25587"/>
  <c r="C201" i="25589"/>
  <c r="D8" i="25591"/>
  <c r="D14" i="25591"/>
  <c r="H31" i="25591"/>
  <c r="F34" i="25591"/>
  <c r="E37" i="25591"/>
  <c r="G39" i="25591"/>
  <c r="F42" i="25591"/>
  <c r="D45" i="25591"/>
  <c r="H47" i="25591"/>
  <c r="D6" i="25592"/>
  <c r="G34" i="25592"/>
  <c r="C13" i="25592"/>
  <c r="D15" i="25592"/>
  <c r="C19" i="25592"/>
  <c r="C23" i="25592"/>
  <c r="H26" i="25592"/>
  <c r="H32" i="25592"/>
  <c r="C35" i="25592"/>
  <c r="H36" i="25592"/>
  <c r="F51" i="25592"/>
  <c r="D43" i="25592"/>
  <c r="C52" i="25592"/>
  <c r="H64" i="25592"/>
  <c r="C67" i="25592"/>
  <c r="H68" i="25592"/>
  <c r="C8" i="25593"/>
  <c r="F20" i="25593"/>
  <c r="H23" i="25593"/>
  <c r="D33" i="25593"/>
  <c r="D43" i="25593"/>
  <c r="F53" i="25593"/>
  <c r="D70" i="25593"/>
  <c r="G74" i="25593"/>
  <c r="D80" i="25593"/>
  <c r="D88" i="25593"/>
  <c r="C92" i="25593"/>
  <c r="F95" i="25593"/>
  <c r="E98" i="25593"/>
  <c r="E102" i="25593"/>
  <c r="G107" i="25593"/>
  <c r="D10" i="25594"/>
  <c r="D13" i="25594"/>
  <c r="E19" i="25594"/>
  <c r="D30" i="25594"/>
  <c r="F32" i="25594"/>
  <c r="C42" i="25594"/>
  <c r="F45" i="25594"/>
  <c r="E49" i="25594"/>
  <c r="F62" i="25594"/>
  <c r="C69" i="25594"/>
  <c r="D7" i="25595"/>
  <c r="D14" i="25595"/>
  <c r="C21" i="25595"/>
  <c r="C24" i="25595"/>
  <c r="F27" i="25595"/>
  <c r="F30" i="25595"/>
  <c r="G35" i="25595"/>
  <c r="C37" i="25595"/>
  <c r="E41" i="25595"/>
  <c r="H43" i="25595"/>
  <c r="F46" i="25595"/>
  <c r="D49" i="25595"/>
  <c r="D52" i="25595"/>
  <c r="C69" i="25595"/>
  <c r="H7" i="25596"/>
  <c r="D13" i="25596"/>
  <c r="F19" i="25596"/>
  <c r="H24" i="25596"/>
  <c r="E30" i="25596"/>
  <c r="H38" i="25596"/>
  <c r="D44" i="25596"/>
  <c r="F54" i="25596"/>
  <c r="E58" i="25596"/>
  <c r="F67" i="25596"/>
  <c r="D11" i="25597"/>
  <c r="C18" i="25597"/>
  <c r="D21" i="25597"/>
  <c r="E24" i="25597"/>
  <c r="E28" i="25597"/>
  <c r="C35" i="25597"/>
  <c r="C45" i="25597"/>
  <c r="F50" i="25597"/>
  <c r="C70" i="25597"/>
  <c r="D8" i="25598"/>
  <c r="C16" i="25598"/>
  <c r="E20" i="25598"/>
  <c r="E23" i="25598"/>
  <c r="D27" i="25598"/>
  <c r="F42" i="25598"/>
  <c r="D43" i="25598"/>
  <c r="C52" i="25598"/>
  <c r="C55" i="25598"/>
  <c r="G201" i="9216"/>
  <c r="H143" i="516"/>
  <c r="E45" i="36"/>
  <c r="F48" i="82"/>
  <c r="C116" i="36"/>
  <c r="C95" i="36"/>
  <c r="G140" i="82"/>
  <c r="D21" i="10285"/>
  <c r="C168" i="82"/>
  <c r="C201" i="25590"/>
  <c r="H8" i="25591"/>
  <c r="H14" i="25591"/>
  <c r="H17" i="25591"/>
  <c r="F25" i="25591"/>
  <c r="H39" i="25591"/>
  <c r="E45" i="25591"/>
  <c r="D52" i="25591"/>
  <c r="D7" i="25592"/>
  <c r="D13" i="25592"/>
  <c r="F23" i="25592"/>
  <c r="E27" i="25592"/>
  <c r="C30" i="25592"/>
  <c r="F35" i="25592"/>
  <c r="C43" i="25592"/>
  <c r="D50" i="25592"/>
  <c r="D52" i="25592"/>
  <c r="C54" i="25592"/>
  <c r="C56" i="25592"/>
  <c r="C59" i="25592"/>
  <c r="G65" i="25592"/>
  <c r="F67" i="25592"/>
  <c r="H15" i="25593"/>
  <c r="D20" i="25593"/>
  <c r="G51" i="25593"/>
  <c r="D32" i="25593"/>
  <c r="E33" i="25593"/>
  <c r="F37" i="25593"/>
  <c r="F43" i="25593"/>
  <c r="D64" i="25593"/>
  <c r="H66" i="25593"/>
  <c r="C74" i="25593"/>
  <c r="C77" i="25593"/>
  <c r="F80" i="25593"/>
  <c r="E92" i="25593"/>
  <c r="D107" i="25593"/>
  <c r="C10" i="25594"/>
  <c r="E13" i="25594"/>
  <c r="E20" i="25594"/>
  <c r="F30" i="25594"/>
  <c r="E42" i="25594"/>
  <c r="E57" i="25594"/>
  <c r="G49" i="25594"/>
  <c r="F69" i="25594"/>
  <c r="H50" i="25594"/>
  <c r="C15" i="25595"/>
  <c r="C19" i="25595"/>
  <c r="G30" i="25595"/>
  <c r="C35" i="25595"/>
  <c r="G37" i="25595"/>
  <c r="C41" i="25595"/>
  <c r="G44" i="25595"/>
  <c r="F49" i="25595"/>
  <c r="G60" i="25595"/>
  <c r="H61" i="25595"/>
  <c r="E12" i="25596"/>
  <c r="D22" i="25596"/>
  <c r="C34" i="25596"/>
  <c r="E44" i="25596"/>
  <c r="H67" i="25596"/>
  <c r="D18" i="25597"/>
  <c r="D71" i="25597"/>
  <c r="C8" i="25598"/>
  <c r="D16" i="25598"/>
  <c r="C21" i="25598"/>
  <c r="C27" i="25598"/>
  <c r="C30" i="25598"/>
  <c r="G36" i="25598"/>
  <c r="G43" i="25598"/>
  <c r="F55" i="25598"/>
  <c r="H127" i="40"/>
  <c r="G270" i="20994"/>
  <c r="H402" i="3"/>
  <c r="L1494" i="1"/>
  <c r="C201" i="512"/>
  <c r="G84" i="82"/>
  <c r="C136" i="36"/>
  <c r="E88" i="36"/>
  <c r="D23" i="11522"/>
  <c r="D108" i="516"/>
  <c r="C270" i="20994"/>
  <c r="C270" i="4888"/>
  <c r="F136" i="515"/>
  <c r="C149" i="516"/>
  <c r="J1566" i="1"/>
  <c r="D18" i="25591"/>
  <c r="H25" i="25591"/>
  <c r="D35" i="25591"/>
  <c r="D43" i="25591"/>
  <c r="H55" i="25591"/>
  <c r="C7" i="25592"/>
  <c r="C11" i="25592"/>
  <c r="D20" i="25592"/>
  <c r="D24" i="25592"/>
  <c r="C27" i="25592"/>
  <c r="G30" i="25592"/>
  <c r="C33" i="25592"/>
  <c r="E43" i="25592"/>
  <c r="E52" i="25592"/>
  <c r="C62" i="25592"/>
  <c r="C65" i="25592"/>
  <c r="H67" i="25592"/>
  <c r="G69" i="25592"/>
  <c r="F31" i="25593"/>
  <c r="G38" i="25593"/>
  <c r="F50" i="25593"/>
  <c r="F63" i="25593"/>
  <c r="H74" i="25593"/>
  <c r="F77" i="25593"/>
  <c r="H92" i="25593"/>
  <c r="G96" i="25593"/>
  <c r="F107" i="25593"/>
  <c r="C20" i="25594"/>
  <c r="D33" i="25594"/>
  <c r="C58" i="25594"/>
  <c r="H69" i="25594"/>
  <c r="D22" i="25595"/>
  <c r="D44" i="25595"/>
  <c r="E60" i="25595"/>
  <c r="E67" i="25595"/>
  <c r="G73" i="25595"/>
  <c r="F41" i="9728" s="1"/>
  <c r="C8" i="25596"/>
  <c r="C18" i="25596"/>
  <c r="D25" i="25596"/>
  <c r="C39" i="25596"/>
  <c r="C52" i="25596"/>
  <c r="C71" i="25596"/>
  <c r="D12" i="25597"/>
  <c r="F18" i="25597"/>
  <c r="D22" i="25597"/>
  <c r="E16" i="25598"/>
  <c r="H14" i="40"/>
  <c r="H270" i="3"/>
  <c r="E147" i="36"/>
  <c r="D85" i="11522"/>
  <c r="D77" i="11522"/>
  <c r="E38" i="2"/>
  <c r="C7" i="11521"/>
  <c r="D1522" i="1"/>
  <c r="E1571" i="1"/>
  <c r="C165" i="11522"/>
  <c r="C20" i="25592"/>
  <c r="C24" i="25592"/>
  <c r="G52" i="25592"/>
  <c r="G41" i="25593"/>
  <c r="F55" i="25593"/>
  <c r="G75" i="25593"/>
  <c r="F104" i="25593"/>
  <c r="D14" i="25594"/>
  <c r="G37" i="25594"/>
  <c r="G61" i="25594"/>
  <c r="G33" i="25595"/>
  <c r="F35" i="25595"/>
  <c r="G47" i="25595"/>
  <c r="C13" i="25596"/>
  <c r="C16" i="25596"/>
  <c r="C31" i="25596"/>
  <c r="C43" i="25596"/>
  <c r="C48" i="25596"/>
  <c r="C68" i="25596"/>
  <c r="H16" i="25598"/>
  <c r="G56" i="25598"/>
  <c r="C270" i="2561"/>
  <c r="C201" i="2048"/>
  <c r="C78" i="36"/>
  <c r="F72" i="11522"/>
  <c r="G69" i="516"/>
  <c r="C201" i="523"/>
  <c r="C65" i="768"/>
  <c r="C150" i="768"/>
  <c r="C201" i="1024"/>
  <c r="H10" i="25591"/>
  <c r="E26" i="25591"/>
  <c r="D36" i="25591"/>
  <c r="H38" i="25591"/>
  <c r="E44" i="25591"/>
  <c r="G50" i="25591"/>
  <c r="C8" i="25592"/>
  <c r="D12" i="25592"/>
  <c r="E20" i="25592"/>
  <c r="E24" i="25592"/>
  <c r="D28" i="25592"/>
  <c r="F33" i="25592"/>
  <c r="C38" i="25592"/>
  <c r="C41" i="25592"/>
  <c r="H43" i="25592"/>
  <c r="C49" i="25592"/>
  <c r="C51" i="25592"/>
  <c r="H54" i="25592"/>
  <c r="D57" i="25592"/>
  <c r="G62" i="25592"/>
  <c r="C55" i="25593"/>
  <c r="F28" i="25593"/>
  <c r="C60" i="25593"/>
  <c r="G93" i="25593"/>
  <c r="D75" i="25593"/>
  <c r="G82" i="25593"/>
  <c r="F87" i="25593"/>
  <c r="E90" i="25593"/>
  <c r="D97" i="25593"/>
  <c r="G100" i="25593"/>
  <c r="G104" i="25593"/>
  <c r="C8" i="25594"/>
  <c r="D15" i="25594"/>
  <c r="F20" i="25594"/>
  <c r="G29" i="25594"/>
  <c r="C37" i="25594"/>
  <c r="F40" i="25594"/>
  <c r="G53" i="25594"/>
  <c r="C61" i="25594"/>
  <c r="G67" i="25594"/>
  <c r="H25" i="25595"/>
  <c r="E43" i="25595"/>
  <c r="H35" i="25595"/>
  <c r="C51" i="25595"/>
  <c r="G63" i="25595"/>
  <c r="G30" i="25596"/>
  <c r="G48" i="25596"/>
  <c r="D9" i="25597"/>
  <c r="C41" i="25597"/>
  <c r="D45" i="25597"/>
  <c r="C11" i="25598"/>
  <c r="H14" i="25598"/>
  <c r="C17" i="25598"/>
  <c r="C22" i="25598"/>
  <c r="D25" i="25598"/>
  <c r="H98" i="40"/>
  <c r="G201" i="1024"/>
  <c r="F103" i="11522"/>
  <c r="E56" i="11522"/>
  <c r="D270" i="3"/>
  <c r="E159" i="82"/>
  <c r="F1515" i="1"/>
  <c r="G270" i="3"/>
  <c r="G201" i="2316"/>
  <c r="F201" i="25590"/>
  <c r="F201" i="2048"/>
  <c r="F150" i="768"/>
  <c r="G201" i="2048"/>
  <c r="F271" i="32"/>
  <c r="G271" i="32"/>
  <c r="F201" i="25588"/>
  <c r="G201" i="2819"/>
  <c r="G201" i="512"/>
  <c r="F270" i="10541"/>
  <c r="F201" i="25589"/>
  <c r="F201" i="2316"/>
  <c r="F201" i="2819"/>
  <c r="G270" i="4888"/>
  <c r="G201" i="25588"/>
  <c r="F201" i="523"/>
  <c r="H201" i="9216"/>
  <c r="G270" i="25580"/>
  <c r="G270" i="25587"/>
  <c r="G201" i="25589"/>
  <c r="G150" i="768"/>
  <c r="G150" i="10285"/>
  <c r="G201" i="8196"/>
  <c r="G270" i="10541"/>
  <c r="G58" i="25585"/>
  <c r="F270" i="4888"/>
  <c r="F201" i="8196"/>
  <c r="F270" i="25587"/>
  <c r="G201" i="25590"/>
  <c r="H201" i="1024"/>
  <c r="F270" i="25580"/>
  <c r="F150" i="10285"/>
  <c r="G201" i="523"/>
  <c r="H270" i="20994"/>
  <c r="F201" i="512"/>
  <c r="C200" i="25590"/>
  <c r="C200" i="25589"/>
  <c r="C200" i="25588"/>
  <c r="C269" i="25587"/>
  <c r="D150" i="512"/>
  <c r="C200" i="512"/>
  <c r="C143" i="8196"/>
  <c r="E78" i="8196"/>
  <c r="C200" i="8196"/>
  <c r="C200" i="2048"/>
  <c r="E64" i="2048"/>
  <c r="F108" i="2048"/>
  <c r="C269" i="10541"/>
  <c r="G50" i="10541"/>
  <c r="C200" i="523"/>
  <c r="F33" i="523"/>
  <c r="G41" i="523"/>
  <c r="G34" i="523"/>
  <c r="F53" i="523"/>
  <c r="C269" i="2561"/>
  <c r="C72" i="2561"/>
  <c r="C185" i="2561"/>
  <c r="C19" i="2561"/>
  <c r="C196" i="2561"/>
  <c r="C88" i="2561"/>
  <c r="C200" i="2819"/>
  <c r="G102" i="2819"/>
  <c r="C200" i="2316"/>
  <c r="G93" i="32"/>
  <c r="G45" i="32"/>
  <c r="G37" i="32"/>
  <c r="G80" i="32"/>
  <c r="C200" i="1024"/>
  <c r="G53" i="9216"/>
  <c r="H37" i="9216"/>
  <c r="F60" i="9216"/>
  <c r="C200" i="9216"/>
  <c r="H124" i="20994"/>
  <c r="C269" i="20994"/>
  <c r="F92" i="20994"/>
  <c r="G60" i="20994"/>
  <c r="H269" i="20994"/>
  <c r="D40" i="768"/>
  <c r="G39" i="768"/>
  <c r="C149" i="768"/>
  <c r="G32" i="768"/>
  <c r="E35" i="10285"/>
  <c r="C149" i="10285"/>
  <c r="G127" i="4888"/>
  <c r="C63" i="4888"/>
  <c r="C269" i="4888"/>
  <c r="F135" i="4888"/>
  <c r="C47" i="4888"/>
  <c r="G160" i="4888"/>
  <c r="D145" i="4888"/>
  <c r="G168" i="4888"/>
  <c r="D168" i="4888"/>
  <c r="D73" i="4888"/>
  <c r="G135" i="4888"/>
  <c r="D39" i="4888"/>
  <c r="G200" i="4888"/>
  <c r="G57" i="4888"/>
  <c r="G126" i="25580"/>
  <c r="C269" i="25580"/>
  <c r="D269" i="3"/>
  <c r="E171" i="3"/>
  <c r="E223" i="3"/>
  <c r="F150" i="40"/>
  <c r="D162" i="516"/>
  <c r="D161" i="40"/>
  <c r="C161" i="40"/>
  <c r="G171" i="40"/>
  <c r="H10" i="40"/>
  <c r="D149" i="516"/>
  <c r="H9" i="516"/>
  <c r="H14" i="516"/>
  <c r="H17" i="516"/>
  <c r="H57" i="516"/>
  <c r="H44" i="516"/>
  <c r="H70" i="516"/>
  <c r="D159" i="36"/>
  <c r="C162" i="516"/>
  <c r="H20" i="516"/>
  <c r="H141" i="516"/>
  <c r="H132" i="516"/>
  <c r="H171" i="516"/>
  <c r="G162" i="516"/>
  <c r="H117" i="516"/>
  <c r="H43" i="516"/>
  <c r="H131" i="516"/>
  <c r="H51" i="516"/>
  <c r="H27" i="516"/>
  <c r="F161" i="40"/>
  <c r="H116" i="515"/>
  <c r="H112" i="40"/>
  <c r="H83" i="516"/>
  <c r="H104" i="516"/>
  <c r="H106" i="516"/>
  <c r="H11" i="516"/>
  <c r="H63" i="516"/>
  <c r="G269" i="3"/>
  <c r="H140" i="516"/>
  <c r="H46" i="516"/>
  <c r="H56" i="516"/>
  <c r="H139" i="516"/>
  <c r="H26" i="516"/>
  <c r="H53" i="516"/>
  <c r="D163" i="516"/>
  <c r="E155" i="515"/>
  <c r="H111" i="516"/>
  <c r="G158" i="36"/>
  <c r="C161" i="36"/>
  <c r="H50" i="40"/>
  <c r="H56" i="40"/>
  <c r="H65" i="516"/>
  <c r="H13" i="516"/>
  <c r="H87" i="516"/>
  <c r="H35" i="516"/>
  <c r="H50" i="516"/>
  <c r="H80" i="516"/>
  <c r="H8" i="516"/>
  <c r="H105" i="516"/>
  <c r="H94" i="516"/>
  <c r="H81" i="516"/>
  <c r="H93" i="516"/>
  <c r="H161" i="516"/>
  <c r="H84" i="516"/>
  <c r="H47" i="516"/>
  <c r="E167" i="82"/>
  <c r="F157" i="515"/>
  <c r="H160" i="516"/>
  <c r="H269" i="3"/>
  <c r="H162" i="516"/>
  <c r="H66" i="516"/>
  <c r="H136" i="516"/>
  <c r="H116" i="516"/>
  <c r="H54" i="516"/>
  <c r="H60" i="516"/>
  <c r="H51" i="40"/>
  <c r="D158" i="36"/>
  <c r="H68" i="516"/>
  <c r="H12" i="516"/>
  <c r="H110" i="516"/>
  <c r="H112" i="516"/>
  <c r="H119" i="516"/>
  <c r="H28" i="516"/>
  <c r="G157" i="82"/>
  <c r="H129" i="516"/>
  <c r="H142" i="516"/>
  <c r="H88" i="516"/>
  <c r="H89" i="516"/>
  <c r="H38" i="516"/>
  <c r="H21" i="516"/>
  <c r="H10" i="516"/>
  <c r="H108" i="516"/>
  <c r="H134" i="516"/>
  <c r="F269" i="25587"/>
  <c r="G200" i="25590"/>
  <c r="G200" i="512"/>
  <c r="F200" i="2819"/>
  <c r="F269" i="25580"/>
  <c r="F200" i="25588"/>
  <c r="G200" i="523"/>
  <c r="G200" i="2316"/>
  <c r="G200" i="2819"/>
  <c r="G200" i="1024"/>
  <c r="F200" i="25589"/>
  <c r="G269" i="25580"/>
  <c r="F200" i="2316"/>
  <c r="G269" i="20994"/>
  <c r="G200" i="8196"/>
  <c r="G200" i="9216"/>
  <c r="G269" i="4888"/>
  <c r="F200" i="523"/>
  <c r="F200" i="2048"/>
  <c r="F200" i="25590"/>
  <c r="G200" i="25588"/>
  <c r="G269" i="10541"/>
  <c r="G149" i="768"/>
  <c r="F269" i="4888"/>
  <c r="G269" i="25587"/>
  <c r="G200" i="2048"/>
  <c r="F269" i="10541"/>
  <c r="F149" i="768"/>
  <c r="F200" i="8196"/>
  <c r="G200" i="25589"/>
  <c r="F270" i="32"/>
  <c r="F149" i="10285"/>
  <c r="F200" i="512"/>
  <c r="G149" i="10285"/>
  <c r="G57" i="25585"/>
  <c r="C199" i="25590"/>
  <c r="C199" i="25589"/>
  <c r="C199" i="25588"/>
  <c r="C268" i="25587"/>
  <c r="C128" i="512"/>
  <c r="C199" i="512"/>
  <c r="F78" i="512"/>
  <c r="C140" i="512"/>
  <c r="F54" i="512"/>
  <c r="F42" i="512"/>
  <c r="G77" i="8196"/>
  <c r="E139" i="8196"/>
  <c r="F139" i="8196"/>
  <c r="C139" i="8196"/>
  <c r="C199" i="8196"/>
  <c r="G142" i="8196"/>
  <c r="D139" i="8196"/>
  <c r="G139" i="8196"/>
  <c r="E108" i="8196"/>
  <c r="D19" i="2048"/>
  <c r="G58" i="2048"/>
  <c r="C199" i="2048"/>
  <c r="E42" i="2048"/>
  <c r="C151" i="2048"/>
  <c r="F130" i="10541"/>
  <c r="G58" i="10541"/>
  <c r="E177" i="10541"/>
  <c r="D115" i="10541"/>
  <c r="G42" i="10541"/>
  <c r="G74" i="10541"/>
  <c r="E88" i="10541"/>
  <c r="G86" i="10541"/>
  <c r="F30" i="10541"/>
  <c r="G82" i="10541"/>
  <c r="C268" i="10541"/>
  <c r="D194" i="10541"/>
  <c r="G73" i="523"/>
  <c r="E91" i="523"/>
  <c r="F154" i="523"/>
  <c r="C199" i="523"/>
  <c r="G88" i="523"/>
  <c r="E64" i="523"/>
  <c r="C101" i="2561"/>
  <c r="C220" i="2561"/>
  <c r="C110" i="2561"/>
  <c r="C124" i="2561"/>
  <c r="C268" i="2561"/>
  <c r="C199" i="2819"/>
  <c r="C13" i="2819"/>
  <c r="G152" i="2819"/>
  <c r="G104" i="2819"/>
  <c r="C83" i="2819"/>
  <c r="E36" i="2819"/>
  <c r="C199" i="2316"/>
  <c r="E41" i="2316"/>
  <c r="G91" i="2316"/>
  <c r="D93" i="32"/>
  <c r="G70" i="32"/>
  <c r="E194" i="32"/>
  <c r="G96" i="32"/>
  <c r="G78" i="32"/>
  <c r="D215" i="32"/>
  <c r="H83" i="1024"/>
  <c r="C13" i="1024"/>
  <c r="D13" i="1024" s="1"/>
  <c r="E82" i="1024"/>
  <c r="G38" i="1024"/>
  <c r="C199" i="1024"/>
  <c r="C199" i="9216"/>
  <c r="H199" i="9216"/>
  <c r="G22" i="9216"/>
  <c r="E38" i="9216"/>
  <c r="C40" i="20994"/>
  <c r="D40" i="20994" s="1"/>
  <c r="H268" i="20994"/>
  <c r="F125" i="20994"/>
  <c r="C268" i="20994"/>
  <c r="C64" i="20994"/>
  <c r="D64" i="20994" s="1"/>
  <c r="H82" i="20994"/>
  <c r="H41" i="20994"/>
  <c r="H114" i="20994"/>
  <c r="G101" i="768"/>
  <c r="C148" i="768"/>
  <c r="G85" i="768"/>
  <c r="C148" i="10285"/>
  <c r="C21" i="10285"/>
  <c r="F49" i="10285"/>
  <c r="F43" i="10285"/>
  <c r="E89" i="4888"/>
  <c r="D26" i="4888"/>
  <c r="D89" i="4888"/>
  <c r="G164" i="4888"/>
  <c r="C268" i="4888"/>
  <c r="G123" i="4888"/>
  <c r="G136" i="4888"/>
  <c r="G108" i="4888"/>
  <c r="E56" i="4888"/>
  <c r="C102" i="4888"/>
  <c r="E203" i="4888"/>
  <c r="E129" i="4888"/>
  <c r="E74" i="4888"/>
  <c r="F120" i="4888"/>
  <c r="C135" i="4888"/>
  <c r="G128" i="4888"/>
  <c r="C167" i="4888"/>
  <c r="F119" i="4888"/>
  <c r="E200" i="4888"/>
  <c r="C268" i="25580"/>
  <c r="G218" i="25580"/>
  <c r="G60" i="25580"/>
  <c r="F122" i="25580"/>
  <c r="D191" i="25580"/>
  <c r="F144" i="25580"/>
  <c r="E49" i="25580"/>
  <c r="F45" i="3"/>
  <c r="F21" i="3"/>
  <c r="G268" i="3"/>
  <c r="H186" i="3"/>
  <c r="H166" i="3"/>
  <c r="H61" i="3"/>
  <c r="E150" i="3"/>
  <c r="E12" i="3"/>
  <c r="H113" i="3"/>
  <c r="F94" i="3"/>
  <c r="E125" i="3"/>
  <c r="H268" i="3"/>
  <c r="D268" i="3"/>
  <c r="F199" i="25589"/>
  <c r="G199" i="512"/>
  <c r="G268" i="25580"/>
  <c r="F148" i="768"/>
  <c r="G199" i="8196"/>
  <c r="G268" i="25587"/>
  <c r="F199" i="25590"/>
  <c r="G199" i="523"/>
  <c r="G148" i="768"/>
  <c r="G199" i="2048"/>
  <c r="G199" i="25588"/>
  <c r="F199" i="523"/>
  <c r="G268" i="10541"/>
  <c r="F268" i="10541"/>
  <c r="F269" i="32"/>
  <c r="G199" i="9216"/>
  <c r="F199" i="8196"/>
  <c r="G199" i="1024"/>
  <c r="F268" i="4888"/>
  <c r="F199" i="2316"/>
  <c r="G199" i="25589"/>
  <c r="F268" i="25580"/>
  <c r="G199" i="2316"/>
  <c r="F268" i="25587"/>
  <c r="G199" i="25590"/>
  <c r="G199" i="2819"/>
  <c r="F199" i="2048"/>
  <c r="F148" i="10285"/>
  <c r="G148" i="10285"/>
  <c r="G269" i="32"/>
  <c r="G268" i="4888"/>
  <c r="G268" i="20994"/>
  <c r="G56" i="25585"/>
  <c r="F199" i="25588"/>
  <c r="F199" i="512"/>
  <c r="F199" i="2819"/>
  <c r="C198" i="25590"/>
  <c r="D70" i="25589"/>
  <c r="C198" i="25589"/>
  <c r="C198" i="25588"/>
  <c r="C267" i="25587"/>
  <c r="C97" i="512"/>
  <c r="D139" i="512"/>
  <c r="G81" i="512"/>
  <c r="E45" i="512"/>
  <c r="G33" i="512"/>
  <c r="F61" i="512"/>
  <c r="F69" i="512"/>
  <c r="C198" i="512"/>
  <c r="G138" i="512"/>
  <c r="D9" i="512"/>
  <c r="G121" i="512"/>
  <c r="F129" i="512"/>
  <c r="G49" i="512"/>
  <c r="G153" i="512"/>
  <c r="D16" i="8196"/>
  <c r="C198" i="8196"/>
  <c r="G151" i="8196"/>
  <c r="E47" i="8196"/>
  <c r="F95" i="8196"/>
  <c r="G44" i="8196"/>
  <c r="G149" i="8196"/>
  <c r="D29" i="8196"/>
  <c r="D38" i="8196"/>
  <c r="G140" i="8196"/>
  <c r="G53" i="8196"/>
  <c r="C39" i="8196"/>
  <c r="G37" i="8196"/>
  <c r="E83" i="8196"/>
  <c r="D102" i="8196"/>
  <c r="F98" i="2048"/>
  <c r="E130" i="2048"/>
  <c r="E125" i="2048"/>
  <c r="G122" i="2048"/>
  <c r="E103" i="2048"/>
  <c r="G133" i="2048"/>
  <c r="E126" i="2048"/>
  <c r="G34" i="2048"/>
  <c r="G42" i="2048"/>
  <c r="F141" i="2048"/>
  <c r="E132" i="2048"/>
  <c r="G116" i="2048"/>
  <c r="D126" i="2048"/>
  <c r="C198" i="2048"/>
  <c r="E114" i="2048"/>
  <c r="G68" i="2048"/>
  <c r="G140" i="2048"/>
  <c r="E152" i="2048"/>
  <c r="F73" i="2048"/>
  <c r="F85" i="10541"/>
  <c r="D103" i="10541"/>
  <c r="F219" i="10541"/>
  <c r="C75" i="10541"/>
  <c r="C267" i="10541"/>
  <c r="D54" i="10541"/>
  <c r="E204" i="10541"/>
  <c r="E118" i="10541"/>
  <c r="F119" i="10541"/>
  <c r="E69" i="10541"/>
  <c r="E169" i="10541"/>
  <c r="E197" i="10541"/>
  <c r="E81" i="10541"/>
  <c r="G79" i="10541"/>
  <c r="G223" i="10541"/>
  <c r="E36" i="523"/>
  <c r="G68" i="523"/>
  <c r="D73" i="523"/>
  <c r="F147" i="523"/>
  <c r="G44" i="523"/>
  <c r="E53" i="523"/>
  <c r="F26" i="523"/>
  <c r="D53" i="523"/>
  <c r="C28" i="523"/>
  <c r="E89" i="523"/>
  <c r="C198" i="523"/>
  <c r="C54" i="2561"/>
  <c r="C28" i="2561"/>
  <c r="C44" i="2561"/>
  <c r="C267" i="2561"/>
  <c r="C62" i="2561"/>
  <c r="C92" i="2561"/>
  <c r="G151" i="2819"/>
  <c r="G145" i="2819"/>
  <c r="C62" i="2819"/>
  <c r="C198" i="2819"/>
  <c r="G150" i="2819"/>
  <c r="G120" i="2819"/>
  <c r="G52" i="2819"/>
  <c r="E37" i="2819"/>
  <c r="D29" i="2819"/>
  <c r="G63" i="2316"/>
  <c r="D73" i="2316"/>
  <c r="G123" i="2316"/>
  <c r="C75" i="2316"/>
  <c r="D42" i="2316"/>
  <c r="C198" i="2316"/>
  <c r="C39" i="2316"/>
  <c r="C41" i="2316"/>
  <c r="D51" i="2316"/>
  <c r="C25" i="2316"/>
  <c r="F33" i="32"/>
  <c r="F194" i="32"/>
  <c r="F202" i="32"/>
  <c r="D217" i="32"/>
  <c r="E21" i="32"/>
  <c r="F145" i="32"/>
  <c r="D194" i="32"/>
  <c r="G202" i="32"/>
  <c r="F81" i="32"/>
  <c r="G125" i="32"/>
  <c r="D15" i="32"/>
  <c r="E125" i="32"/>
  <c r="G194" i="32"/>
  <c r="G161" i="32"/>
  <c r="E182" i="32"/>
  <c r="E31" i="32"/>
  <c r="G160" i="32"/>
  <c r="E210" i="32"/>
  <c r="D182" i="32"/>
  <c r="F51" i="32"/>
  <c r="E222" i="32"/>
  <c r="F178" i="32"/>
  <c r="G217" i="32"/>
  <c r="E190" i="32"/>
  <c r="E93" i="32"/>
  <c r="G193" i="32"/>
  <c r="F198" i="32"/>
  <c r="E30" i="32"/>
  <c r="E76" i="32"/>
  <c r="D104" i="32"/>
  <c r="E170" i="32"/>
  <c r="G157" i="32"/>
  <c r="E13" i="1024"/>
  <c r="H51" i="1024"/>
  <c r="G55" i="1024"/>
  <c r="G65" i="1024"/>
  <c r="E165" i="1024"/>
  <c r="E12" i="1024"/>
  <c r="E76" i="1024"/>
  <c r="C198" i="1024"/>
  <c r="C198" i="9216"/>
  <c r="E45" i="9216"/>
  <c r="C13" i="9216"/>
  <c r="D13" i="9216" s="1"/>
  <c r="H198" i="9216"/>
  <c r="H32" i="9216"/>
  <c r="F70" i="9216"/>
  <c r="E41" i="9216"/>
  <c r="E81" i="9216"/>
  <c r="H45" i="9216"/>
  <c r="H88" i="20994"/>
  <c r="G46" i="20994"/>
  <c r="G109" i="20994"/>
  <c r="F109" i="20994"/>
  <c r="G176" i="20994"/>
  <c r="H267" i="20994"/>
  <c r="C267" i="20994"/>
  <c r="H104" i="20994"/>
  <c r="D23" i="768"/>
  <c r="G62" i="768"/>
  <c r="G46" i="768"/>
  <c r="C46" i="768"/>
  <c r="C147" i="768"/>
  <c r="F86" i="768"/>
  <c r="G94" i="768"/>
  <c r="C147" i="10285"/>
  <c r="C17" i="10285"/>
  <c r="D88" i="10285"/>
  <c r="D80" i="10285"/>
  <c r="F91" i="10285"/>
  <c r="E79" i="10285"/>
  <c r="E63" i="10285"/>
  <c r="F29" i="4888"/>
  <c r="F41" i="4888"/>
  <c r="F37" i="4888"/>
  <c r="C212" i="4888"/>
  <c r="G93" i="4888"/>
  <c r="G73" i="4888"/>
  <c r="F104" i="4888"/>
  <c r="G81" i="4888"/>
  <c r="E60" i="4888"/>
  <c r="F101" i="4888"/>
  <c r="E61" i="4888"/>
  <c r="C89" i="4888"/>
  <c r="C21" i="4888"/>
  <c r="C144" i="4888"/>
  <c r="C267" i="4888"/>
  <c r="E37" i="4888"/>
  <c r="F124" i="4888"/>
  <c r="G68" i="4888"/>
  <c r="F60" i="4888"/>
  <c r="G146" i="4888"/>
  <c r="F193" i="4888"/>
  <c r="F96" i="4888"/>
  <c r="F156" i="4888"/>
  <c r="F21" i="4888"/>
  <c r="F84" i="4888"/>
  <c r="F131" i="4888"/>
  <c r="F68" i="4888"/>
  <c r="G196" i="4888"/>
  <c r="D90" i="4888"/>
  <c r="F103" i="25580"/>
  <c r="C267" i="25580"/>
  <c r="G223" i="25580"/>
  <c r="F134" i="25580"/>
  <c r="D188" i="25580"/>
  <c r="G70" i="25580"/>
  <c r="D68" i="25580"/>
  <c r="D46" i="25580"/>
  <c r="C14" i="25580"/>
  <c r="F118" i="25580"/>
  <c r="D264" i="3"/>
  <c r="D267" i="3"/>
  <c r="D265" i="3"/>
  <c r="E165" i="3"/>
  <c r="G267" i="3"/>
  <c r="G121" i="3"/>
  <c r="F125" i="3"/>
  <c r="H267" i="3"/>
  <c r="D222" i="3"/>
  <c r="H121" i="3"/>
  <c r="F72" i="3"/>
  <c r="C400" i="3"/>
  <c r="E90" i="3"/>
  <c r="G217" i="3"/>
  <c r="G30" i="3"/>
  <c r="H132" i="3"/>
  <c r="F23" i="3"/>
  <c r="G105" i="3"/>
  <c r="D19" i="3"/>
  <c r="F124" i="3"/>
  <c r="E187" i="3"/>
  <c r="G191" i="3"/>
  <c r="E196" i="3"/>
  <c r="G128" i="3"/>
  <c r="G23" i="3"/>
  <c r="E205" i="3"/>
  <c r="C402" i="3"/>
  <c r="F105" i="3"/>
  <c r="F89" i="3"/>
  <c r="G267" i="20994"/>
  <c r="F267" i="4888"/>
  <c r="F198" i="25589"/>
  <c r="F147" i="10285"/>
  <c r="G198" i="2316"/>
  <c r="G147" i="768"/>
  <c r="G267" i="25587"/>
  <c r="F198" i="523"/>
  <c r="G267" i="4888"/>
  <c r="G198" i="2048"/>
  <c r="G198" i="25588"/>
  <c r="F198" i="25590"/>
  <c r="F198" i="2048"/>
  <c r="F147" i="768"/>
  <c r="G267" i="10541"/>
  <c r="F198" i="2819"/>
  <c r="F268" i="32"/>
  <c r="G198" i="512"/>
  <c r="F198" i="2316"/>
  <c r="F198" i="512"/>
  <c r="G198" i="2819"/>
  <c r="G198" i="9216"/>
  <c r="G55" i="25586"/>
  <c r="F267" i="25587"/>
  <c r="F267" i="25580"/>
  <c r="G267" i="25580"/>
  <c r="F198" i="25588"/>
  <c r="G198" i="25590"/>
  <c r="G198" i="1024"/>
  <c r="G198" i="8196"/>
  <c r="F198" i="8196"/>
  <c r="G55" i="25585"/>
  <c r="G198" i="25589"/>
  <c r="G268" i="32"/>
  <c r="G147" i="10285"/>
  <c r="F267" i="10541"/>
  <c r="C197" i="25590"/>
  <c r="C197" i="25589"/>
  <c r="C197" i="25588"/>
  <c r="G112" i="25588"/>
  <c r="E66" i="25588"/>
  <c r="C49" i="25587"/>
  <c r="F217" i="25587"/>
  <c r="E61" i="25587"/>
  <c r="C266" i="25587"/>
  <c r="G116" i="512"/>
  <c r="D29" i="512"/>
  <c r="E127" i="512"/>
  <c r="C11" i="512"/>
  <c r="D152" i="512"/>
  <c r="D130" i="512"/>
  <c r="G149" i="512"/>
  <c r="D43" i="512"/>
  <c r="E33" i="512"/>
  <c r="C197" i="512"/>
  <c r="D142" i="512"/>
  <c r="D68" i="512"/>
  <c r="G74" i="512"/>
  <c r="F107" i="512"/>
  <c r="E75" i="8196"/>
  <c r="G39" i="8196"/>
  <c r="F75" i="8196"/>
  <c r="D131" i="8196"/>
  <c r="C197" i="8196"/>
  <c r="G32" i="8196"/>
  <c r="C86" i="8196"/>
  <c r="C114" i="8196"/>
  <c r="G63" i="8196"/>
  <c r="C45" i="8196"/>
  <c r="D119" i="8196"/>
  <c r="F84" i="8196"/>
  <c r="E140" i="8196"/>
  <c r="C153" i="8196"/>
  <c r="G55" i="8196"/>
  <c r="C134" i="8196"/>
  <c r="F54" i="8196"/>
  <c r="G96" i="8196"/>
  <c r="F134" i="8196"/>
  <c r="F122" i="8196"/>
  <c r="C197" i="2048"/>
  <c r="E96" i="2048"/>
  <c r="E69" i="2048"/>
  <c r="C92" i="2048"/>
  <c r="E40" i="2048"/>
  <c r="F136" i="2048"/>
  <c r="F117" i="2048"/>
  <c r="E133" i="2048"/>
  <c r="F148" i="2048"/>
  <c r="D141" i="10541"/>
  <c r="E106" i="10541"/>
  <c r="D74" i="10541"/>
  <c r="D18" i="10541"/>
  <c r="G171" i="10541"/>
  <c r="E208" i="10541"/>
  <c r="C17" i="10541"/>
  <c r="C266" i="10541"/>
  <c r="E171" i="10541"/>
  <c r="D9" i="10541"/>
  <c r="F160" i="10541"/>
  <c r="E203" i="10541"/>
  <c r="E67" i="10541"/>
  <c r="E101" i="10541"/>
  <c r="E126" i="10541"/>
  <c r="E164" i="10541"/>
  <c r="C88" i="10541"/>
  <c r="G97" i="10541"/>
  <c r="E148" i="10541"/>
  <c r="E180" i="10541"/>
  <c r="F68" i="10541"/>
  <c r="D19" i="10541"/>
  <c r="G101" i="523"/>
  <c r="G83" i="523"/>
  <c r="D92" i="523"/>
  <c r="E69" i="523"/>
  <c r="C40" i="523"/>
  <c r="E76" i="523"/>
  <c r="E97" i="523"/>
  <c r="E92" i="523"/>
  <c r="G108" i="523"/>
  <c r="E111" i="523"/>
  <c r="F97" i="523"/>
  <c r="C197" i="523"/>
  <c r="E44" i="523"/>
  <c r="E27" i="523"/>
  <c r="E83" i="523"/>
  <c r="E108" i="523"/>
  <c r="C37" i="2561"/>
  <c r="C195" i="2561"/>
  <c r="C266" i="2561"/>
  <c r="C211" i="2561"/>
  <c r="C191" i="2561"/>
  <c r="C199" i="2561"/>
  <c r="G115" i="2819"/>
  <c r="C140" i="2819"/>
  <c r="G131" i="2819"/>
  <c r="G40" i="2819"/>
  <c r="C45" i="2819"/>
  <c r="D115" i="2819"/>
  <c r="E74" i="2819"/>
  <c r="F49" i="2819"/>
  <c r="C24" i="2819"/>
  <c r="E92" i="2819"/>
  <c r="F131" i="2819"/>
  <c r="C115" i="2819"/>
  <c r="E78" i="2819"/>
  <c r="C55" i="2819"/>
  <c r="C143" i="2819"/>
  <c r="E49" i="2819"/>
  <c r="G73" i="2819"/>
  <c r="C57" i="2819"/>
  <c r="G139" i="2819"/>
  <c r="C197" i="2819"/>
  <c r="E77" i="2819"/>
  <c r="E115" i="2819"/>
  <c r="C53" i="2819"/>
  <c r="C40" i="2819"/>
  <c r="E60" i="2819"/>
  <c r="D136" i="2316"/>
  <c r="G80" i="2316"/>
  <c r="G96" i="2316"/>
  <c r="G88" i="2316"/>
  <c r="F58" i="2316"/>
  <c r="G87" i="2316"/>
  <c r="G56" i="2316"/>
  <c r="F107" i="2316"/>
  <c r="G128" i="2316"/>
  <c r="C92" i="2316"/>
  <c r="G79" i="2316"/>
  <c r="D71" i="2316"/>
  <c r="G151" i="2316"/>
  <c r="F68" i="2316"/>
  <c r="G135" i="2316"/>
  <c r="E63" i="2316"/>
  <c r="G95" i="2316"/>
  <c r="C124" i="2316"/>
  <c r="G86" i="2316"/>
  <c r="C130" i="2316"/>
  <c r="C197" i="2316"/>
  <c r="C29" i="32"/>
  <c r="C113" i="32"/>
  <c r="C74" i="32"/>
  <c r="F78" i="32"/>
  <c r="C125" i="32"/>
  <c r="E203" i="32"/>
  <c r="C21" i="32"/>
  <c r="F62" i="32"/>
  <c r="F149" i="32"/>
  <c r="G42" i="32"/>
  <c r="G46" i="32"/>
  <c r="F86" i="32"/>
  <c r="C106" i="32"/>
  <c r="F214" i="32"/>
  <c r="F157" i="32"/>
  <c r="G154" i="32"/>
  <c r="E202" i="32"/>
  <c r="C39" i="32"/>
  <c r="D203" i="32"/>
  <c r="D70" i="32"/>
  <c r="F141" i="32"/>
  <c r="D218" i="32"/>
  <c r="D14" i="32"/>
  <c r="E128" i="32"/>
  <c r="F21" i="32"/>
  <c r="E149" i="32"/>
  <c r="E198" i="32"/>
  <c r="F161" i="32"/>
  <c r="C51" i="32"/>
  <c r="G110" i="32"/>
  <c r="F186" i="32"/>
  <c r="F90" i="32"/>
  <c r="G38" i="32"/>
  <c r="E186" i="32"/>
  <c r="F98" i="32"/>
  <c r="C77" i="32"/>
  <c r="C47" i="32"/>
  <c r="F42" i="32"/>
  <c r="G210" i="32"/>
  <c r="F153" i="32"/>
  <c r="E218" i="32"/>
  <c r="F114" i="32"/>
  <c r="C122" i="32"/>
  <c r="D133" i="32"/>
  <c r="G114" i="32"/>
  <c r="F182" i="32"/>
  <c r="F125" i="32"/>
  <c r="E151" i="1024"/>
  <c r="C143" i="1024"/>
  <c r="D143" i="1024" s="1"/>
  <c r="H68" i="1024"/>
  <c r="C197" i="1024"/>
  <c r="C38" i="1024"/>
  <c r="D38" i="1024" s="1"/>
  <c r="H156" i="1024"/>
  <c r="E190" i="1024"/>
  <c r="C55" i="1024"/>
  <c r="D55" i="1024" s="1"/>
  <c r="C163" i="1024"/>
  <c r="D163" i="1024" s="1"/>
  <c r="F48" i="1024"/>
  <c r="E36" i="1024"/>
  <c r="G165" i="1024"/>
  <c r="F59" i="1024"/>
  <c r="H59" i="1024"/>
  <c r="F165" i="1024"/>
  <c r="H190" i="1024"/>
  <c r="C149" i="1024"/>
  <c r="D149" i="1024" s="1"/>
  <c r="G163" i="9216"/>
  <c r="F46" i="9216"/>
  <c r="F151" i="9216"/>
  <c r="F90" i="9216"/>
  <c r="G89" i="9216"/>
  <c r="F80" i="9216"/>
  <c r="E88" i="9216"/>
  <c r="C197" i="9216"/>
  <c r="E134" i="9216"/>
  <c r="E19" i="9216"/>
  <c r="E143" i="9216"/>
  <c r="G34" i="9216"/>
  <c r="H34" i="9216"/>
  <c r="G76" i="9216"/>
  <c r="C266" i="20994"/>
  <c r="H174" i="20994"/>
  <c r="C171" i="20994"/>
  <c r="D171" i="20994" s="1"/>
  <c r="G63" i="20994"/>
  <c r="G93" i="20994"/>
  <c r="E106" i="20994"/>
  <c r="H68" i="20994"/>
  <c r="H98" i="20994"/>
  <c r="C46" i="20994"/>
  <c r="D46" i="20994" s="1"/>
  <c r="E66" i="20994"/>
  <c r="F85" i="20994"/>
  <c r="C232" i="20994"/>
  <c r="D232" i="20994" s="1"/>
  <c r="H59" i="20994"/>
  <c r="C169" i="20994"/>
  <c r="D169" i="20994" s="1"/>
  <c r="G125" i="20994"/>
  <c r="F30" i="20994"/>
  <c r="D31" i="768"/>
  <c r="C24" i="768"/>
  <c r="C70" i="768"/>
  <c r="F55" i="768"/>
  <c r="F63" i="768"/>
  <c r="D48" i="768"/>
  <c r="D71" i="768"/>
  <c r="E94" i="768"/>
  <c r="C22" i="768"/>
  <c r="G70" i="768"/>
  <c r="G38" i="768"/>
  <c r="D39" i="768"/>
  <c r="C48" i="768"/>
  <c r="G56" i="768"/>
  <c r="C146" i="768"/>
  <c r="C55" i="768"/>
  <c r="C62" i="768"/>
  <c r="C23" i="768"/>
  <c r="G40" i="768"/>
  <c r="C64" i="768"/>
  <c r="C78" i="768"/>
  <c r="C100" i="768"/>
  <c r="C14" i="768"/>
  <c r="G54" i="768"/>
  <c r="D63" i="768"/>
  <c r="C54" i="768"/>
  <c r="F101" i="768"/>
  <c r="C101" i="768"/>
  <c r="C47" i="768"/>
  <c r="D24" i="768"/>
  <c r="F35" i="768"/>
  <c r="C31" i="768"/>
  <c r="D16" i="768"/>
  <c r="D75" i="768"/>
  <c r="C81" i="768"/>
  <c r="G63" i="768"/>
  <c r="D32" i="768"/>
  <c r="D47" i="768"/>
  <c r="C40" i="768"/>
  <c r="G55" i="768"/>
  <c r="C19" i="768"/>
  <c r="C56" i="768"/>
  <c r="G71" i="768"/>
  <c r="C15" i="768"/>
  <c r="C69" i="768"/>
  <c r="C30" i="768"/>
  <c r="F30" i="768"/>
  <c r="G48" i="768"/>
  <c r="C32" i="768"/>
  <c r="C39" i="768"/>
  <c r="C63" i="768"/>
  <c r="G47" i="768"/>
  <c r="C71" i="768"/>
  <c r="D56" i="768"/>
  <c r="C35" i="768"/>
  <c r="G58" i="10285"/>
  <c r="E57" i="10285"/>
  <c r="D58" i="10285"/>
  <c r="G65" i="10285"/>
  <c r="G73" i="10285"/>
  <c r="D97" i="10285"/>
  <c r="C146" i="10285"/>
  <c r="E80" i="10285"/>
  <c r="G90" i="10285"/>
  <c r="G97" i="10285"/>
  <c r="E76" i="10285"/>
  <c r="D96" i="10285"/>
  <c r="C88" i="4888"/>
  <c r="C30" i="4888"/>
  <c r="C29" i="4888"/>
  <c r="E24" i="4888"/>
  <c r="E55" i="4888"/>
  <c r="D160" i="4888"/>
  <c r="C99" i="4888"/>
  <c r="C17" i="4888"/>
  <c r="G64" i="4888"/>
  <c r="C151" i="4888"/>
  <c r="C84" i="4888"/>
  <c r="C194" i="4888"/>
  <c r="D9" i="4888"/>
  <c r="C18" i="4888"/>
  <c r="C216" i="4888"/>
  <c r="C92" i="4888"/>
  <c r="E93" i="4888"/>
  <c r="G89" i="4888"/>
  <c r="G104" i="4888"/>
  <c r="F69" i="4888"/>
  <c r="G42" i="4888"/>
  <c r="G167" i="4888"/>
  <c r="F151" i="4888"/>
  <c r="F38" i="4888"/>
  <c r="C65" i="4888"/>
  <c r="E81" i="4888"/>
  <c r="E104" i="4888"/>
  <c r="D61" i="4888"/>
  <c r="C71" i="4888"/>
  <c r="E18" i="4888"/>
  <c r="C77" i="4888"/>
  <c r="C185" i="4888"/>
  <c r="C127" i="4888"/>
  <c r="F73" i="4888"/>
  <c r="C186" i="4888"/>
  <c r="C147" i="4888"/>
  <c r="C57" i="4888"/>
  <c r="C13" i="4888"/>
  <c r="F170" i="4888"/>
  <c r="G79" i="4888"/>
  <c r="G65" i="4888"/>
  <c r="C26" i="4888"/>
  <c r="D112" i="4888"/>
  <c r="E52" i="4888"/>
  <c r="E14" i="4888"/>
  <c r="C79" i="4888"/>
  <c r="C154" i="4888"/>
  <c r="E32" i="4888"/>
  <c r="G217" i="4888"/>
  <c r="E84" i="4888"/>
  <c r="C107" i="4888"/>
  <c r="C266" i="4888"/>
  <c r="C192" i="4888"/>
  <c r="C159" i="4888"/>
  <c r="E16" i="4888"/>
  <c r="C143" i="4888"/>
  <c r="E79" i="4888"/>
  <c r="C188" i="4888"/>
  <c r="C120" i="4888"/>
  <c r="C44" i="4888"/>
  <c r="C138" i="4888"/>
  <c r="C218" i="4888"/>
  <c r="C207" i="4888"/>
  <c r="D56" i="4888"/>
  <c r="G71" i="4888"/>
  <c r="D34" i="4888"/>
  <c r="E57" i="4888"/>
  <c r="F77" i="4888"/>
  <c r="G159" i="4888"/>
  <c r="C97" i="4888"/>
  <c r="C32" i="4888"/>
  <c r="C81" i="4888"/>
  <c r="D200" i="4888"/>
  <c r="C183" i="4888"/>
  <c r="C98" i="4888"/>
  <c r="C43" i="4888"/>
  <c r="C52" i="4888"/>
  <c r="C131" i="4888"/>
  <c r="C182" i="4888"/>
  <c r="C73" i="4888"/>
  <c r="C40" i="4888"/>
  <c r="C155" i="4888"/>
  <c r="C16" i="4888"/>
  <c r="C217" i="4888"/>
  <c r="C10" i="4888"/>
  <c r="C49" i="4888"/>
  <c r="C140" i="4888"/>
  <c r="C60" i="4888"/>
  <c r="C172" i="4888"/>
  <c r="C24" i="4888"/>
  <c r="F81" i="4888"/>
  <c r="C55" i="4888"/>
  <c r="C34" i="4888"/>
  <c r="C42" i="4888"/>
  <c r="D49" i="4888"/>
  <c r="C123" i="4888"/>
  <c r="C37" i="4888"/>
  <c r="E73" i="4888"/>
  <c r="E107" i="4888"/>
  <c r="G32" i="4888"/>
  <c r="C11" i="4888"/>
  <c r="C200" i="4888"/>
  <c r="C64" i="4888"/>
  <c r="C76" i="4888"/>
  <c r="C171" i="4888"/>
  <c r="C115" i="4888"/>
  <c r="G40" i="4888"/>
  <c r="D156" i="25580"/>
  <c r="D109" i="25580"/>
  <c r="G171" i="25580"/>
  <c r="D114" i="25580"/>
  <c r="G115" i="25580"/>
  <c r="G84" i="25580"/>
  <c r="G76" i="25580"/>
  <c r="G43" i="25580"/>
  <c r="F28" i="25580"/>
  <c r="G140" i="25580"/>
  <c r="F55" i="25580"/>
  <c r="G35" i="25580"/>
  <c r="G107" i="25580"/>
  <c r="D199" i="25580"/>
  <c r="G72" i="25580"/>
  <c r="C266" i="25580"/>
  <c r="D141" i="25580"/>
  <c r="D207" i="25580"/>
  <c r="G147" i="25580"/>
  <c r="D147" i="25580"/>
  <c r="D175" i="25580"/>
  <c r="G59" i="25580"/>
  <c r="E218" i="25580"/>
  <c r="E114" i="25580"/>
  <c r="G177" i="3"/>
  <c r="G109" i="3"/>
  <c r="E37" i="3"/>
  <c r="E222" i="3"/>
  <c r="E181" i="3"/>
  <c r="C404" i="3"/>
  <c r="D209" i="3"/>
  <c r="E210" i="3"/>
  <c r="F226" i="3"/>
  <c r="H221" i="3"/>
  <c r="C410" i="3"/>
  <c r="G185" i="3"/>
  <c r="G85" i="3"/>
  <c r="F228" i="3"/>
  <c r="G202" i="3"/>
  <c r="F166" i="3"/>
  <c r="G219" i="3"/>
  <c r="F205" i="3"/>
  <c r="F225" i="3"/>
  <c r="H109" i="3"/>
  <c r="F117" i="3"/>
  <c r="G154" i="3"/>
  <c r="G52" i="3"/>
  <c r="D266" i="3"/>
  <c r="F201" i="3"/>
  <c r="E43" i="3"/>
  <c r="H35" i="3"/>
  <c r="E30" i="3"/>
  <c r="F48" i="3"/>
  <c r="H133" i="3"/>
  <c r="H188" i="3"/>
  <c r="E24" i="3"/>
  <c r="F190" i="3"/>
  <c r="F222" i="3"/>
  <c r="E167" i="3"/>
  <c r="H266" i="3"/>
  <c r="G266" i="3"/>
  <c r="G266" i="25587"/>
  <c r="F197" i="25589"/>
  <c r="G146" i="10285"/>
  <c r="G267" i="32"/>
  <c r="G197" i="523"/>
  <c r="G197" i="25588"/>
  <c r="F197" i="25590"/>
  <c r="G266" i="4888"/>
  <c r="G197" i="512"/>
  <c r="F197" i="512"/>
  <c r="F266" i="10541"/>
  <c r="F266" i="25587"/>
  <c r="F197" i="523"/>
  <c r="G146" i="768"/>
  <c r="G197" i="25589"/>
  <c r="G197" i="2316"/>
  <c r="G197" i="2048"/>
  <c r="G266" i="25580"/>
  <c r="F197" i="2819"/>
  <c r="F197" i="8196"/>
  <c r="G197" i="2819"/>
  <c r="G266" i="10541"/>
  <c r="F197" i="25588"/>
  <c r="G197" i="25590"/>
  <c r="G197" i="8196"/>
  <c r="F197" i="2048"/>
  <c r="G54" i="25585"/>
  <c r="D100" i="25590"/>
  <c r="D148" i="25590"/>
  <c r="C129" i="25590"/>
  <c r="C196" i="25590"/>
  <c r="D86" i="25589"/>
  <c r="C196" i="25589"/>
  <c r="F88" i="25589"/>
  <c r="E136" i="25589"/>
  <c r="C74" i="25588"/>
  <c r="G196" i="25588"/>
  <c r="C196" i="25588"/>
  <c r="D51" i="25588"/>
  <c r="C126" i="25587"/>
  <c r="C265" i="25587"/>
  <c r="G109" i="25587"/>
  <c r="G156" i="25587"/>
  <c r="F129" i="25587"/>
  <c r="C64" i="25587"/>
  <c r="E95" i="512"/>
  <c r="C119" i="512"/>
  <c r="D133" i="512"/>
  <c r="F59" i="512"/>
  <c r="D122" i="512"/>
  <c r="G132" i="512"/>
  <c r="G119" i="512"/>
  <c r="G61" i="512"/>
  <c r="E39" i="512"/>
  <c r="E82" i="512"/>
  <c r="G60" i="512"/>
  <c r="E110" i="512"/>
  <c r="G124" i="512"/>
  <c r="E133" i="512"/>
  <c r="F99" i="512"/>
  <c r="G146" i="512"/>
  <c r="D63" i="512"/>
  <c r="F123" i="512"/>
  <c r="D108" i="512"/>
  <c r="F139" i="512"/>
  <c r="F144" i="512"/>
  <c r="F22" i="512"/>
  <c r="E132" i="512"/>
  <c r="E59" i="512"/>
  <c r="D46" i="512"/>
  <c r="D127" i="512"/>
  <c r="E36" i="512"/>
  <c r="G127" i="512"/>
  <c r="G130" i="512"/>
  <c r="E109" i="512"/>
  <c r="C74" i="512"/>
  <c r="E60" i="512"/>
  <c r="E103" i="512"/>
  <c r="G50" i="512"/>
  <c r="E80" i="512"/>
  <c r="C196" i="512"/>
  <c r="D93" i="8196"/>
  <c r="E147" i="8196"/>
  <c r="D100" i="8196"/>
  <c r="D48" i="8196"/>
  <c r="E84" i="8196"/>
  <c r="D67" i="8196"/>
  <c r="C34" i="8196"/>
  <c r="D77" i="8196"/>
  <c r="C84" i="8196"/>
  <c r="G147" i="8196"/>
  <c r="F83" i="8196"/>
  <c r="G100" i="8196"/>
  <c r="E48" i="8196"/>
  <c r="G131" i="8196"/>
  <c r="F127" i="8196"/>
  <c r="F115" i="8196"/>
  <c r="G134" i="8196"/>
  <c r="C108" i="8196"/>
  <c r="C196" i="8196"/>
  <c r="D122" i="8196"/>
  <c r="C113" i="8196"/>
  <c r="F31" i="8196"/>
  <c r="F147" i="8196"/>
  <c r="E110" i="8196"/>
  <c r="G115" i="8196"/>
  <c r="D76" i="8196"/>
  <c r="G144" i="8196"/>
  <c r="F85" i="8196"/>
  <c r="D49" i="8196"/>
  <c r="C30" i="8196"/>
  <c r="E115" i="8196"/>
  <c r="D41" i="8196"/>
  <c r="E144" i="8196"/>
  <c r="F103" i="8196"/>
  <c r="F101" i="8196"/>
  <c r="E88" i="8196"/>
  <c r="E41" i="8196"/>
  <c r="D72" i="8196"/>
  <c r="G54" i="8196"/>
  <c r="D39" i="8196"/>
  <c r="G99" i="8196"/>
  <c r="D132" i="8196"/>
  <c r="G108" i="8196"/>
  <c r="F34" i="8196"/>
  <c r="E107" i="8196"/>
  <c r="F148" i="8196"/>
  <c r="C95" i="8196"/>
  <c r="D104" i="8196"/>
  <c r="G64" i="8196"/>
  <c r="D24" i="8196"/>
  <c r="C66" i="8196"/>
  <c r="E56" i="8196"/>
  <c r="D92" i="8196"/>
  <c r="D144" i="8196"/>
  <c r="D84" i="8196"/>
  <c r="G62" i="8196"/>
  <c r="G46" i="8196"/>
  <c r="G56" i="8196"/>
  <c r="G107" i="8196"/>
  <c r="C62" i="8196"/>
  <c r="G87" i="8196"/>
  <c r="E103" i="8196"/>
  <c r="D54" i="8196"/>
  <c r="D80" i="8196"/>
  <c r="E72" i="8196"/>
  <c r="D68" i="8196"/>
  <c r="E91" i="8196"/>
  <c r="C123" i="8196"/>
  <c r="D123" i="8196"/>
  <c r="F96" i="8196"/>
  <c r="F107" i="8196"/>
  <c r="E73" i="8196"/>
  <c r="D33" i="8196"/>
  <c r="D108" i="8196"/>
  <c r="F42" i="2048"/>
  <c r="D51" i="2048"/>
  <c r="D115" i="2048"/>
  <c r="D35" i="2048"/>
  <c r="G43" i="2048"/>
  <c r="F145" i="2048"/>
  <c r="D125" i="2048"/>
  <c r="D60" i="2048"/>
  <c r="E160" i="2048"/>
  <c r="G50" i="2048"/>
  <c r="D37" i="2048"/>
  <c r="G51" i="2048"/>
  <c r="G66" i="2048"/>
  <c r="D83" i="2048"/>
  <c r="D59" i="2048"/>
  <c r="F153" i="2048"/>
  <c r="E131" i="2048"/>
  <c r="G90" i="2048"/>
  <c r="E43" i="2048"/>
  <c r="E35" i="2048"/>
  <c r="G114" i="2048"/>
  <c r="G126" i="2048"/>
  <c r="G59" i="2048"/>
  <c r="G45" i="2048"/>
  <c r="D132" i="2048"/>
  <c r="F89" i="2048"/>
  <c r="D106" i="2048"/>
  <c r="D52" i="2048"/>
  <c r="G98" i="2048"/>
  <c r="C196" i="2048"/>
  <c r="F134" i="2048"/>
  <c r="G138" i="2048"/>
  <c r="E61" i="2048"/>
  <c r="E153" i="2048"/>
  <c r="G53" i="2048"/>
  <c r="D146" i="2048"/>
  <c r="F139" i="2048"/>
  <c r="G135" i="2048"/>
  <c r="G111" i="2048"/>
  <c r="C103" i="2048"/>
  <c r="C172" i="10541"/>
  <c r="C265" i="10541"/>
  <c r="F168" i="10541"/>
  <c r="D47" i="10541"/>
  <c r="G133" i="10541"/>
  <c r="D149" i="10541"/>
  <c r="E182" i="10541"/>
  <c r="G65" i="10541"/>
  <c r="F164" i="10541"/>
  <c r="C15" i="10541"/>
  <c r="F200" i="10541"/>
  <c r="E91" i="10541"/>
  <c r="F135" i="10541"/>
  <c r="D55" i="10541"/>
  <c r="F60" i="10541"/>
  <c r="D40" i="10541"/>
  <c r="G73" i="10541"/>
  <c r="D85" i="10541"/>
  <c r="E141" i="10541"/>
  <c r="E93" i="10541"/>
  <c r="D111" i="10541"/>
  <c r="E172" i="10541"/>
  <c r="G221" i="10541"/>
  <c r="D117" i="10541"/>
  <c r="G164" i="10541"/>
  <c r="C89" i="10541"/>
  <c r="D189" i="10541"/>
  <c r="F73" i="10541"/>
  <c r="G157" i="10541"/>
  <c r="F109" i="10541"/>
  <c r="E199" i="10541"/>
  <c r="E62" i="10541"/>
  <c r="D126" i="10541"/>
  <c r="G120" i="10541"/>
  <c r="C174" i="10541"/>
  <c r="G112" i="10541"/>
  <c r="F169" i="10541"/>
  <c r="E142" i="10541"/>
  <c r="E140" i="10541"/>
  <c r="E73" i="10541"/>
  <c r="E138" i="10541"/>
  <c r="D164" i="10541"/>
  <c r="E189" i="10541"/>
  <c r="E200" i="10541"/>
  <c r="F213" i="10541"/>
  <c r="E77" i="10541"/>
  <c r="G172" i="10541"/>
  <c r="E38" i="10541"/>
  <c r="G212" i="10541"/>
  <c r="D150" i="10541"/>
  <c r="G180" i="10541"/>
  <c r="D89" i="10541"/>
  <c r="F81" i="10541"/>
  <c r="E121" i="10541"/>
  <c r="E109" i="10541"/>
  <c r="F38" i="10541"/>
  <c r="D173" i="10541"/>
  <c r="E216" i="10541"/>
  <c r="G46" i="10541"/>
  <c r="D157" i="10541"/>
  <c r="C135" i="10541"/>
  <c r="G85" i="10541"/>
  <c r="F69" i="10541"/>
  <c r="F144" i="10541"/>
  <c r="F53" i="10541"/>
  <c r="D25" i="10541"/>
  <c r="E145" i="10541"/>
  <c r="F180" i="10541"/>
  <c r="F89" i="10541"/>
  <c r="F104" i="10541"/>
  <c r="F148" i="10541"/>
  <c r="E79" i="10541"/>
  <c r="D73" i="10541"/>
  <c r="C217" i="10541"/>
  <c r="C213" i="10541"/>
  <c r="G136" i="10541"/>
  <c r="E47" i="523"/>
  <c r="D152" i="523"/>
  <c r="D72" i="523"/>
  <c r="F22" i="523"/>
  <c r="D109" i="523"/>
  <c r="D78" i="523"/>
  <c r="F107" i="523"/>
  <c r="G45" i="523"/>
  <c r="F30" i="523"/>
  <c r="C18" i="523"/>
  <c r="G121" i="523"/>
  <c r="G116" i="523"/>
  <c r="D135" i="523"/>
  <c r="D127" i="523"/>
  <c r="F45" i="523"/>
  <c r="D18" i="523"/>
  <c r="G37" i="523"/>
  <c r="D125" i="523"/>
  <c r="F91" i="523"/>
  <c r="G54" i="523"/>
  <c r="F110" i="523"/>
  <c r="F69" i="523"/>
  <c r="D118" i="523"/>
  <c r="G42" i="523"/>
  <c r="G61" i="523"/>
  <c r="D39" i="523"/>
  <c r="G110" i="523"/>
  <c r="G126" i="523"/>
  <c r="D14" i="523"/>
  <c r="D106" i="523"/>
  <c r="E121" i="523"/>
  <c r="D21" i="523"/>
  <c r="D50" i="523"/>
  <c r="E142" i="523"/>
  <c r="E61" i="523"/>
  <c r="D45" i="523"/>
  <c r="D49" i="523"/>
  <c r="E42" i="523"/>
  <c r="D33" i="523"/>
  <c r="E24" i="523"/>
  <c r="F28" i="523"/>
  <c r="C21" i="523"/>
  <c r="C196" i="523"/>
  <c r="C27" i="2561"/>
  <c r="C265" i="2561"/>
  <c r="C152" i="2561"/>
  <c r="C140" i="2561"/>
  <c r="C45" i="2561"/>
  <c r="C76" i="2561"/>
  <c r="C179" i="2561"/>
  <c r="C116" i="2561"/>
  <c r="C158" i="2561"/>
  <c r="C83" i="2561"/>
  <c r="C90" i="2561"/>
  <c r="C154" i="2561"/>
  <c r="C153" i="2561"/>
  <c r="C156" i="2561"/>
  <c r="C51" i="2561"/>
  <c r="C24" i="2561"/>
  <c r="E113" i="2819"/>
  <c r="D69" i="2819"/>
  <c r="E83" i="2819"/>
  <c r="C47" i="2819"/>
  <c r="E71" i="2819"/>
  <c r="D96" i="2819"/>
  <c r="C70" i="2819"/>
  <c r="G62" i="2819"/>
  <c r="D28" i="2819"/>
  <c r="C78" i="2819"/>
  <c r="G129" i="2819"/>
  <c r="G76" i="2819"/>
  <c r="G128" i="2819"/>
  <c r="E30" i="2819"/>
  <c r="E96" i="2819"/>
  <c r="F68" i="2819"/>
  <c r="D140" i="2819"/>
  <c r="F81" i="2819"/>
  <c r="D129" i="2819"/>
  <c r="F82" i="2819"/>
  <c r="F80" i="2819"/>
  <c r="D61" i="2819"/>
  <c r="C136" i="2819"/>
  <c r="E123" i="2819"/>
  <c r="C102" i="2819"/>
  <c r="G54" i="2819"/>
  <c r="F110" i="2819"/>
  <c r="D53" i="2819"/>
  <c r="C123" i="2819"/>
  <c r="C110" i="2819"/>
  <c r="C196" i="2819"/>
  <c r="D105" i="2819"/>
  <c r="D113" i="2819"/>
  <c r="D76" i="2819"/>
  <c r="C35" i="2819"/>
  <c r="D36" i="2819"/>
  <c r="D55" i="2819"/>
  <c r="C145" i="2819"/>
  <c r="G84" i="2819"/>
  <c r="D128" i="2819"/>
  <c r="E143" i="2819"/>
  <c r="F89" i="2819"/>
  <c r="G38" i="2819"/>
  <c r="C89" i="2819"/>
  <c r="E68" i="2819"/>
  <c r="C52" i="2819"/>
  <c r="F266" i="4888"/>
  <c r="F267" i="32"/>
  <c r="G197" i="9216"/>
  <c r="F146" i="10285"/>
  <c r="G197" i="1024"/>
  <c r="F197" i="2316"/>
  <c r="F146" i="768"/>
  <c r="G266" i="20994"/>
  <c r="F266" i="25580"/>
  <c r="G149" i="2316"/>
  <c r="F57" i="2316"/>
  <c r="D139" i="2316"/>
  <c r="G93" i="2316"/>
  <c r="G116" i="2316"/>
  <c r="F152" i="2316"/>
  <c r="E65" i="2316"/>
  <c r="G58" i="2316"/>
  <c r="E77" i="2316"/>
  <c r="G68" i="2316"/>
  <c r="D141" i="2316"/>
  <c r="D109" i="2316"/>
  <c r="D41" i="2316"/>
  <c r="D70" i="2316"/>
  <c r="E17" i="2316"/>
  <c r="F39" i="2316"/>
  <c r="F132" i="2316"/>
  <c r="D92" i="2316"/>
  <c r="G76" i="2316"/>
  <c r="D52" i="2316"/>
  <c r="G140" i="2316"/>
  <c r="C196" i="2316"/>
  <c r="G39" i="2316"/>
  <c r="F116" i="2316"/>
  <c r="D131" i="2316"/>
  <c r="C15" i="2316"/>
  <c r="F79" i="2316"/>
  <c r="E60" i="2316"/>
  <c r="F97" i="2316"/>
  <c r="D153" i="2316"/>
  <c r="G84" i="2316"/>
  <c r="F136" i="2316"/>
  <c r="D135" i="2316"/>
  <c r="G150" i="2316"/>
  <c r="F130" i="2316"/>
  <c r="F204" i="32"/>
  <c r="E155" i="32"/>
  <c r="F79" i="32"/>
  <c r="C127" i="32"/>
  <c r="D161" i="32"/>
  <c r="F169" i="32"/>
  <c r="D177" i="32"/>
  <c r="E127" i="32"/>
  <c r="G50" i="32"/>
  <c r="G74" i="32"/>
  <c r="D153" i="32"/>
  <c r="C102" i="32"/>
  <c r="D32" i="32"/>
  <c r="C86" i="32"/>
  <c r="G39" i="32"/>
  <c r="G184" i="32"/>
  <c r="D192" i="32"/>
  <c r="D187" i="32"/>
  <c r="D169" i="32"/>
  <c r="G40" i="32"/>
  <c r="G177" i="32"/>
  <c r="C22" i="32"/>
  <c r="E187" i="32"/>
  <c r="D138" i="32"/>
  <c r="C70" i="32"/>
  <c r="C92" i="32"/>
  <c r="C111" i="32"/>
  <c r="E150" i="32"/>
  <c r="D63" i="32"/>
  <c r="G75" i="32"/>
  <c r="D178" i="32"/>
  <c r="D145" i="32"/>
  <c r="F189" i="32"/>
  <c r="G64" i="32"/>
  <c r="G169" i="32"/>
  <c r="E126" i="32"/>
  <c r="D40" i="32"/>
  <c r="C79" i="32"/>
  <c r="G168" i="32"/>
  <c r="G47" i="32"/>
  <c r="G87" i="32"/>
  <c r="C121" i="32"/>
  <c r="D41" i="32"/>
  <c r="E185" i="32"/>
  <c r="D137" i="32"/>
  <c r="E209" i="32"/>
  <c r="F191" i="32"/>
  <c r="E193" i="32"/>
  <c r="E56" i="32"/>
  <c r="D128" i="32"/>
  <c r="F52" i="32"/>
  <c r="E152" i="32"/>
  <c r="F34" i="32"/>
  <c r="D202" i="32"/>
  <c r="D64" i="32"/>
  <c r="E87" i="32"/>
  <c r="C98" i="32"/>
  <c r="E123" i="32"/>
  <c r="C10" i="32"/>
  <c r="G55" i="32"/>
  <c r="E96" i="32"/>
  <c r="D185" i="32"/>
  <c r="G209" i="32"/>
  <c r="D23" i="32"/>
  <c r="E213" i="32"/>
  <c r="G105" i="1024"/>
  <c r="E44" i="1024"/>
  <c r="F18" i="1024"/>
  <c r="H160" i="1024"/>
  <c r="H53" i="1024"/>
  <c r="H75" i="1024"/>
  <c r="H159" i="1024"/>
  <c r="E156" i="1024"/>
  <c r="F37" i="1024"/>
  <c r="H36" i="1024"/>
  <c r="F29" i="1024"/>
  <c r="F60" i="1024"/>
  <c r="H61" i="1024"/>
  <c r="F53" i="1024"/>
  <c r="E142" i="1024"/>
  <c r="E29" i="1024"/>
  <c r="H169" i="1024"/>
  <c r="E83" i="1024"/>
  <c r="F163" i="1024"/>
  <c r="E51" i="1024"/>
  <c r="G156" i="1024"/>
  <c r="E166" i="1024"/>
  <c r="C196" i="1024"/>
  <c r="F144" i="1024"/>
  <c r="F36" i="1024"/>
  <c r="H35" i="1024"/>
  <c r="F71" i="1024"/>
  <c r="E37" i="1024"/>
  <c r="E71" i="1024"/>
  <c r="H60" i="1024"/>
  <c r="E28" i="1024"/>
  <c r="C136" i="1024"/>
  <c r="D136" i="1024" s="1"/>
  <c r="E11" i="1024"/>
  <c r="G151" i="1024"/>
  <c r="F55" i="1024"/>
  <c r="C66" i="1024"/>
  <c r="D66" i="1024" s="1"/>
  <c r="G70" i="1024"/>
  <c r="F35" i="1024"/>
  <c r="C71" i="1024"/>
  <c r="D71" i="1024" s="1"/>
  <c r="E21" i="1024"/>
  <c r="H44" i="1024"/>
  <c r="G82" i="1024"/>
  <c r="E60" i="1024"/>
  <c r="C33" i="1024"/>
  <c r="D33" i="1024" s="1"/>
  <c r="G90" i="1024"/>
  <c r="C138" i="9216"/>
  <c r="D138" i="9216" s="1"/>
  <c r="F47" i="9216"/>
  <c r="C20" i="9216"/>
  <c r="D20" i="9216" s="1"/>
  <c r="C196" i="9216"/>
  <c r="C146" i="9216"/>
  <c r="D146" i="9216" s="1"/>
  <c r="C137" i="9216"/>
  <c r="D137" i="9216" s="1"/>
  <c r="H167" i="9216"/>
  <c r="F61" i="9216"/>
  <c r="C87" i="9216"/>
  <c r="D87" i="9216" s="1"/>
  <c r="C50" i="9216"/>
  <c r="D50" i="9216" s="1"/>
  <c r="E53" i="9216"/>
  <c r="E61" i="9216"/>
  <c r="G55" i="9216"/>
  <c r="F89" i="9216"/>
  <c r="E90" i="9216"/>
  <c r="G42" i="9216"/>
  <c r="H61" i="9216"/>
  <c r="E135" i="9216"/>
  <c r="E54" i="9216"/>
  <c r="E52" i="9216"/>
  <c r="C34" i="9216"/>
  <c r="D34" i="9216" s="1"/>
  <c r="G30" i="9216"/>
  <c r="E30" i="9216"/>
  <c r="H60" i="9216"/>
  <c r="E137" i="9216"/>
  <c r="G38" i="9216"/>
  <c r="E70" i="9216"/>
  <c r="C63" i="9216"/>
  <c r="D63" i="9216" s="1"/>
  <c r="C174" i="9216"/>
  <c r="D174" i="9216" s="1"/>
  <c r="C29" i="9216"/>
  <c r="D29" i="9216" s="1"/>
  <c r="G152" i="9216"/>
  <c r="E37" i="9216"/>
  <c r="E29" i="9216"/>
  <c r="E23" i="9216"/>
  <c r="G39" i="9216"/>
  <c r="G33" i="9216"/>
  <c r="G25" i="9216"/>
  <c r="C194" i="9216"/>
  <c r="D194" i="9216" s="1"/>
  <c r="F71" i="9216"/>
  <c r="G156" i="9216"/>
  <c r="E164" i="9216"/>
  <c r="F29" i="9216"/>
  <c r="C32" i="9216"/>
  <c r="D32" i="9216" s="1"/>
  <c r="G146" i="9216"/>
  <c r="G64" i="9216"/>
  <c r="C64" i="9216"/>
  <c r="D64" i="9216" s="1"/>
  <c r="H86" i="9216"/>
  <c r="G52" i="9216"/>
  <c r="F21" i="9216"/>
  <c r="E130" i="20994"/>
  <c r="H224" i="20994"/>
  <c r="C207" i="20994"/>
  <c r="D207" i="20994" s="1"/>
  <c r="G43" i="20994"/>
  <c r="E218" i="20994"/>
  <c r="H112" i="20994"/>
  <c r="F57" i="20994"/>
  <c r="F168" i="20994"/>
  <c r="F129" i="20994"/>
  <c r="E18" i="20994"/>
  <c r="G53" i="20994"/>
  <c r="C265" i="20994"/>
  <c r="H73" i="20994"/>
  <c r="E25" i="20994"/>
  <c r="G100" i="20994"/>
  <c r="F166" i="20994"/>
  <c r="G20" i="20994"/>
  <c r="F26" i="20994"/>
  <c r="C110" i="20994"/>
  <c r="D110" i="20994" s="1"/>
  <c r="C70" i="20994"/>
  <c r="D70" i="20994" s="1"/>
  <c r="G168" i="20994"/>
  <c r="E42" i="20994"/>
  <c r="E34" i="20994"/>
  <c r="F245" i="20994"/>
  <c r="E88" i="20994"/>
  <c r="H138" i="20994"/>
  <c r="F25" i="20994"/>
  <c r="H173" i="20994"/>
  <c r="G68" i="20994"/>
  <c r="C55" i="20994"/>
  <c r="D55" i="20994" s="1"/>
  <c r="F243" i="20994"/>
  <c r="F28" i="20994"/>
  <c r="H80" i="20994"/>
  <c r="E209" i="20994"/>
  <c r="H199" i="20994"/>
  <c r="F164" i="20994"/>
  <c r="G124" i="20994"/>
  <c r="E204" i="20994"/>
  <c r="F55" i="20994"/>
  <c r="E31" i="20994"/>
  <c r="F33" i="20994"/>
  <c r="E223" i="20994"/>
  <c r="H226" i="20994"/>
  <c r="C99" i="768"/>
  <c r="E103" i="768"/>
  <c r="F62" i="768"/>
  <c r="E69" i="768"/>
  <c r="E31" i="768"/>
  <c r="D51" i="768"/>
  <c r="F74" i="768"/>
  <c r="C77" i="768"/>
  <c r="E63" i="768"/>
  <c r="D62" i="768"/>
  <c r="D70" i="768"/>
  <c r="C26" i="768"/>
  <c r="F38" i="768"/>
  <c r="G93" i="768"/>
  <c r="C102" i="768"/>
  <c r="C97" i="768"/>
  <c r="E62" i="768"/>
  <c r="E93" i="768"/>
  <c r="D9" i="768"/>
  <c r="C80" i="768"/>
  <c r="G64" i="768"/>
  <c r="C145" i="768"/>
  <c r="D102" i="768"/>
  <c r="D82" i="768"/>
  <c r="F81" i="768"/>
  <c r="C90" i="768"/>
  <c r="C93" i="768"/>
  <c r="D57" i="768"/>
  <c r="G33" i="768"/>
  <c r="D100" i="768"/>
  <c r="C12" i="768"/>
  <c r="E86" i="768"/>
  <c r="C61" i="768"/>
  <c r="C85" i="768"/>
  <c r="C145" i="10285"/>
  <c r="D89" i="10285"/>
  <c r="D30" i="10285"/>
  <c r="C22" i="10285"/>
  <c r="C78" i="10285"/>
  <c r="G38" i="10285"/>
  <c r="E77" i="10285"/>
  <c r="G69" i="10285"/>
  <c r="D61" i="10285"/>
  <c r="G53" i="10285"/>
  <c r="G45" i="10285"/>
  <c r="C37" i="10285"/>
  <c r="G100" i="10285"/>
  <c r="E60" i="10285"/>
  <c r="C138" i="10285"/>
  <c r="E21" i="10285"/>
  <c r="D101" i="10285"/>
  <c r="E98" i="10285"/>
  <c r="E82" i="10285"/>
  <c r="E64" i="10285"/>
  <c r="F100" i="10285"/>
  <c r="C26" i="10285"/>
  <c r="G37" i="10285"/>
  <c r="E23" i="10285"/>
  <c r="C80" i="10285"/>
  <c r="G155" i="4888"/>
  <c r="G154" i="4888"/>
  <c r="E190" i="4888"/>
  <c r="C46" i="4888"/>
  <c r="D156" i="4888"/>
  <c r="F155" i="4888"/>
  <c r="C179" i="4888"/>
  <c r="C70" i="4888"/>
  <c r="F163" i="4888"/>
  <c r="D30" i="4888"/>
  <c r="D100" i="4888"/>
  <c r="G214" i="4888"/>
  <c r="G69" i="4888"/>
  <c r="C27" i="4888"/>
  <c r="F215" i="4888"/>
  <c r="C190" i="4888"/>
  <c r="G116" i="4888"/>
  <c r="F78" i="4888"/>
  <c r="G171" i="4888"/>
  <c r="E65" i="4888"/>
  <c r="F93" i="4888"/>
  <c r="G148" i="4888"/>
  <c r="D85" i="4888"/>
  <c r="C187" i="4888"/>
  <c r="C22" i="4888"/>
  <c r="E150" i="4888"/>
  <c r="D212" i="4888"/>
  <c r="F26" i="4888"/>
  <c r="C174" i="4888"/>
  <c r="C173" i="4888"/>
  <c r="F201" i="4888"/>
  <c r="C31" i="4888"/>
  <c r="F85" i="4888"/>
  <c r="C100" i="4888"/>
  <c r="G211" i="4888"/>
  <c r="C193" i="4888"/>
  <c r="E62" i="4888"/>
  <c r="G150" i="4888"/>
  <c r="C163" i="4888"/>
  <c r="G105" i="4888"/>
  <c r="C90" i="4888"/>
  <c r="C74" i="4888"/>
  <c r="C203" i="4888"/>
  <c r="F175" i="4888"/>
  <c r="C181" i="4888"/>
  <c r="G147" i="4888"/>
  <c r="C85" i="4888"/>
  <c r="E38" i="4888"/>
  <c r="C38" i="4888"/>
  <c r="E77" i="4888"/>
  <c r="D98" i="4888"/>
  <c r="E96" i="4888"/>
  <c r="C214" i="4888"/>
  <c r="E135" i="4888"/>
  <c r="G100" i="4888"/>
  <c r="G203" i="4888"/>
  <c r="F150" i="4888"/>
  <c r="G86" i="4888"/>
  <c r="D195" i="4888"/>
  <c r="E147" i="4888"/>
  <c r="E211" i="4888"/>
  <c r="G158" i="4888"/>
  <c r="C170" i="4888"/>
  <c r="C50" i="4888"/>
  <c r="E22" i="4888"/>
  <c r="F67" i="4888"/>
  <c r="D93" i="4888"/>
  <c r="F47" i="4888"/>
  <c r="G58" i="4888"/>
  <c r="F167" i="4888"/>
  <c r="G85" i="4888"/>
  <c r="G179" i="4888"/>
  <c r="F57" i="4888"/>
  <c r="F197" i="4888"/>
  <c r="C265" i="4888"/>
  <c r="E213" i="25580"/>
  <c r="E169" i="25580"/>
  <c r="E182" i="25580"/>
  <c r="G137" i="25580"/>
  <c r="E113" i="25580"/>
  <c r="G64" i="25580"/>
  <c r="G96" i="25580"/>
  <c r="F204" i="25580"/>
  <c r="D137" i="25580"/>
  <c r="G128" i="25580"/>
  <c r="D120" i="25580"/>
  <c r="F112" i="25580"/>
  <c r="D97" i="25580"/>
  <c r="D88" i="25580"/>
  <c r="D80" i="25580"/>
  <c r="G95" i="25580"/>
  <c r="G63" i="25580"/>
  <c r="G55" i="25580"/>
  <c r="D48" i="25580"/>
  <c r="F31" i="25580"/>
  <c r="D24" i="25580"/>
  <c r="D15" i="25580"/>
  <c r="D182" i="25580"/>
  <c r="E189" i="25580"/>
  <c r="D213" i="25580"/>
  <c r="D174" i="25580"/>
  <c r="F89" i="25580"/>
  <c r="E109" i="25580"/>
  <c r="F156" i="25580"/>
  <c r="G187" i="25580"/>
  <c r="F135" i="25580"/>
  <c r="E119" i="25580"/>
  <c r="E103" i="25580"/>
  <c r="F62" i="25580"/>
  <c r="G46" i="25580"/>
  <c r="F181" i="25580"/>
  <c r="F88" i="25580"/>
  <c r="F187" i="25580"/>
  <c r="G92" i="25580"/>
  <c r="F23" i="25580"/>
  <c r="D64" i="25580"/>
  <c r="G210" i="25580"/>
  <c r="F202" i="25580"/>
  <c r="F146" i="25580"/>
  <c r="F40" i="25580"/>
  <c r="F209" i="25580"/>
  <c r="E185" i="25580"/>
  <c r="D28" i="25580"/>
  <c r="D77" i="25580"/>
  <c r="E88" i="25580"/>
  <c r="G68" i="25580"/>
  <c r="F125" i="25580"/>
  <c r="G195" i="25580"/>
  <c r="F151" i="25580"/>
  <c r="G121" i="25580"/>
  <c r="F84" i="25580"/>
  <c r="G79" i="25580"/>
  <c r="F208" i="25580"/>
  <c r="E192" i="25580"/>
  <c r="E184" i="25580"/>
  <c r="C176" i="25580"/>
  <c r="G116" i="25580"/>
  <c r="G51" i="25580"/>
  <c r="G182" i="25580"/>
  <c r="D167" i="25580"/>
  <c r="F137" i="25580"/>
  <c r="F217" i="25580"/>
  <c r="E195" i="25580"/>
  <c r="D157" i="25580"/>
  <c r="F109" i="25580"/>
  <c r="C264" i="25580"/>
  <c r="C265" i="25580"/>
  <c r="F76" i="25580"/>
  <c r="G105" i="25580"/>
  <c r="F51" i="25580"/>
  <c r="C204" i="25580"/>
  <c r="F74" i="25580"/>
  <c r="D125" i="25580"/>
  <c r="G175" i="25580"/>
  <c r="E215" i="25580"/>
  <c r="F207" i="25580"/>
  <c r="G199" i="25580"/>
  <c r="G183" i="25580"/>
  <c r="F159" i="25580"/>
  <c r="G99" i="25580"/>
  <c r="G66" i="25580"/>
  <c r="C50" i="25580"/>
  <c r="F201" i="25580"/>
  <c r="G149" i="25580"/>
  <c r="F60" i="25580"/>
  <c r="D36" i="25580"/>
  <c r="D20" i="25580"/>
  <c r="E190" i="25580"/>
  <c r="C160" i="25580"/>
  <c r="F171" i="25580"/>
  <c r="D52" i="25580"/>
  <c r="E100" i="25580"/>
  <c r="G127" i="25580"/>
  <c r="E125" i="25580"/>
  <c r="E105" i="25580"/>
  <c r="G219" i="25580"/>
  <c r="G36" i="25580"/>
  <c r="G48" i="25580"/>
  <c r="G74" i="25580"/>
  <c r="F138" i="25580"/>
  <c r="G154" i="25580"/>
  <c r="D106" i="25580"/>
  <c r="D98" i="25580"/>
  <c r="G89" i="25580"/>
  <c r="D57" i="25580"/>
  <c r="D49" i="25580"/>
  <c r="E32" i="25580"/>
  <c r="F160" i="25580"/>
  <c r="F43" i="3"/>
  <c r="F102" i="3"/>
  <c r="E91" i="3"/>
  <c r="F46" i="3"/>
  <c r="G43" i="3"/>
  <c r="E13" i="3"/>
  <c r="G187" i="3"/>
  <c r="E21" i="3"/>
  <c r="G130" i="3"/>
  <c r="G214" i="3"/>
  <c r="G206" i="3"/>
  <c r="E174" i="3"/>
  <c r="F150" i="3"/>
  <c r="E220" i="3"/>
  <c r="G216" i="3"/>
  <c r="H208" i="3"/>
  <c r="G184" i="3"/>
  <c r="E176" i="3"/>
  <c r="G172" i="3"/>
  <c r="G152" i="3"/>
  <c r="F144" i="3"/>
  <c r="E127" i="3"/>
  <c r="E111" i="3"/>
  <c r="E87" i="3"/>
  <c r="H101" i="3"/>
  <c r="F47" i="3"/>
  <c r="E22" i="3"/>
  <c r="F14" i="3"/>
  <c r="H84" i="3"/>
  <c r="F132" i="3"/>
  <c r="D60" i="3"/>
  <c r="F218" i="3"/>
  <c r="H191" i="3"/>
  <c r="G195" i="3"/>
  <c r="H175" i="3"/>
  <c r="H143" i="3"/>
  <c r="G94" i="3"/>
  <c r="E23" i="3"/>
  <c r="H156" i="3"/>
  <c r="F82" i="3"/>
  <c r="E38" i="3"/>
  <c r="F20" i="3"/>
  <c r="H134" i="3"/>
  <c r="E102" i="3"/>
  <c r="H147" i="3"/>
  <c r="H128" i="3"/>
  <c r="H149" i="3"/>
  <c r="E61" i="3"/>
  <c r="H36" i="3"/>
  <c r="F19" i="3"/>
  <c r="E219" i="3"/>
  <c r="F221" i="3"/>
  <c r="E204" i="3"/>
  <c r="E44" i="3"/>
  <c r="G35" i="3"/>
  <c r="F18" i="3"/>
  <c r="G21" i="3"/>
  <c r="E172" i="3"/>
  <c r="E31" i="3"/>
  <c r="G72" i="3"/>
  <c r="F83" i="3"/>
  <c r="E188" i="3"/>
  <c r="F99" i="3"/>
  <c r="F131" i="3"/>
  <c r="F114" i="3"/>
  <c r="F106" i="3"/>
  <c r="F98" i="3"/>
  <c r="D51" i="3"/>
  <c r="F42" i="3"/>
  <c r="D17" i="3"/>
  <c r="D73" i="3"/>
  <c r="D29" i="3"/>
  <c r="H115" i="3"/>
  <c r="E53" i="3"/>
  <c r="E14" i="3"/>
  <c r="H180" i="3"/>
  <c r="F79" i="3"/>
  <c r="F22" i="3"/>
  <c r="E124" i="3"/>
  <c r="E100" i="3"/>
  <c r="H210" i="3"/>
  <c r="G45" i="3"/>
  <c r="F16" i="3"/>
  <c r="G159" i="3"/>
  <c r="G71" i="3"/>
  <c r="F73" i="3"/>
  <c r="E218" i="3"/>
  <c r="F123" i="3"/>
  <c r="H54" i="3"/>
  <c r="F163" i="3"/>
  <c r="E139" i="3"/>
  <c r="H204" i="3"/>
  <c r="G56" i="3"/>
  <c r="H196" i="3"/>
  <c r="E141" i="3"/>
  <c r="H185" i="3"/>
  <c r="F149" i="3"/>
  <c r="G149" i="3"/>
  <c r="H129" i="3"/>
  <c r="E112" i="3"/>
  <c r="D104" i="3"/>
  <c r="E97" i="3"/>
  <c r="E89" i="3"/>
  <c r="E57" i="3"/>
  <c r="H72" i="3"/>
  <c r="H56" i="3"/>
  <c r="H93" i="11522"/>
  <c r="H12" i="11522"/>
  <c r="H77" i="11522"/>
  <c r="H75" i="11522"/>
  <c r="G151" i="515"/>
  <c r="F152" i="11522"/>
  <c r="C166" i="82"/>
  <c r="H22" i="11522"/>
  <c r="H19" i="11522"/>
  <c r="H96" i="11522"/>
  <c r="G160" i="516"/>
  <c r="D150" i="40"/>
  <c r="C150" i="40"/>
  <c r="H114" i="515"/>
  <c r="F154" i="516"/>
  <c r="H55" i="11522"/>
  <c r="H20" i="11522"/>
  <c r="H60" i="11522"/>
  <c r="F153" i="82"/>
  <c r="F165" i="82"/>
  <c r="F149" i="40"/>
  <c r="G158" i="40"/>
  <c r="H147" i="11522"/>
  <c r="E166" i="82"/>
  <c r="H121" i="11522"/>
  <c r="H13" i="11522"/>
  <c r="H94" i="11522"/>
  <c r="C159" i="82"/>
  <c r="E151" i="82"/>
  <c r="C167" i="40"/>
  <c r="D149" i="40"/>
  <c r="C162" i="40"/>
  <c r="H25" i="11522"/>
  <c r="H128" i="11522"/>
  <c r="H44" i="11522"/>
  <c r="H132" i="11522"/>
  <c r="H52" i="11522"/>
  <c r="E165" i="82"/>
  <c r="G159" i="82"/>
  <c r="G156" i="11522"/>
  <c r="D168" i="82"/>
  <c r="C157" i="515"/>
  <c r="C167" i="82"/>
  <c r="H135" i="516"/>
  <c r="D157" i="36"/>
  <c r="H141" i="11522"/>
  <c r="H102" i="11522"/>
  <c r="H57" i="11522"/>
  <c r="H164" i="11522"/>
  <c r="H8" i="11522"/>
  <c r="H50" i="82"/>
  <c r="H105" i="36"/>
  <c r="D168" i="11522"/>
  <c r="F166" i="82"/>
  <c r="F164" i="82"/>
  <c r="G158" i="515"/>
  <c r="H120" i="82"/>
  <c r="H109" i="11522"/>
  <c r="H86" i="11522"/>
  <c r="H9" i="11522"/>
  <c r="H140" i="11522"/>
  <c r="E162" i="82"/>
  <c r="H117" i="82"/>
  <c r="E170" i="82"/>
  <c r="H135" i="36"/>
  <c r="E163" i="82"/>
  <c r="G154" i="82"/>
  <c r="D166" i="516"/>
  <c r="D168" i="40"/>
  <c r="F264" i="3"/>
  <c r="F265" i="3"/>
  <c r="G265" i="3"/>
  <c r="F167" i="36"/>
  <c r="H13" i="515"/>
  <c r="E196" i="2819"/>
  <c r="F196" i="2819"/>
  <c r="H169" i="11522"/>
  <c r="F196" i="2316"/>
  <c r="E145" i="768"/>
  <c r="F145" i="768"/>
  <c r="C164" i="515"/>
  <c r="H241" i="3"/>
  <c r="H265" i="3"/>
  <c r="G196" i="25590"/>
  <c r="D152" i="82"/>
  <c r="H135" i="515"/>
  <c r="E148" i="516"/>
  <c r="F169" i="82"/>
  <c r="F265" i="10541"/>
  <c r="E265" i="10541"/>
  <c r="G145" i="768"/>
  <c r="G152" i="36"/>
  <c r="D164" i="515"/>
  <c r="G52" i="25585"/>
  <c r="E166" i="11522"/>
  <c r="E155" i="516"/>
  <c r="C158" i="516"/>
  <c r="E196" i="512"/>
  <c r="F196" i="512"/>
  <c r="F154" i="82"/>
  <c r="E164" i="515"/>
  <c r="G196" i="8196"/>
  <c r="E196" i="2048"/>
  <c r="F196" i="2048"/>
  <c r="E265" i="25587"/>
  <c r="F265" i="25587"/>
  <c r="E145" i="10285"/>
  <c r="F145" i="10285"/>
  <c r="G237" i="3"/>
  <c r="G151" i="40"/>
  <c r="G196" i="2316"/>
  <c r="E150" i="515"/>
  <c r="F152" i="36"/>
  <c r="F196" i="9216"/>
  <c r="G196" i="9216"/>
  <c r="E196" i="25589"/>
  <c r="F196" i="25589"/>
  <c r="F265" i="20994"/>
  <c r="G265" i="20994"/>
  <c r="H164" i="515"/>
  <c r="D155" i="515"/>
  <c r="H101" i="36"/>
  <c r="F264" i="25580"/>
  <c r="E168" i="11522"/>
  <c r="C154" i="82"/>
  <c r="D153" i="516"/>
  <c r="C155" i="36"/>
  <c r="H233" i="3"/>
  <c r="G155" i="516"/>
  <c r="F167" i="516"/>
  <c r="F196" i="523"/>
  <c r="E196" i="523"/>
  <c r="D264" i="25580"/>
  <c r="G196" i="523"/>
  <c r="G196" i="2048"/>
  <c r="G265" i="10541"/>
  <c r="G53" i="25585"/>
  <c r="G196" i="2819"/>
  <c r="E154" i="40"/>
  <c r="G265" i="4888"/>
  <c r="H78" i="515"/>
  <c r="F151" i="40"/>
  <c r="C149" i="82"/>
  <c r="G239" i="25580"/>
  <c r="G264" i="3"/>
  <c r="D169" i="40"/>
  <c r="G196" i="512"/>
  <c r="G196" i="25589"/>
  <c r="C149" i="40"/>
  <c r="G168" i="40"/>
  <c r="G160" i="36"/>
  <c r="H142" i="515"/>
  <c r="H43" i="515"/>
  <c r="E157" i="82"/>
  <c r="E151" i="40"/>
  <c r="E265" i="25580"/>
  <c r="F265" i="25580"/>
  <c r="D166" i="82"/>
  <c r="F149" i="82"/>
  <c r="H63" i="36"/>
  <c r="H158" i="516"/>
  <c r="G153" i="82"/>
  <c r="G167" i="11522"/>
  <c r="C165" i="82"/>
  <c r="G145" i="10285"/>
  <c r="H264" i="3"/>
  <c r="G265" i="25580"/>
  <c r="F266" i="32"/>
  <c r="E266" i="32"/>
  <c r="D155" i="40"/>
  <c r="F196" i="8196"/>
  <c r="E196" i="8196"/>
  <c r="E196" i="25590"/>
  <c r="F196" i="25590"/>
  <c r="H25" i="515"/>
  <c r="F162" i="82"/>
  <c r="G265" i="25587"/>
  <c r="F196" i="25588"/>
  <c r="E196" i="25588"/>
  <c r="F154" i="40"/>
  <c r="H56" i="515"/>
  <c r="H136" i="515"/>
  <c r="G266" i="32"/>
  <c r="E265" i="4888"/>
  <c r="F265" i="4888"/>
  <c r="G151" i="82"/>
  <c r="H36" i="82"/>
  <c r="D163" i="40"/>
  <c r="F196" i="1024"/>
  <c r="G196" i="1024"/>
  <c r="D38" i="25590"/>
  <c r="D54" i="25590"/>
  <c r="C62" i="25590"/>
  <c r="C78" i="25590"/>
  <c r="E150" i="25590"/>
  <c r="C15" i="25590"/>
  <c r="G47" i="25590"/>
  <c r="G55" i="25590"/>
  <c r="E101" i="25590"/>
  <c r="C123" i="25590"/>
  <c r="D138" i="25590"/>
  <c r="G145" i="25590"/>
  <c r="G151" i="25590"/>
  <c r="E102" i="25590"/>
  <c r="G57" i="25590"/>
  <c r="D10" i="25590"/>
  <c r="G121" i="25590"/>
  <c r="D153" i="25590"/>
  <c r="F102" i="25590"/>
  <c r="C195" i="25590"/>
  <c r="D124" i="25590"/>
  <c r="E131" i="25590"/>
  <c r="G146" i="25590"/>
  <c r="D25" i="25590"/>
  <c r="G41" i="25590"/>
  <c r="C110" i="25590"/>
  <c r="G152" i="25590"/>
  <c r="D58" i="25590"/>
  <c r="D74" i="25590"/>
  <c r="E110" i="25590"/>
  <c r="D133" i="25590"/>
  <c r="E141" i="25590"/>
  <c r="C148" i="25590"/>
  <c r="E32" i="25590"/>
  <c r="G36" i="25590"/>
  <c r="E63" i="25590"/>
  <c r="E87" i="25590"/>
  <c r="C83" i="25590"/>
  <c r="E91" i="25590"/>
  <c r="G106" i="25590"/>
  <c r="G143" i="25590"/>
  <c r="C17" i="25590"/>
  <c r="E88" i="25590"/>
  <c r="D103" i="25590"/>
  <c r="F129" i="25590"/>
  <c r="E53" i="25590"/>
  <c r="G85" i="25590"/>
  <c r="D69" i="25590"/>
  <c r="E77" i="25590"/>
  <c r="G84" i="25590"/>
  <c r="C92" i="25590"/>
  <c r="E111" i="25590"/>
  <c r="D129" i="25590"/>
  <c r="F143" i="25590"/>
  <c r="E111" i="25589"/>
  <c r="C88" i="25589"/>
  <c r="C195" i="25589"/>
  <c r="D17" i="25589"/>
  <c r="F36" i="25589"/>
  <c r="D31" i="25589"/>
  <c r="G63" i="25589"/>
  <c r="C77" i="25589"/>
  <c r="F121" i="25589"/>
  <c r="C9" i="25589"/>
  <c r="G39" i="25589"/>
  <c r="F48" i="25589"/>
  <c r="F56" i="25589"/>
  <c r="D64" i="25589"/>
  <c r="D71" i="25589"/>
  <c r="F91" i="25589"/>
  <c r="D137" i="25589"/>
  <c r="F27" i="25589"/>
  <c r="C13" i="25589"/>
  <c r="D22" i="25589"/>
  <c r="E28" i="25589"/>
  <c r="G60" i="25589"/>
  <c r="D110" i="25589"/>
  <c r="G118" i="25589"/>
  <c r="G134" i="25589"/>
  <c r="E141" i="25589"/>
  <c r="G154" i="25589"/>
  <c r="E66" i="25589"/>
  <c r="D80" i="25589"/>
  <c r="F128" i="25589"/>
  <c r="D124" i="25589"/>
  <c r="G147" i="25589"/>
  <c r="F133" i="25589"/>
  <c r="D14" i="25589"/>
  <c r="C22" i="25589"/>
  <c r="D30" i="25589"/>
  <c r="D37" i="25589"/>
  <c r="E61" i="25589"/>
  <c r="F81" i="25589"/>
  <c r="E88" i="25589"/>
  <c r="G83" i="25589"/>
  <c r="E96" i="25589"/>
  <c r="F104" i="25589"/>
  <c r="E135" i="25589"/>
  <c r="D150" i="25589"/>
  <c r="D43" i="25589"/>
  <c r="F51" i="25589"/>
  <c r="G67" i="25589"/>
  <c r="D88" i="25589"/>
  <c r="E94" i="25589"/>
  <c r="E109" i="25589"/>
  <c r="D126" i="25589"/>
  <c r="F42" i="25589"/>
  <c r="G62" i="25589"/>
  <c r="G54" i="25589"/>
  <c r="G76" i="25589"/>
  <c r="F109" i="25589"/>
  <c r="G105" i="25589"/>
  <c r="G112" i="25589"/>
  <c r="G120" i="25589"/>
  <c r="G128" i="25589"/>
  <c r="D143" i="25589"/>
  <c r="E151" i="25589"/>
  <c r="D35" i="25588"/>
  <c r="D92" i="25588"/>
  <c r="D99" i="25588"/>
  <c r="D107" i="25588"/>
  <c r="G118" i="25588"/>
  <c r="E146" i="25588"/>
  <c r="C154" i="25588"/>
  <c r="D8" i="25588"/>
  <c r="C195" i="25588"/>
  <c r="D24" i="25588"/>
  <c r="E50" i="25588"/>
  <c r="D67" i="25588"/>
  <c r="C86" i="25588"/>
  <c r="F120" i="25588"/>
  <c r="F118" i="25588"/>
  <c r="G126" i="25588"/>
  <c r="G195" i="25588"/>
  <c r="D16" i="25588"/>
  <c r="E23" i="25588"/>
  <c r="D30" i="25588"/>
  <c r="E37" i="25588"/>
  <c r="G82" i="25588"/>
  <c r="F63" i="25588"/>
  <c r="E68" i="25588"/>
  <c r="D80" i="25588"/>
  <c r="D86" i="25588"/>
  <c r="G94" i="25588"/>
  <c r="F113" i="25588"/>
  <c r="D113" i="25588"/>
  <c r="E119" i="25588"/>
  <c r="G134" i="25588"/>
  <c r="D23" i="25588"/>
  <c r="F62" i="25588"/>
  <c r="C10" i="25588"/>
  <c r="F38" i="25588"/>
  <c r="E74" i="25588"/>
  <c r="G105" i="25588"/>
  <c r="F99" i="25588"/>
  <c r="F110" i="25588"/>
  <c r="C18" i="25588"/>
  <c r="G64" i="25588"/>
  <c r="D75" i="25588"/>
  <c r="E95" i="25588"/>
  <c r="G110" i="25588"/>
  <c r="F121" i="25588"/>
  <c r="C128" i="25588"/>
  <c r="G40" i="25588"/>
  <c r="D65" i="25588"/>
  <c r="C70" i="25588"/>
  <c r="G83" i="25588"/>
  <c r="D96" i="25588"/>
  <c r="F104" i="25588"/>
  <c r="F123" i="25588"/>
  <c r="G136" i="25588"/>
  <c r="E28" i="25588"/>
  <c r="G56" i="25588"/>
  <c r="C24" i="25588"/>
  <c r="G120" i="25588"/>
  <c r="E142" i="25588"/>
  <c r="C165" i="25588"/>
  <c r="F20" i="25588"/>
  <c r="E26" i="25588"/>
  <c r="C40" i="25588"/>
  <c r="G54" i="25588"/>
  <c r="D70" i="25588"/>
  <c r="E76" i="25588"/>
  <c r="G90" i="25588"/>
  <c r="E118" i="25588"/>
  <c r="G116" i="25588"/>
  <c r="G144" i="25588"/>
  <c r="G152" i="25588"/>
  <c r="G168" i="25588"/>
  <c r="G50" i="25588"/>
  <c r="E24" i="25588"/>
  <c r="D32" i="25588"/>
  <c r="F46" i="25588"/>
  <c r="G84" i="25588"/>
  <c r="E82" i="25588"/>
  <c r="C115" i="25588"/>
  <c r="D13" i="25588"/>
  <c r="G34" i="25588"/>
  <c r="G41" i="25588"/>
  <c r="D49" i="25588"/>
  <c r="C62" i="25588"/>
  <c r="C66" i="25588"/>
  <c r="F91" i="25588"/>
  <c r="C98" i="25588"/>
  <c r="E112" i="25588"/>
  <c r="D118" i="25588"/>
  <c r="G124" i="25588"/>
  <c r="C131" i="25588"/>
  <c r="C12" i="25587"/>
  <c r="C28" i="25587"/>
  <c r="D35" i="25587"/>
  <c r="G65" i="25587"/>
  <c r="F121" i="25587"/>
  <c r="F140" i="25587"/>
  <c r="E141" i="25587"/>
  <c r="G149" i="25587"/>
  <c r="G179" i="25587"/>
  <c r="G211" i="25587"/>
  <c r="G209" i="25587"/>
  <c r="C222" i="25587"/>
  <c r="C35" i="25587"/>
  <c r="D41" i="25587"/>
  <c r="F49" i="25587"/>
  <c r="G55" i="25587"/>
  <c r="F102" i="25587"/>
  <c r="E109" i="25587"/>
  <c r="C115" i="25587"/>
  <c r="D122" i="25587"/>
  <c r="E129" i="25587"/>
  <c r="F172" i="25587"/>
  <c r="C187" i="25587"/>
  <c r="C195" i="25587"/>
  <c r="E219" i="25587"/>
  <c r="D223" i="25587"/>
  <c r="E22" i="25587"/>
  <c r="E42" i="25587"/>
  <c r="F68" i="25587"/>
  <c r="E67" i="25587"/>
  <c r="C80" i="25587"/>
  <c r="G95" i="25587"/>
  <c r="G116" i="25587"/>
  <c r="E187" i="25587"/>
  <c r="D196" i="25587"/>
  <c r="C15" i="25587"/>
  <c r="D36" i="25587"/>
  <c r="F67" i="25587"/>
  <c r="C104" i="25587"/>
  <c r="C137" i="25587"/>
  <c r="D167" i="25587"/>
  <c r="F209" i="25587"/>
  <c r="G37" i="25587"/>
  <c r="F86" i="25587"/>
  <c r="F137" i="25587"/>
  <c r="G183" i="25587"/>
  <c r="C198" i="25587"/>
  <c r="D212" i="25587"/>
  <c r="G219" i="25587"/>
  <c r="E35" i="25587"/>
  <c r="C32" i="25587"/>
  <c r="D68" i="25587"/>
  <c r="C75" i="25587"/>
  <c r="D90" i="25587"/>
  <c r="G105" i="25587"/>
  <c r="C118" i="25587"/>
  <c r="D132" i="25587"/>
  <c r="D146" i="25587"/>
  <c r="F161" i="25587"/>
  <c r="C169" i="25587"/>
  <c r="G199" i="25587"/>
  <c r="C206" i="25587"/>
  <c r="C23" i="25587"/>
  <c r="C43" i="25587"/>
  <c r="E64" i="25587"/>
  <c r="D9" i="25587"/>
  <c r="C51" i="25587"/>
  <c r="G97" i="25587"/>
  <c r="G131" i="25587"/>
  <c r="D26" i="25587"/>
  <c r="C33" i="25587"/>
  <c r="C46" i="25587"/>
  <c r="E53" i="25587"/>
  <c r="G60" i="25587"/>
  <c r="C65" i="25587"/>
  <c r="D91" i="25587"/>
  <c r="E99" i="25587"/>
  <c r="E147" i="25587"/>
  <c r="C155" i="25587"/>
  <c r="C214" i="25587"/>
  <c r="D63" i="25587"/>
  <c r="G73" i="25587"/>
  <c r="D137" i="25587"/>
  <c r="G151" i="25587"/>
  <c r="D188" i="25587"/>
  <c r="C209" i="25587"/>
  <c r="C264" i="25587"/>
  <c r="F73" i="25587"/>
  <c r="C89" i="25587"/>
  <c r="E152" i="25587"/>
  <c r="E218" i="25587"/>
  <c r="E16" i="25587"/>
  <c r="F44" i="25587"/>
  <c r="G162" i="25587"/>
  <c r="E40" i="25587"/>
  <c r="F54" i="25587"/>
  <c r="D65" i="25587"/>
  <c r="F97" i="25587"/>
  <c r="C107" i="25587"/>
  <c r="E114" i="25587"/>
  <c r="D127" i="25587"/>
  <c r="G133" i="25587"/>
  <c r="G140" i="25587"/>
  <c r="G172" i="25587"/>
  <c r="D209" i="25587"/>
  <c r="F102" i="512"/>
  <c r="F94" i="512"/>
  <c r="F71" i="512"/>
  <c r="F56" i="512"/>
  <c r="E49" i="512"/>
  <c r="F44" i="512"/>
  <c r="F36" i="512"/>
  <c r="C16" i="512"/>
  <c r="C129" i="512"/>
  <c r="C195" i="512"/>
  <c r="C108" i="512"/>
  <c r="C154" i="512"/>
  <c r="C123" i="512"/>
  <c r="C130" i="512"/>
  <c r="F29" i="512"/>
  <c r="F37" i="512"/>
  <c r="D61" i="512"/>
  <c r="D135" i="512"/>
  <c r="C18" i="512"/>
  <c r="G140" i="512"/>
  <c r="G79" i="512"/>
  <c r="G45" i="512"/>
  <c r="C127" i="512"/>
  <c r="G76" i="512"/>
  <c r="F133" i="512"/>
  <c r="E125" i="512"/>
  <c r="F121" i="512"/>
  <c r="F101" i="512"/>
  <c r="E93" i="512"/>
  <c r="G85" i="512"/>
  <c r="D79" i="512"/>
  <c r="F62" i="512"/>
  <c r="F118" i="512"/>
  <c r="G47" i="512"/>
  <c r="C9" i="512"/>
  <c r="E130" i="512"/>
  <c r="D107" i="512"/>
  <c r="E102" i="512"/>
  <c r="E106" i="512"/>
  <c r="G110" i="512"/>
  <c r="D72" i="512"/>
  <c r="E24" i="512"/>
  <c r="G103" i="512"/>
  <c r="G134" i="512"/>
  <c r="G93" i="512"/>
  <c r="C101" i="512"/>
  <c r="D93" i="512"/>
  <c r="G108" i="512"/>
  <c r="F66" i="512"/>
  <c r="C46" i="512"/>
  <c r="D31" i="512"/>
  <c r="D154" i="512"/>
  <c r="C194" i="512"/>
  <c r="D115" i="512"/>
  <c r="C71" i="512"/>
  <c r="G99" i="512"/>
  <c r="F151" i="512"/>
  <c r="G37" i="512"/>
  <c r="C142" i="512"/>
  <c r="C20" i="512"/>
  <c r="D54" i="512"/>
  <c r="C47" i="512"/>
  <c r="F138" i="512"/>
  <c r="F67" i="512"/>
  <c r="C54" i="512"/>
  <c r="D100" i="512"/>
  <c r="D45" i="512"/>
  <c r="G71" i="512"/>
  <c r="E99" i="512"/>
  <c r="F93" i="512"/>
  <c r="G69" i="512"/>
  <c r="F21" i="512"/>
  <c r="G63" i="512"/>
  <c r="C59" i="512"/>
  <c r="F146" i="512"/>
  <c r="C58" i="512"/>
  <c r="F63" i="512"/>
  <c r="C43" i="512"/>
  <c r="E35" i="512"/>
  <c r="C19" i="512"/>
  <c r="D11" i="512"/>
  <c r="D131" i="512"/>
  <c r="F76" i="512"/>
  <c r="C139" i="512"/>
  <c r="G53" i="512"/>
  <c r="F79" i="512"/>
  <c r="F130" i="512"/>
  <c r="G90" i="512"/>
  <c r="E57" i="512"/>
  <c r="G36" i="512"/>
  <c r="E149" i="512"/>
  <c r="C135" i="512"/>
  <c r="D80" i="512"/>
  <c r="G148" i="512"/>
  <c r="D147" i="512"/>
  <c r="E55" i="512"/>
  <c r="C45" i="512"/>
  <c r="D114" i="512"/>
  <c r="D151" i="512"/>
  <c r="G55" i="512"/>
  <c r="G118" i="512"/>
  <c r="F122" i="512"/>
  <c r="F48" i="512"/>
  <c r="E101" i="512"/>
  <c r="C44" i="512"/>
  <c r="D21" i="512"/>
  <c r="D149" i="512"/>
  <c r="G145" i="512"/>
  <c r="C137" i="512"/>
  <c r="F120" i="512"/>
  <c r="E114" i="512"/>
  <c r="F104" i="512"/>
  <c r="G96" i="512"/>
  <c r="F100" i="512"/>
  <c r="D57" i="512"/>
  <c r="F50" i="512"/>
  <c r="F34" i="512"/>
  <c r="F30" i="512"/>
  <c r="G147" i="512"/>
  <c r="E107" i="512"/>
  <c r="F91" i="512"/>
  <c r="E68" i="512"/>
  <c r="G84" i="512"/>
  <c r="D37" i="512"/>
  <c r="E28" i="512"/>
  <c r="C92" i="512"/>
  <c r="G77" i="512"/>
  <c r="D83" i="512"/>
  <c r="F33" i="512"/>
  <c r="G142" i="512"/>
  <c r="C160" i="512"/>
  <c r="F126" i="512"/>
  <c r="D126" i="512"/>
  <c r="C49" i="512"/>
  <c r="C70" i="512"/>
  <c r="D95" i="512"/>
  <c r="G154" i="512"/>
  <c r="F87" i="512"/>
  <c r="D24" i="512"/>
  <c r="E40" i="512"/>
  <c r="D118" i="512"/>
  <c r="D30" i="512"/>
  <c r="G150" i="512"/>
  <c r="F45" i="512"/>
  <c r="C124" i="512"/>
  <c r="F154" i="512"/>
  <c r="F57" i="512"/>
  <c r="F74" i="512"/>
  <c r="D39" i="512"/>
  <c r="G101" i="512"/>
  <c r="C76" i="512"/>
  <c r="G44" i="512"/>
  <c r="F75" i="512"/>
  <c r="E135" i="512"/>
  <c r="G151" i="512"/>
  <c r="F131" i="512"/>
  <c r="G111" i="512"/>
  <c r="F95" i="512"/>
  <c r="G80" i="512"/>
  <c r="F72" i="512"/>
  <c r="C152" i="512"/>
  <c r="F21" i="8196"/>
  <c r="F70" i="8196"/>
  <c r="G50" i="8196"/>
  <c r="C42" i="8196"/>
  <c r="C26" i="8196"/>
  <c r="C18" i="8196"/>
  <c r="D10" i="8196"/>
  <c r="C83" i="8196"/>
  <c r="C49" i="8196"/>
  <c r="C16" i="8196"/>
  <c r="D110" i="8196"/>
  <c r="D47" i="8196"/>
  <c r="C120" i="8196"/>
  <c r="C57" i="8196"/>
  <c r="F61" i="8196"/>
  <c r="C41" i="8196"/>
  <c r="F45" i="8196"/>
  <c r="F37" i="8196"/>
  <c r="C17" i="8196"/>
  <c r="C148" i="8196"/>
  <c r="C124" i="8196"/>
  <c r="D116" i="8196"/>
  <c r="G125" i="8196"/>
  <c r="D85" i="8196"/>
  <c r="E77" i="8196"/>
  <c r="C29" i="8196"/>
  <c r="D55" i="8196"/>
  <c r="C36" i="8196"/>
  <c r="C75" i="8196"/>
  <c r="C103" i="8196"/>
  <c r="G45" i="8196"/>
  <c r="D126" i="8196"/>
  <c r="C70" i="8196"/>
  <c r="C31" i="8196"/>
  <c r="C142" i="8196"/>
  <c r="D73" i="8196"/>
  <c r="G48" i="8196"/>
  <c r="E23" i="8196"/>
  <c r="C195" i="8196"/>
  <c r="G67" i="8196"/>
  <c r="G34" i="8196"/>
  <c r="C99" i="8196"/>
  <c r="C96" i="8196"/>
  <c r="C93" i="8196"/>
  <c r="C50" i="8196"/>
  <c r="C94" i="8196"/>
  <c r="C65" i="8196"/>
  <c r="G42" i="8196"/>
  <c r="G118" i="8196"/>
  <c r="C63" i="8196"/>
  <c r="G85" i="8196"/>
  <c r="C100" i="8196"/>
  <c r="D148" i="8196"/>
  <c r="C55" i="8196"/>
  <c r="C107" i="8196"/>
  <c r="G66" i="8196"/>
  <c r="C21" i="8196"/>
  <c r="D109" i="8196"/>
  <c r="F33" i="8196"/>
  <c r="C149" i="8196"/>
  <c r="C122" i="8196"/>
  <c r="C14" i="8196"/>
  <c r="C151" i="8196"/>
  <c r="C32" i="8196"/>
  <c r="C23" i="8196"/>
  <c r="C135" i="8196"/>
  <c r="D136" i="8196"/>
  <c r="F120" i="8196"/>
  <c r="C112" i="8196"/>
  <c r="D97" i="8196"/>
  <c r="E81" i="8196"/>
  <c r="D103" i="8196"/>
  <c r="C115" i="8196"/>
  <c r="D118" i="8196"/>
  <c r="D15" i="8196"/>
  <c r="D62" i="8196"/>
  <c r="G116" i="8196"/>
  <c r="C76" i="8196"/>
  <c r="C19" i="8196"/>
  <c r="D9" i="8196"/>
  <c r="G61" i="8196"/>
  <c r="D87" i="8196"/>
  <c r="C117" i="8196"/>
  <c r="E61" i="8196"/>
  <c r="E143" i="8196"/>
  <c r="F135" i="8196"/>
  <c r="G119" i="8196"/>
  <c r="F111" i="8196"/>
  <c r="F108" i="8196"/>
  <c r="E100" i="8196"/>
  <c r="F80" i="8196"/>
  <c r="D153" i="8196"/>
  <c r="E66" i="8196"/>
  <c r="G95" i="8196"/>
  <c r="D63" i="8196"/>
  <c r="C54" i="8196"/>
  <c r="D46" i="8196"/>
  <c r="G38" i="8196"/>
  <c r="D30" i="8196"/>
  <c r="C22" i="8196"/>
  <c r="E145" i="8196"/>
  <c r="D137" i="8196"/>
  <c r="C129" i="8196"/>
  <c r="C121" i="8196"/>
  <c r="F113" i="8196"/>
  <c r="G130" i="8196"/>
  <c r="F110" i="8196"/>
  <c r="D99" i="8196"/>
  <c r="C37" i="8196"/>
  <c r="D107" i="8196"/>
  <c r="C38" i="8196"/>
  <c r="C91" i="8196"/>
  <c r="F144" i="8196"/>
  <c r="E128" i="8196"/>
  <c r="E89" i="8196"/>
  <c r="F41" i="8196"/>
  <c r="E130" i="8196"/>
  <c r="C53" i="8196"/>
  <c r="D86" i="8196"/>
  <c r="C147" i="8196"/>
  <c r="C92" i="8196"/>
  <c r="G69" i="8196"/>
  <c r="C13" i="8196"/>
  <c r="F66" i="8196"/>
  <c r="F42" i="8196"/>
  <c r="C131" i="8196"/>
  <c r="C46" i="8196"/>
  <c r="C61" i="8196"/>
  <c r="F65" i="8196"/>
  <c r="C118" i="8196"/>
  <c r="C72" i="8196"/>
  <c r="D23" i="8196"/>
  <c r="C68" i="8196"/>
  <c r="G83" i="8196"/>
  <c r="F63" i="8196"/>
  <c r="F43" i="8196"/>
  <c r="C35" i="8196"/>
  <c r="E27" i="8196"/>
  <c r="E19" i="8196"/>
  <c r="F23" i="8196"/>
  <c r="E87" i="2048"/>
  <c r="E47" i="2048"/>
  <c r="G65" i="2048"/>
  <c r="D17" i="2048"/>
  <c r="E149" i="2048"/>
  <c r="F150" i="2048"/>
  <c r="D117" i="2048"/>
  <c r="D141" i="2048"/>
  <c r="F26" i="2048"/>
  <c r="F22" i="2048"/>
  <c r="G61" i="2048"/>
  <c r="C137" i="2048"/>
  <c r="D145" i="2048"/>
  <c r="E138" i="2048"/>
  <c r="F128" i="2048"/>
  <c r="F132" i="2048"/>
  <c r="E116" i="2048"/>
  <c r="D104" i="2048"/>
  <c r="D96" i="2048"/>
  <c r="E100" i="2048"/>
  <c r="D80" i="2048"/>
  <c r="D73" i="2048"/>
  <c r="D65" i="2048"/>
  <c r="C40" i="2048"/>
  <c r="D32" i="2048"/>
  <c r="C43" i="2048"/>
  <c r="C195" i="2048"/>
  <c r="G127" i="2048"/>
  <c r="C119" i="2048"/>
  <c r="F111" i="2048"/>
  <c r="E95" i="2048"/>
  <c r="D71" i="2048"/>
  <c r="G54" i="2048"/>
  <c r="G38" i="2048"/>
  <c r="E134" i="2048"/>
  <c r="D128" i="2048"/>
  <c r="D134" i="2048"/>
  <c r="E127" i="2048"/>
  <c r="F31" i="2048"/>
  <c r="D82" i="2048"/>
  <c r="D133" i="2048"/>
  <c r="G102" i="2048"/>
  <c r="G37" i="2048"/>
  <c r="F109" i="2048"/>
  <c r="E60" i="2048"/>
  <c r="G76" i="2048"/>
  <c r="D36" i="2048"/>
  <c r="E37" i="2048"/>
  <c r="D20" i="2048"/>
  <c r="D12" i="2048"/>
  <c r="G134" i="2048"/>
  <c r="G142" i="2048"/>
  <c r="D88" i="2048"/>
  <c r="D142" i="2048"/>
  <c r="D110" i="2048"/>
  <c r="F123" i="2048"/>
  <c r="E129" i="2048"/>
  <c r="G97" i="2048"/>
  <c r="D29" i="2048"/>
  <c r="E109" i="2048"/>
  <c r="G147" i="2048"/>
  <c r="G139" i="2048"/>
  <c r="D131" i="2048"/>
  <c r="F115" i="2048"/>
  <c r="D107" i="2048"/>
  <c r="D100" i="2048"/>
  <c r="E83" i="2048"/>
  <c r="F51" i="2048"/>
  <c r="D27" i="2048"/>
  <c r="D11" i="2048"/>
  <c r="F152" i="2048"/>
  <c r="C135" i="2048"/>
  <c r="G103" i="2048"/>
  <c r="G89" i="2048"/>
  <c r="F58" i="2048"/>
  <c r="F30" i="2048"/>
  <c r="G105" i="2048"/>
  <c r="F65" i="2048"/>
  <c r="G113" i="2048"/>
  <c r="D24" i="2048"/>
  <c r="F95" i="2048"/>
  <c r="E141" i="2048"/>
  <c r="D118" i="2048"/>
  <c r="D127" i="2048"/>
  <c r="D74" i="2048"/>
  <c r="G146" i="2048"/>
  <c r="D138" i="2048"/>
  <c r="D130" i="2048"/>
  <c r="F122" i="2048"/>
  <c r="F114" i="2048"/>
  <c r="F118" i="2048"/>
  <c r="D98" i="2048"/>
  <c r="E90" i="2048"/>
  <c r="G82" i="2048"/>
  <c r="D66" i="2048"/>
  <c r="G162" i="10541"/>
  <c r="G154" i="10541"/>
  <c r="F138" i="10541"/>
  <c r="G245" i="10541"/>
  <c r="D33" i="10541"/>
  <c r="F114" i="10541"/>
  <c r="D127" i="10541"/>
  <c r="C126" i="10541"/>
  <c r="C187" i="10541"/>
  <c r="C149" i="10541"/>
  <c r="D123" i="10541"/>
  <c r="C52" i="10541"/>
  <c r="D10" i="10541"/>
  <c r="C105" i="10541"/>
  <c r="C208" i="10541"/>
  <c r="F150" i="10541"/>
  <c r="D130" i="10541"/>
  <c r="E218" i="10541"/>
  <c r="F161" i="10541"/>
  <c r="E82" i="10541"/>
  <c r="F66" i="10541"/>
  <c r="E74" i="10541"/>
  <c r="D139" i="10541"/>
  <c r="C193" i="10541"/>
  <c r="D200" i="10541"/>
  <c r="D102" i="10541"/>
  <c r="F197" i="10541"/>
  <c r="G193" i="10541"/>
  <c r="D97" i="10541"/>
  <c r="E219" i="10541"/>
  <c r="D118" i="10541"/>
  <c r="F211" i="10541"/>
  <c r="F145" i="10541"/>
  <c r="E107" i="10541"/>
  <c r="C180" i="10541"/>
  <c r="C123" i="10541"/>
  <c r="C91" i="10541"/>
  <c r="C154" i="10541"/>
  <c r="F209" i="10541"/>
  <c r="F165" i="10541"/>
  <c r="C207" i="10541"/>
  <c r="G121" i="10541"/>
  <c r="D58" i="10541"/>
  <c r="E201" i="10541"/>
  <c r="G122" i="10541"/>
  <c r="D169" i="10541"/>
  <c r="D57" i="10541"/>
  <c r="E135" i="10541"/>
  <c r="C264" i="10541"/>
  <c r="G90" i="10541"/>
  <c r="E202" i="10541"/>
  <c r="G135" i="10541"/>
  <c r="G186" i="10541"/>
  <c r="E170" i="10541"/>
  <c r="C170" i="10541"/>
  <c r="C103" i="10541"/>
  <c r="C119" i="10541"/>
  <c r="C156" i="10541"/>
  <c r="C98" i="10541"/>
  <c r="C148" i="10541"/>
  <c r="D136" i="10541"/>
  <c r="F45" i="10541"/>
  <c r="C73" i="10541"/>
  <c r="F218" i="10541"/>
  <c r="D95" i="10541"/>
  <c r="E86" i="10541"/>
  <c r="D80" i="10541"/>
  <c r="D71" i="10541"/>
  <c r="C48" i="10541"/>
  <c r="G64" i="10541"/>
  <c r="D32" i="10541"/>
  <c r="G76" i="10541"/>
  <c r="D81" i="10541"/>
  <c r="C167" i="10541"/>
  <c r="F157" i="10541"/>
  <c r="E154" i="10541"/>
  <c r="D90" i="10541"/>
  <c r="C71" i="10541"/>
  <c r="E133" i="10541"/>
  <c r="E103" i="10541"/>
  <c r="E111" i="10541"/>
  <c r="F61" i="10541"/>
  <c r="E194" i="10541"/>
  <c r="D135" i="10541"/>
  <c r="F58" i="10541"/>
  <c r="C175" i="10541"/>
  <c r="E37" i="10541"/>
  <c r="C130" i="10541"/>
  <c r="C188" i="10541"/>
  <c r="C206" i="10541"/>
  <c r="C86" i="10541"/>
  <c r="C120" i="10541"/>
  <c r="C142" i="10541"/>
  <c r="E64" i="10541"/>
  <c r="E153" i="10541"/>
  <c r="C96" i="10541"/>
  <c r="E80" i="10541"/>
  <c r="F193" i="10541"/>
  <c r="E173" i="10541"/>
  <c r="G165" i="10541"/>
  <c r="G109" i="10541"/>
  <c r="E85" i="10541"/>
  <c r="F62" i="10541"/>
  <c r="D52" i="10541"/>
  <c r="F28" i="10541"/>
  <c r="E149" i="10541"/>
  <c r="C197" i="10541"/>
  <c r="G91" i="10541"/>
  <c r="D154" i="10541"/>
  <c r="F90" i="10541"/>
  <c r="G105" i="10541"/>
  <c r="E72" i="10541"/>
  <c r="E99" i="10541"/>
  <c r="C111" i="10541"/>
  <c r="D49" i="10541"/>
  <c r="E220" i="10541"/>
  <c r="E83" i="10541"/>
  <c r="D120" i="10541"/>
  <c r="E119" i="10541"/>
  <c r="D66" i="10541"/>
  <c r="G68" i="10541"/>
  <c r="C122" i="10541"/>
  <c r="C31" i="10541"/>
  <c r="C83" i="10541"/>
  <c r="D142" i="10541"/>
  <c r="E161" i="10541"/>
  <c r="D53" i="10541"/>
  <c r="E178" i="10541"/>
  <c r="E75" i="10541"/>
  <c r="F92" i="10541"/>
  <c r="G204" i="10541"/>
  <c r="F132" i="10541"/>
  <c r="G140" i="10541"/>
  <c r="C22" i="10541"/>
  <c r="D15" i="10541"/>
  <c r="G59" i="10541"/>
  <c r="D82" i="10541"/>
  <c r="E31" i="10541"/>
  <c r="D145" i="10541"/>
  <c r="G201" i="10541"/>
  <c r="F67" i="10541"/>
  <c r="F162" i="10541"/>
  <c r="D112" i="10541"/>
  <c r="E97" i="10541"/>
  <c r="F127" i="10541"/>
  <c r="E104" i="10541"/>
  <c r="F97" i="10541"/>
  <c r="E127" i="10541"/>
  <c r="E207" i="10541"/>
  <c r="E59" i="10541"/>
  <c r="C65" i="10541"/>
  <c r="D88" i="10541"/>
  <c r="C164" i="10541"/>
  <c r="D68" i="10541"/>
  <c r="C104" i="10541"/>
  <c r="C115" i="10541"/>
  <c r="C81" i="10541"/>
  <c r="G150" i="10541"/>
  <c r="C157" i="10541"/>
  <c r="C16" i="10541"/>
  <c r="G40" i="10541"/>
  <c r="G98" i="10541"/>
  <c r="G195" i="10541"/>
  <c r="F199" i="10541"/>
  <c r="D179" i="10541"/>
  <c r="F183" i="10541"/>
  <c r="D163" i="10541"/>
  <c r="E139" i="10541"/>
  <c r="F131" i="10541"/>
  <c r="D92" i="10541"/>
  <c r="C68" i="10541"/>
  <c r="D61" i="10541"/>
  <c r="C53" i="10541"/>
  <c r="D51" i="523"/>
  <c r="C43" i="523"/>
  <c r="D36" i="523"/>
  <c r="F27" i="523"/>
  <c r="E19" i="523"/>
  <c r="D11" i="523"/>
  <c r="F105" i="523"/>
  <c r="D85" i="523"/>
  <c r="E78" i="523"/>
  <c r="D71" i="523"/>
  <c r="G86" i="523"/>
  <c r="E123" i="523"/>
  <c r="C44" i="523"/>
  <c r="G93" i="523"/>
  <c r="D32" i="523"/>
  <c r="G65" i="523"/>
  <c r="G64" i="523"/>
  <c r="F127" i="523"/>
  <c r="E18" i="523"/>
  <c r="G72" i="523"/>
  <c r="D128" i="523"/>
  <c r="C71" i="523"/>
  <c r="F67" i="523"/>
  <c r="E67" i="523"/>
  <c r="G60" i="523"/>
  <c r="E90" i="523"/>
  <c r="F79" i="523"/>
  <c r="C68" i="523"/>
  <c r="C143" i="523"/>
  <c r="G50" i="523"/>
  <c r="F54" i="523"/>
  <c r="D34" i="523"/>
  <c r="E26" i="523"/>
  <c r="E146" i="523"/>
  <c r="G138" i="523"/>
  <c r="G122" i="523"/>
  <c r="C114" i="523"/>
  <c r="C100" i="523"/>
  <c r="C92" i="523"/>
  <c r="D84" i="523"/>
  <c r="D77" i="523"/>
  <c r="D69" i="523"/>
  <c r="D61" i="523"/>
  <c r="E75" i="523"/>
  <c r="D90" i="523"/>
  <c r="F132" i="523"/>
  <c r="D113" i="523"/>
  <c r="D83" i="523"/>
  <c r="C42" i="523"/>
  <c r="C24" i="523"/>
  <c r="E147" i="523"/>
  <c r="D144" i="523"/>
  <c r="E120" i="523"/>
  <c r="E49" i="523"/>
  <c r="F139" i="523"/>
  <c r="D143" i="523"/>
  <c r="E135" i="523"/>
  <c r="G91" i="523"/>
  <c r="C136" i="523"/>
  <c r="C79" i="523"/>
  <c r="F102" i="523"/>
  <c r="G33" i="523"/>
  <c r="F145" i="523"/>
  <c r="D129" i="523"/>
  <c r="G145" i="523"/>
  <c r="E113" i="523"/>
  <c r="C153" i="523"/>
  <c r="G55" i="523"/>
  <c r="G39" i="523"/>
  <c r="C23" i="523"/>
  <c r="F119" i="523"/>
  <c r="C135" i="523"/>
  <c r="G76" i="523"/>
  <c r="G143" i="523"/>
  <c r="D138" i="523"/>
  <c r="C84" i="523"/>
  <c r="G127" i="523"/>
  <c r="E79" i="523"/>
  <c r="D68" i="523"/>
  <c r="G152" i="523"/>
  <c r="E33" i="523"/>
  <c r="C117" i="523"/>
  <c r="C17" i="523"/>
  <c r="G142" i="523"/>
  <c r="F111" i="523"/>
  <c r="F104" i="523"/>
  <c r="E96" i="523"/>
  <c r="G112" i="523"/>
  <c r="D81" i="523"/>
  <c r="F65" i="523"/>
  <c r="G57" i="523"/>
  <c r="G49" i="523"/>
  <c r="C151" i="523"/>
  <c r="E82" i="523"/>
  <c r="D147" i="523"/>
  <c r="E84" i="523"/>
  <c r="F62" i="523"/>
  <c r="F124" i="523"/>
  <c r="E128" i="523"/>
  <c r="D31" i="523"/>
  <c r="E80" i="523"/>
  <c r="E99" i="523"/>
  <c r="F49" i="523"/>
  <c r="D9" i="523"/>
  <c r="C35" i="523"/>
  <c r="D10" i="523"/>
  <c r="F37" i="523"/>
  <c r="D29" i="523"/>
  <c r="E141" i="523"/>
  <c r="E133" i="523"/>
  <c r="E125" i="523"/>
  <c r="F117" i="523"/>
  <c r="G134" i="523"/>
  <c r="G103" i="523"/>
  <c r="F95" i="523"/>
  <c r="F87" i="523"/>
  <c r="D80" i="523"/>
  <c r="F76" i="523"/>
  <c r="G149" i="523"/>
  <c r="F140" i="523"/>
  <c r="F68" i="523"/>
  <c r="G48" i="523"/>
  <c r="E45" i="523"/>
  <c r="G32" i="523"/>
  <c r="F36" i="523"/>
  <c r="E17" i="523"/>
  <c r="C147" i="523"/>
  <c r="C195" i="523"/>
  <c r="F118" i="523"/>
  <c r="E98" i="523"/>
  <c r="E59" i="523"/>
  <c r="G40" i="523"/>
  <c r="G113" i="523"/>
  <c r="F48" i="523"/>
  <c r="G99" i="523"/>
  <c r="G107" i="523"/>
  <c r="E28" i="523"/>
  <c r="E139" i="523"/>
  <c r="F98" i="523"/>
  <c r="C103" i="523"/>
  <c r="G71" i="523"/>
  <c r="D15" i="523"/>
  <c r="E58" i="523"/>
  <c r="F66" i="523"/>
  <c r="F151" i="523"/>
  <c r="G144" i="523"/>
  <c r="C82" i="523"/>
  <c r="F89" i="523"/>
  <c r="D76" i="523"/>
  <c r="F21" i="523"/>
  <c r="G84" i="523"/>
  <c r="F83" i="523"/>
  <c r="C36" i="523"/>
  <c r="G151" i="523"/>
  <c r="G136" i="523"/>
  <c r="G56" i="523"/>
  <c r="C22" i="523"/>
  <c r="D145" i="523"/>
  <c r="E68" i="523"/>
  <c r="E60" i="523"/>
  <c r="E154" i="523"/>
  <c r="C140" i="523"/>
  <c r="C132" i="523"/>
  <c r="F136" i="523"/>
  <c r="F128" i="523"/>
  <c r="E94" i="523"/>
  <c r="C33" i="2561"/>
  <c r="C138" i="2561"/>
  <c r="C167" i="2561"/>
  <c r="C157" i="2561"/>
  <c r="C216" i="2561"/>
  <c r="C200" i="2561"/>
  <c r="C192" i="2561"/>
  <c r="C151" i="2561"/>
  <c r="C184" i="2561"/>
  <c r="C87" i="2561"/>
  <c r="C59" i="2561"/>
  <c r="C35" i="2561"/>
  <c r="C60" i="2561"/>
  <c r="C75" i="2561"/>
  <c r="C25" i="2561"/>
  <c r="C136" i="2561"/>
  <c r="C263" i="2561"/>
  <c r="C122" i="2561"/>
  <c r="C106" i="2561"/>
  <c r="C17" i="2561"/>
  <c r="C112" i="2561"/>
  <c r="C64" i="2561"/>
  <c r="C48" i="2561"/>
  <c r="C32" i="2561"/>
  <c r="C16" i="2561"/>
  <c r="C230" i="2561"/>
  <c r="C127" i="2561"/>
  <c r="C85" i="2561"/>
  <c r="C141" i="2561"/>
  <c r="C223" i="2561"/>
  <c r="C12" i="2561"/>
  <c r="C118" i="2561"/>
  <c r="C115" i="2561"/>
  <c r="C182" i="2561"/>
  <c r="C143" i="2561"/>
  <c r="C130" i="2561"/>
  <c r="C169" i="2561"/>
  <c r="C161" i="2561"/>
  <c r="C137" i="2561"/>
  <c r="C121" i="2561"/>
  <c r="C97" i="2561"/>
  <c r="C73" i="2561"/>
  <c r="C41" i="2561"/>
  <c r="C104" i="2561"/>
  <c r="C207" i="2561"/>
  <c r="C133" i="2561"/>
  <c r="C68" i="2561"/>
  <c r="C109" i="2561"/>
  <c r="C99" i="2561"/>
  <c r="C147" i="2561"/>
  <c r="C128" i="2561"/>
  <c r="C139" i="2561"/>
  <c r="C142" i="2561"/>
  <c r="C134" i="2561"/>
  <c r="C102" i="2561"/>
  <c r="C86" i="2561"/>
  <c r="C78" i="2561"/>
  <c r="C70" i="2561"/>
  <c r="C46" i="2561"/>
  <c r="C38" i="2561"/>
  <c r="C22" i="2561"/>
  <c r="C14" i="2561"/>
  <c r="C165" i="2561"/>
  <c r="C155" i="2561"/>
  <c r="C145" i="2561"/>
  <c r="C129" i="2561"/>
  <c r="C105" i="2561"/>
  <c r="C89" i="2561"/>
  <c r="C81" i="2561"/>
  <c r="C65" i="2561"/>
  <c r="C57" i="2561"/>
  <c r="C49" i="2561"/>
  <c r="C9" i="2561"/>
  <c r="D9" i="2561" s="1"/>
  <c r="C213" i="2561"/>
  <c r="C205" i="2561"/>
  <c r="C162" i="2561"/>
  <c r="E162" i="2561" s="1"/>
  <c r="C172" i="2561"/>
  <c r="C80" i="2561"/>
  <c r="C40" i="2561"/>
  <c r="C264" i="2561"/>
  <c r="C56" i="2561"/>
  <c r="C163" i="2561"/>
  <c r="C29" i="2561"/>
  <c r="F41" i="2561" s="1"/>
  <c r="C21" i="2561"/>
  <c r="C204" i="2561"/>
  <c r="C117" i="2561"/>
  <c r="C96" i="2561"/>
  <c r="C144" i="2561"/>
  <c r="C175" i="2561"/>
  <c r="C125" i="2561"/>
  <c r="C183" i="2561"/>
  <c r="C77" i="2561"/>
  <c r="C69" i="2561"/>
  <c r="C53" i="2561"/>
  <c r="C13" i="2561"/>
  <c r="G124" i="2819"/>
  <c r="C58" i="2819"/>
  <c r="F124" i="2819"/>
  <c r="F41" i="2819"/>
  <c r="D121" i="2819"/>
  <c r="C142" i="2819"/>
  <c r="E57" i="2819"/>
  <c r="D152" i="2819"/>
  <c r="D38" i="2819"/>
  <c r="E135" i="2819"/>
  <c r="E140" i="2819"/>
  <c r="G144" i="2819"/>
  <c r="F101" i="2819"/>
  <c r="C147" i="2819"/>
  <c r="G112" i="2819"/>
  <c r="C105" i="2819"/>
  <c r="C104" i="2819"/>
  <c r="E114" i="2819"/>
  <c r="G37" i="2819"/>
  <c r="C61" i="2819"/>
  <c r="E47" i="2819"/>
  <c r="C96" i="2819"/>
  <c r="D144" i="2819"/>
  <c r="G135" i="2819"/>
  <c r="D127" i="2819"/>
  <c r="G119" i="2819"/>
  <c r="D103" i="2819"/>
  <c r="C95" i="2819"/>
  <c r="G87" i="2819"/>
  <c r="F77" i="2819"/>
  <c r="E61" i="2819"/>
  <c r="D45" i="2819"/>
  <c r="G36" i="2819"/>
  <c r="F28" i="2819"/>
  <c r="F42" i="2819"/>
  <c r="C80" i="2819"/>
  <c r="D30" i="2819"/>
  <c r="C18" i="2819"/>
  <c r="E120" i="2819"/>
  <c r="D40" i="2819"/>
  <c r="C29" i="2819"/>
  <c r="D145" i="2819"/>
  <c r="E131" i="2819"/>
  <c r="E40" i="2819"/>
  <c r="C144" i="2819"/>
  <c r="C91" i="2819"/>
  <c r="C54" i="2819"/>
  <c r="F154" i="2819"/>
  <c r="F126" i="2819"/>
  <c r="G118" i="2819"/>
  <c r="E86" i="2819"/>
  <c r="F88" i="2819"/>
  <c r="G68" i="2819"/>
  <c r="G60" i="2819"/>
  <c r="G35" i="2819"/>
  <c r="E19" i="2819"/>
  <c r="F63" i="2819"/>
  <c r="E144" i="2819"/>
  <c r="G86" i="2819"/>
  <c r="G94" i="2819"/>
  <c r="D84" i="2819"/>
  <c r="E139" i="2819"/>
  <c r="D71" i="2819"/>
  <c r="D137" i="2819"/>
  <c r="E54" i="2819"/>
  <c r="G78" i="2819"/>
  <c r="G64" i="2819"/>
  <c r="C99" i="2819"/>
  <c r="C138" i="2819"/>
  <c r="F130" i="2819"/>
  <c r="D122" i="2819"/>
  <c r="C114" i="2819"/>
  <c r="F98" i="2819"/>
  <c r="F102" i="2819"/>
  <c r="F94" i="2819"/>
  <c r="G72" i="2819"/>
  <c r="E64" i="2819"/>
  <c r="E56" i="2819"/>
  <c r="D48" i="2819"/>
  <c r="G63" i="2819"/>
  <c r="F35" i="2819"/>
  <c r="F27" i="2819"/>
  <c r="D153" i="2819"/>
  <c r="F54" i="2819"/>
  <c r="G91" i="2819"/>
  <c r="G140" i="2819"/>
  <c r="F33" i="2819"/>
  <c r="C33" i="2819"/>
  <c r="F55" i="2819"/>
  <c r="F116" i="2819"/>
  <c r="G123" i="2819"/>
  <c r="C194" i="2819"/>
  <c r="C195" i="2819"/>
  <c r="D63" i="2819"/>
  <c r="C39" i="2819"/>
  <c r="G57" i="2819"/>
  <c r="C154" i="2819"/>
  <c r="F135" i="2819"/>
  <c r="E119" i="2819"/>
  <c r="F120" i="2819"/>
  <c r="G70" i="2819"/>
  <c r="G136" i="2819"/>
  <c r="G53" i="2819"/>
  <c r="G147" i="2819"/>
  <c r="F121" i="2819"/>
  <c r="C100" i="2819"/>
  <c r="E58" i="2819"/>
  <c r="C129" i="2819"/>
  <c r="C124" i="2819"/>
  <c r="E118" i="2819"/>
  <c r="E44" i="2819"/>
  <c r="C65" i="2819"/>
  <c r="G80" i="2819"/>
  <c r="E142" i="2819"/>
  <c r="E145" i="2819"/>
  <c r="G137" i="2819"/>
  <c r="C113" i="2819"/>
  <c r="D97" i="2819"/>
  <c r="D89" i="2819"/>
  <c r="E81" i="2819"/>
  <c r="F83" i="2819"/>
  <c r="C63" i="2819"/>
  <c r="E55" i="2819"/>
  <c r="D47" i="2819"/>
  <c r="D14" i="2819"/>
  <c r="E69" i="2316"/>
  <c r="F43" i="2316"/>
  <c r="G134" i="2316"/>
  <c r="C54" i="2316"/>
  <c r="E27" i="2316"/>
  <c r="D31" i="2316"/>
  <c r="C117" i="2316"/>
  <c r="F154" i="2316"/>
  <c r="D86" i="2316"/>
  <c r="D26" i="2316"/>
  <c r="C144" i="2316"/>
  <c r="G136" i="2316"/>
  <c r="F128" i="2316"/>
  <c r="D120" i="2316"/>
  <c r="D112" i="2316"/>
  <c r="G104" i="2316"/>
  <c r="F96" i="2316"/>
  <c r="F88" i="2316"/>
  <c r="F80" i="2316"/>
  <c r="F72" i="2316"/>
  <c r="E66" i="2316"/>
  <c r="C56" i="2316"/>
  <c r="E47" i="2316"/>
  <c r="G51" i="2316"/>
  <c r="G125" i="2316"/>
  <c r="F113" i="2316"/>
  <c r="D152" i="2316"/>
  <c r="F54" i="2316"/>
  <c r="E56" i="2316"/>
  <c r="D81" i="2316"/>
  <c r="F134" i="2316"/>
  <c r="E72" i="2316"/>
  <c r="E83" i="2316"/>
  <c r="G117" i="2316"/>
  <c r="G152" i="2316"/>
  <c r="F143" i="2316"/>
  <c r="F149" i="2316"/>
  <c r="D89" i="2316"/>
  <c r="G85" i="2316"/>
  <c r="G120" i="2316"/>
  <c r="D102" i="2316"/>
  <c r="G109" i="2316"/>
  <c r="E45" i="2316"/>
  <c r="F114" i="2316"/>
  <c r="D148" i="2316"/>
  <c r="G139" i="2316"/>
  <c r="G131" i="2316"/>
  <c r="F123" i="2316"/>
  <c r="G115" i="2316"/>
  <c r="G107" i="2316"/>
  <c r="G99" i="2316"/>
  <c r="D83" i="2316"/>
  <c r="F87" i="2316"/>
  <c r="E67" i="2316"/>
  <c r="F59" i="2316"/>
  <c r="F63" i="2316"/>
  <c r="F53" i="2316"/>
  <c r="C150" i="2316"/>
  <c r="E64" i="2316"/>
  <c r="G77" i="2316"/>
  <c r="F44" i="2316"/>
  <c r="G141" i="2316"/>
  <c r="D45" i="2316"/>
  <c r="D129" i="2316"/>
  <c r="D149" i="2316"/>
  <c r="G45" i="2316"/>
  <c r="G64" i="2316"/>
  <c r="F140" i="2316"/>
  <c r="D143" i="2316"/>
  <c r="G133" i="2316"/>
  <c r="C138" i="2316"/>
  <c r="E19" i="2316"/>
  <c r="E42" i="2316"/>
  <c r="D134" i="2316"/>
  <c r="G126" i="2316"/>
  <c r="G118" i="2316"/>
  <c r="C19" i="2316"/>
  <c r="D46" i="2316"/>
  <c r="D32" i="2316"/>
  <c r="F138" i="2316"/>
  <c r="F62" i="2316"/>
  <c r="E21" i="2316"/>
  <c r="D27" i="2316"/>
  <c r="D126" i="2316"/>
  <c r="F46" i="2316"/>
  <c r="D125" i="2316"/>
  <c r="G101" i="2316"/>
  <c r="C16" i="2316"/>
  <c r="D78" i="2316"/>
  <c r="G102" i="2316"/>
  <c r="D132" i="2316"/>
  <c r="G124" i="2316"/>
  <c r="D117" i="2316"/>
  <c r="F108" i="2316"/>
  <c r="F100" i="2316"/>
  <c r="F92" i="2316"/>
  <c r="D85" i="2316"/>
  <c r="D77" i="2316"/>
  <c r="D69" i="2316"/>
  <c r="D61" i="2316"/>
  <c r="E53" i="2316"/>
  <c r="E43" i="2316"/>
  <c r="E75" i="2316"/>
  <c r="D110" i="2316"/>
  <c r="F73" i="2316"/>
  <c r="F153" i="2316"/>
  <c r="G53" i="2316"/>
  <c r="D94" i="2316"/>
  <c r="G148" i="2316"/>
  <c r="G50" i="2316"/>
  <c r="G71" i="2316"/>
  <c r="E59" i="2316"/>
  <c r="F27" i="2316"/>
  <c r="D137" i="2316"/>
  <c r="C129" i="2316"/>
  <c r="F121" i="2316"/>
  <c r="G113" i="2316"/>
  <c r="F105" i="2316"/>
  <c r="D97" i="2316"/>
  <c r="F101" i="2316"/>
  <c r="F81" i="2316"/>
  <c r="C65" i="2316"/>
  <c r="D57" i="2316"/>
  <c r="D48" i="2316"/>
  <c r="G41" i="2316"/>
  <c r="C148" i="2316"/>
  <c r="C195" i="2316"/>
  <c r="E44" i="2316"/>
  <c r="F224" i="32"/>
  <c r="C107" i="32"/>
  <c r="F96" i="32"/>
  <c r="F67" i="32"/>
  <c r="D99" i="32"/>
  <c r="F174" i="32"/>
  <c r="E191" i="32"/>
  <c r="E219" i="32"/>
  <c r="E129" i="32"/>
  <c r="C322" i="32" s="1"/>
  <c r="E153" i="32"/>
  <c r="C63" i="32"/>
  <c r="C85" i="32"/>
  <c r="C93" i="32"/>
  <c r="D55" i="32"/>
  <c r="C104" i="32"/>
  <c r="C114" i="32"/>
  <c r="C26" i="32"/>
  <c r="D39" i="32"/>
  <c r="D114" i="32"/>
  <c r="F74" i="32"/>
  <c r="G178" i="32"/>
  <c r="G107" i="32"/>
  <c r="E189" i="32"/>
  <c r="D142" i="32"/>
  <c r="D107" i="32"/>
  <c r="D22" i="32"/>
  <c r="G187" i="32"/>
  <c r="F22" i="32"/>
  <c r="D224" i="32"/>
  <c r="D174" i="32"/>
  <c r="F60" i="32"/>
  <c r="G124" i="32"/>
  <c r="E204" i="32"/>
  <c r="E188" i="32"/>
  <c r="C83" i="32"/>
  <c r="C50" i="32"/>
  <c r="C34" i="32"/>
  <c r="F181" i="32"/>
  <c r="F146" i="32"/>
  <c r="C69" i="32"/>
  <c r="C30" i="32"/>
  <c r="C55" i="32"/>
  <c r="F110" i="32"/>
  <c r="G54" i="32"/>
  <c r="C76" i="32"/>
  <c r="C54" i="32"/>
  <c r="C124" i="32"/>
  <c r="C38" i="32"/>
  <c r="D47" i="32"/>
  <c r="D86" i="32"/>
  <c r="C15" i="32"/>
  <c r="D166" i="32"/>
  <c r="D79" i="32"/>
  <c r="E86" i="32"/>
  <c r="E106" i="32"/>
  <c r="F69" i="32"/>
  <c r="C49" i="32"/>
  <c r="G41" i="32"/>
  <c r="D34" i="32"/>
  <c r="D25" i="32"/>
  <c r="D17" i="32"/>
  <c r="D9" i="32"/>
  <c r="C108" i="32"/>
  <c r="C36" i="32"/>
  <c r="E197" i="32"/>
  <c r="F185" i="32"/>
  <c r="G172" i="32"/>
  <c r="D155" i="32"/>
  <c r="C67" i="32"/>
  <c r="G59" i="32"/>
  <c r="F47" i="32"/>
  <c r="G197" i="32"/>
  <c r="F180" i="32"/>
  <c r="D116" i="32"/>
  <c r="E92" i="32"/>
  <c r="E90" i="32"/>
  <c r="F58" i="32"/>
  <c r="E141" i="32"/>
  <c r="F203" i="32"/>
  <c r="F48" i="32"/>
  <c r="C118" i="32"/>
  <c r="C25" i="32"/>
  <c r="C31" i="32"/>
  <c r="D146" i="32"/>
  <c r="C99" i="32"/>
  <c r="D10" i="32"/>
  <c r="D195" i="32"/>
  <c r="C109" i="32"/>
  <c r="C14" i="32"/>
  <c r="D31" i="32"/>
  <c r="C95" i="32"/>
  <c r="G170" i="32"/>
  <c r="G205" i="32"/>
  <c r="E142" i="32"/>
  <c r="F165" i="32"/>
  <c r="G122" i="32"/>
  <c r="E140" i="32"/>
  <c r="C112" i="32"/>
  <c r="G104" i="32"/>
  <c r="G88" i="32"/>
  <c r="C80" i="32"/>
  <c r="F72" i="32"/>
  <c r="C64" i="32"/>
  <c r="C48" i="32"/>
  <c r="C24" i="32"/>
  <c r="D222" i="32"/>
  <c r="F213" i="32"/>
  <c r="E20" i="32"/>
  <c r="G203" i="32"/>
  <c r="C46" i="32"/>
  <c r="C91" i="32"/>
  <c r="C62" i="32"/>
  <c r="G164" i="32"/>
  <c r="C78" i="32"/>
  <c r="C57" i="32"/>
  <c r="F219" i="32"/>
  <c r="C128" i="32"/>
  <c r="C90" i="32"/>
  <c r="F95" i="32"/>
  <c r="F55" i="32"/>
  <c r="E157" i="32"/>
  <c r="G86" i="32"/>
  <c r="G166" i="32"/>
  <c r="E215" i="32"/>
  <c r="D78" i="32"/>
  <c r="E181" i="32"/>
  <c r="G173" i="32"/>
  <c r="D200" i="32"/>
  <c r="E192" i="32"/>
  <c r="E168" i="32"/>
  <c r="D160" i="32"/>
  <c r="F119" i="32"/>
  <c r="F111" i="32"/>
  <c r="E103" i="32"/>
  <c r="E95" i="32"/>
  <c r="F99" i="32"/>
  <c r="G79" i="32"/>
  <c r="E91" i="1024"/>
  <c r="E42" i="1024"/>
  <c r="E59" i="1024"/>
  <c r="F21" i="1024"/>
  <c r="E135" i="1024"/>
  <c r="E35" i="1024"/>
  <c r="E10" i="1024"/>
  <c r="G68" i="1024"/>
  <c r="E154" i="1024"/>
  <c r="F58" i="1024"/>
  <c r="H82" i="1024"/>
  <c r="E22" i="1024"/>
  <c r="E43" i="1024"/>
  <c r="E65" i="1024"/>
  <c r="G152" i="1024"/>
  <c r="G144" i="1024"/>
  <c r="F87" i="1024"/>
  <c r="G27" i="1024"/>
  <c r="C195" i="1024"/>
  <c r="F161" i="1024"/>
  <c r="E39" i="1024"/>
  <c r="E144" i="1024"/>
  <c r="E89" i="1024"/>
  <c r="G155" i="1024"/>
  <c r="E93" i="1024"/>
  <c r="F26" i="1024"/>
  <c r="E9" i="1024"/>
  <c r="G34" i="1024"/>
  <c r="H84" i="1024"/>
  <c r="G89" i="1024"/>
  <c r="C68" i="1024"/>
  <c r="D68" i="1024" s="1"/>
  <c r="G42" i="1024"/>
  <c r="G161" i="1024"/>
  <c r="G62" i="1024"/>
  <c r="G153" i="1024"/>
  <c r="F19" i="1024"/>
  <c r="G21" i="1024"/>
  <c r="E62" i="1024"/>
  <c r="E81" i="1024"/>
  <c r="G83" i="1024"/>
  <c r="C167" i="1024"/>
  <c r="D167" i="1024" s="1"/>
  <c r="F139" i="1024"/>
  <c r="E75" i="1024"/>
  <c r="C62" i="1024"/>
  <c r="D62" i="1024" s="1"/>
  <c r="F34" i="1024"/>
  <c r="F149" i="1024"/>
  <c r="F164" i="1024"/>
  <c r="H58" i="1024"/>
  <c r="H161" i="1024"/>
  <c r="H50" i="1024"/>
  <c r="H69" i="1024"/>
  <c r="E56" i="1024"/>
  <c r="E90" i="1024"/>
  <c r="H75" i="9216"/>
  <c r="C48" i="9216"/>
  <c r="D48" i="9216" s="1"/>
  <c r="H189" i="9216"/>
  <c r="C42" i="9216"/>
  <c r="D42" i="9216" s="1"/>
  <c r="G150" i="9216"/>
  <c r="C133" i="9216"/>
  <c r="D133" i="9216" s="1"/>
  <c r="F52" i="9216"/>
  <c r="C156" i="9216"/>
  <c r="D156" i="9216" s="1"/>
  <c r="C69" i="9216"/>
  <c r="D69" i="9216" s="1"/>
  <c r="G27" i="9216"/>
  <c r="C80" i="9216"/>
  <c r="D80" i="9216" s="1"/>
  <c r="H77" i="9216"/>
  <c r="H85" i="9216"/>
  <c r="F42" i="9216"/>
  <c r="G67" i="9216"/>
  <c r="C37" i="9216"/>
  <c r="D37" i="9216" s="1"/>
  <c r="E46" i="9216"/>
  <c r="C56" i="9216"/>
  <c r="D56" i="9216" s="1"/>
  <c r="G20" i="9216"/>
  <c r="H38" i="9216"/>
  <c r="C36" i="9216"/>
  <c r="D36" i="9216" s="1"/>
  <c r="C151" i="9216"/>
  <c r="D151" i="9216" s="1"/>
  <c r="E83" i="9216"/>
  <c r="F154" i="9216"/>
  <c r="E145" i="9216"/>
  <c r="E72" i="9216"/>
  <c r="F69" i="9216"/>
  <c r="F54" i="9216"/>
  <c r="E14" i="9216"/>
  <c r="H162" i="9216"/>
  <c r="H170" i="9216"/>
  <c r="F50" i="9216"/>
  <c r="E26" i="9216"/>
  <c r="E17" i="9216"/>
  <c r="E138" i="9216"/>
  <c r="H74" i="9216"/>
  <c r="H39" i="9216"/>
  <c r="H89" i="9216"/>
  <c r="E27" i="9216"/>
  <c r="E20" i="9216"/>
  <c r="C44" i="9216"/>
  <c r="D44" i="9216" s="1"/>
  <c r="H49" i="9216"/>
  <c r="C70" i="9216"/>
  <c r="D70" i="9216" s="1"/>
  <c r="C60" i="9216"/>
  <c r="D60" i="9216" s="1"/>
  <c r="C66" i="9216"/>
  <c r="D66" i="9216" s="1"/>
  <c r="H105" i="9216"/>
  <c r="E152" i="9216"/>
  <c r="H70" i="9216"/>
  <c r="H93" i="9216"/>
  <c r="G46" i="9216"/>
  <c r="C62" i="9216"/>
  <c r="D62" i="9216" s="1"/>
  <c r="C175" i="9216"/>
  <c r="D175" i="9216" s="1"/>
  <c r="E144" i="9216"/>
  <c r="G81" i="9216"/>
  <c r="E71" i="9216"/>
  <c r="C86" i="9216"/>
  <c r="D86" i="9216" s="1"/>
  <c r="G69" i="9216"/>
  <c r="E34" i="9216"/>
  <c r="E33" i="9216"/>
  <c r="H130" i="9216"/>
  <c r="E47" i="9216"/>
  <c r="G44" i="9216"/>
  <c r="F22" i="9216"/>
  <c r="G56" i="9216"/>
  <c r="G165" i="9216"/>
  <c r="E56" i="9216"/>
  <c r="C195" i="9216"/>
  <c r="C89" i="9216"/>
  <c r="D89" i="9216" s="1"/>
  <c r="F73" i="9216"/>
  <c r="E153" i="9216"/>
  <c r="F43" i="9216"/>
  <c r="F91" i="9216"/>
  <c r="C76" i="9216"/>
  <c r="D76" i="9216" s="1"/>
  <c r="E151" i="9216"/>
  <c r="F66" i="9216"/>
  <c r="E39" i="9216"/>
  <c r="H69" i="9216"/>
  <c r="C46" i="9216"/>
  <c r="D46" i="9216" s="1"/>
  <c r="C35" i="9216"/>
  <c r="D35" i="9216" s="1"/>
  <c r="E36" i="20994"/>
  <c r="F211" i="20994"/>
  <c r="E114" i="20994"/>
  <c r="H107" i="20994"/>
  <c r="F83" i="20994"/>
  <c r="H157" i="20994"/>
  <c r="H92" i="20994"/>
  <c r="F114" i="20994"/>
  <c r="F142" i="20994"/>
  <c r="H76" i="20994"/>
  <c r="F133" i="20994"/>
  <c r="F48" i="20994"/>
  <c r="H131" i="20994"/>
  <c r="H164" i="20994"/>
  <c r="G69" i="20994"/>
  <c r="E46" i="20994"/>
  <c r="F31" i="20994"/>
  <c r="F35" i="20994"/>
  <c r="E113" i="20994"/>
  <c r="G32" i="20994"/>
  <c r="F106" i="20994"/>
  <c r="E92" i="20994"/>
  <c r="G239" i="20994"/>
  <c r="H115" i="20994"/>
  <c r="F159" i="20994"/>
  <c r="E201" i="20994"/>
  <c r="H229" i="20994"/>
  <c r="E217" i="20994"/>
  <c r="H117" i="20994"/>
  <c r="C91" i="20994"/>
  <c r="D91" i="20994" s="1"/>
  <c r="H106" i="20994"/>
  <c r="F221" i="20994"/>
  <c r="E142" i="20994"/>
  <c r="H122" i="20994"/>
  <c r="E134" i="20994"/>
  <c r="C212" i="20994"/>
  <c r="D212" i="20994" s="1"/>
  <c r="F171" i="20994"/>
  <c r="C264" i="20994"/>
  <c r="F59" i="20994"/>
  <c r="E60" i="20994"/>
  <c r="G45" i="20994"/>
  <c r="E45" i="20994"/>
  <c r="H75" i="20994"/>
  <c r="F151" i="20994"/>
  <c r="F138" i="20994"/>
  <c r="H100" i="20994"/>
  <c r="E202" i="20994"/>
  <c r="E99" i="20994"/>
  <c r="G169" i="20994"/>
  <c r="F139" i="20994"/>
  <c r="E141" i="20994"/>
  <c r="E152" i="20994"/>
  <c r="F244" i="20994"/>
  <c r="E51" i="20994"/>
  <c r="F120" i="20994"/>
  <c r="E53" i="20994"/>
  <c r="F111" i="20994"/>
  <c r="G87" i="20994"/>
  <c r="G71" i="20994"/>
  <c r="E107" i="20994"/>
  <c r="C244" i="20994"/>
  <c r="D244" i="20994" s="1"/>
  <c r="E68" i="20994"/>
  <c r="C222" i="20994"/>
  <c r="D222" i="20994" s="1"/>
  <c r="E83" i="20994"/>
  <c r="G134" i="20994"/>
  <c r="G83" i="20994"/>
  <c r="H167" i="20994"/>
  <c r="E139" i="20994"/>
  <c r="F34" i="20994"/>
  <c r="E203" i="20994"/>
  <c r="H170" i="20994"/>
  <c r="G146" i="20994"/>
  <c r="F90" i="20994"/>
  <c r="H146" i="20994"/>
  <c r="F101" i="20994"/>
  <c r="H244" i="20994"/>
  <c r="F50" i="20994"/>
  <c r="E121" i="20994"/>
  <c r="C85" i="20994"/>
  <c r="D85" i="20994" s="1"/>
  <c r="G97" i="20994"/>
  <c r="G123" i="20994"/>
  <c r="H169" i="20994"/>
  <c r="F141" i="20994"/>
  <c r="H36" i="20994"/>
  <c r="E219" i="20994"/>
  <c r="G107" i="20994"/>
  <c r="E94" i="20994"/>
  <c r="E50" i="20994"/>
  <c r="F38" i="20994"/>
  <c r="G126" i="20994"/>
  <c r="F127" i="20994"/>
  <c r="E245" i="20994"/>
  <c r="F226" i="20994"/>
  <c r="E91" i="20994"/>
  <c r="E244" i="20994"/>
  <c r="G99" i="20994"/>
  <c r="E76" i="20994"/>
  <c r="C175" i="20994"/>
  <c r="D175" i="20994" s="1"/>
  <c r="H77" i="20994"/>
  <c r="H54" i="20994"/>
  <c r="H175" i="20994"/>
  <c r="G219" i="20994"/>
  <c r="G59" i="20994"/>
  <c r="G211" i="20994"/>
  <c r="H83" i="20994"/>
  <c r="F36" i="20994"/>
  <c r="G48" i="20994"/>
  <c r="H37" i="20994"/>
  <c r="E27" i="20994"/>
  <c r="C57" i="20994"/>
  <c r="D57" i="20994" s="1"/>
  <c r="H227" i="20994"/>
  <c r="E78" i="20994"/>
  <c r="F99" i="20994"/>
  <c r="G111" i="20994"/>
  <c r="H58" i="20994"/>
  <c r="H149" i="20994"/>
  <c r="F82" i="20994"/>
  <c r="H108" i="20994"/>
  <c r="G129" i="20994"/>
  <c r="F134" i="20994"/>
  <c r="G67" i="20994"/>
  <c r="G75" i="20994"/>
  <c r="H166" i="20994"/>
  <c r="G95" i="20994"/>
  <c r="G121" i="20994"/>
  <c r="F116" i="20994"/>
  <c r="F126" i="20994"/>
  <c r="D93" i="768"/>
  <c r="D85" i="768"/>
  <c r="F76" i="768"/>
  <c r="G68" i="768"/>
  <c r="F60" i="768"/>
  <c r="F53" i="768"/>
  <c r="E45" i="768"/>
  <c r="C37" i="768"/>
  <c r="D30" i="768"/>
  <c r="F21" i="768"/>
  <c r="E23" i="768"/>
  <c r="F26" i="768"/>
  <c r="E89" i="768"/>
  <c r="C91" i="768"/>
  <c r="G99" i="768"/>
  <c r="E67" i="768"/>
  <c r="C52" i="768"/>
  <c r="D44" i="768"/>
  <c r="C36" i="768"/>
  <c r="E28" i="768"/>
  <c r="C20" i="768"/>
  <c r="F24" i="768"/>
  <c r="F64" i="768"/>
  <c r="G49" i="768"/>
  <c r="C89" i="768"/>
  <c r="G50" i="768"/>
  <c r="F54" i="768"/>
  <c r="C34" i="768"/>
  <c r="G89" i="768"/>
  <c r="F42" i="768"/>
  <c r="F97" i="768"/>
  <c r="D90" i="768"/>
  <c r="F94" i="768"/>
  <c r="C74" i="768"/>
  <c r="D66" i="768"/>
  <c r="C58" i="768"/>
  <c r="G51" i="768"/>
  <c r="G43" i="768"/>
  <c r="D35" i="768"/>
  <c r="D19" i="768"/>
  <c r="C11" i="768"/>
  <c r="D101" i="768"/>
  <c r="C18" i="768"/>
  <c r="C10" i="768"/>
  <c r="G100" i="768"/>
  <c r="G65" i="768"/>
  <c r="F50" i="768"/>
  <c r="C96" i="768"/>
  <c r="E32" i="768"/>
  <c r="C9" i="768"/>
  <c r="D26" i="768"/>
  <c r="D20" i="768"/>
  <c r="C75" i="768"/>
  <c r="F34" i="768"/>
  <c r="F22" i="768"/>
  <c r="F46" i="768"/>
  <c r="G42" i="768"/>
  <c r="D87" i="768"/>
  <c r="E79" i="768"/>
  <c r="C144" i="768"/>
  <c r="G103" i="768"/>
  <c r="G58" i="768"/>
  <c r="E100" i="768"/>
  <c r="G41" i="768"/>
  <c r="E78" i="768"/>
  <c r="C42" i="768"/>
  <c r="E34" i="768"/>
  <c r="C83" i="768"/>
  <c r="E97" i="768"/>
  <c r="F58" i="768"/>
  <c r="E106" i="768"/>
  <c r="E101" i="768"/>
  <c r="C94" i="768"/>
  <c r="G78" i="768"/>
  <c r="F70" i="768"/>
  <c r="D99" i="768"/>
  <c r="E50" i="768"/>
  <c r="C88" i="768"/>
  <c r="E80" i="768"/>
  <c r="E64" i="768"/>
  <c r="C57" i="768"/>
  <c r="D34" i="768"/>
  <c r="D17" i="768"/>
  <c r="G34" i="768"/>
  <c r="E65" i="768"/>
  <c r="C50" i="768"/>
  <c r="F77" i="768"/>
  <c r="D83" i="768"/>
  <c r="F89" i="768"/>
  <c r="F93" i="768"/>
  <c r="D15" i="768"/>
  <c r="E98" i="768"/>
  <c r="C46" i="10285"/>
  <c r="F76" i="10285"/>
  <c r="C48" i="10285"/>
  <c r="C40" i="10285"/>
  <c r="D32" i="10285"/>
  <c r="E24" i="10285"/>
  <c r="C144" i="10285"/>
  <c r="E83" i="10285"/>
  <c r="G93" i="10285"/>
  <c r="F34" i="10285"/>
  <c r="G36" i="10285"/>
  <c r="D24" i="10285"/>
  <c r="F56" i="10285"/>
  <c r="C65" i="10285"/>
  <c r="G92" i="10285"/>
  <c r="D77" i="10285"/>
  <c r="D71" i="10285"/>
  <c r="F63" i="10285"/>
  <c r="F23" i="10285"/>
  <c r="G40" i="10285"/>
  <c r="D84" i="10285"/>
  <c r="C69" i="10285"/>
  <c r="D31" i="10285"/>
  <c r="D103" i="10285"/>
  <c r="F74" i="10285"/>
  <c r="F32" i="10285"/>
  <c r="C95" i="10285"/>
  <c r="F96" i="10285"/>
  <c r="F89" i="10285"/>
  <c r="D81" i="10285"/>
  <c r="D74" i="10285"/>
  <c r="C66" i="10285"/>
  <c r="D27" i="10285"/>
  <c r="F38" i="10285"/>
  <c r="F99" i="10285"/>
  <c r="C27" i="10285"/>
  <c r="D57" i="10285"/>
  <c r="C51" i="10285"/>
  <c r="E100" i="10285"/>
  <c r="G75" i="10285"/>
  <c r="D44" i="10285"/>
  <c r="F95" i="10285"/>
  <c r="C49" i="10285"/>
  <c r="D87" i="10285"/>
  <c r="G95" i="10285"/>
  <c r="F88" i="10285"/>
  <c r="E50" i="10285"/>
  <c r="D20" i="10285"/>
  <c r="F77" i="10285"/>
  <c r="D22" i="10285"/>
  <c r="F58" i="10285"/>
  <c r="D16" i="10285"/>
  <c r="C76" i="10285"/>
  <c r="C68" i="10285"/>
  <c r="E61" i="10285"/>
  <c r="D53" i="10285"/>
  <c r="E45" i="10285"/>
  <c r="D37" i="10285"/>
  <c r="D14" i="10285"/>
  <c r="F83" i="10285"/>
  <c r="D90" i="10285"/>
  <c r="G82" i="10285"/>
  <c r="F79" i="10285"/>
  <c r="D60" i="10285"/>
  <c r="E52" i="10285"/>
  <c r="F62" i="10285"/>
  <c r="E43" i="10285"/>
  <c r="E73" i="10285"/>
  <c r="C101" i="10285"/>
  <c r="D78" i="10285"/>
  <c r="F30" i="10285"/>
  <c r="E14" i="10285"/>
  <c r="C13" i="10285"/>
  <c r="C39" i="10285"/>
  <c r="E34" i="10285"/>
  <c r="C18" i="10285"/>
  <c r="F21" i="10285"/>
  <c r="C213" i="4888"/>
  <c r="E189" i="4888"/>
  <c r="D181" i="4888"/>
  <c r="C109" i="4888"/>
  <c r="D101" i="4888"/>
  <c r="C94" i="4888"/>
  <c r="D86" i="4888"/>
  <c r="G78" i="4888"/>
  <c r="G70" i="4888"/>
  <c r="C62" i="4888"/>
  <c r="D54" i="4888"/>
  <c r="D46" i="4888"/>
  <c r="G39" i="4888"/>
  <c r="D31" i="4888"/>
  <c r="F23" i="4888"/>
  <c r="D16" i="4888"/>
  <c r="E220" i="4888"/>
  <c r="D79" i="4888"/>
  <c r="F62" i="4888"/>
  <c r="D131" i="4888"/>
  <c r="C139" i="4888"/>
  <c r="C122" i="4888"/>
  <c r="D197" i="4888"/>
  <c r="F139" i="4888"/>
  <c r="D78" i="4888"/>
  <c r="D155" i="4888"/>
  <c r="G63" i="4888"/>
  <c r="E185" i="4888"/>
  <c r="G54" i="4888"/>
  <c r="C86" i="4888"/>
  <c r="G210" i="4888"/>
  <c r="C178" i="4888"/>
  <c r="C204" i="4888"/>
  <c r="E196" i="4888"/>
  <c r="G180" i="4888"/>
  <c r="G172" i="4888"/>
  <c r="D164" i="4888"/>
  <c r="C156" i="4888"/>
  <c r="F148" i="4888"/>
  <c r="D141" i="4888"/>
  <c r="D132" i="4888"/>
  <c r="E124" i="4888"/>
  <c r="E116" i="4888"/>
  <c r="C221" i="4888"/>
  <c r="C197" i="4888"/>
  <c r="C101" i="4888"/>
  <c r="G53" i="4888"/>
  <c r="E86" i="4888"/>
  <c r="D94" i="4888"/>
  <c r="F54" i="4888"/>
  <c r="D124" i="4888"/>
  <c r="D70" i="4888"/>
  <c r="G163" i="4888"/>
  <c r="E78" i="4888"/>
  <c r="F130" i="4888"/>
  <c r="G55" i="4888"/>
  <c r="G186" i="4888"/>
  <c r="G178" i="4888"/>
  <c r="F97" i="4888"/>
  <c r="D40" i="4888"/>
  <c r="E214" i="4888"/>
  <c r="C108" i="4888"/>
  <c r="C148" i="4888"/>
  <c r="E88" i="4888"/>
  <c r="D186" i="4888"/>
  <c r="C116" i="4888"/>
  <c r="C195" i="4888"/>
  <c r="G187" i="4888"/>
  <c r="E115" i="4888"/>
  <c r="G84" i="4888"/>
  <c r="G170" i="4888"/>
  <c r="F114" i="4888"/>
  <c r="F106" i="4888"/>
  <c r="C91" i="4888"/>
  <c r="D75" i="4888"/>
  <c r="E59" i="4888"/>
  <c r="F28" i="4888"/>
  <c r="D13" i="4888"/>
  <c r="G162" i="4888"/>
  <c r="G194" i="4888"/>
  <c r="D179" i="4888"/>
  <c r="C15" i="4888"/>
  <c r="F189" i="4888"/>
  <c r="G161" i="4888"/>
  <c r="E148" i="4888"/>
  <c r="F141" i="4888"/>
  <c r="C113" i="4888"/>
  <c r="F90" i="4888"/>
  <c r="D58" i="4888"/>
  <c r="D43" i="4888"/>
  <c r="E35" i="4888"/>
  <c r="C222" i="4888"/>
  <c r="D163" i="4888"/>
  <c r="E92" i="4888"/>
  <c r="D222" i="4888"/>
  <c r="E101" i="4888"/>
  <c r="C93" i="4888"/>
  <c r="E146" i="4888"/>
  <c r="E118" i="4888"/>
  <c r="C146" i="4888"/>
  <c r="C69" i="4888"/>
  <c r="D210" i="4888"/>
  <c r="D35" i="4888"/>
  <c r="F61" i="4888"/>
  <c r="E43" i="4888"/>
  <c r="G124" i="4888"/>
  <c r="E85" i="4888"/>
  <c r="F162" i="4888"/>
  <c r="C180" i="4888"/>
  <c r="D201" i="4888"/>
  <c r="F30" i="4888"/>
  <c r="D187" i="4888"/>
  <c r="D109" i="4888"/>
  <c r="E217" i="4888"/>
  <c r="E205" i="4888"/>
  <c r="F22" i="4888"/>
  <c r="C165" i="4888"/>
  <c r="E216" i="4888"/>
  <c r="C208" i="4888"/>
  <c r="D192" i="4888"/>
  <c r="C184" i="4888"/>
  <c r="F188" i="4888"/>
  <c r="F168" i="4888"/>
  <c r="C160" i="4888"/>
  <c r="F152" i="4888"/>
  <c r="D146" i="4888"/>
  <c r="C136" i="4888"/>
  <c r="C128" i="4888"/>
  <c r="G83" i="4888"/>
  <c r="C67" i="4888"/>
  <c r="D51" i="4888"/>
  <c r="G60" i="4888"/>
  <c r="E20" i="4888"/>
  <c r="F113" i="4888"/>
  <c r="F94" i="4888"/>
  <c r="E193" i="4888"/>
  <c r="G109" i="4888"/>
  <c r="F209" i="4888"/>
  <c r="E201" i="4888"/>
  <c r="E171" i="4888"/>
  <c r="G137" i="4888"/>
  <c r="D122" i="4888"/>
  <c r="F98" i="4888"/>
  <c r="F82" i="4888"/>
  <c r="E66" i="4888"/>
  <c r="E50" i="4888"/>
  <c r="D11" i="4888"/>
  <c r="C164" i="4888"/>
  <c r="C19" i="4888"/>
  <c r="E218" i="4888"/>
  <c r="F222" i="4888"/>
  <c r="D108" i="4888"/>
  <c r="C130" i="4888"/>
  <c r="G113" i="4888"/>
  <c r="D118" i="4888"/>
  <c r="D47" i="4888"/>
  <c r="D140" i="4888"/>
  <c r="F34" i="4888"/>
  <c r="D209" i="4888"/>
  <c r="F182" i="4888"/>
  <c r="D123" i="4888"/>
  <c r="E90" i="4888"/>
  <c r="F205" i="4888"/>
  <c r="D172" i="4888"/>
  <c r="D182" i="4888"/>
  <c r="C124" i="4888"/>
  <c r="G132" i="4888"/>
  <c r="C162" i="4888"/>
  <c r="C53" i="4888"/>
  <c r="E208" i="4888"/>
  <c r="G77" i="4888"/>
  <c r="E71" i="4888"/>
  <c r="E70" i="4888"/>
  <c r="C205" i="4888"/>
  <c r="E64" i="4888"/>
  <c r="C61" i="4888"/>
  <c r="G46" i="4888"/>
  <c r="E207" i="4888"/>
  <c r="G199" i="4888"/>
  <c r="G191" i="4888"/>
  <c r="C111" i="4888"/>
  <c r="F115" i="4888"/>
  <c r="F108" i="4888"/>
  <c r="G112" i="4888"/>
  <c r="F64" i="4888"/>
  <c r="C56" i="4888"/>
  <c r="G48" i="4888"/>
  <c r="C41" i="4888"/>
  <c r="E33" i="4888"/>
  <c r="D25" i="4888"/>
  <c r="D10" i="4888"/>
  <c r="D147" i="4888"/>
  <c r="G139" i="4888"/>
  <c r="E197" i="4888"/>
  <c r="C220" i="4888"/>
  <c r="C105" i="4888"/>
  <c r="C45" i="4888"/>
  <c r="D171" i="4888"/>
  <c r="D218" i="4888"/>
  <c r="E133" i="4888"/>
  <c r="F145" i="4888"/>
  <c r="E194" i="4888"/>
  <c r="G47" i="4888"/>
  <c r="F89" i="4888"/>
  <c r="E69" i="4888"/>
  <c r="E111" i="4888"/>
  <c r="D139" i="4888"/>
  <c r="C209" i="4888"/>
  <c r="G66" i="4888"/>
  <c r="F190" i="4888"/>
  <c r="F178" i="4888"/>
  <c r="F213" i="4888"/>
  <c r="C201" i="4888"/>
  <c r="E82" i="4888"/>
  <c r="D45" i="4888"/>
  <c r="E108" i="4888"/>
  <c r="C141" i="4888"/>
  <c r="D32" i="4888"/>
  <c r="E53" i="4888"/>
  <c r="G102" i="4888"/>
  <c r="G101" i="4888"/>
  <c r="E63" i="4888"/>
  <c r="F100" i="4888"/>
  <c r="F212" i="4888"/>
  <c r="C223" i="4888"/>
  <c r="C23" i="4888"/>
  <c r="C219" i="4888"/>
  <c r="G206" i="4888"/>
  <c r="C198" i="4888"/>
  <c r="F174" i="4888"/>
  <c r="G190" i="4888"/>
  <c r="F158" i="4888"/>
  <c r="C150" i="4888"/>
  <c r="D144" i="4888"/>
  <c r="F146" i="4888"/>
  <c r="F138" i="4888"/>
  <c r="G118" i="4888"/>
  <c r="C95" i="4888"/>
  <c r="C264" i="4888"/>
  <c r="D63" i="25580"/>
  <c r="D75" i="25580"/>
  <c r="F206" i="25580"/>
  <c r="F39" i="25580"/>
  <c r="E171" i="25580"/>
  <c r="F27" i="25580"/>
  <c r="F161" i="25580"/>
  <c r="D71" i="25580"/>
  <c r="E160" i="25580"/>
  <c r="G144" i="25580"/>
  <c r="E80" i="25580"/>
  <c r="E222" i="25580"/>
  <c r="G98" i="25580"/>
  <c r="D70" i="25580"/>
  <c r="F79" i="25580"/>
  <c r="F194" i="25580"/>
  <c r="G39" i="25580"/>
  <c r="D40" i="25580"/>
  <c r="D171" i="25580"/>
  <c r="F139" i="25580"/>
  <c r="F43" i="25580"/>
  <c r="F132" i="25580"/>
  <c r="G156" i="25580"/>
  <c r="D47" i="25580"/>
  <c r="E175" i="25580"/>
  <c r="G103" i="25580"/>
  <c r="D72" i="25580"/>
  <c r="D42" i="25580"/>
  <c r="D195" i="25580"/>
  <c r="E129" i="25580"/>
  <c r="D170" i="25580"/>
  <c r="D23" i="25580"/>
  <c r="F168" i="25580"/>
  <c r="E221" i="25580"/>
  <c r="D16" i="25580"/>
  <c r="G81" i="25580"/>
  <c r="F67" i="25580"/>
  <c r="E217" i="25580"/>
  <c r="E181" i="25580"/>
  <c r="D168" i="25580"/>
  <c r="E55" i="25580"/>
  <c r="G87" i="25580"/>
  <c r="D121" i="25580"/>
  <c r="F63" i="25580"/>
  <c r="D31" i="25580"/>
  <c r="E56" i="25580"/>
  <c r="F149" i="25580"/>
  <c r="G194" i="25580"/>
  <c r="D169" i="25580"/>
  <c r="F85" i="25580"/>
  <c r="F77" i="25580"/>
  <c r="E52" i="25580"/>
  <c r="F175" i="25580"/>
  <c r="G209" i="25580"/>
  <c r="E164" i="25580"/>
  <c r="F80" i="25580"/>
  <c r="F210" i="25580"/>
  <c r="D149" i="25580"/>
  <c r="G62" i="25580"/>
  <c r="F147" i="25580"/>
  <c r="G57" i="25580"/>
  <c r="E120" i="25580"/>
  <c r="D56" i="25580"/>
  <c r="G168" i="25580"/>
  <c r="F35" i="25580"/>
  <c r="G201" i="25580"/>
  <c r="D218" i="25580"/>
  <c r="E174" i="25580"/>
  <c r="E112" i="25580"/>
  <c r="G192" i="25580"/>
  <c r="G94" i="25580"/>
  <c r="D185" i="25580"/>
  <c r="D205" i="25580"/>
  <c r="C138" i="25580"/>
  <c r="D91" i="25580"/>
  <c r="F83" i="25580"/>
  <c r="F87" i="25580"/>
  <c r="D35" i="25580"/>
  <c r="F26" i="25580"/>
  <c r="C187" i="25580"/>
  <c r="F159" i="3"/>
  <c r="E151" i="3"/>
  <c r="G175" i="3"/>
  <c r="G188" i="3"/>
  <c r="H144" i="3"/>
  <c r="D190" i="3"/>
  <c r="F207" i="3"/>
  <c r="H216" i="3"/>
  <c r="G163" i="3"/>
  <c r="G151" i="3"/>
  <c r="E35" i="3"/>
  <c r="H110" i="3"/>
  <c r="F139" i="3"/>
  <c r="H167" i="3"/>
  <c r="H194" i="3"/>
  <c r="E246" i="3"/>
  <c r="E26" i="3"/>
  <c r="E217" i="3"/>
  <c r="H153" i="3"/>
  <c r="D77" i="3"/>
  <c r="G144" i="3"/>
  <c r="G118" i="3"/>
  <c r="D22" i="3"/>
  <c r="D219" i="3"/>
  <c r="F77" i="3"/>
  <c r="F128" i="3"/>
  <c r="G141" i="3"/>
  <c r="H137" i="3"/>
  <c r="E148" i="3"/>
  <c r="H178" i="3"/>
  <c r="F104" i="3"/>
  <c r="H118" i="3"/>
  <c r="E10" i="3"/>
  <c r="H165" i="3"/>
  <c r="G134" i="3"/>
  <c r="G74" i="3"/>
  <c r="E55" i="3"/>
  <c r="H219" i="3"/>
  <c r="F210" i="3"/>
  <c r="F39" i="3"/>
  <c r="G132" i="3"/>
  <c r="E96" i="3"/>
  <c r="H46" i="3"/>
  <c r="F156" i="3"/>
  <c r="H43" i="3"/>
  <c r="H68" i="3"/>
  <c r="E152" i="3"/>
  <c r="H184" i="3"/>
  <c r="E19" i="3"/>
  <c r="G196" i="3"/>
  <c r="G156" i="3"/>
  <c r="E129" i="3"/>
  <c r="F129" i="3"/>
  <c r="E144" i="3"/>
  <c r="H223" i="3"/>
  <c r="D194" i="3"/>
  <c r="F157" i="3"/>
  <c r="D126" i="3"/>
  <c r="F152" i="3"/>
  <c r="G226" i="3"/>
  <c r="E143" i="3"/>
  <c r="D211" i="3"/>
  <c r="D203" i="3"/>
  <c r="D83" i="3"/>
  <c r="G73" i="3"/>
  <c r="E54" i="3"/>
  <c r="D44" i="3"/>
  <c r="E29" i="3"/>
  <c r="E11" i="3"/>
  <c r="H222" i="3"/>
  <c r="H256" i="3"/>
  <c r="E264" i="3"/>
  <c r="F255" i="3"/>
  <c r="E195" i="512"/>
  <c r="F264" i="25587"/>
  <c r="E166" i="25588"/>
  <c r="E195" i="25588"/>
  <c r="G195" i="25589"/>
  <c r="E195" i="25590"/>
  <c r="C172" i="8196"/>
  <c r="F195" i="8196"/>
  <c r="D195" i="25589"/>
  <c r="C105" i="10285"/>
  <c r="F195" i="512"/>
  <c r="F160" i="8196"/>
  <c r="C180" i="8196"/>
  <c r="G195" i="25590"/>
  <c r="E195" i="25589"/>
  <c r="F234" i="4888"/>
  <c r="F165" i="512"/>
  <c r="D195" i="8196"/>
  <c r="F195" i="25588"/>
  <c r="E195" i="8196"/>
  <c r="F195" i="25589"/>
  <c r="D264" i="25587"/>
  <c r="G195" i="8196"/>
  <c r="D195" i="25590"/>
  <c r="C174" i="8196"/>
  <c r="E264" i="25587"/>
  <c r="G160" i="25590"/>
  <c r="G195" i="512"/>
  <c r="F194" i="512"/>
  <c r="G264" i="25587"/>
  <c r="F195" i="25590"/>
  <c r="D195" i="25588"/>
  <c r="C124" i="25590"/>
  <c r="C44" i="25590"/>
  <c r="C81" i="25590"/>
  <c r="C95" i="25590"/>
  <c r="C108" i="25590"/>
  <c r="C9" i="25590"/>
  <c r="D15" i="25590"/>
  <c r="D23" i="25590"/>
  <c r="D39" i="25590"/>
  <c r="E45" i="25590"/>
  <c r="C59" i="25590"/>
  <c r="C75" i="25590"/>
  <c r="D95" i="25590"/>
  <c r="D116" i="25590"/>
  <c r="C121" i="25590"/>
  <c r="E128" i="25590"/>
  <c r="G149" i="25590"/>
  <c r="F78" i="25590"/>
  <c r="C127" i="25590"/>
  <c r="C131" i="25590"/>
  <c r="D9" i="25590"/>
  <c r="G40" i="25590"/>
  <c r="G39" i="25590"/>
  <c r="C46" i="25590"/>
  <c r="C60" i="25590"/>
  <c r="G68" i="25590"/>
  <c r="F95" i="25590"/>
  <c r="G122" i="25590"/>
  <c r="G140" i="25590"/>
  <c r="C150" i="25590"/>
  <c r="D11" i="25590"/>
  <c r="D26" i="25590"/>
  <c r="E48" i="25590"/>
  <c r="D117" i="25590"/>
  <c r="E129" i="25590"/>
  <c r="C134" i="25590"/>
  <c r="D27" i="25590"/>
  <c r="E35" i="25590"/>
  <c r="F49" i="25590"/>
  <c r="D63" i="25590"/>
  <c r="D71" i="25590"/>
  <c r="E78" i="25590"/>
  <c r="E85" i="25590"/>
  <c r="D98" i="25590"/>
  <c r="D105" i="25590"/>
  <c r="G111" i="25590"/>
  <c r="D118" i="25590"/>
  <c r="G135" i="25590"/>
  <c r="D142" i="25590"/>
  <c r="E147" i="25590"/>
  <c r="E152" i="25590"/>
  <c r="C13" i="25590"/>
  <c r="D42" i="25590"/>
  <c r="D79" i="25590"/>
  <c r="C86" i="25590"/>
  <c r="D93" i="25590"/>
  <c r="F124" i="25590"/>
  <c r="C119" i="25590"/>
  <c r="G130" i="25590"/>
  <c r="C143" i="25590"/>
  <c r="G37" i="25590"/>
  <c r="E57" i="25590"/>
  <c r="G65" i="25590"/>
  <c r="D73" i="25590"/>
  <c r="G87" i="25590"/>
  <c r="D94" i="25590"/>
  <c r="C107" i="25590"/>
  <c r="G119" i="25590"/>
  <c r="E126" i="25590"/>
  <c r="D143" i="25590"/>
  <c r="F33" i="25589"/>
  <c r="G33" i="25589"/>
  <c r="F89" i="25589"/>
  <c r="E143" i="25589"/>
  <c r="F43" i="25589"/>
  <c r="E74" i="25589"/>
  <c r="C102" i="25589"/>
  <c r="E118" i="25589"/>
  <c r="G131" i="25589"/>
  <c r="D26" i="25589"/>
  <c r="F31" i="25589"/>
  <c r="D52" i="25589"/>
  <c r="F64" i="25589"/>
  <c r="G70" i="25589"/>
  <c r="D75" i="25589"/>
  <c r="D81" i="25589"/>
  <c r="E92" i="25589"/>
  <c r="F96" i="25589"/>
  <c r="F102" i="25589"/>
  <c r="F120" i="25589"/>
  <c r="F125" i="25589"/>
  <c r="D131" i="25589"/>
  <c r="D136" i="25589"/>
  <c r="E142" i="25589"/>
  <c r="G148" i="25589"/>
  <c r="C41" i="25589"/>
  <c r="E32" i="25589"/>
  <c r="D54" i="25589"/>
  <c r="C59" i="25589"/>
  <c r="G65" i="25589"/>
  <c r="C70" i="25589"/>
  <c r="D103" i="25589"/>
  <c r="G114" i="25589"/>
  <c r="E119" i="25589"/>
  <c r="G126" i="25589"/>
  <c r="C136" i="25589"/>
  <c r="D142" i="25589"/>
  <c r="F94" i="25589"/>
  <c r="D105" i="25589"/>
  <c r="D116" i="25589"/>
  <c r="D152" i="25589"/>
  <c r="D10" i="25589"/>
  <c r="D23" i="25589"/>
  <c r="C62" i="25589"/>
  <c r="D67" i="25589"/>
  <c r="D72" i="25589"/>
  <c r="G78" i="25589"/>
  <c r="G94" i="25589"/>
  <c r="E100" i="25589"/>
  <c r="D118" i="25589"/>
  <c r="G123" i="25589"/>
  <c r="D134" i="25589"/>
  <c r="G139" i="25589"/>
  <c r="D145" i="25589"/>
  <c r="G152" i="25589"/>
  <c r="C46" i="25589"/>
  <c r="C98" i="25589"/>
  <c r="C109" i="25589"/>
  <c r="D47" i="25589"/>
  <c r="F34" i="25589"/>
  <c r="C67" i="25589"/>
  <c r="C90" i="25589"/>
  <c r="C122" i="25589"/>
  <c r="C134" i="25589"/>
  <c r="D144" i="25589"/>
  <c r="C11" i="25589"/>
  <c r="C17" i="25589"/>
  <c r="D57" i="25589"/>
  <c r="E68" i="25589"/>
  <c r="G86" i="25589"/>
  <c r="D91" i="25589"/>
  <c r="F107" i="25589"/>
  <c r="F101" i="25589"/>
  <c r="E106" i="25589"/>
  <c r="C118" i="25589"/>
  <c r="E130" i="25589"/>
  <c r="F153" i="25589"/>
  <c r="E31" i="25588"/>
  <c r="D28" i="25588"/>
  <c r="C29" i="25588"/>
  <c r="G57" i="25588"/>
  <c r="F72" i="25588"/>
  <c r="G78" i="25588"/>
  <c r="C88" i="25588"/>
  <c r="E104" i="25588"/>
  <c r="D131" i="25588"/>
  <c r="G142" i="25588"/>
  <c r="G154" i="25588"/>
  <c r="D27" i="25588"/>
  <c r="D33" i="25588"/>
  <c r="D39" i="25588"/>
  <c r="F44" i="25588"/>
  <c r="C56" i="25588"/>
  <c r="F61" i="25588"/>
  <c r="F69" i="25588"/>
  <c r="E79" i="25588"/>
  <c r="G88" i="25588"/>
  <c r="C107" i="25588"/>
  <c r="E132" i="25588"/>
  <c r="G137" i="25588"/>
  <c r="D143" i="25588"/>
  <c r="D150" i="25588"/>
  <c r="F155" i="25588"/>
  <c r="C168" i="25588"/>
  <c r="E20" i="25588"/>
  <c r="C28" i="25588"/>
  <c r="E40" i="25588"/>
  <c r="C26" i="25588"/>
  <c r="F28" i="25588"/>
  <c r="C59" i="25588"/>
  <c r="C67" i="25588"/>
  <c r="D91" i="25588"/>
  <c r="D105" i="25588"/>
  <c r="D135" i="25588"/>
  <c r="G166" i="25588"/>
  <c r="E27" i="25588"/>
  <c r="E34" i="25588"/>
  <c r="G45" i="25588"/>
  <c r="G70" i="25588"/>
  <c r="G74" i="25588"/>
  <c r="G86" i="25588"/>
  <c r="F89" i="25588"/>
  <c r="G96" i="25588"/>
  <c r="F102" i="25588"/>
  <c r="D116" i="25588"/>
  <c r="D128" i="25588"/>
  <c r="F144" i="25588"/>
  <c r="G150" i="25588"/>
  <c r="C47" i="25588"/>
  <c r="C94" i="25588"/>
  <c r="C109" i="25588"/>
  <c r="C134" i="25588"/>
  <c r="G145" i="25588"/>
  <c r="F165" i="25588"/>
  <c r="G171" i="25588"/>
  <c r="D9" i="25588"/>
  <c r="F27" i="25588"/>
  <c r="E32" i="25588"/>
  <c r="F40" i="25588"/>
  <c r="G48" i="25588"/>
  <c r="E70" i="25588"/>
  <c r="F86" i="25588"/>
  <c r="C91" i="25588"/>
  <c r="E94" i="25588"/>
  <c r="C130" i="25588"/>
  <c r="F153" i="25588"/>
  <c r="D166" i="25588"/>
  <c r="F32" i="25588"/>
  <c r="D110" i="25588"/>
  <c r="C17" i="25588"/>
  <c r="G32" i="25588"/>
  <c r="C55" i="25588"/>
  <c r="F59" i="25588"/>
  <c r="E72" i="25588"/>
  <c r="F77" i="25588"/>
  <c r="D84" i="25588"/>
  <c r="E92" i="25588"/>
  <c r="F107" i="25588"/>
  <c r="E106" i="25588"/>
  <c r="F136" i="25588"/>
  <c r="F142" i="25588"/>
  <c r="G42" i="25587"/>
  <c r="G75" i="25587"/>
  <c r="E81" i="25587"/>
  <c r="D92" i="25587"/>
  <c r="G169" i="25587"/>
  <c r="G185" i="25587"/>
  <c r="E25" i="25587"/>
  <c r="C31" i="25587"/>
  <c r="F35" i="25587"/>
  <c r="G67" i="25587"/>
  <c r="C73" i="25587"/>
  <c r="G89" i="25587"/>
  <c r="C99" i="25587"/>
  <c r="F131" i="25587"/>
  <c r="G129" i="25587"/>
  <c r="F145" i="25587"/>
  <c r="D169" i="25587"/>
  <c r="G191" i="25587"/>
  <c r="G44" i="25587"/>
  <c r="G50" i="25587"/>
  <c r="D73" i="25587"/>
  <c r="G135" i="25587"/>
  <c r="G145" i="25587"/>
  <c r="E162" i="25587"/>
  <c r="C168" i="25587"/>
  <c r="C192" i="25587"/>
  <c r="C217" i="25587"/>
  <c r="D16" i="25587"/>
  <c r="E28" i="25587"/>
  <c r="F46" i="25587"/>
  <c r="E58" i="25587"/>
  <c r="G66" i="25587"/>
  <c r="G71" i="25587"/>
  <c r="G91" i="25587"/>
  <c r="E107" i="25587"/>
  <c r="F124" i="25587"/>
  <c r="G141" i="25587"/>
  <c r="G143" i="25587"/>
  <c r="G188" i="25587"/>
  <c r="E202" i="25587"/>
  <c r="F51" i="25587"/>
  <c r="C136" i="25587"/>
  <c r="E194" i="25587"/>
  <c r="D33" i="25587"/>
  <c r="D75" i="25587"/>
  <c r="F91" i="25587"/>
  <c r="E136" i="25587"/>
  <c r="D147" i="25587"/>
  <c r="E176" i="25587"/>
  <c r="G39" i="25587"/>
  <c r="E72" i="25587"/>
  <c r="E75" i="25587"/>
  <c r="D81" i="25587"/>
  <c r="G103" i="25587"/>
  <c r="G107" i="25587"/>
  <c r="D145" i="25587"/>
  <c r="C166" i="25587"/>
  <c r="E172" i="25587"/>
  <c r="G213" i="25587"/>
  <c r="C203" i="25587"/>
  <c r="G215" i="25587"/>
  <c r="F96" i="512"/>
  <c r="E91" i="512"/>
  <c r="F149" i="512"/>
  <c r="F47" i="512"/>
  <c r="F147" i="512"/>
  <c r="D60" i="512"/>
  <c r="D25" i="512"/>
  <c r="C39" i="512"/>
  <c r="C82" i="512"/>
  <c r="C86" i="512"/>
  <c r="D36" i="512"/>
  <c r="C23" i="512"/>
  <c r="G139" i="512"/>
  <c r="C79" i="512"/>
  <c r="D85" i="512"/>
  <c r="F103" i="512"/>
  <c r="F60" i="512"/>
  <c r="C113" i="512"/>
  <c r="G59" i="512"/>
  <c r="E23" i="512"/>
  <c r="D78" i="512"/>
  <c r="G123" i="512"/>
  <c r="D77" i="512"/>
  <c r="D62" i="512"/>
  <c r="G66" i="512"/>
  <c r="G75" i="512"/>
  <c r="F51" i="512"/>
  <c r="C156" i="512"/>
  <c r="G65" i="512"/>
  <c r="D70" i="512"/>
  <c r="G78" i="512"/>
  <c r="D69" i="512"/>
  <c r="G88" i="512"/>
  <c r="D71" i="512"/>
  <c r="C115" i="512"/>
  <c r="C102" i="512"/>
  <c r="D99" i="512"/>
  <c r="G106" i="512"/>
  <c r="C75" i="512"/>
  <c r="D67" i="512"/>
  <c r="E29" i="512"/>
  <c r="D44" i="512"/>
  <c r="D146" i="512"/>
  <c r="G35" i="512"/>
  <c r="E97" i="512"/>
  <c r="D28" i="512"/>
  <c r="C146" i="512"/>
  <c r="C134" i="512"/>
  <c r="F145" i="512"/>
  <c r="C21" i="512"/>
  <c r="C64" i="512"/>
  <c r="G94" i="512"/>
  <c r="F40" i="512"/>
  <c r="F111" i="512"/>
  <c r="D140" i="512"/>
  <c r="C85" i="512"/>
  <c r="C84" i="512"/>
  <c r="C91" i="512"/>
  <c r="C151" i="512"/>
  <c r="F55" i="512"/>
  <c r="E30" i="512"/>
  <c r="D92" i="512"/>
  <c r="G115" i="512"/>
  <c r="G68" i="512"/>
  <c r="F77" i="512"/>
  <c r="D84" i="512"/>
  <c r="D51" i="512"/>
  <c r="D56" i="512"/>
  <c r="D33" i="512"/>
  <c r="G42" i="512"/>
  <c r="G152" i="512"/>
  <c r="F115" i="512"/>
  <c r="G70" i="512"/>
  <c r="E85" i="512"/>
  <c r="F88" i="512"/>
  <c r="C187" i="512"/>
  <c r="E44" i="512"/>
  <c r="F105" i="512"/>
  <c r="D97" i="512"/>
  <c r="E89" i="512"/>
  <c r="C12" i="512"/>
  <c r="D145" i="512"/>
  <c r="E120" i="512"/>
  <c r="F112" i="512"/>
  <c r="E92" i="512"/>
  <c r="E100" i="512"/>
  <c r="E152" i="512"/>
  <c r="E96" i="512"/>
  <c r="C150" i="512"/>
  <c r="F150" i="512"/>
  <c r="C67" i="512"/>
  <c r="C87" i="512"/>
  <c r="D40" i="512"/>
  <c r="F68" i="512"/>
  <c r="G141" i="512"/>
  <c r="E50" i="512"/>
  <c r="E116" i="512"/>
  <c r="C62" i="512"/>
  <c r="G64" i="512"/>
  <c r="C60" i="512"/>
  <c r="G135" i="512"/>
  <c r="G131" i="512"/>
  <c r="F85" i="512"/>
  <c r="C50" i="512"/>
  <c r="D89" i="512"/>
  <c r="D132" i="512"/>
  <c r="C168" i="512"/>
  <c r="D50" i="512"/>
  <c r="E86" i="512"/>
  <c r="C33" i="512"/>
  <c r="D10" i="512"/>
  <c r="G43" i="512"/>
  <c r="F23" i="512"/>
  <c r="F164" i="512"/>
  <c r="F152" i="512"/>
  <c r="C56" i="512"/>
  <c r="C72" i="512"/>
  <c r="D101" i="512"/>
  <c r="G91" i="512"/>
  <c r="C109" i="512"/>
  <c r="C89" i="512"/>
  <c r="E54" i="512"/>
  <c r="C37" i="512"/>
  <c r="D119" i="512"/>
  <c r="C149" i="512"/>
  <c r="D123" i="512"/>
  <c r="G86" i="512"/>
  <c r="D15" i="512"/>
  <c r="E67" i="512"/>
  <c r="D104" i="512"/>
  <c r="D64" i="512"/>
  <c r="C132" i="512"/>
  <c r="E131" i="512"/>
  <c r="D116" i="512"/>
  <c r="E47" i="512"/>
  <c r="D23" i="512"/>
  <c r="C15" i="512"/>
  <c r="F71" i="8196"/>
  <c r="D89" i="8196"/>
  <c r="F22" i="8196"/>
  <c r="G106" i="8196"/>
  <c r="C10" i="8196"/>
  <c r="F132" i="8196"/>
  <c r="G101" i="8196"/>
  <c r="G58" i="8196"/>
  <c r="F129" i="8196"/>
  <c r="D34" i="8196"/>
  <c r="C67" i="8196"/>
  <c r="F46" i="8196"/>
  <c r="G127" i="8196"/>
  <c r="D50" i="8196"/>
  <c r="C106" i="8196"/>
  <c r="F125" i="8196"/>
  <c r="G71" i="8196"/>
  <c r="E85" i="8196"/>
  <c r="F112" i="8196"/>
  <c r="F27" i="8196"/>
  <c r="C88" i="8196"/>
  <c r="F58" i="8196"/>
  <c r="E125" i="8196"/>
  <c r="G43" i="8196"/>
  <c r="G145" i="8196"/>
  <c r="F25" i="8196"/>
  <c r="E43" i="8196"/>
  <c r="F88" i="8196"/>
  <c r="E95" i="8196"/>
  <c r="D135" i="8196"/>
  <c r="G121" i="8196"/>
  <c r="E22" i="8196"/>
  <c r="F30" i="8196"/>
  <c r="D111" i="8196"/>
  <c r="D19" i="8196"/>
  <c r="D14" i="8196"/>
  <c r="G123" i="8196"/>
  <c r="D115" i="8196"/>
  <c r="F68" i="8196"/>
  <c r="E51" i="8196"/>
  <c r="E106" i="8196"/>
  <c r="F38" i="8196"/>
  <c r="E112" i="8196"/>
  <c r="C137" i="8196"/>
  <c r="F51" i="8196"/>
  <c r="F140" i="8196"/>
  <c r="F93" i="8196"/>
  <c r="E99" i="8196"/>
  <c r="E126" i="8196"/>
  <c r="D31" i="8196"/>
  <c r="D124" i="8196"/>
  <c r="C101" i="8196"/>
  <c r="C59" i="8196"/>
  <c r="E80" i="8196"/>
  <c r="F26" i="8196"/>
  <c r="F50" i="8196"/>
  <c r="G70" i="8196"/>
  <c r="D114" i="8196"/>
  <c r="D71" i="8196"/>
  <c r="E92" i="8196"/>
  <c r="D101" i="8196"/>
  <c r="F100" i="8196"/>
  <c r="E148" i="8196"/>
  <c r="C128" i="8196"/>
  <c r="C9" i="8196"/>
  <c r="C58" i="8196"/>
  <c r="D145" i="8196"/>
  <c r="E50" i="8196"/>
  <c r="E98" i="8196"/>
  <c r="D22" i="8196"/>
  <c r="G122" i="8196"/>
  <c r="C69" i="8196"/>
  <c r="D60" i="8196"/>
  <c r="F56" i="8196"/>
  <c r="F36" i="8196"/>
  <c r="E40" i="8196"/>
  <c r="D20" i="8196"/>
  <c r="F138" i="8196"/>
  <c r="F151" i="8196"/>
  <c r="D128" i="8196"/>
  <c r="F62" i="8196"/>
  <c r="E111" i="8196"/>
  <c r="C80" i="8196"/>
  <c r="E18" i="8196"/>
  <c r="D143" i="8196"/>
  <c r="D81" i="8196"/>
  <c r="G153" i="8196"/>
  <c r="C71" i="8196"/>
  <c r="C85" i="8196"/>
  <c r="F92" i="8196"/>
  <c r="F49" i="8196"/>
  <c r="D11" i="8196"/>
  <c r="C140" i="8196"/>
  <c r="F143" i="8196"/>
  <c r="C144" i="8196"/>
  <c r="C98" i="8196"/>
  <c r="G59" i="8196"/>
  <c r="G91" i="8196"/>
  <c r="F29" i="8196"/>
  <c r="F67" i="8196"/>
  <c r="G80" i="8196"/>
  <c r="D127" i="8196"/>
  <c r="F118" i="8196"/>
  <c r="G111" i="8196"/>
  <c r="G79" i="8196"/>
  <c r="G161" i="8196"/>
  <c r="G113" i="8196"/>
  <c r="F59" i="8196"/>
  <c r="D98" i="8196"/>
  <c r="E68" i="8196"/>
  <c r="G35" i="8196"/>
  <c r="G112" i="8196"/>
  <c r="G75" i="8196"/>
  <c r="D18" i="8196"/>
  <c r="G120" i="8196"/>
  <c r="C51" i="8196"/>
  <c r="F137" i="8196"/>
  <c r="D43" i="8196"/>
  <c r="D129" i="8196"/>
  <c r="D42" i="8196"/>
  <c r="E127" i="8196"/>
  <c r="G128" i="8196"/>
  <c r="G51" i="8196"/>
  <c r="F77" i="8196"/>
  <c r="F89" i="8196"/>
  <c r="D94" i="8196"/>
  <c r="D112" i="8196"/>
  <c r="E142" i="8196"/>
  <c r="C127" i="8196"/>
  <c r="E151" i="8196"/>
  <c r="E101" i="8196"/>
  <c r="C89" i="8196"/>
  <c r="C136" i="8196"/>
  <c r="D59" i="8196"/>
  <c r="F47" i="8196"/>
  <c r="E118" i="8196"/>
  <c r="D130" i="8196"/>
  <c r="D141" i="8196"/>
  <c r="F145" i="8196"/>
  <c r="F109" i="8196"/>
  <c r="D95" i="8196"/>
  <c r="F98" i="8196"/>
  <c r="F78" i="8196"/>
  <c r="C117" i="768"/>
  <c r="E164" i="8196"/>
  <c r="E179" i="512"/>
  <c r="C179" i="512"/>
  <c r="E184" i="2819"/>
  <c r="E264" i="25580"/>
  <c r="C244" i="4888"/>
  <c r="D251" i="25580"/>
  <c r="G264" i="25580"/>
  <c r="G174" i="2048"/>
  <c r="H256" i="20994"/>
  <c r="G256" i="20994"/>
  <c r="G264" i="4888"/>
  <c r="E144" i="10285"/>
  <c r="G189" i="9216"/>
  <c r="E264" i="10541"/>
  <c r="F106" i="768"/>
  <c r="G264" i="20994"/>
  <c r="D121" i="10285"/>
  <c r="G144" i="10285"/>
  <c r="F144" i="10285"/>
  <c r="E195" i="523"/>
  <c r="C106" i="768"/>
  <c r="C131" i="768"/>
  <c r="G170" i="2048"/>
  <c r="E170" i="512"/>
  <c r="E265" i="32"/>
  <c r="F264" i="10541"/>
  <c r="G257" i="25580"/>
  <c r="D264" i="4888"/>
  <c r="G175" i="2819"/>
  <c r="G163" i="2819"/>
  <c r="E159" i="2819"/>
  <c r="F265" i="32"/>
  <c r="G113" i="768"/>
  <c r="G176" i="523"/>
  <c r="E264" i="4888"/>
  <c r="G195" i="523"/>
  <c r="F144" i="768"/>
  <c r="G195" i="9216"/>
  <c r="F264" i="4888"/>
  <c r="D195" i="2316"/>
  <c r="C257" i="4888"/>
  <c r="C251" i="20994"/>
  <c r="D251" i="20994" s="1"/>
  <c r="F195" i="9216"/>
  <c r="F195" i="2316"/>
  <c r="G137" i="10285"/>
  <c r="G126" i="768"/>
  <c r="G176" i="2316"/>
  <c r="G260" i="10541"/>
  <c r="F195" i="2048"/>
  <c r="G195" i="2819"/>
  <c r="C120" i="768"/>
  <c r="G144" i="768"/>
  <c r="C179" i="1024"/>
  <c r="D179" i="1024" s="1"/>
  <c r="F195" i="1024"/>
  <c r="D195" i="523"/>
  <c r="D265" i="32"/>
  <c r="G265" i="32"/>
  <c r="G264" i="10541"/>
  <c r="G195" i="2316"/>
  <c r="D144" i="768"/>
  <c r="C126" i="768"/>
  <c r="F195" i="2819"/>
  <c r="G195" i="2048"/>
  <c r="G159" i="523"/>
  <c r="C158" i="2819"/>
  <c r="E144" i="768"/>
  <c r="G195" i="1024"/>
  <c r="F195" i="523"/>
  <c r="G188" i="8196"/>
  <c r="E172" i="512"/>
  <c r="F264" i="20994"/>
  <c r="C234" i="4888"/>
  <c r="C255" i="20994"/>
  <c r="D255" i="20994" s="1"/>
  <c r="E195" i="2819"/>
  <c r="F167" i="2316"/>
  <c r="G164" i="2316"/>
  <c r="D155" i="523"/>
  <c r="E195" i="2048"/>
  <c r="D144" i="10285"/>
  <c r="D120" i="2048"/>
  <c r="G120" i="2048"/>
  <c r="E92" i="2048"/>
  <c r="D81" i="2048"/>
  <c r="E99" i="2048"/>
  <c r="D68" i="2048"/>
  <c r="E118" i="2048"/>
  <c r="F143" i="2048"/>
  <c r="E29" i="2048"/>
  <c r="E156" i="2048"/>
  <c r="D99" i="2048"/>
  <c r="G83" i="2048"/>
  <c r="E137" i="2048"/>
  <c r="G36" i="2048"/>
  <c r="D13" i="2048"/>
  <c r="F100" i="2048"/>
  <c r="E107" i="2048"/>
  <c r="D144" i="2048"/>
  <c r="D45" i="2048"/>
  <c r="G96" i="2048"/>
  <c r="F131" i="2048"/>
  <c r="F124" i="2048"/>
  <c r="F119" i="2048"/>
  <c r="D148" i="2048"/>
  <c r="G74" i="2048"/>
  <c r="F72" i="2048"/>
  <c r="D105" i="2048"/>
  <c r="G136" i="2048"/>
  <c r="D90" i="2048"/>
  <c r="G35" i="2048"/>
  <c r="E72" i="2048"/>
  <c r="D28" i="2048"/>
  <c r="D58" i="2048"/>
  <c r="E34" i="2048"/>
  <c r="G67" i="2048"/>
  <c r="E143" i="2048"/>
  <c r="F127" i="2048"/>
  <c r="F79" i="2048"/>
  <c r="G87" i="2048"/>
  <c r="D147" i="2048"/>
  <c r="D44" i="2048"/>
  <c r="D43" i="2048"/>
  <c r="E124" i="2048"/>
  <c r="E53" i="2048"/>
  <c r="E89" i="2048"/>
  <c r="D103" i="2048"/>
  <c r="G104" i="2048"/>
  <c r="F135" i="2048"/>
  <c r="E59" i="2048"/>
  <c r="D124" i="2048"/>
  <c r="D67" i="2048"/>
  <c r="C132" i="2048"/>
  <c r="D112" i="2048"/>
  <c r="E115" i="2048"/>
  <c r="G156" i="2048"/>
  <c r="F147" i="2048"/>
  <c r="G106" i="2048"/>
  <c r="G60" i="2048"/>
  <c r="F102" i="2048"/>
  <c r="C70" i="2048"/>
  <c r="E31" i="2048"/>
  <c r="F23" i="2048"/>
  <c r="G52" i="2048"/>
  <c r="G123" i="2048"/>
  <c r="F99" i="2048"/>
  <c r="E79" i="2048"/>
  <c r="D135" i="2048"/>
  <c r="G44" i="2048"/>
  <c r="C129" i="2048"/>
  <c r="E58" i="2048"/>
  <c r="D53" i="2048"/>
  <c r="D89" i="2048"/>
  <c r="D111" i="2048"/>
  <c r="E123" i="2048"/>
  <c r="F80" i="2048"/>
  <c r="E135" i="2048"/>
  <c r="D116" i="2048"/>
  <c r="E139" i="2048"/>
  <c r="E119" i="2048"/>
  <c r="D113" i="2048"/>
  <c r="E36" i="2048"/>
  <c r="E147" i="2048"/>
  <c r="G149" i="2048"/>
  <c r="F94" i="2048"/>
  <c r="D61" i="2048"/>
  <c r="D149" i="2048"/>
  <c r="D151" i="2048"/>
  <c r="C194" i="2048"/>
  <c r="F88" i="2048"/>
  <c r="D140" i="2048"/>
  <c r="D21" i="2048"/>
  <c r="F71" i="2048"/>
  <c r="E128" i="2048"/>
  <c r="F116" i="2048"/>
  <c r="G128" i="2048"/>
  <c r="E112" i="2048"/>
  <c r="C161" i="2048"/>
  <c r="C192" i="10541"/>
  <c r="C184" i="10541"/>
  <c r="D185" i="10541"/>
  <c r="G184" i="10541"/>
  <c r="D184" i="10541"/>
  <c r="C176" i="10541"/>
  <c r="F176" i="10541"/>
  <c r="G152" i="10541"/>
  <c r="C152" i="10541"/>
  <c r="E152" i="10541"/>
  <c r="F141" i="10541"/>
  <c r="E129" i="10541"/>
  <c r="D121" i="10541"/>
  <c r="C121" i="10541"/>
  <c r="E123" i="10541"/>
  <c r="F133" i="10541"/>
  <c r="E130" i="10541"/>
  <c r="G113" i="10541"/>
  <c r="C113" i="10541"/>
  <c r="E105" i="10541"/>
  <c r="D105" i="10541"/>
  <c r="E144" i="10541"/>
  <c r="D168" i="10541"/>
  <c r="G139" i="10541"/>
  <c r="G32" i="10541"/>
  <c r="G110" i="10541"/>
  <c r="G216" i="10541"/>
  <c r="F204" i="10541"/>
  <c r="D72" i="10541"/>
  <c r="G129" i="10541"/>
  <c r="C195" i="10541"/>
  <c r="C129" i="10541"/>
  <c r="F86" i="10541"/>
  <c r="F117" i="10541"/>
  <c r="F125" i="10541"/>
  <c r="E198" i="10541"/>
  <c r="D199" i="10541"/>
  <c r="F198" i="10541"/>
  <c r="C198" i="10541"/>
  <c r="G183" i="10541"/>
  <c r="G167" i="10541"/>
  <c r="F167" i="10541"/>
  <c r="F159" i="10541"/>
  <c r="C159" i="10541"/>
  <c r="E159" i="10541"/>
  <c r="G159" i="10541"/>
  <c r="C143" i="10541"/>
  <c r="D143" i="10541"/>
  <c r="C136" i="10541"/>
  <c r="F136" i="10541"/>
  <c r="E128" i="10541"/>
  <c r="G128" i="10541"/>
  <c r="D128" i="10541"/>
  <c r="C128" i="10541"/>
  <c r="F152" i="10541"/>
  <c r="E84" i="10541"/>
  <c r="D16" i="10541"/>
  <c r="G147" i="10541"/>
  <c r="F71" i="10541"/>
  <c r="F42" i="10541"/>
  <c r="G218" i="10541"/>
  <c r="D129" i="10541"/>
  <c r="G145" i="10541"/>
  <c r="C137" i="10541"/>
  <c r="E136" i="10541"/>
  <c r="G168" i="10541"/>
  <c r="G84" i="10541"/>
  <c r="E215" i="10541"/>
  <c r="E205" i="10541"/>
  <c r="D198" i="10541"/>
  <c r="E33" i="10541"/>
  <c r="G33" i="10541"/>
  <c r="C33" i="10541"/>
  <c r="C25" i="10541"/>
  <c r="G49" i="10541"/>
  <c r="D26" i="10541"/>
  <c r="G41" i="10541"/>
  <c r="C85" i="10541"/>
  <c r="C69" i="10541"/>
  <c r="C18" i="10541"/>
  <c r="C61" i="10541"/>
  <c r="C97" i="10541"/>
  <c r="C26" i="10541"/>
  <c r="C72" i="10541"/>
  <c r="C218" i="10541"/>
  <c r="C138" i="10541"/>
  <c r="C169" i="10541"/>
  <c r="C66" i="10541"/>
  <c r="C141" i="10541"/>
  <c r="C110" i="10541"/>
  <c r="C87" i="10541"/>
  <c r="C77" i="10541"/>
  <c r="C177" i="10541"/>
  <c r="C82" i="10541"/>
  <c r="C23" i="10541"/>
  <c r="C38" i="10541"/>
  <c r="C204" i="10541"/>
  <c r="C64" i="10541"/>
  <c r="C107" i="10541"/>
  <c r="C112" i="10541"/>
  <c r="C28" i="10541"/>
  <c r="C134" i="10541"/>
  <c r="C127" i="10541"/>
  <c r="C263" i="10541"/>
  <c r="C215" i="10541"/>
  <c r="C185" i="10541"/>
  <c r="C46" i="10541"/>
  <c r="C54" i="10541"/>
  <c r="C74" i="10541"/>
  <c r="C199" i="10541"/>
  <c r="C165" i="10541"/>
  <c r="C150" i="10541"/>
  <c r="C41" i="10541"/>
  <c r="C92" i="10541"/>
  <c r="D153" i="10541"/>
  <c r="G179" i="10541"/>
  <c r="C160" i="10541"/>
  <c r="D144" i="10541"/>
  <c r="G38" i="10541"/>
  <c r="D106" i="10541"/>
  <c r="G72" i="10541"/>
  <c r="D48" i="10541"/>
  <c r="E48" i="10541"/>
  <c r="E40" i="10541"/>
  <c r="C32" i="10541"/>
  <c r="D24" i="10541"/>
  <c r="C24" i="10541"/>
  <c r="D160" i="10541"/>
  <c r="D17" i="10541"/>
  <c r="E39" i="10541"/>
  <c r="G163" i="10541"/>
  <c r="F98" i="10541"/>
  <c r="G191" i="10541"/>
  <c r="G143" i="10541"/>
  <c r="D101" i="10541"/>
  <c r="C214" i="10541"/>
  <c r="E68" i="10541"/>
  <c r="F206" i="10541"/>
  <c r="C40" i="10541"/>
  <c r="C63" i="10541"/>
  <c r="D151" i="10541"/>
  <c r="D23" i="10541"/>
  <c r="E47" i="10541"/>
  <c r="F245" i="10541"/>
  <c r="C245" i="10541"/>
  <c r="G125" i="10541"/>
  <c r="C125" i="10541"/>
  <c r="E110" i="10541"/>
  <c r="E115" i="10541"/>
  <c r="E112" i="10541"/>
  <c r="D109" i="10541"/>
  <c r="C93" i="10541"/>
  <c r="F93" i="10541"/>
  <c r="D78" i="10541"/>
  <c r="C78" i="10541"/>
  <c r="F70" i="10541"/>
  <c r="F82" i="10541"/>
  <c r="G55" i="10541"/>
  <c r="D56" i="10541"/>
  <c r="C47" i="10541"/>
  <c r="F39" i="10541"/>
  <c r="C39" i="10541"/>
  <c r="D39" i="10541"/>
  <c r="F195" i="10541"/>
  <c r="D195" i="10541"/>
  <c r="F207" i="10541"/>
  <c r="E195" i="10541"/>
  <c r="E179" i="10541"/>
  <c r="D180" i="10541"/>
  <c r="D171" i="10541"/>
  <c r="D172" i="10541"/>
  <c r="F171" i="10541"/>
  <c r="E155" i="10541"/>
  <c r="D156" i="10541"/>
  <c r="F155" i="10541"/>
  <c r="C155" i="10541"/>
  <c r="E132" i="10541"/>
  <c r="D133" i="10541"/>
  <c r="C116" i="10541"/>
  <c r="G108" i="10541"/>
  <c r="E30" i="10541"/>
  <c r="G54" i="10541"/>
  <c r="C30" i="10541"/>
  <c r="C14" i="10541"/>
  <c r="F26" i="10541"/>
  <c r="G48" i="10541"/>
  <c r="D31" i="10541"/>
  <c r="C179" i="10541"/>
  <c r="E63" i="10541"/>
  <c r="F192" i="10541"/>
  <c r="D177" i="10541"/>
  <c r="D207" i="10541"/>
  <c r="F94" i="10541"/>
  <c r="G209" i="10541"/>
  <c r="D209" i="10541"/>
  <c r="D201" i="10541"/>
  <c r="C201" i="10541"/>
  <c r="C186" i="10541"/>
  <c r="F186" i="10541"/>
  <c r="D186" i="10541"/>
  <c r="D178" i="10541"/>
  <c r="C178" i="10541"/>
  <c r="C162" i="10541"/>
  <c r="E162" i="10541"/>
  <c r="D155" i="10541"/>
  <c r="F154" i="10541"/>
  <c r="F146" i="10541"/>
  <c r="E146" i="10541"/>
  <c r="D138" i="10541"/>
  <c r="G131" i="10541"/>
  <c r="F99" i="10541"/>
  <c r="C99" i="10541"/>
  <c r="G99" i="10541"/>
  <c r="F111" i="10541"/>
  <c r="F103" i="10541"/>
  <c r="D91" i="10541"/>
  <c r="D84" i="10541"/>
  <c r="F96" i="10541"/>
  <c r="E76" i="10541"/>
  <c r="C76" i="10541"/>
  <c r="F88" i="10541"/>
  <c r="D76" i="10541"/>
  <c r="G77" i="10541"/>
  <c r="E53" i="10541"/>
  <c r="D46" i="10541"/>
  <c r="C45" i="10541"/>
  <c r="G61" i="10541"/>
  <c r="C37" i="10541"/>
  <c r="F49" i="10541"/>
  <c r="D38" i="10541"/>
  <c r="F37" i="10541"/>
  <c r="C29" i="10541"/>
  <c r="E29" i="10541"/>
  <c r="C221" i="10541"/>
  <c r="F221" i="10541"/>
  <c r="D187" i="10541"/>
  <c r="D188" i="10541"/>
  <c r="G187" i="10541"/>
  <c r="F124" i="10541"/>
  <c r="F172" i="10541"/>
  <c r="E137" i="10541"/>
  <c r="G200" i="10541"/>
  <c r="D193" i="10541"/>
  <c r="G94" i="10541"/>
  <c r="G208" i="10541"/>
  <c r="E122" i="10541"/>
  <c r="C194" i="10541"/>
  <c r="G194" i="10541"/>
  <c r="G144" i="10541"/>
  <c r="G192" i="10541"/>
  <c r="D60" i="10541"/>
  <c r="D146" i="10541"/>
  <c r="F175" i="10541"/>
  <c r="E32" i="10541"/>
  <c r="D124" i="10541"/>
  <c r="D113" i="10541"/>
  <c r="C209" i="10541"/>
  <c r="F217" i="10541"/>
  <c r="F184" i="10541"/>
  <c r="G87" i="10541"/>
  <c r="E46" i="10541"/>
  <c r="E163" i="10541"/>
  <c r="G178" i="10541"/>
  <c r="F76" i="10541"/>
  <c r="C163" i="10541"/>
  <c r="C171" i="10541"/>
  <c r="C55" i="10541"/>
  <c r="F121" i="10541"/>
  <c r="F188" i="10541"/>
  <c r="C60" i="10541"/>
  <c r="F137" i="10541"/>
  <c r="G207" i="10541"/>
  <c r="E45" i="10541"/>
  <c r="C216" i="10541"/>
  <c r="F216" i="10541"/>
  <c r="C200" i="10541"/>
  <c r="F134" i="10541"/>
  <c r="D122" i="10541"/>
  <c r="G138" i="10541"/>
  <c r="D114" i="10541"/>
  <c r="C114" i="10541"/>
  <c r="E114" i="10541"/>
  <c r="F126" i="10541"/>
  <c r="F118" i="10541"/>
  <c r="G130" i="10541"/>
  <c r="C106" i="10541"/>
  <c r="G106" i="10541"/>
  <c r="D99" i="10541"/>
  <c r="F110" i="10541"/>
  <c r="D98" i="10541"/>
  <c r="E98" i="10541"/>
  <c r="E90" i="10541"/>
  <c r="C90" i="10541"/>
  <c r="D83" i="10541"/>
  <c r="G83" i="10541"/>
  <c r="F75" i="10541"/>
  <c r="D75" i="10541"/>
  <c r="C67" i="10541"/>
  <c r="D67" i="10541"/>
  <c r="C59" i="10541"/>
  <c r="F52" i="10541"/>
  <c r="E52" i="10541"/>
  <c r="G60" i="10541"/>
  <c r="D215" i="10541"/>
  <c r="D208" i="10541"/>
  <c r="G177" i="10541"/>
  <c r="F142" i="10541"/>
  <c r="F123" i="10541"/>
  <c r="F115" i="10541"/>
  <c r="C243" i="10541"/>
  <c r="C251" i="10541"/>
  <c r="C58" i="10541"/>
  <c r="E20" i="10541"/>
  <c r="C12" i="10541"/>
  <c r="F196" i="10541"/>
  <c r="C189" i="10541"/>
  <c r="D104" i="10541"/>
  <c r="C42" i="10541"/>
  <c r="C11" i="10541"/>
  <c r="C140" i="10541"/>
  <c r="F72" i="10541"/>
  <c r="E26" i="10541"/>
  <c r="G59" i="523"/>
  <c r="G135" i="523"/>
  <c r="F96" i="523"/>
  <c r="C146" i="523"/>
  <c r="E32" i="523"/>
  <c r="D48" i="523"/>
  <c r="G120" i="523"/>
  <c r="D57" i="523"/>
  <c r="E35" i="523"/>
  <c r="C129" i="523"/>
  <c r="F133" i="523"/>
  <c r="G133" i="523"/>
  <c r="D12" i="523"/>
  <c r="C52" i="523"/>
  <c r="E56" i="523"/>
  <c r="C126" i="523"/>
  <c r="E85" i="523"/>
  <c r="D117" i="523"/>
  <c r="C182" i="523"/>
  <c r="F137" i="523"/>
  <c r="C49" i="523"/>
  <c r="C118" i="523"/>
  <c r="G96" i="523"/>
  <c r="C13" i="523"/>
  <c r="G58" i="523"/>
  <c r="D55" i="523"/>
  <c r="F129" i="523"/>
  <c r="C77" i="523"/>
  <c r="F32" i="523"/>
  <c r="E20" i="523"/>
  <c r="E25" i="523"/>
  <c r="E52" i="523"/>
  <c r="C63" i="523"/>
  <c r="E127" i="523"/>
  <c r="C57" i="523"/>
  <c r="E77" i="523"/>
  <c r="E50" i="523"/>
  <c r="E129" i="523"/>
  <c r="F112" i="523"/>
  <c r="D42" i="523"/>
  <c r="F148" i="523"/>
  <c r="E41" i="523"/>
  <c r="E126" i="523"/>
  <c r="D52" i="523"/>
  <c r="F61" i="523"/>
  <c r="E93" i="523"/>
  <c r="E153" i="523"/>
  <c r="G85" i="523"/>
  <c r="F80" i="523"/>
  <c r="C121" i="523"/>
  <c r="C168" i="523"/>
  <c r="C16" i="523"/>
  <c r="D140" i="523"/>
  <c r="C86" i="523"/>
  <c r="G63" i="523"/>
  <c r="C130" i="523"/>
  <c r="C101" i="523"/>
  <c r="D26" i="523"/>
  <c r="E21" i="523"/>
  <c r="F44" i="523"/>
  <c r="E124" i="523"/>
  <c r="G70" i="523"/>
  <c r="D41" i="523"/>
  <c r="G51" i="523"/>
  <c r="F40" i="523"/>
  <c r="F84" i="523"/>
  <c r="D133" i="523"/>
  <c r="C99" i="523"/>
  <c r="G111" i="523"/>
  <c r="C111" i="523"/>
  <c r="G92" i="523"/>
  <c r="E95" i="523"/>
  <c r="D24" i="523"/>
  <c r="D126" i="523"/>
  <c r="G67" i="523"/>
  <c r="D56" i="523"/>
  <c r="C139" i="523"/>
  <c r="C29" i="523"/>
  <c r="E51" i="523"/>
  <c r="E70" i="523"/>
  <c r="C14" i="523"/>
  <c r="E145" i="523"/>
  <c r="D91" i="523"/>
  <c r="F63" i="523"/>
  <c r="D121" i="523"/>
  <c r="D44" i="523"/>
  <c r="C46" i="523"/>
  <c r="C34" i="523"/>
  <c r="D146" i="523"/>
  <c r="D111" i="523"/>
  <c r="G140" i="523"/>
  <c r="C48" i="523"/>
  <c r="D142" i="523"/>
  <c r="C106" i="523"/>
  <c r="F100" i="523"/>
  <c r="F125" i="523"/>
  <c r="G95" i="523"/>
  <c r="E71" i="523"/>
  <c r="E136" i="523"/>
  <c r="E57" i="523"/>
  <c r="C56" i="523"/>
  <c r="D43" i="523"/>
  <c r="E34" i="523"/>
  <c r="E62" i="523"/>
  <c r="D62" i="523"/>
  <c r="F47" i="523"/>
  <c r="C53" i="523"/>
  <c r="G69" i="523"/>
  <c r="F25" i="523"/>
  <c r="D112" i="523"/>
  <c r="C83" i="523"/>
  <c r="C25" i="523"/>
  <c r="C50" i="523"/>
  <c r="E65" i="523"/>
  <c r="C116" i="523"/>
  <c r="E22" i="523"/>
  <c r="C75" i="523"/>
  <c r="D17" i="523"/>
  <c r="C119" i="523"/>
  <c r="C32" i="523"/>
  <c r="C107" i="523"/>
  <c r="C27" i="523"/>
  <c r="E40" i="523"/>
  <c r="C64" i="523"/>
  <c r="F70" i="523"/>
  <c r="C76" i="523"/>
  <c r="F24" i="523"/>
  <c r="C10" i="523"/>
  <c r="C41" i="523"/>
  <c r="F60" i="523"/>
  <c r="C104" i="523"/>
  <c r="C96" i="523"/>
  <c r="D25" i="523"/>
  <c r="C61" i="523"/>
  <c r="F108" i="523"/>
  <c r="E104" i="523"/>
  <c r="G173" i="523"/>
  <c r="D93" i="523"/>
  <c r="D130" i="523"/>
  <c r="F56" i="523"/>
  <c r="C65" i="523"/>
  <c r="F20" i="523"/>
  <c r="C120" i="523"/>
  <c r="F152" i="523"/>
  <c r="E48" i="523"/>
  <c r="C113" i="523"/>
  <c r="F35" i="523"/>
  <c r="C112" i="523"/>
  <c r="C67" i="523"/>
  <c r="C152" i="523"/>
  <c r="F64" i="523"/>
  <c r="F51" i="523"/>
  <c r="E112" i="523"/>
  <c r="D58" i="523"/>
  <c r="C60" i="523"/>
  <c r="C97" i="523"/>
  <c r="F134" i="523"/>
  <c r="C174" i="2561"/>
  <c r="C71" i="2561"/>
  <c r="C74" i="2561"/>
  <c r="C173" i="2561"/>
  <c r="C228" i="2561"/>
  <c r="C119" i="2561"/>
  <c r="C135" i="2561"/>
  <c r="C150" i="2561"/>
  <c r="C218" i="2561"/>
  <c r="C66" i="2561"/>
  <c r="C94" i="2561"/>
  <c r="C23" i="2561"/>
  <c r="C93" i="2561"/>
  <c r="C61" i="2561"/>
  <c r="C159" i="2561"/>
  <c r="C149" i="2561"/>
  <c r="C222" i="2561"/>
  <c r="C10" i="2561"/>
  <c r="C30" i="2561"/>
  <c r="C34" i="2561"/>
  <c r="E31" i="2819"/>
  <c r="E33" i="2819"/>
  <c r="C36" i="2819"/>
  <c r="F95" i="2819"/>
  <c r="C12" i="2819"/>
  <c r="D46" i="2819"/>
  <c r="F150" i="2819"/>
  <c r="G143" i="2819"/>
  <c r="D154" i="2819"/>
  <c r="C146" i="2819"/>
  <c r="E29" i="2819"/>
  <c r="E38" i="2819"/>
  <c r="G153" i="2819"/>
  <c r="F61" i="2819"/>
  <c r="C130" i="2819"/>
  <c r="D56" i="2819"/>
  <c r="E129" i="2819"/>
  <c r="G44" i="2819"/>
  <c r="D65" i="2819"/>
  <c r="G142" i="2819"/>
  <c r="E80" i="2819"/>
  <c r="F39" i="2819"/>
  <c r="E88" i="2819"/>
  <c r="D104" i="2819"/>
  <c r="G45" i="2819"/>
  <c r="G134" i="2819"/>
  <c r="C150" i="2819"/>
  <c r="C119" i="2819"/>
  <c r="E62" i="2819"/>
  <c r="E137" i="2819"/>
  <c r="F47" i="2819"/>
  <c r="E63" i="2819"/>
  <c r="D54" i="2819"/>
  <c r="E121" i="2819"/>
  <c r="G98" i="2819"/>
  <c r="D21" i="2819"/>
  <c r="C27" i="2819"/>
  <c r="F52" i="2819"/>
  <c r="D139" i="2819"/>
  <c r="F114" i="2819"/>
  <c r="C68" i="2819"/>
  <c r="G71" i="2819"/>
  <c r="G61" i="2819"/>
  <c r="F147" i="2819"/>
  <c r="C15" i="2819"/>
  <c r="F103" i="2819"/>
  <c r="E87" i="2819"/>
  <c r="E35" i="2819"/>
  <c r="D39" i="2819"/>
  <c r="E23" i="2819"/>
  <c r="G69" i="2819"/>
  <c r="D13" i="2819"/>
  <c r="D37" i="2819"/>
  <c r="D119" i="2819"/>
  <c r="D87" i="2819"/>
  <c r="E102" i="2819"/>
  <c r="E82" i="2819"/>
  <c r="D114" i="2819"/>
  <c r="D81" i="2819"/>
  <c r="F60" i="2819"/>
  <c r="D143" i="2819"/>
  <c r="D77" i="2819"/>
  <c r="F139" i="2819"/>
  <c r="D70" i="2819"/>
  <c r="G122" i="2819"/>
  <c r="E94" i="2819"/>
  <c r="G46" i="2819"/>
  <c r="E97" i="2819"/>
  <c r="E53" i="2819"/>
  <c r="D16" i="2819"/>
  <c r="D112" i="2819"/>
  <c r="D88" i="2819"/>
  <c r="D12" i="2819"/>
  <c r="D22" i="2819"/>
  <c r="E95" i="2819"/>
  <c r="F111" i="2819"/>
  <c r="E110" i="2819"/>
  <c r="D18" i="2819"/>
  <c r="G154" i="2819"/>
  <c r="D146" i="2819"/>
  <c r="G77" i="2819"/>
  <c r="D20" i="2819"/>
  <c r="E28" i="2819"/>
  <c r="E105" i="2819"/>
  <c r="G111" i="2819"/>
  <c r="D62" i="2819"/>
  <c r="G110" i="2819"/>
  <c r="C82" i="2819"/>
  <c r="D82" i="2819"/>
  <c r="F72" i="2819"/>
  <c r="E76" i="2819"/>
  <c r="G127" i="2819"/>
  <c r="D136" i="2819"/>
  <c r="C122" i="2819"/>
  <c r="F106" i="2819"/>
  <c r="F115" i="2819"/>
  <c r="F123" i="2819"/>
  <c r="G105" i="2819"/>
  <c r="C77" i="2819"/>
  <c r="G126" i="2819"/>
  <c r="C31" i="2819"/>
  <c r="G96" i="2819"/>
  <c r="G95" i="2819"/>
  <c r="D78" i="2819"/>
  <c r="D106" i="2819"/>
  <c r="D64" i="2819"/>
  <c r="F24" i="2819"/>
  <c r="E122" i="2819"/>
  <c r="F64" i="2819"/>
  <c r="F21" i="2819"/>
  <c r="D151" i="2819"/>
  <c r="F118" i="2819"/>
  <c r="D135" i="2819"/>
  <c r="E127" i="2819"/>
  <c r="D120" i="2819"/>
  <c r="C98" i="2819"/>
  <c r="E69" i="2819"/>
  <c r="D111" i="2819"/>
  <c r="E89" i="2819"/>
  <c r="E84" i="2819"/>
  <c r="D95" i="2819"/>
  <c r="G113" i="2819"/>
  <c r="C72" i="2819"/>
  <c r="D31" i="2819"/>
  <c r="D49" i="2819"/>
  <c r="E66" i="2819"/>
  <c r="D123" i="2819"/>
  <c r="G130" i="2819"/>
  <c r="F127" i="2819"/>
  <c r="D83" i="2819"/>
  <c r="C153" i="2316"/>
  <c r="C91" i="2316"/>
  <c r="D43" i="2316"/>
  <c r="C31" i="2316"/>
  <c r="C27" i="2316"/>
  <c r="D108" i="2316"/>
  <c r="G153" i="2316"/>
  <c r="D124" i="2316"/>
  <c r="C48" i="2316"/>
  <c r="C96" i="2316"/>
  <c r="D76" i="2316"/>
  <c r="D116" i="2316"/>
  <c r="C42" i="2316"/>
  <c r="C103" i="2316"/>
  <c r="C143" i="2316"/>
  <c r="C121" i="2316"/>
  <c r="D147" i="2316"/>
  <c r="F52" i="2316"/>
  <c r="D133" i="2316"/>
  <c r="D40" i="2316"/>
  <c r="D84" i="2316"/>
  <c r="C116" i="2316"/>
  <c r="E85" i="2316"/>
  <c r="E76" i="2316"/>
  <c r="D65" i="2316"/>
  <c r="G97" i="2316"/>
  <c r="F51" i="2316"/>
  <c r="E51" i="2316"/>
  <c r="G89" i="2316"/>
  <c r="D53" i="2316"/>
  <c r="F99" i="2316"/>
  <c r="C79" i="2316"/>
  <c r="F151" i="2316"/>
  <c r="G92" i="2316"/>
  <c r="D49" i="2316"/>
  <c r="F56" i="2316"/>
  <c r="E68" i="2316"/>
  <c r="F48" i="2316"/>
  <c r="F42" i="2316"/>
  <c r="G132" i="2316"/>
  <c r="C34" i="2316"/>
  <c r="C76" i="2316"/>
  <c r="C50" i="2316"/>
  <c r="C126" i="2316"/>
  <c r="D93" i="2316"/>
  <c r="F84" i="2316"/>
  <c r="G112" i="2316"/>
  <c r="E52" i="2316"/>
  <c r="D140" i="2316"/>
  <c r="F147" i="2316"/>
  <c r="G81" i="2316"/>
  <c r="F129" i="2316"/>
  <c r="F64" i="2316"/>
  <c r="D60" i="2316"/>
  <c r="C141" i="2316"/>
  <c r="E50" i="2316"/>
  <c r="F76" i="2316"/>
  <c r="F104" i="2316"/>
  <c r="F95" i="2316"/>
  <c r="F55" i="2316"/>
  <c r="D68" i="2316"/>
  <c r="G108" i="2316"/>
  <c r="G40" i="2316"/>
  <c r="C100" i="2316"/>
  <c r="D100" i="2316"/>
  <c r="D113" i="2316"/>
  <c r="D17" i="2316"/>
  <c r="C36" i="2316"/>
  <c r="C85" i="2316"/>
  <c r="C109" i="2316"/>
  <c r="G100" i="2316"/>
  <c r="F148" i="2316"/>
  <c r="E80" i="2316"/>
  <c r="E46" i="2316"/>
  <c r="C173" i="2316"/>
  <c r="G156" i="2316"/>
  <c r="F115" i="2316"/>
  <c r="C81" i="2316"/>
  <c r="D44" i="2316"/>
  <c r="D105" i="2316"/>
  <c r="D101" i="2316"/>
  <c r="D150" i="2316"/>
  <c r="C127" i="2316"/>
  <c r="C154" i="2316"/>
  <c r="E48" i="2316"/>
  <c r="C145" i="2316"/>
  <c r="G75" i="2316"/>
  <c r="F112" i="2316"/>
  <c r="D123" i="2316"/>
  <c r="F65" i="2316"/>
  <c r="G67" i="2316"/>
  <c r="F120" i="2316"/>
  <c r="E61" i="2316"/>
  <c r="E49" i="2316"/>
  <c r="G137" i="2316"/>
  <c r="C68" i="2316"/>
  <c r="E36" i="2316"/>
  <c r="C136" i="2316"/>
  <c r="G147" i="2316"/>
  <c r="C120" i="2316"/>
  <c r="C115" i="2316"/>
  <c r="C113" i="2316"/>
  <c r="C111" i="2316"/>
  <c r="F131" i="2316"/>
  <c r="F133" i="2316"/>
  <c r="E84" i="2316"/>
  <c r="E25" i="2316"/>
  <c r="F141" i="2316"/>
  <c r="C110" i="2316"/>
  <c r="C94" i="2316"/>
  <c r="E86" i="2316"/>
  <c r="C78" i="2316"/>
  <c r="C70" i="2316"/>
  <c r="E62" i="2316"/>
  <c r="E54" i="2316"/>
  <c r="G144" i="2316"/>
  <c r="G129" i="2316"/>
  <c r="E88" i="2316"/>
  <c r="C106" i="2316"/>
  <c r="G32" i="2316"/>
  <c r="F137" i="2316"/>
  <c r="C135" i="2316"/>
  <c r="C26" i="2316"/>
  <c r="F124" i="2316"/>
  <c r="G105" i="2316"/>
  <c r="C133" i="2316"/>
  <c r="C125" i="2316"/>
  <c r="C83" i="2316"/>
  <c r="F117" i="2316"/>
  <c r="F144" i="2316"/>
  <c r="D212" i="32"/>
  <c r="F212" i="32"/>
  <c r="D196" i="32"/>
  <c r="E196" i="32"/>
  <c r="D164" i="32"/>
  <c r="E164" i="32"/>
  <c r="D147" i="32"/>
  <c r="E147" i="32"/>
  <c r="C123" i="32"/>
  <c r="G123" i="32"/>
  <c r="F127" i="32"/>
  <c r="G115" i="32"/>
  <c r="D115" i="32"/>
  <c r="E107" i="32"/>
  <c r="G92" i="32"/>
  <c r="G68" i="32"/>
  <c r="D68" i="32"/>
  <c r="E52" i="32"/>
  <c r="D44" i="32"/>
  <c r="F44" i="32"/>
  <c r="C44" i="32"/>
  <c r="E28" i="32"/>
  <c r="C28" i="32"/>
  <c r="D42" i="32"/>
  <c r="G179" i="32"/>
  <c r="G196" i="32"/>
  <c r="C97" i="32"/>
  <c r="F115" i="32"/>
  <c r="D220" i="32"/>
  <c r="F223" i="32"/>
  <c r="G235" i="32"/>
  <c r="F91" i="32"/>
  <c r="D91" i="32"/>
  <c r="D92" i="32"/>
  <c r="E91" i="32"/>
  <c r="F75" i="32"/>
  <c r="G99" i="32"/>
  <c r="E51" i="32"/>
  <c r="C43" i="32"/>
  <c r="F43" i="32"/>
  <c r="F233" i="32"/>
  <c r="E33" i="32"/>
  <c r="G220" i="32"/>
  <c r="C60" i="32"/>
  <c r="D197" i="32"/>
  <c r="F59" i="32"/>
  <c r="D148" i="32"/>
  <c r="F103" i="32"/>
  <c r="D223" i="32"/>
  <c r="C41" i="32"/>
  <c r="F80" i="32"/>
  <c r="G128" i="32"/>
  <c r="D83" i="32"/>
  <c r="F63" i="32"/>
  <c r="F82" i="32"/>
  <c r="G106" i="32"/>
  <c r="C82" i="32"/>
  <c r="G98" i="32"/>
  <c r="D74" i="32"/>
  <c r="E26" i="32"/>
  <c r="D140" i="32"/>
  <c r="G208" i="32"/>
  <c r="F208" i="32"/>
  <c r="G216" i="32"/>
  <c r="G192" i="32"/>
  <c r="G32" i="32"/>
  <c r="D113" i="32"/>
  <c r="E35" i="32"/>
  <c r="E36" i="32"/>
  <c r="C75" i="32"/>
  <c r="C119" i="32"/>
  <c r="D52" i="32"/>
  <c r="C52" i="32"/>
  <c r="F168" i="32"/>
  <c r="C35" i="32"/>
  <c r="C59" i="32"/>
  <c r="G127" i="32"/>
  <c r="D193" i="32"/>
  <c r="D75" i="32"/>
  <c r="F211" i="32"/>
  <c r="F220" i="32"/>
  <c r="F104" i="32"/>
  <c r="G215" i="32"/>
  <c r="F215" i="32"/>
  <c r="G223" i="32"/>
  <c r="D199" i="32"/>
  <c r="D183" i="32"/>
  <c r="E183" i="32"/>
  <c r="D176" i="32"/>
  <c r="E175" i="32"/>
  <c r="G174" i="32"/>
  <c r="F150" i="32"/>
  <c r="D150" i="32"/>
  <c r="E144" i="32"/>
  <c r="E146" i="32"/>
  <c r="D134" i="32"/>
  <c r="E136" i="32"/>
  <c r="E137" i="32"/>
  <c r="E145" i="32"/>
  <c r="G118" i="32"/>
  <c r="F118" i="32"/>
  <c r="E118" i="32"/>
  <c r="G71" i="32"/>
  <c r="F71" i="32"/>
  <c r="F124" i="32"/>
  <c r="D35" i="32"/>
  <c r="E32" i="32"/>
  <c r="D205" i="32"/>
  <c r="G33" i="32"/>
  <c r="E211" i="32"/>
  <c r="D60" i="32"/>
  <c r="C17" i="32"/>
  <c r="E104" i="32"/>
  <c r="G83" i="32"/>
  <c r="D208" i="32"/>
  <c r="D163" i="32"/>
  <c r="G186" i="32"/>
  <c r="F162" i="32"/>
  <c r="E113" i="32"/>
  <c r="E114" i="32"/>
  <c r="G101" i="32"/>
  <c r="D101" i="32"/>
  <c r="E94" i="32"/>
  <c r="C94" i="32"/>
  <c r="E112" i="32"/>
  <c r="D112" i="32"/>
  <c r="F112" i="32"/>
  <c r="G112" i="32"/>
  <c r="G97" i="32"/>
  <c r="D98" i="32"/>
  <c r="F97" i="32"/>
  <c r="G121" i="32"/>
  <c r="E97" i="32"/>
  <c r="E98" i="32"/>
  <c r="G65" i="32"/>
  <c r="F77" i="32"/>
  <c r="C65" i="32"/>
  <c r="D65" i="32"/>
  <c r="G49" i="32"/>
  <c r="E55" i="32"/>
  <c r="E54" i="32"/>
  <c r="D49" i="32"/>
  <c r="G204" i="32"/>
  <c r="G52" i="32"/>
  <c r="G200" i="32"/>
  <c r="D201" i="32"/>
  <c r="D184" i="32"/>
  <c r="E184" i="32"/>
  <c r="E176" i="32"/>
  <c r="G176" i="32"/>
  <c r="F126" i="32"/>
  <c r="D126" i="32"/>
  <c r="G103" i="32"/>
  <c r="C103" i="32"/>
  <c r="E88" i="32"/>
  <c r="C88" i="32"/>
  <c r="F84" i="32"/>
  <c r="D72" i="32"/>
  <c r="F64" i="32"/>
  <c r="C56" i="32"/>
  <c r="F56" i="32"/>
  <c r="G48" i="32"/>
  <c r="D48" i="32"/>
  <c r="F40" i="32"/>
  <c r="C40" i="32"/>
  <c r="D119" i="32"/>
  <c r="G67" i="32"/>
  <c r="C32" i="32"/>
  <c r="F92" i="32"/>
  <c r="F159" i="32"/>
  <c r="C68" i="32"/>
  <c r="D139" i="32"/>
  <c r="G91" i="32"/>
  <c r="G60" i="32"/>
  <c r="C72" i="32"/>
  <c r="E100" i="32"/>
  <c r="D88" i="32"/>
  <c r="G219" i="32"/>
  <c r="D36" i="32"/>
  <c r="E99" i="32"/>
  <c r="F196" i="32"/>
  <c r="D206" i="32"/>
  <c r="F217" i="32"/>
  <c r="G221" i="32"/>
  <c r="F209" i="32"/>
  <c r="F197" i="32"/>
  <c r="D189" i="32"/>
  <c r="F201" i="32"/>
  <c r="G189" i="32"/>
  <c r="D181" i="32"/>
  <c r="G165" i="32"/>
  <c r="F177" i="32"/>
  <c r="D156" i="32"/>
  <c r="F156" i="32"/>
  <c r="E156" i="32"/>
  <c r="D157" i="32"/>
  <c r="G156" i="32"/>
  <c r="D149" i="32"/>
  <c r="E148" i="32"/>
  <c r="D132" i="32"/>
  <c r="F144" i="32"/>
  <c r="D125" i="32"/>
  <c r="E124" i="32"/>
  <c r="D124" i="32"/>
  <c r="D117" i="32"/>
  <c r="G116" i="32"/>
  <c r="F128" i="32"/>
  <c r="F116" i="32"/>
  <c r="D69" i="32"/>
  <c r="D190" i="32"/>
  <c r="G181" i="32"/>
  <c r="D97" i="32"/>
  <c r="D82" i="32"/>
  <c r="D204" i="32"/>
  <c r="G163" i="32"/>
  <c r="E221" i="32"/>
  <c r="D209" i="32"/>
  <c r="D76" i="32"/>
  <c r="F29" i="32"/>
  <c r="G61" i="1024"/>
  <c r="F92" i="1024"/>
  <c r="G57" i="1024"/>
  <c r="C34" i="1024"/>
  <c r="D34" i="1024" s="1"/>
  <c r="C156" i="1024"/>
  <c r="D156" i="1024" s="1"/>
  <c r="F140" i="1024"/>
  <c r="H65" i="1024"/>
  <c r="E57" i="1024"/>
  <c r="G92" i="1024"/>
  <c r="H92" i="1024"/>
  <c r="G77" i="1024"/>
  <c r="G69" i="1024"/>
  <c r="C11" i="1024"/>
  <c r="D11" i="1024" s="1"/>
  <c r="C36" i="1024"/>
  <c r="D36" i="1024" s="1"/>
  <c r="E143" i="1024"/>
  <c r="H57" i="1024"/>
  <c r="H166" i="1024"/>
  <c r="C18" i="1024"/>
  <c r="D18" i="1024" s="1"/>
  <c r="C56" i="1024"/>
  <c r="D56" i="1024" s="1"/>
  <c r="C189" i="1024"/>
  <c r="D189" i="1024" s="1"/>
  <c r="C137" i="1024"/>
  <c r="D137" i="1024" s="1"/>
  <c r="F39" i="1024"/>
  <c r="E88" i="1024"/>
  <c r="C35" i="1024"/>
  <c r="D35" i="1024" s="1"/>
  <c r="E155" i="1024"/>
  <c r="H89" i="1024"/>
  <c r="C80" i="1024"/>
  <c r="D80" i="1024" s="1"/>
  <c r="E15" i="1024"/>
  <c r="H67" i="1024"/>
  <c r="F22" i="1024"/>
  <c r="F66" i="1024"/>
  <c r="C144" i="1024"/>
  <c r="D144" i="1024" s="1"/>
  <c r="G87" i="1024"/>
  <c r="H164" i="1024"/>
  <c r="E69" i="1024"/>
  <c r="C73" i="1024"/>
  <c r="D73" i="1024" s="1"/>
  <c r="E18" i="1024"/>
  <c r="F27" i="1024"/>
  <c r="F137" i="1024"/>
  <c r="C105" i="1024"/>
  <c r="D105" i="1024" s="1"/>
  <c r="G54" i="1024"/>
  <c r="E45" i="1024"/>
  <c r="C37" i="1024"/>
  <c r="D37" i="1024" s="1"/>
  <c r="G88" i="1024"/>
  <c r="F96" i="1024"/>
  <c r="H76" i="1024"/>
  <c r="E131" i="1024"/>
  <c r="F51" i="1024"/>
  <c r="C16" i="1024"/>
  <c r="D16" i="1024" s="1"/>
  <c r="G76" i="1024"/>
  <c r="F56" i="1024"/>
  <c r="F49" i="1024"/>
  <c r="E68" i="1024"/>
  <c r="G142" i="1024"/>
  <c r="C152" i="1024"/>
  <c r="D152" i="1024" s="1"/>
  <c r="C41" i="1024"/>
  <c r="D41" i="1024" s="1"/>
  <c r="C20" i="1024"/>
  <c r="D20" i="1024" s="1"/>
  <c r="E50" i="1024"/>
  <c r="E58" i="1024"/>
  <c r="F90" i="1024"/>
  <c r="E162" i="1024"/>
  <c r="G41" i="1024"/>
  <c r="G47" i="1024"/>
  <c r="G60" i="1024"/>
  <c r="C93" i="1024"/>
  <c r="D93" i="1024" s="1"/>
  <c r="G49" i="1024"/>
  <c r="C15" i="1024"/>
  <c r="D15" i="1024" s="1"/>
  <c r="C70" i="1024"/>
  <c r="D70" i="1024" s="1"/>
  <c r="F81" i="1024"/>
  <c r="C162" i="1024"/>
  <c r="D162" i="1024" s="1"/>
  <c r="C61" i="1024"/>
  <c r="D61" i="1024" s="1"/>
  <c r="E74" i="1024"/>
  <c r="H168" i="1024"/>
  <c r="H189" i="1024"/>
  <c r="F145" i="1024"/>
  <c r="F142" i="1024"/>
  <c r="G93" i="1024"/>
  <c r="G71" i="1024"/>
  <c r="E61" i="1024"/>
  <c r="G20" i="1024"/>
  <c r="E194" i="1024"/>
  <c r="H81" i="1024"/>
  <c r="E77" i="1024"/>
  <c r="E150" i="1024"/>
  <c r="H184" i="1024"/>
  <c r="G24" i="1024"/>
  <c r="C86" i="1024"/>
  <c r="D86" i="1024" s="1"/>
  <c r="C58" i="1024"/>
  <c r="D58" i="1024" s="1"/>
  <c r="C43" i="1024"/>
  <c r="D43" i="1024" s="1"/>
  <c r="H73" i="1024"/>
  <c r="F169" i="1024"/>
  <c r="C22" i="1024"/>
  <c r="D22" i="1024" s="1"/>
  <c r="H154" i="1024"/>
  <c r="G164" i="1024"/>
  <c r="E14" i="1024"/>
  <c r="C141" i="1024"/>
  <c r="D141" i="1024" s="1"/>
  <c r="E33" i="1024"/>
  <c r="H155" i="1024"/>
  <c r="F88" i="1024"/>
  <c r="G33" i="1024"/>
  <c r="E149" i="1024"/>
  <c r="E67" i="1024"/>
  <c r="C59" i="1024"/>
  <c r="D59" i="1024" s="1"/>
  <c r="F148" i="1024"/>
  <c r="C82" i="1024"/>
  <c r="D82" i="1024" s="1"/>
  <c r="C46" i="1024"/>
  <c r="D46" i="1024" s="1"/>
  <c r="E26" i="1024"/>
  <c r="G154" i="1024"/>
  <c r="F91" i="1024"/>
  <c r="E161" i="1024"/>
  <c r="E30" i="1024"/>
  <c r="C131" i="1024"/>
  <c r="D131" i="1024" s="1"/>
  <c r="E134" i="1024"/>
  <c r="H49" i="1024"/>
  <c r="F80" i="1024"/>
  <c r="G56" i="1024"/>
  <c r="H38" i="1024"/>
  <c r="F78" i="1024"/>
  <c r="F41" i="1024"/>
  <c r="G39" i="1024"/>
  <c r="E140" i="1024"/>
  <c r="G53" i="1024"/>
  <c r="G81" i="1024"/>
  <c r="E78" i="1024"/>
  <c r="C52" i="1024"/>
  <c r="D52" i="1024" s="1"/>
  <c r="C45" i="1024"/>
  <c r="D45" i="1024" s="1"/>
  <c r="F82" i="1024"/>
  <c r="C130" i="1024"/>
  <c r="D130" i="1024" s="1"/>
  <c r="F25" i="1024"/>
  <c r="E141" i="1024"/>
  <c r="G26" i="1024"/>
  <c r="H77" i="1024"/>
  <c r="G166" i="1024"/>
  <c r="E133" i="1024"/>
  <c r="F33" i="1024"/>
  <c r="F89" i="1024"/>
  <c r="G29" i="1024"/>
  <c r="G178" i="1024"/>
  <c r="C75" i="1024"/>
  <c r="D75" i="1024" s="1"/>
  <c r="C84" i="1024"/>
  <c r="D84" i="1024" s="1"/>
  <c r="F77" i="1024"/>
  <c r="F162" i="1024"/>
  <c r="E34" i="1024"/>
  <c r="C154" i="1024"/>
  <c r="D154" i="1024" s="1"/>
  <c r="H42" i="1024"/>
  <c r="C9" i="1024"/>
  <c r="D9" i="1024" s="1"/>
  <c r="C194" i="1024"/>
  <c r="F93" i="9216"/>
  <c r="F45" i="9216"/>
  <c r="E12" i="9216"/>
  <c r="F44" i="9216"/>
  <c r="G93" i="9216"/>
  <c r="E43" i="9216"/>
  <c r="F86" i="9216"/>
  <c r="H72" i="9216"/>
  <c r="C55" i="9216"/>
  <c r="D55" i="9216" s="1"/>
  <c r="H42" i="9216"/>
  <c r="F143" i="9216"/>
  <c r="F156" i="9216"/>
  <c r="E21" i="9216"/>
  <c r="E148" i="9216"/>
  <c r="F55" i="9216"/>
  <c r="H82" i="9216"/>
  <c r="F147" i="9216"/>
  <c r="H66" i="9216"/>
  <c r="E49" i="9216"/>
  <c r="E35" i="9216"/>
  <c r="G175" i="9216"/>
  <c r="F40" i="9216"/>
  <c r="C163" i="9216"/>
  <c r="D163" i="9216" s="1"/>
  <c r="G40" i="9216"/>
  <c r="G86" i="9216"/>
  <c r="C12" i="9216"/>
  <c r="D12" i="9216" s="1"/>
  <c r="E13" i="9216"/>
  <c r="H71" i="9216"/>
  <c r="G23" i="9216"/>
  <c r="F144" i="9216"/>
  <c r="F27" i="9216"/>
  <c r="F64" i="9216"/>
  <c r="F53" i="9216"/>
  <c r="E136" i="9216"/>
  <c r="E55" i="9216"/>
  <c r="E36" i="9216"/>
  <c r="H54" i="9216"/>
  <c r="F137" i="9216"/>
  <c r="G105" i="9216"/>
  <c r="E84" i="9216"/>
  <c r="F65" i="9216"/>
  <c r="H56" i="9216"/>
  <c r="G47" i="9216"/>
  <c r="H64" i="9216"/>
  <c r="F157" i="9216"/>
  <c r="E190" i="9216"/>
  <c r="G65" i="9216"/>
  <c r="E154" i="9216"/>
  <c r="H91" i="9216"/>
  <c r="C71" i="9216"/>
  <c r="D71" i="9216" s="1"/>
  <c r="F145" i="9216"/>
  <c r="E65" i="9216"/>
  <c r="G51" i="9216"/>
  <c r="F146" i="9216"/>
  <c r="F38" i="9216"/>
  <c r="F68" i="9216"/>
  <c r="F153" i="9216"/>
  <c r="E40" i="9216"/>
  <c r="H163" i="9216"/>
  <c r="F51" i="9216"/>
  <c r="G145" i="9216"/>
  <c r="F25" i="9216"/>
  <c r="F33" i="9216"/>
  <c r="G45" i="9216"/>
  <c r="C33" i="9216"/>
  <c r="D33" i="9216" s="1"/>
  <c r="F82" i="9216"/>
  <c r="F32" i="9216"/>
  <c r="E91" i="9216"/>
  <c r="E68" i="9216"/>
  <c r="G148" i="9216"/>
  <c r="F72" i="9216"/>
  <c r="F76" i="9216"/>
  <c r="F20" i="9216"/>
  <c r="F37" i="9216"/>
  <c r="F26" i="9216"/>
  <c r="F148" i="9216"/>
  <c r="E89" i="9216"/>
  <c r="C65" i="9216"/>
  <c r="D65" i="9216" s="1"/>
  <c r="H67" i="9216"/>
  <c r="F34" i="9216"/>
  <c r="F140" i="9216"/>
  <c r="G49" i="9216"/>
  <c r="G143" i="9216"/>
  <c r="G77" i="9216"/>
  <c r="E146" i="9216"/>
  <c r="G60" i="9216"/>
  <c r="H51" i="9216"/>
  <c r="G72" i="9216"/>
  <c r="F39" i="9216"/>
  <c r="E74" i="9216"/>
  <c r="G84" i="9216"/>
  <c r="G82" i="9216"/>
  <c r="H52" i="9216"/>
  <c r="E63" i="9216"/>
  <c r="F30" i="9216"/>
  <c r="H46" i="9216"/>
  <c r="H194" i="9216"/>
  <c r="E28" i="9216"/>
  <c r="G151" i="9216"/>
  <c r="F142" i="9216"/>
  <c r="G32" i="9216"/>
  <c r="F23" i="9216"/>
  <c r="E82" i="9216"/>
  <c r="H44" i="9216"/>
  <c r="G35" i="9216"/>
  <c r="E11" i="9216"/>
  <c r="E85" i="9216"/>
  <c r="H88" i="9216"/>
  <c r="H63" i="9216"/>
  <c r="H36" i="9216"/>
  <c r="G238" i="20994"/>
  <c r="H238" i="20994"/>
  <c r="F160" i="20994"/>
  <c r="E160" i="20994"/>
  <c r="G226" i="20994"/>
  <c r="G214" i="20994"/>
  <c r="G218" i="20994"/>
  <c r="E207" i="20994"/>
  <c r="F174" i="20994"/>
  <c r="E166" i="20994"/>
  <c r="E165" i="20994"/>
  <c r="F165" i="20994"/>
  <c r="E155" i="20994"/>
  <c r="E156" i="20994"/>
  <c r="F156" i="20994"/>
  <c r="E145" i="20994"/>
  <c r="E146" i="20994"/>
  <c r="F152" i="20994"/>
  <c r="F146" i="20994"/>
  <c r="H145" i="20994"/>
  <c r="E137" i="20994"/>
  <c r="G149" i="20994"/>
  <c r="E138" i="20994"/>
  <c r="H137" i="20994"/>
  <c r="G138" i="20994"/>
  <c r="E126" i="20994"/>
  <c r="H142" i="20994"/>
  <c r="E119" i="20994"/>
  <c r="F110" i="20994"/>
  <c r="H134" i="20994"/>
  <c r="G122" i="20994"/>
  <c r="H111" i="20994"/>
  <c r="C102" i="20994"/>
  <c r="D102" i="20994" s="1"/>
  <c r="E102" i="20994"/>
  <c r="H103" i="20994"/>
  <c r="G114" i="20994"/>
  <c r="F102" i="20994"/>
  <c r="G102" i="20994"/>
  <c r="C94" i="20994"/>
  <c r="D94" i="20994" s="1"/>
  <c r="G106" i="20994"/>
  <c r="H95" i="20994"/>
  <c r="G94" i="20994"/>
  <c r="H87" i="20994"/>
  <c r="E86" i="20994"/>
  <c r="E87" i="20994"/>
  <c r="C86" i="20994"/>
  <c r="D86" i="20994" s="1"/>
  <c r="G78" i="20994"/>
  <c r="C78" i="20994"/>
  <c r="D78" i="20994" s="1"/>
  <c r="E71" i="20994"/>
  <c r="G82" i="20994"/>
  <c r="H71" i="20994"/>
  <c r="E63" i="20994"/>
  <c r="G74" i="20994"/>
  <c r="C62" i="20994"/>
  <c r="D62" i="20994" s="1"/>
  <c r="E54" i="20994"/>
  <c r="E55" i="20994"/>
  <c r="C54" i="20994"/>
  <c r="D54" i="20994" s="1"/>
  <c r="E48" i="20994"/>
  <c r="H48" i="20994"/>
  <c r="G47" i="20994"/>
  <c r="E41" i="20994"/>
  <c r="E33" i="20994"/>
  <c r="G36" i="20994"/>
  <c r="C24" i="20994"/>
  <c r="D24" i="20994" s="1"/>
  <c r="E24" i="20994"/>
  <c r="G24" i="20994"/>
  <c r="C16" i="20994"/>
  <c r="D16" i="20994" s="1"/>
  <c r="H34" i="20994"/>
  <c r="C114" i="20994"/>
  <c r="D114" i="20994" s="1"/>
  <c r="C83" i="20994"/>
  <c r="D83" i="20994" s="1"/>
  <c r="C33" i="20994"/>
  <c r="D33" i="20994" s="1"/>
  <c r="C52" i="20994"/>
  <c r="D52" i="20994" s="1"/>
  <c r="C48" i="20994"/>
  <c r="D48" i="20994" s="1"/>
  <c r="C82" i="20994"/>
  <c r="D82" i="20994" s="1"/>
  <c r="C71" i="20994"/>
  <c r="D71" i="20994" s="1"/>
  <c r="C41" i="20994"/>
  <c r="D41" i="20994" s="1"/>
  <c r="C107" i="20994"/>
  <c r="D107" i="20994" s="1"/>
  <c r="C38" i="20994"/>
  <c r="D38" i="20994" s="1"/>
  <c r="C75" i="20994"/>
  <c r="D75" i="20994" s="1"/>
  <c r="C90" i="20994"/>
  <c r="D90" i="20994" s="1"/>
  <c r="C12" i="20994"/>
  <c r="D12" i="20994" s="1"/>
  <c r="C45" i="20994"/>
  <c r="D45" i="20994" s="1"/>
  <c r="C66" i="20994"/>
  <c r="D66" i="20994" s="1"/>
  <c r="C53" i="20994"/>
  <c r="D53" i="20994" s="1"/>
  <c r="C30" i="20994"/>
  <c r="D30" i="20994" s="1"/>
  <c r="C111" i="20994"/>
  <c r="D111" i="20994" s="1"/>
  <c r="C28" i="20994"/>
  <c r="D28" i="20994" s="1"/>
  <c r="C109" i="20994"/>
  <c r="D109" i="20994" s="1"/>
  <c r="C77" i="20994"/>
  <c r="D77" i="20994" s="1"/>
  <c r="E222" i="20994"/>
  <c r="G221" i="20994"/>
  <c r="G157" i="20994"/>
  <c r="C35" i="20994"/>
  <c r="D35" i="20994" s="1"/>
  <c r="C99" i="20994"/>
  <c r="D99" i="20994" s="1"/>
  <c r="C36" i="20994"/>
  <c r="D36" i="20994" s="1"/>
  <c r="E95" i="20994"/>
  <c r="H165" i="20994"/>
  <c r="F230" i="20994"/>
  <c r="G230" i="20994"/>
  <c r="F154" i="20994"/>
  <c r="F155" i="20994"/>
  <c r="C20" i="20994"/>
  <c r="D20" i="20994" s="1"/>
  <c r="E79" i="20994"/>
  <c r="E206" i="20994"/>
  <c r="C103" i="20994"/>
  <c r="D103" i="20994" s="1"/>
  <c r="C59" i="20994"/>
  <c r="D59" i="20994" s="1"/>
  <c r="C68" i="20994"/>
  <c r="D68" i="20994" s="1"/>
  <c r="C25" i="20994"/>
  <c r="D25" i="20994" s="1"/>
  <c r="H49" i="20994"/>
  <c r="H239" i="20994"/>
  <c r="F239" i="20994"/>
  <c r="E239" i="20994"/>
  <c r="H263" i="20994"/>
  <c r="F94" i="20994"/>
  <c r="F86" i="20994"/>
  <c r="G52" i="20994"/>
  <c r="H55" i="20994"/>
  <c r="G110" i="20994"/>
  <c r="E32" i="20994"/>
  <c r="F150" i="20994"/>
  <c r="C92" i="20994"/>
  <c r="D92" i="20994" s="1"/>
  <c r="H231" i="20994"/>
  <c r="G137" i="20994"/>
  <c r="G98" i="20994"/>
  <c r="F47" i="20994"/>
  <c r="C106" i="20994"/>
  <c r="D106" i="20994" s="1"/>
  <c r="E17" i="20994"/>
  <c r="F222" i="20994"/>
  <c r="F218" i="20994"/>
  <c r="F229" i="20994"/>
  <c r="G217" i="20994"/>
  <c r="F209" i="20994"/>
  <c r="E169" i="20994"/>
  <c r="E168" i="20994"/>
  <c r="E158" i="20994"/>
  <c r="C158" i="20994"/>
  <c r="D158" i="20994" s="1"/>
  <c r="H150" i="20994"/>
  <c r="E151" i="20994"/>
  <c r="G150" i="20994"/>
  <c r="H130" i="20994"/>
  <c r="G133" i="20994"/>
  <c r="F122" i="20994"/>
  <c r="E122" i="20994"/>
  <c r="F131" i="20994"/>
  <c r="F121" i="20994"/>
  <c r="F124" i="20994"/>
  <c r="C113" i="20994"/>
  <c r="D113" i="20994" s="1"/>
  <c r="F113" i="20994"/>
  <c r="G113" i="20994"/>
  <c r="F105" i="20994"/>
  <c r="F107" i="20994"/>
  <c r="F103" i="20994"/>
  <c r="F98" i="20994"/>
  <c r="H90" i="20994"/>
  <c r="F89" i="20994"/>
  <c r="C81" i="20994"/>
  <c r="D81" i="20994" s="1"/>
  <c r="E82" i="20994"/>
  <c r="F81" i="20994"/>
  <c r="H74" i="20994"/>
  <c r="C73" i="20994"/>
  <c r="D73" i="20994" s="1"/>
  <c r="G65" i="20994"/>
  <c r="E65" i="20994"/>
  <c r="G77" i="20994"/>
  <c r="H66" i="20994"/>
  <c r="G57" i="20994"/>
  <c r="G62" i="20994"/>
  <c r="G50" i="20994"/>
  <c r="C50" i="20994"/>
  <c r="D50" i="20994" s="1"/>
  <c r="H51" i="20994"/>
  <c r="C43" i="20994"/>
  <c r="D43" i="20994" s="1"/>
  <c r="G55" i="20994"/>
  <c r="E43" i="20994"/>
  <c r="E44" i="20994"/>
  <c r="H44" i="20994"/>
  <c r="H60" i="20994"/>
  <c r="C27" i="20994"/>
  <c r="D27" i="20994" s="1"/>
  <c r="H52" i="20994"/>
  <c r="E28" i="20994"/>
  <c r="F27" i="20994"/>
  <c r="C19" i="20994"/>
  <c r="D19" i="20994" s="1"/>
  <c r="E19" i="20994"/>
  <c r="F19" i="20994"/>
  <c r="E20" i="20994"/>
  <c r="C11" i="20994"/>
  <c r="D11" i="20994" s="1"/>
  <c r="E12" i="20994"/>
  <c r="G220" i="20994"/>
  <c r="F220" i="20994"/>
  <c r="G232" i="20994"/>
  <c r="E220" i="20994"/>
  <c r="F145" i="20994"/>
  <c r="E214" i="20994"/>
  <c r="E47" i="20994"/>
  <c r="F157" i="20994"/>
  <c r="E221" i="20994"/>
  <c r="E215" i="20994"/>
  <c r="C47" i="20994"/>
  <c r="D47" i="20994" s="1"/>
  <c r="C67" i="20994"/>
  <c r="D67" i="20994" s="1"/>
  <c r="H63" i="20994"/>
  <c r="C60" i="20994"/>
  <c r="D60" i="20994" s="1"/>
  <c r="C98" i="20994"/>
  <c r="D98" i="20994" s="1"/>
  <c r="C116" i="20994"/>
  <c r="D116" i="20994" s="1"/>
  <c r="C97" i="20994"/>
  <c r="D97" i="20994" s="1"/>
  <c r="H79" i="20994"/>
  <c r="H118" i="20994"/>
  <c r="C10" i="20994"/>
  <c r="D10" i="20994" s="1"/>
  <c r="C238" i="20994"/>
  <c r="D238" i="20994" s="1"/>
  <c r="C65" i="20994"/>
  <c r="D65" i="20994" s="1"/>
  <c r="E110" i="20994"/>
  <c r="H72" i="20994"/>
  <c r="C221" i="20994"/>
  <c r="D221" i="20994" s="1"/>
  <c r="E174" i="20994"/>
  <c r="C63" i="20994"/>
  <c r="D63" i="20994" s="1"/>
  <c r="C89" i="20994"/>
  <c r="D89" i="20994" s="1"/>
  <c r="F147" i="20994"/>
  <c r="H120" i="20994"/>
  <c r="E112" i="20994"/>
  <c r="G116" i="20994"/>
  <c r="C96" i="20994"/>
  <c r="D96" i="20994" s="1"/>
  <c r="C88" i="20994"/>
  <c r="D88" i="20994" s="1"/>
  <c r="G72" i="20994"/>
  <c r="F64" i="20994"/>
  <c r="G54" i="20994"/>
  <c r="C26" i="20994"/>
  <c r="D26" i="20994" s="1"/>
  <c r="E11" i="20994"/>
  <c r="F210" i="20994"/>
  <c r="E101" i="20994"/>
  <c r="F136" i="20994"/>
  <c r="H89" i="20994"/>
  <c r="G31" i="20994"/>
  <c r="H113" i="20994"/>
  <c r="F149" i="20994"/>
  <c r="H243" i="20994"/>
  <c r="F172" i="20994"/>
  <c r="E125" i="20994"/>
  <c r="H245" i="20994"/>
  <c r="F169" i="20994"/>
  <c r="E96" i="20994"/>
  <c r="G164" i="20994"/>
  <c r="G139" i="20994"/>
  <c r="C56" i="20994"/>
  <c r="D56" i="20994" s="1"/>
  <c r="E111" i="20994"/>
  <c r="E103" i="20994"/>
  <c r="C87" i="20994"/>
  <c r="D87" i="20994" s="1"/>
  <c r="G85" i="20994"/>
  <c r="F224" i="20994"/>
  <c r="C154" i="20994"/>
  <c r="D154" i="20994" s="1"/>
  <c r="G212" i="20994"/>
  <c r="F117" i="20994"/>
  <c r="C23" i="20994"/>
  <c r="D23" i="20994" s="1"/>
  <c r="E26" i="20994"/>
  <c r="H232" i="20994"/>
  <c r="G38" i="20994"/>
  <c r="E157" i="20994"/>
  <c r="E109" i="20994"/>
  <c r="E205" i="20994"/>
  <c r="E93" i="20994"/>
  <c r="C76" i="20994"/>
  <c r="D76" i="20994" s="1"/>
  <c r="C263" i="20994"/>
  <c r="E69" i="20994"/>
  <c r="E40" i="20994"/>
  <c r="G216" i="20994"/>
  <c r="G222" i="20994"/>
  <c r="G51" i="20994"/>
  <c r="H110" i="20994"/>
  <c r="F95" i="20994"/>
  <c r="G225" i="20994"/>
  <c r="F87" i="20994"/>
  <c r="G141" i="20994"/>
  <c r="H141" i="20994"/>
  <c r="H67" i="20994"/>
  <c r="C200" i="20994"/>
  <c r="D200" i="20994" s="1"/>
  <c r="F216" i="20994"/>
  <c r="E117" i="20994"/>
  <c r="G151" i="20994"/>
  <c r="F173" i="20994"/>
  <c r="H56" i="20994"/>
  <c r="H154" i="20994"/>
  <c r="G33" i="20994"/>
  <c r="F213" i="20994"/>
  <c r="G73" i="20994"/>
  <c r="G23" i="20994"/>
  <c r="F208" i="20994"/>
  <c r="G156" i="20994"/>
  <c r="E104" i="20994"/>
  <c r="F96" i="20994"/>
  <c r="G213" i="20994"/>
  <c r="F91" i="20994"/>
  <c r="C42" i="20994"/>
  <c r="D42" i="20994" s="1"/>
  <c r="F144" i="20994"/>
  <c r="F219" i="20994"/>
  <c r="G117" i="20994"/>
  <c r="C101" i="20994"/>
  <c r="D101" i="20994" s="1"/>
  <c r="G30" i="20994"/>
  <c r="C34" i="20994"/>
  <c r="D34" i="20994" s="1"/>
  <c r="C18" i="20994"/>
  <c r="D18" i="20994" s="1"/>
  <c r="C31" i="20994"/>
  <c r="D31" i="20994" s="1"/>
  <c r="C93" i="20994"/>
  <c r="D93" i="20994" s="1"/>
  <c r="H133" i="20994"/>
  <c r="G108" i="20994"/>
  <c r="H61" i="20994"/>
  <c r="F37" i="768"/>
  <c r="G92" i="768"/>
  <c r="E44" i="768"/>
  <c r="D76" i="768"/>
  <c r="E92" i="768"/>
  <c r="G83" i="768"/>
  <c r="E19" i="768"/>
  <c r="C68" i="768"/>
  <c r="C76" i="768"/>
  <c r="C92" i="768"/>
  <c r="F33" i="768"/>
  <c r="D92" i="768"/>
  <c r="G44" i="768"/>
  <c r="E117" i="768"/>
  <c r="C98" i="768"/>
  <c r="G69" i="768"/>
  <c r="E27" i="768"/>
  <c r="F31" i="768"/>
  <c r="D88" i="768"/>
  <c r="E35" i="768"/>
  <c r="G74" i="768"/>
  <c r="F71" i="768"/>
  <c r="F47" i="768"/>
  <c r="C43" i="768"/>
  <c r="E91" i="768"/>
  <c r="D38" i="768"/>
  <c r="D11" i="768"/>
  <c r="F102" i="768"/>
  <c r="E81" i="768"/>
  <c r="D65" i="768"/>
  <c r="D98" i="768"/>
  <c r="E49" i="768"/>
  <c r="E68" i="768"/>
  <c r="F68" i="768"/>
  <c r="D10" i="768"/>
  <c r="E99" i="768"/>
  <c r="E90" i="768"/>
  <c r="C84" i="768"/>
  <c r="C103" i="768"/>
  <c r="F49" i="768"/>
  <c r="E51" i="768"/>
  <c r="F95" i="768"/>
  <c r="F83" i="768"/>
  <c r="G98" i="768"/>
  <c r="E59" i="768"/>
  <c r="F103" i="768"/>
  <c r="F41" i="768"/>
  <c r="F25" i="768"/>
  <c r="C82" i="768"/>
  <c r="C33" i="768"/>
  <c r="F39" i="768"/>
  <c r="D91" i="768"/>
  <c r="E55" i="768"/>
  <c r="F51" i="768"/>
  <c r="D18" i="768"/>
  <c r="C49" i="768"/>
  <c r="F98" i="768"/>
  <c r="G82" i="768"/>
  <c r="D42" i="768"/>
  <c r="F96" i="768"/>
  <c r="C138" i="768"/>
  <c r="E26" i="768"/>
  <c r="G77" i="768"/>
  <c r="E61" i="768"/>
  <c r="C17" i="768"/>
  <c r="D43" i="768"/>
  <c r="D46" i="768"/>
  <c r="E58" i="768"/>
  <c r="D69" i="768"/>
  <c r="F97" i="10285"/>
  <c r="G68" i="10285"/>
  <c r="F53" i="10285"/>
  <c r="F61" i="10285"/>
  <c r="G61" i="10285"/>
  <c r="C103" i="10285"/>
  <c r="F82" i="10285"/>
  <c r="E67" i="10285"/>
  <c r="E70" i="10285"/>
  <c r="D65" i="10285"/>
  <c r="F52" i="10285"/>
  <c r="D69" i="10285"/>
  <c r="F65" i="10285"/>
  <c r="D40" i="10285"/>
  <c r="E41" i="10285"/>
  <c r="E68" i="10285"/>
  <c r="D49" i="10285"/>
  <c r="E44" i="10285"/>
  <c r="G103" i="10285"/>
  <c r="E38" i="10285"/>
  <c r="G67" i="10285"/>
  <c r="E65" i="10285"/>
  <c r="E95" i="10285"/>
  <c r="C99" i="10285"/>
  <c r="F103" i="10285"/>
  <c r="D83" i="10285"/>
  <c r="F68" i="10285"/>
  <c r="E46" i="10285"/>
  <c r="G39" i="10285"/>
  <c r="E40" i="10285"/>
  <c r="E125" i="10285"/>
  <c r="F64" i="10285"/>
  <c r="E99" i="10285"/>
  <c r="E48" i="10285"/>
  <c r="F87" i="10285"/>
  <c r="E69" i="10285"/>
  <c r="F48" i="10285"/>
  <c r="G76" i="10285"/>
  <c r="G44" i="10285"/>
  <c r="C70" i="10285"/>
  <c r="D64" i="10285"/>
  <c r="F80" i="10285"/>
  <c r="F59" i="10285"/>
  <c r="D52" i="10285"/>
  <c r="E103" i="10285"/>
  <c r="F42" i="10285"/>
  <c r="D45" i="10285"/>
  <c r="G52" i="10285"/>
  <c r="E102" i="10285"/>
  <c r="C32" i="10285"/>
  <c r="D70" i="10285"/>
  <c r="G88" i="10285"/>
  <c r="D38" i="10285"/>
  <c r="G64" i="10285"/>
  <c r="F86" i="10285"/>
  <c r="F102" i="10285"/>
  <c r="F70" i="10285"/>
  <c r="D39" i="10285"/>
  <c r="D46" i="10285"/>
  <c r="G87" i="10285"/>
  <c r="E66" i="10285"/>
  <c r="D68" i="10285"/>
  <c r="C61" i="10285"/>
  <c r="F73" i="10285"/>
  <c r="G43" i="10285"/>
  <c r="F57" i="10285"/>
  <c r="F36" i="10285"/>
  <c r="G32" i="10285"/>
  <c r="F69" i="10285"/>
  <c r="E22" i="10285"/>
  <c r="D23" i="10285"/>
  <c r="D91" i="10285"/>
  <c r="D41" i="10285"/>
  <c r="D19" i="10285"/>
  <c r="F181" i="4888"/>
  <c r="G184" i="4888"/>
  <c r="D52" i="4888"/>
  <c r="E125" i="4888"/>
  <c r="F32" i="4888"/>
  <c r="D107" i="4888"/>
  <c r="D213" i="4888"/>
  <c r="E183" i="4888"/>
  <c r="F39" i="4888"/>
  <c r="F20" i="4888"/>
  <c r="E157" i="4888"/>
  <c r="E212" i="4888"/>
  <c r="F86" i="4888"/>
  <c r="E154" i="4888"/>
  <c r="F140" i="4888"/>
  <c r="F45" i="4888"/>
  <c r="C118" i="4888"/>
  <c r="G59" i="4888"/>
  <c r="F111" i="4888"/>
  <c r="G192" i="4888"/>
  <c r="E184" i="4888"/>
  <c r="E27" i="4888"/>
  <c r="F134" i="4888"/>
  <c r="G213" i="4888"/>
  <c r="F123" i="4888"/>
  <c r="E195" i="4888"/>
  <c r="F207" i="4888"/>
  <c r="F63" i="4888"/>
  <c r="C36" i="4888"/>
  <c r="D97" i="4888"/>
  <c r="C132" i="4888"/>
  <c r="C39" i="4888"/>
  <c r="F186" i="4888"/>
  <c r="D24" i="4888"/>
  <c r="C96" i="4888"/>
  <c r="F25" i="4888"/>
  <c r="G195" i="4888"/>
  <c r="D84" i="4888"/>
  <c r="D71" i="4888"/>
  <c r="D63" i="4888"/>
  <c r="G94" i="4888"/>
  <c r="D205" i="4888"/>
  <c r="E94" i="4888"/>
  <c r="D116" i="4888"/>
  <c r="D178" i="4888"/>
  <c r="D138" i="4888"/>
  <c r="E122" i="4888"/>
  <c r="E106" i="4888"/>
  <c r="D199" i="4888"/>
  <c r="D29" i="4888"/>
  <c r="C177" i="4888"/>
  <c r="C103" i="4888"/>
  <c r="C134" i="4888"/>
  <c r="E155" i="4888"/>
  <c r="E177" i="4888"/>
  <c r="G152" i="4888"/>
  <c r="E222" i="4888"/>
  <c r="G176" i="4888"/>
  <c r="G183" i="4888"/>
  <c r="C137" i="4888"/>
  <c r="D175" i="4888"/>
  <c r="D62" i="4888"/>
  <c r="D105" i="4888"/>
  <c r="D33" i="4888"/>
  <c r="D55" i="4888"/>
  <c r="C75" i="4888"/>
  <c r="F46" i="4888"/>
  <c r="G56" i="4888"/>
  <c r="G205" i="4888"/>
  <c r="D196" i="4888"/>
  <c r="D28" i="4888"/>
  <c r="C196" i="4888"/>
  <c r="F166" i="4888"/>
  <c r="G50" i="4888"/>
  <c r="G140" i="4888"/>
  <c r="E156" i="4888"/>
  <c r="G62" i="4888"/>
  <c r="C152" i="4888"/>
  <c r="D44" i="4888"/>
  <c r="E182" i="4888"/>
  <c r="E206" i="4888"/>
  <c r="G103" i="4888"/>
  <c r="D180" i="4888"/>
  <c r="C189" i="4888"/>
  <c r="D65" i="4888"/>
  <c r="D50" i="4888"/>
  <c r="E176" i="4888"/>
  <c r="G88" i="4888"/>
  <c r="D198" i="4888"/>
  <c r="C78" i="4888"/>
  <c r="C54" i="4888"/>
  <c r="D128" i="4888"/>
  <c r="C158" i="4888"/>
  <c r="G219" i="4888"/>
  <c r="F125" i="4888"/>
  <c r="F87" i="4888"/>
  <c r="F232" i="4888"/>
  <c r="G207" i="4888"/>
  <c r="G107" i="4888"/>
  <c r="F149" i="4888"/>
  <c r="E199" i="4888"/>
  <c r="D207" i="4888"/>
  <c r="C199" i="4888"/>
  <c r="C83" i="4888"/>
  <c r="F195" i="4888"/>
  <c r="C126" i="4888"/>
  <c r="F219" i="4888"/>
  <c r="F79" i="4888"/>
  <c r="D117" i="4888"/>
  <c r="D183" i="4888"/>
  <c r="G220" i="4888"/>
  <c r="D190" i="4888"/>
  <c r="E187" i="4888"/>
  <c r="E131" i="4888"/>
  <c r="C166" i="4888"/>
  <c r="G43" i="4888"/>
  <c r="G90" i="4888"/>
  <c r="G174" i="4888"/>
  <c r="D148" i="4888"/>
  <c r="F116" i="4888"/>
  <c r="G115" i="4888"/>
  <c r="E186" i="4888"/>
  <c r="D208" i="4888"/>
  <c r="D214" i="4888"/>
  <c r="E54" i="4888"/>
  <c r="F128" i="4888"/>
  <c r="D64" i="4888"/>
  <c r="D220" i="4888"/>
  <c r="E91" i="4888"/>
  <c r="E67" i="4888"/>
  <c r="E128" i="4888"/>
  <c r="C129" i="4888"/>
  <c r="G208" i="4888"/>
  <c r="C145" i="4888"/>
  <c r="D23" i="4888"/>
  <c r="E151" i="4888"/>
  <c r="D115" i="4888"/>
  <c r="D27" i="4888"/>
  <c r="F143" i="4888"/>
  <c r="G156" i="4888"/>
  <c r="F91" i="4888"/>
  <c r="F220" i="4888"/>
  <c r="F121" i="4888"/>
  <c r="F183" i="4888"/>
  <c r="D184" i="4888"/>
  <c r="D216" i="25580"/>
  <c r="D217" i="25580"/>
  <c r="C216" i="25580"/>
  <c r="G216" i="25580"/>
  <c r="F216" i="25580"/>
  <c r="G208" i="25580"/>
  <c r="D209" i="25580"/>
  <c r="D208" i="25580"/>
  <c r="E208" i="25580"/>
  <c r="F212" i="25580"/>
  <c r="F200" i="25580"/>
  <c r="D200" i="25580"/>
  <c r="D201" i="25580"/>
  <c r="G118" i="25580"/>
  <c r="E118" i="25580"/>
  <c r="D119" i="25580"/>
  <c r="G134" i="25580"/>
  <c r="G110" i="25580"/>
  <c r="F110" i="25580"/>
  <c r="E102" i="25580"/>
  <c r="G102" i="25580"/>
  <c r="F102" i="25580"/>
  <c r="C102" i="25580"/>
  <c r="F78" i="25580"/>
  <c r="G78" i="25580"/>
  <c r="D79" i="25580"/>
  <c r="F69" i="25580"/>
  <c r="F81" i="25580"/>
  <c r="D69" i="25580"/>
  <c r="G61" i="25580"/>
  <c r="C61" i="25580"/>
  <c r="F61" i="25580"/>
  <c r="E62" i="25580"/>
  <c r="E61" i="25580"/>
  <c r="E70" i="25580"/>
  <c r="E65" i="25580"/>
  <c r="C53" i="25580"/>
  <c r="G53" i="25580"/>
  <c r="D54" i="25580"/>
  <c r="D45" i="25580"/>
  <c r="G45" i="25580"/>
  <c r="C45" i="25580"/>
  <c r="E45" i="25580"/>
  <c r="D37" i="25580"/>
  <c r="E40" i="25580"/>
  <c r="E48" i="25580"/>
  <c r="E47" i="25580"/>
  <c r="E39" i="25580"/>
  <c r="E46" i="25580"/>
  <c r="C37" i="25580"/>
  <c r="G37" i="25580"/>
  <c r="D29" i="25580"/>
  <c r="D30" i="25580"/>
  <c r="C29" i="25580"/>
  <c r="D22" i="25580"/>
  <c r="C21" i="25580"/>
  <c r="F21" i="25580"/>
  <c r="E21" i="25580"/>
  <c r="E22" i="25580"/>
  <c r="D14" i="25580"/>
  <c r="E14" i="25580"/>
  <c r="D220" i="25580"/>
  <c r="F220" i="25580"/>
  <c r="G220" i="25580"/>
  <c r="F174" i="25580"/>
  <c r="F162" i="25580"/>
  <c r="G162" i="25580"/>
  <c r="F37" i="25580"/>
  <c r="C185" i="25580"/>
  <c r="C71" i="25580"/>
  <c r="F46" i="25580"/>
  <c r="E44" i="25580"/>
  <c r="C12" i="25580"/>
  <c r="C219" i="25580"/>
  <c r="E71" i="25580"/>
  <c r="D103" i="25580"/>
  <c r="C207" i="25580"/>
  <c r="C192" i="25580"/>
  <c r="D163" i="25580"/>
  <c r="F66" i="25580"/>
  <c r="F124" i="25580"/>
  <c r="C124" i="25580"/>
  <c r="E124" i="25580"/>
  <c r="G197" i="25580"/>
  <c r="G173" i="25580"/>
  <c r="E149" i="25580"/>
  <c r="G145" i="25580"/>
  <c r="E146" i="25580"/>
  <c r="E147" i="25580"/>
  <c r="D146" i="25580"/>
  <c r="E155" i="25580"/>
  <c r="G169" i="25580"/>
  <c r="D145" i="25580"/>
  <c r="E151" i="25580"/>
  <c r="G155" i="25580"/>
  <c r="G131" i="25580"/>
  <c r="F131" i="25580"/>
  <c r="D115" i="25580"/>
  <c r="E115" i="25580"/>
  <c r="F115" i="25580"/>
  <c r="D100" i="25580"/>
  <c r="F99" i="25580"/>
  <c r="D99" i="25580"/>
  <c r="E83" i="25580"/>
  <c r="D84" i="25580"/>
  <c r="G83" i="25580"/>
  <c r="C83" i="25580"/>
  <c r="D58" i="25580"/>
  <c r="F70" i="25580"/>
  <c r="G58" i="25580"/>
  <c r="E165" i="25580"/>
  <c r="G165" i="25580"/>
  <c r="C165" i="25580"/>
  <c r="C196" i="25580"/>
  <c r="E154" i="25580"/>
  <c r="F45" i="25580"/>
  <c r="E131" i="25580"/>
  <c r="E64" i="25580"/>
  <c r="F196" i="25580"/>
  <c r="D196" i="25580"/>
  <c r="G212" i="25580"/>
  <c r="E188" i="25580"/>
  <c r="C188" i="25580"/>
  <c r="D189" i="25580"/>
  <c r="G180" i="25580"/>
  <c r="D181" i="25580"/>
  <c r="E180" i="25580"/>
  <c r="F180" i="25580"/>
  <c r="G204" i="25580"/>
  <c r="F192" i="25580"/>
  <c r="G146" i="25580"/>
  <c r="C122" i="25580"/>
  <c r="G122" i="25580"/>
  <c r="D123" i="25580"/>
  <c r="F114" i="25580"/>
  <c r="F90" i="25580"/>
  <c r="C57" i="25580"/>
  <c r="C41" i="25580"/>
  <c r="F33" i="25580"/>
  <c r="C112" i="25580"/>
  <c r="G75" i="25580"/>
  <c r="C16" i="25580"/>
  <c r="E156" i="25580"/>
  <c r="E216" i="25580"/>
  <c r="D78" i="25580"/>
  <c r="G240" i="25580"/>
  <c r="C35" i="25580"/>
  <c r="E220" i="25580"/>
  <c r="F211" i="25580"/>
  <c r="D211" i="25580"/>
  <c r="G211" i="25580"/>
  <c r="C211" i="25580"/>
  <c r="C203" i="25580"/>
  <c r="F215" i="25580"/>
  <c r="E67" i="25580"/>
  <c r="E41" i="25580"/>
  <c r="C170" i="25580"/>
  <c r="C13" i="25580"/>
  <c r="E43" i="25580"/>
  <c r="G170" i="25580"/>
  <c r="F182" i="25580"/>
  <c r="F170" i="25580"/>
  <c r="E170" i="25580"/>
  <c r="G174" i="25580"/>
  <c r="E150" i="25580"/>
  <c r="D150" i="25580"/>
  <c r="G150" i="25580"/>
  <c r="C150" i="25580"/>
  <c r="F150" i="25580"/>
  <c r="F155" i="25580"/>
  <c r="D143" i="25580"/>
  <c r="D144" i="25580"/>
  <c r="F143" i="25580"/>
  <c r="C143" i="25580"/>
  <c r="G143" i="25580"/>
  <c r="G160" i="25580"/>
  <c r="F136" i="25580"/>
  <c r="D128" i="25580"/>
  <c r="F140" i="25580"/>
  <c r="C153" i="25580"/>
  <c r="E153" i="25580"/>
  <c r="D154" i="25580"/>
  <c r="E107" i="25580"/>
  <c r="C107" i="25580"/>
  <c r="G91" i="25580"/>
  <c r="F91" i="25580"/>
  <c r="D92" i="25580"/>
  <c r="F75" i="25580"/>
  <c r="C75" i="25580"/>
  <c r="D76" i="25580"/>
  <c r="E66" i="25580"/>
  <c r="D66" i="25580"/>
  <c r="G90" i="25580"/>
  <c r="C66" i="25580"/>
  <c r="G50" i="25580"/>
  <c r="E50" i="25580"/>
  <c r="D51" i="25580"/>
  <c r="F50" i="25580"/>
  <c r="D43" i="25580"/>
  <c r="G42" i="25580"/>
  <c r="F42" i="25580"/>
  <c r="E42" i="25580"/>
  <c r="D19" i="25580"/>
  <c r="E18" i="25580"/>
  <c r="D221" i="25580"/>
  <c r="C49" i="25580"/>
  <c r="C151" i="25580"/>
  <c r="C148" i="25580"/>
  <c r="C181" i="25580"/>
  <c r="C201" i="25580"/>
  <c r="C116" i="25580"/>
  <c r="C205" i="25580"/>
  <c r="C20" i="25580"/>
  <c r="C44" i="25580"/>
  <c r="C126" i="25580"/>
  <c r="C119" i="25580"/>
  <c r="C15" i="25580"/>
  <c r="C217" i="25580"/>
  <c r="C72" i="25580"/>
  <c r="C146" i="25580"/>
  <c r="C19" i="25580"/>
  <c r="C156" i="25580"/>
  <c r="C198" i="25580"/>
  <c r="C38" i="25580"/>
  <c r="C23" i="25580"/>
  <c r="C225" i="25580"/>
  <c r="C132" i="25580"/>
  <c r="C182" i="25580"/>
  <c r="G69" i="25580"/>
  <c r="D38" i="25580"/>
  <c r="F34" i="25580"/>
  <c r="C74" i="25580"/>
  <c r="G217" i="25580"/>
  <c r="D194" i="25580"/>
  <c r="G193" i="25580"/>
  <c r="C177" i="25580"/>
  <c r="F189" i="25580"/>
  <c r="G142" i="25580"/>
  <c r="F127" i="25580"/>
  <c r="G203" i="25580"/>
  <c r="G196" i="25580"/>
  <c r="C152" i="25580"/>
  <c r="C223" i="25580"/>
  <c r="D159" i="25580"/>
  <c r="D74" i="25580"/>
  <c r="E187" i="25580"/>
  <c r="G166" i="25580"/>
  <c r="D142" i="25580"/>
  <c r="F176" i="25580"/>
  <c r="F32" i="25580"/>
  <c r="D164" i="25580"/>
  <c r="F163" i="25580"/>
  <c r="G52" i="25580"/>
  <c r="G184" i="25580"/>
  <c r="D12" i="25580"/>
  <c r="D138" i="25580"/>
  <c r="D90" i="25580"/>
  <c r="G123" i="25580"/>
  <c r="F120" i="25580"/>
  <c r="G124" i="25580"/>
  <c r="C92" i="25580"/>
  <c r="C256" i="25580"/>
  <c r="D18" i="25580"/>
  <c r="G190" i="25580"/>
  <c r="G159" i="25580"/>
  <c r="F222" i="25580"/>
  <c r="D73" i="25580"/>
  <c r="C17" i="25580"/>
  <c r="F57" i="25580"/>
  <c r="F157" i="25580"/>
  <c r="E81" i="25580"/>
  <c r="F158" i="25580"/>
  <c r="C121" i="25580"/>
  <c r="G163" i="25580"/>
  <c r="F48" i="25580"/>
  <c r="E57" i="25580"/>
  <c r="D219" i="25580"/>
  <c r="D222" i="25580"/>
  <c r="C191" i="25580"/>
  <c r="C141" i="25580"/>
  <c r="G56" i="25580"/>
  <c r="E219" i="25580"/>
  <c r="F223" i="25580"/>
  <c r="F49" i="25580"/>
  <c r="E98" i="25580"/>
  <c r="C36" i="25580"/>
  <c r="F36" i="25580"/>
  <c r="E197" i="25580"/>
  <c r="G157" i="25580"/>
  <c r="D160" i="25580"/>
  <c r="C135" i="25580"/>
  <c r="F106" i="25580"/>
  <c r="D10" i="25580"/>
  <c r="C98" i="25580"/>
  <c r="E223" i="25580"/>
  <c r="E51" i="25580"/>
  <c r="F64" i="25580"/>
  <c r="D140" i="25580"/>
  <c r="F38" i="25580"/>
  <c r="G51" i="25585"/>
  <c r="D39" i="3"/>
  <c r="E9" i="3"/>
  <c r="D85" i="3"/>
  <c r="H112" i="3"/>
  <c r="D165" i="3"/>
  <c r="D89" i="3"/>
  <c r="E18" i="3"/>
  <c r="F136" i="3"/>
  <c r="D136" i="3"/>
  <c r="H136" i="3"/>
  <c r="E136" i="3"/>
  <c r="D127" i="3"/>
  <c r="H127" i="3"/>
  <c r="F127" i="3"/>
  <c r="E128" i="3"/>
  <c r="H151" i="3"/>
  <c r="H119" i="3"/>
  <c r="G119" i="3"/>
  <c r="E119" i="3"/>
  <c r="F111" i="3"/>
  <c r="D111" i="3"/>
  <c r="G123" i="3"/>
  <c r="H103" i="3"/>
  <c r="D95" i="3"/>
  <c r="E95" i="3"/>
  <c r="G95" i="3"/>
  <c r="H95" i="3"/>
  <c r="D15" i="3"/>
  <c r="G80" i="3"/>
  <c r="F80" i="3"/>
  <c r="H59" i="3"/>
  <c r="E60" i="3"/>
  <c r="G42" i="3"/>
  <c r="H42" i="3"/>
  <c r="G54" i="3"/>
  <c r="D166" i="3"/>
  <c r="D42" i="3"/>
  <c r="D23" i="3"/>
  <c r="E121" i="3"/>
  <c r="E120" i="3"/>
  <c r="F120" i="3"/>
  <c r="D120" i="3"/>
  <c r="E105" i="3"/>
  <c r="G116" i="3"/>
  <c r="G82" i="3"/>
  <c r="F70" i="3"/>
  <c r="H82" i="3"/>
  <c r="E58" i="3"/>
  <c r="H41" i="3"/>
  <c r="D41" i="3"/>
  <c r="D112" i="3"/>
  <c r="D48" i="3"/>
  <c r="D96" i="3"/>
  <c r="H104" i="3"/>
  <c r="G210" i="3"/>
  <c r="D198" i="3"/>
  <c r="E198" i="3"/>
  <c r="E190" i="3"/>
  <c r="G190" i="3"/>
  <c r="H190" i="3"/>
  <c r="F182" i="3"/>
  <c r="G194" i="3"/>
  <c r="H182" i="3"/>
  <c r="H206" i="3"/>
  <c r="G182" i="3"/>
  <c r="E182" i="3"/>
  <c r="E175" i="3"/>
  <c r="H174" i="3"/>
  <c r="G178" i="3"/>
  <c r="E166" i="3"/>
  <c r="G166" i="3"/>
  <c r="H158" i="3"/>
  <c r="G170" i="3"/>
  <c r="F158" i="3"/>
  <c r="E159" i="3"/>
  <c r="D150" i="3"/>
  <c r="H150" i="3"/>
  <c r="E135" i="3"/>
  <c r="H159" i="3"/>
  <c r="G147" i="3"/>
  <c r="D135" i="3"/>
  <c r="G135" i="3"/>
  <c r="H135" i="3"/>
  <c r="H126" i="3"/>
  <c r="F126" i="3"/>
  <c r="D86" i="3"/>
  <c r="D34" i="3"/>
  <c r="H34" i="3"/>
  <c r="G34" i="3"/>
  <c r="D12" i="3"/>
  <c r="E104" i="3"/>
  <c r="D183" i="3"/>
  <c r="H120" i="3"/>
  <c r="D225" i="3"/>
  <c r="E213" i="3"/>
  <c r="H213" i="3"/>
  <c r="F216" i="3"/>
  <c r="F211" i="3"/>
  <c r="F217" i="3"/>
  <c r="F209" i="3"/>
  <c r="H205" i="3"/>
  <c r="F206" i="3"/>
  <c r="D197" i="3"/>
  <c r="E197" i="3"/>
  <c r="H197" i="3"/>
  <c r="G201" i="3"/>
  <c r="C408" i="3"/>
  <c r="L385" i="3"/>
  <c r="E189" i="3"/>
  <c r="F189" i="3"/>
  <c r="H189" i="3"/>
  <c r="D189" i="3"/>
  <c r="H181" i="3"/>
  <c r="F186" i="3"/>
  <c r="F187" i="3"/>
  <c r="F181" i="3"/>
  <c r="H173" i="3"/>
  <c r="D173" i="3"/>
  <c r="E173" i="3"/>
  <c r="E157" i="3"/>
  <c r="G157" i="3"/>
  <c r="F167" i="3"/>
  <c r="G169" i="3"/>
  <c r="H142" i="3"/>
  <c r="E142" i="3"/>
  <c r="D142" i="3"/>
  <c r="H71" i="3"/>
  <c r="E72" i="3"/>
  <c r="F71" i="3"/>
  <c r="D71" i="3"/>
  <c r="H51" i="3"/>
  <c r="G51" i="3"/>
  <c r="E52" i="3"/>
  <c r="E27" i="3"/>
  <c r="D26" i="3"/>
  <c r="D131" i="3"/>
  <c r="D35" i="3"/>
  <c r="D37" i="3"/>
  <c r="D14" i="3"/>
  <c r="D72" i="3"/>
  <c r="D123" i="3"/>
  <c r="D210" i="3"/>
  <c r="D47" i="3"/>
  <c r="D148" i="3"/>
  <c r="D52" i="3"/>
  <c r="D206" i="3"/>
  <c r="D31" i="3"/>
  <c r="D151" i="3"/>
  <c r="D121" i="3"/>
  <c r="D100" i="3"/>
  <c r="D93" i="3"/>
  <c r="D178" i="3"/>
  <c r="D82" i="3"/>
  <c r="D13" i="3"/>
  <c r="D18" i="3"/>
  <c r="D117" i="3"/>
  <c r="D186" i="3"/>
  <c r="D9" i="3"/>
  <c r="D218" i="3"/>
  <c r="D92" i="3"/>
  <c r="D223" i="3"/>
  <c r="D94" i="3"/>
  <c r="D118" i="3"/>
  <c r="D154" i="3"/>
  <c r="D170" i="3"/>
  <c r="D167" i="3"/>
  <c r="D139" i="3"/>
  <c r="D56" i="3"/>
  <c r="D113" i="3"/>
  <c r="D129" i="3"/>
  <c r="D162" i="3"/>
  <c r="D132" i="3"/>
  <c r="D159" i="3"/>
  <c r="D106" i="3"/>
  <c r="D217" i="3"/>
  <c r="D45" i="3"/>
  <c r="D200" i="3"/>
  <c r="D168" i="3"/>
  <c r="G112" i="3"/>
  <c r="E113" i="3"/>
  <c r="F78" i="3"/>
  <c r="H78" i="3"/>
  <c r="D78" i="3"/>
  <c r="D50" i="3"/>
  <c r="H50" i="3"/>
  <c r="D11" i="3"/>
  <c r="D147" i="3"/>
  <c r="G92" i="3"/>
  <c r="H96" i="3"/>
  <c r="G83" i="3"/>
  <c r="D79" i="3"/>
  <c r="E79" i="3"/>
  <c r="F212" i="3"/>
  <c r="H212" i="3"/>
  <c r="E212" i="3"/>
  <c r="F188" i="3"/>
  <c r="F164" i="3"/>
  <c r="D149" i="3"/>
  <c r="E199" i="3"/>
  <c r="D192" i="3"/>
  <c r="F184" i="3"/>
  <c r="F168" i="3"/>
  <c r="D137" i="3"/>
  <c r="D130" i="3"/>
  <c r="D122" i="3"/>
  <c r="E48" i="3"/>
  <c r="H145" i="3"/>
  <c r="G137" i="3"/>
  <c r="G203" i="3"/>
  <c r="H97" i="3"/>
  <c r="G221" i="3"/>
  <c r="H44" i="3"/>
  <c r="D102" i="3"/>
  <c r="D221" i="3"/>
  <c r="E203" i="3"/>
  <c r="F160" i="3"/>
  <c r="F196" i="3"/>
  <c r="E224" i="3"/>
  <c r="E214" i="3"/>
  <c r="H77" i="3"/>
  <c r="D57" i="3"/>
  <c r="D32" i="3"/>
  <c r="F147" i="3"/>
  <c r="H52" i="3"/>
  <c r="F151" i="3"/>
  <c r="F223" i="3"/>
  <c r="G176" i="3"/>
  <c r="F76" i="3"/>
  <c r="G223" i="3"/>
  <c r="D196" i="3"/>
  <c r="H102" i="3"/>
  <c r="G222" i="3"/>
  <c r="G22" i="3"/>
  <c r="D256" i="3"/>
  <c r="E226" i="3"/>
  <c r="E126" i="3"/>
  <c r="H40" i="3"/>
  <c r="G48" i="3"/>
  <c r="D28" i="3"/>
  <c r="G225" i="3"/>
  <c r="E73" i="3"/>
  <c r="F44" i="3"/>
  <c r="H83" i="3"/>
  <c r="H39" i="3"/>
  <c r="E211" i="3"/>
  <c r="E45" i="3"/>
  <c r="H125" i="3"/>
  <c r="H60" i="3"/>
  <c r="G139" i="3"/>
  <c r="G96" i="3"/>
  <c r="F75" i="3"/>
  <c r="G46" i="3"/>
  <c r="G38" i="3"/>
  <c r="D125" i="3"/>
  <c r="H57" i="3"/>
  <c r="E28" i="3"/>
  <c r="H225" i="3"/>
  <c r="H130" i="3"/>
  <c r="E83" i="3"/>
  <c r="F219" i="3"/>
  <c r="G125" i="3"/>
  <c r="E36" i="3"/>
  <c r="H228" i="3"/>
  <c r="E208" i="3"/>
  <c r="G193" i="3"/>
  <c r="F174" i="3"/>
  <c r="D161" i="3"/>
  <c r="G153" i="3"/>
  <c r="H170" i="3"/>
  <c r="E131" i="3"/>
  <c r="G122" i="3"/>
  <c r="H139" i="3"/>
  <c r="G99" i="3"/>
  <c r="G103" i="3"/>
  <c r="G86" i="3"/>
  <c r="D252" i="32"/>
  <c r="G255" i="20994"/>
  <c r="C180" i="2819"/>
  <c r="G190" i="2819"/>
  <c r="C194" i="8196"/>
  <c r="C257" i="25580"/>
  <c r="F164" i="516"/>
  <c r="H40" i="82"/>
  <c r="G159" i="515"/>
  <c r="H149" i="82"/>
  <c r="C156" i="11522"/>
  <c r="G163" i="36"/>
  <c r="E162" i="40"/>
  <c r="H128" i="515"/>
  <c r="H47" i="515"/>
  <c r="H143" i="515"/>
  <c r="H12" i="515"/>
  <c r="H64" i="515"/>
  <c r="H36" i="515"/>
  <c r="H96" i="40"/>
  <c r="H160" i="40"/>
  <c r="H134" i="40"/>
  <c r="H70" i="40"/>
  <c r="H64" i="40"/>
  <c r="H124" i="82"/>
  <c r="H47" i="82"/>
  <c r="D163" i="82"/>
  <c r="C159" i="515"/>
  <c r="H93" i="82"/>
  <c r="H99" i="82"/>
  <c r="F151" i="82"/>
  <c r="H94" i="82"/>
  <c r="C194" i="2316"/>
  <c r="C194" i="25588"/>
  <c r="G194" i="25588"/>
  <c r="C166" i="2819"/>
  <c r="E158" i="523"/>
  <c r="G170" i="512"/>
  <c r="C236" i="10541"/>
  <c r="C139" i="10285"/>
  <c r="E152" i="82"/>
  <c r="H60" i="515"/>
  <c r="H92" i="515"/>
  <c r="H87" i="515"/>
  <c r="H69" i="515"/>
  <c r="H37" i="515"/>
  <c r="H18" i="515"/>
  <c r="H18" i="40"/>
  <c r="H161" i="40"/>
  <c r="H135" i="40"/>
  <c r="H122" i="40"/>
  <c r="E168" i="36"/>
  <c r="H95" i="82"/>
  <c r="H58" i="82"/>
  <c r="H126" i="11522"/>
  <c r="H166" i="82"/>
  <c r="E163" i="40"/>
  <c r="E164" i="11522"/>
  <c r="H104" i="11522"/>
  <c r="H56" i="11522"/>
  <c r="H127" i="11522"/>
  <c r="H70" i="11522"/>
  <c r="H51" i="11522"/>
  <c r="H39" i="11522"/>
  <c r="H138" i="11522"/>
  <c r="H101" i="11522"/>
  <c r="C171" i="11522"/>
  <c r="G156" i="40"/>
  <c r="F149" i="516"/>
  <c r="H165" i="82"/>
  <c r="H41" i="82"/>
  <c r="H74" i="82"/>
  <c r="D151" i="11522"/>
  <c r="C170" i="82"/>
  <c r="H37" i="82"/>
  <c r="F166" i="515"/>
  <c r="G167" i="515"/>
  <c r="E149" i="40"/>
  <c r="H59" i="36"/>
  <c r="F161" i="516"/>
  <c r="C263" i="25580"/>
  <c r="C143" i="10285"/>
  <c r="H7" i="82"/>
  <c r="H157" i="82"/>
  <c r="H131" i="82"/>
  <c r="H51" i="515"/>
  <c r="H23" i="40"/>
  <c r="E169" i="82"/>
  <c r="E169" i="516"/>
  <c r="H164" i="516"/>
  <c r="H64" i="11522"/>
  <c r="H53" i="11522"/>
  <c r="H98" i="11522"/>
  <c r="H104" i="82"/>
  <c r="G170" i="82"/>
  <c r="F165" i="40"/>
  <c r="F162" i="40"/>
  <c r="E163" i="515"/>
  <c r="H131" i="515"/>
  <c r="H96" i="515"/>
  <c r="H100" i="515"/>
  <c r="H35" i="515"/>
  <c r="H38" i="515"/>
  <c r="H33" i="515"/>
  <c r="C162" i="36"/>
  <c r="H38" i="40"/>
  <c r="H140" i="40"/>
  <c r="H102" i="40"/>
  <c r="H92" i="40"/>
  <c r="E164" i="36"/>
  <c r="G169" i="82"/>
  <c r="H126" i="36"/>
  <c r="F156" i="11522"/>
  <c r="H155" i="516"/>
  <c r="H91" i="82"/>
  <c r="H54" i="82"/>
  <c r="H56" i="82"/>
  <c r="H148" i="82"/>
  <c r="H74" i="11522"/>
  <c r="C164" i="516"/>
  <c r="E151" i="515"/>
  <c r="D150" i="516"/>
  <c r="H92" i="11522"/>
  <c r="H59" i="11522"/>
  <c r="H24" i="11522"/>
  <c r="H110" i="11522"/>
  <c r="H100" i="11522"/>
  <c r="H40" i="11522"/>
  <c r="H30" i="11522"/>
  <c r="H107" i="11522"/>
  <c r="H47" i="11522"/>
  <c r="H116" i="11522"/>
  <c r="C156" i="40"/>
  <c r="E149" i="516"/>
  <c r="H92" i="82"/>
  <c r="H90" i="82"/>
  <c r="C163" i="516"/>
  <c r="D167" i="11522"/>
  <c r="G170" i="36"/>
  <c r="E167" i="515"/>
  <c r="C263" i="25587"/>
  <c r="C194" i="25589"/>
  <c r="C171" i="82"/>
  <c r="H166" i="515"/>
  <c r="H81" i="515"/>
  <c r="H90" i="40"/>
  <c r="H130" i="82"/>
  <c r="E257" i="25580"/>
  <c r="H15" i="11522"/>
  <c r="H117" i="11522"/>
  <c r="H143" i="11522"/>
  <c r="H122" i="11522"/>
  <c r="E171" i="11522"/>
  <c r="H122" i="82"/>
  <c r="F159" i="515"/>
  <c r="D166" i="11522"/>
  <c r="H161" i="11522"/>
  <c r="C194" i="523"/>
  <c r="C228" i="10541"/>
  <c r="H140" i="515"/>
  <c r="H158" i="515"/>
  <c r="H31" i="515"/>
  <c r="H117" i="515"/>
  <c r="F171" i="515"/>
  <c r="H144" i="515"/>
  <c r="H129" i="40"/>
  <c r="H63" i="40"/>
  <c r="H48" i="40"/>
  <c r="H100" i="40"/>
  <c r="F171" i="40"/>
  <c r="D159" i="515"/>
  <c r="D169" i="82"/>
  <c r="D170" i="40"/>
  <c r="H47" i="36"/>
  <c r="F150" i="82"/>
  <c r="F151" i="11522"/>
  <c r="H19" i="82"/>
  <c r="H169" i="82"/>
  <c r="H73" i="82"/>
  <c r="H152" i="36"/>
  <c r="H146" i="11522"/>
  <c r="H79" i="11522"/>
  <c r="D157" i="40"/>
  <c r="F151" i="515"/>
  <c r="G159" i="11522"/>
  <c r="H11" i="11522"/>
  <c r="H142" i="11522"/>
  <c r="H133" i="11522"/>
  <c r="H85" i="11522"/>
  <c r="H99" i="11522"/>
  <c r="H41" i="11522"/>
  <c r="H82" i="11522"/>
  <c r="H108" i="11522"/>
  <c r="H65" i="11522"/>
  <c r="H54" i="11522"/>
  <c r="H113" i="82"/>
  <c r="H116" i="82"/>
  <c r="G168" i="36"/>
  <c r="H151" i="82"/>
  <c r="C166" i="11522"/>
  <c r="H137" i="82"/>
  <c r="F167" i="515"/>
  <c r="G149" i="82"/>
  <c r="E155" i="36"/>
  <c r="D154" i="82"/>
  <c r="D164" i="36"/>
  <c r="C263" i="4888"/>
  <c r="G44" i="25585"/>
  <c r="H167" i="515"/>
  <c r="H88" i="515"/>
  <c r="H107" i="515"/>
  <c r="H151" i="40"/>
  <c r="H52" i="40"/>
  <c r="D165" i="11522"/>
  <c r="H142" i="82"/>
  <c r="H114" i="11522"/>
  <c r="H63" i="11522"/>
  <c r="F168" i="40"/>
  <c r="H154" i="82"/>
  <c r="C185" i="512"/>
  <c r="F156" i="40"/>
  <c r="G153" i="40"/>
  <c r="G35" i="25585"/>
  <c r="D227" i="25580"/>
  <c r="H122" i="515"/>
  <c r="H104" i="515"/>
  <c r="H29" i="515"/>
  <c r="H20" i="515"/>
  <c r="H32" i="515"/>
  <c r="H132" i="515"/>
  <c r="H129" i="515"/>
  <c r="H147" i="40"/>
  <c r="H31" i="40"/>
  <c r="H113" i="40"/>
  <c r="H7" i="40"/>
  <c r="E158" i="515"/>
  <c r="C169" i="82"/>
  <c r="H78" i="36"/>
  <c r="G151" i="11522"/>
  <c r="H83" i="82"/>
  <c r="H62" i="82"/>
  <c r="F164" i="36"/>
  <c r="H26" i="11522"/>
  <c r="H31" i="11522"/>
  <c r="E158" i="36"/>
  <c r="H166" i="11522"/>
  <c r="H113" i="11522"/>
  <c r="H159" i="11522"/>
  <c r="H38" i="11522"/>
  <c r="H111" i="11522"/>
  <c r="H46" i="11522"/>
  <c r="H123" i="11522"/>
  <c r="H21" i="11522"/>
  <c r="H42" i="11522"/>
  <c r="H149" i="516"/>
  <c r="H52" i="82"/>
  <c r="H109" i="82"/>
  <c r="H67" i="82"/>
  <c r="D149" i="82"/>
  <c r="D169" i="36"/>
  <c r="C194" i="25590"/>
  <c r="C143" i="768"/>
  <c r="G141" i="768"/>
  <c r="F192" i="25590"/>
  <c r="C141" i="768"/>
  <c r="D194" i="512"/>
  <c r="D261" i="4888"/>
  <c r="F180" i="2316"/>
  <c r="D240" i="3"/>
  <c r="E258" i="3"/>
  <c r="D246" i="3"/>
  <c r="C123" i="768"/>
  <c r="D177" i="2819"/>
  <c r="E249" i="10541"/>
  <c r="G134" i="768"/>
  <c r="C242" i="4888"/>
  <c r="F138" i="768"/>
  <c r="G175" i="2316"/>
  <c r="F159" i="2316"/>
  <c r="C158" i="523"/>
  <c r="G258" i="10541"/>
  <c r="D245" i="10541"/>
  <c r="C177" i="2048"/>
  <c r="E165" i="2048"/>
  <c r="F161" i="512"/>
  <c r="E245" i="25580"/>
  <c r="E253" i="20994"/>
  <c r="E240" i="10541"/>
  <c r="G130" i="768"/>
  <c r="C166" i="2316"/>
  <c r="C159" i="2316"/>
  <c r="C231" i="10541"/>
  <c r="C232" i="4888"/>
  <c r="G184" i="25588"/>
  <c r="F164" i="2048"/>
  <c r="C182" i="1024"/>
  <c r="D182" i="1024" s="1"/>
  <c r="G231" i="32"/>
  <c r="E114" i="10285"/>
  <c r="D263" i="3"/>
  <c r="E226" i="25580"/>
  <c r="G228" i="10541"/>
  <c r="D107" i="768"/>
  <c r="E164" i="2048"/>
  <c r="D179" i="512"/>
  <c r="G167" i="2819"/>
  <c r="F227" i="32"/>
  <c r="C226" i="25580"/>
  <c r="C113" i="768"/>
  <c r="D188" i="523"/>
  <c r="G240" i="10541"/>
  <c r="F228" i="10541"/>
  <c r="G178" i="523"/>
  <c r="E160" i="512"/>
  <c r="G235" i="25580"/>
  <c r="E165" i="512"/>
  <c r="G226" i="25580"/>
  <c r="G117" i="768"/>
  <c r="C249" i="2561"/>
  <c r="G224" i="10541"/>
  <c r="E171" i="512"/>
  <c r="G238" i="4888"/>
  <c r="E255" i="4888"/>
  <c r="G187" i="2819"/>
  <c r="E257" i="3"/>
  <c r="D245" i="3"/>
  <c r="H237" i="3"/>
  <c r="E238" i="3"/>
  <c r="F263" i="3"/>
  <c r="D244" i="3"/>
  <c r="D259" i="3"/>
  <c r="C162" i="523"/>
  <c r="C253" i="20994"/>
  <c r="D253" i="20994" s="1"/>
  <c r="D190" i="2316"/>
  <c r="C192" i="8196"/>
  <c r="D246" i="4888"/>
  <c r="C171" i="523"/>
  <c r="D119" i="10285"/>
  <c r="G37" i="25585"/>
  <c r="C261" i="4888"/>
  <c r="G120" i="10285"/>
  <c r="E124" i="10285"/>
  <c r="D189" i="2316"/>
  <c r="D190" i="2819"/>
  <c r="E186" i="2819"/>
  <c r="G171" i="2048"/>
  <c r="G121" i="10285"/>
  <c r="E122" i="10285"/>
  <c r="E258" i="32"/>
  <c r="C235" i="10541"/>
  <c r="C259" i="10541"/>
  <c r="F229" i="10541"/>
  <c r="E183" i="1024"/>
  <c r="F237" i="32"/>
  <c r="G163" i="523"/>
  <c r="F162" i="512"/>
  <c r="C191" i="8196"/>
  <c r="E261" i="4888"/>
  <c r="E258" i="4888"/>
  <c r="C109" i="10285"/>
  <c r="F156" i="2819"/>
  <c r="C157" i="523"/>
  <c r="D163" i="523"/>
  <c r="C163" i="523"/>
  <c r="E161" i="2048"/>
  <c r="C188" i="8196"/>
  <c r="D227" i="4888"/>
  <c r="G171" i="523"/>
  <c r="E260" i="4888"/>
  <c r="E254" i="25580"/>
  <c r="D251" i="4888"/>
  <c r="C156" i="2048"/>
  <c r="C122" i="768"/>
  <c r="C190" i="2316"/>
  <c r="D192" i="8196"/>
  <c r="C189" i="2819"/>
  <c r="F245" i="4888"/>
  <c r="E249" i="25580"/>
  <c r="C104" i="768"/>
  <c r="E235" i="10541"/>
  <c r="G123" i="10285"/>
  <c r="H186" i="1024"/>
  <c r="G237" i="32"/>
  <c r="E189" i="2819"/>
  <c r="G180" i="2819"/>
  <c r="G156" i="8196"/>
  <c r="D180" i="8196"/>
  <c r="G250" i="25580"/>
  <c r="C163" i="2819"/>
  <c r="F257" i="4888"/>
  <c r="C245" i="4888"/>
  <c r="C137" i="768"/>
  <c r="G175" i="512"/>
  <c r="D113" i="768"/>
  <c r="G122" i="768"/>
  <c r="C123" i="10285"/>
  <c r="E194" i="512"/>
  <c r="F163" i="523"/>
  <c r="G165" i="512"/>
  <c r="G45" i="25585"/>
  <c r="E240" i="25580"/>
  <c r="G119" i="10285"/>
  <c r="E105" i="10285"/>
  <c r="G189" i="1024"/>
  <c r="D259" i="32"/>
  <c r="D259" i="25580"/>
  <c r="F253" i="4888"/>
  <c r="D138" i="768"/>
  <c r="E157" i="512"/>
  <c r="C165" i="512"/>
  <c r="D183" i="2048"/>
  <c r="G188" i="2316"/>
  <c r="C253" i="4888"/>
  <c r="F170" i="512"/>
  <c r="F251" i="10541"/>
  <c r="D262" i="25587"/>
  <c r="G190" i="25588"/>
  <c r="D194" i="25589"/>
  <c r="E158" i="8196"/>
  <c r="D155" i="512"/>
  <c r="F191" i="8196"/>
  <c r="D171" i="2048"/>
  <c r="C186" i="2819"/>
  <c r="F164" i="2316"/>
  <c r="C191" i="2316"/>
  <c r="D138" i="10285"/>
  <c r="C258" i="25587"/>
  <c r="D189" i="25589"/>
  <c r="E225" i="25580"/>
  <c r="D226" i="25580"/>
  <c r="F233" i="4888"/>
  <c r="F189" i="2819"/>
  <c r="D189" i="523"/>
  <c r="E171" i="2048"/>
  <c r="C170" i="2048"/>
  <c r="D188" i="2316"/>
  <c r="E161" i="512"/>
  <c r="F179" i="512"/>
  <c r="F258" i="25580"/>
  <c r="F232" i="25580"/>
  <c r="G251" i="32"/>
  <c r="G166" i="512"/>
  <c r="D182" i="512"/>
  <c r="E189" i="9216"/>
  <c r="C224" i="2561"/>
  <c r="C140" i="768"/>
  <c r="D194" i="2819"/>
  <c r="D259" i="25587"/>
  <c r="E109" i="768"/>
  <c r="H177" i="1024"/>
  <c r="E231" i="10541"/>
  <c r="E247" i="4888"/>
  <c r="F135" i="768"/>
  <c r="H177" i="9216"/>
  <c r="G177" i="1024"/>
  <c r="F171" i="8196"/>
  <c r="C260" i="25580"/>
  <c r="C190" i="8196"/>
  <c r="E260" i="25580"/>
  <c r="C249" i="25580"/>
  <c r="E225" i="4888"/>
  <c r="G137" i="768"/>
  <c r="C177" i="1024"/>
  <c r="D177" i="1024" s="1"/>
  <c r="D158" i="523"/>
  <c r="G231" i="10541"/>
  <c r="F192" i="8196"/>
  <c r="F188" i="8196"/>
  <c r="C192" i="512"/>
  <c r="D186" i="2819"/>
  <c r="E239" i="32"/>
  <c r="C239" i="2561"/>
  <c r="G225" i="25580"/>
  <c r="E237" i="32"/>
  <c r="D179" i="523"/>
  <c r="C225" i="4888"/>
  <c r="C188" i="1024"/>
  <c r="D188" i="1024" s="1"/>
  <c r="F178" i="523"/>
  <c r="C256" i="2561"/>
  <c r="E263" i="4888"/>
  <c r="C184" i="25588"/>
  <c r="D114" i="10285"/>
  <c r="D247" i="4888"/>
  <c r="C179" i="2048"/>
  <c r="D260" i="10541"/>
  <c r="F192" i="2316"/>
  <c r="D194" i="2316"/>
  <c r="D263" i="25587"/>
  <c r="E170" i="25588"/>
  <c r="E256" i="25580"/>
  <c r="F245" i="25580"/>
  <c r="G229" i="25580"/>
  <c r="C134" i="10285"/>
  <c r="F125" i="768"/>
  <c r="G257" i="20994"/>
  <c r="E262" i="32"/>
  <c r="G244" i="32"/>
  <c r="E167" i="2819"/>
  <c r="C260" i="10541"/>
  <c r="D177" i="8196"/>
  <c r="C188" i="2316"/>
  <c r="C179" i="8196"/>
  <c r="E226" i="4888"/>
  <c r="G128" i="768"/>
  <c r="F188" i="2316"/>
  <c r="C176" i="8196"/>
  <c r="G177" i="2819"/>
  <c r="E189" i="8196"/>
  <c r="F254" i="25580"/>
  <c r="D258" i="4888"/>
  <c r="G182" i="2048"/>
  <c r="D125" i="10285"/>
  <c r="D263" i="4888"/>
  <c r="D194" i="523"/>
  <c r="C258" i="2561"/>
  <c r="D143" i="10285"/>
  <c r="G123" i="768"/>
  <c r="E178" i="1024"/>
  <c r="F234" i="32"/>
  <c r="D192" i="512"/>
  <c r="D258" i="25587"/>
  <c r="D194" i="25588"/>
  <c r="F256" i="25580"/>
  <c r="F238" i="25580"/>
  <c r="D230" i="25580"/>
  <c r="D128" i="768"/>
  <c r="G247" i="32"/>
  <c r="C192" i="2316"/>
  <c r="E157" i="523"/>
  <c r="C189" i="523"/>
  <c r="D192" i="2048"/>
  <c r="D172" i="2048"/>
  <c r="E159" i="8196"/>
  <c r="C175" i="512"/>
  <c r="D161" i="512"/>
  <c r="F191" i="512"/>
  <c r="D233" i="25580"/>
  <c r="F175" i="2819"/>
  <c r="C259" i="2561"/>
  <c r="C260" i="2561"/>
  <c r="D189" i="2048"/>
  <c r="E155" i="512"/>
  <c r="D194" i="25590"/>
  <c r="D263" i="25580"/>
  <c r="F194" i="9216"/>
  <c r="D174" i="25589"/>
  <c r="F194" i="25589"/>
  <c r="D158" i="25590"/>
  <c r="C166" i="25590"/>
  <c r="C174" i="25590"/>
  <c r="F174" i="25590"/>
  <c r="E174" i="25590"/>
  <c r="D158" i="25588"/>
  <c r="G178" i="25590"/>
  <c r="D186" i="25590"/>
  <c r="F247" i="25580"/>
  <c r="E247" i="25580"/>
  <c r="F259" i="25580"/>
  <c r="F176" i="2048"/>
  <c r="G136" i="10285"/>
  <c r="D177" i="2316"/>
  <c r="F260" i="25580"/>
  <c r="F171" i="523"/>
  <c r="F159" i="523"/>
  <c r="G139" i="10285"/>
  <c r="G115" i="10285"/>
  <c r="E188" i="9216"/>
  <c r="E187" i="9216"/>
  <c r="H187" i="9216"/>
  <c r="G158" i="2819"/>
  <c r="D158" i="2819"/>
  <c r="E127" i="10285"/>
  <c r="G192" i="1024"/>
  <c r="D170" i="2316"/>
  <c r="G158" i="25588"/>
  <c r="G178" i="25588"/>
  <c r="C155" i="25589"/>
  <c r="F155" i="25589"/>
  <c r="D155" i="25589"/>
  <c r="C187" i="25590"/>
  <c r="E143" i="10285"/>
  <c r="C234" i="25587"/>
  <c r="F262" i="25587"/>
  <c r="G156" i="25590"/>
  <c r="F172" i="25590"/>
  <c r="D250" i="32"/>
  <c r="G156" i="512"/>
  <c r="E156" i="512"/>
  <c r="C248" i="25580"/>
  <c r="F263" i="25587"/>
  <c r="F177" i="25590"/>
  <c r="D159" i="2819"/>
  <c r="D256" i="25580"/>
  <c r="G240" i="4888"/>
  <c r="D159" i="2316"/>
  <c r="G159" i="2819"/>
  <c r="G191" i="2048"/>
  <c r="E167" i="2048"/>
  <c r="F166" i="25589"/>
  <c r="G159" i="25589"/>
  <c r="F187" i="25589"/>
  <c r="G46" i="25585"/>
  <c r="E112" i="10285"/>
  <c r="F158" i="2316"/>
  <c r="E159" i="523"/>
  <c r="F179" i="2048"/>
  <c r="D257" i="25580"/>
  <c r="G183" i="512"/>
  <c r="F183" i="2048"/>
  <c r="E110" i="10285"/>
  <c r="C109" i="768"/>
  <c r="F109" i="768"/>
  <c r="D109" i="768"/>
  <c r="G109" i="768"/>
  <c r="E113" i="768"/>
  <c r="G164" i="8196"/>
  <c r="C164" i="8196"/>
  <c r="C234" i="2561"/>
  <c r="C233" i="4888"/>
  <c r="D233" i="4888"/>
  <c r="G257" i="4888"/>
  <c r="G233" i="4888"/>
  <c r="E118" i="10285"/>
  <c r="E116" i="10285"/>
  <c r="E120" i="10285"/>
  <c r="F109" i="10285"/>
  <c r="E243" i="3"/>
  <c r="E236" i="3"/>
  <c r="E235" i="3"/>
  <c r="C231" i="25580"/>
  <c r="D231" i="25580"/>
  <c r="C255" i="2561"/>
  <c r="H234" i="3"/>
  <c r="G234" i="3"/>
  <c r="E234" i="3"/>
  <c r="F225" i="32"/>
  <c r="D226" i="32"/>
  <c r="D238" i="3"/>
  <c r="G238" i="3"/>
  <c r="F192" i="1024"/>
  <c r="F194" i="1024"/>
  <c r="E184" i="1024"/>
  <c r="F186" i="1024"/>
  <c r="H185" i="9216"/>
  <c r="E185" i="9216"/>
  <c r="E263" i="3"/>
  <c r="F262" i="3"/>
  <c r="G160" i="25589"/>
  <c r="G168" i="25589"/>
  <c r="D248" i="25580"/>
  <c r="C159" i="523"/>
  <c r="D160" i="2819"/>
  <c r="F129" i="768"/>
  <c r="F159" i="512"/>
  <c r="C172" i="523"/>
  <c r="C155" i="523"/>
  <c r="E155" i="523"/>
  <c r="C248" i="2561"/>
  <c r="G243" i="32"/>
  <c r="E171" i="8196"/>
  <c r="C160" i="8196"/>
  <c r="E162" i="8196"/>
  <c r="D160" i="8196"/>
  <c r="E160" i="8196"/>
  <c r="C179" i="2316"/>
  <c r="D180" i="2316"/>
  <c r="E143" i="768"/>
  <c r="E108" i="768"/>
  <c r="C108" i="768"/>
  <c r="G185" i="8196"/>
  <c r="G132" i="768"/>
  <c r="E181" i="512"/>
  <c r="G181" i="512"/>
  <c r="C244" i="10541"/>
  <c r="C236" i="4888"/>
  <c r="E236" i="4888"/>
  <c r="G107" i="768"/>
  <c r="C107" i="768"/>
  <c r="E107" i="768"/>
  <c r="F160" i="2048"/>
  <c r="E170" i="2048"/>
  <c r="G163" i="2316"/>
  <c r="G187" i="2316"/>
  <c r="F251" i="3"/>
  <c r="C173" i="523"/>
  <c r="E245" i="3"/>
  <c r="F178" i="512"/>
  <c r="G178" i="512"/>
  <c r="E185" i="1024"/>
  <c r="H185" i="1024"/>
  <c r="C185" i="1024"/>
  <c r="D185" i="1024" s="1"/>
  <c r="C186" i="9216"/>
  <c r="D186" i="9216" s="1"/>
  <c r="E194" i="25588"/>
  <c r="C185" i="25590"/>
  <c r="C129" i="768"/>
  <c r="F227" i="25580"/>
  <c r="E227" i="25580"/>
  <c r="G227" i="25580"/>
  <c r="E178" i="523"/>
  <c r="E163" i="523"/>
  <c r="E263" i="10541"/>
  <c r="C253" i="10541"/>
  <c r="E260" i="10541"/>
  <c r="F171" i="2819"/>
  <c r="D171" i="2819"/>
  <c r="G167" i="2316"/>
  <c r="C167" i="2316"/>
  <c r="C166" i="2048"/>
  <c r="G192" i="512"/>
  <c r="E113" i="10285"/>
  <c r="G113" i="10285"/>
  <c r="E255" i="20994"/>
  <c r="G263" i="4888"/>
  <c r="C239" i="4888"/>
  <c r="D239" i="4888"/>
  <c r="F263" i="25580"/>
  <c r="G251" i="25580"/>
  <c r="E251" i="25580"/>
  <c r="G185" i="2819"/>
  <c r="D162" i="2819"/>
  <c r="C185" i="2048"/>
  <c r="G185" i="2048"/>
  <c r="C104" i="10285"/>
  <c r="F175" i="523"/>
  <c r="F143" i="10285"/>
  <c r="E110" i="768"/>
  <c r="F143" i="768"/>
  <c r="C248" i="10541"/>
  <c r="G173" i="2048"/>
  <c r="G119" i="768"/>
  <c r="G143" i="768"/>
  <c r="F173" i="512"/>
  <c r="C183" i="8196"/>
  <c r="E188" i="2048"/>
  <c r="E194" i="2048"/>
  <c r="G229" i="25587"/>
  <c r="F245" i="25587"/>
  <c r="E258" i="25587"/>
  <c r="E263" i="25587"/>
  <c r="F160" i="25588"/>
  <c r="E172" i="25588"/>
  <c r="G179" i="25588"/>
  <c r="G176" i="25589"/>
  <c r="G180" i="25590"/>
  <c r="E224" i="25580"/>
  <c r="C110" i="768"/>
  <c r="H250" i="20994"/>
  <c r="F185" i="523"/>
  <c r="C187" i="523"/>
  <c r="F252" i="3"/>
  <c r="D122" i="10285"/>
  <c r="F262" i="32"/>
  <c r="C237" i="10541"/>
  <c r="C247" i="20994"/>
  <c r="D247" i="20994" s="1"/>
  <c r="E237" i="10541"/>
  <c r="C157" i="2316"/>
  <c r="G264" i="32"/>
  <c r="E122" i="768"/>
  <c r="E256" i="32"/>
  <c r="D188" i="512"/>
  <c r="G257" i="32"/>
  <c r="C245" i="2561"/>
  <c r="G194" i="2819"/>
  <c r="G230" i="3"/>
  <c r="C179" i="523"/>
  <c r="C105" i="768"/>
  <c r="F255" i="4888"/>
  <c r="H263" i="3"/>
  <c r="E179" i="1024"/>
  <c r="D256" i="4888"/>
  <c r="H240" i="3"/>
  <c r="D230" i="10541"/>
  <c r="G194" i="523"/>
  <c r="C242" i="10541"/>
  <c r="E132" i="10285"/>
  <c r="E194" i="523"/>
  <c r="C186" i="8196"/>
  <c r="F187" i="2819"/>
  <c r="G261" i="4888"/>
  <c r="C173" i="25588"/>
  <c r="D169" i="25589"/>
  <c r="E188" i="25589"/>
  <c r="E194" i="25589"/>
  <c r="E192" i="25589"/>
  <c r="D120" i="10285"/>
  <c r="F121" i="10285"/>
  <c r="G110" i="768"/>
  <c r="F119" i="768"/>
  <c r="E250" i="20994"/>
  <c r="E182" i="1024"/>
  <c r="F168" i="523"/>
  <c r="G175" i="523"/>
  <c r="C225" i="10541"/>
  <c r="E172" i="2048"/>
  <c r="C183" i="2316"/>
  <c r="D237" i="10541"/>
  <c r="E166" i="512"/>
  <c r="G259" i="25580"/>
  <c r="C234" i="10541"/>
  <c r="C233" i="10541"/>
  <c r="D249" i="10541"/>
  <c r="F188" i="512"/>
  <c r="G253" i="4888"/>
  <c r="D135" i="768"/>
  <c r="F155" i="2316"/>
  <c r="E228" i="4888"/>
  <c r="C166" i="523"/>
  <c r="F259" i="10541"/>
  <c r="F176" i="523"/>
  <c r="E246" i="20994"/>
  <c r="G249" i="4888"/>
  <c r="G166" i="2819"/>
  <c r="C157" i="8196"/>
  <c r="G254" i="32"/>
  <c r="E264" i="32"/>
  <c r="G194" i="1024"/>
  <c r="C252" i="10541"/>
  <c r="F136" i="768"/>
  <c r="G231" i="25587"/>
  <c r="G263" i="25587"/>
  <c r="C255" i="25587"/>
  <c r="G155" i="25588"/>
  <c r="G187" i="25588"/>
  <c r="G194" i="25589"/>
  <c r="G169" i="25590"/>
  <c r="E182" i="25590"/>
  <c r="F194" i="25590"/>
  <c r="H246" i="3"/>
  <c r="G255" i="25580"/>
  <c r="G227" i="4888"/>
  <c r="G258" i="4888"/>
  <c r="D132" i="10285"/>
  <c r="F121" i="768"/>
  <c r="E251" i="20994"/>
  <c r="G190" i="2316"/>
  <c r="D156" i="2819"/>
  <c r="F166" i="2819"/>
  <c r="E156" i="523"/>
  <c r="D240" i="10541"/>
  <c r="D225" i="10541"/>
  <c r="F233" i="10541"/>
  <c r="G188" i="2048"/>
  <c r="G177" i="8196"/>
  <c r="C161" i="512"/>
  <c r="D176" i="2819"/>
  <c r="D254" i="3"/>
  <c r="F189" i="2048"/>
  <c r="E236" i="10541"/>
  <c r="F166" i="512"/>
  <c r="G180" i="512"/>
  <c r="C236" i="2561"/>
  <c r="D234" i="10541"/>
  <c r="C187" i="2819"/>
  <c r="C247" i="4888"/>
  <c r="G173" i="2316"/>
  <c r="G42" i="25585"/>
  <c r="C176" i="523"/>
  <c r="E252" i="4888"/>
  <c r="D166" i="512"/>
  <c r="C229" i="2561"/>
  <c r="E194" i="2819"/>
  <c r="C161" i="8196"/>
  <c r="C238" i="4888"/>
  <c r="G233" i="3"/>
  <c r="E176" i="2819"/>
  <c r="C135" i="768"/>
  <c r="D232" i="4888"/>
  <c r="F124" i="768"/>
  <c r="G194" i="8196"/>
  <c r="G263" i="3"/>
  <c r="G232" i="4888"/>
  <c r="F113" i="768"/>
  <c r="G40" i="25585"/>
  <c r="G194" i="9216"/>
  <c r="C252" i="2561"/>
  <c r="C184" i="8196"/>
  <c r="E194" i="8196"/>
  <c r="F180" i="2819"/>
  <c r="C243" i="4888"/>
  <c r="C178" i="2819"/>
  <c r="C186" i="2316"/>
  <c r="F170" i="2048"/>
  <c r="C226" i="2561"/>
  <c r="G174" i="8196"/>
  <c r="F263" i="10541"/>
  <c r="D170" i="512"/>
  <c r="C125" i="10285"/>
  <c r="G160" i="25588"/>
  <c r="F194" i="8196"/>
  <c r="F194" i="2316"/>
  <c r="C240" i="25587"/>
  <c r="C248" i="25587"/>
  <c r="D256" i="25587"/>
  <c r="E262" i="25587"/>
  <c r="F182" i="25588"/>
  <c r="F194" i="25588"/>
  <c r="C179" i="25589"/>
  <c r="D187" i="25589"/>
  <c r="G194" i="25590"/>
  <c r="G175" i="25590"/>
  <c r="C183" i="25590"/>
  <c r="F258" i="4888"/>
  <c r="E135" i="10285"/>
  <c r="F134" i="768"/>
  <c r="E257" i="20994"/>
  <c r="H179" i="1024"/>
  <c r="D178" i="2316"/>
  <c r="F164" i="523"/>
  <c r="G157" i="523"/>
  <c r="F240" i="10541"/>
  <c r="G164" i="2048"/>
  <c r="E168" i="8196"/>
  <c r="F170" i="2819"/>
  <c r="G189" i="2048"/>
  <c r="G176" i="512"/>
  <c r="D180" i="512"/>
  <c r="E252" i="25580"/>
  <c r="F110" i="768"/>
  <c r="G105" i="768"/>
  <c r="C232" i="2561"/>
  <c r="F256" i="20994"/>
  <c r="F263" i="20994"/>
  <c r="F263" i="4888"/>
  <c r="D242" i="25580"/>
  <c r="F156" i="2316"/>
  <c r="C121" i="10285"/>
  <c r="F157" i="523"/>
  <c r="F235" i="32"/>
  <c r="F264" i="32"/>
  <c r="G241" i="32"/>
  <c r="F246" i="3"/>
  <c r="F194" i="2819"/>
  <c r="E239" i="10541"/>
  <c r="C162" i="2316"/>
  <c r="F194" i="523"/>
  <c r="G194" i="2048"/>
  <c r="G190" i="9216"/>
  <c r="D244" i="10541"/>
  <c r="C247" i="2561"/>
  <c r="C254" i="4888"/>
  <c r="G242" i="4888"/>
  <c r="G263" i="25580"/>
  <c r="C235" i="2561"/>
  <c r="G194" i="512"/>
  <c r="G194" i="2316"/>
  <c r="D106" i="768"/>
  <c r="F116" i="768"/>
  <c r="F158" i="2819"/>
  <c r="G192" i="2316"/>
  <c r="G263" i="10541"/>
  <c r="E180" i="512"/>
  <c r="D174" i="2048"/>
  <c r="C182" i="512"/>
  <c r="F189" i="523"/>
  <c r="G180" i="25588"/>
  <c r="D163" i="25589"/>
  <c r="D255" i="25580"/>
  <c r="F244" i="4888"/>
  <c r="E121" i="10285"/>
  <c r="D123" i="768"/>
  <c r="G187" i="523"/>
  <c r="C177" i="512"/>
  <c r="F177" i="2048"/>
  <c r="C247" i="10541"/>
  <c r="C166" i="8196"/>
  <c r="C225" i="25587"/>
  <c r="D156" i="25588"/>
  <c r="E164" i="25588"/>
  <c r="F179" i="25589"/>
  <c r="C187" i="25589"/>
  <c r="D156" i="25590"/>
  <c r="C163" i="25590"/>
  <c r="G176" i="25590"/>
  <c r="G184" i="25590"/>
  <c r="E194" i="25590"/>
  <c r="F249" i="25580"/>
  <c r="G246" i="4888"/>
  <c r="G228" i="4888"/>
  <c r="F122" i="768"/>
  <c r="G118" i="768"/>
  <c r="D112" i="768"/>
  <c r="C134" i="768"/>
  <c r="F231" i="32"/>
  <c r="G166" i="2316"/>
  <c r="F190" i="2316"/>
  <c r="G183" i="2316"/>
  <c r="D175" i="2316"/>
  <c r="F187" i="523"/>
  <c r="G182" i="523"/>
  <c r="G233" i="10541"/>
  <c r="C240" i="10541"/>
  <c r="F156" i="2048"/>
  <c r="G165" i="2048"/>
  <c r="C158" i="8196"/>
  <c r="G182" i="512"/>
  <c r="C175" i="523"/>
  <c r="D185" i="2316"/>
  <c r="F192" i="512"/>
  <c r="F238" i="4888"/>
  <c r="F247" i="10541"/>
  <c r="D236" i="25580"/>
  <c r="F253" i="25580"/>
  <c r="E174" i="8196"/>
  <c r="G186" i="2819"/>
  <c r="E105" i="768"/>
  <c r="F163" i="2819"/>
  <c r="C186" i="523"/>
  <c r="E129" i="10285"/>
  <c r="G242" i="25580"/>
  <c r="G251" i="20994"/>
  <c r="G263" i="20994"/>
  <c r="E253" i="3"/>
  <c r="G171" i="512"/>
  <c r="D165" i="512"/>
  <c r="G135" i="768"/>
  <c r="E263" i="25580"/>
  <c r="G250" i="4888"/>
  <c r="F105" i="768"/>
  <c r="C227" i="2561"/>
  <c r="F176" i="2316"/>
  <c r="G190" i="512"/>
  <c r="C114" i="768"/>
  <c r="F255" i="25580"/>
  <c r="F120" i="768"/>
  <c r="G143" i="10285"/>
  <c r="D227" i="10541"/>
  <c r="F182" i="2048"/>
  <c r="F194" i="2048"/>
  <c r="C130" i="768"/>
  <c r="E228" i="32"/>
  <c r="G107" i="10285"/>
  <c r="F165" i="2048"/>
  <c r="F161" i="2048"/>
  <c r="C237" i="2561"/>
  <c r="F256" i="10541"/>
  <c r="C30" i="25590"/>
  <c r="C65" i="25590"/>
  <c r="E86" i="25590"/>
  <c r="C94" i="25590"/>
  <c r="E105" i="25590"/>
  <c r="D113" i="25590"/>
  <c r="C118" i="25590"/>
  <c r="D122" i="25590"/>
  <c r="D127" i="25590"/>
  <c r="E134" i="25590"/>
  <c r="E136" i="25590"/>
  <c r="C142" i="25590"/>
  <c r="F148" i="25590"/>
  <c r="C151" i="25590"/>
  <c r="D183" i="25590"/>
  <c r="C193" i="25590"/>
  <c r="C10" i="25590"/>
  <c r="D13" i="25590"/>
  <c r="C16" i="25590"/>
  <c r="F27" i="25590"/>
  <c r="D31" i="25590"/>
  <c r="G33" i="25590"/>
  <c r="F36" i="25590"/>
  <c r="F38" i="25590"/>
  <c r="C52" i="25590"/>
  <c r="E54" i="25590"/>
  <c r="F65" i="25590"/>
  <c r="C71" i="25590"/>
  <c r="C79" i="25590"/>
  <c r="G81" i="25590"/>
  <c r="C84" i="25590"/>
  <c r="E94" i="25590"/>
  <c r="G103" i="25590"/>
  <c r="G105" i="25590"/>
  <c r="C113" i="25590"/>
  <c r="G116" i="25590"/>
  <c r="F118" i="25590"/>
  <c r="G127" i="25590"/>
  <c r="G129" i="25590"/>
  <c r="G132" i="25590"/>
  <c r="G136" i="25590"/>
  <c r="D140" i="25590"/>
  <c r="E142" i="25590"/>
  <c r="D151" i="25590"/>
  <c r="C153" i="25590"/>
  <c r="C156" i="25590"/>
  <c r="G164" i="25590"/>
  <c r="C172" i="25590"/>
  <c r="D177" i="25590"/>
  <c r="D181" i="25590"/>
  <c r="G188" i="25590"/>
  <c r="F193" i="25590"/>
  <c r="F39" i="25590"/>
  <c r="F119" i="25590"/>
  <c r="C38" i="25590"/>
  <c r="C68" i="25590"/>
  <c r="C73" i="25590"/>
  <c r="C105" i="25590"/>
  <c r="E112" i="25590"/>
  <c r="G183" i="25590"/>
  <c r="D30" i="25590"/>
  <c r="D36" i="25590"/>
  <c r="C54" i="25590"/>
  <c r="E62" i="25590"/>
  <c r="G73" i="25590"/>
  <c r="G108" i="25590"/>
  <c r="G167" i="25590"/>
  <c r="C22" i="25590"/>
  <c r="C31" i="25590"/>
  <c r="C57" i="25590"/>
  <c r="D89" i="25590"/>
  <c r="D108" i="25590"/>
  <c r="F113" i="25590"/>
  <c r="F156" i="25590"/>
  <c r="G193" i="25590"/>
  <c r="C11" i="25590"/>
  <c r="E28" i="25590"/>
  <c r="E31" i="25590"/>
  <c r="D41" i="25590"/>
  <c r="C47" i="25590"/>
  <c r="C49" i="25590"/>
  <c r="F52" i="25590"/>
  <c r="G71" i="25590"/>
  <c r="G79" i="25590"/>
  <c r="C87" i="25590"/>
  <c r="C89" i="25590"/>
  <c r="C102" i="25590"/>
  <c r="D111" i="25590"/>
  <c r="G113" i="25590"/>
  <c r="C126" i="25590"/>
  <c r="D132" i="25590"/>
  <c r="C135" i="25590"/>
  <c r="D137" i="25590"/>
  <c r="C140" i="25590"/>
  <c r="F153" i="25590"/>
  <c r="D161" i="25590"/>
  <c r="C169" i="25590"/>
  <c r="C175" i="25590"/>
  <c r="G177" i="25590"/>
  <c r="C182" i="25590"/>
  <c r="C190" i="25590"/>
  <c r="F70" i="25590"/>
  <c r="E117" i="25590"/>
  <c r="F100" i="25590"/>
  <c r="C103" i="25590"/>
  <c r="E115" i="25590"/>
  <c r="C33" i="25590"/>
  <c r="C76" i="25590"/>
  <c r="E81" i="25590"/>
  <c r="G95" i="25590"/>
  <c r="F159" i="25590"/>
  <c r="C43" i="25590"/>
  <c r="D52" i="25590"/>
  <c r="G60" i="25590"/>
  <c r="F94" i="25590"/>
  <c r="C116" i="25590"/>
  <c r="E153" i="25590"/>
  <c r="F30" i="25590"/>
  <c r="C23" i="25590"/>
  <c r="C26" i="25590"/>
  <c r="D37" i="25590"/>
  <c r="C39" i="25590"/>
  <c r="C41" i="25590"/>
  <c r="D47" i="25590"/>
  <c r="C55" i="25590"/>
  <c r="G63" i="25590"/>
  <c r="D70" i="25590"/>
  <c r="D82" i="25590"/>
  <c r="D87" i="25590"/>
  <c r="F89" i="25590"/>
  <c r="C97" i="25590"/>
  <c r="E104" i="25590"/>
  <c r="D106" i="25590"/>
  <c r="E135" i="25590"/>
  <c r="D135" i="25590"/>
  <c r="C137" i="25590"/>
  <c r="C145" i="25590"/>
  <c r="G153" i="25590"/>
  <c r="F169" i="25590"/>
  <c r="D173" i="25590"/>
  <c r="D175" i="25590"/>
  <c r="C27" i="25590"/>
  <c r="C36" i="25590"/>
  <c r="F183" i="25590"/>
  <c r="E27" i="25590"/>
  <c r="E38" i="25590"/>
  <c r="D68" i="25590"/>
  <c r="E183" i="25590"/>
  <c r="F54" i="25590"/>
  <c r="C63" i="25590"/>
  <c r="D84" i="25590"/>
  <c r="G92" i="25590"/>
  <c r="C99" i="25590"/>
  <c r="C111" i="25590"/>
  <c r="C132" i="25590"/>
  <c r="F142" i="25590"/>
  <c r="C147" i="25590"/>
  <c r="D172" i="25590"/>
  <c r="E177" i="25590"/>
  <c r="D12" i="25590"/>
  <c r="F23" i="25590"/>
  <c r="D29" i="25590"/>
  <c r="F41" i="25590"/>
  <c r="D55" i="25590"/>
  <c r="C70" i="25590"/>
  <c r="G89" i="25590"/>
  <c r="G97" i="25590"/>
  <c r="C100" i="25590"/>
  <c r="D119" i="25590"/>
  <c r="G137" i="25590"/>
  <c r="E159" i="25590"/>
  <c r="D157" i="25590"/>
  <c r="D162" i="25590"/>
  <c r="D193" i="25590"/>
  <c r="F53" i="25589"/>
  <c r="G171" i="25589"/>
  <c r="C12" i="25589"/>
  <c r="E24" i="25589"/>
  <c r="C43" i="25589"/>
  <c r="F46" i="25589"/>
  <c r="F49" i="25589"/>
  <c r="G58" i="25589"/>
  <c r="C69" i="25589"/>
  <c r="C91" i="25589"/>
  <c r="C94" i="25589"/>
  <c r="G104" i="25589"/>
  <c r="G110" i="25589"/>
  <c r="C128" i="25589"/>
  <c r="D139" i="25589"/>
  <c r="D147" i="25589"/>
  <c r="E190" i="25589"/>
  <c r="E22" i="25589"/>
  <c r="C31" i="25589"/>
  <c r="E48" i="25589"/>
  <c r="G46" i="25589"/>
  <c r="E53" i="25589"/>
  <c r="C56" i="25589"/>
  <c r="C64" i="25589"/>
  <c r="G71" i="25589"/>
  <c r="C86" i="25589"/>
  <c r="G88" i="25589"/>
  <c r="G96" i="25589"/>
  <c r="G102" i="25589"/>
  <c r="E125" i="25589"/>
  <c r="C131" i="25589"/>
  <c r="E138" i="25589"/>
  <c r="C142" i="25589"/>
  <c r="E146" i="25589"/>
  <c r="C152" i="25589"/>
  <c r="G155" i="25589"/>
  <c r="D165" i="25589"/>
  <c r="G174" i="25589"/>
  <c r="C51" i="25589"/>
  <c r="F59" i="25589"/>
  <c r="F86" i="25589"/>
  <c r="C139" i="25589"/>
  <c r="C144" i="25589"/>
  <c r="C147" i="25589"/>
  <c r="C150" i="25589"/>
  <c r="C171" i="25589"/>
  <c r="D180" i="25589"/>
  <c r="C35" i="25589"/>
  <c r="F38" i="25589"/>
  <c r="C54" i="25589"/>
  <c r="D62" i="25589"/>
  <c r="D65" i="25589"/>
  <c r="C75" i="25589"/>
  <c r="E80" i="25589"/>
  <c r="G89" i="25589"/>
  <c r="C101" i="25589"/>
  <c r="C112" i="25589"/>
  <c r="C126" i="25589"/>
  <c r="E144" i="25589"/>
  <c r="C176" i="25589"/>
  <c r="C10" i="25589"/>
  <c r="C19" i="25589"/>
  <c r="C23" i="25589"/>
  <c r="C33" i="25589"/>
  <c r="G41" i="25589"/>
  <c r="C48" i="25589"/>
  <c r="F54" i="25589"/>
  <c r="D60" i="25589"/>
  <c r="F75" i="25589"/>
  <c r="F70" i="25589"/>
  <c r="E72" i="25589"/>
  <c r="D78" i="25589"/>
  <c r="G80" i="25589"/>
  <c r="G99" i="25589"/>
  <c r="C104" i="25589"/>
  <c r="E112" i="25589"/>
  <c r="G115" i="25589"/>
  <c r="F117" i="25589"/>
  <c r="C120" i="25589"/>
  <c r="C130" i="25589"/>
  <c r="G142" i="25589"/>
  <c r="G144" i="25589"/>
  <c r="G150" i="25589"/>
  <c r="F168" i="25589"/>
  <c r="G163" i="25589"/>
  <c r="C168" i="25589"/>
  <c r="D9" i="25589"/>
  <c r="E26" i="25589"/>
  <c r="E38" i="25589"/>
  <c r="G75" i="25589"/>
  <c r="C83" i="25589"/>
  <c r="C114" i="25589"/>
  <c r="C26" i="25589"/>
  <c r="F41" i="25589"/>
  <c r="F80" i="25589"/>
  <c r="F142" i="25589"/>
  <c r="D181" i="25589"/>
  <c r="C15" i="25589"/>
  <c r="E19" i="25589"/>
  <c r="F23" i="25589"/>
  <c r="D27" i="25589"/>
  <c r="C30" i="25589"/>
  <c r="E33" i="25589"/>
  <c r="C36" i="25589"/>
  <c r="C39" i="25589"/>
  <c r="C42" i="25589"/>
  <c r="D59" i="25589"/>
  <c r="E63" i="25589"/>
  <c r="G68" i="25589"/>
  <c r="G72" i="25589"/>
  <c r="F78" i="25589"/>
  <c r="D84" i="25589"/>
  <c r="F93" i="25589"/>
  <c r="C96" i="25589"/>
  <c r="C99" i="25589"/>
  <c r="E104" i="25589"/>
  <c r="G107" i="25589"/>
  <c r="C110" i="25589"/>
  <c r="F112" i="25589"/>
  <c r="C115" i="25589"/>
  <c r="E120" i="25589"/>
  <c r="D127" i="25589"/>
  <c r="C133" i="25589"/>
  <c r="D135" i="25589"/>
  <c r="D148" i="25589"/>
  <c r="C154" i="25589"/>
  <c r="C163" i="25589"/>
  <c r="C173" i="25589"/>
  <c r="D177" i="25589"/>
  <c r="C182" i="25589"/>
  <c r="C80" i="25589"/>
  <c r="E70" i="25589"/>
  <c r="C72" i="25589"/>
  <c r="C78" i="25589"/>
  <c r="F83" i="25589"/>
  <c r="E117" i="25589"/>
  <c r="C123" i="25589"/>
  <c r="G136" i="25589"/>
  <c r="F147" i="25589"/>
  <c r="D15" i="25589"/>
  <c r="E20" i="25589"/>
  <c r="C27" i="25589"/>
  <c r="F39" i="25589"/>
  <c r="E58" i="25589"/>
  <c r="D73" i="25589"/>
  <c r="E76" i="25589"/>
  <c r="F97" i="25589"/>
  <c r="G91" i="25589"/>
  <c r="D99" i="25589"/>
  <c r="C107" i="25589"/>
  <c r="F115" i="25589"/>
  <c r="G158" i="25589"/>
  <c r="F163" i="25589"/>
  <c r="D179" i="25589"/>
  <c r="F189" i="25589"/>
  <c r="G102" i="25588"/>
  <c r="G38" i="25588"/>
  <c r="C38" i="25588"/>
  <c r="C46" i="25588"/>
  <c r="C48" i="25588"/>
  <c r="C54" i="25588"/>
  <c r="F56" i="25588"/>
  <c r="G72" i="25588"/>
  <c r="C75" i="25588"/>
  <c r="C78" i="25588"/>
  <c r="C83" i="25588"/>
  <c r="G104" i="25588"/>
  <c r="F112" i="25588"/>
  <c r="F115" i="25588"/>
  <c r="D124" i="25588"/>
  <c r="E128" i="25588"/>
  <c r="C141" i="25588"/>
  <c r="C190" i="25588"/>
  <c r="C11" i="25588"/>
  <c r="D22" i="25588"/>
  <c r="E38" i="25588"/>
  <c r="C44" i="25588"/>
  <c r="E46" i="25588"/>
  <c r="E48" i="25588"/>
  <c r="F54" i="25588"/>
  <c r="F60" i="25588"/>
  <c r="G62" i="25588"/>
  <c r="D78" i="25588"/>
  <c r="C80" i="25588"/>
  <c r="D100" i="25588"/>
  <c r="D103" i="25588"/>
  <c r="D121" i="25588"/>
  <c r="F128" i="25588"/>
  <c r="F131" i="25588"/>
  <c r="D137" i="25588"/>
  <c r="E141" i="25588"/>
  <c r="D145" i="25588"/>
  <c r="C149" i="25588"/>
  <c r="C158" i="25588"/>
  <c r="C162" i="25588"/>
  <c r="G167" i="25588"/>
  <c r="C170" i="25588"/>
  <c r="E190" i="25588"/>
  <c r="D11" i="25588"/>
  <c r="C16" i="25588"/>
  <c r="C20" i="25588"/>
  <c r="E44" i="25588"/>
  <c r="C60" i="25588"/>
  <c r="G63" i="25588"/>
  <c r="F78" i="25588"/>
  <c r="G80" i="25588"/>
  <c r="E100" i="25588"/>
  <c r="G103" i="25588"/>
  <c r="E108" i="25588"/>
  <c r="D126" i="25588"/>
  <c r="G128" i="25588"/>
  <c r="F149" i="25588"/>
  <c r="C155" i="25588"/>
  <c r="E162" i="25588"/>
  <c r="G174" i="25588"/>
  <c r="G186" i="25588"/>
  <c r="E191" i="25588"/>
  <c r="E47" i="25588"/>
  <c r="D55" i="25588"/>
  <c r="C61" i="25588"/>
  <c r="C69" i="25588"/>
  <c r="D81" i="25588"/>
  <c r="E87" i="25588"/>
  <c r="C90" i="25588"/>
  <c r="G98" i="25588"/>
  <c r="D104" i="25588"/>
  <c r="D120" i="25588"/>
  <c r="G123" i="25588"/>
  <c r="C136" i="25588"/>
  <c r="G139" i="25588"/>
  <c r="C142" i="25588"/>
  <c r="C144" i="25588"/>
  <c r="G163" i="25588"/>
  <c r="E168" i="25588"/>
  <c r="C171" i="25588"/>
  <c r="D176" i="25588"/>
  <c r="C187" i="25588"/>
  <c r="E111" i="25588"/>
  <c r="F141" i="25588"/>
  <c r="E175" i="25588"/>
  <c r="G182" i="25588"/>
  <c r="C9" i="25588"/>
  <c r="D12" i="25588"/>
  <c r="F41" i="25588"/>
  <c r="E17" i="25588"/>
  <c r="F23" i="25588"/>
  <c r="C34" i="25588"/>
  <c r="G37" i="25588"/>
  <c r="G39" i="25588"/>
  <c r="C45" i="25588"/>
  <c r="F47" i="25588"/>
  <c r="E60" i="25588"/>
  <c r="G55" i="25588"/>
  <c r="C72" i="25588"/>
  <c r="C77" i="25588"/>
  <c r="D79" i="25588"/>
  <c r="D83" i="25588"/>
  <c r="G87" i="25588"/>
  <c r="C96" i="25588"/>
  <c r="G99" i="25588"/>
  <c r="C102" i="25588"/>
  <c r="C104" i="25588"/>
  <c r="C120" i="25588"/>
  <c r="C123" i="25588"/>
  <c r="F133" i="25588"/>
  <c r="E136" i="25588"/>
  <c r="F139" i="25588"/>
  <c r="D142" i="25588"/>
  <c r="E144" i="25588"/>
  <c r="G147" i="25588"/>
  <c r="C150" i="25588"/>
  <c r="C160" i="25588"/>
  <c r="C163" i="25588"/>
  <c r="C166" i="25588"/>
  <c r="F168" i="25588"/>
  <c r="D171" i="25588"/>
  <c r="E183" i="25588"/>
  <c r="D188" i="25588"/>
  <c r="D193" i="25588"/>
  <c r="G44" i="25588"/>
  <c r="F57" i="25588"/>
  <c r="G60" i="25588"/>
  <c r="D10" i="25588"/>
  <c r="C13" i="25588"/>
  <c r="C21" i="25588"/>
  <c r="C27" i="25588"/>
  <c r="C32" i="25588"/>
  <c r="F45" i="25588"/>
  <c r="C50" i="25588"/>
  <c r="G53" i="25588"/>
  <c r="D56" i="25588"/>
  <c r="C64" i="25588"/>
  <c r="D88" i="25588"/>
  <c r="G91" i="25588"/>
  <c r="E96" i="25588"/>
  <c r="C99" i="25588"/>
  <c r="G107" i="25588"/>
  <c r="C110" i="25588"/>
  <c r="C112" i="25588"/>
  <c r="G115" i="25588"/>
  <c r="E120" i="25588"/>
  <c r="G131" i="25588"/>
  <c r="F147" i="25588"/>
  <c r="D163" i="25588"/>
  <c r="D184" i="25588"/>
  <c r="G193" i="25588"/>
  <c r="G57" i="25587"/>
  <c r="E57" i="25587"/>
  <c r="C57" i="25587"/>
  <c r="E76" i="25587"/>
  <c r="G76" i="25587"/>
  <c r="F76" i="25587"/>
  <c r="D76" i="25587"/>
  <c r="D89" i="25587"/>
  <c r="C88" i="25587"/>
  <c r="G94" i="25587"/>
  <c r="F118" i="25587"/>
  <c r="D106" i="25587"/>
  <c r="G137" i="25587"/>
  <c r="F113" i="25587"/>
  <c r="G123" i="25587"/>
  <c r="C123" i="25587"/>
  <c r="D140" i="25587"/>
  <c r="G139" i="25587"/>
  <c r="C139" i="25587"/>
  <c r="G153" i="25587"/>
  <c r="E153" i="25587"/>
  <c r="C153" i="25587"/>
  <c r="G177" i="25587"/>
  <c r="F177" i="25587"/>
  <c r="E177" i="25587"/>
  <c r="C177" i="25587"/>
  <c r="E180" i="25587"/>
  <c r="G180" i="25587"/>
  <c r="D180" i="25587"/>
  <c r="E210" i="25587"/>
  <c r="D210" i="25587"/>
  <c r="E249" i="25587"/>
  <c r="E244" i="25587"/>
  <c r="E251" i="25587"/>
  <c r="F241" i="25587"/>
  <c r="G241" i="25587"/>
  <c r="C241" i="25587"/>
  <c r="E14" i="25587"/>
  <c r="D15" i="25587"/>
  <c r="F22" i="25587"/>
  <c r="F26" i="25587"/>
  <c r="G38" i="25587"/>
  <c r="F38" i="25587"/>
  <c r="F57" i="25587"/>
  <c r="D57" i="25587"/>
  <c r="G69" i="25587"/>
  <c r="E84" i="25587"/>
  <c r="G84" i="25587"/>
  <c r="C94" i="25587"/>
  <c r="E106" i="25587"/>
  <c r="C113" i="25587"/>
  <c r="D121" i="25587"/>
  <c r="F132" i="25587"/>
  <c r="E123" i="25587"/>
  <c r="F139" i="25587"/>
  <c r="D153" i="25587"/>
  <c r="D177" i="25587"/>
  <c r="F180" i="25587"/>
  <c r="F206" i="25587"/>
  <c r="F222" i="25587"/>
  <c r="D235" i="25587"/>
  <c r="C14" i="25587"/>
  <c r="F27" i="25587"/>
  <c r="C27" i="25587"/>
  <c r="C38" i="25587"/>
  <c r="G70" i="25587"/>
  <c r="D84" i="25587"/>
  <c r="G113" i="25587"/>
  <c r="D143" i="25587"/>
  <c r="G150" i="25587"/>
  <c r="D163" i="25587"/>
  <c r="G187" i="25587"/>
  <c r="D194" i="25587"/>
  <c r="E229" i="25587"/>
  <c r="G260" i="25587"/>
  <c r="D242" i="25587"/>
  <c r="G253" i="25587"/>
  <c r="C10" i="25587"/>
  <c r="D44" i="25587"/>
  <c r="E43" i="25587"/>
  <c r="G54" i="25587"/>
  <c r="D55" i="25587"/>
  <c r="C54" i="25587"/>
  <c r="G58" i="25587"/>
  <c r="C70" i="25587"/>
  <c r="E77" i="25587"/>
  <c r="F89" i="25587"/>
  <c r="F116" i="25587"/>
  <c r="G121" i="25587"/>
  <c r="C121" i="25587"/>
  <c r="D124" i="25587"/>
  <c r="F142" i="25587"/>
  <c r="D130" i="25587"/>
  <c r="C150" i="25587"/>
  <c r="G155" i="25587"/>
  <c r="E155" i="25587"/>
  <c r="G158" i="25587"/>
  <c r="C158" i="25587"/>
  <c r="C163" i="25587"/>
  <c r="F182" i="25587"/>
  <c r="F190" i="25587"/>
  <c r="E178" i="25587"/>
  <c r="E212" i="25587"/>
  <c r="G212" i="25587"/>
  <c r="E242" i="25587"/>
  <c r="D59" i="25587"/>
  <c r="G59" i="25587"/>
  <c r="C59" i="25587"/>
  <c r="G78" i="25587"/>
  <c r="C78" i="25587"/>
  <c r="G81" i="25587"/>
  <c r="E100" i="25587"/>
  <c r="G110" i="25587"/>
  <c r="C110" i="25587"/>
  <c r="G124" i="25587"/>
  <c r="G134" i="25587"/>
  <c r="F134" i="25587"/>
  <c r="G147" i="25587"/>
  <c r="G163" i="25587"/>
  <c r="D172" i="25587"/>
  <c r="E171" i="25587"/>
  <c r="G174" i="25587"/>
  <c r="C174" i="25587"/>
  <c r="D178" i="25587"/>
  <c r="G182" i="25587"/>
  <c r="E204" i="25587"/>
  <c r="G204" i="25587"/>
  <c r="F204" i="25587"/>
  <c r="G243" i="25587"/>
  <c r="F243" i="25587"/>
  <c r="D255" i="25587"/>
  <c r="C254" i="25587"/>
  <c r="F43" i="25587"/>
  <c r="E59" i="25587"/>
  <c r="D100" i="25587"/>
  <c r="E105" i="25587"/>
  <c r="D105" i="25587"/>
  <c r="C105" i="25587"/>
  <c r="D115" i="25587"/>
  <c r="G115" i="25587"/>
  <c r="G127" i="25587"/>
  <c r="E131" i="25587"/>
  <c r="C134" i="25587"/>
  <c r="F155" i="25587"/>
  <c r="G164" i="25587"/>
  <c r="F164" i="25587"/>
  <c r="D164" i="25587"/>
  <c r="C171" i="25587"/>
  <c r="D179" i="25587"/>
  <c r="F179" i="25587"/>
  <c r="E179" i="25587"/>
  <c r="C179" i="25587"/>
  <c r="C182" i="25587"/>
  <c r="E196" i="25587"/>
  <c r="G196" i="25587"/>
  <c r="D204" i="25587"/>
  <c r="G220" i="25587"/>
  <c r="D220" i="25587"/>
  <c r="E52" i="25587"/>
  <c r="G52" i="25587"/>
  <c r="D52" i="25587"/>
  <c r="D79" i="25587"/>
  <c r="G100" i="25587"/>
  <c r="E108" i="25587"/>
  <c r="G132" i="25587"/>
  <c r="D108" i="25587"/>
  <c r="D111" i="25587"/>
  <c r="E148" i="25587"/>
  <c r="G148" i="25587"/>
  <c r="D148" i="25587"/>
  <c r="G161" i="25587"/>
  <c r="D161" i="25587"/>
  <c r="G171" i="25587"/>
  <c r="F201" i="25587"/>
  <c r="E250" i="25587"/>
  <c r="F255" i="25587"/>
  <c r="E26" i="25587"/>
  <c r="D42" i="25587"/>
  <c r="C41" i="25587"/>
  <c r="E51" i="25587"/>
  <c r="F52" i="25587"/>
  <c r="D60" i="25587"/>
  <c r="F92" i="25587"/>
  <c r="E80" i="25587"/>
  <c r="G83" i="25587"/>
  <c r="E83" i="25587"/>
  <c r="C83" i="25587"/>
  <c r="G87" i="25587"/>
  <c r="G111" i="25587"/>
  <c r="F105" i="25587"/>
  <c r="G125" i="25587"/>
  <c r="G108" i="25587"/>
  <c r="E115" i="25587"/>
  <c r="E122" i="25587"/>
  <c r="E125" i="25587"/>
  <c r="F148" i="25587"/>
  <c r="D156" i="25587"/>
  <c r="C161" i="25587"/>
  <c r="G193" i="25587"/>
  <c r="D193" i="25587"/>
  <c r="C193" i="25587"/>
  <c r="G201" i="25587"/>
  <c r="G214" i="25587"/>
  <c r="D215" i="25587"/>
  <c r="G217" i="25587"/>
  <c r="G227" i="25587"/>
  <c r="E227" i="25587"/>
  <c r="F227" i="25587"/>
  <c r="C227" i="25587"/>
  <c r="E30" i="25587"/>
  <c r="G46" i="25587"/>
  <c r="E68" i="25587"/>
  <c r="E92" i="25587"/>
  <c r="G118" i="25587"/>
  <c r="E132" i="25587"/>
  <c r="G166" i="25587"/>
  <c r="F212" i="25587"/>
  <c r="D207" i="25587"/>
  <c r="D225" i="25587"/>
  <c r="G230" i="25587"/>
  <c r="G36" i="25587"/>
  <c r="E90" i="25587"/>
  <c r="F108" i="25587"/>
  <c r="G102" i="25587"/>
  <c r="E116" i="25587"/>
  <c r="G142" i="25587"/>
  <c r="G190" i="25587"/>
  <c r="C201" i="25587"/>
  <c r="D219" i="25587"/>
  <c r="F250" i="25587"/>
  <c r="D253" i="25587"/>
  <c r="E261" i="25587"/>
  <c r="D195" i="25587"/>
  <c r="D203" i="25587"/>
  <c r="G225" i="25587"/>
  <c r="D13" i="25587"/>
  <c r="F33" i="25587"/>
  <c r="G34" i="25587"/>
  <c r="E44" i="25587"/>
  <c r="F59" i="25587"/>
  <c r="G62" i="25587"/>
  <c r="C67" i="25587"/>
  <c r="G68" i="25587"/>
  <c r="G74" i="25587"/>
  <c r="C81" i="25587"/>
  <c r="G86" i="25587"/>
  <c r="G92" i="25587"/>
  <c r="G99" i="25587"/>
  <c r="C102" i="25587"/>
  <c r="D116" i="25587"/>
  <c r="D131" i="25587"/>
  <c r="E140" i="25587"/>
  <c r="C142" i="25587"/>
  <c r="C145" i="25587"/>
  <c r="C147" i="25587"/>
  <c r="C190" i="25587"/>
  <c r="E195" i="25587"/>
  <c r="E201" i="25587"/>
  <c r="E203" i="25587"/>
  <c r="E205" i="25587"/>
  <c r="C211" i="25587"/>
  <c r="D217" i="25587"/>
  <c r="C219" i="25587"/>
  <c r="E225" i="25587"/>
  <c r="C238" i="25587"/>
  <c r="D244" i="25587"/>
  <c r="G249" i="25587"/>
  <c r="E252" i="25587"/>
  <c r="C40" i="25587"/>
  <c r="E48" i="25587"/>
  <c r="E60" i="25587"/>
  <c r="C62" i="25587"/>
  <c r="C86" i="25587"/>
  <c r="C91" i="25587"/>
  <c r="C97" i="25587"/>
  <c r="E124" i="25587"/>
  <c r="G126" i="25587"/>
  <c r="C129" i="25587"/>
  <c r="C131" i="25587"/>
  <c r="C152" i="25587"/>
  <c r="E156" i="25587"/>
  <c r="F171" i="25587"/>
  <c r="D175" i="25587"/>
  <c r="F193" i="25587"/>
  <c r="C185" i="25587"/>
  <c r="G195" i="25587"/>
  <c r="G198" i="25587"/>
  <c r="G203" i="25587"/>
  <c r="G206" i="25587"/>
  <c r="G222" i="25587"/>
  <c r="F225" i="25587"/>
  <c r="E228" i="25587"/>
  <c r="C242" i="25587"/>
  <c r="G163" i="512"/>
  <c r="E163" i="512"/>
  <c r="D163" i="512"/>
  <c r="F175" i="512"/>
  <c r="F163" i="512"/>
  <c r="E56" i="512"/>
  <c r="C98" i="512"/>
  <c r="C163" i="512"/>
  <c r="E98" i="512"/>
  <c r="G162" i="512"/>
  <c r="D162" i="512"/>
  <c r="E64" i="512"/>
  <c r="F128" i="512"/>
  <c r="D128" i="512"/>
  <c r="D129" i="512"/>
  <c r="C120" i="512"/>
  <c r="D120" i="512"/>
  <c r="G120" i="512"/>
  <c r="G112" i="512"/>
  <c r="E118" i="512"/>
  <c r="D112" i="512"/>
  <c r="E112" i="512"/>
  <c r="C112" i="512"/>
  <c r="E121" i="512"/>
  <c r="E115" i="512"/>
  <c r="D113" i="512"/>
  <c r="E122" i="512"/>
  <c r="F73" i="512"/>
  <c r="G73" i="512"/>
  <c r="D65" i="512"/>
  <c r="D66" i="512"/>
  <c r="F65" i="512"/>
  <c r="C65" i="512"/>
  <c r="F58" i="512"/>
  <c r="G58" i="512"/>
  <c r="E58" i="512"/>
  <c r="D27" i="512"/>
  <c r="E27" i="512"/>
  <c r="C27" i="512"/>
  <c r="D20" i="512"/>
  <c r="E19" i="512"/>
  <c r="E63" i="512"/>
  <c r="D121" i="512"/>
  <c r="D191" i="512"/>
  <c r="G169" i="512"/>
  <c r="E123" i="512"/>
  <c r="E162" i="512"/>
  <c r="C73" i="512"/>
  <c r="C144" i="512"/>
  <c r="F156" i="512"/>
  <c r="D96" i="512"/>
  <c r="G95" i="512"/>
  <c r="C95" i="512"/>
  <c r="D87" i="512"/>
  <c r="G87" i="512"/>
  <c r="D88" i="512"/>
  <c r="E87" i="512"/>
  <c r="E34" i="512"/>
  <c r="G34" i="512"/>
  <c r="D34" i="512"/>
  <c r="C34" i="512"/>
  <c r="E26" i="512"/>
  <c r="G155" i="512"/>
  <c r="D156" i="512"/>
  <c r="F155" i="512"/>
  <c r="G179" i="512"/>
  <c r="C155" i="512"/>
  <c r="D105" i="512"/>
  <c r="G129" i="512"/>
  <c r="E105" i="512"/>
  <c r="D106" i="512"/>
  <c r="C105" i="512"/>
  <c r="F114" i="512"/>
  <c r="G102" i="512"/>
  <c r="D102" i="512"/>
  <c r="D103" i="512"/>
  <c r="D41" i="512"/>
  <c r="D42" i="512"/>
  <c r="E41" i="512"/>
  <c r="C41" i="512"/>
  <c r="G41" i="512"/>
  <c r="F41" i="512"/>
  <c r="E169" i="512"/>
  <c r="E73" i="512"/>
  <c r="F124" i="512"/>
  <c r="G144" i="512"/>
  <c r="E113" i="512"/>
  <c r="F169" i="512"/>
  <c r="G105" i="512"/>
  <c r="F157" i="512"/>
  <c r="G157" i="512"/>
  <c r="C157" i="512"/>
  <c r="D157" i="512"/>
  <c r="E164" i="512"/>
  <c r="D185" i="512"/>
  <c r="D184" i="512"/>
  <c r="C133" i="512"/>
  <c r="G133" i="512"/>
  <c r="D134" i="512"/>
  <c r="F125" i="512"/>
  <c r="G125" i="512"/>
  <c r="C125" i="512"/>
  <c r="D125" i="512"/>
  <c r="F117" i="512"/>
  <c r="C117" i="512"/>
  <c r="E117" i="512"/>
  <c r="G117" i="512"/>
  <c r="D117" i="512"/>
  <c r="D110" i="512"/>
  <c r="G109" i="512"/>
  <c r="F109" i="512"/>
  <c r="D109" i="512"/>
  <c r="D49" i="512"/>
  <c r="C48" i="512"/>
  <c r="D48" i="512"/>
  <c r="G48" i="512"/>
  <c r="E48" i="512"/>
  <c r="G56" i="512"/>
  <c r="E32" i="512"/>
  <c r="C32" i="512"/>
  <c r="D32" i="512"/>
  <c r="F32" i="512"/>
  <c r="G32" i="512"/>
  <c r="F24" i="512"/>
  <c r="C24" i="512"/>
  <c r="E21" i="512"/>
  <c r="E25" i="512"/>
  <c r="E20" i="512"/>
  <c r="D16" i="512"/>
  <c r="F28" i="512"/>
  <c r="E22" i="512"/>
  <c r="F70" i="512"/>
  <c r="G97" i="512"/>
  <c r="F137" i="512"/>
  <c r="D91" i="512"/>
  <c r="G128" i="512"/>
  <c r="F27" i="512"/>
  <c r="D138" i="512"/>
  <c r="D74" i="512"/>
  <c r="D178" i="512"/>
  <c r="F177" i="512"/>
  <c r="F39" i="512"/>
  <c r="E154" i="512"/>
  <c r="D148" i="512"/>
  <c r="E153" i="512"/>
  <c r="E151" i="512"/>
  <c r="C148" i="512"/>
  <c r="D141" i="512"/>
  <c r="C141" i="512"/>
  <c r="F141" i="512"/>
  <c r="F153" i="512"/>
  <c r="F31" i="512"/>
  <c r="F98" i="512"/>
  <c r="G98" i="512"/>
  <c r="D98" i="512"/>
  <c r="G122" i="512"/>
  <c r="E90" i="512"/>
  <c r="D90" i="512"/>
  <c r="G114" i="512"/>
  <c r="C90" i="512"/>
  <c r="F90" i="512"/>
  <c r="E62" i="512"/>
  <c r="E52" i="512"/>
  <c r="F52" i="512"/>
  <c r="C52" i="512"/>
  <c r="E53" i="512"/>
  <c r="E61" i="512"/>
  <c r="G52" i="512"/>
  <c r="D53" i="512"/>
  <c r="D13" i="512"/>
  <c r="D12" i="512"/>
  <c r="D58" i="512"/>
  <c r="D59" i="512"/>
  <c r="C162" i="512"/>
  <c r="D73" i="512"/>
  <c r="F190" i="512"/>
  <c r="F110" i="512"/>
  <c r="F53" i="512"/>
  <c r="G137" i="512"/>
  <c r="G161" i="512"/>
  <c r="D52" i="512"/>
  <c r="D176" i="512"/>
  <c r="E128" i="512"/>
  <c r="D19" i="512"/>
  <c r="C169" i="512"/>
  <c r="F140" i="512"/>
  <c r="F83" i="512"/>
  <c r="E83" i="512"/>
  <c r="C83" i="512"/>
  <c r="G83" i="512"/>
  <c r="G107" i="512"/>
  <c r="E79" i="512"/>
  <c r="E84" i="512"/>
  <c r="E78" i="512"/>
  <c r="G100" i="512"/>
  <c r="D76" i="512"/>
  <c r="E76" i="512"/>
  <c r="E81" i="512"/>
  <c r="E88" i="512"/>
  <c r="C68" i="512"/>
  <c r="G92" i="512"/>
  <c r="D55" i="512"/>
  <c r="G54" i="512"/>
  <c r="F46" i="512"/>
  <c r="G46" i="512"/>
  <c r="E46" i="512"/>
  <c r="C38" i="512"/>
  <c r="E38" i="512"/>
  <c r="G62" i="512"/>
  <c r="D38" i="512"/>
  <c r="F38" i="512"/>
  <c r="E150" i="512"/>
  <c r="F49" i="512"/>
  <c r="C171" i="512"/>
  <c r="C96" i="512"/>
  <c r="C57" i="512"/>
  <c r="C42" i="512"/>
  <c r="C26" i="512"/>
  <c r="C107" i="512"/>
  <c r="F80" i="512"/>
  <c r="G40" i="512"/>
  <c r="C147" i="512"/>
  <c r="D47" i="512"/>
  <c r="F132" i="512"/>
  <c r="C131" i="512"/>
  <c r="E72" i="512"/>
  <c r="C100" i="512"/>
  <c r="C114" i="512"/>
  <c r="C29" i="512"/>
  <c r="D26" i="512"/>
  <c r="D75" i="512"/>
  <c r="G57" i="512"/>
  <c r="C118" i="512"/>
  <c r="G82" i="512"/>
  <c r="E134" i="512"/>
  <c r="G51" i="512"/>
  <c r="G39" i="512"/>
  <c r="F127" i="512"/>
  <c r="C22" i="512"/>
  <c r="E37" i="512"/>
  <c r="C77" i="512"/>
  <c r="G126" i="512"/>
  <c r="D81" i="512"/>
  <c r="C25" i="512"/>
  <c r="C178" i="512"/>
  <c r="C94" i="512"/>
  <c r="C80" i="512"/>
  <c r="C181" i="512"/>
  <c r="C31" i="512"/>
  <c r="D18" i="512"/>
  <c r="C66" i="512"/>
  <c r="D86" i="512"/>
  <c r="E75" i="512"/>
  <c r="F92" i="512"/>
  <c r="F43" i="512"/>
  <c r="E104" i="512"/>
  <c r="C180" i="512"/>
  <c r="C30" i="512"/>
  <c r="C110" i="512"/>
  <c r="F97" i="512"/>
  <c r="E18" i="512"/>
  <c r="G104" i="512"/>
  <c r="C122" i="512"/>
  <c r="E126" i="512"/>
  <c r="F86" i="512"/>
  <c r="G89" i="512"/>
  <c r="C104" i="512"/>
  <c r="F119" i="512"/>
  <c r="F82" i="512"/>
  <c r="G185" i="512"/>
  <c r="C36" i="512"/>
  <c r="D153" i="512"/>
  <c r="F64" i="512"/>
  <c r="E178" i="512"/>
  <c r="E51" i="512"/>
  <c r="C103" i="512"/>
  <c r="D124" i="512"/>
  <c r="C69" i="512"/>
  <c r="C10" i="512"/>
  <c r="F20" i="512"/>
  <c r="C126" i="512"/>
  <c r="C93" i="512"/>
  <c r="D94" i="512"/>
  <c r="C145" i="512"/>
  <c r="D82" i="512"/>
  <c r="C106" i="512"/>
  <c r="F35" i="512"/>
  <c r="G67" i="512"/>
  <c r="F106" i="512"/>
  <c r="E108" i="512"/>
  <c r="G159" i="512"/>
  <c r="E124" i="512"/>
  <c r="C78" i="512"/>
  <c r="C188" i="512"/>
  <c r="C166" i="512"/>
  <c r="C53" i="512"/>
  <c r="E111" i="512"/>
  <c r="E74" i="512"/>
  <c r="E119" i="512"/>
  <c r="F116" i="512"/>
  <c r="C51" i="512"/>
  <c r="F135" i="512"/>
  <c r="E31" i="512"/>
  <c r="D111" i="512"/>
  <c r="G186" i="512"/>
  <c r="E71" i="512"/>
  <c r="C153" i="512"/>
  <c r="F108" i="512"/>
  <c r="C99" i="512"/>
  <c r="F84" i="512"/>
  <c r="D35" i="512"/>
  <c r="C13" i="512"/>
  <c r="C35" i="512"/>
  <c r="C88" i="512"/>
  <c r="C116" i="512"/>
  <c r="C63" i="512"/>
  <c r="C14" i="512"/>
  <c r="E66" i="512"/>
  <c r="E94" i="512"/>
  <c r="C81" i="512"/>
  <c r="C138" i="512"/>
  <c r="F182" i="512"/>
  <c r="C40" i="512"/>
  <c r="E43" i="512"/>
  <c r="C28" i="512"/>
  <c r="F113" i="512"/>
  <c r="C61" i="512"/>
  <c r="C111" i="512"/>
  <c r="C55" i="512"/>
  <c r="E70" i="512"/>
  <c r="E69" i="512"/>
  <c r="E129" i="512"/>
  <c r="C121" i="512"/>
  <c r="G113" i="512"/>
  <c r="E42" i="512"/>
  <c r="G157" i="8196"/>
  <c r="E190" i="8196"/>
  <c r="E44" i="8196"/>
  <c r="E37" i="8196"/>
  <c r="F48" i="8196"/>
  <c r="D91" i="8196"/>
  <c r="F90" i="8196"/>
  <c r="G114" i="8196"/>
  <c r="G90" i="8196"/>
  <c r="E90" i="8196"/>
  <c r="E82" i="8196"/>
  <c r="D83" i="8196"/>
  <c r="F74" i="8196"/>
  <c r="D74" i="8196"/>
  <c r="G74" i="8196"/>
  <c r="E74" i="8196"/>
  <c r="C74" i="8196"/>
  <c r="G98" i="8196"/>
  <c r="E150" i="8196"/>
  <c r="C150" i="8196"/>
  <c r="F150" i="8196"/>
  <c r="D150" i="8196"/>
  <c r="F152" i="8196"/>
  <c r="G152" i="8196"/>
  <c r="E152" i="8196"/>
  <c r="D152" i="8196"/>
  <c r="E161" i="8196"/>
  <c r="F161" i="8196"/>
  <c r="D172" i="8196"/>
  <c r="E179" i="8196"/>
  <c r="E172" i="8196"/>
  <c r="E180" i="8196"/>
  <c r="G172" i="8196"/>
  <c r="E177" i="8196"/>
  <c r="E62" i="8196"/>
  <c r="G133" i="8196"/>
  <c r="F69" i="8196"/>
  <c r="G141" i="8196"/>
  <c r="G150" i="8196"/>
  <c r="D190" i="8196"/>
  <c r="C44" i="8196"/>
  <c r="E35" i="8196"/>
  <c r="D90" i="8196"/>
  <c r="F172" i="8196"/>
  <c r="E165" i="8196"/>
  <c r="C165" i="8196"/>
  <c r="F165" i="8196"/>
  <c r="G165" i="8196"/>
  <c r="D165" i="8196"/>
  <c r="G180" i="8196"/>
  <c r="C156" i="8196"/>
  <c r="E156" i="8196"/>
  <c r="F156" i="8196"/>
  <c r="G168" i="8196"/>
  <c r="G192" i="8196"/>
  <c r="F180" i="8196"/>
  <c r="C52" i="8196"/>
  <c r="E120" i="8196"/>
  <c r="E113" i="8196"/>
  <c r="E122" i="8196"/>
  <c r="D113" i="8196"/>
  <c r="E117" i="8196"/>
  <c r="E121" i="8196"/>
  <c r="G136" i="8196"/>
  <c r="E105" i="8196"/>
  <c r="C105" i="8196"/>
  <c r="G105" i="8196"/>
  <c r="D105" i="8196"/>
  <c r="E97" i="8196"/>
  <c r="G97" i="8196"/>
  <c r="C97" i="8196"/>
  <c r="F97" i="8196"/>
  <c r="F105" i="8196"/>
  <c r="E133" i="8196"/>
  <c r="F82" i="8196"/>
  <c r="D106" i="8196"/>
  <c r="F162" i="8196"/>
  <c r="F183" i="8196"/>
  <c r="G82" i="8196"/>
  <c r="F79" i="8196"/>
  <c r="G76" i="8196"/>
  <c r="F189" i="8196"/>
  <c r="D191" i="8196"/>
  <c r="E138" i="8196"/>
  <c r="E188" i="8196"/>
  <c r="E191" i="8196"/>
  <c r="G166" i="8196"/>
  <c r="F166" i="8196"/>
  <c r="G143" i="8196"/>
  <c r="F119" i="8196"/>
  <c r="E119" i="8196"/>
  <c r="C119" i="8196"/>
  <c r="F131" i="8196"/>
  <c r="D120" i="8196"/>
  <c r="E64" i="8196"/>
  <c r="F99" i="8196"/>
  <c r="C90" i="8196"/>
  <c r="E87" i="8196"/>
  <c r="F20" i="8196"/>
  <c r="G190" i="8196"/>
  <c r="C152" i="8196"/>
  <c r="D37" i="8196"/>
  <c r="C169" i="8196"/>
  <c r="G169" i="8196"/>
  <c r="C187" i="8196"/>
  <c r="D187" i="8196"/>
  <c r="E187" i="8196"/>
  <c r="D188" i="8196"/>
  <c r="C170" i="8196"/>
  <c r="D170" i="8196"/>
  <c r="E170" i="8196"/>
  <c r="E28" i="8196"/>
  <c r="G68" i="8196"/>
  <c r="F121" i="8196"/>
  <c r="E109" i="8196"/>
  <c r="C109" i="8196"/>
  <c r="F102" i="8196"/>
  <c r="G102" i="8196"/>
  <c r="E102" i="8196"/>
  <c r="C102" i="8196"/>
  <c r="F94" i="8196"/>
  <c r="F106" i="8196"/>
  <c r="E176" i="8196"/>
  <c r="E57" i="8196"/>
  <c r="F117" i="8196"/>
  <c r="C82" i="8196"/>
  <c r="G176" i="8196"/>
  <c r="G94" i="8196"/>
  <c r="C189" i="8196"/>
  <c r="F32" i="8196"/>
  <c r="F124" i="8196"/>
  <c r="D125" i="8196"/>
  <c r="E124" i="8196"/>
  <c r="E136" i="8196"/>
  <c r="E135" i="8196"/>
  <c r="F136" i="8196"/>
  <c r="E134" i="8196"/>
  <c r="G124" i="8196"/>
  <c r="F128" i="8196"/>
  <c r="F116" i="8196"/>
  <c r="D117" i="8196"/>
  <c r="E116" i="8196"/>
  <c r="C116" i="8196"/>
  <c r="D75" i="8196"/>
  <c r="D82" i="8196"/>
  <c r="E33" i="8196"/>
  <c r="E186" i="8196"/>
  <c r="E94" i="8196"/>
  <c r="D151" i="8196"/>
  <c r="G170" i="8196"/>
  <c r="G189" i="8196"/>
  <c r="D155" i="8196"/>
  <c r="E183" i="8196"/>
  <c r="F114" i="8196"/>
  <c r="D65" i="8196"/>
  <c r="G65" i="8196"/>
  <c r="D66" i="8196"/>
  <c r="E65" i="8196"/>
  <c r="F57" i="8196"/>
  <c r="D57" i="8196"/>
  <c r="G57" i="8196"/>
  <c r="E49" i="8196"/>
  <c r="G49" i="8196"/>
  <c r="F53" i="8196"/>
  <c r="G41" i="8196"/>
  <c r="C33" i="8196"/>
  <c r="G33" i="8196"/>
  <c r="D25" i="8196"/>
  <c r="E25" i="8196"/>
  <c r="C25" i="8196"/>
  <c r="D26" i="8196"/>
  <c r="D146" i="8196"/>
  <c r="C146" i="8196"/>
  <c r="G146" i="8196"/>
  <c r="D147" i="8196"/>
  <c r="C138" i="8196"/>
  <c r="G138" i="8196"/>
  <c r="F130" i="8196"/>
  <c r="C130" i="8196"/>
  <c r="F142" i="8196"/>
  <c r="D70" i="8196"/>
  <c r="D69" i="8196"/>
  <c r="E69" i="8196"/>
  <c r="G84" i="8196"/>
  <c r="C60" i="8196"/>
  <c r="E60" i="8196"/>
  <c r="F72" i="8196"/>
  <c r="G60" i="8196"/>
  <c r="F60" i="8196"/>
  <c r="E54" i="8196"/>
  <c r="E52" i="8196"/>
  <c r="E55" i="8196"/>
  <c r="F52" i="8196"/>
  <c r="E63" i="8196"/>
  <c r="E58" i="8196"/>
  <c r="D52" i="8196"/>
  <c r="E53" i="8196"/>
  <c r="D45" i="8196"/>
  <c r="D44" i="8196"/>
  <c r="F44" i="8196"/>
  <c r="D36" i="8196"/>
  <c r="E36" i="8196"/>
  <c r="G36" i="8196"/>
  <c r="F28" i="8196"/>
  <c r="C28" i="8196"/>
  <c r="E38" i="8196"/>
  <c r="E31" i="8196"/>
  <c r="E29" i="8196"/>
  <c r="E39" i="8196"/>
  <c r="C20" i="8196"/>
  <c r="D21" i="8196"/>
  <c r="E20" i="8196"/>
  <c r="C12" i="8196"/>
  <c r="D12" i="8196"/>
  <c r="D13" i="8196"/>
  <c r="C141" i="8196"/>
  <c r="F153" i="8196"/>
  <c r="D142" i="8196"/>
  <c r="E141" i="8196"/>
  <c r="F141" i="8196"/>
  <c r="D134" i="8196"/>
  <c r="F133" i="8196"/>
  <c r="D133" i="8196"/>
  <c r="C87" i="8196"/>
  <c r="F87" i="8196"/>
  <c r="G103" i="8196"/>
  <c r="E79" i="8196"/>
  <c r="C79" i="8196"/>
  <c r="F91" i="8196"/>
  <c r="D79" i="8196"/>
  <c r="C154" i="8196"/>
  <c r="F154" i="8196"/>
  <c r="D154" i="8196"/>
  <c r="E154" i="8196"/>
  <c r="G154" i="8196"/>
  <c r="D181" i="8196"/>
  <c r="F181" i="8196"/>
  <c r="E181" i="8196"/>
  <c r="C181" i="8196"/>
  <c r="F184" i="8196"/>
  <c r="E192" i="8196"/>
  <c r="E184" i="8196"/>
  <c r="G184" i="8196"/>
  <c r="D88" i="8196"/>
  <c r="F186" i="8196"/>
  <c r="G93" i="8196"/>
  <c r="E34" i="8196"/>
  <c r="D28" i="8196"/>
  <c r="D189" i="8196"/>
  <c r="E30" i="8196"/>
  <c r="D61" i="8196"/>
  <c r="E169" i="8196"/>
  <c r="D179" i="8196"/>
  <c r="E178" i="8196"/>
  <c r="D53" i="8196"/>
  <c r="E146" i="8196"/>
  <c r="D184" i="8196"/>
  <c r="F164" i="8196"/>
  <c r="F146" i="8196"/>
  <c r="D17" i="8196"/>
  <c r="D58" i="8196"/>
  <c r="F64" i="8196"/>
  <c r="F40" i="8196"/>
  <c r="E32" i="8196"/>
  <c r="F24" i="8196"/>
  <c r="E114" i="8196"/>
  <c r="G129" i="8196"/>
  <c r="G117" i="8196"/>
  <c r="F123" i="8196"/>
  <c r="D32" i="8196"/>
  <c r="F76" i="8196"/>
  <c r="F176" i="8196"/>
  <c r="E93" i="8196"/>
  <c r="G73" i="8196"/>
  <c r="F81" i="8196"/>
  <c r="G137" i="8196"/>
  <c r="E153" i="8196"/>
  <c r="E137" i="8196"/>
  <c r="C78" i="8196"/>
  <c r="F149" i="8196"/>
  <c r="E59" i="8196"/>
  <c r="D140" i="8196"/>
  <c r="C132" i="8196"/>
  <c r="G126" i="8196"/>
  <c r="C11" i="8196"/>
  <c r="E129" i="8196"/>
  <c r="D51" i="8196"/>
  <c r="E131" i="8196"/>
  <c r="C110" i="8196"/>
  <c r="D96" i="8196"/>
  <c r="D64" i="8196"/>
  <c r="D78" i="8196"/>
  <c r="D35" i="8196"/>
  <c r="F39" i="8196"/>
  <c r="G135" i="8196"/>
  <c r="F73" i="8196"/>
  <c r="F86" i="8196"/>
  <c r="C73" i="8196"/>
  <c r="F104" i="8196"/>
  <c r="D27" i="8196"/>
  <c r="C56" i="8196"/>
  <c r="C48" i="8196"/>
  <c r="G40" i="8196"/>
  <c r="G72" i="8196"/>
  <c r="G132" i="8196"/>
  <c r="G89" i="8196"/>
  <c r="E42" i="8196"/>
  <c r="E45" i="8196"/>
  <c r="E96" i="8196"/>
  <c r="F35" i="8196"/>
  <c r="C43" i="8196"/>
  <c r="C24" i="8196"/>
  <c r="C64" i="8196"/>
  <c r="E67" i="8196"/>
  <c r="E21" i="8196"/>
  <c r="E24" i="8196"/>
  <c r="C133" i="8196"/>
  <c r="F55" i="8196"/>
  <c r="C47" i="8196"/>
  <c r="C15" i="8196"/>
  <c r="G81" i="8196"/>
  <c r="C81" i="8196"/>
  <c r="F126" i="8196"/>
  <c r="C111" i="8196"/>
  <c r="E132" i="8196"/>
  <c r="E26" i="8196"/>
  <c r="E86" i="8196"/>
  <c r="D56" i="8196"/>
  <c r="E70" i="8196"/>
  <c r="G92" i="8196"/>
  <c r="E104" i="8196"/>
  <c r="C27" i="8196"/>
  <c r="E149" i="8196"/>
  <c r="D40" i="8196"/>
  <c r="G78" i="8196"/>
  <c r="G104" i="8196"/>
  <c r="C40" i="8196"/>
  <c r="E46" i="8196"/>
  <c r="G110" i="8196"/>
  <c r="E17" i="8196"/>
  <c r="D138" i="8196"/>
  <c r="G88" i="8196"/>
  <c r="E76" i="8196"/>
  <c r="C126" i="8196"/>
  <c r="G86" i="8196"/>
  <c r="E71" i="8196"/>
  <c r="D149" i="8196"/>
  <c r="G148" i="8196"/>
  <c r="C104" i="8196"/>
  <c r="C145" i="8196"/>
  <c r="E123" i="8196"/>
  <c r="D121" i="8196"/>
  <c r="D57" i="2048"/>
  <c r="F57" i="2048"/>
  <c r="G57" i="2048"/>
  <c r="E57" i="2048"/>
  <c r="C33" i="2048"/>
  <c r="E33" i="2048"/>
  <c r="D33" i="2048"/>
  <c r="F45" i="2048"/>
  <c r="D10" i="2048"/>
  <c r="F21" i="2048"/>
  <c r="C9" i="2048"/>
  <c r="D9" i="2048"/>
  <c r="G154" i="2048"/>
  <c r="C154" i="2048"/>
  <c r="E191" i="2048"/>
  <c r="D187" i="2048"/>
  <c r="F187" i="2048"/>
  <c r="C56" i="2048"/>
  <c r="G56" i="2048"/>
  <c r="G80" i="2048"/>
  <c r="E18" i="2048"/>
  <c r="F28" i="2048"/>
  <c r="E28" i="2048"/>
  <c r="E20" i="2048"/>
  <c r="D16" i="2048"/>
  <c r="C31" i="2048"/>
  <c r="E52" i="2048"/>
  <c r="G95" i="2048"/>
  <c r="F68" i="2048"/>
  <c r="E50" i="2048"/>
  <c r="F32" i="2048"/>
  <c r="F185" i="2048"/>
  <c r="E154" i="2048"/>
  <c r="D86" i="2048"/>
  <c r="D87" i="2048"/>
  <c r="C86" i="2048"/>
  <c r="F86" i="2048"/>
  <c r="D78" i="2048"/>
  <c r="C78" i="2048"/>
  <c r="E78" i="2048"/>
  <c r="D79" i="2048"/>
  <c r="F78" i="2048"/>
  <c r="G78" i="2048"/>
  <c r="G63" i="2048"/>
  <c r="E63" i="2048"/>
  <c r="C63" i="2048"/>
  <c r="D55" i="2048"/>
  <c r="F67" i="2048"/>
  <c r="G79" i="2048"/>
  <c r="G55" i="2048"/>
  <c r="C39" i="2048"/>
  <c r="G39" i="2048"/>
  <c r="F39" i="2048"/>
  <c r="C15" i="2048"/>
  <c r="F27" i="2048"/>
  <c r="C150" i="2048"/>
  <c r="D150" i="2048"/>
  <c r="E150" i="2048"/>
  <c r="G150" i="2048"/>
  <c r="E157" i="2048"/>
  <c r="D157" i="2048"/>
  <c r="F157" i="2048"/>
  <c r="C157" i="2048"/>
  <c r="C115" i="2048"/>
  <c r="E67" i="2048"/>
  <c r="E26" i="2048"/>
  <c r="E55" i="2048"/>
  <c r="C29" i="2048"/>
  <c r="C89" i="2048"/>
  <c r="F90" i="2048"/>
  <c r="C105" i="2048"/>
  <c r="E19" i="2048"/>
  <c r="D154" i="2048"/>
  <c r="C18" i="2048"/>
  <c r="E76" i="2048"/>
  <c r="E108" i="2048"/>
  <c r="D108" i="2048"/>
  <c r="D109" i="2048"/>
  <c r="C108" i="2048"/>
  <c r="G101" i="2048"/>
  <c r="F101" i="2048"/>
  <c r="C101" i="2048"/>
  <c r="D101" i="2048"/>
  <c r="E101" i="2048"/>
  <c r="F93" i="2048"/>
  <c r="E93" i="2048"/>
  <c r="F105" i="2048"/>
  <c r="G93" i="2048"/>
  <c r="D85" i="2048"/>
  <c r="C85" i="2048"/>
  <c r="G85" i="2048"/>
  <c r="E85" i="2048"/>
  <c r="D77" i="2048"/>
  <c r="F77" i="2048"/>
  <c r="C77" i="2048"/>
  <c r="G77" i="2048"/>
  <c r="D69" i="2048"/>
  <c r="F81" i="2048"/>
  <c r="F69" i="2048"/>
  <c r="C22" i="2048"/>
  <c r="C14" i="2048"/>
  <c r="D175" i="2048"/>
  <c r="F76" i="2048"/>
  <c r="E21" i="2048"/>
  <c r="C44" i="2048"/>
  <c r="C74" i="2048"/>
  <c r="C172" i="2048"/>
  <c r="C52" i="2048"/>
  <c r="G117" i="2048"/>
  <c r="C68" i="2048"/>
  <c r="G33" i="2048"/>
  <c r="C183" i="2048"/>
  <c r="C136" i="2048"/>
  <c r="D72" i="2048"/>
  <c r="D167" i="2048"/>
  <c r="F83" i="2048"/>
  <c r="G109" i="2048"/>
  <c r="E32" i="2048"/>
  <c r="G124" i="2048"/>
  <c r="E110" i="2048"/>
  <c r="C100" i="2048"/>
  <c r="E102" i="2048"/>
  <c r="E105" i="2048"/>
  <c r="E111" i="2048"/>
  <c r="G100" i="2048"/>
  <c r="F92" i="2048"/>
  <c r="F104" i="2048"/>
  <c r="G92" i="2048"/>
  <c r="G84" i="2048"/>
  <c r="D84" i="2048"/>
  <c r="F96" i="2048"/>
  <c r="F84" i="2048"/>
  <c r="E80" i="2048"/>
  <c r="E88" i="2048"/>
  <c r="E81" i="2048"/>
  <c r="C76" i="2048"/>
  <c r="E82" i="2048"/>
  <c r="G64" i="2048"/>
  <c r="E74" i="2048"/>
  <c r="C64" i="2048"/>
  <c r="E73" i="2048"/>
  <c r="E68" i="2048"/>
  <c r="G88" i="2048"/>
  <c r="G49" i="2048"/>
  <c r="G73" i="2048"/>
  <c r="F49" i="2048"/>
  <c r="C49" i="2048"/>
  <c r="D50" i="2048"/>
  <c r="C25" i="2048"/>
  <c r="F37" i="2048"/>
  <c r="E25" i="2048"/>
  <c r="D25" i="2048"/>
  <c r="F25" i="2048"/>
  <c r="C17" i="2048"/>
  <c r="D18" i="2048"/>
  <c r="E17" i="2048"/>
  <c r="E189" i="2048"/>
  <c r="G184" i="2048"/>
  <c r="D64" i="2048"/>
  <c r="F41" i="2048"/>
  <c r="C178" i="2048"/>
  <c r="F178" i="2048"/>
  <c r="G72" i="2048"/>
  <c r="F48" i="2048"/>
  <c r="G48" i="2048"/>
  <c r="D48" i="2048"/>
  <c r="F60" i="2048"/>
  <c r="E48" i="2048"/>
  <c r="G40" i="2048"/>
  <c r="E45" i="2048"/>
  <c r="D40" i="2048"/>
  <c r="F40" i="2048"/>
  <c r="E51" i="2048"/>
  <c r="F36" i="2048"/>
  <c r="F24" i="2048"/>
  <c r="C11" i="2048"/>
  <c r="C111" i="2048"/>
  <c r="C87" i="2048"/>
  <c r="C61" i="2048"/>
  <c r="C90" i="2048"/>
  <c r="C36" i="2048"/>
  <c r="C125" i="2048"/>
  <c r="C19" i="2048"/>
  <c r="C96" i="2048"/>
  <c r="C67" i="2048"/>
  <c r="C26" i="2048"/>
  <c r="C82" i="2048"/>
  <c r="C37" i="2048"/>
  <c r="C72" i="2048"/>
  <c r="C140" i="2048"/>
  <c r="C13" i="2048"/>
  <c r="C117" i="2048"/>
  <c r="C45" i="2048"/>
  <c r="C127" i="2048"/>
  <c r="C110" i="2048"/>
  <c r="C28" i="2048"/>
  <c r="C10" i="2048"/>
  <c r="C139" i="2048"/>
  <c r="C134" i="2048"/>
  <c r="C126" i="2048"/>
  <c r="C60" i="2048"/>
  <c r="C124" i="2048"/>
  <c r="C95" i="2048"/>
  <c r="C12" i="2048"/>
  <c r="C147" i="2048"/>
  <c r="C50" i="2048"/>
  <c r="C123" i="2048"/>
  <c r="C104" i="2048"/>
  <c r="C149" i="2048"/>
  <c r="C66" i="2048"/>
  <c r="C189" i="2048"/>
  <c r="C141" i="2048"/>
  <c r="C102" i="2048"/>
  <c r="C133" i="2048"/>
  <c r="C116" i="2048"/>
  <c r="C97" i="2048"/>
  <c r="C51" i="2048"/>
  <c r="C192" i="2048"/>
  <c r="C152" i="2048"/>
  <c r="C27" i="2048"/>
  <c r="C142" i="2048"/>
  <c r="F151" i="2048"/>
  <c r="E151" i="2048"/>
  <c r="D152" i="2048"/>
  <c r="G151" i="2048"/>
  <c r="C42" i="2048"/>
  <c r="E70" i="2048"/>
  <c r="C118" i="2048"/>
  <c r="C88" i="2048"/>
  <c r="D26" i="2048"/>
  <c r="C131" i="2048"/>
  <c r="C143" i="2048"/>
  <c r="C181" i="2048"/>
  <c r="C113" i="2048"/>
  <c r="G94" i="2048"/>
  <c r="D95" i="2048"/>
  <c r="G118" i="2048"/>
  <c r="D94" i="2048"/>
  <c r="F82" i="2048"/>
  <c r="D70" i="2048"/>
  <c r="F70" i="2048"/>
  <c r="F59" i="2048"/>
  <c r="G47" i="2048"/>
  <c r="F47" i="2048"/>
  <c r="C47" i="2048"/>
  <c r="C23" i="2048"/>
  <c r="C21" i="2048"/>
  <c r="C173" i="2048"/>
  <c r="E94" i="2048"/>
  <c r="D41" i="2048"/>
  <c r="G178" i="2048"/>
  <c r="C174" i="2048"/>
  <c r="E86" i="2048"/>
  <c r="C83" i="2048"/>
  <c r="C94" i="2048"/>
  <c r="E56" i="2048"/>
  <c r="C167" i="2048"/>
  <c r="F64" i="2048"/>
  <c r="G81" i="2048"/>
  <c r="G110" i="2048"/>
  <c r="F33" i="2048"/>
  <c r="D179" i="2048"/>
  <c r="C165" i="2048"/>
  <c r="F53" i="2048"/>
  <c r="F35" i="2048"/>
  <c r="C30" i="2048"/>
  <c r="E39" i="2048"/>
  <c r="F29" i="2048"/>
  <c r="G32" i="2048"/>
  <c r="F55" i="2048"/>
  <c r="C65" i="2048"/>
  <c r="C138" i="2048"/>
  <c r="F138" i="2048"/>
  <c r="G130" i="2048"/>
  <c r="F130" i="2048"/>
  <c r="C122" i="2048"/>
  <c r="E122" i="2048"/>
  <c r="D122" i="2048"/>
  <c r="D123" i="2048"/>
  <c r="D114" i="2048"/>
  <c r="C114" i="2048"/>
  <c r="F126" i="2048"/>
  <c r="C107" i="2048"/>
  <c r="G107" i="2048"/>
  <c r="F107" i="2048"/>
  <c r="G131" i="2048"/>
  <c r="C99" i="2048"/>
  <c r="C75" i="2048"/>
  <c r="C20" i="2048"/>
  <c r="C24" i="2048"/>
  <c r="C130" i="2048"/>
  <c r="D56" i="2048"/>
  <c r="C160" i="2048"/>
  <c r="C32" i="2048"/>
  <c r="C73" i="2048"/>
  <c r="C58" i="2048"/>
  <c r="F56" i="2048"/>
  <c r="E49" i="2048"/>
  <c r="D158" i="2048"/>
  <c r="D102" i="2048"/>
  <c r="C80" i="2048"/>
  <c r="G167" i="2048"/>
  <c r="F52" i="2048"/>
  <c r="F97" i="2048"/>
  <c r="C128" i="2048"/>
  <c r="C41" i="2048"/>
  <c r="C34" i="2048"/>
  <c r="C55" i="2048"/>
  <c r="C35" i="2048"/>
  <c r="C188" i="2048"/>
  <c r="C57" i="2048"/>
  <c r="C93" i="2048"/>
  <c r="E65" i="2048"/>
  <c r="F154" i="2048"/>
  <c r="C16" i="2048"/>
  <c r="G125" i="2048"/>
  <c r="G145" i="2048"/>
  <c r="C145" i="2048"/>
  <c r="E145" i="2048"/>
  <c r="F137" i="2048"/>
  <c r="G137" i="2048"/>
  <c r="F149" i="2048"/>
  <c r="D137" i="2048"/>
  <c r="G129" i="2048"/>
  <c r="D129" i="2048"/>
  <c r="F129" i="2048"/>
  <c r="C121" i="2048"/>
  <c r="G121" i="2048"/>
  <c r="D121" i="2048"/>
  <c r="E121" i="2048"/>
  <c r="F133" i="2048"/>
  <c r="F121" i="2048"/>
  <c r="F113" i="2048"/>
  <c r="F125" i="2048"/>
  <c r="E113" i="2048"/>
  <c r="F166" i="2048"/>
  <c r="G166" i="2048"/>
  <c r="E166" i="2048"/>
  <c r="D166" i="2048"/>
  <c r="D42" i="2048"/>
  <c r="G41" i="2048"/>
  <c r="E71" i="2048"/>
  <c r="G71" i="2048"/>
  <c r="F63" i="2048"/>
  <c r="F43" i="2048"/>
  <c r="C53" i="2048"/>
  <c r="C106" i="2048"/>
  <c r="C62" i="2048"/>
  <c r="E27" i="2048"/>
  <c r="D93" i="2048"/>
  <c r="C146" i="2048"/>
  <c r="E24" i="2048"/>
  <c r="C79" i="2048"/>
  <c r="F61" i="2048"/>
  <c r="D178" i="2048"/>
  <c r="C59" i="2048"/>
  <c r="G157" i="2048"/>
  <c r="E41" i="2048"/>
  <c r="F120" i="2048"/>
  <c r="G132" i="2048"/>
  <c r="C148" i="2048"/>
  <c r="D34" i="2048"/>
  <c r="C171" i="2048"/>
  <c r="C182" i="2048"/>
  <c r="C84" i="2048"/>
  <c r="E186" i="2048"/>
  <c r="E66" i="2048"/>
  <c r="E23" i="2048"/>
  <c r="D49" i="2048"/>
  <c r="D188" i="2048"/>
  <c r="E77" i="2048"/>
  <c r="F44" i="2048"/>
  <c r="C69" i="2048"/>
  <c r="C144" i="2048"/>
  <c r="E144" i="2048"/>
  <c r="F144" i="2048"/>
  <c r="D136" i="2048"/>
  <c r="G160" i="2048"/>
  <c r="E148" i="2048"/>
  <c r="E142" i="2048"/>
  <c r="E140" i="2048"/>
  <c r="E136" i="2048"/>
  <c r="F140" i="2048"/>
  <c r="G152" i="2048"/>
  <c r="C120" i="2048"/>
  <c r="E120" i="2048"/>
  <c r="F106" i="2048"/>
  <c r="E98" i="2048"/>
  <c r="C158" i="2048"/>
  <c r="C112" i="2048"/>
  <c r="G143" i="2048"/>
  <c r="E158" i="2048"/>
  <c r="C98" i="2048"/>
  <c r="D176" i="2048"/>
  <c r="D143" i="2048"/>
  <c r="F188" i="2048"/>
  <c r="C155" i="2048"/>
  <c r="C164" i="2048"/>
  <c r="C153" i="2048"/>
  <c r="D153" i="2048"/>
  <c r="F142" i="2048"/>
  <c r="G69" i="2048"/>
  <c r="C38" i="2048"/>
  <c r="E106" i="2048"/>
  <c r="G112" i="2048"/>
  <c r="E117" i="2048"/>
  <c r="E46" i="2048"/>
  <c r="F158" i="2048"/>
  <c r="C191" i="2048"/>
  <c r="D177" i="2048"/>
  <c r="D119" i="2048"/>
  <c r="D30" i="2048"/>
  <c r="F112" i="2048"/>
  <c r="D165" i="2048"/>
  <c r="G153" i="2048"/>
  <c r="C81" i="2048"/>
  <c r="D46" i="2048"/>
  <c r="G158" i="2048"/>
  <c r="C176" i="2048"/>
  <c r="G119" i="2048"/>
  <c r="F173" i="2048"/>
  <c r="D161" i="2048"/>
  <c r="G141" i="2048"/>
  <c r="G177" i="2048"/>
  <c r="F110" i="2048"/>
  <c r="G176" i="2048"/>
  <c r="G181" i="2048"/>
  <c r="D139" i="2048"/>
  <c r="C109" i="2048"/>
  <c r="G211" i="10541"/>
  <c r="E211" i="10541"/>
  <c r="C203" i="10541"/>
  <c r="G203" i="10541"/>
  <c r="F190" i="10541"/>
  <c r="E190" i="10541"/>
  <c r="D182" i="10541"/>
  <c r="F194" i="10541"/>
  <c r="C182" i="10541"/>
  <c r="D174" i="10541"/>
  <c r="E174" i="10541"/>
  <c r="F166" i="10541"/>
  <c r="E166" i="10541"/>
  <c r="F178" i="10541"/>
  <c r="G166" i="10541"/>
  <c r="D158" i="10541"/>
  <c r="F158" i="10541"/>
  <c r="F170" i="10541"/>
  <c r="E158" i="10541"/>
  <c r="G158" i="10541"/>
  <c r="C158" i="10541"/>
  <c r="F163" i="10541"/>
  <c r="F151" i="10541"/>
  <c r="D45" i="10541"/>
  <c r="C44" i="10541"/>
  <c r="G45" i="10541"/>
  <c r="F33" i="10541"/>
  <c r="D21" i="10541"/>
  <c r="E21" i="10541"/>
  <c r="G37" i="10541"/>
  <c r="D13" i="10541"/>
  <c r="E22" i="10541"/>
  <c r="G247" i="10541"/>
  <c r="E223" i="10541"/>
  <c r="C223" i="10541"/>
  <c r="C249" i="10541"/>
  <c r="D250" i="10541"/>
  <c r="F249" i="10541"/>
  <c r="G255" i="10541"/>
  <c r="F255" i="10541"/>
  <c r="D161" i="10541"/>
  <c r="D125" i="10541"/>
  <c r="F174" i="10541"/>
  <c r="C230" i="10541"/>
  <c r="G196" i="10541"/>
  <c r="D94" i="10541"/>
  <c r="F20" i="10541"/>
  <c r="G148" i="10541"/>
  <c r="G249" i="10541"/>
  <c r="F108" i="10541"/>
  <c r="G124" i="10541"/>
  <c r="D197" i="10541"/>
  <c r="F128" i="10541"/>
  <c r="D14" i="10541"/>
  <c r="C190" i="10541"/>
  <c r="C166" i="10541"/>
  <c r="E234" i="10541"/>
  <c r="C153" i="10541"/>
  <c r="E233" i="10541"/>
  <c r="G236" i="10541"/>
  <c r="D236" i="10541"/>
  <c r="F74" i="10541"/>
  <c r="G206" i="10541"/>
  <c r="E134" i="10541"/>
  <c r="C133" i="10541"/>
  <c r="D134" i="10541"/>
  <c r="E143" i="10541"/>
  <c r="D119" i="10541"/>
  <c r="C118" i="10541"/>
  <c r="G118" i="10541"/>
  <c r="D110" i="10541"/>
  <c r="F122" i="10541"/>
  <c r="G134" i="10541"/>
  <c r="G126" i="10541"/>
  <c r="G102" i="10541"/>
  <c r="C102" i="10541"/>
  <c r="E102" i="10541"/>
  <c r="E95" i="10541"/>
  <c r="D96" i="10541"/>
  <c r="C95" i="10541"/>
  <c r="G95" i="10541"/>
  <c r="G119" i="10541"/>
  <c r="F95" i="10541"/>
  <c r="E87" i="10541"/>
  <c r="F87" i="10541"/>
  <c r="G111" i="10541"/>
  <c r="D87" i="10541"/>
  <c r="G80" i="10541"/>
  <c r="G104" i="10541"/>
  <c r="F80" i="10541"/>
  <c r="C80" i="10541"/>
  <c r="F64" i="10541"/>
  <c r="G88" i="10541"/>
  <c r="D64" i="10541"/>
  <c r="C56" i="10541"/>
  <c r="G56" i="10541"/>
  <c r="F56" i="10541"/>
  <c r="E56" i="10541"/>
  <c r="E49" i="10541"/>
  <c r="C49" i="10541"/>
  <c r="E41" i="10541"/>
  <c r="F41" i="10541"/>
  <c r="D41" i="10541"/>
  <c r="C10" i="10541"/>
  <c r="F22" i="10541"/>
  <c r="F234" i="10541"/>
  <c r="E222" i="10541"/>
  <c r="C222" i="10541"/>
  <c r="D222" i="10541"/>
  <c r="G239" i="10541"/>
  <c r="C239" i="10541"/>
  <c r="F239" i="10541"/>
  <c r="D239" i="10541"/>
  <c r="E23" i="10541"/>
  <c r="G242" i="10541"/>
  <c r="C211" i="10541"/>
  <c r="F182" i="10541"/>
  <c r="F223" i="10541"/>
  <c r="G182" i="10541"/>
  <c r="F21" i="10541"/>
  <c r="G175" i="10541"/>
  <c r="D37" i="10541"/>
  <c r="G210" i="10541"/>
  <c r="F210" i="10541"/>
  <c r="F214" i="10541"/>
  <c r="C202" i="10541"/>
  <c r="G202" i="10541"/>
  <c r="E181" i="10541"/>
  <c r="E186" i="10541"/>
  <c r="E188" i="10541"/>
  <c r="G181" i="10541"/>
  <c r="E187" i="10541"/>
  <c r="F181" i="10541"/>
  <c r="D181" i="10541"/>
  <c r="E192" i="10541"/>
  <c r="C173" i="10541"/>
  <c r="G173" i="10541"/>
  <c r="F185" i="10541"/>
  <c r="F177" i="10541"/>
  <c r="D165" i="10541"/>
  <c r="F51" i="10541"/>
  <c r="G51" i="10541"/>
  <c r="E51" i="10541"/>
  <c r="G43" i="10541"/>
  <c r="D43" i="10541"/>
  <c r="C35" i="10541"/>
  <c r="E35" i="10541"/>
  <c r="D35" i="10541"/>
  <c r="E28" i="10541"/>
  <c r="G52" i="10541"/>
  <c r="G220" i="10541"/>
  <c r="D221" i="10541"/>
  <c r="G244" i="10541"/>
  <c r="D220" i="10541"/>
  <c r="C220" i="10541"/>
  <c r="C241" i="10541"/>
  <c r="E245" i="10541"/>
  <c r="E250" i="10541"/>
  <c r="F43" i="10541"/>
  <c r="E256" i="10541"/>
  <c r="G230" i="10541"/>
  <c r="G189" i="10541"/>
  <c r="G44" i="10541"/>
  <c r="D211" i="10541"/>
  <c r="E58" i="10541"/>
  <c r="D223" i="10541"/>
  <c r="D166" i="10541"/>
  <c r="E185" i="10541"/>
  <c r="G238" i="10541"/>
  <c r="D238" i="10541"/>
  <c r="E238" i="10541"/>
  <c r="G226" i="10541"/>
  <c r="C43" i="10541"/>
  <c r="G198" i="10541"/>
  <c r="E196" i="10541"/>
  <c r="F29" i="10541"/>
  <c r="G217" i="10541"/>
  <c r="D217" i="10541"/>
  <c r="E217" i="10541"/>
  <c r="E221" i="10541"/>
  <c r="D218" i="10541"/>
  <c r="E225" i="10541"/>
  <c r="D65" i="10541"/>
  <c r="F65" i="10541"/>
  <c r="G89" i="10541"/>
  <c r="E65" i="10541"/>
  <c r="E57" i="10541"/>
  <c r="G81" i="10541"/>
  <c r="G57" i="10541"/>
  <c r="C50" i="10541"/>
  <c r="E61" i="10541"/>
  <c r="E60" i="10541"/>
  <c r="F50" i="10541"/>
  <c r="E50" i="10541"/>
  <c r="D50" i="10541"/>
  <c r="F54" i="10541"/>
  <c r="E42" i="10541"/>
  <c r="D42" i="10541"/>
  <c r="G34" i="10541"/>
  <c r="D34" i="10541"/>
  <c r="F34" i="10541"/>
  <c r="F46" i="10541"/>
  <c r="C27" i="10541"/>
  <c r="D27" i="10541"/>
  <c r="F27" i="10541"/>
  <c r="F31" i="10541"/>
  <c r="C19" i="10541"/>
  <c r="E19" i="10541"/>
  <c r="G219" i="10541"/>
  <c r="D219" i="10541"/>
  <c r="D152" i="10541"/>
  <c r="D132" i="10541"/>
  <c r="F208" i="10541"/>
  <c r="F220" i="10541"/>
  <c r="F47" i="10541"/>
  <c r="E14" i="10541"/>
  <c r="D196" i="10541"/>
  <c r="D241" i="10541"/>
  <c r="D93" i="10541"/>
  <c r="E27" i="10541"/>
  <c r="G78" i="10541"/>
  <c r="C20" i="10541"/>
  <c r="E210" i="10541"/>
  <c r="F215" i="10541"/>
  <c r="E184" i="10541"/>
  <c r="C51" i="10541"/>
  <c r="C36" i="10541"/>
  <c r="C196" i="10541"/>
  <c r="C13" i="10541"/>
  <c r="C181" i="10541"/>
  <c r="G252" i="10541"/>
  <c r="G190" i="10541"/>
  <c r="G161" i="10541"/>
  <c r="F40" i="10541"/>
  <c r="C57" i="10541"/>
  <c r="E165" i="10541"/>
  <c r="F57" i="10541"/>
  <c r="G66" i="10541"/>
  <c r="D162" i="10541"/>
  <c r="C139" i="10541"/>
  <c r="F139" i="10541"/>
  <c r="C132" i="10541"/>
  <c r="G156" i="10541"/>
  <c r="G149" i="10541"/>
  <c r="E125" i="10541"/>
  <c r="F129" i="10541"/>
  <c r="G141" i="10541"/>
  <c r="C117" i="10541"/>
  <c r="E117" i="10541"/>
  <c r="G117" i="10541"/>
  <c r="C109" i="10541"/>
  <c r="E113" i="10541"/>
  <c r="E120" i="10541"/>
  <c r="F113" i="10541"/>
  <c r="F101" i="10541"/>
  <c r="C101" i="10541"/>
  <c r="G101" i="10541"/>
  <c r="F106" i="10541"/>
  <c r="E94" i="10541"/>
  <c r="C94" i="10541"/>
  <c r="D86" i="10541"/>
  <c r="F91" i="10541"/>
  <c r="D79" i="10541"/>
  <c r="C79" i="10541"/>
  <c r="F79" i="10541"/>
  <c r="G71" i="10541"/>
  <c r="E71" i="10541"/>
  <c r="F83" i="10541"/>
  <c r="G63" i="10541"/>
  <c r="D63" i="10541"/>
  <c r="F63" i="10541"/>
  <c r="D190" i="10541"/>
  <c r="F189" i="10541"/>
  <c r="F25" i="10541"/>
  <c r="E44" i="10541"/>
  <c r="G235" i="10541"/>
  <c r="G259" i="10541"/>
  <c r="F235" i="10541"/>
  <c r="D235" i="10541"/>
  <c r="F116" i="10541"/>
  <c r="D116" i="10541"/>
  <c r="F105" i="10541"/>
  <c r="E55" i="10541"/>
  <c r="F201" i="10541"/>
  <c r="E25" i="10541"/>
  <c r="E34" i="10541"/>
  <c r="E78" i="10541"/>
  <c r="D210" i="10541"/>
  <c r="D204" i="10541"/>
  <c r="G214" i="10541"/>
  <c r="F32" i="10541"/>
  <c r="G153" i="10541"/>
  <c r="D51" i="10541"/>
  <c r="C108" i="10541"/>
  <c r="F44" i="10541"/>
  <c r="E116" i="10541"/>
  <c r="E43" i="10541"/>
  <c r="D253" i="10541"/>
  <c r="D202" i="10541"/>
  <c r="C21" i="10541"/>
  <c r="C151" i="10541"/>
  <c r="F242" i="10541"/>
  <c r="E252" i="10541"/>
  <c r="G35" i="10541"/>
  <c r="E15" i="10541"/>
  <c r="D228" i="10541"/>
  <c r="E227" i="10541"/>
  <c r="C227" i="10541"/>
  <c r="G227" i="10541"/>
  <c r="F227" i="10541"/>
  <c r="F153" i="10541"/>
  <c r="F120" i="10541"/>
  <c r="E213" i="10541"/>
  <c r="G237" i="10541"/>
  <c r="D206" i="10541"/>
  <c r="F205" i="10541"/>
  <c r="G205" i="10541"/>
  <c r="E206" i="10541"/>
  <c r="D191" i="10541"/>
  <c r="D176" i="10541"/>
  <c r="E176" i="10541"/>
  <c r="G176" i="10541"/>
  <c r="C168" i="10541"/>
  <c r="E168" i="10541"/>
  <c r="G160" i="10541"/>
  <c r="E160" i="10541"/>
  <c r="E156" i="10541"/>
  <c r="E157" i="10541"/>
  <c r="G169" i="10541"/>
  <c r="C145" i="10541"/>
  <c r="E150" i="10541"/>
  <c r="D107" i="10541"/>
  <c r="G107" i="10541"/>
  <c r="G92" i="10541"/>
  <c r="E92" i="10541"/>
  <c r="E89" i="10541"/>
  <c r="E96" i="10541"/>
  <c r="D77" i="10541"/>
  <c r="F77" i="10541"/>
  <c r="G69" i="10541"/>
  <c r="D69" i="10541"/>
  <c r="F55" i="10541"/>
  <c r="D28" i="10541"/>
  <c r="C210" i="10541"/>
  <c r="F203" i="10541"/>
  <c r="G75" i="10541"/>
  <c r="G234" i="10541"/>
  <c r="E191" i="10541"/>
  <c r="D20" i="10541"/>
  <c r="D229" i="10541"/>
  <c r="C229" i="10541"/>
  <c r="E229" i="10541"/>
  <c r="D243" i="10541"/>
  <c r="F243" i="10541"/>
  <c r="E243" i="10541"/>
  <c r="G243" i="10541"/>
  <c r="C146" i="10541"/>
  <c r="G146" i="10541"/>
  <c r="G170" i="10541"/>
  <c r="G155" i="10541"/>
  <c r="E131" i="10541"/>
  <c r="F143" i="10541"/>
  <c r="D131" i="10541"/>
  <c r="C131" i="10541"/>
  <c r="E124" i="10541"/>
  <c r="C124" i="10541"/>
  <c r="D108" i="10541"/>
  <c r="E108" i="10541"/>
  <c r="D100" i="10541"/>
  <c r="G100" i="10541"/>
  <c r="F100" i="10541"/>
  <c r="C100" i="10541"/>
  <c r="F112" i="10541"/>
  <c r="C70" i="10541"/>
  <c r="D70" i="10541"/>
  <c r="G70" i="10541"/>
  <c r="E70" i="10541"/>
  <c r="G62" i="10541"/>
  <c r="D62" i="10541"/>
  <c r="E193" i="10541"/>
  <c r="E16" i="10541"/>
  <c r="F253" i="10541"/>
  <c r="E17" i="10541"/>
  <c r="G67" i="10541"/>
  <c r="E18" i="10541"/>
  <c r="G93" i="10541"/>
  <c r="G151" i="10541"/>
  <c r="C62" i="10541"/>
  <c r="E100" i="10541"/>
  <c r="F173" i="10541"/>
  <c r="C34" i="10541"/>
  <c r="F78" i="10541"/>
  <c r="C219" i="10541"/>
  <c r="F222" i="10541"/>
  <c r="D203" i="10541"/>
  <c r="G174" i="10541"/>
  <c r="D59" i="10541"/>
  <c r="E54" i="10541"/>
  <c r="D44" i="10541"/>
  <c r="G116" i="10541"/>
  <c r="F202" i="10541"/>
  <c r="C161" i="10541"/>
  <c r="C256" i="10541"/>
  <c r="F231" i="10541"/>
  <c r="F35" i="10541"/>
  <c r="F23" i="10541"/>
  <c r="G132" i="10541"/>
  <c r="E24" i="10541"/>
  <c r="C212" i="10541"/>
  <c r="F212" i="10541"/>
  <c r="D212" i="10541"/>
  <c r="E212" i="10541"/>
  <c r="G197" i="10541"/>
  <c r="D192" i="10541"/>
  <c r="C191" i="10541"/>
  <c r="F191" i="10541"/>
  <c r="E183" i="10541"/>
  <c r="D183" i="10541"/>
  <c r="C183" i="10541"/>
  <c r="E175" i="10541"/>
  <c r="D175" i="10541"/>
  <c r="F187" i="10541"/>
  <c r="E167" i="10541"/>
  <c r="F179" i="10541"/>
  <c r="D167" i="10541"/>
  <c r="E151" i="10541"/>
  <c r="C144" i="10541"/>
  <c r="F156" i="10541"/>
  <c r="F149" i="10541"/>
  <c r="D137" i="10541"/>
  <c r="G137" i="10541"/>
  <c r="F224" i="10541"/>
  <c r="D216" i="10541"/>
  <c r="E66" i="10541"/>
  <c r="F232" i="10541"/>
  <c r="E228" i="10541"/>
  <c r="F102" i="10541"/>
  <c r="F24" i="10541"/>
  <c r="G215" i="10541"/>
  <c r="G199" i="10541"/>
  <c r="D170" i="10541"/>
  <c r="F252" i="10541"/>
  <c r="G222" i="10541"/>
  <c r="G185" i="10541"/>
  <c r="G96" i="10541"/>
  <c r="D22" i="10541"/>
  <c r="E161" i="523"/>
  <c r="E164" i="523"/>
  <c r="F82" i="523"/>
  <c r="G82" i="523"/>
  <c r="F74" i="523"/>
  <c r="E74" i="523"/>
  <c r="F86" i="523"/>
  <c r="D74" i="523"/>
  <c r="C74" i="523"/>
  <c r="G74" i="523"/>
  <c r="C66" i="523"/>
  <c r="E66" i="523"/>
  <c r="D67" i="523"/>
  <c r="G150" i="523"/>
  <c r="F162" i="523"/>
  <c r="D150" i="523"/>
  <c r="F150" i="523"/>
  <c r="D151" i="523"/>
  <c r="F156" i="523"/>
  <c r="G156" i="523"/>
  <c r="C156" i="523"/>
  <c r="D156" i="523"/>
  <c r="E168" i="523"/>
  <c r="F88" i="523"/>
  <c r="D88" i="523"/>
  <c r="C88" i="523"/>
  <c r="D89" i="523"/>
  <c r="E88" i="523"/>
  <c r="G105" i="523"/>
  <c r="G81" i="523"/>
  <c r="E81" i="523"/>
  <c r="C81" i="523"/>
  <c r="E73" i="523"/>
  <c r="F85" i="523"/>
  <c r="F73" i="523"/>
  <c r="D66" i="523"/>
  <c r="F71" i="523"/>
  <c r="C59" i="523"/>
  <c r="F59" i="523"/>
  <c r="D60" i="523"/>
  <c r="D59" i="523"/>
  <c r="D153" i="523"/>
  <c r="D154" i="523"/>
  <c r="F153" i="523"/>
  <c r="D184" i="523"/>
  <c r="E191" i="523"/>
  <c r="G184" i="523"/>
  <c r="F81" i="523"/>
  <c r="E160" i="523"/>
  <c r="E162" i="523"/>
  <c r="C131" i="523"/>
  <c r="F131" i="523"/>
  <c r="E131" i="523"/>
  <c r="D132" i="523"/>
  <c r="G155" i="523"/>
  <c r="F135" i="523"/>
  <c r="C123" i="523"/>
  <c r="G147" i="523"/>
  <c r="D123" i="523"/>
  <c r="D124" i="523"/>
  <c r="F123" i="523"/>
  <c r="G123" i="523"/>
  <c r="C115" i="523"/>
  <c r="G139" i="523"/>
  <c r="D116" i="523"/>
  <c r="G115" i="523"/>
  <c r="F115" i="523"/>
  <c r="E115" i="523"/>
  <c r="D115" i="523"/>
  <c r="G109" i="523"/>
  <c r="D110" i="523"/>
  <c r="F109" i="523"/>
  <c r="E109" i="523"/>
  <c r="D102" i="523"/>
  <c r="C102" i="523"/>
  <c r="E102" i="523"/>
  <c r="D103" i="523"/>
  <c r="G102" i="523"/>
  <c r="D87" i="523"/>
  <c r="F99" i="523"/>
  <c r="G87" i="523"/>
  <c r="E87" i="523"/>
  <c r="E181" i="523"/>
  <c r="E182" i="523"/>
  <c r="C138" i="523"/>
  <c r="D139" i="523"/>
  <c r="E130" i="523"/>
  <c r="G130" i="523"/>
  <c r="G154" i="523"/>
  <c r="C122" i="523"/>
  <c r="D122" i="523"/>
  <c r="F122" i="523"/>
  <c r="G146" i="523"/>
  <c r="E114" i="523"/>
  <c r="D114" i="523"/>
  <c r="E101" i="523"/>
  <c r="F113" i="523"/>
  <c r="D101" i="523"/>
  <c r="C94" i="523"/>
  <c r="G118" i="523"/>
  <c r="D94" i="523"/>
  <c r="F94" i="523"/>
  <c r="G94" i="523"/>
  <c r="F106" i="523"/>
  <c r="F142" i="523"/>
  <c r="F114" i="523"/>
  <c r="D157" i="523"/>
  <c r="D95" i="523"/>
  <c r="E138" i="523"/>
  <c r="G114" i="523"/>
  <c r="D177" i="523"/>
  <c r="E177" i="523"/>
  <c r="C177" i="523"/>
  <c r="G181" i="523"/>
  <c r="F181" i="523"/>
  <c r="C181" i="523"/>
  <c r="D182" i="523"/>
  <c r="F158" i="523"/>
  <c r="G158" i="523"/>
  <c r="D159" i="523"/>
  <c r="E122" i="523"/>
  <c r="C137" i="523"/>
  <c r="G137" i="523"/>
  <c r="E137" i="523"/>
  <c r="D137" i="523"/>
  <c r="F149" i="523"/>
  <c r="G161" i="523"/>
  <c r="F130" i="523"/>
  <c r="G153" i="523"/>
  <c r="F101" i="523"/>
  <c r="F138" i="523"/>
  <c r="G98" i="523"/>
  <c r="D131" i="523"/>
  <c r="G169" i="523"/>
  <c r="D170" i="523"/>
  <c r="E169" i="523"/>
  <c r="C169" i="523"/>
  <c r="F169" i="523"/>
  <c r="C55" i="523"/>
  <c r="G79" i="523"/>
  <c r="F55" i="523"/>
  <c r="E55" i="523"/>
  <c r="C47" i="523"/>
  <c r="G47" i="523"/>
  <c r="D47" i="523"/>
  <c r="F39" i="523"/>
  <c r="E39" i="523"/>
  <c r="D40" i="523"/>
  <c r="C39" i="523"/>
  <c r="E31" i="523"/>
  <c r="F43" i="523"/>
  <c r="F31" i="523"/>
  <c r="F23" i="523"/>
  <c r="D23" i="523"/>
  <c r="C144" i="523"/>
  <c r="F144" i="523"/>
  <c r="E144" i="523"/>
  <c r="G66" i="523"/>
  <c r="G177" i="523"/>
  <c r="D82" i="523"/>
  <c r="G162" i="523"/>
  <c r="F93" i="523"/>
  <c r="F126" i="523"/>
  <c r="G97" i="523"/>
  <c r="E54" i="523"/>
  <c r="D54" i="523"/>
  <c r="C54" i="523"/>
  <c r="D46" i="523"/>
  <c r="E46" i="523"/>
  <c r="F46" i="523"/>
  <c r="G46" i="523"/>
  <c r="G38" i="523"/>
  <c r="F50" i="523"/>
  <c r="F38" i="523"/>
  <c r="D38" i="523"/>
  <c r="G62" i="523"/>
  <c r="E38" i="523"/>
  <c r="E30" i="523"/>
  <c r="F42" i="523"/>
  <c r="D30" i="523"/>
  <c r="C30" i="523"/>
  <c r="D22" i="523"/>
  <c r="F34" i="523"/>
  <c r="E143" i="523"/>
  <c r="F143" i="523"/>
  <c r="F155" i="523"/>
  <c r="D13" i="523"/>
  <c r="F75" i="523"/>
  <c r="E63" i="523"/>
  <c r="G124" i="523"/>
  <c r="E116" i="523"/>
  <c r="D63" i="523"/>
  <c r="E119" i="523"/>
  <c r="G35" i="523"/>
  <c r="D20" i="523"/>
  <c r="D35" i="523"/>
  <c r="E43" i="523"/>
  <c r="D64" i="523"/>
  <c r="D99" i="523"/>
  <c r="F72" i="523"/>
  <c r="D108" i="523"/>
  <c r="G129" i="523"/>
  <c r="E176" i="523"/>
  <c r="C148" i="523"/>
  <c r="D27" i="523"/>
  <c r="D37" i="523"/>
  <c r="C108" i="523"/>
  <c r="F78" i="523"/>
  <c r="D149" i="523"/>
  <c r="F90" i="523"/>
  <c r="C149" i="523"/>
  <c r="E86" i="523"/>
  <c r="D136" i="523"/>
  <c r="G117" i="523"/>
  <c r="C45" i="523"/>
  <c r="C51" i="523"/>
  <c r="E37" i="523"/>
  <c r="G141" i="523"/>
  <c r="E72" i="523"/>
  <c r="G75" i="523"/>
  <c r="E107" i="523"/>
  <c r="D134" i="523"/>
  <c r="F77" i="523"/>
  <c r="C164" i="523"/>
  <c r="C72" i="523"/>
  <c r="G89" i="523"/>
  <c r="E140" i="523"/>
  <c r="D120" i="523"/>
  <c r="D141" i="523"/>
  <c r="G106" i="523"/>
  <c r="D70" i="523"/>
  <c r="E105" i="523"/>
  <c r="D119" i="523"/>
  <c r="E100" i="523"/>
  <c r="D107" i="523"/>
  <c r="G148" i="523"/>
  <c r="F161" i="523"/>
  <c r="G43" i="523"/>
  <c r="D162" i="523"/>
  <c r="D65" i="523"/>
  <c r="G179" i="523"/>
  <c r="F146" i="523"/>
  <c r="F179" i="523"/>
  <c r="F29" i="523"/>
  <c r="C80" i="523"/>
  <c r="F57" i="523"/>
  <c r="F92" i="523"/>
  <c r="F103" i="523"/>
  <c r="E118" i="523"/>
  <c r="G90" i="523"/>
  <c r="G77" i="523"/>
  <c r="F173" i="523"/>
  <c r="D86" i="523"/>
  <c r="E106" i="523"/>
  <c r="D176" i="523"/>
  <c r="G100" i="523"/>
  <c r="F58" i="523"/>
  <c r="C141" i="523"/>
  <c r="E117" i="523"/>
  <c r="F141" i="523"/>
  <c r="E134" i="523"/>
  <c r="E110" i="523"/>
  <c r="E179" i="523"/>
  <c r="C134" i="523"/>
  <c r="D148" i="523"/>
  <c r="D98" i="523"/>
  <c r="F166" i="523"/>
  <c r="C11" i="523"/>
  <c r="G166" i="523"/>
  <c r="F41" i="523"/>
  <c r="C89" i="523"/>
  <c r="G164" i="523"/>
  <c r="E103" i="523"/>
  <c r="F120" i="523"/>
  <c r="G78" i="523"/>
  <c r="D100" i="523"/>
  <c r="F121" i="523"/>
  <c r="E148" i="523"/>
  <c r="E151" i="523"/>
  <c r="E152" i="523"/>
  <c r="E29" i="523"/>
  <c r="D79" i="523"/>
  <c r="D28" i="523"/>
  <c r="G132" i="523"/>
  <c r="G119" i="523"/>
  <c r="D75" i="523"/>
  <c r="C246" i="2561"/>
  <c r="C91" i="2561"/>
  <c r="C42" i="2561"/>
  <c r="C108" i="2561"/>
  <c r="C201" i="2561"/>
  <c r="C188" i="2561"/>
  <c r="C209" i="2561"/>
  <c r="C180" i="2561"/>
  <c r="C84" i="2561"/>
  <c r="C190" i="2561"/>
  <c r="C146" i="2561"/>
  <c r="C194" i="2561"/>
  <c r="C18" i="2561"/>
  <c r="C187" i="2561"/>
  <c r="C107" i="2561"/>
  <c r="C250" i="2561"/>
  <c r="C241" i="2561"/>
  <c r="C176" i="2561"/>
  <c r="C181" i="2561"/>
  <c r="C242" i="2561"/>
  <c r="C43" i="2561"/>
  <c r="C114" i="2561"/>
  <c r="C131" i="2561"/>
  <c r="C111" i="2561"/>
  <c r="C189" i="2561"/>
  <c r="C82" i="2561"/>
  <c r="C36" i="2561"/>
  <c r="C210" i="2561"/>
  <c r="C164" i="2561"/>
  <c r="C26" i="2561"/>
  <c r="C20" i="2561"/>
  <c r="C257" i="2561"/>
  <c r="C231" i="2561"/>
  <c r="C225" i="2561"/>
  <c r="C238" i="2561"/>
  <c r="C95" i="2561"/>
  <c r="C166" i="2561"/>
  <c r="C148" i="2561"/>
  <c r="C98" i="2561"/>
  <c r="C186" i="2561"/>
  <c r="C31" i="2561"/>
  <c r="C217" i="2561"/>
  <c r="C55" i="2561"/>
  <c r="C171" i="2561"/>
  <c r="C39" i="2561"/>
  <c r="C160" i="2561"/>
  <c r="C253" i="2561"/>
  <c r="C254" i="2561"/>
  <c r="C244" i="2561"/>
  <c r="C251" i="2561"/>
  <c r="C63" i="2561"/>
  <c r="C132" i="2561"/>
  <c r="C170" i="2561"/>
  <c r="C67" i="2561"/>
  <c r="C168" i="2561"/>
  <c r="C47" i="2561"/>
  <c r="C221" i="2561"/>
  <c r="C15" i="2561"/>
  <c r="C58" i="2561"/>
  <c r="C123" i="2561"/>
  <c r="C178" i="2561"/>
  <c r="F178" i="2561" s="1"/>
  <c r="C50" i="2561"/>
  <c r="C79" i="2561"/>
  <c r="C52" i="2561"/>
  <c r="C100" i="2561"/>
  <c r="C233" i="2561"/>
  <c r="C177" i="2561"/>
  <c r="C103" i="2561"/>
  <c r="C240" i="2561"/>
  <c r="C243" i="2561"/>
  <c r="C141" i="2819"/>
  <c r="D142" i="2819"/>
  <c r="D134" i="2819"/>
  <c r="F145" i="2819"/>
  <c r="C133" i="2819"/>
  <c r="E133" i="2819"/>
  <c r="G133" i="2819"/>
  <c r="D133" i="2819"/>
  <c r="F133" i="2819"/>
  <c r="D117" i="2819"/>
  <c r="G117" i="2819"/>
  <c r="E117" i="2819"/>
  <c r="D118" i="2819"/>
  <c r="E109" i="2819"/>
  <c r="G109" i="2819"/>
  <c r="D109" i="2819"/>
  <c r="D110" i="2819"/>
  <c r="G101" i="2819"/>
  <c r="C101" i="2819"/>
  <c r="C93" i="2819"/>
  <c r="D94" i="2819"/>
  <c r="F93" i="2819"/>
  <c r="E93" i="2819"/>
  <c r="G93" i="2819"/>
  <c r="F105" i="2819"/>
  <c r="D93" i="2819"/>
  <c r="C85" i="2819"/>
  <c r="D86" i="2819"/>
  <c r="G85" i="2819"/>
  <c r="F85" i="2819"/>
  <c r="F75" i="2819"/>
  <c r="F87" i="2819"/>
  <c r="E75" i="2819"/>
  <c r="D75" i="2819"/>
  <c r="C67" i="2819"/>
  <c r="G67" i="2819"/>
  <c r="E67" i="2819"/>
  <c r="F59" i="2819"/>
  <c r="D60" i="2819"/>
  <c r="E59" i="2819"/>
  <c r="G59" i="2819"/>
  <c r="D52" i="2819"/>
  <c r="F51" i="2819"/>
  <c r="C43" i="2819"/>
  <c r="G43" i="2819"/>
  <c r="C34" i="2819"/>
  <c r="D35" i="2819"/>
  <c r="E34" i="2819"/>
  <c r="F46" i="2819"/>
  <c r="D27" i="2819"/>
  <c r="F26" i="2819"/>
  <c r="C26" i="2819"/>
  <c r="E26" i="2819"/>
  <c r="D10" i="2819"/>
  <c r="E152" i="2819"/>
  <c r="F30" i="2819"/>
  <c r="E85" i="2819"/>
  <c r="E18" i="2819"/>
  <c r="G176" i="2819"/>
  <c r="E125" i="2819"/>
  <c r="D157" i="2819"/>
  <c r="E157" i="2819"/>
  <c r="F157" i="2819"/>
  <c r="G181" i="2819"/>
  <c r="E174" i="2819"/>
  <c r="G174" i="2819"/>
  <c r="F79" i="2819"/>
  <c r="E148" i="2819"/>
  <c r="E156" i="2819"/>
  <c r="F148" i="2819"/>
  <c r="C148" i="2819"/>
  <c r="E153" i="2819"/>
  <c r="G148" i="2819"/>
  <c r="F132" i="2819"/>
  <c r="C132" i="2819"/>
  <c r="G132" i="2819"/>
  <c r="D132" i="2819"/>
  <c r="E124" i="2819"/>
  <c r="F136" i="2819"/>
  <c r="E134" i="2819"/>
  <c r="F128" i="2819"/>
  <c r="G116" i="2819"/>
  <c r="E116" i="2819"/>
  <c r="C116" i="2819"/>
  <c r="F108" i="2819"/>
  <c r="E108" i="2819"/>
  <c r="G108" i="2819"/>
  <c r="C108" i="2819"/>
  <c r="E100" i="2819"/>
  <c r="F112" i="2819"/>
  <c r="G100" i="2819"/>
  <c r="F100" i="2819"/>
  <c r="G92" i="2819"/>
  <c r="F104" i="2819"/>
  <c r="F92" i="2819"/>
  <c r="D92" i="2819"/>
  <c r="F84" i="2819"/>
  <c r="C84" i="2819"/>
  <c r="F96" i="2819"/>
  <c r="G74" i="2819"/>
  <c r="F74" i="2819"/>
  <c r="D74" i="2819"/>
  <c r="F86" i="2819"/>
  <c r="C74" i="2819"/>
  <c r="F66" i="2819"/>
  <c r="D66" i="2819"/>
  <c r="G58" i="2819"/>
  <c r="F70" i="2819"/>
  <c r="D50" i="2819"/>
  <c r="F50" i="2819"/>
  <c r="F62" i="2819"/>
  <c r="G50" i="2819"/>
  <c r="G41" i="2819"/>
  <c r="D41" i="2819"/>
  <c r="C41" i="2819"/>
  <c r="E41" i="2819"/>
  <c r="D25" i="2819"/>
  <c r="F37" i="2819"/>
  <c r="F29" i="2819"/>
  <c r="D17" i="2819"/>
  <c r="C17" i="2819"/>
  <c r="F149" i="2819"/>
  <c r="D150" i="2819"/>
  <c r="G149" i="2819"/>
  <c r="E149" i="2819"/>
  <c r="D149" i="2819"/>
  <c r="F67" i="2819"/>
  <c r="E158" i="2819"/>
  <c r="C25" i="2819"/>
  <c r="F153" i="2819"/>
  <c r="D167" i="2819"/>
  <c r="D19" i="2819"/>
  <c r="F25" i="2819"/>
  <c r="G82" i="2819"/>
  <c r="F152" i="2819"/>
  <c r="C51" i="2819"/>
  <c r="E132" i="2819"/>
  <c r="F186" i="2819"/>
  <c r="E150" i="2819"/>
  <c r="F78" i="2819"/>
  <c r="D175" i="2819"/>
  <c r="D125" i="2819"/>
  <c r="G170" i="2819"/>
  <c r="C170" i="2819"/>
  <c r="C190" i="2819"/>
  <c r="E190" i="2819"/>
  <c r="F159" i="2819"/>
  <c r="E147" i="2819"/>
  <c r="D147" i="2819"/>
  <c r="C139" i="2819"/>
  <c r="F151" i="2819"/>
  <c r="G155" i="2819"/>
  <c r="D131" i="2819"/>
  <c r="C131" i="2819"/>
  <c r="F143" i="2819"/>
  <c r="D107" i="2819"/>
  <c r="F119" i="2819"/>
  <c r="E107" i="2819"/>
  <c r="C107" i="2819"/>
  <c r="G107" i="2819"/>
  <c r="F107" i="2819"/>
  <c r="E99" i="2819"/>
  <c r="D99" i="2819"/>
  <c r="G99" i="2819"/>
  <c r="F99" i="2819"/>
  <c r="D91" i="2819"/>
  <c r="E91" i="2819"/>
  <c r="E73" i="2819"/>
  <c r="F73" i="2819"/>
  <c r="C73" i="2819"/>
  <c r="D73" i="2819"/>
  <c r="G97" i="2819"/>
  <c r="F65" i="2819"/>
  <c r="G89" i="2819"/>
  <c r="E65" i="2819"/>
  <c r="G65" i="2819"/>
  <c r="D57" i="2819"/>
  <c r="F69" i="2819"/>
  <c r="G81" i="2819"/>
  <c r="F57" i="2819"/>
  <c r="G49" i="2819"/>
  <c r="C49" i="2819"/>
  <c r="F40" i="2819"/>
  <c r="E42" i="2819"/>
  <c r="E46" i="2819"/>
  <c r="E52" i="2819"/>
  <c r="E45" i="2819"/>
  <c r="F32" i="2819"/>
  <c r="D32" i="2819"/>
  <c r="F44" i="2819"/>
  <c r="G32" i="2819"/>
  <c r="C32" i="2819"/>
  <c r="E32" i="2819"/>
  <c r="E24" i="2819"/>
  <c r="D24" i="2819"/>
  <c r="F36" i="2819"/>
  <c r="E27" i="2819"/>
  <c r="E21" i="2819"/>
  <c r="E22" i="2819"/>
  <c r="E20" i="2819"/>
  <c r="C16" i="2819"/>
  <c r="C126" i="2819"/>
  <c r="C159" i="2819"/>
  <c r="F20" i="2819"/>
  <c r="C87" i="2819"/>
  <c r="C153" i="2819"/>
  <c r="C177" i="2819"/>
  <c r="C38" i="2819"/>
  <c r="C69" i="2819"/>
  <c r="C167" i="2819"/>
  <c r="C175" i="2819"/>
  <c r="C37" i="2819"/>
  <c r="C176" i="2819"/>
  <c r="C71" i="2819"/>
  <c r="C20" i="2819"/>
  <c r="C28" i="2819"/>
  <c r="C128" i="2819"/>
  <c r="C60" i="2819"/>
  <c r="C120" i="2819"/>
  <c r="C94" i="2819"/>
  <c r="C86" i="2819"/>
  <c r="C88" i="2819"/>
  <c r="C21" i="2819"/>
  <c r="C111" i="2819"/>
  <c r="C151" i="2819"/>
  <c r="C169" i="2819"/>
  <c r="C46" i="2819"/>
  <c r="C118" i="2819"/>
  <c r="C185" i="2819"/>
  <c r="C30" i="2819"/>
  <c r="C42" i="2819"/>
  <c r="C44" i="2819"/>
  <c r="C19" i="2819"/>
  <c r="C112" i="2819"/>
  <c r="C161" i="2819"/>
  <c r="C97" i="2819"/>
  <c r="C135" i="2819"/>
  <c r="C134" i="2819"/>
  <c r="C11" i="2819"/>
  <c r="C137" i="2819"/>
  <c r="C22" i="2819"/>
  <c r="C121" i="2819"/>
  <c r="C127" i="2819"/>
  <c r="C76" i="2819"/>
  <c r="C103" i="2819"/>
  <c r="C81" i="2819"/>
  <c r="C14" i="2819"/>
  <c r="G157" i="2819"/>
  <c r="D67" i="2819"/>
  <c r="C125" i="2819"/>
  <c r="D141" i="2819"/>
  <c r="F22" i="2819"/>
  <c r="D126" i="2819"/>
  <c r="F34" i="2819"/>
  <c r="G75" i="2819"/>
  <c r="F125" i="2819"/>
  <c r="C164" i="2819"/>
  <c r="G164" i="2819"/>
  <c r="F113" i="2819"/>
  <c r="E51" i="2819"/>
  <c r="E141" i="2819"/>
  <c r="D102" i="2819"/>
  <c r="F137" i="2819"/>
  <c r="F38" i="2819"/>
  <c r="C75" i="2819"/>
  <c r="G141" i="2819"/>
  <c r="D26" i="2819"/>
  <c r="G125" i="2819"/>
  <c r="D85" i="2819"/>
  <c r="D34" i="2819"/>
  <c r="E43" i="2819"/>
  <c r="C66" i="2819"/>
  <c r="D9" i="2819"/>
  <c r="F43" i="2819"/>
  <c r="G66" i="2819"/>
  <c r="C179" i="2819"/>
  <c r="D179" i="2819"/>
  <c r="D124" i="2819"/>
  <c r="D33" i="2819"/>
  <c r="D100" i="2819"/>
  <c r="D44" i="2819"/>
  <c r="D51" i="2819"/>
  <c r="C157" i="2819"/>
  <c r="E155" i="2819"/>
  <c r="E25" i="2819"/>
  <c r="D58" i="2819"/>
  <c r="F45" i="2819"/>
  <c r="F141" i="2819"/>
  <c r="G172" i="2819"/>
  <c r="D68" i="2819"/>
  <c r="C117" i="2819"/>
  <c r="C59" i="2819"/>
  <c r="E104" i="2819"/>
  <c r="F144" i="2819"/>
  <c r="G34" i="2819"/>
  <c r="D43" i="2819"/>
  <c r="C152" i="2819"/>
  <c r="C174" i="2819"/>
  <c r="E185" i="2819"/>
  <c r="C184" i="2819"/>
  <c r="F184" i="2819"/>
  <c r="D185" i="2819"/>
  <c r="F97" i="2819"/>
  <c r="F109" i="2819"/>
  <c r="G33" i="2819"/>
  <c r="E106" i="2819"/>
  <c r="E128" i="2819"/>
  <c r="G51" i="2819"/>
  <c r="E17" i="2819"/>
  <c r="F140" i="2819"/>
  <c r="E151" i="2819"/>
  <c r="G42" i="2819"/>
  <c r="G83" i="2819"/>
  <c r="F161" i="2819"/>
  <c r="D101" i="2819"/>
  <c r="C92" i="2819"/>
  <c r="F117" i="2819"/>
  <c r="D59" i="2819"/>
  <c r="E111" i="2819"/>
  <c r="E50" i="2819"/>
  <c r="F53" i="2819"/>
  <c r="C9" i="2819"/>
  <c r="F129" i="2819"/>
  <c r="C10" i="2819"/>
  <c r="F58" i="2819"/>
  <c r="E103" i="2819"/>
  <c r="E136" i="2819"/>
  <c r="D116" i="2819"/>
  <c r="D148" i="2819"/>
  <c r="D42" i="2819"/>
  <c r="F164" i="2819"/>
  <c r="C149" i="2819"/>
  <c r="E126" i="2819"/>
  <c r="E112" i="2819"/>
  <c r="F71" i="2819"/>
  <c r="F174" i="2819"/>
  <c r="D164" i="2819"/>
  <c r="E101" i="2819"/>
  <c r="E130" i="2819"/>
  <c r="D108" i="2819"/>
  <c r="C50" i="2819"/>
  <c r="C109" i="2819"/>
  <c r="C48" i="2819"/>
  <c r="G90" i="2819"/>
  <c r="F90" i="2819"/>
  <c r="D90" i="2819"/>
  <c r="E154" i="2819"/>
  <c r="E138" i="2819"/>
  <c r="E90" i="2819"/>
  <c r="F31" i="2819"/>
  <c r="F138" i="2819"/>
  <c r="D187" i="2819"/>
  <c r="E72" i="2819"/>
  <c r="D23" i="2819"/>
  <c r="F176" i="2819"/>
  <c r="F56" i="2819"/>
  <c r="D15" i="2819"/>
  <c r="G48" i="2819"/>
  <c r="C90" i="2819"/>
  <c r="G114" i="2819"/>
  <c r="G55" i="2819"/>
  <c r="F76" i="2819"/>
  <c r="G88" i="2819"/>
  <c r="F146" i="2819"/>
  <c r="C64" i="2819"/>
  <c r="G138" i="2819"/>
  <c r="G47" i="2819"/>
  <c r="E187" i="2819"/>
  <c r="D98" i="2819"/>
  <c r="E48" i="2819"/>
  <c r="G39" i="2819"/>
  <c r="G56" i="2819"/>
  <c r="E39" i="2819"/>
  <c r="F122" i="2819"/>
  <c r="E146" i="2819"/>
  <c r="F134" i="2819"/>
  <c r="G146" i="2819"/>
  <c r="E70" i="2819"/>
  <c r="D138" i="2819"/>
  <c r="F23" i="2819"/>
  <c r="F48" i="2819"/>
  <c r="C56" i="2819"/>
  <c r="D130" i="2819"/>
  <c r="C106" i="2819"/>
  <c r="F142" i="2819"/>
  <c r="G106" i="2819"/>
  <c r="E98" i="2819"/>
  <c r="D72" i="2819"/>
  <c r="C23" i="2819"/>
  <c r="D11" i="2819"/>
  <c r="D158" i="2316"/>
  <c r="C158" i="2316"/>
  <c r="F170" i="2316"/>
  <c r="G158" i="2316"/>
  <c r="C29" i="2316"/>
  <c r="D29" i="2316"/>
  <c r="D30" i="2316"/>
  <c r="E22" i="2316"/>
  <c r="C22" i="2316"/>
  <c r="D22" i="2316"/>
  <c r="D145" i="2316"/>
  <c r="G145" i="2316"/>
  <c r="F145" i="2316"/>
  <c r="D130" i="2316"/>
  <c r="G130" i="2316"/>
  <c r="D122" i="2316"/>
  <c r="F122" i="2316"/>
  <c r="C122" i="2316"/>
  <c r="D114" i="2316"/>
  <c r="F126" i="2316"/>
  <c r="D115" i="2316"/>
  <c r="F106" i="2316"/>
  <c r="G106" i="2316"/>
  <c r="D106" i="2316"/>
  <c r="D107" i="2316"/>
  <c r="F98" i="2316"/>
  <c r="D98" i="2316"/>
  <c r="C98" i="2316"/>
  <c r="D91" i="2316"/>
  <c r="G90" i="2316"/>
  <c r="D90" i="2316"/>
  <c r="C90" i="2316"/>
  <c r="F90" i="2316"/>
  <c r="C82" i="2316"/>
  <c r="F94" i="2316"/>
  <c r="D82" i="2316"/>
  <c r="G82" i="2316"/>
  <c r="E82" i="2316"/>
  <c r="D75" i="2316"/>
  <c r="D74" i="2316"/>
  <c r="G74" i="2316"/>
  <c r="C74" i="2316"/>
  <c r="E74" i="2316"/>
  <c r="F66" i="2316"/>
  <c r="D66" i="2316"/>
  <c r="G66" i="2316"/>
  <c r="D59" i="2316"/>
  <c r="E58" i="2316"/>
  <c r="D58" i="2316"/>
  <c r="G49" i="2316"/>
  <c r="F61" i="2316"/>
  <c r="C49" i="2316"/>
  <c r="D28" i="2316"/>
  <c r="E32" i="2316"/>
  <c r="F28" i="2316"/>
  <c r="C28" i="2316"/>
  <c r="E31" i="2316"/>
  <c r="E34" i="2316"/>
  <c r="G52" i="2316"/>
  <c r="E30" i="2316"/>
  <c r="F40" i="2316"/>
  <c r="E39" i="2316"/>
  <c r="F171" i="2316"/>
  <c r="C171" i="2316"/>
  <c r="G146" i="2316"/>
  <c r="C58" i="2316"/>
  <c r="C114" i="2316"/>
  <c r="G114" i="2316"/>
  <c r="C66" i="2316"/>
  <c r="E29" i="2316"/>
  <c r="G73" i="2316"/>
  <c r="G154" i="2316"/>
  <c r="F82" i="2316"/>
  <c r="D146" i="2316"/>
  <c r="D67" i="2316"/>
  <c r="D50" i="2316"/>
  <c r="G169" i="2316"/>
  <c r="E28" i="2316"/>
  <c r="F31" i="2316"/>
  <c r="G43" i="2316"/>
  <c r="C142" i="2316"/>
  <c r="D142" i="2316"/>
  <c r="G142" i="2316"/>
  <c r="F142" i="2316"/>
  <c r="G159" i="2316"/>
  <c r="F135" i="2316"/>
  <c r="F139" i="2316"/>
  <c r="G127" i="2316"/>
  <c r="D127" i="2316"/>
  <c r="F127" i="2316"/>
  <c r="D128" i="2316"/>
  <c r="F119" i="2316"/>
  <c r="C119" i="2316"/>
  <c r="D119" i="2316"/>
  <c r="G143" i="2316"/>
  <c r="G119" i="2316"/>
  <c r="F111" i="2316"/>
  <c r="G111" i="2316"/>
  <c r="D111" i="2316"/>
  <c r="G103" i="2316"/>
  <c r="F103" i="2316"/>
  <c r="D104" i="2316"/>
  <c r="D95" i="2316"/>
  <c r="C95" i="2316"/>
  <c r="D96" i="2316"/>
  <c r="D87" i="2316"/>
  <c r="D88" i="2316"/>
  <c r="C87" i="2316"/>
  <c r="E87" i="2316"/>
  <c r="D79" i="2316"/>
  <c r="F91" i="2316"/>
  <c r="D80" i="2316"/>
  <c r="E79" i="2316"/>
  <c r="F83" i="2316"/>
  <c r="E71" i="2316"/>
  <c r="C71" i="2316"/>
  <c r="D72" i="2316"/>
  <c r="F71" i="2316"/>
  <c r="D63" i="2316"/>
  <c r="C63" i="2316"/>
  <c r="D64" i="2316"/>
  <c r="F75" i="2316"/>
  <c r="D55" i="2316"/>
  <c r="G55" i="2316"/>
  <c r="F67" i="2316"/>
  <c r="C55" i="2316"/>
  <c r="D56" i="2316"/>
  <c r="E55" i="2316"/>
  <c r="D47" i="2316"/>
  <c r="C46" i="2316"/>
  <c r="F150" i="2316"/>
  <c r="D151" i="2316"/>
  <c r="C163" i="2316"/>
  <c r="F163" i="2316"/>
  <c r="G157" i="2316"/>
  <c r="D157" i="2316"/>
  <c r="G160" i="2316"/>
  <c r="F160" i="2316"/>
  <c r="F157" i="2316"/>
  <c r="G180" i="2316"/>
  <c r="C156" i="2316"/>
  <c r="D160" i="2316"/>
  <c r="C160" i="2316"/>
  <c r="F70" i="2316"/>
  <c r="F34" i="2316"/>
  <c r="F74" i="2316"/>
  <c r="F183" i="2316"/>
  <c r="F29" i="2316"/>
  <c r="D99" i="2316"/>
  <c r="F102" i="2316"/>
  <c r="G46" i="2316"/>
  <c r="F78" i="2316"/>
  <c r="G98" i="2316"/>
  <c r="G171" i="2316"/>
  <c r="F41" i="2316"/>
  <c r="E40" i="2316"/>
  <c r="C187" i="2316"/>
  <c r="D187" i="2316"/>
  <c r="F187" i="2316"/>
  <c r="D192" i="2316"/>
  <c r="C97" i="2316"/>
  <c r="F110" i="2316"/>
  <c r="C89" i="2316"/>
  <c r="F125" i="2316"/>
  <c r="C86" i="2316"/>
  <c r="E73" i="2316"/>
  <c r="D118" i="2316"/>
  <c r="C43" i="2316"/>
  <c r="F69" i="2316"/>
  <c r="G60" i="2316"/>
  <c r="C17" i="2316"/>
  <c r="F93" i="2316"/>
  <c r="C45" i="2316"/>
  <c r="C105" i="2316"/>
  <c r="C134" i="2316"/>
  <c r="C102" i="2316"/>
  <c r="C88" i="2316"/>
  <c r="C11" i="2316"/>
  <c r="C77" i="2316"/>
  <c r="C21" i="2316"/>
  <c r="C72" i="2316"/>
  <c r="D121" i="2316"/>
  <c r="F77" i="2316"/>
  <c r="E78" i="2316"/>
  <c r="F146" i="2316"/>
  <c r="C59" i="2316"/>
  <c r="G94" i="2316"/>
  <c r="F109" i="2316"/>
  <c r="C104" i="2316"/>
  <c r="D165" i="2316"/>
  <c r="G110" i="2316"/>
  <c r="C139" i="2316"/>
  <c r="D144" i="2316"/>
  <c r="C101" i="2316"/>
  <c r="D54" i="2316"/>
  <c r="D154" i="2316"/>
  <c r="D191" i="2316"/>
  <c r="G72" i="2316"/>
  <c r="C146" i="2316"/>
  <c r="C62" i="2316"/>
  <c r="C67" i="2316"/>
  <c r="C47" i="2316"/>
  <c r="C84" i="2316"/>
  <c r="G191" i="2316"/>
  <c r="C61" i="2316"/>
  <c r="G69" i="2316"/>
  <c r="D155" i="2316"/>
  <c r="C149" i="2316"/>
  <c r="D164" i="2316"/>
  <c r="E57" i="2316"/>
  <c r="F191" i="2316"/>
  <c r="G174" i="2316"/>
  <c r="C137" i="2316"/>
  <c r="C180" i="2316"/>
  <c r="C118" i="2316"/>
  <c r="E26" i="2316"/>
  <c r="C99" i="2316"/>
  <c r="C132" i="2316"/>
  <c r="F60" i="2316"/>
  <c r="F86" i="2316"/>
  <c r="G121" i="2316"/>
  <c r="C164" i="2316"/>
  <c r="C176" i="2316"/>
  <c r="G78" i="2316"/>
  <c r="C57" i="2316"/>
  <c r="C44" i="2316"/>
  <c r="C80" i="2316"/>
  <c r="C151" i="2316"/>
  <c r="C60" i="2316"/>
  <c r="C53" i="2316"/>
  <c r="C51" i="2316"/>
  <c r="C147" i="2316"/>
  <c r="C73" i="2316"/>
  <c r="E81" i="2316"/>
  <c r="D138" i="2316"/>
  <c r="C152" i="2316"/>
  <c r="C93" i="2316"/>
  <c r="E70" i="2316"/>
  <c r="F85" i="2316"/>
  <c r="F118" i="2316"/>
  <c r="F89" i="2316"/>
  <c r="C189" i="2316"/>
  <c r="C128" i="2316"/>
  <c r="D62" i="2316"/>
  <c r="C32" i="2316"/>
  <c r="C123" i="2316"/>
  <c r="G54" i="2316"/>
  <c r="C108" i="2316"/>
  <c r="C52" i="2316"/>
  <c r="C140" i="2316"/>
  <c r="C112" i="2316"/>
  <c r="C131" i="2316"/>
  <c r="C64" i="2316"/>
  <c r="C69" i="2316"/>
  <c r="C40" i="2316"/>
  <c r="C107" i="2316"/>
  <c r="D238" i="32"/>
  <c r="F238" i="32"/>
  <c r="E120" i="32"/>
  <c r="G120" i="32"/>
  <c r="F120" i="32"/>
  <c r="D121" i="32"/>
  <c r="F105" i="32"/>
  <c r="E105" i="32"/>
  <c r="D84" i="32"/>
  <c r="G84" i="32"/>
  <c r="E69" i="32"/>
  <c r="E67" i="32"/>
  <c r="G85" i="32"/>
  <c r="G61" i="32"/>
  <c r="E62" i="32"/>
  <c r="E53" i="32"/>
  <c r="G77" i="32"/>
  <c r="C45" i="32"/>
  <c r="G69" i="32"/>
  <c r="D45" i="32"/>
  <c r="E45" i="32"/>
  <c r="E47" i="32"/>
  <c r="E46" i="32"/>
  <c r="D38" i="32"/>
  <c r="E38" i="32"/>
  <c r="C37" i="32"/>
  <c r="E37" i="32"/>
  <c r="F53" i="32"/>
  <c r="D29" i="32"/>
  <c r="D168" i="32"/>
  <c r="F167" i="32"/>
  <c r="G191" i="32"/>
  <c r="E158" i="32"/>
  <c r="G158" i="32"/>
  <c r="E165" i="32"/>
  <c r="E169" i="32"/>
  <c r="F158" i="32"/>
  <c r="D152" i="32"/>
  <c r="F151" i="32"/>
  <c r="D151" i="32"/>
  <c r="D144" i="32"/>
  <c r="E143" i="32"/>
  <c r="E135" i="32"/>
  <c r="D136" i="32"/>
  <c r="D135" i="32"/>
  <c r="E17" i="32"/>
  <c r="E22" i="32"/>
  <c r="E14" i="32"/>
  <c r="C13" i="32"/>
  <c r="E224" i="32"/>
  <c r="G224" i="32"/>
  <c r="F65" i="32"/>
  <c r="E84" i="32"/>
  <c r="D77" i="32"/>
  <c r="F147" i="32"/>
  <c r="G126" i="32"/>
  <c r="E41" i="32"/>
  <c r="D127" i="32"/>
  <c r="D120" i="32"/>
  <c r="E65" i="32"/>
  <c r="E229" i="32"/>
  <c r="G229" i="32"/>
  <c r="D235" i="32"/>
  <c r="D234" i="32"/>
  <c r="G175" i="32"/>
  <c r="G159" i="32"/>
  <c r="F25" i="32"/>
  <c r="E254" i="32"/>
  <c r="E247" i="32"/>
  <c r="E245" i="32"/>
  <c r="G245" i="32"/>
  <c r="F245" i="32"/>
  <c r="F255" i="32"/>
  <c r="E208" i="32"/>
  <c r="F206" i="32"/>
  <c r="G198" i="32"/>
  <c r="G222" i="32"/>
  <c r="F39" i="32"/>
  <c r="G51" i="32"/>
  <c r="C20" i="32"/>
  <c r="F20" i="32"/>
  <c r="G44" i="32"/>
  <c r="D21" i="32"/>
  <c r="G36" i="32"/>
  <c r="D12" i="32"/>
  <c r="G199" i="32"/>
  <c r="C53" i="32"/>
  <c r="E39" i="32"/>
  <c r="E68" i="32"/>
  <c r="D191" i="32"/>
  <c r="F183" i="32"/>
  <c r="D221" i="32"/>
  <c r="D37" i="32"/>
  <c r="E15" i="32"/>
  <c r="E110" i="32"/>
  <c r="D110" i="32"/>
  <c r="C110" i="32"/>
  <c r="G102" i="32"/>
  <c r="F102" i="32"/>
  <c r="E102" i="32"/>
  <c r="D89" i="32"/>
  <c r="C89" i="32"/>
  <c r="F89" i="32"/>
  <c r="E89" i="32"/>
  <c r="E75" i="32"/>
  <c r="E83" i="32"/>
  <c r="G73" i="32"/>
  <c r="E82" i="32"/>
  <c r="E85" i="32"/>
  <c r="E77" i="32"/>
  <c r="E74" i="32"/>
  <c r="F73" i="32"/>
  <c r="E73" i="32"/>
  <c r="E66" i="32"/>
  <c r="G66" i="32"/>
  <c r="D66" i="32"/>
  <c r="C42" i="32"/>
  <c r="E42" i="32"/>
  <c r="F54" i="32"/>
  <c r="D27" i="32"/>
  <c r="D19" i="32"/>
  <c r="E19" i="32"/>
  <c r="C19" i="32"/>
  <c r="D11" i="32"/>
  <c r="G35" i="32"/>
  <c r="C11" i="32"/>
  <c r="D81" i="32"/>
  <c r="E50" i="32"/>
  <c r="G53" i="32"/>
  <c r="E27" i="32"/>
  <c r="G252" i="32"/>
  <c r="E159" i="32"/>
  <c r="F190" i="32"/>
  <c r="E207" i="32"/>
  <c r="F66" i="32"/>
  <c r="G76" i="32"/>
  <c r="E216" i="32"/>
  <c r="C73" i="32"/>
  <c r="D111" i="32"/>
  <c r="F229" i="32"/>
  <c r="F57" i="32"/>
  <c r="F70" i="32"/>
  <c r="G105" i="32"/>
  <c r="F76" i="32"/>
  <c r="G213" i="32"/>
  <c r="D143" i="32"/>
  <c r="F50" i="32"/>
  <c r="E63" i="32"/>
  <c r="F221" i="32"/>
  <c r="G239" i="32"/>
  <c r="D158" i="32"/>
  <c r="E163" i="32"/>
  <c r="G43" i="32"/>
  <c r="F170" i="32"/>
  <c r="D13" i="32"/>
  <c r="D188" i="32"/>
  <c r="G188" i="32"/>
  <c r="F200" i="32"/>
  <c r="G212" i="32"/>
  <c r="F188" i="32"/>
  <c r="F192" i="32"/>
  <c r="D180" i="32"/>
  <c r="E180" i="32"/>
  <c r="F184" i="32"/>
  <c r="D172" i="32"/>
  <c r="E172" i="32"/>
  <c r="F172" i="32"/>
  <c r="D173" i="32"/>
  <c r="D165" i="32"/>
  <c r="F164" i="32"/>
  <c r="F176" i="32"/>
  <c r="G155" i="32"/>
  <c r="F155" i="32"/>
  <c r="F160" i="32"/>
  <c r="F148" i="32"/>
  <c r="F152" i="32"/>
  <c r="D141" i="32"/>
  <c r="E116" i="32"/>
  <c r="C116" i="32"/>
  <c r="F121" i="32"/>
  <c r="E111" i="32"/>
  <c r="F109" i="32"/>
  <c r="G109" i="32"/>
  <c r="D109" i="32"/>
  <c r="E121" i="32"/>
  <c r="E119" i="32"/>
  <c r="E109" i="32"/>
  <c r="E101" i="32"/>
  <c r="F101" i="32"/>
  <c r="F113" i="32"/>
  <c r="C101" i="32"/>
  <c r="G95" i="32"/>
  <c r="F107" i="32"/>
  <c r="D95" i="32"/>
  <c r="G119" i="32"/>
  <c r="F88" i="32"/>
  <c r="E80" i="32"/>
  <c r="D80" i="32"/>
  <c r="G72" i="32"/>
  <c r="D57" i="32"/>
  <c r="G57" i="32"/>
  <c r="E57" i="32"/>
  <c r="F49" i="32"/>
  <c r="E59" i="32"/>
  <c r="E60" i="32"/>
  <c r="D33" i="32"/>
  <c r="C33" i="32"/>
  <c r="F38" i="32"/>
  <c r="F26" i="32"/>
  <c r="D26" i="32"/>
  <c r="E18" i="32"/>
  <c r="D18" i="32"/>
  <c r="F30" i="32"/>
  <c r="C18" i="32"/>
  <c r="E72" i="32"/>
  <c r="D159" i="32"/>
  <c r="D207" i="32"/>
  <c r="F241" i="32"/>
  <c r="D30" i="32"/>
  <c r="C117" i="32"/>
  <c r="G117" i="32"/>
  <c r="D58" i="32"/>
  <c r="E58" i="32"/>
  <c r="G82" i="32"/>
  <c r="D59" i="32"/>
  <c r="G58" i="32"/>
  <c r="G81" i="32"/>
  <c r="D51" i="32"/>
  <c r="D43" i="32"/>
  <c r="E44" i="32"/>
  <c r="E25" i="32"/>
  <c r="F32" i="32"/>
  <c r="D175" i="32"/>
  <c r="G108" i="32"/>
  <c r="C66" i="32"/>
  <c r="F195" i="32"/>
  <c r="G182" i="32"/>
  <c r="C84" i="32"/>
  <c r="F122" i="32"/>
  <c r="C81" i="32"/>
  <c r="F31" i="32"/>
  <c r="F117" i="32"/>
  <c r="G167" i="32"/>
  <c r="F218" i="32"/>
  <c r="D198" i="32"/>
  <c r="D90" i="32"/>
  <c r="D106" i="32"/>
  <c r="D257" i="32"/>
  <c r="F143" i="32"/>
  <c r="E24" i="32"/>
  <c r="F61" i="32"/>
  <c r="F23" i="32"/>
  <c r="G226" i="32"/>
  <c r="E226" i="32"/>
  <c r="D258" i="32"/>
  <c r="E166" i="32"/>
  <c r="D50" i="32"/>
  <c r="G89" i="32"/>
  <c r="D28" i="32"/>
  <c r="G162" i="32"/>
  <c r="E162" i="32"/>
  <c r="D162" i="32"/>
  <c r="D219" i="32"/>
  <c r="E227" i="32"/>
  <c r="E223" i="32"/>
  <c r="G218" i="32"/>
  <c r="E220" i="32"/>
  <c r="E225" i="32"/>
  <c r="D210" i="32"/>
  <c r="F210" i="32"/>
  <c r="D211" i="32"/>
  <c r="F222" i="32"/>
  <c r="F207" i="32"/>
  <c r="G195" i="32"/>
  <c r="E195" i="32"/>
  <c r="F199" i="32"/>
  <c r="D179" i="32"/>
  <c r="E179" i="32"/>
  <c r="F179" i="32"/>
  <c r="D171" i="32"/>
  <c r="G171" i="32"/>
  <c r="F171" i="32"/>
  <c r="F154" i="32"/>
  <c r="E154" i="32"/>
  <c r="E139" i="32"/>
  <c r="D131" i="32"/>
  <c r="D123" i="32"/>
  <c r="F123" i="32"/>
  <c r="E115" i="32"/>
  <c r="C115" i="32"/>
  <c r="F108" i="32"/>
  <c r="D108" i="32"/>
  <c r="E108" i="32"/>
  <c r="G100" i="32"/>
  <c r="D100" i="32"/>
  <c r="C100" i="32"/>
  <c r="F100" i="32"/>
  <c r="F94" i="32"/>
  <c r="G94" i="32"/>
  <c r="D94" i="32"/>
  <c r="F106" i="32"/>
  <c r="G111" i="32"/>
  <c r="D87" i="32"/>
  <c r="C87" i="32"/>
  <c r="F87" i="32"/>
  <c r="E71" i="32"/>
  <c r="D71" i="32"/>
  <c r="F83" i="32"/>
  <c r="C71" i="32"/>
  <c r="G56" i="32"/>
  <c r="D56" i="32"/>
  <c r="F68" i="32"/>
  <c r="E48" i="32"/>
  <c r="F41" i="32"/>
  <c r="G190" i="32"/>
  <c r="D214" i="32"/>
  <c r="D61" i="32"/>
  <c r="E34" i="32"/>
  <c r="G34" i="32"/>
  <c r="E81" i="32"/>
  <c r="F256" i="32"/>
  <c r="F37" i="32"/>
  <c r="E29" i="32"/>
  <c r="D73" i="32"/>
  <c r="G183" i="32"/>
  <c r="C96" i="32"/>
  <c r="F175" i="32"/>
  <c r="C105" i="32"/>
  <c r="G207" i="32"/>
  <c r="G206" i="32"/>
  <c r="D213" i="32"/>
  <c r="E206" i="32"/>
  <c r="C27" i="32"/>
  <c r="D85" i="32"/>
  <c r="D102" i="32"/>
  <c r="C120" i="32"/>
  <c r="D96" i="32"/>
  <c r="E70" i="32"/>
  <c r="D118" i="32"/>
  <c r="D53" i="32"/>
  <c r="G90" i="32"/>
  <c r="G113" i="32"/>
  <c r="E257" i="32"/>
  <c r="F163" i="32"/>
  <c r="F24" i="32"/>
  <c r="D46" i="32"/>
  <c r="E64" i="32"/>
  <c r="F85" i="32"/>
  <c r="D105" i="32"/>
  <c r="F46" i="32"/>
  <c r="D245" i="32"/>
  <c r="E40" i="32"/>
  <c r="E217" i="32"/>
  <c r="E205" i="32"/>
  <c r="E200" i="32"/>
  <c r="E199" i="32"/>
  <c r="E178" i="32"/>
  <c r="E171" i="32"/>
  <c r="E173" i="32"/>
  <c r="D170" i="32"/>
  <c r="E174" i="32"/>
  <c r="E177" i="32"/>
  <c r="F173" i="32"/>
  <c r="G185" i="32"/>
  <c r="E161" i="32"/>
  <c r="D154" i="32"/>
  <c r="E138" i="32"/>
  <c r="D130" i="32"/>
  <c r="F142" i="32"/>
  <c r="E122" i="32"/>
  <c r="D122" i="32"/>
  <c r="D16" i="32"/>
  <c r="F28" i="32"/>
  <c r="C16" i="32"/>
  <c r="E16" i="32"/>
  <c r="D67" i="32"/>
  <c r="G214" i="32"/>
  <c r="E43" i="32"/>
  <c r="E49" i="32"/>
  <c r="F187" i="32"/>
  <c r="D248" i="32"/>
  <c r="C58" i="32"/>
  <c r="E214" i="32"/>
  <c r="E212" i="32"/>
  <c r="C61" i="32"/>
  <c r="F93" i="32"/>
  <c r="C126" i="32"/>
  <c r="D54" i="32"/>
  <c r="D103" i="32"/>
  <c r="E160" i="32"/>
  <c r="D62" i="32"/>
  <c r="F257" i="32"/>
  <c r="C12" i="32"/>
  <c r="E151" i="32"/>
  <c r="F45" i="32"/>
  <c r="E61" i="32"/>
  <c r="D167" i="32"/>
  <c r="E79" i="32"/>
  <c r="E78" i="32"/>
  <c r="F27" i="32"/>
  <c r="D216" i="32"/>
  <c r="F216" i="32"/>
  <c r="E201" i="32"/>
  <c r="G201" i="32"/>
  <c r="G225" i="32"/>
  <c r="F205" i="32"/>
  <c r="F193" i="32"/>
  <c r="E23" i="32"/>
  <c r="D24" i="32"/>
  <c r="F35" i="32"/>
  <c r="C23" i="32"/>
  <c r="D186" i="32"/>
  <c r="D225" i="32"/>
  <c r="F166" i="32"/>
  <c r="G233" i="32"/>
  <c r="F260" i="32"/>
  <c r="G211" i="32"/>
  <c r="G227" i="32"/>
  <c r="F243" i="32"/>
  <c r="E48" i="1024"/>
  <c r="C48" i="1024"/>
  <c r="D48" i="1024" s="1"/>
  <c r="E40" i="1024"/>
  <c r="F43" i="1024"/>
  <c r="G40" i="1024"/>
  <c r="G52" i="1024"/>
  <c r="F42" i="1024"/>
  <c r="F44" i="1024"/>
  <c r="H40" i="1024"/>
  <c r="H32" i="1024"/>
  <c r="F32" i="1024"/>
  <c r="G32" i="1024"/>
  <c r="H56" i="1024"/>
  <c r="E32" i="1024"/>
  <c r="F24" i="1024"/>
  <c r="E24" i="1024"/>
  <c r="C24" i="1024"/>
  <c r="D24" i="1024" s="1"/>
  <c r="H48" i="1024"/>
  <c r="G160" i="1024"/>
  <c r="E148" i="1024"/>
  <c r="G148" i="1024"/>
  <c r="F155" i="1024"/>
  <c r="F152" i="1024"/>
  <c r="F160" i="1024"/>
  <c r="C148" i="1024"/>
  <c r="D148" i="1024" s="1"/>
  <c r="C139" i="1024"/>
  <c r="D139" i="1024" s="1"/>
  <c r="E139" i="1024"/>
  <c r="E132" i="1024"/>
  <c r="G143" i="1024"/>
  <c r="G86" i="1024"/>
  <c r="F86" i="1024"/>
  <c r="H86" i="1024"/>
  <c r="E87" i="1024"/>
  <c r="E86" i="1024"/>
  <c r="C74" i="1024"/>
  <c r="D74" i="1024" s="1"/>
  <c r="H74" i="1024"/>
  <c r="G78" i="1024"/>
  <c r="G66" i="1024"/>
  <c r="E47" i="1024"/>
  <c r="G59" i="1024"/>
  <c r="F47" i="1024"/>
  <c r="H47" i="1024"/>
  <c r="C47" i="1024"/>
  <c r="D47" i="1024" s="1"/>
  <c r="G51" i="1024"/>
  <c r="H39" i="1024"/>
  <c r="G43" i="1024"/>
  <c r="G31" i="1024"/>
  <c r="E31" i="1024"/>
  <c r="C31" i="1024"/>
  <c r="D31" i="1024" s="1"/>
  <c r="G35" i="1024"/>
  <c r="E23" i="1024"/>
  <c r="C23" i="1024"/>
  <c r="D23" i="1024" s="1"/>
  <c r="F23" i="1024"/>
  <c r="E55" i="1024"/>
  <c r="C32" i="1024"/>
  <c r="D32" i="1024" s="1"/>
  <c r="G44" i="1024"/>
  <c r="E41" i="1024"/>
  <c r="C39" i="1024"/>
  <c r="D39" i="1024" s="1"/>
  <c r="E147" i="1024"/>
  <c r="C147" i="1024"/>
  <c r="D147" i="1024" s="1"/>
  <c r="G147" i="1024"/>
  <c r="F147" i="1024"/>
  <c r="C138" i="1024"/>
  <c r="D138" i="1024" s="1"/>
  <c r="F138" i="1024"/>
  <c r="H162" i="1024"/>
  <c r="E138" i="1024"/>
  <c r="H85" i="1024"/>
  <c r="E85" i="1024"/>
  <c r="F85" i="1024"/>
  <c r="C85" i="1024"/>
  <c r="D85" i="1024" s="1"/>
  <c r="G73" i="1024"/>
  <c r="E73" i="1024"/>
  <c r="C65" i="1024"/>
  <c r="D65" i="1024" s="1"/>
  <c r="H55" i="1024"/>
  <c r="G67" i="1024"/>
  <c r="H46" i="1024"/>
  <c r="E46" i="1024"/>
  <c r="G46" i="1024"/>
  <c r="H70" i="1024"/>
  <c r="G58" i="1024"/>
  <c r="F38" i="1024"/>
  <c r="G50" i="1024"/>
  <c r="H62" i="1024"/>
  <c r="E38" i="1024"/>
  <c r="G30" i="1024"/>
  <c r="G22" i="1024"/>
  <c r="G94" i="1024"/>
  <c r="C94" i="1024"/>
  <c r="D94" i="1024" s="1"/>
  <c r="F146" i="1024"/>
  <c r="E146" i="1024"/>
  <c r="G149" i="1024"/>
  <c r="E137" i="1024"/>
  <c r="E84" i="1024"/>
  <c r="G84" i="1024"/>
  <c r="G96" i="1024"/>
  <c r="G72" i="1024"/>
  <c r="H72" i="1024"/>
  <c r="C72" i="1024"/>
  <c r="D72" i="1024" s="1"/>
  <c r="H96" i="1024"/>
  <c r="F67" i="1024"/>
  <c r="F68" i="1024"/>
  <c r="F64" i="1024"/>
  <c r="F76" i="1024"/>
  <c r="F70" i="1024"/>
  <c r="H78" i="1024"/>
  <c r="H54" i="1024"/>
  <c r="C54" i="1024"/>
  <c r="D54" i="1024" s="1"/>
  <c r="E54" i="1024"/>
  <c r="F54" i="1024"/>
  <c r="C64" i="1024"/>
  <c r="D64" i="1024" s="1"/>
  <c r="F74" i="1024"/>
  <c r="C146" i="1024"/>
  <c r="D146" i="1024" s="1"/>
  <c r="H88" i="1024"/>
  <c r="H64" i="1024"/>
  <c r="G146" i="1024"/>
  <c r="E94" i="1024"/>
  <c r="E72" i="1024"/>
  <c r="G48" i="1024"/>
  <c r="F46" i="1024"/>
  <c r="F153" i="1024"/>
  <c r="G181" i="1024"/>
  <c r="C181" i="1024"/>
  <c r="D181" i="1024" s="1"/>
  <c r="F73" i="1024"/>
  <c r="F94" i="1024"/>
  <c r="F69" i="1024"/>
  <c r="C40" i="1024"/>
  <c r="D40" i="1024" s="1"/>
  <c r="H94" i="1024"/>
  <c r="H105" i="1024"/>
  <c r="C166" i="1024"/>
  <c r="D166" i="1024" s="1"/>
  <c r="F166" i="1024"/>
  <c r="F168" i="1024"/>
  <c r="H192" i="1024"/>
  <c r="E169" i="1024"/>
  <c r="C168" i="1024"/>
  <c r="D168" i="1024" s="1"/>
  <c r="G168" i="1024"/>
  <c r="E153" i="1024"/>
  <c r="C153" i="1024"/>
  <c r="D153" i="1024" s="1"/>
  <c r="H91" i="1024"/>
  <c r="E92" i="1024"/>
  <c r="C91" i="1024"/>
  <c r="D91" i="1024" s="1"/>
  <c r="C19" i="1024"/>
  <c r="D19" i="1024" s="1"/>
  <c r="E19" i="1024"/>
  <c r="E20" i="1024"/>
  <c r="H43" i="1024"/>
  <c r="C10" i="1024"/>
  <c r="D10" i="1024" s="1"/>
  <c r="H34" i="1024"/>
  <c r="E164" i="1024"/>
  <c r="H163" i="1024"/>
  <c r="G163" i="1024"/>
  <c r="E163" i="1024"/>
  <c r="F154" i="1024"/>
  <c r="E49" i="1024"/>
  <c r="F40" i="1024"/>
  <c r="F65" i="1024"/>
  <c r="G64" i="1024"/>
  <c r="E66" i="1024"/>
  <c r="F72" i="1024"/>
  <c r="F50" i="1024"/>
  <c r="F159" i="1024"/>
  <c r="H183" i="1024"/>
  <c r="E160" i="1024"/>
  <c r="G159" i="1024"/>
  <c r="C159" i="1024"/>
  <c r="D159" i="1024" s="1"/>
  <c r="G190" i="1024"/>
  <c r="F190" i="1024"/>
  <c r="F193" i="1024"/>
  <c r="F156" i="1024"/>
  <c r="F31" i="1024"/>
  <c r="F75" i="1024"/>
  <c r="F84" i="1024"/>
  <c r="H66" i="1024"/>
  <c r="G36" i="1024"/>
  <c r="H33" i="1024"/>
  <c r="G25" i="1024"/>
  <c r="E25" i="1024"/>
  <c r="C25" i="1024"/>
  <c r="D25" i="1024" s="1"/>
  <c r="G37" i="1024"/>
  <c r="C17" i="1024"/>
  <c r="D17" i="1024" s="1"/>
  <c r="H41" i="1024"/>
  <c r="E17" i="1024"/>
  <c r="F17" i="1024"/>
  <c r="E152" i="1024"/>
  <c r="F151" i="1024"/>
  <c r="C151" i="1024"/>
  <c r="D151" i="1024" s="1"/>
  <c r="F62" i="1024"/>
  <c r="C155" i="1024"/>
  <c r="D155" i="1024" s="1"/>
  <c r="C135" i="1024"/>
  <c r="D135" i="1024" s="1"/>
  <c r="C49" i="1024"/>
  <c r="D49" i="1024" s="1"/>
  <c r="C50" i="1024"/>
  <c r="D50" i="1024" s="1"/>
  <c r="F28" i="1024"/>
  <c r="C88" i="1024"/>
  <c r="D88" i="1024" s="1"/>
  <c r="C184" i="1024"/>
  <c r="D184" i="1024" s="1"/>
  <c r="H45" i="1024"/>
  <c r="E186" i="1024"/>
  <c r="G145" i="1024"/>
  <c r="C83" i="1024"/>
  <c r="D83" i="1024" s="1"/>
  <c r="F143" i="1024"/>
  <c r="C140" i="1024"/>
  <c r="D140" i="1024" s="1"/>
  <c r="C30" i="1024"/>
  <c r="D30" i="1024" s="1"/>
  <c r="F83" i="1024"/>
  <c r="C183" i="1024"/>
  <c r="D183" i="1024" s="1"/>
  <c r="E16" i="1024"/>
  <c r="C92" i="1024"/>
  <c r="D92" i="1024" s="1"/>
  <c r="H178" i="1024"/>
  <c r="C96" i="1024"/>
  <c r="D96" i="1024" s="1"/>
  <c r="F52" i="1024"/>
  <c r="G74" i="1024"/>
  <c r="H90" i="1024"/>
  <c r="H71" i="1024"/>
  <c r="F141" i="1024"/>
  <c r="F57" i="1024"/>
  <c r="F30" i="1024"/>
  <c r="G28" i="1024"/>
  <c r="C42" i="1024"/>
  <c r="D42" i="1024" s="1"/>
  <c r="C51" i="1024"/>
  <c r="D51" i="1024" s="1"/>
  <c r="E145" i="1024"/>
  <c r="C145" i="1024"/>
  <c r="D145" i="1024" s="1"/>
  <c r="C160" i="1024"/>
  <c r="D160" i="1024" s="1"/>
  <c r="C89" i="1024"/>
  <c r="D89" i="1024" s="1"/>
  <c r="F150" i="1024"/>
  <c r="C87" i="1024"/>
  <c r="D87" i="1024" s="1"/>
  <c r="C28" i="1024"/>
  <c r="D28" i="1024" s="1"/>
  <c r="C161" i="1024"/>
  <c r="D161" i="1024" s="1"/>
  <c r="C78" i="1024"/>
  <c r="D78" i="1024" s="1"/>
  <c r="C142" i="1024"/>
  <c r="D142" i="1024" s="1"/>
  <c r="H37" i="1024"/>
  <c r="H193" i="1024"/>
  <c r="C81" i="1024"/>
  <c r="D81" i="1024" s="1"/>
  <c r="C26" i="1024"/>
  <c r="D26" i="1024" s="1"/>
  <c r="F189" i="1024"/>
  <c r="G150" i="1024"/>
  <c r="C132" i="1024"/>
  <c r="D132" i="1024" s="1"/>
  <c r="C150" i="1024"/>
  <c r="D150" i="1024" s="1"/>
  <c r="C21" i="1024"/>
  <c r="D21" i="1024" s="1"/>
  <c r="C178" i="1024"/>
  <c r="D178" i="1024" s="1"/>
  <c r="E189" i="1024"/>
  <c r="F45" i="1024"/>
  <c r="C67" i="1024"/>
  <c r="D67" i="1024" s="1"/>
  <c r="F61" i="1024"/>
  <c r="C186" i="1024"/>
  <c r="D186" i="1024" s="1"/>
  <c r="F185" i="1024"/>
  <c r="C90" i="1024"/>
  <c r="D90" i="1024" s="1"/>
  <c r="H93" i="1024"/>
  <c r="C169" i="1024"/>
  <c r="D169" i="1024" s="1"/>
  <c r="F20" i="1024"/>
  <c r="E53" i="1024"/>
  <c r="C12" i="1024"/>
  <c r="D12" i="1024" s="1"/>
  <c r="E136" i="1024"/>
  <c r="C53" i="1024"/>
  <c r="D53" i="1024" s="1"/>
  <c r="C133" i="1024"/>
  <c r="D133" i="1024" s="1"/>
  <c r="C14" i="1024"/>
  <c r="D14" i="1024" s="1"/>
  <c r="H52" i="1024"/>
  <c r="C69" i="1024"/>
  <c r="D69" i="1024" s="1"/>
  <c r="F93" i="1024"/>
  <c r="G162" i="1024"/>
  <c r="C29" i="1024"/>
  <c r="D29" i="1024" s="1"/>
  <c r="C60" i="1024"/>
  <c r="D60" i="1024" s="1"/>
  <c r="C134" i="1024"/>
  <c r="D134" i="1024" s="1"/>
  <c r="C27" i="1024"/>
  <c r="D27" i="1024" s="1"/>
  <c r="C44" i="1024"/>
  <c r="D44" i="1024" s="1"/>
  <c r="C57" i="1024"/>
  <c r="D57" i="1024" s="1"/>
  <c r="C76" i="1024"/>
  <c r="D76" i="1024" s="1"/>
  <c r="E52" i="1024"/>
  <c r="C164" i="1024"/>
  <c r="D164" i="1024" s="1"/>
  <c r="G149" i="9216"/>
  <c r="G31" i="9216"/>
  <c r="H55" i="9216"/>
  <c r="F31" i="9216"/>
  <c r="E31" i="9216"/>
  <c r="E32" i="9216"/>
  <c r="G24" i="9216"/>
  <c r="F24" i="9216"/>
  <c r="C24" i="9216"/>
  <c r="D24" i="9216" s="1"/>
  <c r="E25" i="9216"/>
  <c r="E10" i="9216"/>
  <c r="G21" i="9216"/>
  <c r="E9" i="9216"/>
  <c r="G162" i="9216"/>
  <c r="E162" i="9216"/>
  <c r="C162" i="9216"/>
  <c r="D162" i="9216" s="1"/>
  <c r="E163" i="9216"/>
  <c r="G85" i="9216"/>
  <c r="C9" i="9216"/>
  <c r="D9" i="9216" s="1"/>
  <c r="C31" i="9216"/>
  <c r="D31" i="9216" s="1"/>
  <c r="F48" i="9216"/>
  <c r="C147" i="9216"/>
  <c r="D147" i="9216" s="1"/>
  <c r="H33" i="9216"/>
  <c r="C140" i="9216"/>
  <c r="D140" i="9216" s="1"/>
  <c r="E140" i="9216"/>
  <c r="E132" i="9216"/>
  <c r="H156" i="9216"/>
  <c r="E133" i="9216"/>
  <c r="C132" i="9216"/>
  <c r="D132" i="9216" s="1"/>
  <c r="G144" i="9216"/>
  <c r="F87" i="9216"/>
  <c r="G87" i="9216"/>
  <c r="H87" i="9216"/>
  <c r="E87" i="9216"/>
  <c r="E76" i="9216"/>
  <c r="F88" i="9216"/>
  <c r="H76" i="9216"/>
  <c r="G88" i="9216"/>
  <c r="F81" i="9216"/>
  <c r="F83" i="9216"/>
  <c r="G68" i="9216"/>
  <c r="G80" i="9216"/>
  <c r="H68" i="9216"/>
  <c r="E69" i="9216"/>
  <c r="C68" i="9216"/>
  <c r="D68" i="9216" s="1"/>
  <c r="E50" i="9216"/>
  <c r="E51" i="9216"/>
  <c r="H50" i="9216"/>
  <c r="G50" i="9216"/>
  <c r="E44" i="9216"/>
  <c r="C43" i="9216"/>
  <c r="D43" i="9216" s="1"/>
  <c r="G43" i="9216"/>
  <c r="H43" i="9216"/>
  <c r="C30" i="9216"/>
  <c r="D30" i="9216" s="1"/>
  <c r="E24" i="9216"/>
  <c r="E16" i="9216"/>
  <c r="C16" i="9216"/>
  <c r="D16" i="9216" s="1"/>
  <c r="F28" i="9216"/>
  <c r="H40" i="9216"/>
  <c r="G28" i="9216"/>
  <c r="H181" i="9216"/>
  <c r="G66" i="9216"/>
  <c r="F150" i="9216"/>
  <c r="F152" i="9216"/>
  <c r="C148" i="9216"/>
  <c r="D148" i="9216" s="1"/>
  <c r="F139" i="9216"/>
  <c r="C139" i="9216"/>
  <c r="D139" i="9216" s="1"/>
  <c r="E131" i="9216"/>
  <c r="C131" i="9216"/>
  <c r="D131" i="9216" s="1"/>
  <c r="C75" i="9216"/>
  <c r="D75" i="9216" s="1"/>
  <c r="G75" i="9216"/>
  <c r="F75" i="9216"/>
  <c r="E75" i="9216"/>
  <c r="C67" i="9216"/>
  <c r="D67" i="9216" s="1"/>
  <c r="E67" i="9216"/>
  <c r="F67" i="9216"/>
  <c r="C58" i="9216"/>
  <c r="D58" i="9216" s="1"/>
  <c r="E58" i="9216"/>
  <c r="H58" i="9216"/>
  <c r="G58" i="9216"/>
  <c r="G70" i="9216"/>
  <c r="G61" i="9216"/>
  <c r="F49" i="9216"/>
  <c r="C49" i="9216"/>
  <c r="D49" i="9216" s="1"/>
  <c r="E42" i="9216"/>
  <c r="G54" i="9216"/>
  <c r="F36" i="9216"/>
  <c r="G36" i="9216"/>
  <c r="H47" i="9216"/>
  <c r="C23" i="9216"/>
  <c r="D23" i="9216" s="1"/>
  <c r="C15" i="9216"/>
  <c r="D15" i="9216" s="1"/>
  <c r="E15" i="9216"/>
  <c r="C192" i="9216"/>
  <c r="D192" i="9216" s="1"/>
  <c r="C26" i="9216"/>
  <c r="D26" i="9216" s="1"/>
  <c r="C77" i="9216"/>
  <c r="D77" i="9216" s="1"/>
  <c r="C185" i="9216"/>
  <c r="D185" i="9216" s="1"/>
  <c r="C187" i="9216"/>
  <c r="D187" i="9216" s="1"/>
  <c r="C134" i="9216"/>
  <c r="D134" i="9216" s="1"/>
  <c r="C18" i="9216"/>
  <c r="D18" i="9216" s="1"/>
  <c r="C135" i="9216"/>
  <c r="D135" i="9216" s="1"/>
  <c r="C19" i="9216"/>
  <c r="D19" i="9216" s="1"/>
  <c r="C152" i="9216"/>
  <c r="D152" i="9216" s="1"/>
  <c r="C145" i="9216"/>
  <c r="D145" i="9216" s="1"/>
  <c r="C170" i="9216"/>
  <c r="D170" i="9216" s="1"/>
  <c r="C93" i="9216"/>
  <c r="D93" i="9216" s="1"/>
  <c r="C54" i="9216"/>
  <c r="D54" i="9216" s="1"/>
  <c r="C167" i="9216"/>
  <c r="D167" i="9216" s="1"/>
  <c r="C91" i="9216"/>
  <c r="D91" i="9216" s="1"/>
  <c r="C150" i="9216"/>
  <c r="D150" i="9216" s="1"/>
  <c r="C153" i="9216"/>
  <c r="D153" i="9216" s="1"/>
  <c r="C88" i="9216"/>
  <c r="D88" i="9216" s="1"/>
  <c r="C10" i="9216"/>
  <c r="D10" i="9216" s="1"/>
  <c r="C83" i="9216"/>
  <c r="D83" i="9216" s="1"/>
  <c r="C136" i="9216"/>
  <c r="D136" i="9216" s="1"/>
  <c r="C39" i="9216"/>
  <c r="D39" i="9216" s="1"/>
  <c r="C40" i="9216"/>
  <c r="D40" i="9216" s="1"/>
  <c r="C52" i="9216"/>
  <c r="D52" i="9216" s="1"/>
  <c r="C81" i="9216"/>
  <c r="D81" i="9216" s="1"/>
  <c r="C144" i="9216"/>
  <c r="D144" i="9216" s="1"/>
  <c r="C61" i="9216"/>
  <c r="D61" i="9216" s="1"/>
  <c r="C21" i="9216"/>
  <c r="D21" i="9216" s="1"/>
  <c r="C47" i="9216"/>
  <c r="D47" i="9216" s="1"/>
  <c r="C11" i="9216"/>
  <c r="D11" i="9216" s="1"/>
  <c r="C51" i="9216"/>
  <c r="D51" i="9216" s="1"/>
  <c r="C189" i="9216"/>
  <c r="D189" i="9216" s="1"/>
  <c r="C143" i="9216"/>
  <c r="D143" i="9216" s="1"/>
  <c r="C165" i="9216"/>
  <c r="D165" i="9216" s="1"/>
  <c r="C38" i="9216"/>
  <c r="D38" i="9216" s="1"/>
  <c r="C28" i="9216"/>
  <c r="D28" i="9216" s="1"/>
  <c r="C45" i="9216"/>
  <c r="D45" i="9216" s="1"/>
  <c r="C72" i="9216"/>
  <c r="D72" i="9216" s="1"/>
  <c r="C183" i="9216"/>
  <c r="D183" i="9216" s="1"/>
  <c r="C177" i="9216"/>
  <c r="D177" i="9216" s="1"/>
  <c r="C27" i="9216"/>
  <c r="D27" i="9216" s="1"/>
  <c r="C181" i="9216"/>
  <c r="D181" i="9216" s="1"/>
  <c r="C105" i="9216"/>
  <c r="D105" i="9216" s="1"/>
  <c r="C142" i="9216"/>
  <c r="D142" i="9216" s="1"/>
  <c r="C90" i="9216"/>
  <c r="D90" i="9216" s="1"/>
  <c r="E106" i="9216"/>
  <c r="C106" i="9216"/>
  <c r="D106" i="9216" s="1"/>
  <c r="H106" i="9216"/>
  <c r="G147" i="9216"/>
  <c r="E147" i="9216"/>
  <c r="C130" i="9216"/>
  <c r="D130" i="9216" s="1"/>
  <c r="G142" i="9216"/>
  <c r="C85" i="9216"/>
  <c r="D85" i="9216" s="1"/>
  <c r="F85" i="9216"/>
  <c r="G74" i="9216"/>
  <c r="C74" i="9216"/>
  <c r="D74" i="9216" s="1"/>
  <c r="E66" i="9216"/>
  <c r="H90" i="9216"/>
  <c r="H81" i="9216"/>
  <c r="H57" i="9216"/>
  <c r="E57" i="9216"/>
  <c r="G57" i="9216"/>
  <c r="F57" i="9216"/>
  <c r="C57" i="9216"/>
  <c r="D57" i="9216" s="1"/>
  <c r="E48" i="9216"/>
  <c r="H48" i="9216"/>
  <c r="G41" i="9216"/>
  <c r="F41" i="9216"/>
  <c r="C41" i="9216"/>
  <c r="D41" i="9216" s="1"/>
  <c r="H65" i="9216"/>
  <c r="G29" i="9216"/>
  <c r="F138" i="9216"/>
  <c r="H41" i="9216"/>
  <c r="E86" i="9216"/>
  <c r="H174" i="9216"/>
  <c r="G174" i="9216"/>
  <c r="G164" i="9216"/>
  <c r="H164" i="9216"/>
  <c r="E165" i="9216"/>
  <c r="C164" i="9216"/>
  <c r="D164" i="9216" s="1"/>
  <c r="H73" i="9216"/>
  <c r="C149" i="9216"/>
  <c r="D149" i="9216" s="1"/>
  <c r="E150" i="9216"/>
  <c r="F149" i="9216"/>
  <c r="H157" i="9216"/>
  <c r="G157" i="9216"/>
  <c r="E157" i="9216"/>
  <c r="C157" i="9216"/>
  <c r="D157" i="9216" s="1"/>
  <c r="E149" i="9216"/>
  <c r="H62" i="9216"/>
  <c r="F62" i="9216"/>
  <c r="G62" i="9216"/>
  <c r="E62" i="9216"/>
  <c r="H175" i="9216"/>
  <c r="E175" i="9216"/>
  <c r="C17" i="9216"/>
  <c r="D17" i="9216" s="1"/>
  <c r="G48" i="9216"/>
  <c r="E18" i="9216"/>
  <c r="F74" i="9216"/>
  <c r="G187" i="9216"/>
  <c r="F84" i="9216"/>
  <c r="C14" i="9216"/>
  <c r="D14" i="9216" s="1"/>
  <c r="F190" i="9216"/>
  <c r="G83" i="9216"/>
  <c r="G26" i="9216"/>
  <c r="F35" i="9216"/>
  <c r="G63" i="9216"/>
  <c r="G73" i="9216"/>
  <c r="H35" i="9216"/>
  <c r="C84" i="9216"/>
  <c r="D84" i="9216" s="1"/>
  <c r="C154" i="9216"/>
  <c r="D154" i="9216" s="1"/>
  <c r="E181" i="9216"/>
  <c r="C82" i="9216"/>
  <c r="D82" i="9216" s="1"/>
  <c r="C53" i="9216"/>
  <c r="D53" i="9216" s="1"/>
  <c r="H154" i="9216"/>
  <c r="H80" i="9216"/>
  <c r="G161" i="9216"/>
  <c r="F56" i="9216"/>
  <c r="E22" i="9216"/>
  <c r="F63" i="9216"/>
  <c r="H161" i="9216"/>
  <c r="H84" i="9216"/>
  <c r="E73" i="9216"/>
  <c r="G154" i="9216"/>
  <c r="E64" i="9216"/>
  <c r="H53" i="9216"/>
  <c r="F58" i="9216"/>
  <c r="C161" i="9216"/>
  <c r="D161" i="9216" s="1"/>
  <c r="C22" i="9216"/>
  <c r="D22" i="9216" s="1"/>
  <c r="F77" i="9216"/>
  <c r="C25" i="9216"/>
  <c r="D25" i="9216" s="1"/>
  <c r="G186" i="9216"/>
  <c r="E228" i="20994"/>
  <c r="C228" i="20994"/>
  <c r="D228" i="20994" s="1"/>
  <c r="F228" i="20994"/>
  <c r="G228" i="20994"/>
  <c r="E164" i="20994"/>
  <c r="C163" i="20994"/>
  <c r="D163" i="20994" s="1"/>
  <c r="G163" i="20994"/>
  <c r="C153" i="20994"/>
  <c r="D153" i="20994" s="1"/>
  <c r="G165" i="20994"/>
  <c r="H143" i="20994"/>
  <c r="F143" i="20994"/>
  <c r="E143" i="20994"/>
  <c r="E135" i="20994"/>
  <c r="F135" i="20994"/>
  <c r="G135" i="20994"/>
  <c r="H135" i="20994"/>
  <c r="C15" i="20994"/>
  <c r="D15" i="20994" s="1"/>
  <c r="E15" i="20994"/>
  <c r="F15" i="20994"/>
  <c r="E226" i="20994"/>
  <c r="C225" i="20994"/>
  <c r="D225" i="20994" s="1"/>
  <c r="H249" i="20994"/>
  <c r="H225" i="20994"/>
  <c r="C231" i="20994"/>
  <c r="D231" i="20994" s="1"/>
  <c r="F231" i="20994"/>
  <c r="G231" i="20994"/>
  <c r="F70" i="20994"/>
  <c r="H171" i="20994"/>
  <c r="H70" i="20994"/>
  <c r="E231" i="20994"/>
  <c r="E16" i="20994"/>
  <c r="E153" i="20994"/>
  <c r="G224" i="20994"/>
  <c r="F212" i="20994"/>
  <c r="C170" i="20994"/>
  <c r="D170" i="20994" s="1"/>
  <c r="G170" i="20994"/>
  <c r="H162" i="20994"/>
  <c r="F162" i="20994"/>
  <c r="E108" i="20994"/>
  <c r="H109" i="20994"/>
  <c r="F100" i="20994"/>
  <c r="C100" i="20994"/>
  <c r="D100" i="20994" s="1"/>
  <c r="E100" i="20994"/>
  <c r="C84" i="20994"/>
  <c r="D84" i="20994" s="1"/>
  <c r="G84" i="20994"/>
  <c r="F84" i="20994"/>
  <c r="H47" i="20994"/>
  <c r="F22" i="20994"/>
  <c r="G22" i="20994"/>
  <c r="C22" i="20994"/>
  <c r="D22" i="20994" s="1"/>
  <c r="H39" i="20994"/>
  <c r="F23" i="20994"/>
  <c r="F18" i="20994"/>
  <c r="F16" i="20994"/>
  <c r="G26" i="20994"/>
  <c r="C14" i="20994"/>
  <c r="D14" i="20994" s="1"/>
  <c r="C165" i="20994"/>
  <c r="D165" i="20994" s="1"/>
  <c r="C139" i="20994"/>
  <c r="D139" i="20994" s="1"/>
  <c r="C201" i="20994"/>
  <c r="D201" i="20994" s="1"/>
  <c r="C117" i="20994"/>
  <c r="D117" i="20994" s="1"/>
  <c r="C245" i="20994"/>
  <c r="D245" i="20994" s="1"/>
  <c r="C218" i="20994"/>
  <c r="D218" i="20994" s="1"/>
  <c r="C214" i="20994"/>
  <c r="D214" i="20994" s="1"/>
  <c r="C224" i="20994"/>
  <c r="D224" i="20994" s="1"/>
  <c r="C249" i="20994"/>
  <c r="D249" i="20994" s="1"/>
  <c r="C141" i="20994"/>
  <c r="D141" i="20994" s="1"/>
  <c r="C202" i="20994"/>
  <c r="D202" i="20994" s="1"/>
  <c r="C146" i="20994"/>
  <c r="D146" i="20994" s="1"/>
  <c r="C220" i="20994"/>
  <c r="D220" i="20994" s="1"/>
  <c r="C121" i="20994"/>
  <c r="D121" i="20994" s="1"/>
  <c r="C142" i="20994"/>
  <c r="D142" i="20994" s="1"/>
  <c r="C199" i="20994"/>
  <c r="D199" i="20994" s="1"/>
  <c r="C211" i="20994"/>
  <c r="D211" i="20994" s="1"/>
  <c r="C166" i="20994"/>
  <c r="D166" i="20994" s="1"/>
  <c r="C129" i="20994"/>
  <c r="D129" i="20994" s="1"/>
  <c r="C168" i="20994"/>
  <c r="D168" i="20994" s="1"/>
  <c r="C125" i="20994"/>
  <c r="D125" i="20994" s="1"/>
  <c r="C138" i="20994"/>
  <c r="D138" i="20994" s="1"/>
  <c r="F62" i="20994"/>
  <c r="E77" i="20994"/>
  <c r="F255" i="20994"/>
  <c r="F225" i="20994"/>
  <c r="C213" i="20994"/>
  <c r="D213" i="20994" s="1"/>
  <c r="C209" i="20994"/>
  <c r="D209" i="20994" s="1"/>
  <c r="C124" i="20994"/>
  <c r="D124" i="20994" s="1"/>
  <c r="C108" i="20994"/>
  <c r="D108" i="20994" s="1"/>
  <c r="C167" i="20994"/>
  <c r="D167" i="20994" s="1"/>
  <c r="F21" i="20994"/>
  <c r="C118" i="20994"/>
  <c r="D118" i="20994" s="1"/>
  <c r="C210" i="20994"/>
  <c r="D210" i="20994" s="1"/>
  <c r="C174" i="20994"/>
  <c r="D174" i="20994" s="1"/>
  <c r="F123" i="20994"/>
  <c r="H123" i="20994"/>
  <c r="E124" i="20994"/>
  <c r="C123" i="20994"/>
  <c r="D123" i="20994" s="1"/>
  <c r="H139" i="20994"/>
  <c r="F115" i="20994"/>
  <c r="E115" i="20994"/>
  <c r="C115" i="20994"/>
  <c r="D115" i="20994" s="1"/>
  <c r="F45" i="20994"/>
  <c r="E38" i="20994"/>
  <c r="F41" i="20994"/>
  <c r="E37" i="20994"/>
  <c r="H38" i="20994"/>
  <c r="G37" i="20994"/>
  <c r="F46" i="20994"/>
  <c r="E29" i="20994"/>
  <c r="G41" i="20994"/>
  <c r="G29" i="20994"/>
  <c r="C29" i="20994"/>
  <c r="D29" i="20994" s="1"/>
  <c r="C13" i="20994"/>
  <c r="D13" i="20994" s="1"/>
  <c r="E13" i="20994"/>
  <c r="F232" i="20994"/>
  <c r="G244" i="20994"/>
  <c r="G162" i="20994"/>
  <c r="C72" i="20994"/>
  <c r="D72" i="20994" s="1"/>
  <c r="G120" i="20994"/>
  <c r="H144" i="20994"/>
  <c r="C203" i="20994"/>
  <c r="D203" i="20994" s="1"/>
  <c r="E97" i="20994"/>
  <c r="H94" i="20994"/>
  <c r="H163" i="20994"/>
  <c r="H254" i="20994"/>
  <c r="H153" i="20994"/>
  <c r="G147" i="20994"/>
  <c r="F29" i="20994"/>
  <c r="C149" i="20994"/>
  <c r="D149" i="20994" s="1"/>
  <c r="C219" i="20994"/>
  <c r="D219" i="20994" s="1"/>
  <c r="C230" i="20994"/>
  <c r="D230" i="20994" s="1"/>
  <c r="H159" i="20994"/>
  <c r="C21" i="20994"/>
  <c r="D21" i="20994" s="1"/>
  <c r="F37" i="20994"/>
  <c r="H223" i="20994"/>
  <c r="E14" i="20994"/>
  <c r="F170" i="20994"/>
  <c r="G174" i="20994"/>
  <c r="C150" i="20994"/>
  <c r="D150" i="20994" s="1"/>
  <c r="E225" i="20994"/>
  <c r="E123" i="20994"/>
  <c r="G158" i="20994"/>
  <c r="E159" i="20994"/>
  <c r="F158" i="20994"/>
  <c r="H158" i="20994"/>
  <c r="C140" i="20994"/>
  <c r="D140" i="20994" s="1"/>
  <c r="H140" i="20994"/>
  <c r="F140" i="20994"/>
  <c r="G152" i="20994"/>
  <c r="E140" i="20994"/>
  <c r="G130" i="20994"/>
  <c r="F130" i="20994"/>
  <c r="C130" i="20994"/>
  <c r="D130" i="20994" s="1"/>
  <c r="F74" i="20994"/>
  <c r="G86" i="20994"/>
  <c r="E75" i="20994"/>
  <c r="C74" i="20994"/>
  <c r="D74" i="20994" s="1"/>
  <c r="E74" i="20994"/>
  <c r="H99" i="20994"/>
  <c r="G66" i="20994"/>
  <c r="H91" i="20994"/>
  <c r="E67" i="20994"/>
  <c r="G58" i="20994"/>
  <c r="G70" i="20994"/>
  <c r="E58" i="20994"/>
  <c r="C58" i="20994"/>
  <c r="D58" i="20994" s="1"/>
  <c r="E59" i="20994"/>
  <c r="C51" i="20994"/>
  <c r="D51" i="20994" s="1"/>
  <c r="F51" i="20994"/>
  <c r="C44" i="20994"/>
  <c r="D44" i="20994" s="1"/>
  <c r="H45" i="20994"/>
  <c r="F44" i="20994"/>
  <c r="H69" i="20994"/>
  <c r="G28" i="20994"/>
  <c r="H53" i="20994"/>
  <c r="G40" i="20994"/>
  <c r="H46" i="20994"/>
  <c r="H97" i="20994"/>
  <c r="H101" i="20994"/>
  <c r="F63" i="20994"/>
  <c r="C120" i="20994"/>
  <c r="D120" i="20994" s="1"/>
  <c r="G215" i="20994"/>
  <c r="C69" i="20994"/>
  <c r="D69" i="20994" s="1"/>
  <c r="E163" i="20994"/>
  <c r="E85" i="20994"/>
  <c r="C254" i="20994"/>
  <c r="D254" i="20994" s="1"/>
  <c r="F153" i="20994"/>
  <c r="F223" i="20994"/>
  <c r="E171" i="20994"/>
  <c r="G159" i="20994"/>
  <c r="C134" i="20994"/>
  <c r="D134" i="20994" s="1"/>
  <c r="E9" i="20994"/>
  <c r="G34" i="20994"/>
  <c r="C37" i="20994"/>
  <c r="D37" i="20994" s="1"/>
  <c r="F14" i="20994"/>
  <c r="E170" i="20994"/>
  <c r="E52" i="20994"/>
  <c r="C133" i="20994"/>
  <c r="D133" i="20994" s="1"/>
  <c r="F58" i="20994"/>
  <c r="E227" i="20994"/>
  <c r="F227" i="20994"/>
  <c r="G227" i="20994"/>
  <c r="F238" i="20994"/>
  <c r="C173" i="20994"/>
  <c r="D173" i="20994" s="1"/>
  <c r="E173" i="20994"/>
  <c r="E131" i="20994"/>
  <c r="C216" i="20994"/>
  <c r="D216" i="20994" s="1"/>
  <c r="E216" i="20994"/>
  <c r="C208" i="20994"/>
  <c r="D208" i="20994" s="1"/>
  <c r="E208" i="20994"/>
  <c r="G167" i="20994"/>
  <c r="F167" i="20994"/>
  <c r="E167" i="20994"/>
  <c r="H129" i="20994"/>
  <c r="C105" i="20994"/>
  <c r="D105" i="20994" s="1"/>
  <c r="G105" i="20994"/>
  <c r="E105" i="20994"/>
  <c r="E98" i="20994"/>
  <c r="H121" i="20994"/>
  <c r="F97" i="20994"/>
  <c r="E89" i="20994"/>
  <c r="G89" i="20994"/>
  <c r="E90" i="20994"/>
  <c r="G101" i="20994"/>
  <c r="E81" i="20994"/>
  <c r="F77" i="20994"/>
  <c r="F78" i="20994"/>
  <c r="F75" i="20994"/>
  <c r="G35" i="20994"/>
  <c r="E35" i="20994"/>
  <c r="G27" i="20994"/>
  <c r="H40" i="20994"/>
  <c r="E172" i="20994"/>
  <c r="G81" i="20994"/>
  <c r="G104" i="20994"/>
  <c r="C160" i="20994"/>
  <c r="D160" i="20994" s="1"/>
  <c r="C172" i="20994"/>
  <c r="D172" i="20994" s="1"/>
  <c r="C131" i="20994"/>
  <c r="D131" i="20994" s="1"/>
  <c r="G143" i="20994"/>
  <c r="G153" i="20994"/>
  <c r="C151" i="20994"/>
  <c r="D151" i="20994" s="1"/>
  <c r="G127" i="20994"/>
  <c r="H127" i="20994"/>
  <c r="G80" i="20994"/>
  <c r="H81" i="20994"/>
  <c r="C80" i="20994"/>
  <c r="D80" i="20994" s="1"/>
  <c r="F80" i="20994"/>
  <c r="E80" i="20994"/>
  <c r="E64" i="20994"/>
  <c r="G64" i="20994"/>
  <c r="H65" i="20994"/>
  <c r="E56" i="20994"/>
  <c r="G56" i="20994"/>
  <c r="F56" i="20994"/>
  <c r="C49" i="20994"/>
  <c r="D49" i="20994" s="1"/>
  <c r="F52" i="20994"/>
  <c r="F53" i="20994"/>
  <c r="E49" i="20994"/>
  <c r="F60" i="20994"/>
  <c r="F54" i="20994"/>
  <c r="E10" i="20994"/>
  <c r="H35" i="20994"/>
  <c r="E224" i="20994"/>
  <c r="G223" i="20994"/>
  <c r="C223" i="20994"/>
  <c r="D223" i="20994" s="1"/>
  <c r="C136" i="20994"/>
  <c r="D136" i="20994" s="1"/>
  <c r="H50" i="20994"/>
  <c r="G112" i="20994"/>
  <c r="E62" i="20994"/>
  <c r="E120" i="20994"/>
  <c r="G171" i="20994"/>
  <c r="C256" i="20994"/>
  <c r="D256" i="20994" s="1"/>
  <c r="H93" i="20994"/>
  <c r="E70" i="20994"/>
  <c r="F88" i="20994"/>
  <c r="C204" i="20994"/>
  <c r="D204" i="20994" s="1"/>
  <c r="C217" i="20994"/>
  <c r="D217" i="20994" s="1"/>
  <c r="E247" i="20994"/>
  <c r="G25" i="20994"/>
  <c r="C206" i="20994"/>
  <c r="D206" i="20994" s="1"/>
  <c r="E210" i="20994"/>
  <c r="C112" i="20994"/>
  <c r="D112" i="20994" s="1"/>
  <c r="E57" i="20994"/>
  <c r="H136" i="20994"/>
  <c r="F49" i="20994"/>
  <c r="E136" i="20994"/>
  <c r="E23" i="20994"/>
  <c r="E232" i="20994"/>
  <c r="C215" i="20994"/>
  <c r="D215" i="20994" s="1"/>
  <c r="E30" i="20994"/>
  <c r="H151" i="20994"/>
  <c r="C143" i="20994"/>
  <c r="D143" i="20994" s="1"/>
  <c r="E116" i="20994"/>
  <c r="C229" i="20994"/>
  <c r="D229" i="20994" s="1"/>
  <c r="C159" i="20994"/>
  <c r="D159" i="20994" s="1"/>
  <c r="E150" i="20994"/>
  <c r="G49" i="20994"/>
  <c r="C155" i="20994"/>
  <c r="D155" i="20994" s="1"/>
  <c r="H155" i="20994"/>
  <c r="C145" i="20994"/>
  <c r="D145" i="20994" s="1"/>
  <c r="F137" i="20994"/>
  <c r="C137" i="20994"/>
  <c r="D137" i="20994" s="1"/>
  <c r="E127" i="20994"/>
  <c r="G131" i="20994"/>
  <c r="C119" i="20994"/>
  <c r="D119" i="20994" s="1"/>
  <c r="G119" i="20994"/>
  <c r="H119" i="20994"/>
  <c r="F119" i="20994"/>
  <c r="C95" i="20994"/>
  <c r="D95" i="20994" s="1"/>
  <c r="H96" i="20994"/>
  <c r="F79" i="20994"/>
  <c r="C79" i="20994"/>
  <c r="D79" i="20994" s="1"/>
  <c r="G79" i="20994"/>
  <c r="G91" i="20994"/>
  <c r="C17" i="20994"/>
  <c r="D17" i="20994" s="1"/>
  <c r="F17" i="20994"/>
  <c r="H230" i="20994"/>
  <c r="F163" i="20994"/>
  <c r="F108" i="20994"/>
  <c r="G88" i="20994"/>
  <c r="H85" i="20994"/>
  <c r="E254" i="20994"/>
  <c r="C157" i="20994"/>
  <c r="D157" i="20994" s="1"/>
  <c r="E230" i="20994"/>
  <c r="C152" i="20994"/>
  <c r="D152" i="20994" s="1"/>
  <c r="H116" i="20994"/>
  <c r="G115" i="20994"/>
  <c r="F104" i="20994"/>
  <c r="C104" i="20994"/>
  <c r="D104" i="20994" s="1"/>
  <c r="G42" i="20994"/>
  <c r="H43" i="20994"/>
  <c r="F42" i="20994"/>
  <c r="E21" i="20994"/>
  <c r="G243" i="20994"/>
  <c r="F43" i="20994"/>
  <c r="G76" i="20994"/>
  <c r="G92" i="20994"/>
  <c r="F20" i="20994"/>
  <c r="F112" i="20994"/>
  <c r="H228" i="20994"/>
  <c r="H105" i="20994"/>
  <c r="E212" i="20994"/>
  <c r="G175" i="20994"/>
  <c r="F258" i="20994"/>
  <c r="C239" i="20994"/>
  <c r="D239" i="20994" s="1"/>
  <c r="H253" i="20994"/>
  <c r="E73" i="20994"/>
  <c r="E22" i="20994"/>
  <c r="C205" i="20994"/>
  <c r="D205" i="20994" s="1"/>
  <c r="C135" i="20994"/>
  <c r="D135" i="20994" s="1"/>
  <c r="G155" i="20994"/>
  <c r="C164" i="20994"/>
  <c r="D164" i="20994" s="1"/>
  <c r="C227" i="20994"/>
  <c r="D227" i="20994" s="1"/>
  <c r="E229" i="20994"/>
  <c r="E144" i="20994"/>
  <c r="G21" i="20994"/>
  <c r="E72" i="20994"/>
  <c r="C162" i="20994"/>
  <c r="D162" i="20994" s="1"/>
  <c r="C127" i="20994"/>
  <c r="D127" i="20994" s="1"/>
  <c r="E213" i="20994"/>
  <c r="G258" i="20994"/>
  <c r="C258" i="20994"/>
  <c r="D258" i="20994" s="1"/>
  <c r="G229" i="20994"/>
  <c r="E175" i="20994"/>
  <c r="F175" i="20994"/>
  <c r="F217" i="20994"/>
  <c r="F215" i="20994"/>
  <c r="F214" i="20994"/>
  <c r="F207" i="20994"/>
  <c r="G172" i="20994"/>
  <c r="G154" i="20994"/>
  <c r="G166" i="20994"/>
  <c r="E154" i="20994"/>
  <c r="C144" i="20994"/>
  <c r="D144" i="20994" s="1"/>
  <c r="G136" i="20994"/>
  <c r="H160" i="20994"/>
  <c r="C126" i="20994"/>
  <c r="D126" i="20994" s="1"/>
  <c r="H126" i="20994"/>
  <c r="G118" i="20994"/>
  <c r="F118" i="20994"/>
  <c r="E118" i="20994"/>
  <c r="F40" i="20994"/>
  <c r="F24" i="20994"/>
  <c r="C243" i="20994"/>
  <c r="D243" i="20994" s="1"/>
  <c r="E211" i="20994"/>
  <c r="G142" i="20994"/>
  <c r="E258" i="20994"/>
  <c r="E200" i="20994"/>
  <c r="C122" i="20994"/>
  <c r="D122" i="20994" s="1"/>
  <c r="H255" i="20994"/>
  <c r="C156" i="20994"/>
  <c r="D156" i="20994" s="1"/>
  <c r="G90" i="20994"/>
  <c r="H84" i="20994"/>
  <c r="C226" i="20994"/>
  <c r="D226" i="20994" s="1"/>
  <c r="E256" i="20994"/>
  <c r="D14" i="768"/>
  <c r="F72" i="768"/>
  <c r="E95" i="768"/>
  <c r="E37" i="768"/>
  <c r="F111" i="768"/>
  <c r="G45" i="768"/>
  <c r="E96" i="768"/>
  <c r="F107" i="768"/>
  <c r="E111" i="768"/>
  <c r="E14" i="768"/>
  <c r="D59" i="768"/>
  <c r="E77" i="768"/>
  <c r="D81" i="768"/>
  <c r="F117" i="768"/>
  <c r="E60" i="768"/>
  <c r="F108" i="768"/>
  <c r="G60" i="768"/>
  <c r="D37" i="768"/>
  <c r="C95" i="768"/>
  <c r="E42" i="768"/>
  <c r="F28" i="768"/>
  <c r="D141" i="768"/>
  <c r="D64" i="768"/>
  <c r="D95" i="768"/>
  <c r="F36" i="768"/>
  <c r="D111" i="768"/>
  <c r="E36" i="768"/>
  <c r="F99" i="768"/>
  <c r="G81" i="768"/>
  <c r="C25" i="768"/>
  <c r="D94" i="768"/>
  <c r="C45" i="768"/>
  <c r="F65" i="768"/>
  <c r="D41" i="768"/>
  <c r="D120" i="768"/>
  <c r="G106" i="768"/>
  <c r="E41" i="768"/>
  <c r="F123" i="768"/>
  <c r="C27" i="768"/>
  <c r="D53" i="768"/>
  <c r="G59" i="768"/>
  <c r="E119" i="768"/>
  <c r="D129" i="768"/>
  <c r="F131" i="768"/>
  <c r="G129" i="768"/>
  <c r="D33" i="768"/>
  <c r="G102" i="768"/>
  <c r="D77" i="768"/>
  <c r="F48" i="768"/>
  <c r="F67" i="768"/>
  <c r="G86" i="768"/>
  <c r="E21" i="768"/>
  <c r="E87" i="768"/>
  <c r="F27" i="768"/>
  <c r="F23" i="768"/>
  <c r="D49" i="768"/>
  <c r="C44" i="768"/>
  <c r="G52" i="768"/>
  <c r="E70" i="768"/>
  <c r="F92" i="768"/>
  <c r="G36" i="768"/>
  <c r="F43" i="768"/>
  <c r="D29" i="768"/>
  <c r="E75" i="768"/>
  <c r="E18" i="768"/>
  <c r="E53" i="768"/>
  <c r="C111" i="768"/>
  <c r="E22" i="768"/>
  <c r="G95" i="768"/>
  <c r="F52" i="768"/>
  <c r="D36" i="768"/>
  <c r="F84" i="768"/>
  <c r="D13" i="768"/>
  <c r="E82" i="768"/>
  <c r="D72" i="768"/>
  <c r="D103" i="768"/>
  <c r="E30" i="768"/>
  <c r="D25" i="768"/>
  <c r="F57" i="768"/>
  <c r="D52" i="768"/>
  <c r="F69" i="768"/>
  <c r="G73" i="768"/>
  <c r="C41" i="768"/>
  <c r="F91" i="768"/>
  <c r="G97" i="768"/>
  <c r="D74" i="768"/>
  <c r="C28" i="768"/>
  <c r="D21" i="768"/>
  <c r="E39" i="768"/>
  <c r="D54" i="768"/>
  <c r="E83" i="768"/>
  <c r="E29" i="768"/>
  <c r="F40" i="768"/>
  <c r="D50" i="768"/>
  <c r="D130" i="768"/>
  <c r="C29" i="768"/>
  <c r="C86" i="768"/>
  <c r="E15" i="768"/>
  <c r="G87" i="768"/>
  <c r="D61" i="768"/>
  <c r="E72" i="768"/>
  <c r="E71" i="768"/>
  <c r="D96" i="768"/>
  <c r="E120" i="768"/>
  <c r="C51" i="768"/>
  <c r="D86" i="768"/>
  <c r="F45" i="768"/>
  <c r="E25" i="768"/>
  <c r="E24" i="768"/>
  <c r="C38" i="768"/>
  <c r="F100" i="768"/>
  <c r="D97" i="768"/>
  <c r="G120" i="768"/>
  <c r="G111" i="768"/>
  <c r="E76" i="768"/>
  <c r="E46" i="768"/>
  <c r="E17" i="768"/>
  <c r="E43" i="768"/>
  <c r="C60" i="768"/>
  <c r="E84" i="768"/>
  <c r="C73" i="768"/>
  <c r="D22" i="768"/>
  <c r="C53" i="768"/>
  <c r="F59" i="768"/>
  <c r="F29" i="768"/>
  <c r="C13" i="768"/>
  <c r="F87" i="768"/>
  <c r="G53" i="768"/>
  <c r="D60" i="768"/>
  <c r="G61" i="768"/>
  <c r="D73" i="768"/>
  <c r="G88" i="768"/>
  <c r="F44" i="768"/>
  <c r="G76" i="768"/>
  <c r="G37" i="768"/>
  <c r="D27" i="768"/>
  <c r="E88" i="768"/>
  <c r="G108" i="768"/>
  <c r="G57" i="768"/>
  <c r="E57" i="768"/>
  <c r="E20" i="768"/>
  <c r="E52" i="768"/>
  <c r="D89" i="768"/>
  <c r="G84" i="768"/>
  <c r="D68" i="768"/>
  <c r="D78" i="768"/>
  <c r="F73" i="768"/>
  <c r="C119" i="768"/>
  <c r="C21" i="768"/>
  <c r="E33" i="768"/>
  <c r="E40" i="768"/>
  <c r="G96" i="768"/>
  <c r="F141" i="768"/>
  <c r="D28" i="768"/>
  <c r="E56" i="768"/>
  <c r="F56" i="768"/>
  <c r="E16" i="768"/>
  <c r="E54" i="768"/>
  <c r="G124" i="768"/>
  <c r="G67" i="768"/>
  <c r="G112" i="768"/>
  <c r="D45" i="768"/>
  <c r="E38" i="768"/>
  <c r="F90" i="768"/>
  <c r="F82" i="768"/>
  <c r="E74" i="768"/>
  <c r="F85" i="768"/>
  <c r="G80" i="768"/>
  <c r="D58" i="768"/>
  <c r="F88" i="768"/>
  <c r="F80" i="768"/>
  <c r="F32" i="768"/>
  <c r="D108" i="768"/>
  <c r="E85" i="768"/>
  <c r="C67" i="768"/>
  <c r="C59" i="768"/>
  <c r="E47" i="768"/>
  <c r="C72" i="768"/>
  <c r="F61" i="768"/>
  <c r="F140" i="768"/>
  <c r="D84" i="768"/>
  <c r="F20" i="768"/>
  <c r="G91" i="768"/>
  <c r="F112" i="768"/>
  <c r="E102" i="768"/>
  <c r="E111" i="10285"/>
  <c r="C111" i="10285"/>
  <c r="D94" i="10285"/>
  <c r="F94" i="10285"/>
  <c r="C94" i="10285"/>
  <c r="G118" i="10285"/>
  <c r="E94" i="10285"/>
  <c r="G94" i="10285"/>
  <c r="E87" i="10285"/>
  <c r="D95" i="10285"/>
  <c r="E131" i="10285"/>
  <c r="C131" i="10285"/>
  <c r="F131" i="10285"/>
  <c r="F111" i="10285"/>
  <c r="E90" i="10285"/>
  <c r="E93" i="10285"/>
  <c r="D73" i="10285"/>
  <c r="D72" i="10285"/>
  <c r="F84" i="10285"/>
  <c r="G96" i="10285"/>
  <c r="G72" i="10285"/>
  <c r="E42" i="10285"/>
  <c r="C42" i="10285"/>
  <c r="G42" i="10285"/>
  <c r="D35" i="10285"/>
  <c r="F35" i="10285"/>
  <c r="C35" i="10285"/>
  <c r="G35" i="10285"/>
  <c r="D140" i="10285"/>
  <c r="C140" i="10285"/>
  <c r="E72" i="10285"/>
  <c r="C25" i="10285"/>
  <c r="E97" i="10285"/>
  <c r="D105" i="10285"/>
  <c r="E104" i="10285"/>
  <c r="F116" i="10285"/>
  <c r="G78" i="10285"/>
  <c r="G102" i="10285"/>
  <c r="E78" i="10285"/>
  <c r="D79" i="10285"/>
  <c r="F90" i="10285"/>
  <c r="F78" i="10285"/>
  <c r="C71" i="10285"/>
  <c r="D100" i="10285"/>
  <c r="D99" i="10285"/>
  <c r="G99" i="10285"/>
  <c r="C55" i="10285"/>
  <c r="E55" i="10285"/>
  <c r="D136" i="10285"/>
  <c r="F136" i="10285"/>
  <c r="D123" i="10285"/>
  <c r="F123" i="10285"/>
  <c r="E123" i="10285"/>
  <c r="E62" i="10285"/>
  <c r="D63" i="10285"/>
  <c r="D62" i="10285"/>
  <c r="C54" i="10285"/>
  <c r="G54" i="10285"/>
  <c r="D54" i="10285"/>
  <c r="E54" i="10285"/>
  <c r="D17" i="10285"/>
  <c r="E17" i="10285"/>
  <c r="D18" i="10285"/>
  <c r="C34" i="10285"/>
  <c r="C64" i="10285"/>
  <c r="C100" i="10285"/>
  <c r="C79" i="10285"/>
  <c r="C92" i="10285"/>
  <c r="C90" i="10285"/>
  <c r="C31" i="10285"/>
  <c r="C122" i="10285"/>
  <c r="C77" i="10285"/>
  <c r="C83" i="10285"/>
  <c r="C82" i="10285"/>
  <c r="C58" i="10285"/>
  <c r="C9" i="10285"/>
  <c r="C113" i="10285"/>
  <c r="C86" i="10285"/>
  <c r="C63" i="10285"/>
  <c r="C118" i="10285"/>
  <c r="C102" i="10285"/>
  <c r="C12" i="10285"/>
  <c r="C52" i="10285"/>
  <c r="C67" i="10285"/>
  <c r="C43" i="10285"/>
  <c r="C89" i="10285"/>
  <c r="C73" i="10285"/>
  <c r="C57" i="10285"/>
  <c r="C120" i="10285"/>
  <c r="C44" i="10285"/>
  <c r="C36" i="10285"/>
  <c r="C97" i="10285"/>
  <c r="D9" i="10285"/>
  <c r="C20" i="10285"/>
  <c r="C45" i="10285"/>
  <c r="C56" i="10285"/>
  <c r="C23" i="10285"/>
  <c r="C16" i="10285"/>
  <c r="C38" i="10285"/>
  <c r="C114" i="10285"/>
  <c r="C93" i="10285"/>
  <c r="C88" i="10285"/>
  <c r="F98" i="10285"/>
  <c r="G98" i="10285"/>
  <c r="G122" i="10285"/>
  <c r="E101" i="10285"/>
  <c r="D102" i="10285"/>
  <c r="G101" i="10285"/>
  <c r="G125" i="10285"/>
  <c r="F101" i="10285"/>
  <c r="G47" i="10285"/>
  <c r="C47" i="10285"/>
  <c r="D48" i="10285"/>
  <c r="F47" i="10285"/>
  <c r="E47" i="10285"/>
  <c r="D47" i="10285"/>
  <c r="E140" i="10285"/>
  <c r="E133" i="10285"/>
  <c r="C133" i="10285"/>
  <c r="D133" i="10285"/>
  <c r="C112" i="10285"/>
  <c r="D113" i="10285"/>
  <c r="D112" i="10285"/>
  <c r="G112" i="10285"/>
  <c r="F124" i="10285"/>
  <c r="D124" i="10285"/>
  <c r="D75" i="10285"/>
  <c r="F75" i="10285"/>
  <c r="C75" i="10285"/>
  <c r="E75" i="10285"/>
  <c r="F120" i="10285"/>
  <c r="F108" i="10285"/>
  <c r="D109" i="10285"/>
  <c r="E86" i="10285"/>
  <c r="E88" i="10285"/>
  <c r="E85" i="10285"/>
  <c r="E92" i="10285"/>
  <c r="E96" i="10285"/>
  <c r="D86" i="10285"/>
  <c r="E89" i="10285"/>
  <c r="C85" i="10285"/>
  <c r="G85" i="10285"/>
  <c r="F85" i="10285"/>
  <c r="G109" i="10285"/>
  <c r="D34" i="10285"/>
  <c r="G33" i="10285"/>
  <c r="C33" i="10285"/>
  <c r="G57" i="10285"/>
  <c r="F45" i="10285"/>
  <c r="E33" i="10285"/>
  <c r="F33" i="10285"/>
  <c r="D33" i="10285"/>
  <c r="D25" i="10285"/>
  <c r="E25" i="10285"/>
  <c r="E31" i="10285"/>
  <c r="F37" i="10285"/>
  <c r="E37" i="10285"/>
  <c r="E30" i="10285"/>
  <c r="E29" i="10285"/>
  <c r="F25" i="10285"/>
  <c r="E36" i="10285"/>
  <c r="D26" i="10285"/>
  <c r="E26" i="10285"/>
  <c r="C10" i="10285"/>
  <c r="G34" i="10285"/>
  <c r="D11" i="10285"/>
  <c r="F22" i="10285"/>
  <c r="D10" i="10285"/>
  <c r="E27" i="10285"/>
  <c r="D55" i="10285"/>
  <c r="F135" i="10285"/>
  <c r="G135" i="10285"/>
  <c r="C135" i="10285"/>
  <c r="F115" i="10285"/>
  <c r="E115" i="10285"/>
  <c r="C115" i="10285"/>
  <c r="D85" i="10285"/>
  <c r="C81" i="10285"/>
  <c r="G81" i="10285"/>
  <c r="G105" i="10285"/>
  <c r="F93" i="10285"/>
  <c r="D82" i="10285"/>
  <c r="E81" i="10285"/>
  <c r="F81" i="10285"/>
  <c r="G60" i="10285"/>
  <c r="C60" i="10285"/>
  <c r="F60" i="10285"/>
  <c r="G84" i="10285"/>
  <c r="E15" i="10285"/>
  <c r="C15" i="10285"/>
  <c r="F27" i="10285"/>
  <c r="E53" i="10285"/>
  <c r="F46" i="10285"/>
  <c r="G91" i="10285"/>
  <c r="F26" i="10285"/>
  <c r="E32" i="10285"/>
  <c r="E74" i="10285"/>
  <c r="G46" i="10285"/>
  <c r="D110" i="10285"/>
  <c r="C124" i="10285"/>
  <c r="E109" i="10285"/>
  <c r="F127" i="10285"/>
  <c r="E56" i="10285"/>
  <c r="C41" i="10285"/>
  <c r="E16" i="10285"/>
  <c r="C53" i="10285"/>
  <c r="E19" i="10285"/>
  <c r="F66" i="10285"/>
  <c r="F20" i="10285"/>
  <c r="C84" i="10285"/>
  <c r="C59" i="10285"/>
  <c r="D15" i="10285"/>
  <c r="E39" i="10285"/>
  <c r="F39" i="10285"/>
  <c r="G71" i="10285"/>
  <c r="G77" i="10285"/>
  <c r="F44" i="10285"/>
  <c r="C74" i="10285"/>
  <c r="E59" i="10285"/>
  <c r="G49" i="10285"/>
  <c r="F125" i="10285"/>
  <c r="F105" i="10285"/>
  <c r="E84" i="10285"/>
  <c r="G127" i="10285"/>
  <c r="F31" i="10285"/>
  <c r="G124" i="10285"/>
  <c r="G59" i="10285"/>
  <c r="D93" i="10285"/>
  <c r="G83" i="10285"/>
  <c r="D67" i="10285"/>
  <c r="G48" i="10285"/>
  <c r="D59" i="10285"/>
  <c r="C24" i="10285"/>
  <c r="G134" i="10285"/>
  <c r="F51" i="10285"/>
  <c r="G80" i="10285"/>
  <c r="D98" i="10285"/>
  <c r="E18" i="10285"/>
  <c r="E71" i="10285"/>
  <c r="F71" i="10285"/>
  <c r="G56" i="10285"/>
  <c r="G51" i="10285"/>
  <c r="E49" i="10285"/>
  <c r="F132" i="10285"/>
  <c r="D128" i="10285"/>
  <c r="F92" i="10285"/>
  <c r="G63" i="10285"/>
  <c r="G70" i="10285"/>
  <c r="F24" i="10285"/>
  <c r="F113" i="10285"/>
  <c r="C119" i="10285"/>
  <c r="C91" i="10285"/>
  <c r="C19" i="10285"/>
  <c r="C96" i="10285"/>
  <c r="C30" i="10285"/>
  <c r="E91" i="10285"/>
  <c r="E58" i="10285"/>
  <c r="C127" i="10285"/>
  <c r="D66" i="10285"/>
  <c r="D92" i="10285"/>
  <c r="C132" i="10285"/>
  <c r="C14" i="10285"/>
  <c r="D76" i="10285"/>
  <c r="D36" i="10285"/>
  <c r="F235" i="4888"/>
  <c r="G235" i="4888"/>
  <c r="D229" i="4888"/>
  <c r="E229" i="4888"/>
  <c r="G212" i="4888"/>
  <c r="D189" i="4888"/>
  <c r="E188" i="4888"/>
  <c r="G173" i="4888"/>
  <c r="E173" i="4888"/>
  <c r="G189" i="4888"/>
  <c r="D165" i="4888"/>
  <c r="F157" i="4888"/>
  <c r="D157" i="4888"/>
  <c r="E163" i="4888"/>
  <c r="G157" i="4888"/>
  <c r="E162" i="4888"/>
  <c r="D149" i="4888"/>
  <c r="C149" i="4888"/>
  <c r="D143" i="4888"/>
  <c r="E142" i="4888"/>
  <c r="F154" i="4888"/>
  <c r="E134" i="4888"/>
  <c r="E139" i="4888"/>
  <c r="F133" i="4888"/>
  <c r="C133" i="4888"/>
  <c r="D133" i="4888"/>
  <c r="G117" i="4888"/>
  <c r="G141" i="4888"/>
  <c r="F110" i="4888"/>
  <c r="G134" i="4888"/>
  <c r="D111" i="4888"/>
  <c r="F122" i="4888"/>
  <c r="F102" i="4888"/>
  <c r="E102" i="4888"/>
  <c r="E233" i="4888"/>
  <c r="C142" i="4888"/>
  <c r="D88" i="4888"/>
  <c r="F107" i="4888"/>
  <c r="E117" i="4888"/>
  <c r="F161" i="4888"/>
  <c r="C125" i="4888"/>
  <c r="D188" i="4888"/>
  <c r="C229" i="4888"/>
  <c r="G126" i="4888"/>
  <c r="E165" i="4888"/>
  <c r="G239" i="4888"/>
  <c r="D215" i="4888"/>
  <c r="F214" i="4888"/>
  <c r="G202" i="4888"/>
  <c r="F202" i="4888"/>
  <c r="C202" i="4888"/>
  <c r="F177" i="4888"/>
  <c r="G142" i="4888"/>
  <c r="F99" i="4888"/>
  <c r="E149" i="4888"/>
  <c r="F248" i="4888"/>
  <c r="E95" i="4888"/>
  <c r="F173" i="4888"/>
  <c r="D237" i="4888"/>
  <c r="D203" i="4888"/>
  <c r="G181" i="4888"/>
  <c r="G229" i="4888"/>
  <c r="E110" i="4888"/>
  <c r="E136" i="4888"/>
  <c r="D259" i="4888"/>
  <c r="E234" i="4888"/>
  <c r="D234" i="4888"/>
  <c r="C14" i="4888"/>
  <c r="D14" i="4888"/>
  <c r="D15" i="4888"/>
  <c r="D223" i="4888"/>
  <c r="E223" i="4888"/>
  <c r="G247" i="4888"/>
  <c r="F223" i="4888"/>
  <c r="C28" i="4888"/>
  <c r="C157" i="4888"/>
  <c r="D177" i="4888"/>
  <c r="F142" i="4888"/>
  <c r="G91" i="4888"/>
  <c r="E87" i="4888"/>
  <c r="G125" i="4888"/>
  <c r="D96" i="4888"/>
  <c r="E167" i="4888"/>
  <c r="G38" i="4888"/>
  <c r="G226" i="4888"/>
  <c r="F184" i="4888"/>
  <c r="E141" i="4888"/>
  <c r="E245" i="4888"/>
  <c r="E202" i="4888"/>
  <c r="F117" i="4888"/>
  <c r="F103" i="4888"/>
  <c r="E179" i="4888"/>
  <c r="G52" i="4888"/>
  <c r="D77" i="4888"/>
  <c r="F76" i="4888"/>
  <c r="G76" i="4888"/>
  <c r="F88" i="4888"/>
  <c r="E76" i="4888"/>
  <c r="D69" i="4888"/>
  <c r="D68" i="4888"/>
  <c r="G92" i="4888"/>
  <c r="E68" i="4888"/>
  <c r="C68" i="4888"/>
  <c r="D60" i="4888"/>
  <c r="F52" i="4888"/>
  <c r="D53" i="4888"/>
  <c r="G44" i="4888"/>
  <c r="F44" i="4888"/>
  <c r="E44" i="4888"/>
  <c r="E46" i="4888"/>
  <c r="E45" i="4888"/>
  <c r="E39" i="4888"/>
  <c r="E42" i="4888"/>
  <c r="G37" i="4888"/>
  <c r="E40" i="4888"/>
  <c r="D38" i="4888"/>
  <c r="F49" i="4888"/>
  <c r="E49" i="4888"/>
  <c r="E47" i="4888"/>
  <c r="G61" i="4888"/>
  <c r="G45" i="4888"/>
  <c r="D22" i="4888"/>
  <c r="E15" i="4888"/>
  <c r="E23" i="4888"/>
  <c r="G218" i="4888"/>
  <c r="F218" i="4888"/>
  <c r="F221" i="4888"/>
  <c r="G221" i="4888"/>
  <c r="E221" i="4888"/>
  <c r="D221" i="4888"/>
  <c r="D244" i="4888"/>
  <c r="G244" i="4888"/>
  <c r="F246" i="4888"/>
  <c r="C246" i="4888"/>
  <c r="D126" i="4888"/>
  <c r="D202" i="4888"/>
  <c r="G251" i="4888"/>
  <c r="F251" i="4888"/>
  <c r="C251" i="4888"/>
  <c r="E143" i="4888"/>
  <c r="D230" i="4888"/>
  <c r="D242" i="4888"/>
  <c r="D154" i="4888"/>
  <c r="C153" i="4888"/>
  <c r="D153" i="4888"/>
  <c r="G138" i="4888"/>
  <c r="G114" i="4888"/>
  <c r="C114" i="4888"/>
  <c r="D114" i="4888"/>
  <c r="D83" i="4888"/>
  <c r="F83" i="4888"/>
  <c r="C59" i="4888"/>
  <c r="F71" i="4888"/>
  <c r="D59" i="4888"/>
  <c r="F59" i="4888"/>
  <c r="E36" i="4888"/>
  <c r="D36" i="4888"/>
  <c r="C12" i="4888"/>
  <c r="F24" i="4888"/>
  <c r="G67" i="4888"/>
  <c r="G153" i="4888"/>
  <c r="F95" i="4888"/>
  <c r="C228" i="4888"/>
  <c r="E239" i="4888"/>
  <c r="D249" i="4888"/>
  <c r="D174" i="4888"/>
  <c r="G130" i="4888"/>
  <c r="G166" i="4888"/>
  <c r="F36" i="4888"/>
  <c r="G165" i="4888"/>
  <c r="C248" i="4888"/>
  <c r="E248" i="4888"/>
  <c r="F260" i="4888"/>
  <c r="D248" i="4888"/>
  <c r="G243" i="4888"/>
  <c r="D12" i="4888"/>
  <c r="F40" i="4888"/>
  <c r="D91" i="4888"/>
  <c r="C215" i="4888"/>
  <c r="E164" i="4888"/>
  <c r="C211" i="4888"/>
  <c r="F211" i="4888"/>
  <c r="D211" i="4888"/>
  <c r="F206" i="4888"/>
  <c r="D206" i="4888"/>
  <c r="C206" i="4888"/>
  <c r="F198" i="4888"/>
  <c r="E198" i="4888"/>
  <c r="G198" i="4888"/>
  <c r="G215" i="4888"/>
  <c r="C191" i="4888"/>
  <c r="F191" i="4888"/>
  <c r="F203" i="4888"/>
  <c r="D191" i="4888"/>
  <c r="E191" i="4888"/>
  <c r="D176" i="4888"/>
  <c r="C176" i="4888"/>
  <c r="F176" i="4888"/>
  <c r="F180" i="4888"/>
  <c r="E168" i="4888"/>
  <c r="C168" i="4888"/>
  <c r="E160" i="4888"/>
  <c r="F172" i="4888"/>
  <c r="F160" i="4888"/>
  <c r="E152" i="4888"/>
  <c r="F164" i="4888"/>
  <c r="D152" i="4888"/>
  <c r="F136" i="4888"/>
  <c r="D136" i="4888"/>
  <c r="E120" i="4888"/>
  <c r="D120" i="4888"/>
  <c r="F132" i="4888"/>
  <c r="D113" i="4888"/>
  <c r="E113" i="4888"/>
  <c r="E105" i="4888"/>
  <c r="F105" i="4888"/>
  <c r="E98" i="4888"/>
  <c r="G98" i="4888"/>
  <c r="D99" i="4888"/>
  <c r="G122" i="4888"/>
  <c r="G106" i="4888"/>
  <c r="G82" i="4888"/>
  <c r="C82" i="4888"/>
  <c r="D82" i="4888"/>
  <c r="D74" i="4888"/>
  <c r="G74" i="4888"/>
  <c r="F74" i="4888"/>
  <c r="C66" i="4888"/>
  <c r="F66" i="4888"/>
  <c r="D66" i="4888"/>
  <c r="F70" i="4888"/>
  <c r="E58" i="4888"/>
  <c r="F55" i="4888"/>
  <c r="F43" i="4888"/>
  <c r="C35" i="4888"/>
  <c r="F35" i="4888"/>
  <c r="G35" i="4888"/>
  <c r="D19" i="4888"/>
  <c r="F31" i="4888"/>
  <c r="E19" i="4888"/>
  <c r="G225" i="4888"/>
  <c r="F225" i="4888"/>
  <c r="C252" i="4888"/>
  <c r="D252" i="4888"/>
  <c r="G252" i="4888"/>
  <c r="C87" i="4888"/>
  <c r="E238" i="4888"/>
  <c r="D142" i="4888"/>
  <c r="D170" i="4888"/>
  <c r="G193" i="4888"/>
  <c r="E178" i="4888"/>
  <c r="E181" i="4888"/>
  <c r="E172" i="4888"/>
  <c r="E174" i="4888"/>
  <c r="D169" i="4888"/>
  <c r="D137" i="4888"/>
  <c r="F137" i="4888"/>
  <c r="C121" i="4888"/>
  <c r="E126" i="4888"/>
  <c r="E130" i="4888"/>
  <c r="E121" i="4888"/>
  <c r="E132" i="4888"/>
  <c r="E51" i="4888"/>
  <c r="G51" i="4888"/>
  <c r="C51" i="4888"/>
  <c r="F51" i="4888"/>
  <c r="C20" i="4888"/>
  <c r="E170" i="4888"/>
  <c r="G87" i="4888"/>
  <c r="G169" i="4888"/>
  <c r="F126" i="4888"/>
  <c r="E140" i="4888"/>
  <c r="G75" i="4888"/>
  <c r="D228" i="4888"/>
  <c r="F229" i="4888"/>
  <c r="E75" i="4888"/>
  <c r="F200" i="4888"/>
  <c r="D130" i="4888"/>
  <c r="D92" i="4888"/>
  <c r="E138" i="4888"/>
  <c r="E215" i="4888"/>
  <c r="D67" i="4888"/>
  <c r="D37" i="4888"/>
  <c r="D216" i="4888"/>
  <c r="F165" i="4888"/>
  <c r="D103" i="4888"/>
  <c r="E180" i="4888"/>
  <c r="E175" i="4888"/>
  <c r="F129" i="4888"/>
  <c r="C169" i="4888"/>
  <c r="D20" i="4888"/>
  <c r="D87" i="4888"/>
  <c r="E114" i="4888"/>
  <c r="D102" i="4888"/>
  <c r="F210" i="4888"/>
  <c r="E209" i="4888"/>
  <c r="E213" i="4888"/>
  <c r="G182" i="4888"/>
  <c r="F194" i="4888"/>
  <c r="G175" i="4888"/>
  <c r="C175" i="4888"/>
  <c r="F187" i="4888"/>
  <c r="D167" i="4888"/>
  <c r="F179" i="4888"/>
  <c r="F159" i="4888"/>
  <c r="D159" i="4888"/>
  <c r="G151" i="4888"/>
  <c r="D151" i="4888"/>
  <c r="F144" i="4888"/>
  <c r="G144" i="4888"/>
  <c r="D135" i="4888"/>
  <c r="F147" i="4888"/>
  <c r="D127" i="4888"/>
  <c r="E127" i="4888"/>
  <c r="F127" i="4888"/>
  <c r="G143" i="4888"/>
  <c r="G119" i="4888"/>
  <c r="C119" i="4888"/>
  <c r="E119" i="4888"/>
  <c r="C112" i="4888"/>
  <c r="F112" i="4888"/>
  <c r="E112" i="4888"/>
  <c r="C104" i="4888"/>
  <c r="D104" i="4888"/>
  <c r="E97" i="4888"/>
  <c r="E109" i="4888"/>
  <c r="G97" i="4888"/>
  <c r="E100" i="4888"/>
  <c r="F109" i="4888"/>
  <c r="E99" i="4888"/>
  <c r="E145" i="4888"/>
  <c r="G95" i="4888"/>
  <c r="E232" i="4888"/>
  <c r="E159" i="4888"/>
  <c r="E253" i="4888"/>
  <c r="F241" i="4888"/>
  <c r="G241" i="4888"/>
  <c r="C241" i="4888"/>
  <c r="E241" i="4888"/>
  <c r="D257" i="4888"/>
  <c r="F256" i="4888"/>
  <c r="G256" i="4888"/>
  <c r="F192" i="4888"/>
  <c r="G216" i="4888"/>
  <c r="D193" i="4888"/>
  <c r="E192" i="4888"/>
  <c r="C161" i="4888"/>
  <c r="D161" i="4888"/>
  <c r="G185" i="4888"/>
  <c r="E161" i="4888"/>
  <c r="D162" i="4888"/>
  <c r="D106" i="4888"/>
  <c r="C106" i="4888"/>
  <c r="G177" i="4888"/>
  <c r="G145" i="4888"/>
  <c r="E144" i="4888"/>
  <c r="G236" i="4888"/>
  <c r="F227" i="4888"/>
  <c r="G201" i="4888"/>
  <c r="C117" i="4888"/>
  <c r="G99" i="4888"/>
  <c r="F118" i="4888"/>
  <c r="F228" i="4888"/>
  <c r="G259" i="4888"/>
  <c r="D76" i="4888"/>
  <c r="G188" i="4888"/>
  <c r="E137" i="4888"/>
  <c r="C258" i="4888"/>
  <c r="G133" i="4888"/>
  <c r="G110" i="4888"/>
  <c r="G36" i="4888"/>
  <c r="D125" i="4888"/>
  <c r="D238" i="4888"/>
  <c r="G237" i="4888"/>
  <c r="E237" i="4888"/>
  <c r="F237" i="4888"/>
  <c r="C237" i="4888"/>
  <c r="G223" i="4888"/>
  <c r="D95" i="4888"/>
  <c r="G197" i="4888"/>
  <c r="D129" i="4888"/>
  <c r="F169" i="4888"/>
  <c r="D121" i="4888"/>
  <c r="D134" i="4888"/>
  <c r="F204" i="4888"/>
  <c r="E219" i="4888"/>
  <c r="D217" i="4888"/>
  <c r="F217" i="4888"/>
  <c r="E227" i="4888"/>
  <c r="E210" i="4888"/>
  <c r="C210" i="4888"/>
  <c r="E204" i="4888"/>
  <c r="F216" i="4888"/>
  <c r="G204" i="4888"/>
  <c r="D204" i="4888"/>
  <c r="F208" i="4888"/>
  <c r="F196" i="4888"/>
  <c r="C80" i="4888"/>
  <c r="D80" i="4888"/>
  <c r="F80" i="4888"/>
  <c r="D81" i="4888"/>
  <c r="G80" i="4888"/>
  <c r="E80" i="4888"/>
  <c r="C72" i="4888"/>
  <c r="F72" i="4888"/>
  <c r="D72" i="4888"/>
  <c r="G72" i="4888"/>
  <c r="E72" i="4888"/>
  <c r="F56" i="4888"/>
  <c r="D57" i="4888"/>
  <c r="D48" i="4888"/>
  <c r="F48" i="4888"/>
  <c r="E48" i="4888"/>
  <c r="F53" i="4888"/>
  <c r="D41" i="4888"/>
  <c r="D42" i="4888"/>
  <c r="E41" i="4888"/>
  <c r="C33" i="4888"/>
  <c r="F33" i="4888"/>
  <c r="G33" i="4888"/>
  <c r="E26" i="4888"/>
  <c r="E34" i="4888"/>
  <c r="G49" i="4888"/>
  <c r="C25" i="4888"/>
  <c r="D18" i="4888"/>
  <c r="E17" i="4888"/>
  <c r="G111" i="4888"/>
  <c r="E83" i="4888"/>
  <c r="D185" i="4888"/>
  <c r="F92" i="4888"/>
  <c r="C179" i="25580"/>
  <c r="D180" i="25580"/>
  <c r="G179" i="25580"/>
  <c r="E179" i="25580"/>
  <c r="D179" i="25580"/>
  <c r="C172" i="25580"/>
  <c r="F172" i="25580"/>
  <c r="E172" i="25580"/>
  <c r="F184" i="25580"/>
  <c r="D172" i="25580"/>
  <c r="G152" i="25580"/>
  <c r="F152" i="25580"/>
  <c r="D153" i="25580"/>
  <c r="E152" i="25580"/>
  <c r="D130" i="25580"/>
  <c r="C130" i="25580"/>
  <c r="E130" i="25580"/>
  <c r="F130" i="25580"/>
  <c r="D131" i="25580"/>
  <c r="G130" i="25580"/>
  <c r="F142" i="25580"/>
  <c r="F117" i="25580"/>
  <c r="D118" i="25580"/>
  <c r="G117" i="25580"/>
  <c r="D117" i="25580"/>
  <c r="C117" i="25580"/>
  <c r="E117" i="25580"/>
  <c r="G125" i="25580"/>
  <c r="F101" i="25580"/>
  <c r="D101" i="25580"/>
  <c r="E101" i="25580"/>
  <c r="D102" i="25580"/>
  <c r="G101" i="25580"/>
  <c r="C101" i="25580"/>
  <c r="G93" i="25580"/>
  <c r="C93" i="25580"/>
  <c r="D94" i="25580"/>
  <c r="E93" i="25580"/>
  <c r="D93" i="25580"/>
  <c r="F105" i="25580"/>
  <c r="F93" i="25580"/>
  <c r="E94" i="25580"/>
  <c r="E97" i="25580"/>
  <c r="G85" i="25580"/>
  <c r="E90" i="25580"/>
  <c r="E91" i="25580"/>
  <c r="D85" i="25580"/>
  <c r="G109" i="25580"/>
  <c r="C85" i="25580"/>
  <c r="D86" i="25580"/>
  <c r="F97" i="25580"/>
  <c r="E85" i="25580"/>
  <c r="E89" i="25580"/>
  <c r="C246" i="25580"/>
  <c r="G246" i="25580"/>
  <c r="D247" i="25580"/>
  <c r="G244" i="25580"/>
  <c r="E244" i="25580"/>
  <c r="C244" i="25580"/>
  <c r="D176" i="25580"/>
  <c r="F188" i="25580"/>
  <c r="G200" i="25580"/>
  <c r="G176" i="25580"/>
  <c r="D177" i="25580"/>
  <c r="E176" i="25580"/>
  <c r="E159" i="25580"/>
  <c r="G181" i="25580"/>
  <c r="E163" i="25580"/>
  <c r="E162" i="25580"/>
  <c r="F169" i="25580"/>
  <c r="E157" i="25580"/>
  <c r="E168" i="25580"/>
  <c r="C157" i="25580"/>
  <c r="E167" i="25580"/>
  <c r="E166" i="25580"/>
  <c r="D152" i="25580"/>
  <c r="G141" i="25580"/>
  <c r="G172" i="25580"/>
  <c r="F179" i="25580"/>
  <c r="F214" i="25580"/>
  <c r="G214" i="25580"/>
  <c r="E214" i="25580"/>
  <c r="C214" i="25580"/>
  <c r="D214" i="25580"/>
  <c r="F226" i="25580"/>
  <c r="D206" i="25580"/>
  <c r="G206" i="25580"/>
  <c r="F218" i="25580"/>
  <c r="C206" i="25580"/>
  <c r="E206" i="25580"/>
  <c r="D198" i="25580"/>
  <c r="G222" i="25580"/>
  <c r="F198" i="25580"/>
  <c r="E198" i="25580"/>
  <c r="G198" i="25580"/>
  <c r="G133" i="25580"/>
  <c r="E138" i="25580"/>
  <c r="E142" i="25580"/>
  <c r="E137" i="25580"/>
  <c r="E143" i="25580"/>
  <c r="F133" i="25580"/>
  <c r="D133" i="25580"/>
  <c r="E145" i="25580"/>
  <c r="C133" i="25580"/>
  <c r="D134" i="25580"/>
  <c r="E139" i="25580"/>
  <c r="E134" i="25580"/>
  <c r="E140" i="25580"/>
  <c r="E133" i="25580"/>
  <c r="F145" i="25580"/>
  <c r="E136" i="25580"/>
  <c r="E144" i="25580"/>
  <c r="E135" i="25580"/>
  <c r="E141" i="25580"/>
  <c r="E87" i="25580"/>
  <c r="G164" i="25580"/>
  <c r="D165" i="25580"/>
  <c r="C164" i="25580"/>
  <c r="F164" i="25580"/>
  <c r="G104" i="25580"/>
  <c r="F104" i="25580"/>
  <c r="E104" i="25580"/>
  <c r="C104" i="25580"/>
  <c r="E30" i="25580"/>
  <c r="E36" i="25580"/>
  <c r="G49" i="25580"/>
  <c r="E37" i="25580"/>
  <c r="E161" i="25580"/>
  <c r="G161" i="25580"/>
  <c r="D161" i="25580"/>
  <c r="C9" i="25580"/>
  <c r="C88" i="25580"/>
  <c r="G32" i="25580"/>
  <c r="D33" i="25580"/>
  <c r="E34" i="25580"/>
  <c r="F141" i="25580"/>
  <c r="E196" i="25580"/>
  <c r="E200" i="25580"/>
  <c r="E193" i="25580"/>
  <c r="E204" i="25580"/>
  <c r="C193" i="25580"/>
  <c r="D187" i="25580"/>
  <c r="D186" i="25580"/>
  <c r="F186" i="25580"/>
  <c r="G186" i="25580"/>
  <c r="G178" i="25580"/>
  <c r="F178" i="25580"/>
  <c r="G151" i="25580"/>
  <c r="D151" i="25580"/>
  <c r="G111" i="25580"/>
  <c r="D111" i="25580"/>
  <c r="F111" i="25580"/>
  <c r="C111" i="25580"/>
  <c r="E95" i="25580"/>
  <c r="C95" i="25580"/>
  <c r="E78" i="25580"/>
  <c r="E73" i="25580"/>
  <c r="E77" i="25580"/>
  <c r="G73" i="25580"/>
  <c r="C73" i="25580"/>
  <c r="C65" i="25580"/>
  <c r="D59" i="25580"/>
  <c r="F59" i="25580"/>
  <c r="C51" i="25580"/>
  <c r="F44" i="25580"/>
  <c r="C31" i="25580"/>
  <c r="D224" i="25580"/>
  <c r="D96" i="25580"/>
  <c r="D81" i="25580"/>
  <c r="G112" i="25580"/>
  <c r="E74" i="25580"/>
  <c r="E19" i="25580"/>
  <c r="C96" i="25580"/>
  <c r="C149" i="25580"/>
  <c r="C197" i="25580"/>
  <c r="E16" i="25580"/>
  <c r="C80" i="25580"/>
  <c r="C147" i="25580"/>
  <c r="G41" i="25580"/>
  <c r="F95" i="25580"/>
  <c r="C255" i="25580"/>
  <c r="C247" i="25580"/>
  <c r="C145" i="25580"/>
  <c r="D21" i="25580"/>
  <c r="G38" i="25580"/>
  <c r="F153" i="25580"/>
  <c r="C32" i="25580"/>
  <c r="G119" i="25580"/>
  <c r="C233" i="25580"/>
  <c r="C202" i="25580"/>
  <c r="G207" i="25580"/>
  <c r="E123" i="25580"/>
  <c r="C253" i="25580"/>
  <c r="G108" i="25580"/>
  <c r="F233" i="25580"/>
  <c r="G233" i="25580"/>
  <c r="C56" i="25580"/>
  <c r="C34" i="25580"/>
  <c r="C103" i="25580"/>
  <c r="E76" i="25580"/>
  <c r="E79" i="25580"/>
  <c r="G238" i="25580"/>
  <c r="F250" i="25580"/>
  <c r="C238" i="25580"/>
  <c r="D239" i="25580"/>
  <c r="D238" i="25580"/>
  <c r="C220" i="25580"/>
  <c r="F190" i="25580"/>
  <c r="C110" i="25580"/>
  <c r="C28" i="25580"/>
  <c r="G33" i="25580"/>
  <c r="E199" i="25580"/>
  <c r="F199" i="25580"/>
  <c r="D192" i="25580"/>
  <c r="F185" i="25580"/>
  <c r="G177" i="25580"/>
  <c r="E177" i="25580"/>
  <c r="E110" i="25580"/>
  <c r="D110" i="25580"/>
  <c r="C86" i="25580"/>
  <c r="D87" i="25580"/>
  <c r="G86" i="25580"/>
  <c r="F98" i="25580"/>
  <c r="C79" i="25580"/>
  <c r="F72" i="25580"/>
  <c r="E72" i="25580"/>
  <c r="G65" i="25580"/>
  <c r="F65" i="25580"/>
  <c r="E58" i="25580"/>
  <c r="F58" i="25580"/>
  <c r="C43" i="25580"/>
  <c r="C169" i="25580"/>
  <c r="C59" i="25580"/>
  <c r="C55" i="25580"/>
  <c r="C47" i="25580"/>
  <c r="D193" i="25580"/>
  <c r="E211" i="25580"/>
  <c r="C140" i="25580"/>
  <c r="G189" i="25580"/>
  <c r="E27" i="25580"/>
  <c r="F56" i="25580"/>
  <c r="F165" i="25580"/>
  <c r="D39" i="25580"/>
  <c r="E92" i="25580"/>
  <c r="E207" i="25580"/>
  <c r="E201" i="25580"/>
  <c r="C69" i="25580"/>
  <c r="D104" i="25580"/>
  <c r="E96" i="25580"/>
  <c r="D32" i="25580"/>
  <c r="C186" i="25580"/>
  <c r="F195" i="25580"/>
  <c r="D105" i="25580"/>
  <c r="C229" i="25580"/>
  <c r="D60" i="25580"/>
  <c r="C178" i="25580"/>
  <c r="D124" i="25580"/>
  <c r="C258" i="25580"/>
  <c r="E258" i="25580"/>
  <c r="E253" i="25580"/>
  <c r="E255" i="25580"/>
  <c r="D254" i="25580"/>
  <c r="C224" i="25580"/>
  <c r="E194" i="25580"/>
  <c r="E111" i="25580"/>
  <c r="C24" i="25580"/>
  <c r="C33" i="25580"/>
  <c r="G97" i="25580"/>
  <c r="D190" i="25580"/>
  <c r="C190" i="25580"/>
  <c r="C134" i="25580"/>
  <c r="D107" i="25580"/>
  <c r="F107" i="25580"/>
  <c r="F119" i="25580"/>
  <c r="F20" i="25580"/>
  <c r="E20" i="25580"/>
  <c r="G221" i="25580"/>
  <c r="C221" i="25580"/>
  <c r="D158" i="25580"/>
  <c r="C166" i="25580"/>
  <c r="F166" i="25580"/>
  <c r="D9" i="25580"/>
  <c r="D17" i="25580"/>
  <c r="C161" i="25580"/>
  <c r="F213" i="25580"/>
  <c r="G213" i="25580"/>
  <c r="C213" i="25580"/>
  <c r="F225" i="25580"/>
  <c r="F197" i="25580"/>
  <c r="D197" i="25580"/>
  <c r="G191" i="25580"/>
  <c r="E191" i="25580"/>
  <c r="G148" i="25580"/>
  <c r="F148" i="25580"/>
  <c r="G135" i="25580"/>
  <c r="D135" i="25580"/>
  <c r="D129" i="25580"/>
  <c r="C129" i="25580"/>
  <c r="D116" i="25580"/>
  <c r="E116" i="25580"/>
  <c r="F116" i="25580"/>
  <c r="E15" i="25580"/>
  <c r="E24" i="25580"/>
  <c r="D13" i="25580"/>
  <c r="E23" i="25580"/>
  <c r="D89" i="25580"/>
  <c r="F177" i="25580"/>
  <c r="C108" i="25580"/>
  <c r="E148" i="25580"/>
  <c r="D166" i="25580"/>
  <c r="C167" i="25580"/>
  <c r="C97" i="25580"/>
  <c r="C40" i="25580"/>
  <c r="C64" i="25580"/>
  <c r="E28" i="25580"/>
  <c r="E17" i="25580"/>
  <c r="C171" i="25580"/>
  <c r="C227" i="25580"/>
  <c r="F205" i="25580"/>
  <c r="E202" i="25580"/>
  <c r="C27" i="25580"/>
  <c r="D44" i="25580"/>
  <c r="G153" i="25580"/>
  <c r="C240" i="25580"/>
  <c r="F92" i="25580"/>
  <c r="C215" i="25580"/>
  <c r="C127" i="25580"/>
  <c r="C11" i="25580"/>
  <c r="E186" i="25580"/>
  <c r="G129" i="25580"/>
  <c r="G247" i="25580"/>
  <c r="E59" i="25580"/>
  <c r="D148" i="25580"/>
  <c r="D178" i="25580"/>
  <c r="F73" i="25580"/>
  <c r="G80" i="25580"/>
  <c r="G215" i="25580"/>
  <c r="C139" i="25580"/>
  <c r="F242" i="25580"/>
  <c r="C230" i="25580"/>
  <c r="G249" i="25580"/>
  <c r="D249" i="25580"/>
  <c r="D250" i="25580"/>
  <c r="E250" i="25580"/>
  <c r="E242" i="25580"/>
  <c r="G241" i="25580"/>
  <c r="D112" i="25580"/>
  <c r="C194" i="25580"/>
  <c r="C155" i="25580"/>
  <c r="F123" i="25580"/>
  <c r="D203" i="25580"/>
  <c r="F203" i="25580"/>
  <c r="D204" i="25580"/>
  <c r="D155" i="25580"/>
  <c r="F154" i="25580"/>
  <c r="D127" i="25580"/>
  <c r="E127" i="25580"/>
  <c r="D122" i="25580"/>
  <c r="E121" i="25580"/>
  <c r="E122" i="25580"/>
  <c r="E132" i="25580"/>
  <c r="E128" i="25580"/>
  <c r="F121" i="25580"/>
  <c r="C114" i="25580"/>
  <c r="G138" i="25580"/>
  <c r="C82" i="25580"/>
  <c r="F82" i="25580"/>
  <c r="D82" i="25580"/>
  <c r="G106" i="25580"/>
  <c r="F94" i="25580"/>
  <c r="D83" i="25580"/>
  <c r="G82" i="25580"/>
  <c r="C76" i="25580"/>
  <c r="E68" i="25580"/>
  <c r="F68" i="25580"/>
  <c r="E63" i="25580"/>
  <c r="D61" i="25580"/>
  <c r="E69" i="25580"/>
  <c r="C54" i="25580"/>
  <c r="G54" i="25580"/>
  <c r="F54" i="25580"/>
  <c r="E54" i="25580"/>
  <c r="D55" i="25580"/>
  <c r="G71" i="25580"/>
  <c r="G47" i="25580"/>
  <c r="F47" i="25580"/>
  <c r="G40" i="25580"/>
  <c r="F52" i="25580"/>
  <c r="D34" i="25580"/>
  <c r="G34" i="25580"/>
  <c r="G167" i="25580"/>
  <c r="F167" i="25580"/>
  <c r="G88" i="25580"/>
  <c r="G185" i="25580"/>
  <c r="D25" i="25580"/>
  <c r="E209" i="25580"/>
  <c r="E212" i="25580"/>
  <c r="E205" i="25580"/>
  <c r="G205" i="25580"/>
  <c r="D184" i="25580"/>
  <c r="D183" i="25580"/>
  <c r="E183" i="25580"/>
  <c r="C183" i="25580"/>
  <c r="D108" i="25580"/>
  <c r="F108" i="25580"/>
  <c r="G132" i="25580"/>
  <c r="F100" i="25580"/>
  <c r="G100" i="25580"/>
  <c r="C100" i="25580"/>
  <c r="F29" i="25580"/>
  <c r="C137" i="25580"/>
  <c r="C209" i="25580"/>
  <c r="C77" i="25580"/>
  <c r="C48" i="25580"/>
  <c r="C118" i="25580"/>
  <c r="C62" i="25580"/>
  <c r="C195" i="25580"/>
  <c r="C136" i="25580"/>
  <c r="C159" i="25580"/>
  <c r="C91" i="25580"/>
  <c r="C128" i="25580"/>
  <c r="C218" i="25580"/>
  <c r="C222" i="25580"/>
  <c r="C162" i="25580"/>
  <c r="C163" i="25580"/>
  <c r="C90" i="25580"/>
  <c r="C30" i="25580"/>
  <c r="C142" i="25580"/>
  <c r="C109" i="25580"/>
  <c r="C208" i="25580"/>
  <c r="C115" i="25580"/>
  <c r="C144" i="25580"/>
  <c r="C168" i="25580"/>
  <c r="C78" i="25580"/>
  <c r="C106" i="25580"/>
  <c r="C70" i="25580"/>
  <c r="C184" i="25580"/>
  <c r="C259" i="25580"/>
  <c r="C84" i="25580"/>
  <c r="C105" i="25580"/>
  <c r="C174" i="25580"/>
  <c r="C250" i="25580"/>
  <c r="C99" i="25580"/>
  <c r="C189" i="25580"/>
  <c r="C94" i="25580"/>
  <c r="C200" i="25580"/>
  <c r="C175" i="25580"/>
  <c r="C125" i="25580"/>
  <c r="F128" i="25580"/>
  <c r="C67" i="25580"/>
  <c r="C234" i="25580"/>
  <c r="C131" i="25580"/>
  <c r="E25" i="25580"/>
  <c r="E203" i="25580"/>
  <c r="C89" i="25580"/>
  <c r="C25" i="25580"/>
  <c r="D223" i="25580"/>
  <c r="E84" i="25580"/>
  <c r="D95" i="25580"/>
  <c r="F183" i="25580"/>
  <c r="F193" i="25580"/>
  <c r="E38" i="25580"/>
  <c r="G44" i="25580"/>
  <c r="C58" i="25580"/>
  <c r="C22" i="25580"/>
  <c r="C199" i="25580"/>
  <c r="C154" i="25580"/>
  <c r="C241" i="25580"/>
  <c r="F96" i="25580"/>
  <c r="C232" i="25580"/>
  <c r="C180" i="25580"/>
  <c r="C212" i="25580"/>
  <c r="E35" i="25580"/>
  <c r="C52" i="25580"/>
  <c r="F191" i="25580"/>
  <c r="D162" i="25580"/>
  <c r="E178" i="25580"/>
  <c r="C123" i="25580"/>
  <c r="C68" i="25580"/>
  <c r="E82" i="25580"/>
  <c r="C210" i="25580"/>
  <c r="D210" i="25580"/>
  <c r="E210" i="25580"/>
  <c r="G202" i="25580"/>
  <c r="D202" i="25580"/>
  <c r="G188" i="25580"/>
  <c r="F173" i="25580"/>
  <c r="C173" i="25580"/>
  <c r="D173" i="25580"/>
  <c r="E173" i="25580"/>
  <c r="G139" i="25580"/>
  <c r="D139" i="25580"/>
  <c r="F126" i="25580"/>
  <c r="E126" i="25580"/>
  <c r="D126" i="25580"/>
  <c r="C120" i="25580"/>
  <c r="G120" i="25580"/>
  <c r="D113" i="25580"/>
  <c r="C113" i="25580"/>
  <c r="F113" i="25580"/>
  <c r="G113" i="25580"/>
  <c r="C81" i="25580"/>
  <c r="E75" i="25580"/>
  <c r="D67" i="25580"/>
  <c r="G67" i="25580"/>
  <c r="C60" i="25580"/>
  <c r="F53" i="25580"/>
  <c r="E53" i="25580"/>
  <c r="D53" i="25580"/>
  <c r="G77" i="25580"/>
  <c r="C46" i="25580"/>
  <c r="C39" i="25580"/>
  <c r="C26" i="25580"/>
  <c r="E26" i="25580"/>
  <c r="D26" i="25580"/>
  <c r="C18" i="25580"/>
  <c r="F30" i="25580"/>
  <c r="C10" i="25580"/>
  <c r="D11" i="25580"/>
  <c r="E259" i="25580"/>
  <c r="D212" i="25580"/>
  <c r="C87" i="25580"/>
  <c r="D27" i="25580"/>
  <c r="D258" i="25580"/>
  <c r="F221" i="25580"/>
  <c r="D132" i="25580"/>
  <c r="F71" i="25580"/>
  <c r="F24" i="25580"/>
  <c r="D246" i="25580"/>
  <c r="D235" i="25580"/>
  <c r="F86" i="25580"/>
  <c r="C63" i="25580"/>
  <c r="F219" i="25580"/>
  <c r="C251" i="25580"/>
  <c r="D215" i="25580"/>
  <c r="D62" i="25580"/>
  <c r="G36" i="25585"/>
  <c r="G32" i="25585"/>
  <c r="G43" i="25585"/>
  <c r="G49" i="25585"/>
  <c r="G33" i="25585"/>
  <c r="G41" i="25585"/>
  <c r="G39" i="25585"/>
  <c r="G34" i="25585"/>
  <c r="G49" i="25586"/>
  <c r="F41" i="25586"/>
  <c r="E47" i="25586"/>
  <c r="F24" i="25586"/>
  <c r="C18" i="25586"/>
  <c r="C36" i="25586"/>
  <c r="G60" i="25586" s="1"/>
  <c r="C10" i="25586"/>
  <c r="C22" i="25586"/>
  <c r="F29" i="25586"/>
  <c r="C41" i="25586"/>
  <c r="G41" i="25586" s="1"/>
  <c r="C8" i="25586"/>
  <c r="F39" i="25586"/>
  <c r="E26" i="25586"/>
  <c r="C45" i="25586"/>
  <c r="G69" i="25586" s="1"/>
  <c r="F47" i="25586"/>
  <c r="D35" i="25586"/>
  <c r="C47" i="25586"/>
  <c r="G47" i="25586" s="1"/>
  <c r="D32" i="25586"/>
  <c r="D31" i="25586"/>
  <c r="F44" i="25586"/>
  <c r="C21" i="25586"/>
  <c r="D26" i="25586"/>
  <c r="C34" i="25586"/>
  <c r="G58" i="25586" s="1"/>
  <c r="C43" i="25586"/>
  <c r="G67" i="25586" s="1"/>
  <c r="D19" i="25586"/>
  <c r="C42" i="25586"/>
  <c r="G66" i="25586" s="1"/>
  <c r="C19" i="25586"/>
  <c r="F31" i="25586"/>
  <c r="E9" i="25586"/>
  <c r="E49" i="25586"/>
  <c r="C39" i="25586"/>
  <c r="G63" i="25586" s="1"/>
  <c r="E14" i="25586"/>
  <c r="F20" i="25586"/>
  <c r="E40" i="25586"/>
  <c r="C12" i="25586"/>
  <c r="E11" i="25586"/>
  <c r="C20" i="25586"/>
  <c r="G44" i="25586" s="1"/>
  <c r="F45" i="25586"/>
  <c r="E17" i="25586"/>
  <c r="C30" i="25586"/>
  <c r="G54" i="25586" s="1"/>
  <c r="C38" i="25586"/>
  <c r="G62" i="25586" s="1"/>
  <c r="C35" i="25586"/>
  <c r="G35" i="25586" s="1"/>
  <c r="D24" i="25586"/>
  <c r="E16" i="25586"/>
  <c r="C15" i="25586"/>
  <c r="F49" i="25586"/>
  <c r="D41" i="25586"/>
  <c r="E46" i="25586"/>
  <c r="F26" i="25586"/>
  <c r="C46" i="25586"/>
  <c r="G70" i="25586" s="1"/>
  <c r="E18" i="25586"/>
  <c r="F25" i="25586"/>
  <c r="C48" i="25586"/>
  <c r="G48" i="25586" s="1"/>
  <c r="E22" i="25586"/>
  <c r="C37" i="25586"/>
  <c r="G61" i="25586" s="1"/>
  <c r="D36" i="25586"/>
  <c r="D11" i="25586"/>
  <c r="E35" i="25586"/>
  <c r="F43" i="25586"/>
  <c r="C27" i="25586"/>
  <c r="G51" i="25586" s="1"/>
  <c r="D34" i="25586"/>
  <c r="E10" i="25586"/>
  <c r="D33" i="25586"/>
  <c r="D38" i="25586"/>
  <c r="C32" i="25586"/>
  <c r="G56" i="25586" s="1"/>
  <c r="D40" i="25586"/>
  <c r="C33" i="25586"/>
  <c r="G33" i="25586" s="1"/>
  <c r="C13" i="25586"/>
  <c r="D25" i="25586"/>
  <c r="C28" i="25586"/>
  <c r="G52" i="25586" s="1"/>
  <c r="F22" i="25586"/>
  <c r="C29" i="25586"/>
  <c r="G53" i="25586" s="1"/>
  <c r="E45" i="25586"/>
  <c r="C26" i="25586"/>
  <c r="F36" i="25586"/>
  <c r="C14" i="25586"/>
  <c r="E13" i="25586"/>
  <c r="D23" i="25586"/>
  <c r="H70" i="3"/>
  <c r="D70" i="3"/>
  <c r="E70" i="3"/>
  <c r="E59" i="3"/>
  <c r="H58" i="3"/>
  <c r="E42" i="3"/>
  <c r="F41" i="3"/>
  <c r="F28" i="3"/>
  <c r="E25" i="3"/>
  <c r="F29" i="3"/>
  <c r="G25" i="3"/>
  <c r="F37" i="3"/>
  <c r="F25" i="3"/>
  <c r="D25" i="3"/>
  <c r="G37" i="3"/>
  <c r="D260" i="3"/>
  <c r="F260" i="3"/>
  <c r="E260" i="3"/>
  <c r="F33" i="3"/>
  <c r="E186" i="3"/>
  <c r="F208" i="3"/>
  <c r="E85" i="3"/>
  <c r="H146" i="3"/>
  <c r="G91" i="3"/>
  <c r="G131" i="3"/>
  <c r="F34" i="3"/>
  <c r="H123" i="3"/>
  <c r="F185" i="3"/>
  <c r="D38" i="3"/>
  <c r="D58" i="3"/>
  <c r="E254" i="3"/>
  <c r="H99" i="3"/>
  <c r="G127" i="3"/>
  <c r="H155" i="3"/>
  <c r="E62" i="3"/>
  <c r="F180" i="3"/>
  <c r="E153" i="3"/>
  <c r="G111" i="3"/>
  <c r="D179" i="3"/>
  <c r="G179" i="3"/>
  <c r="H179" i="3"/>
  <c r="F171" i="3"/>
  <c r="G171" i="3"/>
  <c r="H195" i="3"/>
  <c r="E164" i="3"/>
  <c r="H187" i="3"/>
  <c r="H163" i="3"/>
  <c r="G155" i="3"/>
  <c r="F155" i="3"/>
  <c r="E155" i="3"/>
  <c r="D155" i="3"/>
  <c r="G148" i="3"/>
  <c r="E149" i="3"/>
  <c r="H148" i="3"/>
  <c r="F148" i="3"/>
  <c r="E140" i="3"/>
  <c r="F140" i="3"/>
  <c r="D140" i="3"/>
  <c r="H140" i="3"/>
  <c r="H164" i="3"/>
  <c r="G140" i="3"/>
  <c r="F142" i="3"/>
  <c r="F134" i="3"/>
  <c r="H157" i="3"/>
  <c r="F143" i="3"/>
  <c r="D133" i="3"/>
  <c r="F133" i="3"/>
  <c r="F141" i="3"/>
  <c r="G124" i="3"/>
  <c r="H124" i="3"/>
  <c r="G129" i="3"/>
  <c r="E117" i="3"/>
  <c r="E118" i="3"/>
  <c r="H117" i="3"/>
  <c r="F109" i="3"/>
  <c r="E109" i="3"/>
  <c r="F119" i="3"/>
  <c r="E110" i="3"/>
  <c r="F112" i="3"/>
  <c r="F101" i="3"/>
  <c r="G113" i="3"/>
  <c r="D101" i="3"/>
  <c r="G101" i="3"/>
  <c r="E93" i="3"/>
  <c r="E94" i="3"/>
  <c r="F93" i="3"/>
  <c r="E86" i="3"/>
  <c r="H85" i="3"/>
  <c r="F97" i="3"/>
  <c r="G97" i="3"/>
  <c r="F96" i="3"/>
  <c r="E69" i="3"/>
  <c r="H69" i="3"/>
  <c r="D69" i="3"/>
  <c r="F69" i="3"/>
  <c r="H48" i="3"/>
  <c r="G60" i="3"/>
  <c r="H32" i="3"/>
  <c r="E32" i="3"/>
  <c r="G44" i="3"/>
  <c r="D24" i="3"/>
  <c r="F24" i="3"/>
  <c r="G27" i="3"/>
  <c r="E15" i="3"/>
  <c r="H220" i="3"/>
  <c r="E221" i="3"/>
  <c r="F35" i="3"/>
  <c r="G197" i="3"/>
  <c r="G69" i="3"/>
  <c r="G89" i="3"/>
  <c r="G220" i="3"/>
  <c r="D235" i="3"/>
  <c r="D84" i="3"/>
  <c r="E156" i="3"/>
  <c r="F121" i="3"/>
  <c r="F130" i="3"/>
  <c r="F40" i="3"/>
  <c r="F118" i="3"/>
  <c r="D185" i="3"/>
  <c r="D109" i="3"/>
  <c r="G168" i="3"/>
  <c r="F30" i="3"/>
  <c r="G126" i="3"/>
  <c r="E179" i="3"/>
  <c r="G70" i="3"/>
  <c r="E115" i="3"/>
  <c r="F179" i="3"/>
  <c r="F15" i="3"/>
  <c r="H176" i="3"/>
  <c r="E134" i="3"/>
  <c r="G208" i="3"/>
  <c r="H74" i="3"/>
  <c r="F92" i="3"/>
  <c r="E101" i="3"/>
  <c r="E51" i="3"/>
  <c r="D248" i="3"/>
  <c r="G248" i="3"/>
  <c r="F248" i="3"/>
  <c r="H141" i="3"/>
  <c r="G209" i="3"/>
  <c r="E209" i="3"/>
  <c r="H209" i="3"/>
  <c r="H201" i="3"/>
  <c r="E202" i="3"/>
  <c r="F194" i="3"/>
  <c r="H218" i="3"/>
  <c r="E195" i="3"/>
  <c r="G198" i="3"/>
  <c r="G186" i="3"/>
  <c r="E178" i="3"/>
  <c r="F162" i="3"/>
  <c r="G174" i="3"/>
  <c r="G162" i="3"/>
  <c r="H162" i="3"/>
  <c r="E162" i="3"/>
  <c r="H154" i="3"/>
  <c r="E123" i="3"/>
  <c r="D116" i="3"/>
  <c r="F116" i="3"/>
  <c r="D108" i="3"/>
  <c r="H108" i="3"/>
  <c r="F108" i="3"/>
  <c r="G120" i="3"/>
  <c r="E108" i="3"/>
  <c r="G100" i="3"/>
  <c r="F100" i="3"/>
  <c r="G104" i="3"/>
  <c r="E92" i="3"/>
  <c r="H92" i="3"/>
  <c r="E84" i="3"/>
  <c r="H100" i="3"/>
  <c r="D76" i="3"/>
  <c r="H76" i="3"/>
  <c r="E76" i="3"/>
  <c r="G88" i="3"/>
  <c r="F68" i="3"/>
  <c r="G68" i="3"/>
  <c r="H80" i="3"/>
  <c r="E56" i="3"/>
  <c r="H47" i="3"/>
  <c r="G59" i="3"/>
  <c r="G47" i="3"/>
  <c r="E39" i="3"/>
  <c r="G39" i="3"/>
  <c r="F31" i="3"/>
  <c r="G31" i="3"/>
  <c r="F253" i="3"/>
  <c r="D253" i="3"/>
  <c r="E215" i="3"/>
  <c r="E216" i="3"/>
  <c r="D215" i="3"/>
  <c r="H215" i="3"/>
  <c r="E200" i="3"/>
  <c r="G212" i="3"/>
  <c r="F204" i="3"/>
  <c r="F197" i="3"/>
  <c r="F202" i="3"/>
  <c r="F198" i="3"/>
  <c r="H193" i="3"/>
  <c r="F203" i="3"/>
  <c r="E177" i="3"/>
  <c r="G189" i="3"/>
  <c r="H177" i="3"/>
  <c r="C406" i="3"/>
  <c r="D169" i="3"/>
  <c r="F175" i="3"/>
  <c r="F169" i="3"/>
  <c r="F173" i="3"/>
  <c r="G181" i="3"/>
  <c r="H161" i="3"/>
  <c r="G161" i="3"/>
  <c r="G173" i="3"/>
  <c r="F153" i="3"/>
  <c r="D153" i="3"/>
  <c r="F146" i="3"/>
  <c r="E146" i="3"/>
  <c r="E138" i="3"/>
  <c r="F138" i="3"/>
  <c r="D138" i="3"/>
  <c r="G107" i="3"/>
  <c r="D107" i="3"/>
  <c r="F107" i="3"/>
  <c r="H75" i="3"/>
  <c r="E75" i="3"/>
  <c r="D62" i="3"/>
  <c r="H86" i="3"/>
  <c r="F62" i="3"/>
  <c r="H62" i="3"/>
  <c r="F38" i="3"/>
  <c r="H38" i="3"/>
  <c r="F27" i="3"/>
  <c r="G28" i="3"/>
  <c r="E16" i="3"/>
  <c r="F84" i="3"/>
  <c r="G150" i="3"/>
  <c r="G207" i="3"/>
  <c r="D207" i="3"/>
  <c r="E207" i="3"/>
  <c r="D193" i="3"/>
  <c r="D145" i="3"/>
  <c r="G40" i="3"/>
  <c r="F215" i="3"/>
  <c r="F95" i="3"/>
  <c r="F161" i="3"/>
  <c r="D16" i="3"/>
  <c r="G84" i="3"/>
  <c r="F220" i="3"/>
  <c r="E180" i="3"/>
  <c r="G143" i="3"/>
  <c r="F115" i="3"/>
  <c r="E133" i="3"/>
  <c r="G199" i="3"/>
  <c r="F199" i="3"/>
  <c r="F113" i="3"/>
  <c r="E46" i="3"/>
  <c r="H79" i="3"/>
  <c r="H138" i="3"/>
  <c r="F170" i="3"/>
  <c r="D124" i="3"/>
  <c r="F137" i="3"/>
  <c r="C403" i="3"/>
  <c r="F195" i="3"/>
  <c r="E137" i="3"/>
  <c r="F91" i="3"/>
  <c r="G98" i="3"/>
  <c r="H172" i="3"/>
  <c r="D55" i="3"/>
  <c r="D230" i="3"/>
  <c r="H192" i="3"/>
  <c r="H169" i="3"/>
  <c r="H93" i="3"/>
  <c r="E33" i="3"/>
  <c r="D208" i="3"/>
  <c r="F32" i="3"/>
  <c r="H244" i="3"/>
  <c r="F244" i="3"/>
  <c r="D252" i="3"/>
  <c r="H252" i="3"/>
  <c r="G57" i="3"/>
  <c r="G218" i="3"/>
  <c r="E206" i="3"/>
  <c r="F191" i="3"/>
  <c r="E191" i="3"/>
  <c r="E183" i="3"/>
  <c r="F183" i="3"/>
  <c r="H183" i="3"/>
  <c r="G183" i="3"/>
  <c r="E40" i="3"/>
  <c r="E154" i="3"/>
  <c r="H33" i="3"/>
  <c r="F86" i="3"/>
  <c r="G24" i="3"/>
  <c r="E122" i="3"/>
  <c r="H217" i="3"/>
  <c r="H131" i="3"/>
  <c r="D115" i="3"/>
  <c r="E132" i="3"/>
  <c r="F85" i="3"/>
  <c r="D163" i="3"/>
  <c r="F74" i="3"/>
  <c r="D255" i="3"/>
  <c r="E256" i="3"/>
  <c r="G55" i="3"/>
  <c r="G32" i="3"/>
  <c r="E147" i="3"/>
  <c r="F122" i="3"/>
  <c r="F135" i="3"/>
  <c r="E130" i="3"/>
  <c r="E99" i="3"/>
  <c r="G167" i="3"/>
  <c r="H107" i="3"/>
  <c r="E116" i="3"/>
  <c r="D177" i="3"/>
  <c r="G41" i="3"/>
  <c r="D213" i="3"/>
  <c r="G213" i="3"/>
  <c r="F213" i="3"/>
  <c r="D227" i="3"/>
  <c r="G227" i="3"/>
  <c r="D33" i="3"/>
  <c r="G58" i="3"/>
  <c r="G215" i="3"/>
  <c r="G50" i="3"/>
  <c r="G62" i="3"/>
  <c r="E169" i="3"/>
  <c r="H251" i="3"/>
  <c r="E185" i="3"/>
  <c r="G53" i="3"/>
  <c r="E47" i="3"/>
  <c r="G138" i="3"/>
  <c r="F256" i="3"/>
  <c r="F193" i="3"/>
  <c r="G200" i="3"/>
  <c r="E161" i="3"/>
  <c r="G33" i="3"/>
  <c r="D46" i="3"/>
  <c r="E170" i="3"/>
  <c r="F36" i="3"/>
  <c r="D99" i="3"/>
  <c r="F177" i="3"/>
  <c r="F214" i="3"/>
  <c r="H214" i="3"/>
  <c r="D214" i="3"/>
  <c r="G211" i="3"/>
  <c r="H199" i="3"/>
  <c r="D199" i="3"/>
  <c r="E192" i="3"/>
  <c r="G192" i="3"/>
  <c r="G204" i="3"/>
  <c r="D184" i="3"/>
  <c r="E184" i="3"/>
  <c r="F176" i="3"/>
  <c r="G180" i="3"/>
  <c r="H168" i="3"/>
  <c r="H160" i="3"/>
  <c r="E160" i="3"/>
  <c r="D160" i="3"/>
  <c r="G160" i="3"/>
  <c r="H152" i="3"/>
  <c r="D152" i="3"/>
  <c r="G164" i="3"/>
  <c r="E145" i="3"/>
  <c r="G145" i="3"/>
  <c r="F145" i="3"/>
  <c r="G114" i="3"/>
  <c r="D114" i="3"/>
  <c r="E114" i="3"/>
  <c r="H114" i="3"/>
  <c r="E106" i="3"/>
  <c r="H106" i="3"/>
  <c r="H98" i="3"/>
  <c r="D98" i="3"/>
  <c r="E98" i="3"/>
  <c r="G90" i="3"/>
  <c r="D90" i="3"/>
  <c r="D74" i="3"/>
  <c r="E74" i="3"/>
  <c r="D220" i="3"/>
  <c r="D75" i="3"/>
  <c r="D40" i="3"/>
  <c r="F154" i="3"/>
  <c r="G205" i="3"/>
  <c r="F172" i="3"/>
  <c r="H55" i="3"/>
  <c r="H171" i="3"/>
  <c r="H122" i="3"/>
  <c r="D91" i="3"/>
  <c r="G106" i="3"/>
  <c r="E34" i="3"/>
  <c r="H200" i="3"/>
  <c r="H94" i="3"/>
  <c r="D171" i="3"/>
  <c r="E163" i="3"/>
  <c r="G253" i="3"/>
  <c r="H207" i="3"/>
  <c r="G158" i="3"/>
  <c r="G36" i="3"/>
  <c r="G146" i="3"/>
  <c r="G133" i="3"/>
  <c r="G165" i="3"/>
  <c r="F192" i="3"/>
  <c r="G102" i="3"/>
  <c r="D176" i="3"/>
  <c r="F178" i="3"/>
  <c r="G110" i="3"/>
  <c r="F90" i="3"/>
  <c r="E168" i="3"/>
  <c r="D146" i="3"/>
  <c r="G136" i="3"/>
  <c r="E201" i="3"/>
  <c r="E41" i="3"/>
  <c r="G142" i="3"/>
  <c r="E71" i="3"/>
  <c r="E17" i="3"/>
  <c r="H232" i="3"/>
  <c r="F88" i="3"/>
  <c r="F26" i="3"/>
  <c r="G26" i="3"/>
  <c r="F17" i="3"/>
  <c r="G29" i="3"/>
  <c r="D205" i="3"/>
  <c r="D182" i="3"/>
  <c r="D141" i="3"/>
  <c r="D202" i="3"/>
  <c r="D195" i="3"/>
  <c r="D20" i="3"/>
  <c r="D110" i="3"/>
  <c r="D36" i="3"/>
  <c r="D97" i="3"/>
  <c r="D172" i="3"/>
  <c r="D43" i="3"/>
  <c r="D250" i="3"/>
  <c r="D175" i="3"/>
  <c r="D251" i="3"/>
  <c r="G20" i="3"/>
  <c r="D204" i="3"/>
  <c r="D187" i="3"/>
  <c r="D88" i="3"/>
  <c r="D216" i="3"/>
  <c r="D53" i="3"/>
  <c r="D247" i="3"/>
  <c r="D143" i="3"/>
  <c r="D105" i="3"/>
  <c r="D21" i="3"/>
  <c r="D157" i="3"/>
  <c r="D54" i="3"/>
  <c r="D128" i="3"/>
  <c r="D144" i="3"/>
  <c r="D27" i="3"/>
  <c r="D180" i="3"/>
  <c r="D226" i="3"/>
  <c r="D188" i="3"/>
  <c r="D156" i="3"/>
  <c r="D30" i="3"/>
  <c r="D134" i="3"/>
  <c r="D61" i="3"/>
  <c r="D174" i="3"/>
  <c r="D158" i="3"/>
  <c r="D164" i="3"/>
  <c r="D233" i="3"/>
  <c r="D119" i="3"/>
  <c r="D59" i="3"/>
  <c r="D228" i="3"/>
  <c r="D181" i="3"/>
  <c r="D236" i="3"/>
  <c r="D212" i="3"/>
  <c r="D239" i="3"/>
  <c r="D242" i="3"/>
  <c r="G108" i="3"/>
  <c r="H262" i="3"/>
  <c r="E247" i="3"/>
  <c r="D10" i="3"/>
  <c r="F245" i="3"/>
  <c r="F254" i="3"/>
  <c r="D237" i="3"/>
  <c r="E251" i="3"/>
  <c r="H202" i="3"/>
  <c r="E184" i="9216"/>
  <c r="C184" i="9216"/>
  <c r="D184" i="9216" s="1"/>
  <c r="C182" i="9216"/>
  <c r="D182" i="9216" s="1"/>
  <c r="E178" i="9216"/>
  <c r="G192" i="9216"/>
  <c r="G177" i="9216"/>
  <c r="E182" i="9216"/>
  <c r="F186" i="9216"/>
  <c r="F185" i="9216"/>
  <c r="E186" i="9216"/>
  <c r="C178" i="9216"/>
  <c r="D178" i="9216" s="1"/>
  <c r="E183" i="9216"/>
  <c r="F192" i="9216"/>
  <c r="F189" i="9216"/>
  <c r="G182" i="9216"/>
  <c r="F187" i="9216"/>
  <c r="H178" i="9216"/>
  <c r="F167" i="11522"/>
  <c r="F155" i="11522"/>
  <c r="D155" i="11522"/>
  <c r="E155" i="11522"/>
  <c r="D156" i="11522"/>
  <c r="C155" i="11522"/>
  <c r="D160" i="515"/>
  <c r="E160" i="515"/>
  <c r="C160" i="515"/>
  <c r="G160" i="515"/>
  <c r="H79" i="36"/>
  <c r="E152" i="11522"/>
  <c r="D152" i="11522"/>
  <c r="G152" i="11522"/>
  <c r="H152" i="11522"/>
  <c r="E169" i="40"/>
  <c r="H104" i="36"/>
  <c r="H74" i="36"/>
  <c r="E157" i="516"/>
  <c r="G157" i="516"/>
  <c r="F157" i="516"/>
  <c r="H157" i="516"/>
  <c r="F169" i="516"/>
  <c r="H170" i="515"/>
  <c r="H128" i="40"/>
  <c r="H167" i="40"/>
  <c r="H105" i="40"/>
  <c r="H165" i="40"/>
  <c r="H75" i="40"/>
  <c r="H118" i="40"/>
  <c r="H82" i="40"/>
  <c r="H137" i="40"/>
  <c r="H57" i="40"/>
  <c r="H39" i="40"/>
  <c r="H132" i="40"/>
  <c r="H144" i="40"/>
  <c r="H54" i="40"/>
  <c r="H145" i="40"/>
  <c r="H43" i="40"/>
  <c r="H34" i="40"/>
  <c r="H22" i="40"/>
  <c r="H20" i="40"/>
  <c r="H15" i="40"/>
  <c r="H33" i="40"/>
  <c r="H121" i="40"/>
  <c r="H108" i="40"/>
  <c r="H136" i="40"/>
  <c r="H143" i="40"/>
  <c r="H126" i="40"/>
  <c r="H83" i="40"/>
  <c r="H72" i="40"/>
  <c r="H73" i="40"/>
  <c r="H119" i="40"/>
  <c r="H65" i="40"/>
  <c r="H68" i="40"/>
  <c r="H86" i="40"/>
  <c r="H78" i="40"/>
  <c r="H104" i="40"/>
  <c r="H37" i="40"/>
  <c r="H30" i="40"/>
  <c r="H169" i="40"/>
  <c r="H146" i="40"/>
  <c r="H55" i="40"/>
  <c r="H162" i="40"/>
  <c r="H35" i="40"/>
  <c r="H159" i="40"/>
  <c r="H8" i="40"/>
  <c r="H80" i="40"/>
  <c r="H60" i="40"/>
  <c r="H36" i="36"/>
  <c r="H14" i="36"/>
  <c r="H33" i="36"/>
  <c r="C170" i="40"/>
  <c r="F170" i="40"/>
  <c r="E155" i="82"/>
  <c r="F155" i="82"/>
  <c r="D156" i="82"/>
  <c r="D155" i="82"/>
  <c r="C151" i="516"/>
  <c r="E151" i="516"/>
  <c r="D151" i="516"/>
  <c r="F151" i="516"/>
  <c r="G167" i="516"/>
  <c r="C167" i="516"/>
  <c r="D167" i="516"/>
  <c r="D167" i="515"/>
  <c r="H92" i="36"/>
  <c r="H170" i="36"/>
  <c r="G170" i="40"/>
  <c r="H16" i="36"/>
  <c r="H166" i="516"/>
  <c r="C166" i="516"/>
  <c r="H134" i="36"/>
  <c r="C158" i="82"/>
  <c r="F158" i="82"/>
  <c r="G158" i="82"/>
  <c r="D158" i="82"/>
  <c r="D159" i="82"/>
  <c r="H121" i="36"/>
  <c r="H87" i="36"/>
  <c r="H115" i="36"/>
  <c r="H107" i="36"/>
  <c r="D158" i="516"/>
  <c r="C154" i="11522"/>
  <c r="F166" i="11522"/>
  <c r="G154" i="11522"/>
  <c r="F154" i="11522"/>
  <c r="E154" i="11522"/>
  <c r="H154" i="11522"/>
  <c r="C156" i="516"/>
  <c r="E156" i="516"/>
  <c r="G167" i="36"/>
  <c r="D168" i="36"/>
  <c r="C167" i="36"/>
  <c r="C153" i="36"/>
  <c r="E153" i="36"/>
  <c r="D153" i="36"/>
  <c r="G169" i="40"/>
  <c r="F169" i="40"/>
  <c r="C169" i="40"/>
  <c r="F158" i="11522"/>
  <c r="E158" i="11522"/>
  <c r="D159" i="11522"/>
  <c r="H130" i="36"/>
  <c r="H100" i="36"/>
  <c r="H133" i="36"/>
  <c r="H38" i="36"/>
  <c r="C171" i="36"/>
  <c r="H42" i="36"/>
  <c r="H20" i="36"/>
  <c r="H71" i="36"/>
  <c r="H131" i="36"/>
  <c r="H88" i="36"/>
  <c r="H114" i="36"/>
  <c r="H30" i="36"/>
  <c r="H103" i="36"/>
  <c r="H120" i="36"/>
  <c r="H82" i="36"/>
  <c r="H31" i="36"/>
  <c r="H18" i="36"/>
  <c r="H153" i="36"/>
  <c r="H8" i="36"/>
  <c r="H44" i="36"/>
  <c r="H106" i="36"/>
  <c r="H11" i="36"/>
  <c r="H25" i="36"/>
  <c r="H118" i="36"/>
  <c r="H45" i="36"/>
  <c r="H13" i="36"/>
  <c r="H168" i="36"/>
  <c r="H117" i="36"/>
  <c r="H77" i="36"/>
  <c r="H110" i="36"/>
  <c r="H37" i="36"/>
  <c r="H129" i="36"/>
  <c r="H55" i="36"/>
  <c r="H83" i="36"/>
  <c r="H111" i="36"/>
  <c r="H28" i="36"/>
  <c r="H169" i="36"/>
  <c r="H146" i="36"/>
  <c r="H139" i="36"/>
  <c r="H109" i="36"/>
  <c r="H57" i="36"/>
  <c r="H148" i="36"/>
  <c r="H149" i="36"/>
  <c r="H171" i="36"/>
  <c r="H12" i="36"/>
  <c r="H9" i="36"/>
  <c r="H43" i="36"/>
  <c r="H132" i="36"/>
  <c r="H141" i="36"/>
  <c r="H145" i="36"/>
  <c r="H61" i="36"/>
  <c r="H73" i="36"/>
  <c r="H50" i="36"/>
  <c r="H102" i="36"/>
  <c r="H96" i="36"/>
  <c r="H163" i="36"/>
  <c r="H65" i="36"/>
  <c r="H10" i="36"/>
  <c r="H23" i="36"/>
  <c r="H91" i="36"/>
  <c r="H164" i="36"/>
  <c r="H159" i="36"/>
  <c r="H113" i="36"/>
  <c r="H85" i="36"/>
  <c r="H116" i="36"/>
  <c r="H147" i="36"/>
  <c r="H94" i="36"/>
  <c r="H89" i="36"/>
  <c r="H122" i="36"/>
  <c r="H70" i="36"/>
  <c r="H53" i="36"/>
  <c r="H128" i="36"/>
  <c r="H67" i="36"/>
  <c r="H165" i="36"/>
  <c r="H119" i="36"/>
  <c r="H60" i="36"/>
  <c r="H46" i="36"/>
  <c r="H75" i="36"/>
  <c r="H22" i="36"/>
  <c r="H138" i="36"/>
  <c r="H108" i="36"/>
  <c r="H125" i="36"/>
  <c r="H80" i="36"/>
  <c r="H32" i="36"/>
  <c r="H97" i="36"/>
  <c r="H34" i="36"/>
  <c r="H68" i="36"/>
  <c r="H124" i="36"/>
  <c r="H142" i="36"/>
  <c r="H155" i="36"/>
  <c r="H49" i="36"/>
  <c r="H19" i="36"/>
  <c r="H86" i="36"/>
  <c r="H127" i="36"/>
  <c r="H62" i="36"/>
  <c r="H84" i="36"/>
  <c r="H27" i="36"/>
  <c r="H143" i="36"/>
  <c r="H39" i="36"/>
  <c r="H58" i="36"/>
  <c r="H17" i="36"/>
  <c r="H90" i="36"/>
  <c r="H29" i="36"/>
  <c r="H144" i="36"/>
  <c r="H151" i="36"/>
  <c r="H66" i="36"/>
  <c r="H112" i="36"/>
  <c r="H98" i="36"/>
  <c r="H140" i="36"/>
  <c r="G171" i="36"/>
  <c r="H51" i="36"/>
  <c r="H69" i="36"/>
  <c r="H54" i="36"/>
  <c r="H167" i="36"/>
  <c r="H26" i="36"/>
  <c r="H81" i="36"/>
  <c r="H137" i="36"/>
  <c r="H35" i="36"/>
  <c r="F165" i="516"/>
  <c r="H165" i="516"/>
  <c r="G165" i="516"/>
  <c r="D165" i="516"/>
  <c r="E170" i="40"/>
  <c r="H52" i="36"/>
  <c r="D171" i="36"/>
  <c r="F170" i="11522"/>
  <c r="G153" i="36"/>
  <c r="G165" i="36"/>
  <c r="F165" i="36"/>
  <c r="C165" i="36"/>
  <c r="H136" i="36"/>
  <c r="F148" i="516"/>
  <c r="D148" i="516"/>
  <c r="H21" i="36"/>
  <c r="H41" i="36"/>
  <c r="H155" i="11522"/>
  <c r="H167" i="516"/>
  <c r="H123" i="36"/>
  <c r="C165" i="516"/>
  <c r="G166" i="516"/>
  <c r="G154" i="36"/>
  <c r="D155" i="36"/>
  <c r="F154" i="36"/>
  <c r="C154" i="36"/>
  <c r="H76" i="36"/>
  <c r="G161" i="515"/>
  <c r="E159" i="40"/>
  <c r="E167" i="40"/>
  <c r="F161" i="11522"/>
  <c r="C159" i="40"/>
  <c r="E160" i="40"/>
  <c r="H89" i="515"/>
  <c r="H146" i="515"/>
  <c r="H65" i="515"/>
  <c r="G171" i="515"/>
  <c r="H91" i="515"/>
  <c r="H133" i="515"/>
  <c r="H22" i="515"/>
  <c r="H11" i="515"/>
  <c r="H171" i="515"/>
  <c r="H134" i="515"/>
  <c r="H71" i="515"/>
  <c r="H61" i="515"/>
  <c r="H44" i="515"/>
  <c r="D158" i="515"/>
  <c r="F171" i="36"/>
  <c r="F159" i="36"/>
  <c r="E152" i="36"/>
  <c r="H66" i="82"/>
  <c r="H139" i="82"/>
  <c r="H96" i="82"/>
  <c r="H163" i="82"/>
  <c r="F163" i="82"/>
  <c r="C169" i="516"/>
  <c r="D157" i="515"/>
  <c r="E157" i="515"/>
  <c r="C161" i="11522"/>
  <c r="C160" i="40"/>
  <c r="D160" i="40"/>
  <c r="G163" i="40"/>
  <c r="F163" i="40"/>
  <c r="G170" i="11522"/>
  <c r="D171" i="11522"/>
  <c r="E168" i="40"/>
  <c r="H130" i="515"/>
  <c r="H119" i="515"/>
  <c r="H45" i="515"/>
  <c r="H161" i="515"/>
  <c r="H82" i="515"/>
  <c r="H34" i="515"/>
  <c r="H94" i="515"/>
  <c r="H7" i="515"/>
  <c r="H90" i="515"/>
  <c r="H99" i="515"/>
  <c r="H67" i="515"/>
  <c r="H126" i="515"/>
  <c r="H54" i="515"/>
  <c r="D150" i="82"/>
  <c r="D166" i="36"/>
  <c r="G161" i="11522"/>
  <c r="F156" i="515"/>
  <c r="G156" i="515"/>
  <c r="G150" i="82"/>
  <c r="E161" i="515"/>
  <c r="C161" i="515"/>
  <c r="E165" i="40"/>
  <c r="H105" i="515"/>
  <c r="H156" i="515"/>
  <c r="H93" i="515"/>
  <c r="H16" i="515"/>
  <c r="H21" i="515"/>
  <c r="H157" i="515"/>
  <c r="H137" i="515"/>
  <c r="H110" i="515"/>
  <c r="C171" i="515"/>
  <c r="H118" i="515"/>
  <c r="H68" i="515"/>
  <c r="H147" i="515"/>
  <c r="H55" i="515"/>
  <c r="E166" i="36"/>
  <c r="D161" i="515"/>
  <c r="D162" i="82"/>
  <c r="C162" i="82"/>
  <c r="D170" i="36"/>
  <c r="F170" i="36"/>
  <c r="D155" i="516"/>
  <c r="D154" i="516"/>
  <c r="E165" i="11522"/>
  <c r="G165" i="11522"/>
  <c r="E161" i="40"/>
  <c r="D159" i="40"/>
  <c r="G159" i="40"/>
  <c r="H48" i="515"/>
  <c r="H46" i="515"/>
  <c r="H103" i="515"/>
  <c r="H75" i="515"/>
  <c r="H154" i="515"/>
  <c r="H163" i="515"/>
  <c r="H83" i="515"/>
  <c r="H101" i="515"/>
  <c r="H123" i="515"/>
  <c r="H72" i="515"/>
  <c r="H139" i="515"/>
  <c r="H159" i="515"/>
  <c r="C158" i="515"/>
  <c r="H162" i="36"/>
  <c r="C150" i="82"/>
  <c r="E154" i="516"/>
  <c r="C170" i="11522"/>
  <c r="F170" i="82"/>
  <c r="H65" i="82"/>
  <c r="H84" i="82"/>
  <c r="H59" i="82"/>
  <c r="H71" i="82"/>
  <c r="E171" i="82"/>
  <c r="F171" i="82"/>
  <c r="H101" i="82"/>
  <c r="H103" i="82"/>
  <c r="H98" i="82"/>
  <c r="H48" i="82"/>
  <c r="H35" i="82"/>
  <c r="H118" i="82"/>
  <c r="H133" i="82"/>
  <c r="H44" i="82"/>
  <c r="H145" i="82"/>
  <c r="H55" i="82"/>
  <c r="H170" i="82"/>
  <c r="H17" i="82"/>
  <c r="H63" i="82"/>
  <c r="H153" i="82"/>
  <c r="H51" i="82"/>
  <c r="H27" i="82"/>
  <c r="H32" i="82"/>
  <c r="H24" i="82"/>
  <c r="H68" i="82"/>
  <c r="E167" i="11522"/>
  <c r="D167" i="82"/>
  <c r="H170" i="11522"/>
  <c r="G171" i="11522"/>
  <c r="H58" i="11522"/>
  <c r="H106" i="11522"/>
  <c r="H135" i="11522"/>
  <c r="H137" i="11522"/>
  <c r="H124" i="11522"/>
  <c r="H49" i="11522"/>
  <c r="H130" i="11522"/>
  <c r="H105" i="11522"/>
  <c r="H69" i="516"/>
  <c r="H121" i="516"/>
  <c r="H90" i="516"/>
  <c r="H75" i="516"/>
  <c r="H124" i="516"/>
  <c r="H48" i="516"/>
  <c r="H76" i="516"/>
  <c r="H78" i="516"/>
  <c r="H31" i="516"/>
  <c r="H95" i="516"/>
  <c r="H92" i="516"/>
  <c r="H170" i="516"/>
  <c r="H169" i="516"/>
  <c r="H71" i="516"/>
  <c r="C171" i="516"/>
  <c r="E160" i="11522"/>
  <c r="H130" i="516"/>
  <c r="H16" i="516"/>
  <c r="H146" i="516"/>
  <c r="H67" i="516"/>
  <c r="H77" i="516"/>
  <c r="H82" i="516"/>
  <c r="H101" i="516"/>
  <c r="H42" i="516"/>
  <c r="H49" i="516"/>
  <c r="H99" i="516"/>
  <c r="H62" i="516"/>
  <c r="D151" i="82"/>
  <c r="H153" i="516"/>
  <c r="H98" i="516"/>
  <c r="H58" i="516"/>
  <c r="H93" i="36"/>
  <c r="H100" i="516"/>
  <c r="D231" i="25587"/>
  <c r="D177" i="25588"/>
  <c r="G166" i="25589"/>
  <c r="D182" i="25589"/>
  <c r="F190" i="25589"/>
  <c r="D186" i="2316"/>
  <c r="F185" i="2316"/>
  <c r="F175" i="8196"/>
  <c r="D163" i="8196"/>
  <c r="C163" i="8196"/>
  <c r="G163" i="8196"/>
  <c r="E185" i="523"/>
  <c r="D185" i="523"/>
  <c r="C185" i="523"/>
  <c r="G184" i="2819"/>
  <c r="E170" i="2819"/>
  <c r="E160" i="2819"/>
  <c r="E166" i="2819"/>
  <c r="G160" i="2819"/>
  <c r="E164" i="2819"/>
  <c r="E163" i="2819"/>
  <c r="F160" i="2819"/>
  <c r="G114" i="768"/>
  <c r="G138" i="768"/>
  <c r="D234" i="25587"/>
  <c r="D236" i="25587"/>
  <c r="F258" i="25587"/>
  <c r="D175" i="25588"/>
  <c r="D179" i="25588"/>
  <c r="C182" i="25588"/>
  <c r="D187" i="25588"/>
  <c r="D159" i="25589"/>
  <c r="E162" i="25589"/>
  <c r="C165" i="25589"/>
  <c r="C174" i="25589"/>
  <c r="G182" i="25589"/>
  <c r="E186" i="25589"/>
  <c r="C189" i="25589"/>
  <c r="G190" i="25589"/>
  <c r="C159" i="25590"/>
  <c r="C161" i="25590"/>
  <c r="C167" i="25590"/>
  <c r="C192" i="25590"/>
  <c r="G232" i="10541"/>
  <c r="F174" i="8196"/>
  <c r="G162" i="8196"/>
  <c r="G186" i="8196"/>
  <c r="C162" i="8196"/>
  <c r="E182" i="2819"/>
  <c r="D182" i="2819"/>
  <c r="F182" i="2819"/>
  <c r="E181" i="1024"/>
  <c r="G180" i="1024"/>
  <c r="C180" i="1024"/>
  <c r="D180" i="1024" s="1"/>
  <c r="F169" i="2316"/>
  <c r="D169" i="2316"/>
  <c r="C169" i="2316"/>
  <c r="D168" i="512"/>
  <c r="G168" i="512"/>
  <c r="D169" i="512"/>
  <c r="E168" i="512"/>
  <c r="G172" i="523"/>
  <c r="F172" i="523"/>
  <c r="E172" i="523"/>
  <c r="D175" i="512"/>
  <c r="F174" i="512"/>
  <c r="G174" i="512"/>
  <c r="C174" i="512"/>
  <c r="F257" i="10541"/>
  <c r="C257" i="10541"/>
  <c r="D257" i="10541"/>
  <c r="E257" i="10541"/>
  <c r="G257" i="10541"/>
  <c r="E183" i="2048"/>
  <c r="D173" i="2048"/>
  <c r="E178" i="2048"/>
  <c r="E174" i="2048"/>
  <c r="E177" i="2048"/>
  <c r="E182" i="2048"/>
  <c r="E173" i="2048"/>
  <c r="E175" i="2048"/>
  <c r="F172" i="2048"/>
  <c r="C239" i="25580"/>
  <c r="F251" i="25580"/>
  <c r="C188" i="523"/>
  <c r="F188" i="523"/>
  <c r="G188" i="523"/>
  <c r="E188" i="523"/>
  <c r="G116" i="10285"/>
  <c r="G140" i="10285"/>
  <c r="C116" i="10285"/>
  <c r="D116" i="10285"/>
  <c r="F185" i="8196"/>
  <c r="C185" i="8196"/>
  <c r="D186" i="8196"/>
  <c r="E185" i="8196"/>
  <c r="F132" i="768"/>
  <c r="D132" i="768"/>
  <c r="F248" i="25580"/>
  <c r="G236" i="25580"/>
  <c r="G255" i="32"/>
  <c r="D255" i="32"/>
  <c r="F106" i="10285"/>
  <c r="E106" i="10285"/>
  <c r="G106" i="10285"/>
  <c r="D106" i="10285"/>
  <c r="F118" i="10285"/>
  <c r="C159" i="8196"/>
  <c r="F159" i="8196"/>
  <c r="G159" i="8196"/>
  <c r="D162" i="2048"/>
  <c r="F162" i="2048"/>
  <c r="G165" i="2316"/>
  <c r="G189" i="2316"/>
  <c r="F165" i="2316"/>
  <c r="D166" i="2316"/>
  <c r="C165" i="2316"/>
  <c r="D171" i="523"/>
  <c r="C170" i="523"/>
  <c r="F170" i="523"/>
  <c r="G172" i="512"/>
  <c r="E175" i="512"/>
  <c r="F172" i="512"/>
  <c r="D172" i="512"/>
  <c r="D173" i="512"/>
  <c r="G173" i="512"/>
  <c r="E246" i="10541"/>
  <c r="G246" i="10541"/>
  <c r="D247" i="10541"/>
  <c r="C246" i="10541"/>
  <c r="F258" i="10541"/>
  <c r="F246" i="10541"/>
  <c r="E248" i="32"/>
  <c r="C250" i="10541"/>
  <c r="F250" i="10541"/>
  <c r="D183" i="523"/>
  <c r="F183" i="523"/>
  <c r="G183" i="523"/>
  <c r="E183" i="523"/>
  <c r="E187" i="523"/>
  <c r="E184" i="523"/>
  <c r="F184" i="523"/>
  <c r="D184" i="2048"/>
  <c r="C184" i="2048"/>
  <c r="E185" i="2048"/>
  <c r="D185" i="2048"/>
  <c r="E184" i="2048"/>
  <c r="G136" i="768"/>
  <c r="D136" i="768"/>
  <c r="C136" i="768"/>
  <c r="C191" i="523"/>
  <c r="G191" i="523"/>
  <c r="F191" i="523"/>
  <c r="C191" i="512"/>
  <c r="G191" i="512"/>
  <c r="E191" i="512"/>
  <c r="F192" i="523"/>
  <c r="E192" i="523"/>
  <c r="D192" i="523"/>
  <c r="G244" i="25587"/>
  <c r="D233" i="25587"/>
  <c r="E234" i="25587"/>
  <c r="G236" i="25587"/>
  <c r="C249" i="25587"/>
  <c r="C252" i="25587"/>
  <c r="C261" i="25587"/>
  <c r="E178" i="25588"/>
  <c r="D182" i="25588"/>
  <c r="F187" i="25588"/>
  <c r="D156" i="25589"/>
  <c r="E165" i="25589"/>
  <c r="G187" i="25589"/>
  <c r="E189" i="25589"/>
  <c r="D159" i="25590"/>
  <c r="G161" i="25590"/>
  <c r="C164" i="25590"/>
  <c r="D167" i="25590"/>
  <c r="C177" i="25590"/>
  <c r="C180" i="25590"/>
  <c r="D192" i="25590"/>
  <c r="F262" i="4888"/>
  <c r="F133" i="10285"/>
  <c r="E114" i="768"/>
  <c r="F114" i="768"/>
  <c r="F126" i="768"/>
  <c r="E248" i="20994"/>
  <c r="C182" i="2819"/>
  <c r="D246" i="10541"/>
  <c r="G250" i="10541"/>
  <c r="F244" i="10541"/>
  <c r="C162" i="2048"/>
  <c r="E181" i="2048"/>
  <c r="E173" i="512"/>
  <c r="C172" i="512"/>
  <c r="D168" i="2819"/>
  <c r="G186" i="2048"/>
  <c r="D162" i="8196"/>
  <c r="E243" i="32"/>
  <c r="F254" i="32"/>
  <c r="C183" i="512"/>
  <c r="D183" i="512"/>
  <c r="E183" i="512"/>
  <c r="F183" i="512"/>
  <c r="D170" i="2819"/>
  <c r="D169" i="2819"/>
  <c r="G169" i="2819"/>
  <c r="E169" i="2819"/>
  <c r="F169" i="2819"/>
  <c r="G171" i="8196"/>
  <c r="D171" i="8196"/>
  <c r="C171" i="8196"/>
  <c r="D186" i="2048"/>
  <c r="C186" i="2048"/>
  <c r="F186" i="2048"/>
  <c r="C173" i="8196"/>
  <c r="F173" i="8196"/>
  <c r="E173" i="8196"/>
  <c r="G173" i="8196"/>
  <c r="D173" i="8196"/>
  <c r="D174" i="8196"/>
  <c r="C186" i="512"/>
  <c r="D164" i="512"/>
  <c r="G164" i="512"/>
  <c r="C164" i="512"/>
  <c r="G167" i="523"/>
  <c r="E167" i="523"/>
  <c r="G254" i="4888"/>
  <c r="F254" i="4888"/>
  <c r="E254" i="4888"/>
  <c r="D254" i="4888"/>
  <c r="D255" i="4888"/>
  <c r="F180" i="2048"/>
  <c r="C180" i="2048"/>
  <c r="G180" i="2048"/>
  <c r="E180" i="2048"/>
  <c r="D181" i="2048"/>
  <c r="D180" i="2048"/>
  <c r="F192" i="2048"/>
  <c r="C110" i="10285"/>
  <c r="F122" i="10285"/>
  <c r="F110" i="10285"/>
  <c r="D233" i="10541"/>
  <c r="C232" i="10541"/>
  <c r="G256" i="10541"/>
  <c r="D232" i="10541"/>
  <c r="C182" i="2316"/>
  <c r="G182" i="2316"/>
  <c r="E130" i="10285"/>
  <c r="C130" i="10285"/>
  <c r="D135" i="10285"/>
  <c r="F134" i="10285"/>
  <c r="F181" i="2048"/>
  <c r="G169" i="2048"/>
  <c r="F169" i="2048"/>
  <c r="D170" i="2048"/>
  <c r="C169" i="2048"/>
  <c r="G187" i="2048"/>
  <c r="E163" i="2048"/>
  <c r="F175" i="2048"/>
  <c r="F163" i="2048"/>
  <c r="F244" i="32"/>
  <c r="F232" i="32"/>
  <c r="D232" i="32"/>
  <c r="C230" i="25587"/>
  <c r="E246" i="25587"/>
  <c r="C174" i="25588"/>
  <c r="C166" i="25589"/>
  <c r="E155" i="25590"/>
  <c r="G159" i="25590"/>
  <c r="D114" i="768"/>
  <c r="G228" i="25587"/>
  <c r="F230" i="25587"/>
  <c r="F233" i="25587"/>
  <c r="E235" i="25587"/>
  <c r="G246" i="25587"/>
  <c r="F157" i="25588"/>
  <c r="D174" i="25588"/>
  <c r="G176" i="25588"/>
  <c r="C179" i="25588"/>
  <c r="C186" i="25588"/>
  <c r="E188" i="25588"/>
  <c r="C158" i="25589"/>
  <c r="C160" i="25589"/>
  <c r="D166" i="25589"/>
  <c r="G175" i="25589"/>
  <c r="G179" i="25589"/>
  <c r="F181" i="25589"/>
  <c r="G184" i="25589"/>
  <c r="C190" i="25589"/>
  <c r="G192" i="25589"/>
  <c r="C158" i="25590"/>
  <c r="E168" i="25590"/>
  <c r="E171" i="25590"/>
  <c r="D174" i="25590"/>
  <c r="D188" i="25590"/>
  <c r="D191" i="25590"/>
  <c r="G130" i="10285"/>
  <c r="E129" i="768"/>
  <c r="H247" i="20994"/>
  <c r="G256" i="32"/>
  <c r="G232" i="32"/>
  <c r="G248" i="32"/>
  <c r="C185" i="2316"/>
  <c r="E162" i="2048"/>
  <c r="F184" i="2048"/>
  <c r="D163" i="2048"/>
  <c r="E182" i="512"/>
  <c r="C160" i="2819"/>
  <c r="C236" i="25580"/>
  <c r="D107" i="10285"/>
  <c r="F174" i="2048"/>
  <c r="F112" i="10285"/>
  <c r="G234" i="25580"/>
  <c r="G258" i="25580"/>
  <c r="F234" i="25580"/>
  <c r="D234" i="25580"/>
  <c r="D164" i="2048"/>
  <c r="E180" i="2819"/>
  <c r="E181" i="2819"/>
  <c r="F172" i="2819"/>
  <c r="E172" i="2819"/>
  <c r="C172" i="2819"/>
  <c r="E177" i="2819"/>
  <c r="E175" i="2819"/>
  <c r="D137" i="10285"/>
  <c r="C137" i="10285"/>
  <c r="F137" i="10285"/>
  <c r="D228" i="25587"/>
  <c r="C233" i="25587"/>
  <c r="C235" i="25587"/>
  <c r="G252" i="25587"/>
  <c r="E168" i="25589"/>
  <c r="C178" i="25589"/>
  <c r="C184" i="25589"/>
  <c r="G185" i="25590"/>
  <c r="C188" i="25590"/>
  <c r="C191" i="25590"/>
  <c r="F182" i="2316"/>
  <c r="D186" i="512"/>
  <c r="D183" i="2316"/>
  <c r="E168" i="2819"/>
  <c r="F168" i="2819"/>
  <c r="G168" i="2819"/>
  <c r="F236" i="10541"/>
  <c r="D224" i="10541"/>
  <c r="C224" i="10541"/>
  <c r="D130" i="10285"/>
  <c r="D237" i="25580"/>
  <c r="G237" i="25580"/>
  <c r="F242" i="32"/>
  <c r="G242" i="32"/>
  <c r="D242" i="32"/>
  <c r="E252" i="32"/>
  <c r="D184" i="2316"/>
  <c r="C184" i="2316"/>
  <c r="E244" i="32"/>
  <c r="D244" i="32"/>
  <c r="G233" i="25587"/>
  <c r="G235" i="25587"/>
  <c r="F174" i="25588"/>
  <c r="F158" i="25589"/>
  <c r="E166" i="25589"/>
  <c r="D190" i="25589"/>
  <c r="E158" i="25590"/>
  <c r="F190" i="25590"/>
  <c r="D182" i="25590"/>
  <c r="G191" i="25590"/>
  <c r="C237" i="25580"/>
  <c r="E239" i="25580"/>
  <c r="C132" i="768"/>
  <c r="F257" i="20994"/>
  <c r="D233" i="32"/>
  <c r="G184" i="2316"/>
  <c r="G182" i="2819"/>
  <c r="E169" i="2048"/>
  <c r="E176" i="2048"/>
  <c r="C163" i="2048"/>
  <c r="E186" i="523"/>
  <c r="G110" i="10285"/>
  <c r="F180" i="512"/>
  <c r="D137" i="768"/>
  <c r="D243" i="32"/>
  <c r="E224" i="10541"/>
  <c r="D131" i="10285"/>
  <c r="G192" i="523"/>
  <c r="E166" i="523"/>
  <c r="G160" i="523"/>
  <c r="D161" i="523"/>
  <c r="E171" i="523"/>
  <c r="E175" i="523"/>
  <c r="E173" i="523"/>
  <c r="C160" i="523"/>
  <c r="F160" i="523"/>
  <c r="D160" i="523"/>
  <c r="G111" i="10285"/>
  <c r="D111" i="10285"/>
  <c r="D185" i="8196"/>
  <c r="D240" i="32"/>
  <c r="D241" i="32"/>
  <c r="F252" i="32"/>
  <c r="E240" i="32"/>
  <c r="G240" i="32"/>
  <c r="C235" i="25580"/>
  <c r="F235" i="25580"/>
  <c r="F168" i="8196"/>
  <c r="C168" i="8196"/>
  <c r="D169" i="8196"/>
  <c r="E184" i="512"/>
  <c r="C184" i="512"/>
  <c r="F184" i="512"/>
  <c r="E188" i="512"/>
  <c r="E193" i="512"/>
  <c r="E185" i="512"/>
  <c r="F175" i="2316"/>
  <c r="C175" i="2316"/>
  <c r="D176" i="2316"/>
  <c r="D171" i="2316"/>
  <c r="C170" i="2316"/>
  <c r="G170" i="2316"/>
  <c r="G231" i="25580"/>
  <c r="F231" i="25580"/>
  <c r="D232" i="25580"/>
  <c r="C252" i="20994"/>
  <c r="D252" i="20994" s="1"/>
  <c r="E252" i="20994"/>
  <c r="H252" i="20994"/>
  <c r="G259" i="25587"/>
  <c r="C176" i="25588"/>
  <c r="D160" i="25589"/>
  <c r="E181" i="25589"/>
  <c r="C181" i="25589"/>
  <c r="G163" i="2048"/>
  <c r="E164" i="25589"/>
  <c r="E119" i="10285"/>
  <c r="F142" i="10285"/>
  <c r="D121" i="768"/>
  <c r="C257" i="20994"/>
  <c r="D257" i="20994" s="1"/>
  <c r="H180" i="1024"/>
  <c r="G185" i="523"/>
  <c r="D173" i="523"/>
  <c r="E189" i="523"/>
  <c r="G162" i="2048"/>
  <c r="E192" i="2048"/>
  <c r="G172" i="2048"/>
  <c r="C173" i="512"/>
  <c r="F185" i="512"/>
  <c r="C168" i="2819"/>
  <c r="E237" i="25580"/>
  <c r="E170" i="523"/>
  <c r="E232" i="10541"/>
  <c r="C183" i="523"/>
  <c r="G183" i="8196"/>
  <c r="F239" i="25580"/>
  <c r="D187" i="523"/>
  <c r="G186" i="523"/>
  <c r="D186" i="523"/>
  <c r="E249" i="32"/>
  <c r="F249" i="32"/>
  <c r="G249" i="32"/>
  <c r="D249" i="32"/>
  <c r="F130" i="10285"/>
  <c r="C174" i="2316"/>
  <c r="F186" i="2316"/>
  <c r="D174" i="2316"/>
  <c r="C106" i="10285"/>
  <c r="F179" i="2819"/>
  <c r="D180" i="2819"/>
  <c r="E179" i="2819"/>
  <c r="F177" i="8196"/>
  <c r="C177" i="8196"/>
  <c r="G167" i="8196"/>
  <c r="D167" i="8196"/>
  <c r="C167" i="8196"/>
  <c r="G191" i="8196"/>
  <c r="F179" i="8196"/>
  <c r="G234" i="4888"/>
  <c r="D235" i="4888"/>
  <c r="F167" i="512"/>
  <c r="D167" i="512"/>
  <c r="C167" i="512"/>
  <c r="E167" i="512"/>
  <c r="F181" i="512"/>
  <c r="D181" i="512"/>
  <c r="F254" i="10541"/>
  <c r="E254" i="10541"/>
  <c r="G254" i="10541"/>
  <c r="C254" i="10541"/>
  <c r="F140" i="10285"/>
  <c r="C128" i="10285"/>
  <c r="E128" i="10285"/>
  <c r="F128" i="10285"/>
  <c r="F230" i="10541"/>
  <c r="E230" i="10541"/>
  <c r="D231" i="10541"/>
  <c r="F168" i="2316"/>
  <c r="D168" i="2316"/>
  <c r="G168" i="2316"/>
  <c r="C168" i="2316"/>
  <c r="E241" i="10541"/>
  <c r="E247" i="10541"/>
  <c r="E253" i="10541"/>
  <c r="F241" i="10541"/>
  <c r="E244" i="10541"/>
  <c r="D242" i="10541"/>
  <c r="E248" i="10541"/>
  <c r="G241" i="10541"/>
  <c r="D129" i="10285"/>
  <c r="C129" i="10285"/>
  <c r="F141" i="10285"/>
  <c r="G129" i="10285"/>
  <c r="C255" i="10541"/>
  <c r="D255" i="10541"/>
  <c r="E255" i="10541"/>
  <c r="F226" i="4888"/>
  <c r="D226" i="4888"/>
  <c r="C226" i="4888"/>
  <c r="F238" i="10541"/>
  <c r="C238" i="10541"/>
  <c r="F187" i="512"/>
  <c r="E187" i="512"/>
  <c r="G187" i="512"/>
  <c r="D187" i="512"/>
  <c r="G188" i="512"/>
  <c r="D178" i="523"/>
  <c r="C178" i="523"/>
  <c r="H248" i="20994"/>
  <c r="D124" i="768"/>
  <c r="C124" i="768"/>
  <c r="E248" i="25580"/>
  <c r="E246" i="25580"/>
  <c r="G245" i="4888"/>
  <c r="D245" i="4888"/>
  <c r="C227" i="4888"/>
  <c r="F239" i="4888"/>
  <c r="D167" i="2316"/>
  <c r="F166" i="2316"/>
  <c r="C175" i="2048"/>
  <c r="G175" i="2048"/>
  <c r="C128" i="768"/>
  <c r="E128" i="768"/>
  <c r="C260" i="4888"/>
  <c r="D260" i="4888"/>
  <c r="G260" i="4888"/>
  <c r="C141" i="10285"/>
  <c r="D141" i="10285"/>
  <c r="E244" i="4888"/>
  <c r="E243" i="4888"/>
  <c r="E246" i="4888"/>
  <c r="E251" i="4888"/>
  <c r="G230" i="25580"/>
  <c r="F230" i="25580"/>
  <c r="F182" i="523"/>
  <c r="E259" i="4888"/>
  <c r="C259" i="4888"/>
  <c r="F259" i="4888"/>
  <c r="E179" i="2048"/>
  <c r="D243" i="4888"/>
  <c r="E242" i="4888"/>
  <c r="C156" i="2819"/>
  <c r="G156" i="2819"/>
  <c r="G168" i="523"/>
  <c r="D169" i="523"/>
  <c r="D258" i="10541"/>
  <c r="D259" i="10541"/>
  <c r="C258" i="10541"/>
  <c r="F168" i="512"/>
  <c r="C242" i="25580"/>
  <c r="E104" i="768"/>
  <c r="D104" i="768"/>
  <c r="F250" i="4888"/>
  <c r="C250" i="4888"/>
  <c r="E250" i="4888"/>
  <c r="E112" i="768"/>
  <c r="C112" i="768"/>
  <c r="H246" i="20994"/>
  <c r="C246" i="20994"/>
  <c r="D246" i="20994" s="1"/>
  <c r="E159" i="512"/>
  <c r="F171" i="512"/>
  <c r="C159" i="512"/>
  <c r="D160" i="512"/>
  <c r="C226" i="10541"/>
  <c r="F226" i="10541"/>
  <c r="E226" i="10541"/>
  <c r="C136" i="10285"/>
  <c r="D180" i="523"/>
  <c r="C180" i="523"/>
  <c r="G180" i="523"/>
  <c r="F180" i="523"/>
  <c r="C231" i="4888"/>
  <c r="G231" i="4888"/>
  <c r="F231" i="4888"/>
  <c r="E231" i="4888"/>
  <c r="F243" i="4888"/>
  <c r="F114" i="10285"/>
  <c r="G114" i="10285"/>
  <c r="D115" i="10285"/>
  <c r="E250" i="32"/>
  <c r="D256" i="32"/>
  <c r="D172" i="523"/>
  <c r="D182" i="2048"/>
  <c r="D253" i="32"/>
  <c r="D110" i="768"/>
  <c r="F179" i="2316"/>
  <c r="E258" i="10541"/>
  <c r="F247" i="32"/>
  <c r="D164" i="523"/>
  <c r="D262" i="4888"/>
  <c r="E259" i="3"/>
  <c r="G258" i="3"/>
  <c r="F258" i="3"/>
  <c r="G260" i="3"/>
  <c r="H258" i="3"/>
  <c r="H259" i="3"/>
  <c r="E255" i="3"/>
  <c r="F247" i="3"/>
  <c r="G255" i="3"/>
  <c r="E248" i="3"/>
  <c r="F242" i="3"/>
  <c r="H245" i="3"/>
  <c r="G247" i="3"/>
  <c r="F250" i="3"/>
  <c r="H247" i="3"/>
  <c r="G257" i="3"/>
  <c r="G245" i="3"/>
  <c r="E242" i="3"/>
  <c r="H248" i="3"/>
  <c r="F243" i="3"/>
  <c r="G232" i="3"/>
  <c r="H239" i="3"/>
  <c r="G244" i="3"/>
  <c r="E233" i="3"/>
  <c r="E239" i="3"/>
  <c r="H238" i="3"/>
  <c r="H260" i="3"/>
  <c r="D241" i="3"/>
  <c r="D234" i="3"/>
  <c r="E240" i="3"/>
  <c r="E241" i="3"/>
  <c r="H236" i="3"/>
  <c r="E237" i="3"/>
  <c r="G251" i="3"/>
  <c r="G246" i="3"/>
  <c r="G250" i="3"/>
  <c r="H230" i="3"/>
  <c r="G228" i="3"/>
  <c r="F224" i="3"/>
  <c r="E225" i="3"/>
  <c r="F227" i="3"/>
  <c r="E228" i="3"/>
  <c r="H227" i="3"/>
  <c r="G239" i="3"/>
  <c r="E227" i="3"/>
  <c r="G240" i="3"/>
  <c r="E161" i="25589"/>
  <c r="C161" i="25589"/>
  <c r="F173" i="25589"/>
  <c r="F161" i="25589"/>
  <c r="E18" i="25587"/>
  <c r="E21" i="25587"/>
  <c r="F23" i="25587"/>
  <c r="F30" i="25587"/>
  <c r="E34" i="25587"/>
  <c r="C42" i="25587"/>
  <c r="F42" i="25587"/>
  <c r="G45" i="25587"/>
  <c r="G47" i="25587"/>
  <c r="F53" i="25587"/>
  <c r="D53" i="25587"/>
  <c r="C53" i="25587"/>
  <c r="F55" i="25587"/>
  <c r="E55" i="25587"/>
  <c r="C55" i="25587"/>
  <c r="G64" i="25587"/>
  <c r="F64" i="25587"/>
  <c r="D64" i="25587"/>
  <c r="E74" i="25587"/>
  <c r="G80" i="25587"/>
  <c r="F80" i="25587"/>
  <c r="D80" i="25587"/>
  <c r="F81" i="25587"/>
  <c r="G93" i="25587"/>
  <c r="C106" i="25587"/>
  <c r="F106" i="25587"/>
  <c r="D113" i="25587"/>
  <c r="E120" i="25587"/>
  <c r="C122" i="25587"/>
  <c r="F122" i="25587"/>
  <c r="D129" i="25587"/>
  <c r="G130" i="25587"/>
  <c r="F141" i="25587"/>
  <c r="D141" i="25587"/>
  <c r="C141" i="25587"/>
  <c r="F143" i="25587"/>
  <c r="E143" i="25587"/>
  <c r="C143" i="25587"/>
  <c r="G146" i="25587"/>
  <c r="E164" i="25587"/>
  <c r="G168" i="25587"/>
  <c r="F168" i="25587"/>
  <c r="D168" i="25587"/>
  <c r="G181" i="25587"/>
  <c r="F185" i="25587"/>
  <c r="G197" i="25587"/>
  <c r="E208" i="25587"/>
  <c r="C210" i="25587"/>
  <c r="F210" i="25587"/>
  <c r="E213" i="25587"/>
  <c r="F220" i="25587"/>
  <c r="E224" i="25587"/>
  <c r="F229" i="25587"/>
  <c r="D229" i="25587"/>
  <c r="C229" i="25587"/>
  <c r="E241" i="25587"/>
  <c r="E233" i="25587"/>
  <c r="F231" i="25587"/>
  <c r="E231" i="25587"/>
  <c r="C231" i="25587"/>
  <c r="F236" i="25587"/>
  <c r="D241" i="25587"/>
  <c r="D252" i="25587"/>
  <c r="C251" i="25587"/>
  <c r="G251" i="25587"/>
  <c r="F251" i="25587"/>
  <c r="D251" i="25587"/>
  <c r="F42" i="25588"/>
  <c r="D42" i="25588"/>
  <c r="G42" i="25588"/>
  <c r="E42" i="25588"/>
  <c r="C42" i="25588"/>
  <c r="G66" i="25588"/>
  <c r="C68" i="25588"/>
  <c r="F68" i="25588"/>
  <c r="F80" i="25588"/>
  <c r="G68" i="25588"/>
  <c r="G92" i="25588"/>
  <c r="D68" i="25588"/>
  <c r="E89" i="25588"/>
  <c r="C89" i="25588"/>
  <c r="G89" i="25588"/>
  <c r="G113" i="25588"/>
  <c r="D89" i="25588"/>
  <c r="F193" i="25588"/>
  <c r="C193" i="25588"/>
  <c r="E193" i="25588"/>
  <c r="E18" i="25589"/>
  <c r="C18" i="25589"/>
  <c r="G42" i="25589"/>
  <c r="F30" i="25589"/>
  <c r="D18" i="25589"/>
  <c r="C60" i="25589"/>
  <c r="F60" i="25589"/>
  <c r="F72" i="25589"/>
  <c r="E60" i="25589"/>
  <c r="F106" i="25589"/>
  <c r="D106" i="25589"/>
  <c r="F118" i="25589"/>
  <c r="G106" i="25589"/>
  <c r="G130" i="25589"/>
  <c r="C106" i="25589"/>
  <c r="F114" i="25589"/>
  <c r="D114" i="25589"/>
  <c r="D115" i="25589"/>
  <c r="F126" i="25589"/>
  <c r="E114" i="25589"/>
  <c r="F119" i="25589"/>
  <c r="C119" i="25589"/>
  <c r="F131" i="25589"/>
  <c r="G119" i="25589"/>
  <c r="G143" i="25589"/>
  <c r="D119" i="25589"/>
  <c r="E129" i="25589"/>
  <c r="C129" i="25589"/>
  <c r="G129" i="25589"/>
  <c r="F129" i="25589"/>
  <c r="D129" i="25589"/>
  <c r="G138" i="25589"/>
  <c r="E158" i="25589"/>
  <c r="E150" i="25589"/>
  <c r="C148" i="25589"/>
  <c r="F148" i="25589"/>
  <c r="E149" i="25589"/>
  <c r="F160" i="25589"/>
  <c r="E152" i="25589"/>
  <c r="E160" i="25589"/>
  <c r="E148" i="25589"/>
  <c r="E153" i="25589"/>
  <c r="C153" i="25589"/>
  <c r="G153" i="25589"/>
  <c r="D153" i="25589"/>
  <c r="D14" i="25590"/>
  <c r="F26" i="25590"/>
  <c r="C14" i="25590"/>
  <c r="F56" i="25590"/>
  <c r="D56" i="25590"/>
  <c r="C56" i="25590"/>
  <c r="G56" i="25590"/>
  <c r="E56" i="25590"/>
  <c r="G59" i="25590"/>
  <c r="F59" i="25590"/>
  <c r="D59" i="25590"/>
  <c r="D60" i="25590"/>
  <c r="E59" i="25590"/>
  <c r="F68" i="25590"/>
  <c r="G91" i="25590"/>
  <c r="F91" i="25590"/>
  <c r="D91" i="25590"/>
  <c r="D92" i="25590"/>
  <c r="F103" i="25590"/>
  <c r="C91" i="25590"/>
  <c r="G163" i="25590"/>
  <c r="F163" i="25590"/>
  <c r="D163" i="25590"/>
  <c r="D164" i="25590"/>
  <c r="E163" i="25590"/>
  <c r="C14" i="25591"/>
  <c r="C50" i="25591"/>
  <c r="G42" i="25593"/>
  <c r="D18" i="25593"/>
  <c r="C18" i="25593"/>
  <c r="E18" i="25593"/>
  <c r="F44" i="25593"/>
  <c r="D44" i="25593"/>
  <c r="F56" i="25593"/>
  <c r="E44" i="25593"/>
  <c r="C44" i="25593"/>
  <c r="D45" i="25593"/>
  <c r="G68" i="25593"/>
  <c r="E59" i="25593"/>
  <c r="C59" i="25593"/>
  <c r="F59" i="25593"/>
  <c r="D59" i="25593"/>
  <c r="E66" i="25593"/>
  <c r="F71" i="25593"/>
  <c r="E70" i="25593"/>
  <c r="E65" i="25593"/>
  <c r="E60" i="25593"/>
  <c r="G83" i="25593"/>
  <c r="E29" i="25594"/>
  <c r="D71" i="25595"/>
  <c r="F71" i="25595"/>
  <c r="C71" i="25595"/>
  <c r="G71" i="25595"/>
  <c r="D72" i="25595"/>
  <c r="F32" i="25596"/>
  <c r="G32" i="25596"/>
  <c r="C32" i="25596"/>
  <c r="F44" i="25596"/>
  <c r="D32" i="25596"/>
  <c r="D33" i="25596"/>
  <c r="E32" i="25596"/>
  <c r="G56" i="25596"/>
  <c r="F62" i="25597"/>
  <c r="D62" i="25597"/>
  <c r="C62" i="25597"/>
  <c r="E62" i="25597"/>
  <c r="F24" i="25587"/>
  <c r="D24" i="25587"/>
  <c r="F36" i="25587"/>
  <c r="F157" i="25587"/>
  <c r="D157" i="25587"/>
  <c r="C157" i="25587"/>
  <c r="E169" i="25587"/>
  <c r="E161" i="25587"/>
  <c r="C226" i="25587"/>
  <c r="F238" i="25587"/>
  <c r="F226" i="25587"/>
  <c r="G239" i="25587"/>
  <c r="F239" i="25587"/>
  <c r="E239" i="25587"/>
  <c r="C239" i="25587"/>
  <c r="G43" i="25588"/>
  <c r="E43" i="25588"/>
  <c r="D43" i="25588"/>
  <c r="E158" i="25588"/>
  <c r="E150" i="25588"/>
  <c r="C148" i="25588"/>
  <c r="F148" i="25588"/>
  <c r="E160" i="25588"/>
  <c r="G148" i="25588"/>
  <c r="E148" i="25588"/>
  <c r="D148" i="25588"/>
  <c r="D45" i="25589"/>
  <c r="G45" i="25589"/>
  <c r="D46" i="25589"/>
  <c r="E45" i="25589"/>
  <c r="F55" i="25589"/>
  <c r="C55" i="25589"/>
  <c r="F67" i="25589"/>
  <c r="E55" i="25589"/>
  <c r="C132" i="25589"/>
  <c r="F132" i="25589"/>
  <c r="F144" i="25589"/>
  <c r="G132" i="25589"/>
  <c r="G156" i="25589"/>
  <c r="D132" i="25589"/>
  <c r="F80" i="25590"/>
  <c r="D80" i="25590"/>
  <c r="C80" i="25590"/>
  <c r="G80" i="25590"/>
  <c r="F22" i="25594"/>
  <c r="E32" i="25594"/>
  <c r="D22" i="25594"/>
  <c r="C22" i="25594"/>
  <c r="D23" i="25594"/>
  <c r="E25" i="25594"/>
  <c r="E22" i="25594"/>
  <c r="E56" i="25595"/>
  <c r="G56" i="25595"/>
  <c r="C56" i="25595"/>
  <c r="D56" i="25595"/>
  <c r="F68" i="25595"/>
  <c r="D57" i="25595"/>
  <c r="C48" i="25587"/>
  <c r="G53" i="25587"/>
  <c r="F60" i="25587"/>
  <c r="F85" i="25587"/>
  <c r="D85" i="25587"/>
  <c r="C85" i="25587"/>
  <c r="E97" i="25587"/>
  <c r="E89" i="25587"/>
  <c r="F99" i="25587"/>
  <c r="D138" i="25587"/>
  <c r="F150" i="25587"/>
  <c r="C154" i="25587"/>
  <c r="F154" i="25587"/>
  <c r="F189" i="25587"/>
  <c r="D189" i="25587"/>
  <c r="C189" i="25587"/>
  <c r="G194" i="25587"/>
  <c r="C200" i="25587"/>
  <c r="G216" i="25587"/>
  <c r="F216" i="25587"/>
  <c r="D216" i="25587"/>
  <c r="D239" i="25587"/>
  <c r="F25" i="25588"/>
  <c r="D25" i="25588"/>
  <c r="C25" i="25588"/>
  <c r="E97" i="25588"/>
  <c r="C97" i="25588"/>
  <c r="G97" i="25588"/>
  <c r="G121" i="25588"/>
  <c r="D97" i="25588"/>
  <c r="F114" i="25588"/>
  <c r="D114" i="25588"/>
  <c r="G114" i="25588"/>
  <c r="E114" i="25588"/>
  <c r="C114" i="25588"/>
  <c r="D115" i="25588"/>
  <c r="F122" i="25588"/>
  <c r="D122" i="25588"/>
  <c r="G122" i="25588"/>
  <c r="E122" i="25588"/>
  <c r="C122" i="25588"/>
  <c r="D123" i="25588"/>
  <c r="F138" i="25588"/>
  <c r="D138" i="25588"/>
  <c r="F150" i="25588"/>
  <c r="G138" i="25588"/>
  <c r="G162" i="25588"/>
  <c r="C138" i="25588"/>
  <c r="E161" i="25588"/>
  <c r="C161" i="25588"/>
  <c r="G161" i="25588"/>
  <c r="F161" i="25588"/>
  <c r="D161" i="25588"/>
  <c r="E185" i="25588"/>
  <c r="C185" i="25588"/>
  <c r="G185" i="25588"/>
  <c r="D185" i="25588"/>
  <c r="F154" i="25590"/>
  <c r="E154" i="25590"/>
  <c r="C154" i="25590"/>
  <c r="D154" i="25590"/>
  <c r="F166" i="25590"/>
  <c r="G179" i="25590"/>
  <c r="F179" i="25590"/>
  <c r="D179" i="25590"/>
  <c r="D180" i="25590"/>
  <c r="F191" i="25590"/>
  <c r="C179" i="25590"/>
  <c r="F50" i="25595"/>
  <c r="D51" i="25595"/>
  <c r="C50" i="25595"/>
  <c r="E50" i="25595"/>
  <c r="D50" i="25595"/>
  <c r="D22" i="25587"/>
  <c r="E24" i="25587"/>
  <c r="D29" i="25587"/>
  <c r="G56" i="25587"/>
  <c r="F56" i="25587"/>
  <c r="D56" i="25587"/>
  <c r="F62" i="25587"/>
  <c r="F78" i="25587"/>
  <c r="C82" i="25587"/>
  <c r="F82" i="25587"/>
  <c r="E85" i="25587"/>
  <c r="C98" i="25587"/>
  <c r="F98" i="25587"/>
  <c r="E101" i="25587"/>
  <c r="D103" i="25587"/>
  <c r="G106" i="25587"/>
  <c r="C112" i="25587"/>
  <c r="F117" i="25587"/>
  <c r="D117" i="25587"/>
  <c r="C117" i="25587"/>
  <c r="C128" i="25587"/>
  <c r="E138" i="25587"/>
  <c r="G144" i="25587"/>
  <c r="F144" i="25587"/>
  <c r="D144" i="25587"/>
  <c r="D154" i="25587"/>
  <c r="G157" i="25587"/>
  <c r="F166" i="25587"/>
  <c r="G175" i="25587"/>
  <c r="C186" i="25587"/>
  <c r="F186" i="25587"/>
  <c r="E189" i="25587"/>
  <c r="F203" i="25587"/>
  <c r="F221" i="25587"/>
  <c r="D221" i="25587"/>
  <c r="C221" i="25587"/>
  <c r="F244" i="25587"/>
  <c r="G232" i="25587"/>
  <c r="F232" i="25587"/>
  <c r="D232" i="25587"/>
  <c r="F237" i="25587"/>
  <c r="G261" i="25587"/>
  <c r="E237" i="25587"/>
  <c r="D237" i="25587"/>
  <c r="C237" i="25587"/>
  <c r="F43" i="25588"/>
  <c r="D52" i="25588"/>
  <c r="F71" i="25588"/>
  <c r="D72" i="25588"/>
  <c r="C71" i="25588"/>
  <c r="F83" i="25588"/>
  <c r="E71" i="25588"/>
  <c r="E138" i="25588"/>
  <c r="F151" i="25588"/>
  <c r="C151" i="25588"/>
  <c r="F163" i="25588"/>
  <c r="G151" i="25588"/>
  <c r="G175" i="25588"/>
  <c r="D151" i="25588"/>
  <c r="F159" i="25588"/>
  <c r="C159" i="25588"/>
  <c r="F171" i="25588"/>
  <c r="E159" i="25588"/>
  <c r="F185" i="25588"/>
  <c r="F45" i="25589"/>
  <c r="C140" i="25589"/>
  <c r="F140" i="25589"/>
  <c r="F152" i="25589"/>
  <c r="E140" i="25589"/>
  <c r="E182" i="25589"/>
  <c r="E174" i="25589"/>
  <c r="C172" i="25589"/>
  <c r="E184" i="25589"/>
  <c r="E176" i="25589"/>
  <c r="F172" i="25589"/>
  <c r="F184" i="25589"/>
  <c r="E173" i="25589"/>
  <c r="E172" i="25589"/>
  <c r="F34" i="25590"/>
  <c r="E34" i="25590"/>
  <c r="C34" i="25590"/>
  <c r="D34" i="25590"/>
  <c r="F50" i="25590"/>
  <c r="E50" i="25590"/>
  <c r="C50" i="25590"/>
  <c r="G50" i="25590"/>
  <c r="F62" i="25590"/>
  <c r="E64" i="25590"/>
  <c r="F96" i="25590"/>
  <c r="D96" i="25590"/>
  <c r="C96" i="25590"/>
  <c r="E96" i="25590"/>
  <c r="F144" i="25590"/>
  <c r="D144" i="25590"/>
  <c r="C144" i="25590"/>
  <c r="G144" i="25590"/>
  <c r="E144" i="25590"/>
  <c r="G154" i="25590"/>
  <c r="E179" i="25590"/>
  <c r="C33" i="25591"/>
  <c r="F48" i="25591"/>
  <c r="E48" i="25591"/>
  <c r="C48" i="25591"/>
  <c r="D48" i="25591"/>
  <c r="E24" i="25594"/>
  <c r="F53" i="25595"/>
  <c r="D53" i="25595"/>
  <c r="D54" i="25595"/>
  <c r="G53" i="25595"/>
  <c r="C53" i="25595"/>
  <c r="E53" i="25595"/>
  <c r="E51" i="25596"/>
  <c r="D52" i="25596"/>
  <c r="C51" i="25596"/>
  <c r="G51" i="25596"/>
  <c r="D51" i="25596"/>
  <c r="F51" i="25596"/>
  <c r="C20" i="25587"/>
  <c r="E29" i="25587"/>
  <c r="F37" i="25587"/>
  <c r="D37" i="25587"/>
  <c r="C37" i="25587"/>
  <c r="E49" i="25587"/>
  <c r="E41" i="25587"/>
  <c r="F39" i="25587"/>
  <c r="E39" i="25587"/>
  <c r="C39" i="25587"/>
  <c r="D43" i="25587"/>
  <c r="E50" i="25587"/>
  <c r="C56" i="25587"/>
  <c r="E66" i="25587"/>
  <c r="G72" i="25587"/>
  <c r="F72" i="25587"/>
  <c r="D72" i="25587"/>
  <c r="D82" i="25587"/>
  <c r="G85" i="25587"/>
  <c r="F94" i="25587"/>
  <c r="D98" i="25587"/>
  <c r="G101" i="25587"/>
  <c r="D107" i="25587"/>
  <c r="E112" i="25587"/>
  <c r="C114" i="25587"/>
  <c r="F114" i="25587"/>
  <c r="E117" i="25587"/>
  <c r="D119" i="25587"/>
  <c r="D123" i="25587"/>
  <c r="E128" i="25587"/>
  <c r="F133" i="25587"/>
  <c r="D133" i="25587"/>
  <c r="C133" i="25587"/>
  <c r="E145" i="25587"/>
  <c r="E137" i="25587"/>
  <c r="F135" i="25587"/>
  <c r="E135" i="25587"/>
  <c r="C135" i="25587"/>
  <c r="G138" i="25587"/>
  <c r="C144" i="25587"/>
  <c r="F147" i="25587"/>
  <c r="F149" i="25587"/>
  <c r="D149" i="25587"/>
  <c r="C149" i="25587"/>
  <c r="F151" i="25587"/>
  <c r="E151" i="25587"/>
  <c r="C151" i="25587"/>
  <c r="E154" i="25587"/>
  <c r="G160" i="25587"/>
  <c r="F160" i="25587"/>
  <c r="D160" i="25587"/>
  <c r="E163" i="25587"/>
  <c r="E170" i="25587"/>
  <c r="G176" i="25587"/>
  <c r="F176" i="25587"/>
  <c r="D176" i="25587"/>
  <c r="D186" i="25587"/>
  <c r="G189" i="25587"/>
  <c r="F198" i="25587"/>
  <c r="C202" i="25587"/>
  <c r="F202" i="25587"/>
  <c r="D211" i="25587"/>
  <c r="E216" i="25587"/>
  <c r="C218" i="25587"/>
  <c r="F218" i="25587"/>
  <c r="E221" i="25587"/>
  <c r="G226" i="25587"/>
  <c r="C232" i="25587"/>
  <c r="G237" i="25587"/>
  <c r="G247" i="25587"/>
  <c r="E247" i="25587"/>
  <c r="F247" i="25587"/>
  <c r="D247" i="25587"/>
  <c r="C247" i="25587"/>
  <c r="F30" i="25588"/>
  <c r="E30" i="25588"/>
  <c r="C30" i="25588"/>
  <c r="D71" i="25588"/>
  <c r="G95" i="25588"/>
  <c r="E105" i="25588"/>
  <c r="C105" i="25588"/>
  <c r="F105" i="25588"/>
  <c r="F146" i="25588"/>
  <c r="D146" i="25588"/>
  <c r="F158" i="25588"/>
  <c r="G146" i="25588"/>
  <c r="G170" i="25588"/>
  <c r="C146" i="25588"/>
  <c r="E149" i="25588"/>
  <c r="E151" i="25588"/>
  <c r="F154" i="25588"/>
  <c r="D154" i="25588"/>
  <c r="D155" i="25588"/>
  <c r="F166" i="25588"/>
  <c r="E154" i="25588"/>
  <c r="D159" i="25588"/>
  <c r="D40" i="25589"/>
  <c r="D107" i="25589"/>
  <c r="G122" i="25589"/>
  <c r="D140" i="25589"/>
  <c r="G146" i="25589"/>
  <c r="E156" i="25589"/>
  <c r="D172" i="25589"/>
  <c r="F32" i="25590"/>
  <c r="D32" i="25590"/>
  <c r="C32" i="25590"/>
  <c r="F44" i="25590"/>
  <c r="G32" i="25590"/>
  <c r="G34" i="25590"/>
  <c r="F48" i="25590"/>
  <c r="D48" i="25590"/>
  <c r="C48" i="25590"/>
  <c r="F60" i="25590"/>
  <c r="G72" i="25590"/>
  <c r="G48" i="25590"/>
  <c r="D50" i="25590"/>
  <c r="G69" i="25590"/>
  <c r="F92" i="25590"/>
  <c r="G96" i="25590"/>
  <c r="C149" i="25590"/>
  <c r="F149" i="25590"/>
  <c r="F161" i="25590"/>
  <c r="E149" i="25590"/>
  <c r="G173" i="25590"/>
  <c r="C11" i="25591"/>
  <c r="G35" i="25591"/>
  <c r="D11" i="25591"/>
  <c r="C18" i="25591"/>
  <c r="C27" i="25591"/>
  <c r="G48" i="25591"/>
  <c r="F54" i="25591"/>
  <c r="D54" i="25591"/>
  <c r="C54" i="25591"/>
  <c r="E54" i="25591"/>
  <c r="G46" i="25592"/>
  <c r="E30" i="25592"/>
  <c r="F22" i="25592"/>
  <c r="E22" i="25592"/>
  <c r="C22" i="25592"/>
  <c r="E28" i="25592"/>
  <c r="D23" i="25592"/>
  <c r="H22" i="25592"/>
  <c r="G40" i="25592"/>
  <c r="F40" i="25592"/>
  <c r="D40" i="25592"/>
  <c r="D41" i="25592"/>
  <c r="H40" i="25592"/>
  <c r="F52" i="25592"/>
  <c r="C40" i="25592"/>
  <c r="H47" i="25592"/>
  <c r="F47" i="25592"/>
  <c r="E47" i="25592"/>
  <c r="C47" i="25592"/>
  <c r="F59" i="25592"/>
  <c r="D47" i="25592"/>
  <c r="E68" i="25592"/>
  <c r="E60" i="25592"/>
  <c r="C58" i="25592"/>
  <c r="E70" i="25592"/>
  <c r="E62" i="25592"/>
  <c r="F58" i="25592"/>
  <c r="G58" i="25592"/>
  <c r="E67" i="25592"/>
  <c r="E58" i="25592"/>
  <c r="F70" i="25592"/>
  <c r="D58" i="25592"/>
  <c r="C11" i="25593"/>
  <c r="E16" i="25593"/>
  <c r="E19" i="25593"/>
  <c r="D11" i="25593"/>
  <c r="E13" i="25593"/>
  <c r="C30" i="25593"/>
  <c r="F30" i="25593"/>
  <c r="F42" i="25593"/>
  <c r="E30" i="25593"/>
  <c r="D30" i="25593"/>
  <c r="H107" i="25593"/>
  <c r="H99" i="25593"/>
  <c r="H91" i="25593"/>
  <c r="H83" i="25593"/>
  <c r="H75" i="25593"/>
  <c r="H67" i="25593"/>
  <c r="H59" i="25593"/>
  <c r="H51" i="25593"/>
  <c r="H43" i="25593"/>
  <c r="H35" i="25593"/>
  <c r="H13" i="25593"/>
  <c r="F108" i="25593"/>
  <c r="H102" i="25593"/>
  <c r="H94" i="25593"/>
  <c r="H86" i="25593"/>
  <c r="H78" i="25593"/>
  <c r="H70" i="25593"/>
  <c r="H62" i="25593"/>
  <c r="H54" i="25593"/>
  <c r="H46" i="25593"/>
  <c r="H38" i="25593"/>
  <c r="D108" i="25593"/>
  <c r="H104" i="25593"/>
  <c r="H96" i="25593"/>
  <c r="H88" i="25593"/>
  <c r="H80" i="25593"/>
  <c r="H72" i="25593"/>
  <c r="H64" i="25593"/>
  <c r="H56" i="25593"/>
  <c r="H48" i="25593"/>
  <c r="H40" i="25593"/>
  <c r="H32" i="25593"/>
  <c r="H26" i="25593"/>
  <c r="H22" i="25593"/>
  <c r="H18" i="25593"/>
  <c r="H12" i="25593"/>
  <c r="H108" i="25593"/>
  <c r="H103" i="25593"/>
  <c r="H81" i="25593"/>
  <c r="H76" i="25593"/>
  <c r="H71" i="25593"/>
  <c r="H49" i="25593"/>
  <c r="H44" i="25593"/>
  <c r="H39" i="25593"/>
  <c r="H29" i="25593"/>
  <c r="H14" i="25593"/>
  <c r="E108" i="25593"/>
  <c r="H89" i="25593"/>
  <c r="H84" i="25593"/>
  <c r="H79" i="25593"/>
  <c r="H57" i="25593"/>
  <c r="H52" i="25593"/>
  <c r="H47" i="25593"/>
  <c r="H17" i="25593"/>
  <c r="H9" i="25593"/>
  <c r="C108" i="25593"/>
  <c r="H82" i="25593"/>
  <c r="H77" i="25593"/>
  <c r="H50" i="25593"/>
  <c r="H45" i="25593"/>
  <c r="H30" i="25593"/>
  <c r="H27" i="25593"/>
  <c r="H11" i="25593"/>
  <c r="H90" i="25593"/>
  <c r="H85" i="25593"/>
  <c r="H58" i="25593"/>
  <c r="H53" i="25593"/>
  <c r="H8" i="25593"/>
  <c r="H106" i="25593"/>
  <c r="H101" i="25593"/>
  <c r="H55" i="25593"/>
  <c r="H33" i="25593"/>
  <c r="H31" i="25593"/>
  <c r="H10" i="25593"/>
  <c r="H6" i="25593"/>
  <c r="H98" i="25593"/>
  <c r="H93" i="25593"/>
  <c r="H73" i="25593"/>
  <c r="H68" i="25593"/>
  <c r="H63" i="25593"/>
  <c r="H24" i="25593"/>
  <c r="H19" i="25593"/>
  <c r="H16" i="25593"/>
  <c r="H87" i="25593"/>
  <c r="H65" i="25593"/>
  <c r="H60" i="25593"/>
  <c r="H21" i="25593"/>
  <c r="H5" i="25593"/>
  <c r="G108" i="25593"/>
  <c r="H105" i="25593"/>
  <c r="H100" i="25593"/>
  <c r="H95" i="25593"/>
  <c r="H42" i="25593"/>
  <c r="H37" i="25593"/>
  <c r="H28" i="25593"/>
  <c r="H34" i="25593"/>
  <c r="H25" i="25593"/>
  <c r="H20" i="25593"/>
  <c r="E15" i="25596"/>
  <c r="C15" i="25596"/>
  <c r="G39" i="25596"/>
  <c r="D15" i="25596"/>
  <c r="F28" i="25596"/>
  <c r="C28" i="25596"/>
  <c r="E28" i="25596"/>
  <c r="G52" i="25596"/>
  <c r="H28" i="25596"/>
  <c r="D28" i="25596"/>
  <c r="F64" i="25596"/>
  <c r="G64" i="25596"/>
  <c r="C64" i="25596"/>
  <c r="D64" i="25596"/>
  <c r="D65" i="25596"/>
  <c r="E64" i="25596"/>
  <c r="D70" i="25596"/>
  <c r="F70" i="25596"/>
  <c r="C70" i="25596"/>
  <c r="E42" i="9728" s="1"/>
  <c r="G70" i="25596"/>
  <c r="E70" i="25596"/>
  <c r="D71" i="25596"/>
  <c r="E73" i="25596"/>
  <c r="H42" i="9728" s="1"/>
  <c r="H70" i="25596"/>
  <c r="D14" i="25597"/>
  <c r="C14" i="25597"/>
  <c r="E14" i="25597"/>
  <c r="H22" i="25598"/>
  <c r="D19" i="25587"/>
  <c r="C19" i="25587"/>
  <c r="G43" i="25587"/>
  <c r="F71" i="25587"/>
  <c r="E71" i="25587"/>
  <c r="C71" i="25587"/>
  <c r="G96" i="25587"/>
  <c r="F96" i="25587"/>
  <c r="D96" i="25587"/>
  <c r="F159" i="25587"/>
  <c r="E159" i="25587"/>
  <c r="C159" i="25587"/>
  <c r="F173" i="25587"/>
  <c r="D173" i="25587"/>
  <c r="C173" i="25587"/>
  <c r="G184" i="25587"/>
  <c r="F184" i="25587"/>
  <c r="D184" i="25587"/>
  <c r="G200" i="25587"/>
  <c r="F200" i="25587"/>
  <c r="D200" i="25587"/>
  <c r="D117" i="25588"/>
  <c r="G117" i="25588"/>
  <c r="F117" i="25588"/>
  <c r="C117" i="25588"/>
  <c r="D125" i="25588"/>
  <c r="G125" i="25588"/>
  <c r="F125" i="25588"/>
  <c r="C125" i="25588"/>
  <c r="D133" i="25588"/>
  <c r="G133" i="25588"/>
  <c r="D134" i="25588"/>
  <c r="E133" i="25588"/>
  <c r="F50" i="25589"/>
  <c r="D50" i="25589"/>
  <c r="D51" i="25589"/>
  <c r="F62" i="25589"/>
  <c r="E50" i="25589"/>
  <c r="F127" i="25589"/>
  <c r="C127" i="25589"/>
  <c r="F139" i="25589"/>
  <c r="E127" i="25589"/>
  <c r="F191" i="25589"/>
  <c r="D191" i="25589"/>
  <c r="C191" i="25589"/>
  <c r="G191" i="25589"/>
  <c r="E191" i="25589"/>
  <c r="C109" i="25590"/>
  <c r="F109" i="25590"/>
  <c r="G109" i="25590"/>
  <c r="E109" i="25590"/>
  <c r="F121" i="25590"/>
  <c r="D109" i="25590"/>
  <c r="G139" i="25590"/>
  <c r="F139" i="25590"/>
  <c r="D139" i="25590"/>
  <c r="E139" i="25590"/>
  <c r="F151" i="25590"/>
  <c r="C139" i="25590"/>
  <c r="F170" i="25590"/>
  <c r="E170" i="25590"/>
  <c r="C170" i="25590"/>
  <c r="D170" i="25590"/>
  <c r="E35" i="25593"/>
  <c r="C35" i="25593"/>
  <c r="E42" i="25593"/>
  <c r="G35" i="25593"/>
  <c r="D35" i="25593"/>
  <c r="E38" i="25593"/>
  <c r="F35" i="25593"/>
  <c r="G59" i="25593"/>
  <c r="E67" i="25593"/>
  <c r="C67" i="25593"/>
  <c r="G67" i="25593"/>
  <c r="D67" i="25593"/>
  <c r="F67" i="25593"/>
  <c r="D103" i="25593"/>
  <c r="G103" i="25593"/>
  <c r="E103" i="25593"/>
  <c r="C103" i="25593"/>
  <c r="D104" i="25593"/>
  <c r="F103" i="25593"/>
  <c r="C11" i="25587"/>
  <c r="G35" i="25587"/>
  <c r="E19" i="25587"/>
  <c r="C24" i="25587"/>
  <c r="E69" i="25587"/>
  <c r="F83" i="25587"/>
  <c r="F87" i="25587"/>
  <c r="E87" i="25587"/>
  <c r="C87" i="25587"/>
  <c r="G90" i="25587"/>
  <c r="C96" i="25587"/>
  <c r="F103" i="25587"/>
  <c r="E103" i="25587"/>
  <c r="C103" i="25587"/>
  <c r="G112" i="25587"/>
  <c r="F112" i="25587"/>
  <c r="D112" i="25587"/>
  <c r="D159" i="25587"/>
  <c r="C170" i="25587"/>
  <c r="F170" i="25587"/>
  <c r="F191" i="25587"/>
  <c r="E191" i="25587"/>
  <c r="C191" i="25587"/>
  <c r="D226" i="25587"/>
  <c r="F52" i="25588"/>
  <c r="F64" i="25588"/>
  <c r="E54" i="25588"/>
  <c r="E64" i="25588"/>
  <c r="G52" i="25588"/>
  <c r="E52" i="25588"/>
  <c r="E56" i="25588"/>
  <c r="C52" i="25588"/>
  <c r="C45" i="25589"/>
  <c r="E132" i="25589"/>
  <c r="E18" i="25590"/>
  <c r="C18" i="25590"/>
  <c r="D18" i="25590"/>
  <c r="F66" i="25590"/>
  <c r="E66" i="25590"/>
  <c r="C66" i="25590"/>
  <c r="D66" i="25590"/>
  <c r="F81" i="25593"/>
  <c r="D82" i="25593"/>
  <c r="C81" i="25593"/>
  <c r="F93" i="25593"/>
  <c r="E81" i="25593"/>
  <c r="D81" i="25593"/>
  <c r="G81" i="25593"/>
  <c r="F89" i="25593"/>
  <c r="D90" i="25593"/>
  <c r="C89" i="25593"/>
  <c r="F101" i="25593"/>
  <c r="G89" i="25593"/>
  <c r="D89" i="25593"/>
  <c r="E89" i="25593"/>
  <c r="C27" i="25594"/>
  <c r="F27" i="25594"/>
  <c r="D27" i="25594"/>
  <c r="D28" i="25594"/>
  <c r="D11" i="25587"/>
  <c r="F20" i="25587"/>
  <c r="D20" i="25587"/>
  <c r="D50" i="25587"/>
  <c r="D66" i="25587"/>
  <c r="D87" i="25587"/>
  <c r="E96" i="25587"/>
  <c r="F115" i="25587"/>
  <c r="F119" i="25587"/>
  <c r="E119" i="25587"/>
  <c r="C119" i="25587"/>
  <c r="G122" i="25587"/>
  <c r="G159" i="25587"/>
  <c r="D170" i="25587"/>
  <c r="G173" i="25587"/>
  <c r="E184" i="25587"/>
  <c r="D191" i="25587"/>
  <c r="F196" i="25587"/>
  <c r="E200" i="25587"/>
  <c r="F205" i="25587"/>
  <c r="D205" i="25587"/>
  <c r="C205" i="25587"/>
  <c r="E217" i="25587"/>
  <c r="E209" i="25587"/>
  <c r="F207" i="25587"/>
  <c r="E207" i="25587"/>
  <c r="C207" i="25587"/>
  <c r="G210" i="25587"/>
  <c r="C216" i="25587"/>
  <c r="F219" i="25587"/>
  <c r="F223" i="25587"/>
  <c r="E223" i="25587"/>
  <c r="C223" i="25587"/>
  <c r="E226" i="25587"/>
  <c r="F235" i="25587"/>
  <c r="G240" i="25587"/>
  <c r="F240" i="25587"/>
  <c r="F252" i="25587"/>
  <c r="D240" i="25587"/>
  <c r="F249" i="25587"/>
  <c r="E25" i="25588"/>
  <c r="D36" i="25588"/>
  <c r="E62" i="25588"/>
  <c r="E73" i="25588"/>
  <c r="C73" i="25588"/>
  <c r="G73" i="25588"/>
  <c r="F73" i="25588"/>
  <c r="D73" i="25588"/>
  <c r="F97" i="25588"/>
  <c r="C164" i="25588"/>
  <c r="F164" i="25588"/>
  <c r="F176" i="25588"/>
  <c r="G164" i="25588"/>
  <c r="G188" i="25588"/>
  <c r="D164" i="25588"/>
  <c r="F173" i="25588"/>
  <c r="D12" i="25589"/>
  <c r="D13" i="25589"/>
  <c r="F20" i="25589"/>
  <c r="C20" i="25589"/>
  <c r="D21" i="25589"/>
  <c r="D20" i="25589"/>
  <c r="F35" i="25589"/>
  <c r="D35" i="25589"/>
  <c r="D36" i="25589"/>
  <c r="E35" i="25589"/>
  <c r="G64" i="25589"/>
  <c r="E46" i="25589"/>
  <c r="F40" i="25589"/>
  <c r="C40" i="25589"/>
  <c r="E41" i="25589"/>
  <c r="E44" i="25589"/>
  <c r="E42" i="25589"/>
  <c r="E40" i="25589"/>
  <c r="G50" i="25589"/>
  <c r="G55" i="25589"/>
  <c r="E73" i="25589"/>
  <c r="C73" i="25589"/>
  <c r="F73" i="25589"/>
  <c r="G127" i="25589"/>
  <c r="G151" i="25589"/>
  <c r="G161" i="25589"/>
  <c r="C19" i="25590"/>
  <c r="F31" i="25590"/>
  <c r="E19" i="25590"/>
  <c r="D19" i="25590"/>
  <c r="G43" i="25590"/>
  <c r="F43" i="25590"/>
  <c r="D43" i="25590"/>
  <c r="D44" i="25590"/>
  <c r="E43" i="25590"/>
  <c r="G66" i="25590"/>
  <c r="C133" i="25590"/>
  <c r="F133" i="25590"/>
  <c r="E133" i="25590"/>
  <c r="C24" i="25591"/>
  <c r="F24" i="25591"/>
  <c r="F36" i="25591"/>
  <c r="H24" i="25591"/>
  <c r="E24" i="25591"/>
  <c r="D24" i="25591"/>
  <c r="F30" i="25591"/>
  <c r="D30" i="25591"/>
  <c r="C30" i="25591"/>
  <c r="H30" i="25591"/>
  <c r="G30" i="25591"/>
  <c r="E30" i="25591"/>
  <c r="D15" i="25593"/>
  <c r="E15" i="25593"/>
  <c r="D16" i="25593"/>
  <c r="C15" i="25593"/>
  <c r="E27" i="25594"/>
  <c r="G50" i="25595"/>
  <c r="F64" i="25597"/>
  <c r="C64" i="25597"/>
  <c r="D64" i="25597"/>
  <c r="D65" i="25597"/>
  <c r="E64" i="25597"/>
  <c r="E17" i="25587"/>
  <c r="G41" i="25587"/>
  <c r="C17" i="25587"/>
  <c r="C25" i="25587"/>
  <c r="G49" i="25587"/>
  <c r="E33" i="25587"/>
  <c r="F25" i="25587"/>
  <c r="F31" i="25587"/>
  <c r="C9" i="25587"/>
  <c r="G33" i="25587"/>
  <c r="D17" i="25587"/>
  <c r="E20" i="25587"/>
  <c r="D25" i="25587"/>
  <c r="G32" i="25587"/>
  <c r="F32" i="25587"/>
  <c r="D32" i="25587"/>
  <c r="E37" i="25587"/>
  <c r="D39" i="25587"/>
  <c r="E56" i="25587"/>
  <c r="F61" i="25587"/>
  <c r="D61" i="25587"/>
  <c r="C61" i="25587"/>
  <c r="E73" i="25587"/>
  <c r="E65" i="25587"/>
  <c r="F63" i="25587"/>
  <c r="E63" i="25587"/>
  <c r="C63" i="25587"/>
  <c r="C72" i="25587"/>
  <c r="F75" i="25587"/>
  <c r="F77" i="25587"/>
  <c r="D77" i="25587"/>
  <c r="C77" i="25587"/>
  <c r="F79" i="25587"/>
  <c r="E79" i="25587"/>
  <c r="C79" i="25587"/>
  <c r="E82" i="25587"/>
  <c r="G88" i="25587"/>
  <c r="F88" i="25587"/>
  <c r="D88" i="25587"/>
  <c r="E91" i="25587"/>
  <c r="E98" i="25587"/>
  <c r="G104" i="25587"/>
  <c r="F104" i="25587"/>
  <c r="D104" i="25587"/>
  <c r="F110" i="25587"/>
  <c r="D114" i="25587"/>
  <c r="G117" i="25587"/>
  <c r="G119" i="25587"/>
  <c r="F126" i="25587"/>
  <c r="C130" i="25587"/>
  <c r="F130" i="25587"/>
  <c r="E133" i="25587"/>
  <c r="D135" i="25587"/>
  <c r="D139" i="25587"/>
  <c r="E144" i="25587"/>
  <c r="C146" i="25587"/>
  <c r="F146" i="25587"/>
  <c r="E149" i="25587"/>
  <c r="D151" i="25587"/>
  <c r="G154" i="25587"/>
  <c r="C160" i="25587"/>
  <c r="F163" i="25587"/>
  <c r="F165" i="25587"/>
  <c r="D165" i="25587"/>
  <c r="C165" i="25587"/>
  <c r="F167" i="25587"/>
  <c r="E167" i="25587"/>
  <c r="C167" i="25587"/>
  <c r="G170" i="25587"/>
  <c r="C176" i="25587"/>
  <c r="E186" i="25587"/>
  <c r="E188" i="25587"/>
  <c r="G192" i="25587"/>
  <c r="F192" i="25587"/>
  <c r="D192" i="25587"/>
  <c r="D202" i="25587"/>
  <c r="G205" i="25587"/>
  <c r="G207" i="25587"/>
  <c r="F214" i="25587"/>
  <c r="D218" i="25587"/>
  <c r="G221" i="25587"/>
  <c r="G223" i="25587"/>
  <c r="D227" i="25587"/>
  <c r="F228" i="25587"/>
  <c r="E232" i="25587"/>
  <c r="E240" i="25587"/>
  <c r="F248" i="25587"/>
  <c r="F260" i="25587"/>
  <c r="G248" i="25587"/>
  <c r="D248" i="25587"/>
  <c r="G256" i="25587"/>
  <c r="D14" i="25588"/>
  <c r="C14" i="25588"/>
  <c r="D18" i="25588"/>
  <c r="E18" i="25588"/>
  <c r="D37" i="25588"/>
  <c r="D53" i="25588"/>
  <c r="G71" i="25588"/>
  <c r="E86" i="25588"/>
  <c r="E78" i="25588"/>
  <c r="C76" i="25588"/>
  <c r="F76" i="25588"/>
  <c r="F88" i="25588"/>
  <c r="E85" i="25588"/>
  <c r="E80" i="25588"/>
  <c r="E88" i="25588"/>
  <c r="G76" i="25588"/>
  <c r="G100" i="25588"/>
  <c r="D76" i="25588"/>
  <c r="D93" i="25588"/>
  <c r="G93" i="25588"/>
  <c r="F93" i="25588"/>
  <c r="E93" i="25588"/>
  <c r="C93" i="25588"/>
  <c r="D94" i="25588"/>
  <c r="F126" i="25588"/>
  <c r="D139" i="25588"/>
  <c r="G159" i="25588"/>
  <c r="G183" i="25588"/>
  <c r="G48" i="25589"/>
  <c r="F24" i="25589"/>
  <c r="C24" i="25589"/>
  <c r="D25" i="25589"/>
  <c r="D24" i="25589"/>
  <c r="G35" i="25589"/>
  <c r="G40" i="25589"/>
  <c r="G59" i="25589"/>
  <c r="G73" i="25589"/>
  <c r="G84" i="25589"/>
  <c r="F87" i="25589"/>
  <c r="C87" i="25589"/>
  <c r="G87" i="25589"/>
  <c r="E87" i="25589"/>
  <c r="D87" i="25589"/>
  <c r="F99" i="25589"/>
  <c r="G140" i="25589"/>
  <c r="D157" i="25589"/>
  <c r="G157" i="25589"/>
  <c r="F157" i="25589"/>
  <c r="E157" i="25589"/>
  <c r="C157" i="25589"/>
  <c r="D158" i="25589"/>
  <c r="G172" i="25589"/>
  <c r="G177" i="25589"/>
  <c r="F185" i="25589"/>
  <c r="E185" i="25589"/>
  <c r="C185" i="25589"/>
  <c r="D185" i="25589"/>
  <c r="F193" i="25589"/>
  <c r="D193" i="25589"/>
  <c r="C193" i="25589"/>
  <c r="G193" i="25589"/>
  <c r="E193" i="25589"/>
  <c r="F46" i="25590"/>
  <c r="G51" i="25590"/>
  <c r="F51" i="25590"/>
  <c r="D51" i="25590"/>
  <c r="F63" i="25590"/>
  <c r="E51" i="25590"/>
  <c r="C51" i="25590"/>
  <c r="F55" i="25590"/>
  <c r="F71" i="25590"/>
  <c r="C77" i="25590"/>
  <c r="F77" i="25590"/>
  <c r="G77" i="25590"/>
  <c r="D77" i="25590"/>
  <c r="G101" i="25590"/>
  <c r="G133" i="25590"/>
  <c r="D149" i="25590"/>
  <c r="G157" i="25590"/>
  <c r="F175" i="25590"/>
  <c r="F182" i="25590"/>
  <c r="E193" i="25590"/>
  <c r="E192" i="25590"/>
  <c r="E191" i="25590"/>
  <c r="F184" i="25590"/>
  <c r="E185" i="25590"/>
  <c r="D184" i="25590"/>
  <c r="C184" i="25590"/>
  <c r="E190" i="25590"/>
  <c r="E184" i="25590"/>
  <c r="E189" i="25590"/>
  <c r="D12" i="25591"/>
  <c r="C16" i="25591"/>
  <c r="D25" i="25591"/>
  <c r="F46" i="25591"/>
  <c r="D46" i="25591"/>
  <c r="C46" i="25591"/>
  <c r="G46" i="25591"/>
  <c r="G54" i="25591"/>
  <c r="D22" i="25592"/>
  <c r="F25" i="25592"/>
  <c r="D25" i="25592"/>
  <c r="C25" i="25592"/>
  <c r="H25" i="25592"/>
  <c r="E25" i="25592"/>
  <c r="E40" i="25592"/>
  <c r="G47" i="25592"/>
  <c r="H63" i="25592"/>
  <c r="F63" i="25592"/>
  <c r="E63" i="25592"/>
  <c r="C63" i="25592"/>
  <c r="G63" i="25592"/>
  <c r="D63" i="25592"/>
  <c r="E11" i="25593"/>
  <c r="E20" i="25593"/>
  <c r="G30" i="25593"/>
  <c r="F57" i="25593"/>
  <c r="D58" i="25593"/>
  <c r="C57" i="25593"/>
  <c r="F69" i="25593"/>
  <c r="G57" i="25593"/>
  <c r="D57" i="25593"/>
  <c r="E57" i="25593"/>
  <c r="F39" i="25594"/>
  <c r="D39" i="25594"/>
  <c r="C39" i="25594"/>
  <c r="D40" i="25594"/>
  <c r="F51" i="25594"/>
  <c r="E39" i="25594"/>
  <c r="E54" i="25594"/>
  <c r="C54" i="25594"/>
  <c r="D54" i="25594"/>
  <c r="F54" i="25594"/>
  <c r="F68" i="25594"/>
  <c r="D69" i="25594"/>
  <c r="C68" i="25594"/>
  <c r="E68" i="25594"/>
  <c r="G68" i="25594"/>
  <c r="F71" i="25594"/>
  <c r="D71" i="25594"/>
  <c r="C71" i="25594"/>
  <c r="D72" i="25594"/>
  <c r="E71" i="25594"/>
  <c r="D15" i="25597"/>
  <c r="D16" i="25597"/>
  <c r="E15" i="25597"/>
  <c r="C15" i="25597"/>
  <c r="C32" i="25597"/>
  <c r="D32" i="25597"/>
  <c r="D33" i="25597"/>
  <c r="E32" i="25597"/>
  <c r="E73" i="25597"/>
  <c r="G70" i="25597"/>
  <c r="G66" i="25597"/>
  <c r="G62" i="25597"/>
  <c r="G58" i="25597"/>
  <c r="G54" i="25597"/>
  <c r="G50" i="25597"/>
  <c r="G46" i="25597"/>
  <c r="G42" i="25597"/>
  <c r="G38" i="25597"/>
  <c r="G34" i="25597"/>
  <c r="G30" i="25597"/>
  <c r="G26" i="25597"/>
  <c r="G22" i="25597"/>
  <c r="G18" i="25597"/>
  <c r="G12" i="25597"/>
  <c r="G72" i="25597"/>
  <c r="G39" i="25597"/>
  <c r="G36" i="25597"/>
  <c r="G33" i="25597"/>
  <c r="G11" i="25597"/>
  <c r="G9" i="25597"/>
  <c r="G63" i="25597"/>
  <c r="G60" i="25597"/>
  <c r="G57" i="25597"/>
  <c r="G73" i="25597"/>
  <c r="G68" i="25597"/>
  <c r="G43" i="25597"/>
  <c r="G40" i="25597"/>
  <c r="G37" i="25597"/>
  <c r="G14" i="25597"/>
  <c r="G8" i="25597"/>
  <c r="D73" i="25597"/>
  <c r="G61" i="25597"/>
  <c r="G35" i="25597"/>
  <c r="G32" i="25597"/>
  <c r="G29" i="25597"/>
  <c r="G5" i="25597"/>
  <c r="C73" i="25597"/>
  <c r="G49" i="25597"/>
  <c r="G47" i="25597"/>
  <c r="G45" i="25597"/>
  <c r="G7" i="25597"/>
  <c r="G67" i="25597"/>
  <c r="G59" i="25597"/>
  <c r="G56" i="25597"/>
  <c r="G51" i="25597"/>
  <c r="G23" i="25597"/>
  <c r="G6" i="25597"/>
  <c r="G53" i="25597"/>
  <c r="G44" i="25597"/>
  <c r="G25" i="25597"/>
  <c r="G71" i="25597"/>
  <c r="G64" i="25597"/>
  <c r="G55" i="25597"/>
  <c r="G20" i="25597"/>
  <c r="G16" i="25597"/>
  <c r="G69" i="25597"/>
  <c r="G65" i="25597"/>
  <c r="G52" i="25597"/>
  <c r="G41" i="25597"/>
  <c r="G31" i="25597"/>
  <c r="G28" i="25597"/>
  <c r="G13" i="25597"/>
  <c r="G19" i="25597"/>
  <c r="G10" i="25597"/>
  <c r="G48" i="25597"/>
  <c r="G24" i="25597"/>
  <c r="G27" i="25597"/>
  <c r="G21" i="25597"/>
  <c r="F73" i="25597"/>
  <c r="G15" i="25597"/>
  <c r="E138" i="768"/>
  <c r="E140" i="768"/>
  <c r="D133" i="768"/>
  <c r="E141" i="768"/>
  <c r="E137" i="768"/>
  <c r="E133" i="768"/>
  <c r="E136" i="768"/>
  <c r="E135" i="768"/>
  <c r="F133" i="768"/>
  <c r="D134" i="768"/>
  <c r="C133" i="768"/>
  <c r="E134" i="768"/>
  <c r="G133" i="768"/>
  <c r="F236" i="3"/>
  <c r="E230" i="3"/>
  <c r="F238" i="3"/>
  <c r="F230" i="3"/>
  <c r="E229" i="3"/>
  <c r="D229" i="3"/>
  <c r="H229" i="3"/>
  <c r="F240" i="3"/>
  <c r="G229" i="3"/>
  <c r="F239" i="3"/>
  <c r="F237" i="3"/>
  <c r="F241" i="3"/>
  <c r="F233" i="3"/>
  <c r="F229" i="3"/>
  <c r="H253" i="3"/>
  <c r="G241" i="3"/>
  <c r="F232" i="3"/>
  <c r="F234" i="3"/>
  <c r="G48" i="25587"/>
  <c r="F48" i="25587"/>
  <c r="D48" i="25587"/>
  <c r="F69" i="25587"/>
  <c r="D69" i="25587"/>
  <c r="C69" i="25587"/>
  <c r="C138" i="25587"/>
  <c r="F138" i="25587"/>
  <c r="F175" i="25587"/>
  <c r="E175" i="25587"/>
  <c r="C175" i="25587"/>
  <c r="C180" i="25588"/>
  <c r="F180" i="25588"/>
  <c r="E180" i="25588"/>
  <c r="G56" i="25589"/>
  <c r="F32" i="25589"/>
  <c r="C32" i="25589"/>
  <c r="G32" i="25589"/>
  <c r="D32" i="25589"/>
  <c r="C45" i="25590"/>
  <c r="F45" i="25590"/>
  <c r="G45" i="25590"/>
  <c r="F57" i="25590"/>
  <c r="D45" i="25590"/>
  <c r="F168" i="25590"/>
  <c r="D168" i="25590"/>
  <c r="C168" i="25590"/>
  <c r="G192" i="25590"/>
  <c r="G168" i="25590"/>
  <c r="G47" i="25591"/>
  <c r="F23" i="25591"/>
  <c r="D23" i="25591"/>
  <c r="E23" i="25591"/>
  <c r="D39" i="25593"/>
  <c r="G39" i="25593"/>
  <c r="E39" i="25593"/>
  <c r="C39" i="25593"/>
  <c r="D40" i="25593"/>
  <c r="F63" i="25594"/>
  <c r="D63" i="25594"/>
  <c r="D64" i="25594"/>
  <c r="E63" i="25594"/>
  <c r="C63" i="25594"/>
  <c r="G66" i="25595"/>
  <c r="E66" i="25595"/>
  <c r="C66" i="25595"/>
  <c r="D67" i="25595"/>
  <c r="D66" i="25595"/>
  <c r="C29" i="25587"/>
  <c r="F29" i="25587"/>
  <c r="C50" i="25587"/>
  <c r="F50" i="25587"/>
  <c r="C66" i="25587"/>
  <c r="F66" i="25587"/>
  <c r="D71" i="25587"/>
  <c r="F101" i="25587"/>
  <c r="D101" i="25587"/>
  <c r="C101" i="25587"/>
  <c r="G128" i="25587"/>
  <c r="F128" i="25587"/>
  <c r="D128" i="25587"/>
  <c r="E157" i="25587"/>
  <c r="E168" i="25587"/>
  <c r="E173" i="25587"/>
  <c r="G178" i="25587"/>
  <c r="C184" i="25587"/>
  <c r="F187" i="25587"/>
  <c r="F36" i="25588"/>
  <c r="F48" i="25588"/>
  <c r="G36" i="25588"/>
  <c r="E36" i="25588"/>
  <c r="C36" i="25588"/>
  <c r="C43" i="25588"/>
  <c r="E117" i="25588"/>
  <c r="E125" i="25588"/>
  <c r="C133" i="25588"/>
  <c r="D180" i="25588"/>
  <c r="C50" i="25589"/>
  <c r="D55" i="25589"/>
  <c r="F122" i="25589"/>
  <c r="D122" i="25589"/>
  <c r="D123" i="25589"/>
  <c r="F134" i="25589"/>
  <c r="E122" i="25589"/>
  <c r="D161" i="25589"/>
  <c r="E71" i="25590"/>
  <c r="F64" i="25590"/>
  <c r="E73" i="25590"/>
  <c r="E65" i="25590"/>
  <c r="D64" i="25590"/>
  <c r="C64" i="25590"/>
  <c r="F76" i="25590"/>
  <c r="E67" i="25590"/>
  <c r="G64" i="25590"/>
  <c r="E80" i="25590"/>
  <c r="F114" i="25590"/>
  <c r="E114" i="25590"/>
  <c r="C114" i="25590"/>
  <c r="G114" i="25590"/>
  <c r="D114" i="25590"/>
  <c r="F126" i="25590"/>
  <c r="G170" i="25590"/>
  <c r="C53" i="25591"/>
  <c r="C45" i="25591"/>
  <c r="C37" i="25591"/>
  <c r="C29" i="25591"/>
  <c r="C25" i="25591"/>
  <c r="C21" i="25591"/>
  <c r="C17" i="25591"/>
  <c r="C44" i="25591"/>
  <c r="C42" i="25591"/>
  <c r="C10" i="25591"/>
  <c r="C55" i="25591"/>
  <c r="C22" i="25591"/>
  <c r="C47" i="25591"/>
  <c r="F17" i="25591"/>
  <c r="C15" i="25591"/>
  <c r="C6" i="25591"/>
  <c r="C36" i="25591"/>
  <c r="C34" i="25591"/>
  <c r="C26" i="25591"/>
  <c r="C12" i="25591"/>
  <c r="C39" i="25591"/>
  <c r="G29" i="25591"/>
  <c r="C8" i="25591"/>
  <c r="C86" i="25593"/>
  <c r="F86" i="25593"/>
  <c r="F98" i="25593"/>
  <c r="E86" i="25593"/>
  <c r="D86" i="25593"/>
  <c r="F44" i="25594"/>
  <c r="D45" i="25594"/>
  <c r="C44" i="25594"/>
  <c r="D44" i="25594"/>
  <c r="F56" i="25594"/>
  <c r="E44" i="25594"/>
  <c r="G63" i="25594"/>
  <c r="F56" i="25595"/>
  <c r="E57" i="25597"/>
  <c r="F57" i="25597"/>
  <c r="C57" i="25597"/>
  <c r="D57" i="25597"/>
  <c r="F69" i="25597"/>
  <c r="F56" i="25598"/>
  <c r="H50" i="25598"/>
  <c r="H42" i="25598"/>
  <c r="H34" i="25598"/>
  <c r="H27" i="25598"/>
  <c r="H23" i="25598"/>
  <c r="H19" i="25598"/>
  <c r="H15" i="25598"/>
  <c r="C56" i="25598"/>
  <c r="H53" i="25598"/>
  <c r="H45" i="25598"/>
  <c r="H37" i="25598"/>
  <c r="H29" i="25598"/>
  <c r="H11" i="25598"/>
  <c r="H9" i="25598"/>
  <c r="H7" i="25598"/>
  <c r="H5" i="25598"/>
  <c r="H55" i="25598"/>
  <c r="H44" i="25598"/>
  <c r="H28" i="25598"/>
  <c r="H48" i="25598"/>
  <c r="H35" i="25598"/>
  <c r="H32" i="25598"/>
  <c r="H56" i="25598"/>
  <c r="H51" i="25598"/>
  <c r="H39" i="25598"/>
  <c r="H24" i="25598"/>
  <c r="H6" i="25598"/>
  <c r="E56" i="25598"/>
  <c r="H54" i="25598"/>
  <c r="H49" i="25598"/>
  <c r="H46" i="25598"/>
  <c r="H33" i="25598"/>
  <c r="H30" i="25598"/>
  <c r="H13" i="25598"/>
  <c r="H8" i="25598"/>
  <c r="D56" i="25598"/>
  <c r="H43" i="25598"/>
  <c r="H20" i="25598"/>
  <c r="H17" i="25598"/>
  <c r="H52" i="25598"/>
  <c r="H31" i="25598"/>
  <c r="H38" i="25598"/>
  <c r="H21" i="25598"/>
  <c r="H4" i="25598"/>
  <c r="H26" i="25598"/>
  <c r="H10" i="25598"/>
  <c r="H41" i="25598"/>
  <c r="H47" i="25598"/>
  <c r="H36" i="25598"/>
  <c r="H25" i="25598"/>
  <c r="H12" i="25598"/>
  <c r="H40" i="25598"/>
  <c r="C18" i="25587"/>
  <c r="C21" i="25587"/>
  <c r="F21" i="25587"/>
  <c r="C34" i="25587"/>
  <c r="F34" i="25587"/>
  <c r="F41" i="25587"/>
  <c r="F45" i="25587"/>
  <c r="D45" i="25587"/>
  <c r="C45" i="25587"/>
  <c r="F47" i="25587"/>
  <c r="E47" i="25587"/>
  <c r="C47" i="25587"/>
  <c r="D51" i="25587"/>
  <c r="C58" i="25587"/>
  <c r="F58" i="25587"/>
  <c r="D67" i="25587"/>
  <c r="C74" i="25587"/>
  <c r="F74" i="25587"/>
  <c r="G82" i="25587"/>
  <c r="F93" i="25587"/>
  <c r="D93" i="25587"/>
  <c r="C93" i="25587"/>
  <c r="F95" i="25587"/>
  <c r="E95" i="25587"/>
  <c r="C95" i="25587"/>
  <c r="G98" i="25587"/>
  <c r="G120" i="25587"/>
  <c r="F120" i="25587"/>
  <c r="D120" i="25587"/>
  <c r="D155" i="25587"/>
  <c r="F156" i="25587"/>
  <c r="E160" i="25587"/>
  <c r="C162" i="25587"/>
  <c r="F162" i="25587"/>
  <c r="E165" i="25587"/>
  <c r="D171" i="25587"/>
  <c r="F181" i="25587"/>
  <c r="D181" i="25587"/>
  <c r="C181" i="25587"/>
  <c r="E193" i="25587"/>
  <c r="E185" i="25587"/>
  <c r="F183" i="25587"/>
  <c r="E183" i="25587"/>
  <c r="C183" i="25587"/>
  <c r="G186" i="25587"/>
  <c r="F195" i="25587"/>
  <c r="F197" i="25587"/>
  <c r="D197" i="25587"/>
  <c r="C197" i="25587"/>
  <c r="F199" i="25587"/>
  <c r="E199" i="25587"/>
  <c r="C199" i="25587"/>
  <c r="G208" i="25587"/>
  <c r="F208" i="25587"/>
  <c r="D208" i="25587"/>
  <c r="E211" i="25587"/>
  <c r="G224" i="25587"/>
  <c r="F224" i="25587"/>
  <c r="D224" i="25587"/>
  <c r="G257" i="25587"/>
  <c r="F257" i="25587"/>
  <c r="E257" i="25587"/>
  <c r="C257" i="25587"/>
  <c r="E53" i="25588"/>
  <c r="F58" i="25588"/>
  <c r="D58" i="25588"/>
  <c r="F70" i="25588"/>
  <c r="G58" i="25588"/>
  <c r="E58" i="25588"/>
  <c r="C58" i="25588"/>
  <c r="D101" i="25588"/>
  <c r="G101" i="25588"/>
  <c r="F101" i="25588"/>
  <c r="E101" i="25588"/>
  <c r="C101" i="25588"/>
  <c r="D102" i="25588"/>
  <c r="F129" i="25588"/>
  <c r="F134" i="25588"/>
  <c r="E152" i="25588"/>
  <c r="E157" i="25588"/>
  <c r="F167" i="25588"/>
  <c r="C167" i="25588"/>
  <c r="F179" i="25588"/>
  <c r="E167" i="25588"/>
  <c r="E169" i="25588"/>
  <c r="C169" i="25588"/>
  <c r="G169" i="25588"/>
  <c r="F169" i="25588"/>
  <c r="D169" i="25588"/>
  <c r="G191" i="25588"/>
  <c r="D85" i="25589"/>
  <c r="G85" i="25589"/>
  <c r="F85" i="25589"/>
  <c r="C85" i="25589"/>
  <c r="D93" i="25589"/>
  <c r="G93" i="25589"/>
  <c r="D94" i="25589"/>
  <c r="E93" i="25589"/>
  <c r="F95" i="25589"/>
  <c r="C95" i="25589"/>
  <c r="G95" i="25589"/>
  <c r="E95" i="25589"/>
  <c r="D95" i="25589"/>
  <c r="G97" i="25589"/>
  <c r="C108" i="25589"/>
  <c r="F108" i="25589"/>
  <c r="G108" i="25589"/>
  <c r="E108" i="25589"/>
  <c r="D108" i="25589"/>
  <c r="F167" i="25589"/>
  <c r="D167" i="25589"/>
  <c r="C167" i="25589"/>
  <c r="G167" i="25589"/>
  <c r="E167" i="25589"/>
  <c r="G170" i="25589"/>
  <c r="F170" i="25589"/>
  <c r="D170" i="25589"/>
  <c r="F182" i="25589"/>
  <c r="D171" i="25589"/>
  <c r="E170" i="25589"/>
  <c r="F183" i="25589"/>
  <c r="D183" i="25589"/>
  <c r="C183" i="25589"/>
  <c r="G183" i="25589"/>
  <c r="G185" i="25589"/>
  <c r="F21" i="25590"/>
  <c r="E21" i="25590"/>
  <c r="C21" i="25590"/>
  <c r="F33" i="25590"/>
  <c r="D22" i="25590"/>
  <c r="D21" i="25590"/>
  <c r="C61" i="25590"/>
  <c r="F61" i="25590"/>
  <c r="G61" i="25590"/>
  <c r="F73" i="25590"/>
  <c r="D61" i="25590"/>
  <c r="F145" i="25590"/>
  <c r="C165" i="25590"/>
  <c r="F165" i="25590"/>
  <c r="G165" i="25590"/>
  <c r="D165" i="25590"/>
  <c r="F180" i="25590"/>
  <c r="G189" i="25590"/>
  <c r="C41" i="25591"/>
  <c r="C52" i="25591"/>
  <c r="E14" i="25592"/>
  <c r="E12" i="25592"/>
  <c r="C10" i="25592"/>
  <c r="E21" i="25592"/>
  <c r="E16" i="25592"/>
  <c r="E11" i="25592"/>
  <c r="D10" i="25592"/>
  <c r="F29" i="25592"/>
  <c r="D29" i="25592"/>
  <c r="C29" i="25592"/>
  <c r="H29" i="25592"/>
  <c r="E29" i="25592"/>
  <c r="G51" i="25594"/>
  <c r="F20" i="25597"/>
  <c r="C8" i="25597"/>
  <c r="C13" i="25587"/>
  <c r="E15" i="25587"/>
  <c r="D18" i="25587"/>
  <c r="D21" i="25587"/>
  <c r="F28" i="25587"/>
  <c r="D28" i="25587"/>
  <c r="D30" i="25587"/>
  <c r="E32" i="25587"/>
  <c r="D34" i="25587"/>
  <c r="E36" i="25587"/>
  <c r="G40" i="25587"/>
  <c r="F40" i="25587"/>
  <c r="D40" i="25587"/>
  <c r="E45" i="25587"/>
  <c r="D47" i="25587"/>
  <c r="D49" i="25587"/>
  <c r="D58" i="25587"/>
  <c r="G61" i="25587"/>
  <c r="G63" i="25587"/>
  <c r="F65" i="25587"/>
  <c r="F70" i="25587"/>
  <c r="D74" i="25587"/>
  <c r="G77" i="25587"/>
  <c r="G79" i="25587"/>
  <c r="D83" i="25587"/>
  <c r="F84" i="25587"/>
  <c r="E88" i="25587"/>
  <c r="C90" i="25587"/>
  <c r="F90" i="25587"/>
  <c r="E93" i="25587"/>
  <c r="D95" i="25587"/>
  <c r="D97" i="25587"/>
  <c r="D99" i="25587"/>
  <c r="F100" i="25587"/>
  <c r="E104" i="25587"/>
  <c r="F107" i="25587"/>
  <c r="F109" i="25587"/>
  <c r="D109" i="25587"/>
  <c r="C109" i="25587"/>
  <c r="E121" i="25587"/>
  <c r="E113" i="25587"/>
  <c r="F111" i="25587"/>
  <c r="E111" i="25587"/>
  <c r="C111" i="25587"/>
  <c r="G114" i="25587"/>
  <c r="C120" i="25587"/>
  <c r="F123" i="25587"/>
  <c r="F125" i="25587"/>
  <c r="D125" i="25587"/>
  <c r="C125" i="25587"/>
  <c r="F127" i="25587"/>
  <c r="E127" i="25587"/>
  <c r="C127" i="25587"/>
  <c r="E130" i="25587"/>
  <c r="G136" i="25587"/>
  <c r="F136" i="25587"/>
  <c r="D136" i="25587"/>
  <c r="E139" i="25587"/>
  <c r="E146" i="25587"/>
  <c r="G152" i="25587"/>
  <c r="F152" i="25587"/>
  <c r="D152" i="25587"/>
  <c r="F153" i="25587"/>
  <c r="F158" i="25587"/>
  <c r="D162" i="25587"/>
  <c r="G165" i="25587"/>
  <c r="G167" i="25587"/>
  <c r="F169" i="25587"/>
  <c r="F174" i="25587"/>
  <c r="C178" i="25587"/>
  <c r="F178" i="25587"/>
  <c r="E181" i="25587"/>
  <c r="D183" i="25587"/>
  <c r="D185" i="25587"/>
  <c r="D187" i="25587"/>
  <c r="F188" i="25587"/>
  <c r="E192" i="25587"/>
  <c r="C194" i="25587"/>
  <c r="F194" i="25587"/>
  <c r="E197" i="25587"/>
  <c r="D199" i="25587"/>
  <c r="D201" i="25587"/>
  <c r="G202" i="25587"/>
  <c r="C208" i="25587"/>
  <c r="F211" i="25587"/>
  <c r="F213" i="25587"/>
  <c r="D213" i="25587"/>
  <c r="C213" i="25587"/>
  <c r="F215" i="25587"/>
  <c r="E215" i="25587"/>
  <c r="C215" i="25587"/>
  <c r="G218" i="25587"/>
  <c r="C224" i="25587"/>
  <c r="G234" i="25587"/>
  <c r="G242" i="25587"/>
  <c r="E245" i="25587"/>
  <c r="C245" i="25587"/>
  <c r="G245" i="25587"/>
  <c r="D245" i="25587"/>
  <c r="E248" i="25587"/>
  <c r="G250" i="25587"/>
  <c r="D257" i="25587"/>
  <c r="F259" i="25587"/>
  <c r="D15" i="25588"/>
  <c r="D20" i="25588"/>
  <c r="E19" i="25588"/>
  <c r="D19" i="25588"/>
  <c r="C19" i="25588"/>
  <c r="F31" i="25588"/>
  <c r="F22" i="25588"/>
  <c r="G46" i="25588"/>
  <c r="E22" i="25588"/>
  <c r="C22" i="25588"/>
  <c r="D31" i="25588"/>
  <c r="G59" i="25588"/>
  <c r="E59" i="25588"/>
  <c r="D59" i="25588"/>
  <c r="E63" i="25588"/>
  <c r="C84" i="25588"/>
  <c r="F84" i="25588"/>
  <c r="F96" i="25588"/>
  <c r="E84" i="25588"/>
  <c r="G108" i="25588"/>
  <c r="F127" i="25588"/>
  <c r="C127" i="25588"/>
  <c r="G127" i="25588"/>
  <c r="E127" i="25588"/>
  <c r="D127" i="25588"/>
  <c r="G129" i="25588"/>
  <c r="C140" i="25588"/>
  <c r="F140" i="25588"/>
  <c r="G140" i="25588"/>
  <c r="E140" i="25588"/>
  <c r="D140" i="25588"/>
  <c r="D147" i="25588"/>
  <c r="F152" i="25588"/>
  <c r="D167" i="25588"/>
  <c r="E182" i="25588"/>
  <c r="E174" i="25588"/>
  <c r="C172" i="25588"/>
  <c r="F172" i="25588"/>
  <c r="F184" i="25588"/>
  <c r="E181" i="25588"/>
  <c r="E176" i="25588"/>
  <c r="E184" i="25588"/>
  <c r="G172" i="25588"/>
  <c r="D172" i="25588"/>
  <c r="D189" i="25588"/>
  <c r="G189" i="25588"/>
  <c r="F189" i="25588"/>
  <c r="E189" i="25588"/>
  <c r="C189" i="25588"/>
  <c r="D190" i="25588"/>
  <c r="F192" i="25588"/>
  <c r="C192" i="25588"/>
  <c r="G192" i="25588"/>
  <c r="E192" i="25588"/>
  <c r="D192" i="25588"/>
  <c r="E39" i="25589"/>
  <c r="F28" i="25589"/>
  <c r="C28" i="25589"/>
  <c r="D29" i="25589"/>
  <c r="D28" i="25589"/>
  <c r="E65" i="25589"/>
  <c r="C65" i="25589"/>
  <c r="F65" i="25589"/>
  <c r="F82" i="25589"/>
  <c r="D82" i="25589"/>
  <c r="G82" i="25589"/>
  <c r="E82" i="25589"/>
  <c r="C82" i="25589"/>
  <c r="D83" i="25589"/>
  <c r="E85" i="25589"/>
  <c r="C93" i="25589"/>
  <c r="D96" i="25589"/>
  <c r="D101" i="25589"/>
  <c r="G101" i="25589"/>
  <c r="D102" i="25589"/>
  <c r="F113" i="25589"/>
  <c r="E101" i="25589"/>
  <c r="F111" i="25589"/>
  <c r="C111" i="25589"/>
  <c r="G111" i="25589"/>
  <c r="G135" i="25589"/>
  <c r="D111" i="25589"/>
  <c r="F123" i="25589"/>
  <c r="F165" i="25589"/>
  <c r="C170" i="25589"/>
  <c r="E183" i="25589"/>
  <c r="E61" i="25590"/>
  <c r="E70" i="25590"/>
  <c r="G75" i="25590"/>
  <c r="F75" i="25590"/>
  <c r="D75" i="25590"/>
  <c r="D76" i="25590"/>
  <c r="F87" i="25590"/>
  <c r="E75" i="25590"/>
  <c r="G90" i="25590"/>
  <c r="F108" i="25590"/>
  <c r="G120" i="25590"/>
  <c r="C125" i="25590"/>
  <c r="F125" i="25590"/>
  <c r="G125" i="25590"/>
  <c r="F137" i="25590"/>
  <c r="E125" i="25590"/>
  <c r="D125" i="25590"/>
  <c r="F138" i="25590"/>
  <c r="E138" i="25590"/>
  <c r="C138" i="25590"/>
  <c r="F150" i="25590"/>
  <c r="G138" i="25590"/>
  <c r="E165" i="25590"/>
  <c r="C19" i="25591"/>
  <c r="H46" i="25591"/>
  <c r="D11" i="25592"/>
  <c r="G29" i="25592"/>
  <c r="E34" i="25592"/>
  <c r="F45" i="25592"/>
  <c r="D45" i="25592"/>
  <c r="C45" i="25592"/>
  <c r="H45" i="25592"/>
  <c r="E45" i="25592"/>
  <c r="E59" i="25592"/>
  <c r="E61" i="25592"/>
  <c r="E64" i="25592"/>
  <c r="D12" i="25593"/>
  <c r="D47" i="25593"/>
  <c r="G47" i="25593"/>
  <c r="F47" i="25593"/>
  <c r="E50" i="25593"/>
  <c r="C47" i="25593"/>
  <c r="E58" i="25593"/>
  <c r="E55" i="25593"/>
  <c r="E52" i="25593"/>
  <c r="C62" i="25593"/>
  <c r="F62" i="25593"/>
  <c r="F74" i="25593"/>
  <c r="G62" i="25593"/>
  <c r="D62" i="25593"/>
  <c r="E62" i="25593"/>
  <c r="F84" i="25593"/>
  <c r="D84" i="25593"/>
  <c r="F96" i="25593"/>
  <c r="G84" i="25593"/>
  <c r="C84" i="25593"/>
  <c r="D85" i="25593"/>
  <c r="E84" i="25593"/>
  <c r="G105" i="25593"/>
  <c r="D16" i="25594"/>
  <c r="G40" i="25594"/>
  <c r="D17" i="25594"/>
  <c r="F28" i="25594"/>
  <c r="E16" i="25594"/>
  <c r="D34" i="25594"/>
  <c r="E40" i="25594"/>
  <c r="G34" i="25594"/>
  <c r="E37" i="25594"/>
  <c r="C34" i="25594"/>
  <c r="E45" i="25594"/>
  <c r="D35" i="25594"/>
  <c r="E34" i="25594"/>
  <c r="G46" i="25594"/>
  <c r="D40" i="25595"/>
  <c r="G40" i="25595"/>
  <c r="E40" i="25595"/>
  <c r="C40" i="25595"/>
  <c r="D41" i="25595"/>
  <c r="F40" i="25595"/>
  <c r="E64" i="25595"/>
  <c r="D64" i="25595"/>
  <c r="G64" i="25595"/>
  <c r="C64" i="25595"/>
  <c r="D65" i="25595"/>
  <c r="F64" i="25595"/>
  <c r="F56" i="25596"/>
  <c r="E56" i="25596"/>
  <c r="C56" i="25596"/>
  <c r="D56" i="25596"/>
  <c r="F68" i="25596"/>
  <c r="D57" i="25596"/>
  <c r="H56" i="25596"/>
  <c r="F72" i="25596"/>
  <c r="D72" i="25596"/>
  <c r="E72" i="25596"/>
  <c r="C72" i="25596"/>
  <c r="D8" i="25597"/>
  <c r="C40" i="25597"/>
  <c r="F52" i="25597"/>
  <c r="E40" i="25597"/>
  <c r="F40" i="25597"/>
  <c r="D40" i="25597"/>
  <c r="D38" i="25598"/>
  <c r="G38" i="25598"/>
  <c r="F38" i="25598"/>
  <c r="C38" i="25598"/>
  <c r="F50" i="25598"/>
  <c r="D39" i="25598"/>
  <c r="E38" i="25598"/>
  <c r="C240" i="4888"/>
  <c r="F252" i="4888"/>
  <c r="D241" i="4888"/>
  <c r="D240" i="4888"/>
  <c r="F240" i="4888"/>
  <c r="E240" i="4888"/>
  <c r="C161" i="2316"/>
  <c r="F173" i="2316"/>
  <c r="D161" i="2316"/>
  <c r="G185" i="2316"/>
  <c r="D184" i="2819"/>
  <c r="E183" i="2819"/>
  <c r="F183" i="2819"/>
  <c r="C183" i="2819"/>
  <c r="D183" i="2819"/>
  <c r="G183" i="2819"/>
  <c r="C181" i="2316"/>
  <c r="F181" i="2316"/>
  <c r="D182" i="2316"/>
  <c r="G181" i="2316"/>
  <c r="D181" i="2316"/>
  <c r="F193" i="2316"/>
  <c r="G51" i="25587"/>
  <c r="F234" i="25587"/>
  <c r="F242" i="25587"/>
  <c r="F254" i="25587"/>
  <c r="D254" i="25587"/>
  <c r="C262" i="25587"/>
  <c r="E33" i="25588"/>
  <c r="C33" i="25588"/>
  <c r="F37" i="25588"/>
  <c r="D40" i="25588"/>
  <c r="C39" i="25588"/>
  <c r="D46" i="25588"/>
  <c r="G47" i="25588"/>
  <c r="E49" i="25588"/>
  <c r="C49" i="25588"/>
  <c r="F53" i="25588"/>
  <c r="G61" i="25588"/>
  <c r="D62" i="25588"/>
  <c r="E65" i="25588"/>
  <c r="C65" i="25588"/>
  <c r="G79" i="25588"/>
  <c r="E81" i="25588"/>
  <c r="C81" i="25588"/>
  <c r="D109" i="25588"/>
  <c r="G109" i="25588"/>
  <c r="F130" i="25588"/>
  <c r="D130" i="25588"/>
  <c r="F135" i="25588"/>
  <c r="C135" i="25588"/>
  <c r="F143" i="25588"/>
  <c r="C143" i="25588"/>
  <c r="C156" i="25588"/>
  <c r="F156" i="25588"/>
  <c r="E177" i="25588"/>
  <c r="C177" i="25588"/>
  <c r="C37" i="25589"/>
  <c r="F37" i="25589"/>
  <c r="F47" i="25589"/>
  <c r="C47" i="25589"/>
  <c r="E62" i="25589"/>
  <c r="E54" i="25589"/>
  <c r="C52" i="25589"/>
  <c r="F52" i="25589"/>
  <c r="E57" i="25589"/>
  <c r="C57" i="25589"/>
  <c r="D69" i="25589"/>
  <c r="G69" i="25589"/>
  <c r="D77" i="25589"/>
  <c r="G77" i="25589"/>
  <c r="G81" i="25589"/>
  <c r="F90" i="25589"/>
  <c r="D90" i="25589"/>
  <c r="F98" i="25589"/>
  <c r="D98" i="25589"/>
  <c r="F103" i="25589"/>
  <c r="C103" i="25589"/>
  <c r="C116" i="25589"/>
  <c r="F116" i="25589"/>
  <c r="E134" i="25589"/>
  <c r="E126" i="25589"/>
  <c r="C124" i="25589"/>
  <c r="F124" i="25589"/>
  <c r="E137" i="25589"/>
  <c r="C137" i="25589"/>
  <c r="E145" i="25589"/>
  <c r="C145" i="25589"/>
  <c r="D176" i="25589"/>
  <c r="G178" i="25589"/>
  <c r="F178" i="25589"/>
  <c r="D178" i="25589"/>
  <c r="C180" i="25589"/>
  <c r="F180" i="25589"/>
  <c r="E17" i="25590"/>
  <c r="D16" i="25590"/>
  <c r="E23" i="25590"/>
  <c r="E39" i="25590"/>
  <c r="F28" i="25590"/>
  <c r="E33" i="25590"/>
  <c r="D28" i="25590"/>
  <c r="C28" i="25590"/>
  <c r="F82" i="25590"/>
  <c r="E82" i="25590"/>
  <c r="C82" i="25590"/>
  <c r="D86" i="25590"/>
  <c r="C93" i="25590"/>
  <c r="F93" i="25590"/>
  <c r="F98" i="25590"/>
  <c r="E98" i="25590"/>
  <c r="C98" i="25590"/>
  <c r="D102" i="25590"/>
  <c r="G107" i="25590"/>
  <c r="F107" i="25590"/>
  <c r="D107" i="25590"/>
  <c r="F110" i="25590"/>
  <c r="E119" i="25590"/>
  <c r="F112" i="25590"/>
  <c r="E121" i="25590"/>
  <c r="E113" i="25590"/>
  <c r="D112" i="25590"/>
  <c r="C112" i="25590"/>
  <c r="G117" i="25590"/>
  <c r="D121" i="25590"/>
  <c r="G123" i="25590"/>
  <c r="F123" i="25590"/>
  <c r="D123" i="25590"/>
  <c r="F128" i="25590"/>
  <c r="D128" i="25590"/>
  <c r="C128" i="25590"/>
  <c r="F140" i="25590"/>
  <c r="C181" i="25590"/>
  <c r="F181" i="25590"/>
  <c r="F186" i="25590"/>
  <c r="E186" i="25590"/>
  <c r="C186" i="25590"/>
  <c r="D190" i="25590"/>
  <c r="E14" i="25591"/>
  <c r="F19" i="25591"/>
  <c r="D19" i="25591"/>
  <c r="C28" i="25591"/>
  <c r="F28" i="25591"/>
  <c r="F31" i="25591"/>
  <c r="G41" i="25591"/>
  <c r="F41" i="25591"/>
  <c r="D41" i="25591"/>
  <c r="C43" i="25591"/>
  <c r="F43" i="25591"/>
  <c r="H56" i="25591"/>
  <c r="H48" i="25591"/>
  <c r="H40" i="25591"/>
  <c r="H32" i="25591"/>
  <c r="H26" i="25591"/>
  <c r="H22" i="25591"/>
  <c r="H18" i="25591"/>
  <c r="F56" i="25591"/>
  <c r="H50" i="25591"/>
  <c r="H42" i="25591"/>
  <c r="H34" i="25591"/>
  <c r="H27" i="25591"/>
  <c r="H23" i="25591"/>
  <c r="H19" i="25591"/>
  <c r="E56" i="25591"/>
  <c r="H51" i="25591"/>
  <c r="H43" i="25591"/>
  <c r="H35" i="25591"/>
  <c r="H13" i="25591"/>
  <c r="H11" i="25591"/>
  <c r="H9" i="25591"/>
  <c r="H7" i="25591"/>
  <c r="H5" i="25591"/>
  <c r="C56" i="25591"/>
  <c r="H53" i="25591"/>
  <c r="H45" i="25591"/>
  <c r="H37" i="25591"/>
  <c r="H29" i="25591"/>
  <c r="E13" i="25592"/>
  <c r="H15" i="25592"/>
  <c r="E15" i="25592"/>
  <c r="C15" i="25592"/>
  <c r="F18" i="25592"/>
  <c r="E18" i="25592"/>
  <c r="C18" i="25592"/>
  <c r="H31" i="25592"/>
  <c r="F31" i="25592"/>
  <c r="E31" i="25592"/>
  <c r="C31" i="25592"/>
  <c r="D35" i="25592"/>
  <c r="C42" i="25592"/>
  <c r="F42" i="25592"/>
  <c r="G56" i="25592"/>
  <c r="F56" i="25592"/>
  <c r="D56" i="25592"/>
  <c r="F61" i="25592"/>
  <c r="D61" i="25592"/>
  <c r="C61" i="25592"/>
  <c r="G66" i="25592"/>
  <c r="D70" i="25592"/>
  <c r="G72" i="25592"/>
  <c r="F72" i="25592"/>
  <c r="D72" i="25592"/>
  <c r="D28" i="25593"/>
  <c r="C37" i="25593"/>
  <c r="E40" i="25593"/>
  <c r="E48" i="25593"/>
  <c r="C54" i="25593"/>
  <c r="F54" i="25593"/>
  <c r="F66" i="25593"/>
  <c r="E54" i="25593"/>
  <c r="D54" i="25593"/>
  <c r="C95" i="25593"/>
  <c r="C100" i="25593"/>
  <c r="H16" i="25594"/>
  <c r="H27" i="25594"/>
  <c r="H29" i="25594"/>
  <c r="H56" i="25594"/>
  <c r="D66" i="25594"/>
  <c r="G66" i="25594"/>
  <c r="C66" i="25594"/>
  <c r="D67" i="25594"/>
  <c r="F45" i="25595"/>
  <c r="D45" i="25595"/>
  <c r="E45" i="25595"/>
  <c r="C45" i="25595"/>
  <c r="D46" i="25595"/>
  <c r="D48" i="25595"/>
  <c r="G48" i="25595"/>
  <c r="G72" i="25595"/>
  <c r="F48" i="25595"/>
  <c r="C48" i="25595"/>
  <c r="H56" i="25595"/>
  <c r="D59" i="25595"/>
  <c r="G59" i="25595"/>
  <c r="E59" i="25595"/>
  <c r="C59" i="25595"/>
  <c r="H71" i="25595"/>
  <c r="F40" i="25596"/>
  <c r="D40" i="25596"/>
  <c r="F52" i="25596"/>
  <c r="E40" i="25596"/>
  <c r="C40" i="25596"/>
  <c r="C45" i="25596"/>
  <c r="E45" i="25596"/>
  <c r="F57" i="25596"/>
  <c r="G45" i="25596"/>
  <c r="D45" i="25596"/>
  <c r="D54" i="25596"/>
  <c r="E54" i="25596"/>
  <c r="C54" i="25596"/>
  <c r="F66" i="25596"/>
  <c r="H64" i="25596"/>
  <c r="F27" i="25597"/>
  <c r="C27" i="25597"/>
  <c r="F39" i="25597"/>
  <c r="E27" i="25597"/>
  <c r="C36" i="25597"/>
  <c r="F48" i="25597"/>
  <c r="D36" i="25597"/>
  <c r="E36" i="25597"/>
  <c r="C58" i="25597"/>
  <c r="E70" i="25597"/>
  <c r="E66" i="25597"/>
  <c r="F58" i="25597"/>
  <c r="E67" i="25597"/>
  <c r="E58" i="25597"/>
  <c r="F70" i="25597"/>
  <c r="F51" i="25598"/>
  <c r="D51" i="25598"/>
  <c r="D52" i="25598"/>
  <c r="E51" i="25598"/>
  <c r="C51" i="25598"/>
  <c r="E261" i="3"/>
  <c r="F261" i="3"/>
  <c r="H261" i="3"/>
  <c r="D261" i="3"/>
  <c r="F228" i="25580"/>
  <c r="C228" i="25580"/>
  <c r="G228" i="25580"/>
  <c r="D228" i="25580"/>
  <c r="E228" i="25580"/>
  <c r="C117" i="10285"/>
  <c r="G117" i="10285"/>
  <c r="D117" i="10285"/>
  <c r="E117" i="10285"/>
  <c r="F117" i="10285"/>
  <c r="D118" i="10285"/>
  <c r="F129" i="10285"/>
  <c r="D224" i="4888"/>
  <c r="C224" i="4888"/>
  <c r="G224" i="4888"/>
  <c r="F224" i="4888"/>
  <c r="G248" i="4888"/>
  <c r="E224" i="4888"/>
  <c r="D225" i="4888"/>
  <c r="F184" i="2316"/>
  <c r="F172" i="2316"/>
  <c r="D172" i="2316"/>
  <c r="C172" i="2316"/>
  <c r="G172" i="2316"/>
  <c r="C118" i="768"/>
  <c r="E118" i="768"/>
  <c r="D118" i="768"/>
  <c r="D119" i="768"/>
  <c r="F130" i="768"/>
  <c r="F118" i="768"/>
  <c r="D10" i="25587"/>
  <c r="D14" i="25587"/>
  <c r="D23" i="25587"/>
  <c r="D38" i="25587"/>
  <c r="D46" i="25587"/>
  <c r="D62" i="25587"/>
  <c r="D70" i="25587"/>
  <c r="D86" i="25587"/>
  <c r="D102" i="25587"/>
  <c r="D118" i="25587"/>
  <c r="D142" i="25587"/>
  <c r="D158" i="25587"/>
  <c r="D166" i="25587"/>
  <c r="D198" i="25587"/>
  <c r="D206" i="25587"/>
  <c r="D230" i="25587"/>
  <c r="D238" i="25587"/>
  <c r="C250" i="25587"/>
  <c r="E254" i="25587"/>
  <c r="G258" i="25587"/>
  <c r="F33" i="25588"/>
  <c r="D45" i="25588"/>
  <c r="G51" i="25588"/>
  <c r="E51" i="25588"/>
  <c r="D61" i="25588"/>
  <c r="F65" i="25588"/>
  <c r="G75" i="25588"/>
  <c r="F81" i="25588"/>
  <c r="D85" i="25588"/>
  <c r="G85" i="25588"/>
  <c r="F94" i="25588"/>
  <c r="F106" i="25588"/>
  <c r="D106" i="25588"/>
  <c r="E109" i="25588"/>
  <c r="F111" i="25588"/>
  <c r="D112" i="25588"/>
  <c r="C111" i="25588"/>
  <c r="F119" i="25588"/>
  <c r="C119" i="25588"/>
  <c r="E130" i="25588"/>
  <c r="C132" i="25588"/>
  <c r="F132" i="25588"/>
  <c r="E135" i="25588"/>
  <c r="E143" i="25588"/>
  <c r="E153" i="25588"/>
  <c r="C153" i="25588"/>
  <c r="E156" i="25588"/>
  <c r="F177" i="25588"/>
  <c r="D181" i="25588"/>
  <c r="G181" i="25588"/>
  <c r="F190" i="25588"/>
  <c r="E17" i="25589"/>
  <c r="D16" i="25589"/>
  <c r="F22" i="25589"/>
  <c r="F26" i="25589"/>
  <c r="E34" i="25589"/>
  <c r="C34" i="25589"/>
  <c r="E37" i="25589"/>
  <c r="C44" i="25589"/>
  <c r="F44" i="25589"/>
  <c r="E47" i="25589"/>
  <c r="E49" i="25589"/>
  <c r="C49" i="25589"/>
  <c r="E52" i="25589"/>
  <c r="F57" i="25589"/>
  <c r="D61" i="25589"/>
  <c r="G61" i="25589"/>
  <c r="F66" i="25589"/>
  <c r="D66" i="25589"/>
  <c r="E69" i="25589"/>
  <c r="F74" i="25589"/>
  <c r="D74" i="25589"/>
  <c r="E77" i="25589"/>
  <c r="F79" i="25589"/>
  <c r="C79" i="25589"/>
  <c r="E90" i="25589"/>
  <c r="C92" i="25589"/>
  <c r="F92" i="25589"/>
  <c r="E98" i="25589"/>
  <c r="E110" i="25589"/>
  <c r="E102" i="25589"/>
  <c r="C100" i="25589"/>
  <c r="F100" i="25589"/>
  <c r="E103" i="25589"/>
  <c r="E113" i="25589"/>
  <c r="C113" i="25589"/>
  <c r="E116" i="25589"/>
  <c r="E121" i="25589"/>
  <c r="C121" i="25589"/>
  <c r="E124" i="25589"/>
  <c r="F137" i="25589"/>
  <c r="D141" i="25589"/>
  <c r="G141" i="25589"/>
  <c r="F145" i="25589"/>
  <c r="D149" i="25589"/>
  <c r="G149" i="25589"/>
  <c r="F150" i="25589"/>
  <c r="G162" i="25589"/>
  <c r="F162" i="25589"/>
  <c r="D162" i="25589"/>
  <c r="C164" i="25589"/>
  <c r="F164" i="25589"/>
  <c r="D173" i="25589"/>
  <c r="F174" i="25589"/>
  <c r="F176" i="25589"/>
  <c r="E178" i="25589"/>
  <c r="E180" i="25589"/>
  <c r="D184" i="25589"/>
  <c r="G186" i="25589"/>
  <c r="F186" i="25589"/>
  <c r="D186" i="25589"/>
  <c r="C188" i="25589"/>
  <c r="F188" i="25589"/>
  <c r="F24" i="25590"/>
  <c r="D24" i="25590"/>
  <c r="C24" i="25590"/>
  <c r="D33" i="25590"/>
  <c r="G35" i="25590"/>
  <c r="F35" i="25590"/>
  <c r="D35" i="25590"/>
  <c r="E47" i="25590"/>
  <c r="F40" i="25590"/>
  <c r="E49" i="25590"/>
  <c r="E41" i="25590"/>
  <c r="D40" i="25590"/>
  <c r="C40" i="25590"/>
  <c r="G44" i="25590"/>
  <c r="D49" i="25590"/>
  <c r="C53" i="25590"/>
  <c r="F53" i="25590"/>
  <c r="D65" i="25590"/>
  <c r="G67" i="25590"/>
  <c r="F67" i="25590"/>
  <c r="D67" i="25590"/>
  <c r="F72" i="25590"/>
  <c r="D72" i="25590"/>
  <c r="C72" i="25590"/>
  <c r="D81" i="25590"/>
  <c r="G82" i="25590"/>
  <c r="F84" i="25590"/>
  <c r="E93" i="25590"/>
  <c r="G98" i="25590"/>
  <c r="F105" i="25590"/>
  <c r="E107" i="25590"/>
  <c r="G112" i="25590"/>
  <c r="E123" i="25590"/>
  <c r="G128" i="25590"/>
  <c r="F130" i="25590"/>
  <c r="E130" i="25590"/>
  <c r="C130" i="25590"/>
  <c r="D134" i="25590"/>
  <c r="F135" i="25590"/>
  <c r="C141" i="25590"/>
  <c r="F141" i="25590"/>
  <c r="F146" i="25590"/>
  <c r="E146" i="25590"/>
  <c r="C146" i="25590"/>
  <c r="D150" i="25590"/>
  <c r="G155" i="25590"/>
  <c r="F155" i="25590"/>
  <c r="D155" i="25590"/>
  <c r="F158" i="25590"/>
  <c r="E167" i="25590"/>
  <c r="F160" i="25590"/>
  <c r="E169" i="25590"/>
  <c r="E161" i="25590"/>
  <c r="D160" i="25590"/>
  <c r="C160" i="25590"/>
  <c r="D169" i="25590"/>
  <c r="G171" i="25590"/>
  <c r="F171" i="25590"/>
  <c r="D171" i="25590"/>
  <c r="F176" i="25590"/>
  <c r="D176" i="25590"/>
  <c r="C176" i="25590"/>
  <c r="E181" i="25590"/>
  <c r="G186" i="25590"/>
  <c r="F188" i="25590"/>
  <c r="D6" i="25591"/>
  <c r="C9" i="25591"/>
  <c r="E19" i="25591"/>
  <c r="E28" i="25591"/>
  <c r="F32" i="25591"/>
  <c r="E32" i="25591"/>
  <c r="C32" i="25591"/>
  <c r="E41" i="25591"/>
  <c r="E43" i="25591"/>
  <c r="D47" i="25591"/>
  <c r="E53" i="25591"/>
  <c r="E55" i="25591"/>
  <c r="G49" i="25591"/>
  <c r="F49" i="25591"/>
  <c r="D49" i="25591"/>
  <c r="C51" i="25591"/>
  <c r="F51" i="25591"/>
  <c r="H52" i="25591"/>
  <c r="H54" i="25591"/>
  <c r="G56" i="25591"/>
  <c r="C16" i="25592"/>
  <c r="H16" i="25592"/>
  <c r="H18" i="25592"/>
  <c r="F20" i="25592"/>
  <c r="F27" i="25592"/>
  <c r="G31" i="25592"/>
  <c r="E42" i="25592"/>
  <c r="G48" i="25592"/>
  <c r="F48" i="25592"/>
  <c r="D48" i="25592"/>
  <c r="F54" i="25592"/>
  <c r="E56" i="25592"/>
  <c r="G61" i="25592"/>
  <c r="E72" i="25592"/>
  <c r="G37" i="25593"/>
  <c r="F25" i="25593"/>
  <c r="D13" i="25593"/>
  <c r="C63" i="25593"/>
  <c r="C68" i="25593"/>
  <c r="G78" i="25593"/>
  <c r="E35" i="25594"/>
  <c r="H47" i="25594"/>
  <c r="E52" i="25594"/>
  <c r="H61" i="25594"/>
  <c r="F66" i="25594"/>
  <c r="H6" i="25595"/>
  <c r="C10" i="25595"/>
  <c r="D11" i="25595"/>
  <c r="E12" i="25595"/>
  <c r="D10" i="25595"/>
  <c r="E20" i="25595"/>
  <c r="E13" i="25595"/>
  <c r="C16" i="25595"/>
  <c r="F28" i="25595"/>
  <c r="E16" i="25595"/>
  <c r="E21" i="25595"/>
  <c r="H23" i="25595"/>
  <c r="C26" i="25595"/>
  <c r="F26" i="25595"/>
  <c r="D27" i="25595"/>
  <c r="F38" i="25595"/>
  <c r="D26" i="25595"/>
  <c r="F29" i="25595"/>
  <c r="D29" i="25595"/>
  <c r="C29" i="25595"/>
  <c r="D30" i="25595"/>
  <c r="C31" i="25595"/>
  <c r="F31" i="25595"/>
  <c r="G55" i="25595"/>
  <c r="F43" i="25595"/>
  <c r="G31" i="25595"/>
  <c r="D31" i="25595"/>
  <c r="H37" i="25595"/>
  <c r="G69" i="25595"/>
  <c r="E14" i="25596"/>
  <c r="G34" i="25596"/>
  <c r="E17" i="25596"/>
  <c r="C10" i="25596"/>
  <c r="E13" i="25596"/>
  <c r="G49" i="25596"/>
  <c r="D49" i="25596"/>
  <c r="F49" i="25596"/>
  <c r="C49" i="25596"/>
  <c r="G54" i="25596"/>
  <c r="E37" i="25597"/>
  <c r="F49" i="25597"/>
  <c r="D37" i="25597"/>
  <c r="C37" i="25597"/>
  <c r="F51" i="25597"/>
  <c r="E51" i="25597"/>
  <c r="C51" i="25597"/>
  <c r="D52" i="25597"/>
  <c r="D51" i="25597"/>
  <c r="F59" i="25597"/>
  <c r="D59" i="25597"/>
  <c r="C59" i="25597"/>
  <c r="F71" i="25597"/>
  <c r="E59" i="25597"/>
  <c r="F68" i="25597"/>
  <c r="C68" i="25597"/>
  <c r="D68" i="25597"/>
  <c r="E68" i="25597"/>
  <c r="F28" i="25598"/>
  <c r="D28" i="25598"/>
  <c r="C28" i="25598"/>
  <c r="D156" i="2048"/>
  <c r="D155" i="2048"/>
  <c r="F155" i="2048"/>
  <c r="G179" i="2048"/>
  <c r="E155" i="2048"/>
  <c r="G155" i="2048"/>
  <c r="F167" i="2048"/>
  <c r="F188" i="2819"/>
  <c r="D189" i="2819"/>
  <c r="D188" i="2819"/>
  <c r="E188" i="2819"/>
  <c r="C188" i="2819"/>
  <c r="G188" i="2819"/>
  <c r="F165" i="523"/>
  <c r="E165" i="523"/>
  <c r="G165" i="523"/>
  <c r="G189" i="523"/>
  <c r="C165" i="523"/>
  <c r="F177" i="523"/>
  <c r="D166" i="523"/>
  <c r="D165" i="523"/>
  <c r="F167" i="8196"/>
  <c r="E155" i="8196"/>
  <c r="D156" i="8196"/>
  <c r="G179" i="8196"/>
  <c r="C155" i="8196"/>
  <c r="G155" i="8196"/>
  <c r="F155" i="8196"/>
  <c r="D12" i="25587"/>
  <c r="D27" i="25587"/>
  <c r="D31" i="25587"/>
  <c r="D54" i="25587"/>
  <c r="D78" i="25587"/>
  <c r="D94" i="25587"/>
  <c r="D110" i="25587"/>
  <c r="D126" i="25587"/>
  <c r="D134" i="25587"/>
  <c r="D150" i="25587"/>
  <c r="D174" i="25587"/>
  <c r="D182" i="25587"/>
  <c r="D190" i="25587"/>
  <c r="D214" i="25587"/>
  <c r="D222" i="25587"/>
  <c r="C244" i="25587"/>
  <c r="F256" i="25587"/>
  <c r="C260" i="25587"/>
  <c r="G35" i="25588"/>
  <c r="E35" i="25588"/>
  <c r="E39" i="25588"/>
  <c r="D48" i="25588"/>
  <c r="F49" i="25588"/>
  <c r="E55" i="25588"/>
  <c r="G67" i="25588"/>
  <c r="C16" i="25587"/>
  <c r="C22" i="25587"/>
  <c r="E23" i="25587"/>
  <c r="C26" i="25587"/>
  <c r="E27" i="25587"/>
  <c r="C30" i="25587"/>
  <c r="E31" i="25587"/>
  <c r="C36" i="25587"/>
  <c r="E38" i="25587"/>
  <c r="C44" i="25587"/>
  <c r="E46" i="25587"/>
  <c r="C52" i="25587"/>
  <c r="E54" i="25587"/>
  <c r="C60" i="25587"/>
  <c r="E62" i="25587"/>
  <c r="C68" i="25587"/>
  <c r="E70" i="25587"/>
  <c r="C76" i="25587"/>
  <c r="E78" i="25587"/>
  <c r="C84" i="25587"/>
  <c r="E86" i="25587"/>
  <c r="C92" i="25587"/>
  <c r="E94" i="25587"/>
  <c r="C100" i="25587"/>
  <c r="E102" i="25587"/>
  <c r="C108" i="25587"/>
  <c r="E110" i="25587"/>
  <c r="C116" i="25587"/>
  <c r="E118" i="25587"/>
  <c r="C124" i="25587"/>
  <c r="E126" i="25587"/>
  <c r="C132" i="25587"/>
  <c r="E134" i="25587"/>
  <c r="C140" i="25587"/>
  <c r="E142" i="25587"/>
  <c r="C148" i="25587"/>
  <c r="E150" i="25587"/>
  <c r="C156" i="25587"/>
  <c r="E158" i="25587"/>
  <c r="C164" i="25587"/>
  <c r="E166" i="25587"/>
  <c r="C172" i="25587"/>
  <c r="E174" i="25587"/>
  <c r="C180" i="25587"/>
  <c r="E182" i="25587"/>
  <c r="C188" i="25587"/>
  <c r="E190" i="25587"/>
  <c r="C196" i="25587"/>
  <c r="E198" i="25587"/>
  <c r="C204" i="25587"/>
  <c r="E206" i="25587"/>
  <c r="C212" i="25587"/>
  <c r="E214" i="25587"/>
  <c r="C220" i="25587"/>
  <c r="E222" i="25587"/>
  <c r="C228" i="25587"/>
  <c r="E230" i="25587"/>
  <c r="C236" i="25587"/>
  <c r="E238" i="25587"/>
  <c r="C243" i="25587"/>
  <c r="D250" i="25587"/>
  <c r="E253" i="25587"/>
  <c r="C253" i="25587"/>
  <c r="G254" i="25587"/>
  <c r="C256" i="25587"/>
  <c r="D260" i="25587"/>
  <c r="C259" i="25587"/>
  <c r="E260" i="25587"/>
  <c r="F261" i="25587"/>
  <c r="G262" i="25587"/>
  <c r="C12" i="25588"/>
  <c r="D17" i="25588"/>
  <c r="F21" i="25588"/>
  <c r="D21" i="25588"/>
  <c r="F26" i="25588"/>
  <c r="F29" i="25588"/>
  <c r="D29" i="25588"/>
  <c r="G33" i="25588"/>
  <c r="C35" i="25588"/>
  <c r="F39" i="25588"/>
  <c r="E45" i="25588"/>
  <c r="G49" i="25588"/>
  <c r="C51" i="25588"/>
  <c r="F55" i="25588"/>
  <c r="E61" i="25588"/>
  <c r="G65" i="25588"/>
  <c r="D69" i="25588"/>
  <c r="G69" i="25588"/>
  <c r="D77" i="25588"/>
  <c r="G77" i="25588"/>
  <c r="G81" i="25588"/>
  <c r="C85" i="25588"/>
  <c r="F90" i="25588"/>
  <c r="D90" i="25588"/>
  <c r="F98" i="25588"/>
  <c r="D98" i="25588"/>
  <c r="F103" i="25588"/>
  <c r="C103" i="25588"/>
  <c r="C106" i="25588"/>
  <c r="F109" i="25588"/>
  <c r="D111" i="25588"/>
  <c r="C116" i="25588"/>
  <c r="F116" i="25588"/>
  <c r="D119" i="25588"/>
  <c r="E134" i="25588"/>
  <c r="E126" i="25588"/>
  <c r="C124" i="25588"/>
  <c r="F124" i="25588"/>
  <c r="G130" i="25588"/>
  <c r="D132" i="25588"/>
  <c r="G135" i="25588"/>
  <c r="E137" i="25588"/>
  <c r="C137" i="25588"/>
  <c r="G143" i="25588"/>
  <c r="E145" i="25588"/>
  <c r="C145" i="25588"/>
  <c r="D153" i="25588"/>
  <c r="G156" i="25588"/>
  <c r="D160" i="25588"/>
  <c r="D165" i="25588"/>
  <c r="G165" i="25588"/>
  <c r="D168" i="25588"/>
  <c r="D173" i="25588"/>
  <c r="G173" i="25588"/>
  <c r="G177" i="25588"/>
  <c r="C181" i="25588"/>
  <c r="F186" i="25588"/>
  <c r="D186" i="25588"/>
  <c r="C16" i="25589"/>
  <c r="E21" i="25589"/>
  <c r="C21" i="25589"/>
  <c r="E25" i="25589"/>
  <c r="C25" i="25589"/>
  <c r="E29" i="25589"/>
  <c r="C29" i="25589"/>
  <c r="D34" i="25589"/>
  <c r="G36" i="25589"/>
  <c r="G37" i="25589"/>
  <c r="D39" i="25589"/>
  <c r="D41" i="25589"/>
  <c r="D44" i="25589"/>
  <c r="G47" i="25589"/>
  <c r="D49" i="25589"/>
  <c r="G51" i="25589"/>
  <c r="G52" i="25589"/>
  <c r="D56" i="25589"/>
  <c r="G57" i="25589"/>
  <c r="C61" i="25589"/>
  <c r="E64" i="25589"/>
  <c r="C66" i="25589"/>
  <c r="F69" i="25589"/>
  <c r="F71" i="25589"/>
  <c r="C71" i="25589"/>
  <c r="C74" i="25589"/>
  <c r="F77" i="25589"/>
  <c r="D79" i="25589"/>
  <c r="C84" i="25589"/>
  <c r="F84" i="25589"/>
  <c r="G90" i="25589"/>
  <c r="D92" i="25589"/>
  <c r="G98" i="25589"/>
  <c r="D100" i="25589"/>
  <c r="G103" i="25589"/>
  <c r="E105" i="25589"/>
  <c r="C105" i="25589"/>
  <c r="D113" i="25589"/>
  <c r="G116" i="25589"/>
  <c r="D121" i="25589"/>
  <c r="G124" i="25589"/>
  <c r="D128" i="25589"/>
  <c r="D133" i="25589"/>
  <c r="G133" i="25589"/>
  <c r="G137" i="25589"/>
  <c r="C141" i="25589"/>
  <c r="G145" i="25589"/>
  <c r="C149" i="25589"/>
  <c r="F154" i="25589"/>
  <c r="D154" i="25589"/>
  <c r="F159" i="25589"/>
  <c r="C159" i="25589"/>
  <c r="C162" i="25589"/>
  <c r="D164" i="25589"/>
  <c r="F169" i="25589"/>
  <c r="E169" i="25589"/>
  <c r="C169" i="25589"/>
  <c r="G180" i="25589"/>
  <c r="C186" i="25589"/>
  <c r="D188" i="25589"/>
  <c r="C12" i="25590"/>
  <c r="E24" i="25590"/>
  <c r="F29" i="25590"/>
  <c r="E29" i="25590"/>
  <c r="C29" i="25590"/>
  <c r="C35" i="25590"/>
  <c r="C37" i="25590"/>
  <c r="F37" i="25590"/>
  <c r="E40" i="25590"/>
  <c r="F42" i="25590"/>
  <c r="E42" i="25590"/>
  <c r="C42" i="25590"/>
  <c r="D46" i="25590"/>
  <c r="F47" i="25590"/>
  <c r="D53" i="25590"/>
  <c r="F58" i="25590"/>
  <c r="E58" i="25590"/>
  <c r="C58" i="25590"/>
  <c r="D62" i="25590"/>
  <c r="C67" i="25590"/>
  <c r="C69" i="25590"/>
  <c r="F69" i="25590"/>
  <c r="E72" i="25590"/>
  <c r="F74" i="25590"/>
  <c r="E74" i="25590"/>
  <c r="C74" i="25590"/>
  <c r="D78" i="25590"/>
  <c r="F79" i="25590"/>
  <c r="G83" i="25590"/>
  <c r="F83" i="25590"/>
  <c r="D83" i="25590"/>
  <c r="F86" i="25590"/>
  <c r="E95" i="25590"/>
  <c r="F88" i="25590"/>
  <c r="E97" i="25590"/>
  <c r="E89" i="25590"/>
  <c r="D88" i="25590"/>
  <c r="C88" i="25590"/>
  <c r="G93" i="25590"/>
  <c r="D97" i="25590"/>
  <c r="G99" i="25590"/>
  <c r="F99" i="25590"/>
  <c r="D99" i="25590"/>
  <c r="F104" i="25590"/>
  <c r="D104" i="25590"/>
  <c r="C104" i="25590"/>
  <c r="F116" i="25590"/>
  <c r="E118" i="25590"/>
  <c r="D130" i="25590"/>
  <c r="D141" i="25590"/>
  <c r="D146" i="25590"/>
  <c r="C155" i="25590"/>
  <c r="C157" i="25590"/>
  <c r="F157" i="25590"/>
  <c r="E160" i="25590"/>
  <c r="F162" i="25590"/>
  <c r="E162" i="25590"/>
  <c r="C162" i="25590"/>
  <c r="D166" i="25590"/>
  <c r="F167" i="25590"/>
  <c r="C171" i="25590"/>
  <c r="C173" i="25590"/>
  <c r="F173" i="25590"/>
  <c r="E176" i="25590"/>
  <c r="G181" i="25590"/>
  <c r="D185" i="25590"/>
  <c r="G187" i="25590"/>
  <c r="F187" i="25590"/>
  <c r="D187" i="25590"/>
  <c r="D9" i="25591"/>
  <c r="H12" i="25591"/>
  <c r="C20" i="25591"/>
  <c r="F20" i="25591"/>
  <c r="H28" i="25591"/>
  <c r="D32" i="25591"/>
  <c r="F38" i="25591"/>
  <c r="D38" i="25591"/>
  <c r="C38" i="25591"/>
  <c r="H41" i="25591"/>
  <c r="G43" i="25591"/>
  <c r="C49" i="25591"/>
  <c r="D51" i="25591"/>
  <c r="D55" i="25591"/>
  <c r="D8" i="25592"/>
  <c r="D16" i="25592"/>
  <c r="E19" i="25592"/>
  <c r="F21" i="25592"/>
  <c r="D21" i="25592"/>
  <c r="C21" i="25592"/>
  <c r="D30" i="25592"/>
  <c r="G32" i="25592"/>
  <c r="F32" i="25592"/>
  <c r="D32" i="25592"/>
  <c r="F37" i="25592"/>
  <c r="D37" i="25592"/>
  <c r="C37" i="25592"/>
  <c r="G42" i="25592"/>
  <c r="D46" i="25592"/>
  <c r="C48" i="25592"/>
  <c r="C50" i="25592"/>
  <c r="F50" i="25592"/>
  <c r="F53" i="25592"/>
  <c r="D53" i="25592"/>
  <c r="C53" i="25592"/>
  <c r="H56" i="25592"/>
  <c r="H61" i="25592"/>
  <c r="F65" i="25592"/>
  <c r="H72" i="25592"/>
  <c r="C9" i="25593"/>
  <c r="F21" i="25593"/>
  <c r="D9" i="25593"/>
  <c r="C13" i="25593"/>
  <c r="C19" i="25593"/>
  <c r="C31" i="25593"/>
  <c r="F49" i="25593"/>
  <c r="D50" i="25593"/>
  <c r="C49" i="25593"/>
  <c r="F61" i="25593"/>
  <c r="E49" i="25593"/>
  <c r="D49" i="25593"/>
  <c r="F52" i="25593"/>
  <c r="D52" i="25593"/>
  <c r="F64" i="25593"/>
  <c r="G52" i="25593"/>
  <c r="C52" i="25593"/>
  <c r="D71" i="25593"/>
  <c r="G71" i="25593"/>
  <c r="E71" i="25593"/>
  <c r="E74" i="25593"/>
  <c r="C71" i="25593"/>
  <c r="E82" i="25593"/>
  <c r="D72" i="25593"/>
  <c r="G73" i="25593"/>
  <c r="F76" i="25593"/>
  <c r="D76" i="25593"/>
  <c r="F88" i="25593"/>
  <c r="E76" i="25593"/>
  <c r="C76" i="25593"/>
  <c r="D77" i="25593"/>
  <c r="D79" i="25593"/>
  <c r="G79" i="25593"/>
  <c r="F79" i="25593"/>
  <c r="C79" i="25593"/>
  <c r="H11" i="25594"/>
  <c r="H28" i="25594"/>
  <c r="H32" i="25594"/>
  <c r="H37" i="25594"/>
  <c r="H42" i="25594"/>
  <c r="D16" i="25595"/>
  <c r="C22" i="25595"/>
  <c r="G46" i="25595"/>
  <c r="E30" i="25595"/>
  <c r="F22" i="25595"/>
  <c r="E28" i="25595"/>
  <c r="E22" i="25595"/>
  <c r="E26" i="25595"/>
  <c r="E29" i="25595"/>
  <c r="E31" i="25595"/>
  <c r="D60" i="25595"/>
  <c r="C62" i="25595"/>
  <c r="F62" i="25595"/>
  <c r="D62" i="25595"/>
  <c r="E62" i="25595"/>
  <c r="D10" i="25596"/>
  <c r="D38" i="25596"/>
  <c r="F38" i="25596"/>
  <c r="C38" i="25596"/>
  <c r="G38" i="25596"/>
  <c r="G62" i="25596"/>
  <c r="E38" i="25596"/>
  <c r="D41" i="25596"/>
  <c r="E49" i="25596"/>
  <c r="E68" i="25596"/>
  <c r="D58" i="25596"/>
  <c r="E66" i="25596"/>
  <c r="G58" i="25596"/>
  <c r="C58" i="25596"/>
  <c r="E60" i="25596"/>
  <c r="E62" i="25596"/>
  <c r="E19" i="25597"/>
  <c r="C19" i="25597"/>
  <c r="F19" i="25597"/>
  <c r="D19" i="25597"/>
  <c r="F37" i="25597"/>
  <c r="C60" i="25597"/>
  <c r="F60" i="25597"/>
  <c r="D60" i="25597"/>
  <c r="E60" i="25597"/>
  <c r="F161" i="2316"/>
  <c r="G161" i="2316"/>
  <c r="D243" i="25587"/>
  <c r="F246" i="25587"/>
  <c r="D246" i="25587"/>
  <c r="D38" i="25588"/>
  <c r="E41" i="25588"/>
  <c r="C41" i="25588"/>
  <c r="D54" i="25588"/>
  <c r="E57" i="25588"/>
  <c r="C57" i="25588"/>
  <c r="D64" i="25588"/>
  <c r="C63" i="25588"/>
  <c r="F82" i="25588"/>
  <c r="D82" i="25588"/>
  <c r="F87" i="25588"/>
  <c r="C87" i="25588"/>
  <c r="F95" i="25588"/>
  <c r="C95" i="25588"/>
  <c r="C108" i="25588"/>
  <c r="F108" i="25588"/>
  <c r="E129" i="25588"/>
  <c r="C129" i="25588"/>
  <c r="D152" i="25588"/>
  <c r="D157" i="25588"/>
  <c r="G157" i="25588"/>
  <c r="F178" i="25588"/>
  <c r="D178" i="25588"/>
  <c r="F183" i="25588"/>
  <c r="C183" i="25588"/>
  <c r="F191" i="25588"/>
  <c r="C191" i="25588"/>
  <c r="D33" i="25589"/>
  <c r="D38" i="25589"/>
  <c r="G38" i="25589"/>
  <c r="D53" i="25589"/>
  <c r="G53" i="25589"/>
  <c r="F58" i="25589"/>
  <c r="D58" i="25589"/>
  <c r="F63" i="25589"/>
  <c r="C63" i="25589"/>
  <c r="C68" i="25589"/>
  <c r="F68" i="25589"/>
  <c r="E86" i="25589"/>
  <c r="E78" i="25589"/>
  <c r="C76" i="25589"/>
  <c r="F76" i="25589"/>
  <c r="E79" i="25589"/>
  <c r="E89" i="25589"/>
  <c r="C89" i="25589"/>
  <c r="E97" i="25589"/>
  <c r="C97" i="25589"/>
  <c r="D112" i="25589"/>
  <c r="D117" i="25589"/>
  <c r="G117" i="25589"/>
  <c r="D120" i="25589"/>
  <c r="D125" i="25589"/>
  <c r="G125" i="25589"/>
  <c r="F138" i="25589"/>
  <c r="D138" i="25589"/>
  <c r="F146" i="25589"/>
  <c r="D146" i="25589"/>
  <c r="F151" i="25589"/>
  <c r="C151" i="25589"/>
  <c r="F175" i="25589"/>
  <c r="D175" i="25589"/>
  <c r="C175" i="25589"/>
  <c r="F20" i="25590"/>
  <c r="D20" i="25590"/>
  <c r="C20" i="25590"/>
  <c r="C85" i="25590"/>
  <c r="F85" i="25590"/>
  <c r="F90" i="25590"/>
  <c r="E90" i="25590"/>
  <c r="C90" i="25590"/>
  <c r="C101" i="25590"/>
  <c r="F101" i="25590"/>
  <c r="G115" i="25590"/>
  <c r="F115" i="25590"/>
  <c r="D115" i="25590"/>
  <c r="F120" i="25590"/>
  <c r="D120" i="25590"/>
  <c r="C120" i="25590"/>
  <c r="F132" i="25590"/>
  <c r="F178" i="25590"/>
  <c r="E178" i="25590"/>
  <c r="C178" i="25590"/>
  <c r="C189" i="25590"/>
  <c r="F189" i="25590"/>
  <c r="E25" i="25591"/>
  <c r="E21" i="25591"/>
  <c r="E17" i="25591"/>
  <c r="E22" i="25591"/>
  <c r="E18" i="25591"/>
  <c r="E15" i="25591"/>
  <c r="C13" i="25591"/>
  <c r="F26" i="25592"/>
  <c r="E26" i="25592"/>
  <c r="C26" i="25592"/>
  <c r="E44" i="25592"/>
  <c r="E36" i="25592"/>
  <c r="C34" i="25592"/>
  <c r="E46" i="25592"/>
  <c r="E38" i="25592"/>
  <c r="F34" i="25592"/>
  <c r="E37" i="25592"/>
  <c r="H39" i="25592"/>
  <c r="F39" i="25592"/>
  <c r="E39" i="25592"/>
  <c r="C39" i="25592"/>
  <c r="G64" i="25592"/>
  <c r="F64" i="25592"/>
  <c r="D64" i="25592"/>
  <c r="F69" i="25592"/>
  <c r="D69" i="25592"/>
  <c r="C69" i="25592"/>
  <c r="C90" i="25593"/>
  <c r="C85" i="25593"/>
  <c r="C80" i="25593"/>
  <c r="C58" i="25593"/>
  <c r="C53" i="25593"/>
  <c r="C48" i="25593"/>
  <c r="C98" i="25593"/>
  <c r="C93" i="25593"/>
  <c r="C88" i="25593"/>
  <c r="C66" i="25593"/>
  <c r="C61" i="25593"/>
  <c r="C56" i="25593"/>
  <c r="C34" i="25593"/>
  <c r="C26" i="25593"/>
  <c r="C21" i="25593"/>
  <c r="C16" i="25593"/>
  <c r="C14" i="25593"/>
  <c r="D7" i="25593"/>
  <c r="C17" i="25593"/>
  <c r="D6" i="25593"/>
  <c r="G34" i="25593"/>
  <c r="D10" i="25593"/>
  <c r="C10" i="25593"/>
  <c r="D22" i="25593"/>
  <c r="F34" i="25593"/>
  <c r="F22" i="25593"/>
  <c r="C22" i="25593"/>
  <c r="F27" i="25593"/>
  <c r="D27" i="25593"/>
  <c r="C29" i="25593"/>
  <c r="C36" i="25593"/>
  <c r="C82" i="25593"/>
  <c r="E91" i="25593"/>
  <c r="C91" i="25593"/>
  <c r="F91" i="25593"/>
  <c r="D91" i="25593"/>
  <c r="C96" i="25593"/>
  <c r="C101" i="25593"/>
  <c r="C104" i="25593"/>
  <c r="C106" i="25593"/>
  <c r="C41" i="25594"/>
  <c r="F41" i="25594"/>
  <c r="G65" i="25594"/>
  <c r="F53" i="25594"/>
  <c r="E41" i="25594"/>
  <c r="E43" i="25594"/>
  <c r="E46" i="25594"/>
  <c r="E56" i="25594"/>
  <c r="E48" i="25594"/>
  <c r="C46" i="25594"/>
  <c r="G70" i="25594"/>
  <c r="F46" i="25594"/>
  <c r="D39" i="9728"/>
  <c r="D7" i="516"/>
  <c r="D7" i="82"/>
  <c r="D7" i="40"/>
  <c r="D8" i="8196"/>
  <c r="C73" i="25594"/>
  <c r="H70" i="25594"/>
  <c r="H62" i="25594"/>
  <c r="H54" i="25594"/>
  <c r="H46" i="25594"/>
  <c r="H38" i="25594"/>
  <c r="H30" i="25594"/>
  <c r="H25" i="25594"/>
  <c r="H21" i="25594"/>
  <c r="H17" i="25594"/>
  <c r="H14" i="25594"/>
  <c r="H9" i="25594"/>
  <c r="H7" i="25594"/>
  <c r="H73" i="25594"/>
  <c r="H65" i="25594"/>
  <c r="H57" i="25594"/>
  <c r="H49" i="25594"/>
  <c r="H41" i="25594"/>
  <c r="H33" i="25594"/>
  <c r="H15" i="25594"/>
  <c r="F73" i="25594"/>
  <c r="G39" i="9728" s="1"/>
  <c r="H67" i="25594"/>
  <c r="H59" i="25594"/>
  <c r="H51" i="25594"/>
  <c r="H43" i="25594"/>
  <c r="H35" i="25594"/>
  <c r="H13" i="25594"/>
  <c r="H72" i="25594"/>
  <c r="H45" i="25594"/>
  <c r="H40" i="25594"/>
  <c r="H19" i="25594"/>
  <c r="H10" i="25594"/>
  <c r="H53" i="25594"/>
  <c r="H48" i="25594"/>
  <c r="H26" i="25594"/>
  <c r="H24" i="25594"/>
  <c r="H68" i="25594"/>
  <c r="H63" i="25594"/>
  <c r="H58" i="25594"/>
  <c r="H36" i="25594"/>
  <c r="H31" i="25594"/>
  <c r="H22" i="25594"/>
  <c r="H20" i="25594"/>
  <c r="E73" i="25594"/>
  <c r="H39" i="9728" s="1"/>
  <c r="H71" i="25594"/>
  <c r="H66" i="25594"/>
  <c r="H44" i="25594"/>
  <c r="H39" i="25594"/>
  <c r="H34" i="25594"/>
  <c r="F17" i="25595"/>
  <c r="D17" i="25595"/>
  <c r="E17" i="25595"/>
  <c r="G41" i="25595"/>
  <c r="C17" i="25595"/>
  <c r="D41" i="9728"/>
  <c r="F73" i="25595"/>
  <c r="G41" i="9728" s="1"/>
  <c r="H67" i="25595"/>
  <c r="H59" i="25595"/>
  <c r="D73" i="25595"/>
  <c r="I41" i="9728" s="1"/>
  <c r="H52" i="25595"/>
  <c r="H44" i="25595"/>
  <c r="H36" i="25595"/>
  <c r="H28" i="25595"/>
  <c r="H24" i="25595"/>
  <c r="H20" i="25595"/>
  <c r="H16" i="25595"/>
  <c r="H72" i="25595"/>
  <c r="H63" i="25595"/>
  <c r="H58" i="25595"/>
  <c r="H54" i="25595"/>
  <c r="H47" i="25595"/>
  <c r="H39" i="25595"/>
  <c r="H31" i="25595"/>
  <c r="H73" i="25595"/>
  <c r="H69" i="25595"/>
  <c r="H64" i="25595"/>
  <c r="H55" i="25595"/>
  <c r="H49" i="25595"/>
  <c r="H41" i="25595"/>
  <c r="H33" i="25595"/>
  <c r="H15" i="25595"/>
  <c r="H70" i="25595"/>
  <c r="H50" i="25595"/>
  <c r="H45" i="25595"/>
  <c r="H40" i="25595"/>
  <c r="H21" i="25595"/>
  <c r="H19" i="25595"/>
  <c r="H8" i="25595"/>
  <c r="H57" i="25595"/>
  <c r="H53" i="25595"/>
  <c r="H48" i="25595"/>
  <c r="H12" i="25595"/>
  <c r="H10" i="25595"/>
  <c r="H5" i="25595"/>
  <c r="H66" i="25595"/>
  <c r="H62" i="25595"/>
  <c r="H51" i="25595"/>
  <c r="H46" i="25595"/>
  <c r="H26" i="25595"/>
  <c r="H14" i="25595"/>
  <c r="H7" i="25595"/>
  <c r="E73" i="25595"/>
  <c r="H41" i="9728" s="1"/>
  <c r="H29" i="25595"/>
  <c r="H18" i="25595"/>
  <c r="H9" i="25595"/>
  <c r="E61" i="25597"/>
  <c r="C61" i="25597"/>
  <c r="F61" i="25597"/>
  <c r="F168" i="2048"/>
  <c r="D168" i="2048"/>
  <c r="D169" i="2048"/>
  <c r="G168" i="2048"/>
  <c r="C168" i="2048"/>
  <c r="E168" i="2048"/>
  <c r="G192" i="2048"/>
  <c r="F253" i="32"/>
  <c r="G253" i="32"/>
  <c r="E253" i="32"/>
  <c r="F231" i="3"/>
  <c r="H231" i="3"/>
  <c r="G231" i="3"/>
  <c r="G243" i="3"/>
  <c r="H255" i="3"/>
  <c r="E231" i="3"/>
  <c r="D231" i="3"/>
  <c r="E220" i="25587"/>
  <c r="E236" i="25587"/>
  <c r="G238" i="25587"/>
  <c r="E243" i="25587"/>
  <c r="C246" i="25587"/>
  <c r="D249" i="25587"/>
  <c r="F253" i="25587"/>
  <c r="G255" i="25587"/>
  <c r="E255" i="25587"/>
  <c r="E256" i="25587"/>
  <c r="E259" i="25587"/>
  <c r="C15" i="25588"/>
  <c r="E21" i="25588"/>
  <c r="C23" i="25588"/>
  <c r="F24" i="25588"/>
  <c r="D26" i="25588"/>
  <c r="E29" i="25588"/>
  <c r="C31" i="25588"/>
  <c r="F34" i="25588"/>
  <c r="D34" i="25588"/>
  <c r="F35" i="25588"/>
  <c r="C37" i="25588"/>
  <c r="D41" i="25588"/>
  <c r="D44" i="25588"/>
  <c r="D47" i="25588"/>
  <c r="F50" i="25588"/>
  <c r="D50" i="25588"/>
  <c r="F51" i="25588"/>
  <c r="C53" i="25588"/>
  <c r="D57" i="25588"/>
  <c r="D60" i="25588"/>
  <c r="D63" i="25588"/>
  <c r="F66" i="25588"/>
  <c r="D66" i="25588"/>
  <c r="F67" i="25588"/>
  <c r="E69" i="25588"/>
  <c r="F74" i="25588"/>
  <c r="D74" i="25588"/>
  <c r="F75" i="25588"/>
  <c r="E77" i="25588"/>
  <c r="F79" i="25588"/>
  <c r="C79" i="25588"/>
  <c r="C82" i="25588"/>
  <c r="F85" i="25588"/>
  <c r="D87" i="25588"/>
  <c r="E90" i="25588"/>
  <c r="C92" i="25588"/>
  <c r="F92" i="25588"/>
  <c r="D95" i="25588"/>
  <c r="E98" i="25588"/>
  <c r="E110" i="25588"/>
  <c r="E102" i="25588"/>
  <c r="C100" i="25588"/>
  <c r="F100" i="25588"/>
  <c r="E103" i="25588"/>
  <c r="G106" i="25588"/>
  <c r="D108" i="25588"/>
  <c r="G111" i="25588"/>
  <c r="E113" i="25588"/>
  <c r="C113" i="25588"/>
  <c r="E116" i="25588"/>
  <c r="C118" i="25588"/>
  <c r="G119" i="25588"/>
  <c r="E121" i="25588"/>
  <c r="C121" i="25588"/>
  <c r="E124" i="25588"/>
  <c r="C126" i="25588"/>
  <c r="D129" i="25588"/>
  <c r="G132" i="25588"/>
  <c r="D136" i="25588"/>
  <c r="F137" i="25588"/>
  <c r="C139" i="25588"/>
  <c r="D141" i="25588"/>
  <c r="G141" i="25588"/>
  <c r="D144" i="25588"/>
  <c r="F145" i="25588"/>
  <c r="C147" i="25588"/>
  <c r="D149" i="25588"/>
  <c r="G149" i="25588"/>
  <c r="C152" i="25588"/>
  <c r="G153" i="25588"/>
  <c r="C157" i="25588"/>
  <c r="F162" i="25588"/>
  <c r="D162" i="25588"/>
  <c r="E165" i="25588"/>
  <c r="F170" i="25588"/>
  <c r="D170" i="25588"/>
  <c r="E173" i="25588"/>
  <c r="F175" i="25588"/>
  <c r="C175" i="25588"/>
  <c r="C178" i="25588"/>
  <c r="F181" i="25588"/>
  <c r="D183" i="25588"/>
  <c r="E186" i="25588"/>
  <c r="C188" i="25588"/>
  <c r="F188" i="25588"/>
  <c r="D191" i="25588"/>
  <c r="D11" i="25589"/>
  <c r="C14" i="25589"/>
  <c r="D19" i="25589"/>
  <c r="F21" i="25589"/>
  <c r="E23" i="25589"/>
  <c r="F25" i="25589"/>
  <c r="E27" i="25589"/>
  <c r="F29" i="25589"/>
  <c r="E31" i="25589"/>
  <c r="G34" i="25589"/>
  <c r="C38" i="25589"/>
  <c r="G43" i="25589"/>
  <c r="G44" i="25589"/>
  <c r="D48" i="25589"/>
  <c r="G49" i="25589"/>
  <c r="C53" i="25589"/>
  <c r="E56" i="25589"/>
  <c r="C58" i="25589"/>
  <c r="F61" i="25589"/>
  <c r="D63" i="25589"/>
  <c r="G66" i="25589"/>
  <c r="D68" i="25589"/>
  <c r="E71" i="25589"/>
  <c r="G74" i="25589"/>
  <c r="D76" i="25589"/>
  <c r="G79" i="25589"/>
  <c r="E81" i="25589"/>
  <c r="C81" i="25589"/>
  <c r="E84" i="25589"/>
  <c r="D89" i="25589"/>
  <c r="G92" i="25589"/>
  <c r="D97" i="25589"/>
  <c r="G100" i="25589"/>
  <c r="D104" i="25589"/>
  <c r="F105" i="25589"/>
  <c r="D109" i="25589"/>
  <c r="G109" i="25589"/>
  <c r="F110" i="25589"/>
  <c r="G113" i="25589"/>
  <c r="C117" i="25589"/>
  <c r="G121" i="25589"/>
  <c r="C125" i="25589"/>
  <c r="E128" i="25589"/>
  <c r="F130" i="25589"/>
  <c r="D130" i="25589"/>
  <c r="E133" i="25589"/>
  <c r="F135" i="25589"/>
  <c r="C135" i="25589"/>
  <c r="F136" i="25589"/>
  <c r="C138" i="25589"/>
  <c r="F141" i="25589"/>
  <c r="F143" i="25589"/>
  <c r="C143" i="25589"/>
  <c r="C146" i="25589"/>
  <c r="F149" i="25589"/>
  <c r="D151" i="25589"/>
  <c r="E154" i="25589"/>
  <c r="C156" i="25589"/>
  <c r="F156" i="25589"/>
  <c r="E159" i="25589"/>
  <c r="G164" i="25589"/>
  <c r="D168" i="25589"/>
  <c r="G169" i="25589"/>
  <c r="F171" i="25589"/>
  <c r="E175" i="25589"/>
  <c r="F177" i="25589"/>
  <c r="E177" i="25589"/>
  <c r="C177" i="25589"/>
  <c r="G188" i="25589"/>
  <c r="F192" i="25589"/>
  <c r="D192" i="25589"/>
  <c r="C192" i="25589"/>
  <c r="D17" i="25590"/>
  <c r="E20" i="25590"/>
  <c r="F22" i="25590"/>
  <c r="G49" i="25590"/>
  <c r="F25" i="25590"/>
  <c r="E25" i="25590"/>
  <c r="C25" i="25590"/>
  <c r="E37" i="25590"/>
  <c r="G42" i="25590"/>
  <c r="E46" i="25590"/>
  <c r="G53" i="25590"/>
  <c r="D57" i="25590"/>
  <c r="G58" i="25590"/>
  <c r="E69" i="25590"/>
  <c r="G74" i="25590"/>
  <c r="F81" i="25590"/>
  <c r="E83" i="25590"/>
  <c r="D85" i="25590"/>
  <c r="G88" i="25590"/>
  <c r="D90" i="25590"/>
  <c r="F97" i="25590"/>
  <c r="E99" i="25590"/>
  <c r="D101" i="25590"/>
  <c r="G104" i="25590"/>
  <c r="F106" i="25590"/>
  <c r="E106" i="25590"/>
  <c r="C106" i="25590"/>
  <c r="D110" i="25590"/>
  <c r="F111" i="25590"/>
  <c r="C115" i="25590"/>
  <c r="C117" i="25590"/>
  <c r="F117" i="25590"/>
  <c r="E120" i="25590"/>
  <c r="F122" i="25590"/>
  <c r="E122" i="25590"/>
  <c r="C122" i="25590"/>
  <c r="D126" i="25590"/>
  <c r="F127" i="25590"/>
  <c r="G131" i="25590"/>
  <c r="F131" i="25590"/>
  <c r="D131" i="25590"/>
  <c r="F134" i="25590"/>
  <c r="E143" i="25590"/>
  <c r="F136" i="25590"/>
  <c r="E145" i="25590"/>
  <c r="E137" i="25590"/>
  <c r="D136" i="25590"/>
  <c r="C136" i="25590"/>
  <c r="G141" i="25590"/>
  <c r="D145" i="25590"/>
  <c r="G147" i="25590"/>
  <c r="F147" i="25590"/>
  <c r="D147" i="25590"/>
  <c r="F152" i="25590"/>
  <c r="D152" i="25590"/>
  <c r="C152" i="25590"/>
  <c r="E157" i="25590"/>
  <c r="G162" i="25590"/>
  <c r="F164" i="25590"/>
  <c r="E166" i="25590"/>
  <c r="E173" i="25590"/>
  <c r="D178" i="25590"/>
  <c r="F185" i="25590"/>
  <c r="E187" i="25590"/>
  <c r="D189" i="25590"/>
  <c r="G31" i="25591"/>
  <c r="C7" i="25591"/>
  <c r="D13" i="25591"/>
  <c r="E16" i="25591"/>
  <c r="E20" i="25591"/>
  <c r="F27" i="25591"/>
  <c r="D27" i="25591"/>
  <c r="D29" i="25591"/>
  <c r="D31" i="25591"/>
  <c r="G33" i="25591"/>
  <c r="F33" i="25591"/>
  <c r="D33" i="25591"/>
  <c r="C35" i="25591"/>
  <c r="F35" i="25591"/>
  <c r="H36" i="25591"/>
  <c r="G38" i="25591"/>
  <c r="F40" i="25591"/>
  <c r="E40" i="25591"/>
  <c r="C40" i="25591"/>
  <c r="F47" i="25591"/>
  <c r="H49" i="25591"/>
  <c r="G51" i="25591"/>
  <c r="F53" i="25591"/>
  <c r="F55" i="25591"/>
  <c r="F17" i="25592"/>
  <c r="D17" i="25592"/>
  <c r="C17" i="25592"/>
  <c r="D19" i="25592"/>
  <c r="H21" i="25592"/>
  <c r="D26" i="25592"/>
  <c r="F30" i="25592"/>
  <c r="E32" i="25592"/>
  <c r="D34" i="25592"/>
  <c r="G37" i="25592"/>
  <c r="D39" i="25592"/>
  <c r="F46" i="25592"/>
  <c r="H48" i="25592"/>
  <c r="E50" i="25592"/>
  <c r="G53" i="25592"/>
  <c r="H55" i="25592"/>
  <c r="F55" i="25592"/>
  <c r="E55" i="25592"/>
  <c r="C55" i="25592"/>
  <c r="D59" i="25592"/>
  <c r="F60" i="25592"/>
  <c r="C64" i="25592"/>
  <c r="C66" i="25592"/>
  <c r="F66" i="25592"/>
  <c r="E69" i="25592"/>
  <c r="H71" i="25592"/>
  <c r="F71" i="25592"/>
  <c r="E71" i="25592"/>
  <c r="C71" i="25592"/>
  <c r="E17" i="25593"/>
  <c r="E22" i="25593"/>
  <c r="C27" i="25593"/>
  <c r="G46" i="25593"/>
  <c r="E72" i="25593"/>
  <c r="E80" i="25593"/>
  <c r="G91" i="25593"/>
  <c r="C94" i="25593"/>
  <c r="E101" i="25593"/>
  <c r="F94" i="25593"/>
  <c r="F106" i="25593"/>
  <c r="E106" i="25593"/>
  <c r="G94" i="25593"/>
  <c r="D94" i="25593"/>
  <c r="E99" i="25593"/>
  <c r="C99" i="25593"/>
  <c r="G99" i="25593"/>
  <c r="D99" i="25593"/>
  <c r="F18" i="25594"/>
  <c r="D18" i="25594"/>
  <c r="D19" i="25594"/>
  <c r="E18" i="25594"/>
  <c r="H23" i="25594"/>
  <c r="F31" i="25594"/>
  <c r="D31" i="25594"/>
  <c r="D32" i="25594"/>
  <c r="G55" i="25594"/>
  <c r="F43" i="25594"/>
  <c r="E31" i="25594"/>
  <c r="F36" i="25594"/>
  <c r="D37" i="25594"/>
  <c r="C36" i="25594"/>
  <c r="G60" i="25594"/>
  <c r="F48" i="25594"/>
  <c r="E36" i="25594"/>
  <c r="D41" i="25594"/>
  <c r="D46" i="25594"/>
  <c r="C49" i="25594"/>
  <c r="F49" i="25594"/>
  <c r="D49" i="25594"/>
  <c r="F61" i="25594"/>
  <c r="D58" i="25594"/>
  <c r="E64" i="25594"/>
  <c r="G58" i="25594"/>
  <c r="E69" i="25594"/>
  <c r="D59" i="25594"/>
  <c r="E58" i="25594"/>
  <c r="H64" i="25594"/>
  <c r="D73" i="25594"/>
  <c r="I39" i="9728" s="1"/>
  <c r="E11" i="25595"/>
  <c r="H13" i="25595"/>
  <c r="H17" i="25595"/>
  <c r="H22" i="25595"/>
  <c r="E24" i="25595"/>
  <c r="E36" i="25595"/>
  <c r="C36" i="25595"/>
  <c r="G36" i="25595"/>
  <c r="D36" i="25595"/>
  <c r="H38" i="25595"/>
  <c r="F41" i="25595"/>
  <c r="H60" i="25595"/>
  <c r="H65" i="25595"/>
  <c r="C73" i="25595"/>
  <c r="D11" i="25596"/>
  <c r="E21" i="25596"/>
  <c r="G66" i="25596"/>
  <c r="E42" i="25596"/>
  <c r="C42" i="25596"/>
  <c r="F42" i="25596"/>
  <c r="D42" i="25596"/>
  <c r="E47" i="25596"/>
  <c r="F47" i="25596"/>
  <c r="C47" i="25596"/>
  <c r="D48" i="25596"/>
  <c r="G71" i="25596"/>
  <c r="D47" i="25596"/>
  <c r="D50" i="25596"/>
  <c r="F58" i="25596"/>
  <c r="C7" i="25597"/>
  <c r="D7" i="25597"/>
  <c r="D61" i="25597"/>
  <c r="E55" i="25598"/>
  <c r="G49" i="25598"/>
  <c r="D49" i="25598"/>
  <c r="E52" i="25598"/>
  <c r="C49" i="25598"/>
  <c r="E53" i="25598"/>
  <c r="E49" i="25598"/>
  <c r="G141" i="10285"/>
  <c r="E67" i="25588"/>
  <c r="E75" i="25588"/>
  <c r="E83" i="25588"/>
  <c r="E91" i="25588"/>
  <c r="E99" i="25588"/>
  <c r="E107" i="25588"/>
  <c r="E115" i="25588"/>
  <c r="E123" i="25588"/>
  <c r="E131" i="25588"/>
  <c r="E139" i="25588"/>
  <c r="E147" i="25588"/>
  <c r="E155" i="25588"/>
  <c r="E163" i="25588"/>
  <c r="E171" i="25588"/>
  <c r="E179" i="25588"/>
  <c r="E187" i="25588"/>
  <c r="E30" i="25589"/>
  <c r="E36" i="25589"/>
  <c r="D42" i="25589"/>
  <c r="E43" i="25589"/>
  <c r="E51" i="25589"/>
  <c r="E59" i="25589"/>
  <c r="E67" i="25589"/>
  <c r="E75" i="25589"/>
  <c r="E83" i="25589"/>
  <c r="E91" i="25589"/>
  <c r="E99" i="25589"/>
  <c r="E107" i="25589"/>
  <c r="E115" i="25589"/>
  <c r="E123" i="25589"/>
  <c r="E131" i="25589"/>
  <c r="E139" i="25589"/>
  <c r="E147" i="25589"/>
  <c r="E155" i="25589"/>
  <c r="E163" i="25589"/>
  <c r="G165" i="25589"/>
  <c r="E171" i="25589"/>
  <c r="G173" i="25589"/>
  <c r="E179" i="25589"/>
  <c r="G181" i="25589"/>
  <c r="E187" i="25589"/>
  <c r="G189" i="25589"/>
  <c r="E22" i="25590"/>
  <c r="E26" i="25590"/>
  <c r="E30" i="25590"/>
  <c r="E36" i="25590"/>
  <c r="G38" i="25590"/>
  <c r="E44" i="25590"/>
  <c r="G46" i="25590"/>
  <c r="E52" i="25590"/>
  <c r="G54" i="25590"/>
  <c r="E60" i="25590"/>
  <c r="G62" i="25590"/>
  <c r="E68" i="25590"/>
  <c r="G70" i="25590"/>
  <c r="E76" i="25590"/>
  <c r="G78" i="25590"/>
  <c r="E84" i="25590"/>
  <c r="G86" i="25590"/>
  <c r="E92" i="25590"/>
  <c r="G94" i="25590"/>
  <c r="E100" i="25590"/>
  <c r="G102" i="25590"/>
  <c r="E108" i="25590"/>
  <c r="G110" i="25590"/>
  <c r="E116" i="25590"/>
  <c r="G118" i="25590"/>
  <c r="E124" i="25590"/>
  <c r="G126" i="25590"/>
  <c r="E132" i="25590"/>
  <c r="G134" i="25590"/>
  <c r="E140" i="25590"/>
  <c r="G142" i="25590"/>
  <c r="E148" i="25590"/>
  <c r="G150" i="25590"/>
  <c r="E156" i="25590"/>
  <c r="G158" i="25590"/>
  <c r="E164" i="25590"/>
  <c r="G166" i="25590"/>
  <c r="E172" i="25590"/>
  <c r="G174" i="25590"/>
  <c r="E180" i="25590"/>
  <c r="G182" i="25590"/>
  <c r="E188" i="25590"/>
  <c r="G190" i="25590"/>
  <c r="E34" i="25591"/>
  <c r="G36" i="25591"/>
  <c r="E42" i="25591"/>
  <c r="G44" i="25591"/>
  <c r="E50" i="25591"/>
  <c r="G52" i="25591"/>
  <c r="H20" i="25592"/>
  <c r="H24" i="25592"/>
  <c r="H28" i="25592"/>
  <c r="E33" i="25592"/>
  <c r="G35" i="25592"/>
  <c r="E41" i="25592"/>
  <c r="G43" i="25592"/>
  <c r="E49" i="25592"/>
  <c r="G51" i="25592"/>
  <c r="E57" i="25592"/>
  <c r="G59" i="25592"/>
  <c r="E65" i="25592"/>
  <c r="G67" i="25592"/>
  <c r="E73" i="25592"/>
  <c r="H38" i="9728" s="1"/>
  <c r="C24" i="25593"/>
  <c r="E32" i="25593"/>
  <c r="G48" i="25593"/>
  <c r="E64" i="25593"/>
  <c r="E96" i="25593"/>
  <c r="D11" i="25594"/>
  <c r="C14" i="25594"/>
  <c r="C24" i="25594"/>
  <c r="F26" i="25594"/>
  <c r="D26" i="25594"/>
  <c r="E28" i="25594"/>
  <c r="C33" i="25594"/>
  <c r="F33" i="25594"/>
  <c r="E38" i="25594"/>
  <c r="C38" i="25594"/>
  <c r="C43" i="25594"/>
  <c r="C48" i="25594"/>
  <c r="D50" i="25594"/>
  <c r="G50" i="25594"/>
  <c r="C53" i="25594"/>
  <c r="F55" i="25594"/>
  <c r="D55" i="25594"/>
  <c r="F60" i="25594"/>
  <c r="D61" i="25594"/>
  <c r="C60" i="25594"/>
  <c r="C65" i="25594"/>
  <c r="F65" i="25594"/>
  <c r="E70" i="25594"/>
  <c r="E72" i="25594"/>
  <c r="C70" i="25594"/>
  <c r="E39" i="9728" s="1"/>
  <c r="G38" i="25595"/>
  <c r="E14" i="25595"/>
  <c r="C14" i="25595"/>
  <c r="E33" i="25595"/>
  <c r="G34" i="25595"/>
  <c r="D55" i="25595"/>
  <c r="E55" i="25595"/>
  <c r="F57" i="25595"/>
  <c r="E57" i="25595"/>
  <c r="C57" i="25595"/>
  <c r="D68" i="25595"/>
  <c r="G68" i="25595"/>
  <c r="F69" i="25595"/>
  <c r="D16" i="25596"/>
  <c r="E20" i="25596"/>
  <c r="C20" i="25596"/>
  <c r="C24" i="25596"/>
  <c r="F24" i="25596"/>
  <c r="E26" i="25596"/>
  <c r="F26" i="25596"/>
  <c r="C26" i="25596"/>
  <c r="H37" i="25596"/>
  <c r="H41" i="25596"/>
  <c r="E55" i="25596"/>
  <c r="G55" i="25596"/>
  <c r="C55" i="25596"/>
  <c r="F59" i="25596"/>
  <c r="D60" i="25596"/>
  <c r="C59" i="25596"/>
  <c r="F71" i="25596"/>
  <c r="H69" i="25596"/>
  <c r="H73" i="25596"/>
  <c r="C23" i="25597"/>
  <c r="F23" i="25597"/>
  <c r="E25" i="25597"/>
  <c r="F25" i="25597"/>
  <c r="C25" i="25597"/>
  <c r="F30" i="25597"/>
  <c r="C30" i="25597"/>
  <c r="D35" i="25597"/>
  <c r="D19" i="25598"/>
  <c r="F19" i="25598"/>
  <c r="C19" i="25598"/>
  <c r="E31" i="25598"/>
  <c r="E26" i="25598"/>
  <c r="F24" i="25598"/>
  <c r="F36" i="25598"/>
  <c r="D24" i="25598"/>
  <c r="C29" i="25598"/>
  <c r="G53" i="25598"/>
  <c r="F41" i="25598"/>
  <c r="G29" i="25598"/>
  <c r="E29" i="25598"/>
  <c r="E34" i="25598"/>
  <c r="G34" i="25598"/>
  <c r="D34" i="25598"/>
  <c r="C34" i="25598"/>
  <c r="E36" i="25598"/>
  <c r="D261" i="25587"/>
  <c r="G52" i="25590"/>
  <c r="G76" i="25590"/>
  <c r="G100" i="25590"/>
  <c r="G124" i="25590"/>
  <c r="G148" i="25590"/>
  <c r="G172" i="25590"/>
  <c r="H6" i="25592"/>
  <c r="H8" i="25592"/>
  <c r="H10" i="25592"/>
  <c r="H19" i="25592"/>
  <c r="H23" i="25592"/>
  <c r="H27" i="25592"/>
  <c r="H34" i="25592"/>
  <c r="H42" i="25592"/>
  <c r="H50" i="25592"/>
  <c r="H58" i="25592"/>
  <c r="H66" i="25592"/>
  <c r="G73" i="25592"/>
  <c r="F38" i="9728" s="1"/>
  <c r="C7" i="25593"/>
  <c r="D14" i="25593"/>
  <c r="D19" i="25593"/>
  <c r="E24" i="25593"/>
  <c r="G50" i="25593"/>
  <c r="D26" i="25593"/>
  <c r="E56" i="25593"/>
  <c r="E88" i="25593"/>
  <c r="E12" i="25594"/>
  <c r="C12" i="25594"/>
  <c r="E14" i="25594"/>
  <c r="C19" i="25594"/>
  <c r="F19" i="25594"/>
  <c r="F24" i="25594"/>
  <c r="E26" i="25594"/>
  <c r="E30" i="25594"/>
  <c r="C30" i="25594"/>
  <c r="E33" i="25594"/>
  <c r="C35" i="25594"/>
  <c r="F38" i="25594"/>
  <c r="C40" i="25594"/>
  <c r="D42" i="25594"/>
  <c r="G42" i="25594"/>
  <c r="C45" i="25594"/>
  <c r="F47" i="25594"/>
  <c r="D47" i="25594"/>
  <c r="E50" i="25594"/>
  <c r="F52" i="25594"/>
  <c r="D53" i="25594"/>
  <c r="C52" i="25594"/>
  <c r="E55" i="25594"/>
  <c r="C57" i="25594"/>
  <c r="F57" i="25594"/>
  <c r="E60" i="25594"/>
  <c r="E62" i="25594"/>
  <c r="C62" i="25594"/>
  <c r="E65" i="25594"/>
  <c r="C67" i="25594"/>
  <c r="F70" i="25594"/>
  <c r="C72" i="25594"/>
  <c r="F21" i="25595"/>
  <c r="D21" i="25595"/>
  <c r="E23" i="25595"/>
  <c r="F55" i="25595"/>
  <c r="G57" i="25595"/>
  <c r="E68" i="25595"/>
  <c r="C70" i="25595"/>
  <c r="E41" i="9728" s="1"/>
  <c r="G70" i="25595"/>
  <c r="D70" i="25595"/>
  <c r="E11" i="25596"/>
  <c r="E16" i="25596"/>
  <c r="F20" i="25596"/>
  <c r="C22" i="25596"/>
  <c r="E24" i="25596"/>
  <c r="H26" i="25596"/>
  <c r="C29" i="25596"/>
  <c r="F29" i="25596"/>
  <c r="D29" i="25596"/>
  <c r="H32" i="25596"/>
  <c r="H43" i="25596"/>
  <c r="H47" i="25596"/>
  <c r="F55" i="25596"/>
  <c r="E59" i="25596"/>
  <c r="H60" i="25596"/>
  <c r="C67" i="25597"/>
  <c r="C53" i="25597"/>
  <c r="C50" i="25597"/>
  <c r="C47" i="25597"/>
  <c r="D6" i="25597"/>
  <c r="D10" i="25597"/>
  <c r="E12" i="25597"/>
  <c r="C17" i="25597"/>
  <c r="C21" i="25597"/>
  <c r="E23" i="25597"/>
  <c r="C28" i="25597"/>
  <c r="F28" i="25597"/>
  <c r="D28" i="25597"/>
  <c r="E30" i="25597"/>
  <c r="E33" i="25597"/>
  <c r="F45" i="25597"/>
  <c r="C33" i="25597"/>
  <c r="E35" i="25597"/>
  <c r="D38" i="25597"/>
  <c r="D39" i="25597"/>
  <c r="F42" i="25597"/>
  <c r="C65" i="25597"/>
  <c r="F21" i="25598"/>
  <c r="D9" i="25598"/>
  <c r="C9" i="25598"/>
  <c r="E24" i="25598"/>
  <c r="F29" i="25598"/>
  <c r="F35" i="25598"/>
  <c r="G35" i="25598"/>
  <c r="D35" i="25598"/>
  <c r="C45" i="25598"/>
  <c r="G45" i="25598"/>
  <c r="E45" i="25598"/>
  <c r="E50" i="25598"/>
  <c r="G50" i="25598"/>
  <c r="D50" i="25598"/>
  <c r="C50" i="25598"/>
  <c r="E179" i="9216"/>
  <c r="C179" i="9216"/>
  <c r="D179" i="9216" s="1"/>
  <c r="E180" i="9216"/>
  <c r="G179" i="9216"/>
  <c r="D240" i="25580"/>
  <c r="F240" i="25580"/>
  <c r="D241" i="25580"/>
  <c r="G162" i="515"/>
  <c r="D162" i="515"/>
  <c r="F162" i="515"/>
  <c r="E162" i="515"/>
  <c r="H162" i="515"/>
  <c r="D163" i="515"/>
  <c r="C162" i="515"/>
  <c r="E230" i="4888"/>
  <c r="F242" i="4888"/>
  <c r="F230" i="4888"/>
  <c r="G230" i="4888"/>
  <c r="C230" i="4888"/>
  <c r="D231" i="4888"/>
  <c r="E189" i="512"/>
  <c r="F189" i="512"/>
  <c r="G189" i="512"/>
  <c r="D189" i="512"/>
  <c r="C189" i="512"/>
  <c r="C12" i="25593"/>
  <c r="F23" i="25593"/>
  <c r="F24" i="25593"/>
  <c r="C28" i="25593"/>
  <c r="D31" i="25593"/>
  <c r="G31" i="25593"/>
  <c r="F36" i="25593"/>
  <c r="D36" i="25593"/>
  <c r="F41" i="25593"/>
  <c r="D42" i="25593"/>
  <c r="C41" i="25593"/>
  <c r="C46" i="25593"/>
  <c r="F46" i="25593"/>
  <c r="E51" i="25593"/>
  <c r="C51" i="25593"/>
  <c r="D63" i="25593"/>
  <c r="G63" i="25593"/>
  <c r="F68" i="25593"/>
  <c r="D68" i="25593"/>
  <c r="F73" i="25593"/>
  <c r="D74" i="25593"/>
  <c r="C73" i="25593"/>
  <c r="C78" i="25593"/>
  <c r="F78" i="25593"/>
  <c r="E83" i="25593"/>
  <c r="E93" i="25593"/>
  <c r="E85" i="25593"/>
  <c r="C83" i="25593"/>
  <c r="D95" i="25593"/>
  <c r="G95" i="25593"/>
  <c r="F100" i="25593"/>
  <c r="D100" i="25593"/>
  <c r="F105" i="25593"/>
  <c r="D106" i="25593"/>
  <c r="C105" i="25593"/>
  <c r="C23" i="25594"/>
  <c r="F23" i="25594"/>
  <c r="E59" i="25594"/>
  <c r="C8" i="25595"/>
  <c r="D9" i="25595"/>
  <c r="F25" i="25595"/>
  <c r="D25" i="25595"/>
  <c r="E27" i="25595"/>
  <c r="D32" i="25595"/>
  <c r="G32" i="25595"/>
  <c r="G61" i="25595"/>
  <c r="F37" i="25595"/>
  <c r="D37" i="25595"/>
  <c r="F42" i="25595"/>
  <c r="D43" i="25595"/>
  <c r="C42" i="25595"/>
  <c r="F54" i="25595"/>
  <c r="C47" i="25595"/>
  <c r="F47" i="25595"/>
  <c r="E52" i="25595"/>
  <c r="C52" i="25595"/>
  <c r="F65" i="25595"/>
  <c r="G65" i="25595"/>
  <c r="C65" i="25595"/>
  <c r="D6" i="25596"/>
  <c r="F18" i="25596"/>
  <c r="D12" i="25596"/>
  <c r="C12" i="25596"/>
  <c r="C27" i="25596"/>
  <c r="F39" i="25596"/>
  <c r="F27" i="25596"/>
  <c r="E31" i="25596"/>
  <c r="D31" i="25596"/>
  <c r="G33" i="25596"/>
  <c r="E33" i="25596"/>
  <c r="C33" i="25596"/>
  <c r="D35" i="25596"/>
  <c r="G35" i="25596"/>
  <c r="D46" i="25596"/>
  <c r="G46" i="25596"/>
  <c r="C46" i="25596"/>
  <c r="E57" i="25596"/>
  <c r="E48" i="25596"/>
  <c r="F50" i="25596"/>
  <c r="C50" i="25596"/>
  <c r="F62" i="25596"/>
  <c r="G59" i="25596"/>
  <c r="C61" i="25596"/>
  <c r="F61" i="25596"/>
  <c r="D61" i="25596"/>
  <c r="E63" i="25596"/>
  <c r="D63" i="25596"/>
  <c r="G65" i="25596"/>
  <c r="E65" i="25596"/>
  <c r="C65" i="25596"/>
  <c r="D67" i="25596"/>
  <c r="G67" i="25596"/>
  <c r="C26" i="25597"/>
  <c r="F26" i="25597"/>
  <c r="F31" i="25597"/>
  <c r="D31" i="25597"/>
  <c r="F54" i="25597"/>
  <c r="E54" i="25597"/>
  <c r="C54" i="25597"/>
  <c r="F63" i="25597"/>
  <c r="D63" i="25597"/>
  <c r="D10" i="25598"/>
  <c r="C10" i="25598"/>
  <c r="F22" i="25598"/>
  <c r="F32" i="25598"/>
  <c r="C32" i="25598"/>
  <c r="G32" i="25598"/>
  <c r="D32" i="25598"/>
  <c r="E190" i="523"/>
  <c r="C190" i="523"/>
  <c r="F190" i="523"/>
  <c r="G190" i="523"/>
  <c r="D191" i="523"/>
  <c r="D190" i="523"/>
  <c r="G173" i="2819"/>
  <c r="F185" i="2819"/>
  <c r="C173" i="2819"/>
  <c r="D174" i="2819"/>
  <c r="E173" i="2819"/>
  <c r="F173" i="2819"/>
  <c r="D173" i="2819"/>
  <c r="D156" i="40"/>
  <c r="E155" i="40"/>
  <c r="C155" i="40"/>
  <c r="F167" i="40"/>
  <c r="G155" i="40"/>
  <c r="H155" i="40"/>
  <c r="F155" i="40"/>
  <c r="E55" i="25590"/>
  <c r="E79" i="25590"/>
  <c r="E103" i="25590"/>
  <c r="E127" i="25590"/>
  <c r="E151" i="25590"/>
  <c r="E175" i="25590"/>
  <c r="E12" i="25593"/>
  <c r="C20" i="25593"/>
  <c r="D23" i="25593"/>
  <c r="E25" i="25593"/>
  <c r="E28" i="25593"/>
  <c r="E31" i="25593"/>
  <c r="F33" i="25593"/>
  <c r="D34" i="25593"/>
  <c r="C33" i="25593"/>
  <c r="E36" i="25593"/>
  <c r="C38" i="25593"/>
  <c r="F38" i="25593"/>
  <c r="E41" i="25593"/>
  <c r="E43" i="25593"/>
  <c r="C43" i="25593"/>
  <c r="E46" i="25593"/>
  <c r="F51" i="25593"/>
  <c r="D55" i="25593"/>
  <c r="G55" i="25593"/>
  <c r="F60" i="25593"/>
  <c r="D60" i="25593"/>
  <c r="E63" i="25593"/>
  <c r="F65" i="25593"/>
  <c r="D66" i="25593"/>
  <c r="C65" i="25593"/>
  <c r="E68" i="25593"/>
  <c r="C70" i="25593"/>
  <c r="F70" i="25593"/>
  <c r="E73" i="25593"/>
  <c r="E75" i="25593"/>
  <c r="C75" i="25593"/>
  <c r="E78" i="25593"/>
  <c r="F83" i="25593"/>
  <c r="D87" i="25593"/>
  <c r="G87" i="25593"/>
  <c r="F92" i="25593"/>
  <c r="D92" i="25593"/>
  <c r="E95" i="25593"/>
  <c r="F97" i="25593"/>
  <c r="D98" i="25593"/>
  <c r="C97" i="25593"/>
  <c r="E100" i="25593"/>
  <c r="C102" i="25593"/>
  <c r="F102" i="25593"/>
  <c r="E105" i="25593"/>
  <c r="E107" i="25593"/>
  <c r="C107" i="25593"/>
  <c r="G32" i="25594"/>
  <c r="D8" i="25594"/>
  <c r="E15" i="25594"/>
  <c r="E21" i="25594"/>
  <c r="E23" i="25594"/>
  <c r="G47" i="25594"/>
  <c r="E51" i="25594"/>
  <c r="E15" i="25595"/>
  <c r="C18" i="25595"/>
  <c r="F18" i="25595"/>
  <c r="E25" i="25595"/>
  <c r="E32" i="25595"/>
  <c r="F34" i="25595"/>
  <c r="D35" i="25595"/>
  <c r="C34" i="25595"/>
  <c r="E46" i="25595"/>
  <c r="E38" i="25595"/>
  <c r="E37" i="25595"/>
  <c r="C39" i="25595"/>
  <c r="F39" i="25595"/>
  <c r="E42" i="25595"/>
  <c r="E44" i="25595"/>
  <c r="C44" i="25595"/>
  <c r="E47" i="25595"/>
  <c r="F52" i="25595"/>
  <c r="F60" i="25595"/>
  <c r="D61" i="25595"/>
  <c r="C60" i="25595"/>
  <c r="F72" i="25595"/>
  <c r="E65" i="25595"/>
  <c r="D7" i="25596"/>
  <c r="H12" i="25596"/>
  <c r="E23" i="25596"/>
  <c r="C23" i="25596"/>
  <c r="E27" i="25596"/>
  <c r="F31" i="25596"/>
  <c r="F33" i="25596"/>
  <c r="E35" i="25596"/>
  <c r="C37" i="25596"/>
  <c r="G37" i="25596"/>
  <c r="D37" i="25596"/>
  <c r="G41" i="25596"/>
  <c r="F41" i="25596"/>
  <c r="C41" i="25596"/>
  <c r="F53" i="25596"/>
  <c r="F46" i="25596"/>
  <c r="E50" i="25596"/>
  <c r="E52" i="25596"/>
  <c r="G61" i="25596"/>
  <c r="F63" i="25596"/>
  <c r="F65" i="25596"/>
  <c r="E67" i="25596"/>
  <c r="C69" i="25596"/>
  <c r="G69" i="25596"/>
  <c r="D69" i="25596"/>
  <c r="D42" i="9728"/>
  <c r="G73" i="25596"/>
  <c r="F42" i="9728" s="1"/>
  <c r="H66" i="25596"/>
  <c r="H58" i="25596"/>
  <c r="H50" i="25596"/>
  <c r="H42" i="25596"/>
  <c r="H34" i="25596"/>
  <c r="H27" i="25596"/>
  <c r="H23" i="25596"/>
  <c r="H19" i="25596"/>
  <c r="H10" i="25596"/>
  <c r="H8" i="25596"/>
  <c r="H6" i="25596"/>
  <c r="F73" i="25596"/>
  <c r="G42" i="9728" s="1"/>
  <c r="H51" i="25596"/>
  <c r="C73" i="25596"/>
  <c r="H71" i="25596"/>
  <c r="H62" i="25596"/>
  <c r="H57" i="25596"/>
  <c r="H53" i="25596"/>
  <c r="H48" i="25596"/>
  <c r="H44" i="25596"/>
  <c r="H39" i="25596"/>
  <c r="H30" i="25596"/>
  <c r="H15" i="25596"/>
  <c r="H5" i="25596"/>
  <c r="H72" i="25596"/>
  <c r="H68" i="25596"/>
  <c r="H63" i="25596"/>
  <c r="H54" i="25596"/>
  <c r="H49" i="25596"/>
  <c r="H45" i="25596"/>
  <c r="H40" i="25596"/>
  <c r="H36" i="25596"/>
  <c r="H31" i="25596"/>
  <c r="H11" i="25596"/>
  <c r="H9" i="25596"/>
  <c r="E22" i="25597"/>
  <c r="C22" i="25597"/>
  <c r="E26" i="25597"/>
  <c r="E29" i="25597"/>
  <c r="C29" i="25597"/>
  <c r="E31" i="25597"/>
  <c r="E42" i="25597"/>
  <c r="E39" i="25597"/>
  <c r="F34" i="25597"/>
  <c r="E46" i="25597"/>
  <c r="E43" i="25597"/>
  <c r="D34" i="25597"/>
  <c r="F38" i="25597"/>
  <c r="C55" i="25597"/>
  <c r="D56" i="25597"/>
  <c r="F55" i="25597"/>
  <c r="E63" i="25597"/>
  <c r="C14" i="25598"/>
  <c r="F26" i="25598"/>
  <c r="E14" i="25598"/>
  <c r="D14" i="25598"/>
  <c r="G33" i="25598"/>
  <c r="D33" i="25598"/>
  <c r="C33" i="25598"/>
  <c r="F48" i="25598"/>
  <c r="C48" i="25598"/>
  <c r="G48" i="25598"/>
  <c r="D48" i="25598"/>
  <c r="D54" i="25598"/>
  <c r="G54" i="25598"/>
  <c r="C54" i="25598"/>
  <c r="D55" i="25598"/>
  <c r="E230" i="25580"/>
  <c r="E232" i="25580"/>
  <c r="F229" i="25580"/>
  <c r="G253" i="25580"/>
  <c r="E241" i="25580"/>
  <c r="E236" i="25580"/>
  <c r="E229" i="25580"/>
  <c r="D229" i="25580"/>
  <c r="F241" i="25580"/>
  <c r="E238" i="25580"/>
  <c r="E231" i="25580"/>
  <c r="E235" i="25580"/>
  <c r="E234" i="25580"/>
  <c r="E233" i="25580"/>
  <c r="C175" i="8196"/>
  <c r="D176" i="8196"/>
  <c r="G175" i="8196"/>
  <c r="E175" i="8196"/>
  <c r="D175" i="8196"/>
  <c r="F187" i="8196"/>
  <c r="D160" i="2048"/>
  <c r="G159" i="2048"/>
  <c r="F171" i="2048"/>
  <c r="C159" i="2048"/>
  <c r="F159" i="2048"/>
  <c r="G183" i="2048"/>
  <c r="E159" i="2048"/>
  <c r="D159" i="2048"/>
  <c r="G168" i="516"/>
  <c r="E168" i="516"/>
  <c r="F168" i="516"/>
  <c r="D168" i="516"/>
  <c r="D169" i="516"/>
  <c r="H168" i="516"/>
  <c r="C168" i="516"/>
  <c r="G178" i="2316"/>
  <c r="F178" i="2316"/>
  <c r="D179" i="2316"/>
  <c r="C178" i="2316"/>
  <c r="E21" i="25593"/>
  <c r="E29" i="25593"/>
  <c r="E37" i="25593"/>
  <c r="E45" i="25593"/>
  <c r="E53" i="25593"/>
  <c r="E61" i="25593"/>
  <c r="E69" i="25593"/>
  <c r="E77" i="25593"/>
  <c r="F63" i="25595"/>
  <c r="C17" i="25596"/>
  <c r="E45" i="25597"/>
  <c r="C48" i="25597"/>
  <c r="E65" i="25597"/>
  <c r="G41" i="25598"/>
  <c r="D41" i="25598"/>
  <c r="G44" i="25598"/>
  <c r="C53" i="25598"/>
  <c r="F53" i="25598"/>
  <c r="C176" i="512"/>
  <c r="F176" i="512"/>
  <c r="D177" i="512"/>
  <c r="E176" i="512"/>
  <c r="D140" i="768"/>
  <c r="E139" i="768"/>
  <c r="D139" i="768"/>
  <c r="C139" i="768"/>
  <c r="F139" i="768"/>
  <c r="E235" i="32"/>
  <c r="E231" i="32"/>
  <c r="G230" i="32"/>
  <c r="D230" i="32"/>
  <c r="E232" i="32"/>
  <c r="E241" i="32"/>
  <c r="E233" i="32"/>
  <c r="E242" i="32"/>
  <c r="E234" i="32"/>
  <c r="E230" i="32"/>
  <c r="F230" i="32"/>
  <c r="D231" i="32"/>
  <c r="E121" i="768"/>
  <c r="E124" i="768"/>
  <c r="E123" i="768"/>
  <c r="E132" i="768"/>
  <c r="D122" i="768"/>
  <c r="C121" i="768"/>
  <c r="E130" i="768"/>
  <c r="G121" i="768"/>
  <c r="E126" i="768"/>
  <c r="F137" i="768"/>
  <c r="G125" i="768"/>
  <c r="C125" i="768"/>
  <c r="E125" i="768"/>
  <c r="D126" i="768"/>
  <c r="D125" i="768"/>
  <c r="D163" i="2316"/>
  <c r="G162" i="2316"/>
  <c r="G186" i="2316"/>
  <c r="F174" i="2316"/>
  <c r="D162" i="2316"/>
  <c r="F162" i="2316"/>
  <c r="D251" i="32"/>
  <c r="F251" i="32"/>
  <c r="E251" i="32"/>
  <c r="G405" i="3"/>
  <c r="H404" i="3"/>
  <c r="G103" i="2819"/>
  <c r="D79" i="2819"/>
  <c r="C79" i="2819"/>
  <c r="F91" i="2819"/>
  <c r="E79" i="2819"/>
  <c r="G79" i="2819"/>
  <c r="D80" i="2819"/>
  <c r="B37" i="2316"/>
  <c r="H341" i="1"/>
  <c r="D54" i="25583"/>
  <c r="G54" i="25583"/>
  <c r="F54" i="25583"/>
  <c r="C54" i="25583"/>
  <c r="E54" i="25583"/>
  <c r="H62" i="1"/>
  <c r="C249" i="3"/>
  <c r="F181" i="2819"/>
  <c r="D181" i="2819"/>
  <c r="F193" i="2819"/>
  <c r="C181" i="2819"/>
  <c r="D21" i="25594"/>
  <c r="D25" i="25594"/>
  <c r="D29" i="25594"/>
  <c r="G48" i="25594"/>
  <c r="D20" i="25595"/>
  <c r="D24" i="25595"/>
  <c r="D28" i="25595"/>
  <c r="G67" i="25595"/>
  <c r="E22" i="25596"/>
  <c r="C25" i="25596"/>
  <c r="G43" i="25596"/>
  <c r="C11" i="25597"/>
  <c r="E21" i="25597"/>
  <c r="C24" i="25597"/>
  <c r="C56" i="25597"/>
  <c r="F72" i="25597"/>
  <c r="C72" i="25597"/>
  <c r="E22" i="25598"/>
  <c r="E18" i="25598"/>
  <c r="D12" i="25598"/>
  <c r="E21" i="25598"/>
  <c r="D26" i="25598"/>
  <c r="E47" i="25598"/>
  <c r="E39" i="25598"/>
  <c r="C37" i="25598"/>
  <c r="E41" i="25598"/>
  <c r="D44" i="25598"/>
  <c r="D245" i="25580"/>
  <c r="C245" i="25580"/>
  <c r="F257" i="25580"/>
  <c r="G245" i="25580"/>
  <c r="C252" i="25580"/>
  <c r="D252" i="25580"/>
  <c r="D253" i="25580"/>
  <c r="F252" i="25580"/>
  <c r="G252" i="25580"/>
  <c r="C166" i="40"/>
  <c r="E166" i="40"/>
  <c r="D166" i="40"/>
  <c r="D167" i="40"/>
  <c r="F166" i="40"/>
  <c r="H166" i="40"/>
  <c r="D108" i="10285"/>
  <c r="C108" i="10285"/>
  <c r="G108" i="10285"/>
  <c r="E108" i="10285"/>
  <c r="G132" i="10285"/>
  <c r="C127" i="768"/>
  <c r="G127" i="768"/>
  <c r="D127" i="768"/>
  <c r="E127" i="768"/>
  <c r="H188" i="9216"/>
  <c r="C188" i="9216"/>
  <c r="D188" i="9216" s="1"/>
  <c r="F188" i="9216"/>
  <c r="C256" i="4888"/>
  <c r="E256" i="4888"/>
  <c r="E259" i="32"/>
  <c r="D260" i="32"/>
  <c r="G259" i="32"/>
  <c r="F259" i="32"/>
  <c r="E91" i="2048"/>
  <c r="D91" i="2048"/>
  <c r="F103" i="2048"/>
  <c r="F91" i="2048"/>
  <c r="G115" i="2048"/>
  <c r="C91" i="2048"/>
  <c r="G91" i="2048"/>
  <c r="D75" i="2048"/>
  <c r="D76" i="2048"/>
  <c r="G75" i="2048"/>
  <c r="F87" i="2048"/>
  <c r="G99" i="2048"/>
  <c r="F75" i="2048"/>
  <c r="E75" i="2048"/>
  <c r="G86" i="2048"/>
  <c r="D63" i="2048"/>
  <c r="G62" i="2048"/>
  <c r="F62" i="2048"/>
  <c r="E62" i="2048"/>
  <c r="F74" i="2048"/>
  <c r="D62" i="2048"/>
  <c r="F54" i="2048"/>
  <c r="F66" i="2048"/>
  <c r="C54" i="2048"/>
  <c r="E54" i="2048"/>
  <c r="D54" i="2048"/>
  <c r="G46" i="2048"/>
  <c r="C46" i="2048"/>
  <c r="D47" i="2048"/>
  <c r="G70" i="2048"/>
  <c r="F46" i="2048"/>
  <c r="D38" i="2048"/>
  <c r="E38" i="2048"/>
  <c r="D39" i="2048"/>
  <c r="F50" i="2048"/>
  <c r="F38" i="2048"/>
  <c r="D31" i="2048"/>
  <c r="E30" i="2048"/>
  <c r="D23" i="2048"/>
  <c r="E22" i="2048"/>
  <c r="F34" i="2048"/>
  <c r="D22" i="2048"/>
  <c r="D15" i="2048"/>
  <c r="D14" i="2048"/>
  <c r="D72" i="36"/>
  <c r="F84" i="36"/>
  <c r="G72" i="36"/>
  <c r="D73" i="36"/>
  <c r="G96" i="36"/>
  <c r="C72" i="36"/>
  <c r="H72" i="36"/>
  <c r="E72" i="36"/>
  <c r="G64" i="36"/>
  <c r="C64" i="36"/>
  <c r="G88" i="36"/>
  <c r="D64" i="36"/>
  <c r="E64" i="36"/>
  <c r="F64" i="36"/>
  <c r="D65" i="36"/>
  <c r="F76" i="36"/>
  <c r="H64" i="36"/>
  <c r="F56" i="36"/>
  <c r="C56" i="36"/>
  <c r="E56" i="36"/>
  <c r="G56" i="36"/>
  <c r="F68" i="36"/>
  <c r="G80" i="36"/>
  <c r="H56" i="36"/>
  <c r="D56" i="36"/>
  <c r="D57" i="36"/>
  <c r="F48" i="36"/>
  <c r="D48" i="36"/>
  <c r="E48" i="36"/>
  <c r="D49" i="36"/>
  <c r="C48" i="36"/>
  <c r="F60" i="36"/>
  <c r="H48" i="36"/>
  <c r="E40" i="36"/>
  <c r="C40" i="36"/>
  <c r="F52" i="36"/>
  <c r="F40" i="36"/>
  <c r="G40" i="36"/>
  <c r="D41" i="36"/>
  <c r="D40" i="36"/>
  <c r="H40" i="36"/>
  <c r="F32" i="36"/>
  <c r="F44" i="36"/>
  <c r="D32" i="36"/>
  <c r="C32" i="36"/>
  <c r="D33" i="36"/>
  <c r="E32" i="36"/>
  <c r="F36" i="36"/>
  <c r="C24" i="36"/>
  <c r="F24" i="36"/>
  <c r="E24" i="36"/>
  <c r="D24" i="36"/>
  <c r="H24" i="36"/>
  <c r="D25" i="36"/>
  <c r="E27" i="36"/>
  <c r="E21" i="36"/>
  <c r="E17" i="36"/>
  <c r="D16" i="36"/>
  <c r="E22" i="36"/>
  <c r="E26" i="36"/>
  <c r="G39" i="36"/>
  <c r="E19" i="36"/>
  <c r="E23" i="36"/>
  <c r="F27" i="36"/>
  <c r="E18" i="36"/>
  <c r="E25" i="36"/>
  <c r="E16" i="36"/>
  <c r="D15" i="36"/>
  <c r="E20" i="36"/>
  <c r="H15" i="36"/>
  <c r="C15" i="36"/>
  <c r="D7" i="36"/>
  <c r="G31" i="36"/>
  <c r="F19" i="36"/>
  <c r="H7" i="36"/>
  <c r="D8" i="36"/>
  <c r="C143" i="512"/>
  <c r="G143" i="512"/>
  <c r="G167" i="512"/>
  <c r="D144" i="512"/>
  <c r="F143" i="512"/>
  <c r="D143" i="512"/>
  <c r="F72" i="20994"/>
  <c r="H86" i="20994"/>
  <c r="F71" i="20994"/>
  <c r="F61" i="20994"/>
  <c r="H62" i="20994"/>
  <c r="F69" i="20994"/>
  <c r="F68" i="20994"/>
  <c r="F66" i="20994"/>
  <c r="C61" i="20994"/>
  <c r="D61" i="20994" s="1"/>
  <c r="E61" i="20994"/>
  <c r="F67" i="20994"/>
  <c r="F65" i="20994"/>
  <c r="G61" i="20994"/>
  <c r="F39" i="20994"/>
  <c r="E39" i="20994"/>
  <c r="H64" i="20994"/>
  <c r="C39" i="20994"/>
  <c r="D39" i="20994" s="1"/>
  <c r="G39" i="20994"/>
  <c r="C32" i="20994"/>
  <c r="D32" i="20994" s="1"/>
  <c r="H33" i="20994"/>
  <c r="G44" i="20994"/>
  <c r="H57" i="20994"/>
  <c r="F32" i="20994"/>
  <c r="D80" i="768"/>
  <c r="C79" i="768"/>
  <c r="G79" i="768"/>
  <c r="F79" i="768"/>
  <c r="D79" i="768"/>
  <c r="G66" i="768"/>
  <c r="F66" i="768"/>
  <c r="D67" i="768"/>
  <c r="E66" i="768"/>
  <c r="C66" i="768"/>
  <c r="F78" i="768"/>
  <c r="G90" i="768"/>
  <c r="G86" i="10285"/>
  <c r="C62" i="10285"/>
  <c r="G62" i="10285"/>
  <c r="F55" i="10285"/>
  <c r="D56" i="10285"/>
  <c r="G79" i="10285"/>
  <c r="F67" i="10285"/>
  <c r="G55" i="10285"/>
  <c r="D51" i="10285"/>
  <c r="C50" i="10285"/>
  <c r="F50" i="10285"/>
  <c r="G50" i="10285"/>
  <c r="D50" i="10285"/>
  <c r="G74" i="10285"/>
  <c r="F54" i="10285"/>
  <c r="D42" i="10285"/>
  <c r="D43" i="10285"/>
  <c r="G66" i="10285"/>
  <c r="C28" i="10285"/>
  <c r="D28" i="10285"/>
  <c r="F28" i="10285"/>
  <c r="F40" i="10285"/>
  <c r="D29" i="10285"/>
  <c r="E28" i="10285"/>
  <c r="D95" i="10498"/>
  <c r="G96" i="10498"/>
  <c r="E95" i="10498"/>
  <c r="G120" i="10498"/>
  <c r="F95" i="10498"/>
  <c r="C95" i="10498"/>
  <c r="F107" i="10498"/>
  <c r="C88" i="10498"/>
  <c r="D89" i="10498"/>
  <c r="F100" i="10498"/>
  <c r="E88" i="10498"/>
  <c r="G89" i="10498"/>
  <c r="D88" i="10498"/>
  <c r="F88" i="10498"/>
  <c r="G113" i="10498"/>
  <c r="C66" i="10498"/>
  <c r="D67" i="10498"/>
  <c r="G91" i="10498"/>
  <c r="F66" i="10498"/>
  <c r="E66" i="10498"/>
  <c r="G67" i="10498"/>
  <c r="D66" i="10498"/>
  <c r="F78" i="10498"/>
  <c r="C9" i="2"/>
  <c r="D10" i="2"/>
  <c r="D9" i="2"/>
  <c r="G33" i="2"/>
  <c r="F21" i="2"/>
  <c r="H9" i="2"/>
  <c r="F152" i="40"/>
  <c r="C152" i="40"/>
  <c r="E152" i="40"/>
  <c r="D152" i="40"/>
  <c r="D153" i="40"/>
  <c r="G152" i="40"/>
  <c r="F164" i="40"/>
  <c r="F141" i="40"/>
  <c r="D141" i="40"/>
  <c r="C141" i="40"/>
  <c r="G165" i="40"/>
  <c r="E141" i="40"/>
  <c r="D134" i="40"/>
  <c r="D133" i="40"/>
  <c r="F145" i="40"/>
  <c r="C133" i="40"/>
  <c r="F133" i="40"/>
  <c r="G133" i="40"/>
  <c r="E133" i="40"/>
  <c r="D126" i="40"/>
  <c r="C125" i="40"/>
  <c r="E125" i="40"/>
  <c r="D125" i="40"/>
  <c r="G125" i="40"/>
  <c r="F137" i="40"/>
  <c r="H125" i="40"/>
  <c r="E117" i="40"/>
  <c r="F129" i="40"/>
  <c r="G117" i="40"/>
  <c r="D118" i="40"/>
  <c r="F117" i="40"/>
  <c r="D117" i="40"/>
  <c r="C117" i="40"/>
  <c r="D110" i="40"/>
  <c r="H109" i="40"/>
  <c r="E109" i="40"/>
  <c r="C109" i="40"/>
  <c r="F109" i="40"/>
  <c r="D109" i="40"/>
  <c r="G109" i="40"/>
  <c r="G101" i="40"/>
  <c r="C101" i="40"/>
  <c r="E101" i="40"/>
  <c r="F113" i="40"/>
  <c r="D101" i="40"/>
  <c r="G93" i="40"/>
  <c r="F93" i="40"/>
  <c r="C93" i="40"/>
  <c r="H93" i="40"/>
  <c r="F105" i="40"/>
  <c r="E93" i="40"/>
  <c r="C85" i="40"/>
  <c r="D86" i="40"/>
  <c r="H85" i="40"/>
  <c r="E85" i="40"/>
  <c r="D85" i="40"/>
  <c r="F97" i="40"/>
  <c r="F85" i="40"/>
  <c r="G85" i="40"/>
  <c r="F77" i="40"/>
  <c r="E77" i="40"/>
  <c r="D77" i="40"/>
  <c r="G77" i="40"/>
  <c r="D78" i="40"/>
  <c r="C77" i="40"/>
  <c r="H77" i="40"/>
  <c r="C69" i="40"/>
  <c r="D69" i="40"/>
  <c r="F81" i="40"/>
  <c r="H69" i="40"/>
  <c r="F69" i="40"/>
  <c r="E69" i="40"/>
  <c r="D62" i="40"/>
  <c r="G61" i="40"/>
  <c r="D61" i="40"/>
  <c r="F61" i="40"/>
  <c r="G53" i="40"/>
  <c r="F65" i="40"/>
  <c r="C53" i="40"/>
  <c r="E53" i="40"/>
  <c r="D53" i="40"/>
  <c r="D54" i="40"/>
  <c r="F57" i="40"/>
  <c r="G45" i="40"/>
  <c r="D46" i="40"/>
  <c r="H45" i="40"/>
  <c r="E45" i="40"/>
  <c r="C45" i="40"/>
  <c r="D38" i="40"/>
  <c r="C37" i="40"/>
  <c r="E37" i="40"/>
  <c r="F49" i="40"/>
  <c r="D37" i="40"/>
  <c r="F37" i="40"/>
  <c r="F29" i="40"/>
  <c r="H29" i="40"/>
  <c r="D29" i="40"/>
  <c r="C29" i="40"/>
  <c r="D22" i="40"/>
  <c r="C21" i="40"/>
  <c r="D21" i="40"/>
  <c r="F21" i="40"/>
  <c r="E21" i="40"/>
  <c r="F33" i="40"/>
  <c r="D13" i="40"/>
  <c r="D14" i="40"/>
  <c r="F25" i="40"/>
  <c r="B13" i="2316"/>
  <c r="D341" i="1"/>
  <c r="D103" i="3"/>
  <c r="E103" i="3"/>
  <c r="F103" i="3"/>
  <c r="G87" i="3"/>
  <c r="F87" i="3"/>
  <c r="H111" i="3"/>
  <c r="D87" i="3"/>
  <c r="E80" i="3"/>
  <c r="D80" i="3"/>
  <c r="E41" i="25597"/>
  <c r="C44" i="25597"/>
  <c r="E69" i="25597"/>
  <c r="F20" i="25598"/>
  <c r="D30" i="25598"/>
  <c r="D31" i="25598"/>
  <c r="F40" i="25598"/>
  <c r="C40" i="25598"/>
  <c r="D46" i="25598"/>
  <c r="D47" i="25598"/>
  <c r="G52" i="25598"/>
  <c r="G260" i="25580"/>
  <c r="D260" i="25580"/>
  <c r="D164" i="8196"/>
  <c r="E163" i="8196"/>
  <c r="G187" i="8196"/>
  <c r="F163" i="8196"/>
  <c r="F189" i="2316"/>
  <c r="C177" i="2316"/>
  <c r="F177" i="2316"/>
  <c r="G177" i="2316"/>
  <c r="D178" i="2819"/>
  <c r="E178" i="2819"/>
  <c r="F190" i="2819"/>
  <c r="G178" i="2819"/>
  <c r="F178" i="2819"/>
  <c r="E126" i="10285"/>
  <c r="C126" i="10285"/>
  <c r="D126" i="10285"/>
  <c r="G126" i="10285"/>
  <c r="D127" i="10285"/>
  <c r="F126" i="10285"/>
  <c r="D104" i="10285"/>
  <c r="G104" i="10285"/>
  <c r="F104" i="10285"/>
  <c r="D166" i="2819"/>
  <c r="G189" i="2819"/>
  <c r="C165" i="2819"/>
  <c r="D165" i="2819"/>
  <c r="F165" i="2819"/>
  <c r="F177" i="2819"/>
  <c r="G165" i="2819"/>
  <c r="E165" i="2819"/>
  <c r="D183" i="8196"/>
  <c r="D182" i="8196"/>
  <c r="G182" i="8196"/>
  <c r="E182" i="8196"/>
  <c r="C182" i="8196"/>
  <c r="F182" i="8196"/>
  <c r="F169" i="8196"/>
  <c r="D157" i="8196"/>
  <c r="G181" i="8196"/>
  <c r="E157" i="8196"/>
  <c r="F157" i="8196"/>
  <c r="F187" i="1024"/>
  <c r="H187" i="1024"/>
  <c r="C187" i="1024"/>
  <c r="D187" i="1024" s="1"/>
  <c r="E187" i="1024"/>
  <c r="D228" i="32"/>
  <c r="F240" i="32"/>
  <c r="D229" i="32"/>
  <c r="G228" i="32"/>
  <c r="F228" i="32"/>
  <c r="G224" i="3"/>
  <c r="D224" i="3"/>
  <c r="G236" i="3"/>
  <c r="H224" i="3"/>
  <c r="E116" i="768"/>
  <c r="G140" i="768"/>
  <c r="F128" i="768"/>
  <c r="D117" i="768"/>
  <c r="G116" i="768"/>
  <c r="C116" i="768"/>
  <c r="C157" i="11522"/>
  <c r="E157" i="11522"/>
  <c r="D157" i="11522"/>
  <c r="F157" i="11522"/>
  <c r="H157" i="11522"/>
  <c r="G157" i="11522"/>
  <c r="D158" i="11522"/>
  <c r="F169" i="11522"/>
  <c r="C107" i="10285"/>
  <c r="E107" i="10285"/>
  <c r="G131" i="10285"/>
  <c r="F107" i="10285"/>
  <c r="F119" i="10285"/>
  <c r="H159" i="516"/>
  <c r="E166" i="516"/>
  <c r="E171" i="516"/>
  <c r="F159" i="516"/>
  <c r="C159" i="516"/>
  <c r="E164" i="516"/>
  <c r="E159" i="516"/>
  <c r="E167" i="516"/>
  <c r="E162" i="516"/>
  <c r="E165" i="516"/>
  <c r="F171" i="516"/>
  <c r="D159" i="516"/>
  <c r="G159" i="516"/>
  <c r="F1521" i="1"/>
  <c r="B168" i="9216"/>
  <c r="E147" i="20994"/>
  <c r="C147" i="20994"/>
  <c r="D147" i="20994" s="1"/>
  <c r="H147" i="20994"/>
  <c r="C54" i="25595"/>
  <c r="G58" i="25595"/>
  <c r="D63" i="25595"/>
  <c r="E69" i="25595"/>
  <c r="E72" i="25595"/>
  <c r="E18" i="25596"/>
  <c r="C21" i="25596"/>
  <c r="F22" i="25596"/>
  <c r="F25" i="25596"/>
  <c r="D30" i="25596"/>
  <c r="E39" i="25596"/>
  <c r="C53" i="25596"/>
  <c r="G57" i="25596"/>
  <c r="D62" i="25596"/>
  <c r="E71" i="25596"/>
  <c r="E17" i="25597"/>
  <c r="C20" i="25597"/>
  <c r="F21" i="25597"/>
  <c r="F24" i="25597"/>
  <c r="D41" i="25597"/>
  <c r="E44" i="25597"/>
  <c r="E49" i="25597"/>
  <c r="C52" i="25597"/>
  <c r="F53" i="25597"/>
  <c r="F56" i="25597"/>
  <c r="F67" i="25597"/>
  <c r="D69" i="25597"/>
  <c r="D7" i="25598"/>
  <c r="E13" i="25598"/>
  <c r="F18" i="25598"/>
  <c r="D20" i="25598"/>
  <c r="F23" i="25598"/>
  <c r="E25" i="25598"/>
  <c r="E30" i="25598"/>
  <c r="F37" i="25598"/>
  <c r="E40" i="25598"/>
  <c r="E42" i="25598"/>
  <c r="E43" i="25598"/>
  <c r="E46" i="25598"/>
  <c r="G47" i="25598"/>
  <c r="G133" i="10285"/>
  <c r="D134" i="10285"/>
  <c r="E141" i="10285"/>
  <c r="E137" i="10285"/>
  <c r="E136" i="10285"/>
  <c r="E139" i="10285"/>
  <c r="E134" i="10285"/>
  <c r="E138" i="10285"/>
  <c r="G178" i="8196"/>
  <c r="C178" i="8196"/>
  <c r="F190" i="8196"/>
  <c r="D178" i="8196"/>
  <c r="F178" i="8196"/>
  <c r="G262" i="32"/>
  <c r="F250" i="32"/>
  <c r="E238" i="32"/>
  <c r="G238" i="32"/>
  <c r="G171" i="2819"/>
  <c r="C171" i="2819"/>
  <c r="D172" i="2819"/>
  <c r="E171" i="2819"/>
  <c r="G152" i="515"/>
  <c r="D152" i="515"/>
  <c r="F152" i="515"/>
  <c r="C152" i="515"/>
  <c r="F164" i="515"/>
  <c r="E152" i="515"/>
  <c r="D164" i="82"/>
  <c r="E164" i="82"/>
  <c r="G164" i="82"/>
  <c r="C164" i="82"/>
  <c r="D165" i="82"/>
  <c r="F244" i="25580"/>
  <c r="G232" i="25580"/>
  <c r="G256" i="25580"/>
  <c r="F226" i="32"/>
  <c r="G250" i="32"/>
  <c r="D227" i="32"/>
  <c r="F248" i="10541"/>
  <c r="G248" i="10541"/>
  <c r="D248" i="10541"/>
  <c r="F260" i="10541"/>
  <c r="F237" i="25580"/>
  <c r="D225" i="25580"/>
  <c r="F165" i="515"/>
  <c r="E165" i="515"/>
  <c r="D165" i="515"/>
  <c r="H165" i="515"/>
  <c r="D166" i="515"/>
  <c r="C165" i="515"/>
  <c r="G165" i="515"/>
  <c r="D163" i="2819"/>
  <c r="F162" i="2819"/>
  <c r="E162" i="2819"/>
  <c r="G162" i="2819"/>
  <c r="C162" i="2819"/>
  <c r="D173" i="2316"/>
  <c r="F225" i="10541"/>
  <c r="G225" i="10541"/>
  <c r="F237" i="10541"/>
  <c r="D226" i="10541"/>
  <c r="G258" i="32"/>
  <c r="G234" i="32"/>
  <c r="F156" i="82"/>
  <c r="E156" i="82"/>
  <c r="D157" i="82"/>
  <c r="G156" i="82"/>
  <c r="C156" i="82"/>
  <c r="F168" i="82"/>
  <c r="F168" i="11522"/>
  <c r="G168" i="11522"/>
  <c r="C168" i="11522"/>
  <c r="G150" i="36"/>
  <c r="D150" i="36"/>
  <c r="E150" i="36"/>
  <c r="H150" i="36"/>
  <c r="F150" i="36"/>
  <c r="C150" i="36"/>
  <c r="C155" i="2819"/>
  <c r="F167" i="2819"/>
  <c r="F155" i="2819"/>
  <c r="D155" i="2819"/>
  <c r="E188" i="1024"/>
  <c r="F188" i="1024"/>
  <c r="H188" i="1024"/>
  <c r="G131" i="768"/>
  <c r="D131" i="768"/>
  <c r="E131" i="768"/>
  <c r="G151" i="36"/>
  <c r="F151" i="36"/>
  <c r="D151" i="36"/>
  <c r="F163" i="36"/>
  <c r="E151" i="36"/>
  <c r="D152" i="36"/>
  <c r="C158" i="512"/>
  <c r="D159" i="512"/>
  <c r="F158" i="512"/>
  <c r="E158" i="512"/>
  <c r="G158" i="512"/>
  <c r="D158" i="512"/>
  <c r="D156" i="2316"/>
  <c r="C155" i="2316"/>
  <c r="G155" i="2316"/>
  <c r="G179" i="2316"/>
  <c r="G161" i="2819"/>
  <c r="E161" i="2819"/>
  <c r="D161" i="2819"/>
  <c r="F257" i="3"/>
  <c r="D257" i="3"/>
  <c r="H257" i="3"/>
  <c r="D250" i="4888"/>
  <c r="F261" i="4888"/>
  <c r="F249" i="4888"/>
  <c r="E249" i="4888"/>
  <c r="C249" i="4888"/>
  <c r="E156" i="36"/>
  <c r="H156" i="36"/>
  <c r="D156" i="36"/>
  <c r="F168" i="36"/>
  <c r="G156" i="36"/>
  <c r="C156" i="36"/>
  <c r="F156" i="36"/>
  <c r="F153" i="515"/>
  <c r="E153" i="515"/>
  <c r="C153" i="515"/>
  <c r="G153" i="515"/>
  <c r="D153" i="515"/>
  <c r="H153" i="515"/>
  <c r="H254" i="3"/>
  <c r="G254" i="3"/>
  <c r="G259" i="3"/>
  <c r="F259" i="3"/>
  <c r="F158" i="8196"/>
  <c r="D159" i="8196"/>
  <c r="F170" i="8196"/>
  <c r="G158" i="8196"/>
  <c r="D158" i="8196"/>
  <c r="C151" i="36"/>
  <c r="G161" i="82"/>
  <c r="E161" i="82"/>
  <c r="F161" i="82"/>
  <c r="C161" i="82"/>
  <c r="D161" i="82"/>
  <c r="G48" i="25585"/>
  <c r="G243" i="25580"/>
  <c r="E243" i="25580"/>
  <c r="D244" i="25580"/>
  <c r="F243" i="25580"/>
  <c r="D243" i="25580"/>
  <c r="C243" i="25580"/>
  <c r="F224" i="25580"/>
  <c r="G224" i="25580"/>
  <c r="G248" i="25580"/>
  <c r="F236" i="25580"/>
  <c r="G251" i="10541"/>
  <c r="E251" i="10541"/>
  <c r="D251" i="10541"/>
  <c r="D252" i="10541"/>
  <c r="C150" i="11522"/>
  <c r="D150" i="11522"/>
  <c r="G150" i="11522"/>
  <c r="E150" i="11522"/>
  <c r="F150" i="11522"/>
  <c r="E255" i="32"/>
  <c r="D254" i="32"/>
  <c r="D162" i="36"/>
  <c r="D161" i="36"/>
  <c r="H161" i="36"/>
  <c r="F161" i="36"/>
  <c r="E161" i="36"/>
  <c r="D258" i="3"/>
  <c r="H226" i="3"/>
  <c r="H250" i="3"/>
  <c r="F104" i="768"/>
  <c r="G104" i="768"/>
  <c r="D164" i="40"/>
  <c r="D165" i="40"/>
  <c r="E164" i="40"/>
  <c r="D171" i="512"/>
  <c r="C170" i="512"/>
  <c r="G256" i="3"/>
  <c r="E244" i="3"/>
  <c r="H243" i="3"/>
  <c r="D243" i="3"/>
  <c r="F235" i="3"/>
  <c r="H235" i="3"/>
  <c r="G235" i="3"/>
  <c r="G168" i="515"/>
  <c r="C168" i="515"/>
  <c r="E168" i="515"/>
  <c r="D168" i="515"/>
  <c r="E161" i="11522"/>
  <c r="D161" i="11522"/>
  <c r="G128" i="10285"/>
  <c r="B170" i="1024"/>
  <c r="F1570" i="1"/>
  <c r="D152" i="516"/>
  <c r="F152" i="516"/>
  <c r="G152" i="516"/>
  <c r="H152" i="516"/>
  <c r="C152" i="516"/>
  <c r="H157" i="36"/>
  <c r="F157" i="36"/>
  <c r="E157" i="36"/>
  <c r="C157" i="36"/>
  <c r="D167" i="523"/>
  <c r="C167" i="523"/>
  <c r="F167" i="523"/>
  <c r="D168" i="523"/>
  <c r="E190" i="512"/>
  <c r="D190" i="512"/>
  <c r="C190" i="512"/>
  <c r="C155" i="82"/>
  <c r="G155" i="82"/>
  <c r="F167" i="82"/>
  <c r="H155" i="82"/>
  <c r="C248" i="20994"/>
  <c r="D248" i="20994" s="1"/>
  <c r="E249" i="20994"/>
  <c r="F163" i="516"/>
  <c r="H163" i="516"/>
  <c r="E163" i="516"/>
  <c r="D164" i="516"/>
  <c r="G163" i="516"/>
  <c r="G160" i="8196"/>
  <c r="D161" i="8196"/>
  <c r="E167" i="8196"/>
  <c r="E166" i="8196"/>
  <c r="D169" i="515"/>
  <c r="G169" i="515"/>
  <c r="C169" i="515"/>
  <c r="F169" i="515"/>
  <c r="E169" i="515"/>
  <c r="F155" i="515"/>
  <c r="G155" i="515"/>
  <c r="H155" i="515"/>
  <c r="G213" i="10541"/>
  <c r="D213" i="10541"/>
  <c r="D214" i="10541"/>
  <c r="G229" i="10541"/>
  <c r="C205" i="10541"/>
  <c r="E214" i="10541"/>
  <c r="D205" i="10541"/>
  <c r="F147" i="10541"/>
  <c r="D147" i="10541"/>
  <c r="E147" i="10541"/>
  <c r="C147" i="10541"/>
  <c r="F48" i="10541"/>
  <c r="F36" i="10541"/>
  <c r="E36" i="10541"/>
  <c r="G36" i="10541"/>
  <c r="D36" i="10541"/>
  <c r="D30" i="10541"/>
  <c r="D29" i="10541"/>
  <c r="G53" i="10541"/>
  <c r="D14" i="512"/>
  <c r="F26" i="512"/>
  <c r="G38" i="512"/>
  <c r="C187" i="2048"/>
  <c r="E187" i="2048"/>
  <c r="E259" i="10541"/>
  <c r="F186" i="512"/>
  <c r="E186" i="512"/>
  <c r="C163" i="82"/>
  <c r="G163" i="82"/>
  <c r="G154" i="40"/>
  <c r="D154" i="40"/>
  <c r="C153" i="11522"/>
  <c r="F153" i="11522"/>
  <c r="D153" i="11522"/>
  <c r="G153" i="11522"/>
  <c r="H153" i="11522"/>
  <c r="D154" i="11522"/>
  <c r="F165" i="11522"/>
  <c r="D154" i="36"/>
  <c r="E154" i="36"/>
  <c r="F166" i="36"/>
  <c r="H154" i="36"/>
  <c r="H242" i="3"/>
  <c r="G242" i="3"/>
  <c r="B246" i="32"/>
  <c r="L282" i="1"/>
  <c r="G170" i="515"/>
  <c r="D170" i="515"/>
  <c r="E170" i="515"/>
  <c r="F170" i="515"/>
  <c r="D171" i="515"/>
  <c r="E1555" i="1"/>
  <c r="B97" i="1024"/>
  <c r="E103" i="4888"/>
  <c r="F58" i="4888"/>
  <c r="C58" i="4888"/>
  <c r="F27" i="4888"/>
  <c r="D105" i="523"/>
  <c r="F116" i="523"/>
  <c r="G128" i="523"/>
  <c r="G104" i="523"/>
  <c r="D104" i="523"/>
  <c r="D96" i="523"/>
  <c r="D97" i="523"/>
  <c r="G253" i="10541"/>
  <c r="F239" i="32"/>
  <c r="D239" i="32"/>
  <c r="C250" i="20994"/>
  <c r="D250" i="20994" s="1"/>
  <c r="G250" i="20994"/>
  <c r="F154" i="515"/>
  <c r="C154" i="515"/>
  <c r="D154" i="515"/>
  <c r="E154" i="515"/>
  <c r="G160" i="82"/>
  <c r="D160" i="82"/>
  <c r="C160" i="82"/>
  <c r="E160" i="82"/>
  <c r="F160" i="82"/>
  <c r="C180" i="9216"/>
  <c r="D180" i="9216" s="1"/>
  <c r="H180" i="9216"/>
  <c r="D160" i="516"/>
  <c r="E160" i="516"/>
  <c r="C160" i="516"/>
  <c r="F160" i="516"/>
  <c r="D254" i="10541"/>
  <c r="B236" i="32"/>
  <c r="J284" i="1"/>
  <c r="H165" i="1024"/>
  <c r="C165" i="1024"/>
  <c r="D165" i="1024" s="1"/>
  <c r="B161" i="20994"/>
  <c r="F950" i="1"/>
  <c r="D16" i="2316"/>
  <c r="H251" i="20994"/>
  <c r="E167" i="36"/>
  <c r="E171" i="36"/>
  <c r="H71" i="40"/>
  <c r="H46" i="40"/>
  <c r="H114" i="40"/>
  <c r="H36" i="40"/>
  <c r="H95" i="40"/>
  <c r="H141" i="40"/>
  <c r="H110" i="40"/>
  <c r="H149" i="40"/>
  <c r="H103" i="40"/>
  <c r="H16" i="40"/>
  <c r="H163" i="40"/>
  <c r="H111" i="40"/>
  <c r="H81" i="40"/>
  <c r="H11" i="40"/>
  <c r="H24" i="40"/>
  <c r="H133" i="40"/>
  <c r="H130" i="40"/>
  <c r="H171" i="40"/>
  <c r="H17" i="40"/>
  <c r="H42" i="40"/>
  <c r="H153" i="40"/>
  <c r="H84" i="40"/>
  <c r="H89" i="40"/>
  <c r="H131" i="40"/>
  <c r="H19" i="40"/>
  <c r="H97" i="40"/>
  <c r="H67" i="40"/>
  <c r="H76" i="40"/>
  <c r="H123" i="40"/>
  <c r="H49" i="40"/>
  <c r="H139" i="40"/>
  <c r="H74" i="40"/>
  <c r="H154" i="40"/>
  <c r="H9" i="40"/>
  <c r="H13" i="40"/>
  <c r="H124" i="40"/>
  <c r="H117" i="40"/>
  <c r="H150" i="40"/>
  <c r="H156" i="40"/>
  <c r="H12" i="40"/>
  <c r="H164" i="40"/>
  <c r="H170" i="40"/>
  <c r="H87" i="40"/>
  <c r="H25" i="40"/>
  <c r="H61" i="40"/>
  <c r="H66" i="40"/>
  <c r="H91" i="40"/>
  <c r="H138" i="40"/>
  <c r="H21" i="40"/>
  <c r="H59" i="40"/>
  <c r="H88" i="40"/>
  <c r="H58" i="40"/>
  <c r="H116" i="40"/>
  <c r="H120" i="40"/>
  <c r="H168" i="40"/>
  <c r="H28" i="40"/>
  <c r="H26" i="40"/>
  <c r="H157" i="40"/>
  <c r="H44" i="40"/>
  <c r="H94" i="40"/>
  <c r="H62" i="40"/>
  <c r="H40" i="40"/>
  <c r="H79" i="40"/>
  <c r="H152" i="40"/>
  <c r="F160" i="512"/>
  <c r="G184" i="512"/>
  <c r="G177" i="512"/>
  <c r="E177" i="512"/>
  <c r="E180" i="523"/>
  <c r="D181" i="523"/>
  <c r="H60" i="82"/>
  <c r="H22" i="82"/>
  <c r="H33" i="82"/>
  <c r="H128" i="82"/>
  <c r="H29" i="82"/>
  <c r="H171" i="82"/>
  <c r="H53" i="82"/>
  <c r="D253" i="4888"/>
  <c r="E257" i="4888"/>
  <c r="G179" i="2819"/>
  <c r="H138" i="82"/>
  <c r="H38" i="82"/>
  <c r="E154" i="82"/>
  <c r="G156" i="516"/>
  <c r="G153" i="516"/>
  <c r="E153" i="516"/>
  <c r="F153" i="516"/>
  <c r="G166" i="36"/>
  <c r="H166" i="36"/>
  <c r="D167" i="36"/>
  <c r="G164" i="11522"/>
  <c r="F164" i="11522"/>
  <c r="D169" i="11522"/>
  <c r="D170" i="11522"/>
  <c r="G169" i="11522"/>
  <c r="E169" i="11522"/>
  <c r="F125" i="82"/>
  <c r="E125" i="82"/>
  <c r="F137" i="82"/>
  <c r="C125" i="82"/>
  <c r="D125" i="82"/>
  <c r="D126" i="82"/>
  <c r="G125" i="82"/>
  <c r="F117" i="82"/>
  <c r="D117" i="82"/>
  <c r="G117" i="82"/>
  <c r="C117" i="82"/>
  <c r="E117" i="82"/>
  <c r="F129" i="82"/>
  <c r="E101" i="82"/>
  <c r="F101" i="82"/>
  <c r="F113" i="82"/>
  <c r="D102" i="82"/>
  <c r="C101" i="82"/>
  <c r="G101" i="82"/>
  <c r="D173" i="4888"/>
  <c r="F185" i="4888"/>
  <c r="E169" i="4888"/>
  <c r="D158" i="4888"/>
  <c r="E158" i="4888"/>
  <c r="E166" i="4888"/>
  <c r="G149" i="4888"/>
  <c r="D150" i="4888"/>
  <c r="D110" i="4888"/>
  <c r="C110" i="4888"/>
  <c r="E28" i="4888"/>
  <c r="E30" i="4888"/>
  <c r="E31" i="4888"/>
  <c r="E25" i="4888"/>
  <c r="D17" i="4888"/>
  <c r="G41" i="4888"/>
  <c r="B157" i="1024"/>
  <c r="D1569" i="1"/>
  <c r="B158" i="1024"/>
  <c r="D1570" i="1"/>
  <c r="F1249" i="1"/>
  <c r="B162" i="11522"/>
  <c r="H162" i="11522" s="1"/>
  <c r="H1138" i="1"/>
  <c r="B174" i="523"/>
  <c r="H174" i="523" s="1"/>
  <c r="F191" i="2048"/>
  <c r="H108" i="515"/>
  <c r="H19" i="515"/>
  <c r="H95" i="515"/>
  <c r="H141" i="515"/>
  <c r="H62" i="515"/>
  <c r="H58" i="515"/>
  <c r="H145" i="515"/>
  <c r="H73" i="515"/>
  <c r="H124" i="515"/>
  <c r="H169" i="515"/>
  <c r="H109" i="515"/>
  <c r="H115" i="515"/>
  <c r="H168" i="515"/>
  <c r="H9" i="515"/>
  <c r="H98" i="515"/>
  <c r="H30" i="515"/>
  <c r="H50" i="515"/>
  <c r="H151" i="515"/>
  <c r="H138" i="515"/>
  <c r="H66" i="515"/>
  <c r="H97" i="515"/>
  <c r="H86" i="515"/>
  <c r="H127" i="515"/>
  <c r="H27" i="515"/>
  <c r="H84" i="515"/>
  <c r="H106" i="515"/>
  <c r="H77" i="515"/>
  <c r="H15" i="515"/>
  <c r="H10" i="515"/>
  <c r="H112" i="515"/>
  <c r="H148" i="515"/>
  <c r="H80" i="515"/>
  <c r="H8" i="515"/>
  <c r="H57" i="515"/>
  <c r="H59" i="515"/>
  <c r="H152" i="515"/>
  <c r="H113" i="515"/>
  <c r="H26" i="515"/>
  <c r="H63" i="515"/>
  <c r="H149" i="515"/>
  <c r="H102" i="515"/>
  <c r="H70" i="515"/>
  <c r="H23" i="515"/>
  <c r="H42" i="515"/>
  <c r="H28" i="515"/>
  <c r="H41" i="515"/>
  <c r="H53" i="515"/>
  <c r="E171" i="515"/>
  <c r="H52" i="515"/>
  <c r="H74" i="515"/>
  <c r="H17" i="515"/>
  <c r="H24" i="515"/>
  <c r="H111" i="515"/>
  <c r="H39" i="515"/>
  <c r="H49" i="515"/>
  <c r="H125" i="515"/>
  <c r="H14" i="515"/>
  <c r="H160" i="515"/>
  <c r="H150" i="515"/>
  <c r="H40" i="515"/>
  <c r="H79" i="515"/>
  <c r="H85" i="515"/>
  <c r="H76" i="515"/>
  <c r="E235" i="4888"/>
  <c r="C235" i="4888"/>
  <c r="F247" i="4888"/>
  <c r="F246" i="25580"/>
  <c r="E260" i="32"/>
  <c r="H10" i="82"/>
  <c r="H12" i="82"/>
  <c r="H123" i="82"/>
  <c r="H28" i="82"/>
  <c r="H16" i="82"/>
  <c r="H87" i="82"/>
  <c r="H15" i="82"/>
  <c r="D168" i="8196"/>
  <c r="H26" i="82"/>
  <c r="H134" i="82"/>
  <c r="H88" i="82"/>
  <c r="H156" i="516"/>
  <c r="D151" i="40"/>
  <c r="G150" i="40"/>
  <c r="E166" i="515"/>
  <c r="C166" i="515"/>
  <c r="G166" i="515"/>
  <c r="D156" i="515"/>
  <c r="C156" i="515"/>
  <c r="E161" i="516"/>
  <c r="D161" i="516"/>
  <c r="C161" i="516"/>
  <c r="F1519" i="1"/>
  <c r="B166" i="9216"/>
  <c r="D163" i="36"/>
  <c r="F162" i="36"/>
  <c r="C254" i="25580"/>
  <c r="G254" i="25580"/>
  <c r="F152" i="82"/>
  <c r="C152" i="82"/>
  <c r="D153" i="82"/>
  <c r="E163" i="36"/>
  <c r="G159" i="36"/>
  <c r="E170" i="36"/>
  <c r="E165" i="36"/>
  <c r="C159" i="36"/>
  <c r="C150" i="515"/>
  <c r="G150" i="515"/>
  <c r="D150" i="515"/>
  <c r="F254" i="20994"/>
  <c r="F262" i="25580"/>
  <c r="F139" i="10285"/>
  <c r="D139" i="10285"/>
  <c r="D157" i="516"/>
  <c r="D156" i="516"/>
  <c r="F156" i="516"/>
  <c r="H70" i="82"/>
  <c r="H8" i="82"/>
  <c r="H31" i="82"/>
  <c r="H45" i="82"/>
  <c r="H34" i="82"/>
  <c r="H77" i="82"/>
  <c r="H150" i="82"/>
  <c r="H75" i="82"/>
  <c r="H78" i="82"/>
  <c r="H9" i="82"/>
  <c r="H20" i="82"/>
  <c r="H89" i="82"/>
  <c r="H115" i="82"/>
  <c r="H167" i="82"/>
  <c r="H160" i="82"/>
  <c r="H156" i="82"/>
  <c r="H129" i="82"/>
  <c r="H49" i="82"/>
  <c r="H64" i="82"/>
  <c r="H141" i="82"/>
  <c r="H97" i="82"/>
  <c r="H42" i="82"/>
  <c r="H57" i="82"/>
  <c r="H132" i="82"/>
  <c r="H108" i="82"/>
  <c r="H76" i="82"/>
  <c r="H140" i="82"/>
  <c r="H158" i="82"/>
  <c r="H21" i="82"/>
  <c r="H110" i="82"/>
  <c r="H107" i="82"/>
  <c r="H72" i="82"/>
  <c r="H136" i="82"/>
  <c r="H105" i="82"/>
  <c r="H85" i="82"/>
  <c r="H69" i="82"/>
  <c r="H39" i="82"/>
  <c r="G171" i="82"/>
  <c r="H135" i="82"/>
  <c r="H106" i="82"/>
  <c r="H161" i="82"/>
  <c r="H102" i="82"/>
  <c r="H43" i="82"/>
  <c r="H14" i="82"/>
  <c r="H18" i="82"/>
  <c r="H168" i="82"/>
  <c r="H81" i="82"/>
  <c r="H111" i="82"/>
  <c r="H119" i="82"/>
  <c r="H80" i="82"/>
  <c r="H146" i="82"/>
  <c r="H126" i="82"/>
  <c r="H125" i="82"/>
  <c r="H121" i="82"/>
  <c r="H46" i="82"/>
  <c r="H11" i="82"/>
  <c r="H162" i="82"/>
  <c r="H127" i="82"/>
  <c r="H147" i="82"/>
  <c r="H164" i="82"/>
  <c r="H144" i="82"/>
  <c r="H13" i="82"/>
  <c r="H30" i="82"/>
  <c r="H152" i="82"/>
  <c r="D170" i="516"/>
  <c r="E170" i="516"/>
  <c r="D171" i="516"/>
  <c r="G252" i="3"/>
  <c r="E252" i="3"/>
  <c r="H151" i="516"/>
  <c r="G151" i="516"/>
  <c r="D60" i="3584"/>
  <c r="C61" i="3584"/>
  <c r="D151" i="515"/>
  <c r="E162" i="36"/>
  <c r="H47" i="40"/>
  <c r="H32" i="40"/>
  <c r="D171" i="40"/>
  <c r="E171" i="40"/>
  <c r="H148" i="40"/>
  <c r="H41" i="40"/>
  <c r="H106" i="40"/>
  <c r="C171" i="40"/>
  <c r="H53" i="40"/>
  <c r="H158" i="40"/>
  <c r="H142" i="40"/>
  <c r="H107" i="40"/>
  <c r="H27" i="40"/>
  <c r="E159" i="36"/>
  <c r="H148" i="516"/>
  <c r="C148" i="516"/>
  <c r="G148" i="516"/>
  <c r="D160" i="36"/>
  <c r="H160" i="36"/>
  <c r="E160" i="36"/>
  <c r="F163" i="515"/>
  <c r="C163" i="515"/>
  <c r="G163" i="515"/>
  <c r="E180" i="1024"/>
  <c r="F138" i="10285"/>
  <c r="G138" i="10285"/>
  <c r="E174" i="512"/>
  <c r="D174" i="512"/>
  <c r="E170" i="11522"/>
  <c r="E159" i="11522"/>
  <c r="F159" i="11522"/>
  <c r="F166" i="516"/>
  <c r="G154" i="516"/>
  <c r="C154" i="516"/>
  <c r="H62" i="11522"/>
  <c r="H160" i="11522"/>
  <c r="H50" i="11522"/>
  <c r="H89" i="11522"/>
  <c r="H23" i="11522"/>
  <c r="H37" i="11522"/>
  <c r="H16" i="11522"/>
  <c r="H66" i="11522"/>
  <c r="H149" i="11522"/>
  <c r="H129" i="11522"/>
  <c r="H36" i="11522"/>
  <c r="H69" i="11522"/>
  <c r="H115" i="11522"/>
  <c r="H88" i="11522"/>
  <c r="H150" i="11522"/>
  <c r="H165" i="11522"/>
  <c r="H48" i="11522"/>
  <c r="H33" i="11522"/>
  <c r="H14" i="11522"/>
  <c r="H103" i="11522"/>
  <c r="H118" i="11522"/>
  <c r="H80" i="11522"/>
  <c r="H125" i="11522"/>
  <c r="H168" i="11522"/>
  <c r="H71" i="11522"/>
  <c r="H156" i="11522"/>
  <c r="H87" i="11522"/>
  <c r="H61" i="11522"/>
  <c r="H134" i="11522"/>
  <c r="H148" i="11522"/>
  <c r="H35" i="11522"/>
  <c r="H72" i="11522"/>
  <c r="H171" i="11522"/>
  <c r="H83" i="11522"/>
  <c r="H28" i="11522"/>
  <c r="H139" i="11522"/>
  <c r="H17" i="11522"/>
  <c r="H10" i="11522"/>
  <c r="H84" i="11522"/>
  <c r="H91" i="11522"/>
  <c r="H120" i="11522"/>
  <c r="H43" i="11522"/>
  <c r="H167" i="11522"/>
  <c r="H7" i="11522"/>
  <c r="H73" i="11522"/>
  <c r="H34" i="11522"/>
  <c r="H67" i="11522"/>
  <c r="H136" i="11522"/>
  <c r="H81" i="11522"/>
  <c r="H112" i="11522"/>
  <c r="H145" i="11522"/>
  <c r="H158" i="11522"/>
  <c r="H95" i="11522"/>
  <c r="H78" i="11522"/>
  <c r="F171" i="11522"/>
  <c r="H27" i="11522"/>
  <c r="H32" i="11522"/>
  <c r="H68" i="11522"/>
  <c r="H144" i="11522"/>
  <c r="H119" i="11522"/>
  <c r="H151" i="11522"/>
  <c r="H97" i="11522"/>
  <c r="C158" i="36"/>
  <c r="H158" i="36"/>
  <c r="H82" i="82"/>
  <c r="H79" i="82"/>
  <c r="H114" i="82"/>
  <c r="H100" i="82"/>
  <c r="H159" i="82"/>
  <c r="H143" i="82"/>
  <c r="H23" i="82"/>
  <c r="D105" i="768"/>
  <c r="D166" i="8196"/>
  <c r="G255" i="4888"/>
  <c r="C255" i="4888"/>
  <c r="D171" i="82"/>
  <c r="F170" i="516"/>
  <c r="E157" i="40"/>
  <c r="G157" i="40"/>
  <c r="F158" i="516"/>
  <c r="G158" i="516"/>
  <c r="C170" i="516"/>
  <c r="H25" i="82"/>
  <c r="H86" i="82"/>
  <c r="C153" i="516"/>
  <c r="F236" i="4888"/>
  <c r="D236" i="4888"/>
  <c r="C160" i="11522"/>
  <c r="G160" i="11522"/>
  <c r="D232" i="3"/>
  <c r="E232" i="3"/>
  <c r="G169" i="36"/>
  <c r="F169" i="36"/>
  <c r="E169" i="36"/>
  <c r="B234" i="20994"/>
  <c r="F966" i="1"/>
  <c r="C184" i="523"/>
  <c r="C85" i="523"/>
  <c r="C20" i="523"/>
  <c r="G103" i="10541"/>
  <c r="C91" i="523"/>
  <c r="C124" i="523"/>
  <c r="C93" i="523"/>
  <c r="C62" i="523"/>
  <c r="C110" i="523"/>
  <c r="C33" i="523"/>
  <c r="E77" i="9216"/>
  <c r="C70" i="523"/>
  <c r="G68" i="11522"/>
  <c r="F53" i="516"/>
  <c r="F44" i="11522"/>
  <c r="F86" i="36"/>
  <c r="D106" i="82"/>
  <c r="C197" i="2561"/>
  <c r="C208" i="2561"/>
  <c r="C214" i="2561"/>
  <c r="C212" i="2561"/>
  <c r="C203" i="2561"/>
  <c r="F146" i="2048"/>
  <c r="E146" i="2048"/>
  <c r="C58" i="523"/>
  <c r="C95" i="523"/>
  <c r="F52" i="523"/>
  <c r="C90" i="523"/>
  <c r="H29" i="516"/>
  <c r="G37" i="9216"/>
  <c r="C87" i="523"/>
  <c r="C73" i="523"/>
  <c r="C9" i="523"/>
  <c r="D60" i="11522"/>
  <c r="C26" i="523"/>
  <c r="E97" i="2048"/>
  <c r="D97" i="2048"/>
  <c r="E79" i="82"/>
  <c r="F79" i="82"/>
  <c r="G103" i="82"/>
  <c r="D80" i="82"/>
  <c r="D79" i="82"/>
  <c r="C79" i="82"/>
  <c r="G79" i="82"/>
  <c r="G95" i="515"/>
  <c r="F83" i="515"/>
  <c r="D72" i="515"/>
  <c r="C71" i="515"/>
  <c r="G71" i="515"/>
  <c r="G87" i="515"/>
  <c r="E66" i="515"/>
  <c r="E63" i="515"/>
  <c r="G63" i="515"/>
  <c r="D64" i="515"/>
  <c r="E68" i="515"/>
  <c r="E65" i="515"/>
  <c r="E67" i="515"/>
  <c r="E72" i="515"/>
  <c r="E69" i="515"/>
  <c r="E73" i="515"/>
  <c r="C55" i="515"/>
  <c r="G79" i="515"/>
  <c r="D55" i="515"/>
  <c r="F67" i="515"/>
  <c r="F55" i="515"/>
  <c r="D48" i="515"/>
  <c r="F47" i="515"/>
  <c r="C47" i="515"/>
  <c r="E47" i="515"/>
  <c r="G47" i="515"/>
  <c r="D47" i="515"/>
  <c r="D40" i="515"/>
  <c r="E48" i="515"/>
  <c r="E41" i="515"/>
  <c r="E51" i="515"/>
  <c r="E39" i="515"/>
  <c r="E45" i="515"/>
  <c r="G39" i="515"/>
  <c r="F39" i="515"/>
  <c r="E46" i="515"/>
  <c r="E43" i="515"/>
  <c r="E49" i="515"/>
  <c r="E40" i="515"/>
  <c r="E42" i="515"/>
  <c r="E44" i="515"/>
  <c r="F43" i="515"/>
  <c r="F31" i="515"/>
  <c r="D31" i="515"/>
  <c r="C31" i="515"/>
  <c r="D24" i="515"/>
  <c r="D23" i="515"/>
  <c r="E23" i="515"/>
  <c r="E26" i="515"/>
  <c r="D15" i="515"/>
  <c r="E18" i="515"/>
  <c r="E24" i="515"/>
  <c r="C15" i="515"/>
  <c r="E19" i="515"/>
  <c r="E22" i="515"/>
  <c r="E25" i="515"/>
  <c r="E20" i="515"/>
  <c r="D16" i="515"/>
  <c r="E27" i="515"/>
  <c r="E16" i="515"/>
  <c r="C141" i="515"/>
  <c r="C89" i="515"/>
  <c r="C82" i="515"/>
  <c r="C146" i="515"/>
  <c r="C138" i="515"/>
  <c r="C100" i="515"/>
  <c r="C21" i="515"/>
  <c r="C122" i="515"/>
  <c r="C64" i="515"/>
  <c r="C127" i="515"/>
  <c r="C29" i="515"/>
  <c r="C119" i="515"/>
  <c r="C130" i="515"/>
  <c r="C140" i="515"/>
  <c r="C92" i="515"/>
  <c r="C135" i="515"/>
  <c r="C115" i="515"/>
  <c r="C90" i="515"/>
  <c r="C81" i="515"/>
  <c r="C114" i="515"/>
  <c r="C132" i="515"/>
  <c r="C129" i="515"/>
  <c r="C99" i="515"/>
  <c r="C41" i="515"/>
  <c r="C40" i="515"/>
  <c r="C145" i="515"/>
  <c r="C19" i="515"/>
  <c r="C14" i="515"/>
  <c r="C116" i="515"/>
  <c r="C134" i="515"/>
  <c r="C118" i="515"/>
  <c r="C123" i="515"/>
  <c r="C30" i="515"/>
  <c r="C87" i="515"/>
  <c r="C148" i="515"/>
  <c r="C54" i="515"/>
  <c r="C12" i="515"/>
  <c r="C73" i="515"/>
  <c r="C61" i="515"/>
  <c r="C68" i="515"/>
  <c r="C59" i="515"/>
  <c r="C50" i="515"/>
  <c r="C98" i="515"/>
  <c r="C108" i="515"/>
  <c r="C86" i="515"/>
  <c r="C112" i="515"/>
  <c r="C125" i="515"/>
  <c r="C139" i="515"/>
  <c r="C104" i="515"/>
  <c r="C28" i="515"/>
  <c r="C69" i="515"/>
  <c r="F19" i="515"/>
  <c r="C95" i="515"/>
  <c r="C46" i="515"/>
  <c r="C94" i="515"/>
  <c r="C65" i="515"/>
  <c r="C10" i="515"/>
  <c r="C57" i="515"/>
  <c r="C33" i="515"/>
  <c r="C147" i="515"/>
  <c r="C136" i="515"/>
  <c r="C107" i="515"/>
  <c r="C131" i="515"/>
  <c r="C93" i="515"/>
  <c r="C78" i="515"/>
  <c r="C26" i="515"/>
  <c r="C85" i="515"/>
  <c r="C137" i="515"/>
  <c r="C149" i="515"/>
  <c r="C48" i="515"/>
  <c r="C67" i="515"/>
  <c r="C27" i="515"/>
  <c r="C66" i="515"/>
  <c r="C88" i="515"/>
  <c r="C83" i="515"/>
  <c r="C102" i="515"/>
  <c r="C62" i="515"/>
  <c r="C51" i="515"/>
  <c r="C128" i="515"/>
  <c r="C110" i="515"/>
  <c r="C37" i="515"/>
  <c r="C24" i="515"/>
  <c r="C49" i="515"/>
  <c r="C18" i="515"/>
  <c r="C121" i="515"/>
  <c r="C75" i="515"/>
  <c r="C126" i="515"/>
  <c r="C22" i="515"/>
  <c r="C43" i="515"/>
  <c r="C103" i="515"/>
  <c r="C97" i="515"/>
  <c r="C101" i="515"/>
  <c r="C141" i="11522"/>
  <c r="E141" i="11522"/>
  <c r="D142" i="11522"/>
  <c r="D141" i="11522"/>
  <c r="G141" i="11522"/>
  <c r="C133" i="11522"/>
  <c r="D133" i="11522"/>
  <c r="D134" i="11522"/>
  <c r="F145" i="11522"/>
  <c r="E133" i="11522"/>
  <c r="D125" i="11522"/>
  <c r="F125" i="11522"/>
  <c r="F137" i="11522"/>
  <c r="G125" i="11522"/>
  <c r="E125" i="11522"/>
  <c r="D126" i="11522"/>
  <c r="C125" i="11522"/>
  <c r="F129" i="11522"/>
  <c r="D117" i="11522"/>
  <c r="C117" i="11522"/>
  <c r="D12" i="768"/>
  <c r="G35" i="768"/>
  <c r="E119" i="10498"/>
  <c r="G119" i="10498"/>
  <c r="D120" i="10498"/>
  <c r="C119" i="10498"/>
  <c r="F111" i="10498"/>
  <c r="D111" i="10498"/>
  <c r="E111" i="10498"/>
  <c r="D103" i="10498"/>
  <c r="C102" i="10498"/>
  <c r="E102" i="10498"/>
  <c r="C94" i="10498"/>
  <c r="E97" i="10498"/>
  <c r="F106" i="10498"/>
  <c r="G95" i="10498"/>
  <c r="F94" i="10498"/>
  <c r="E106" i="10498"/>
  <c r="E99" i="10498"/>
  <c r="D94" i="10498"/>
  <c r="E96" i="10498"/>
  <c r="E101" i="10498"/>
  <c r="E105" i="10498"/>
  <c r="E100" i="10498"/>
  <c r="E104" i="10498"/>
  <c r="F80" i="10498"/>
  <c r="D80" i="10498"/>
  <c r="D81" i="10498"/>
  <c r="G81" i="10498"/>
  <c r="F92" i="10498"/>
  <c r="C80" i="10498"/>
  <c r="E61" i="10498"/>
  <c r="D58" i="10498"/>
  <c r="E59" i="10498"/>
  <c r="G59" i="10498"/>
  <c r="E65" i="10498"/>
  <c r="E67" i="10498"/>
  <c r="F58" i="10498"/>
  <c r="E68" i="10498"/>
  <c r="F70" i="10498"/>
  <c r="E63" i="10498"/>
  <c r="G83" i="10498"/>
  <c r="E58" i="10498"/>
  <c r="E64" i="10498"/>
  <c r="H58" i="10498"/>
  <c r="E60" i="10498"/>
  <c r="C58" i="10498"/>
  <c r="D36" i="10498"/>
  <c r="G61" i="10498"/>
  <c r="F48" i="10498"/>
  <c r="D37" i="10498"/>
  <c r="J1096" i="1"/>
  <c r="B192" i="2819"/>
  <c r="H192" i="2819" s="1"/>
  <c r="D170" i="82"/>
  <c r="C38" i="523"/>
  <c r="C37" i="523"/>
  <c r="H99" i="36"/>
  <c r="H45" i="516"/>
  <c r="C128" i="523"/>
  <c r="C105" i="523"/>
  <c r="C98" i="523"/>
  <c r="F972" i="1"/>
  <c r="B240" i="20994"/>
  <c r="D131" i="82"/>
  <c r="C130" i="82"/>
  <c r="F142" i="82"/>
  <c r="F130" i="82"/>
  <c r="E130" i="82"/>
  <c r="G130" i="82"/>
  <c r="G122" i="82"/>
  <c r="F134" i="82"/>
  <c r="F122" i="82"/>
  <c r="G146" i="82"/>
  <c r="D123" i="82"/>
  <c r="D122" i="82"/>
  <c r="L9" i="1"/>
  <c r="L10" i="1" s="1"/>
  <c r="L11" i="1" s="1"/>
  <c r="L12" i="1" s="1"/>
  <c r="L13" i="1" s="1"/>
  <c r="L14" i="1" s="1"/>
  <c r="L15" i="1" s="1"/>
  <c r="L16" i="1" s="1"/>
  <c r="L17" i="1" s="1"/>
  <c r="L18" i="1" s="1"/>
  <c r="L19" i="1" s="1"/>
  <c r="L20" i="1" s="1"/>
  <c r="N9" i="1" s="1"/>
  <c r="N10" i="1" s="1"/>
  <c r="I20" i="1"/>
  <c r="C49" i="3" s="1"/>
  <c r="F140" i="10541"/>
  <c r="D140" i="10541"/>
  <c r="G99" i="36"/>
  <c r="E104" i="36"/>
  <c r="E110" i="36"/>
  <c r="E103" i="36"/>
  <c r="E107" i="36"/>
  <c r="E101" i="36"/>
  <c r="C99" i="36"/>
  <c r="D99" i="36"/>
  <c r="E105" i="36"/>
  <c r="G123" i="36"/>
  <c r="E99" i="36"/>
  <c r="F99" i="36"/>
  <c r="E93" i="36"/>
  <c r="F105" i="36"/>
  <c r="G93" i="36"/>
  <c r="F93" i="36"/>
  <c r="C93" i="36"/>
  <c r="D93" i="36"/>
  <c r="D94" i="36"/>
  <c r="G117" i="36"/>
  <c r="C86" i="36"/>
  <c r="D86" i="36"/>
  <c r="E86" i="36"/>
  <c r="G86" i="36"/>
  <c r="G110" i="36"/>
  <c r="G129" i="82"/>
  <c r="C105" i="82"/>
  <c r="G105" i="82"/>
  <c r="E105" i="82"/>
  <c r="D105" i="82"/>
  <c r="G84" i="11522"/>
  <c r="D61" i="11522"/>
  <c r="C60" i="11522"/>
  <c r="F60" i="11522"/>
  <c r="C52" i="11522"/>
  <c r="G52" i="11522"/>
  <c r="F52" i="11522"/>
  <c r="D53" i="11522"/>
  <c r="E52" i="11522"/>
  <c r="F56" i="11522"/>
  <c r="C44" i="11522"/>
  <c r="E44" i="11522"/>
  <c r="E100" i="516"/>
  <c r="C100" i="516"/>
  <c r="F100" i="516"/>
  <c r="F112" i="516"/>
  <c r="G124" i="516"/>
  <c r="D101" i="516"/>
  <c r="C53" i="516"/>
  <c r="E53" i="516"/>
  <c r="D45" i="516"/>
  <c r="F45" i="516"/>
  <c r="D46" i="516"/>
  <c r="G45" i="516"/>
  <c r="E45" i="516"/>
  <c r="F29" i="516"/>
  <c r="E29" i="516"/>
  <c r="D29" i="516"/>
  <c r="F21" i="516"/>
  <c r="E21" i="516"/>
  <c r="D22" i="516"/>
  <c r="C21" i="516"/>
  <c r="D21" i="516"/>
  <c r="D16" i="523"/>
  <c r="E23" i="523"/>
  <c r="C69" i="523"/>
  <c r="C154" i="523"/>
  <c r="C15" i="523"/>
  <c r="C109" i="523"/>
  <c r="C127" i="523"/>
  <c r="C12" i="523"/>
  <c r="C78" i="523"/>
  <c r="C31" i="523"/>
  <c r="C11" i="2561"/>
  <c r="E17" i="512"/>
  <c r="D17" i="512"/>
  <c r="C17" i="512"/>
  <c r="E102" i="36"/>
  <c r="F114" i="36"/>
  <c r="D103" i="36"/>
  <c r="G126" i="36"/>
  <c r="F102" i="36"/>
  <c r="C102" i="36"/>
  <c r="E81" i="36"/>
  <c r="G105" i="36"/>
  <c r="C81" i="36"/>
  <c r="G81" i="36"/>
  <c r="G74" i="36"/>
  <c r="D74" i="36"/>
  <c r="C74" i="36"/>
  <c r="C53" i="10498"/>
  <c r="E53" i="10498"/>
  <c r="G54" i="10498"/>
  <c r="G78" i="10498"/>
  <c r="F65" i="10498"/>
  <c r="D54" i="10498"/>
  <c r="D46" i="10498"/>
  <c r="D45" i="10498"/>
  <c r="E45" i="10498"/>
  <c r="F57" i="10498"/>
  <c r="F45" i="10498"/>
  <c r="C45" i="10498"/>
  <c r="G39" i="10498"/>
  <c r="E38" i="10498"/>
  <c r="F50" i="10498"/>
  <c r="D38" i="10498"/>
  <c r="E30" i="10498"/>
  <c r="D31" i="10498"/>
  <c r="D30" i="10498"/>
  <c r="C30" i="10498"/>
  <c r="D7" i="10498"/>
  <c r="F18" i="10498"/>
  <c r="B136" i="512"/>
  <c r="L1384" i="1"/>
  <c r="D932" i="1"/>
  <c r="D933" i="1"/>
  <c r="D934" i="1"/>
  <c r="B38" i="2316"/>
  <c r="H342" i="1"/>
  <c r="F336" i="1"/>
  <c r="B20" i="2316"/>
  <c r="D166" i="4888"/>
  <c r="D119" i="4888"/>
  <c r="F65" i="4888"/>
  <c r="F81" i="36"/>
  <c r="H98" i="10498"/>
  <c r="H37" i="10498"/>
  <c r="H69" i="10498"/>
  <c r="H40" i="10498"/>
  <c r="H8" i="10498"/>
  <c r="H83" i="10498"/>
  <c r="H113" i="10498"/>
  <c r="H82" i="10498"/>
  <c r="H85" i="10498"/>
  <c r="H122" i="10498"/>
  <c r="H84" i="10498"/>
  <c r="H73" i="10498"/>
  <c r="H45" i="10498"/>
  <c r="H74" i="10498"/>
  <c r="H12" i="10498"/>
  <c r="H87" i="10498"/>
  <c r="H59" i="10498"/>
  <c r="H54" i="10498"/>
  <c r="H107" i="10498"/>
  <c r="H62" i="10498"/>
  <c r="H91" i="10498"/>
  <c r="H53" i="10498"/>
  <c r="D125" i="10498"/>
  <c r="H64" i="10498"/>
  <c r="H80" i="10498"/>
  <c r="H78" i="10498"/>
  <c r="H52" i="10498"/>
  <c r="H17" i="10498"/>
  <c r="H68" i="10498"/>
  <c r="H33" i="10498"/>
  <c r="H71" i="10498"/>
  <c r="H28" i="10498"/>
  <c r="H29" i="10498"/>
  <c r="H32" i="10498"/>
  <c r="C125" i="10498"/>
  <c r="H9" i="10498"/>
  <c r="H65" i="10498"/>
  <c r="H14" i="10498"/>
  <c r="F125" i="10498"/>
  <c r="H23" i="10498"/>
  <c r="H5" i="10498"/>
  <c r="H105" i="10498"/>
  <c r="H76" i="10498"/>
  <c r="H18" i="10498"/>
  <c r="H115" i="10498"/>
  <c r="H112" i="10498"/>
  <c r="H46" i="10498"/>
  <c r="H120" i="10498"/>
  <c r="H118" i="10498"/>
  <c r="H88" i="10498"/>
  <c r="H96" i="10498"/>
  <c r="H109" i="10498"/>
  <c r="H95" i="10498"/>
  <c r="H44" i="10498"/>
  <c r="H15" i="10498"/>
  <c r="H61" i="10498"/>
  <c r="H43" i="10498"/>
  <c r="H116" i="10498"/>
  <c r="H104" i="10498"/>
  <c r="H57" i="10498"/>
  <c r="H123" i="10498"/>
  <c r="H79" i="10498"/>
  <c r="H51" i="10498"/>
  <c r="D6" i="10498"/>
  <c r="B107" i="9216"/>
  <c r="H1505" i="1"/>
  <c r="G1506" i="1"/>
  <c r="D12" i="10541"/>
  <c r="D11" i="10541"/>
  <c r="G141" i="36"/>
  <c r="D141" i="36"/>
  <c r="C106" i="36"/>
  <c r="D106" i="36"/>
  <c r="F106" i="36"/>
  <c r="F148" i="82"/>
  <c r="C136" i="82"/>
  <c r="D136" i="82"/>
  <c r="D128" i="82"/>
  <c r="F140" i="82"/>
  <c r="D129" i="82"/>
  <c r="C128" i="82"/>
  <c r="D112" i="82"/>
  <c r="F124" i="82"/>
  <c r="G112" i="82"/>
  <c r="F339" i="1"/>
  <c r="B23" i="2316"/>
  <c r="C215" i="2561"/>
  <c r="G23" i="1024"/>
  <c r="C22" i="25583"/>
  <c r="G70" i="10498"/>
  <c r="F107" i="10541"/>
  <c r="F84" i="82"/>
  <c r="E72" i="82"/>
  <c r="G96" i="82"/>
  <c r="D72" i="82"/>
  <c r="F76" i="82"/>
  <c r="F64" i="82"/>
  <c r="C64" i="82"/>
  <c r="C47" i="82"/>
  <c r="F47" i="82"/>
  <c r="D47" i="82"/>
  <c r="G71" i="82"/>
  <c r="E47" i="82"/>
  <c r="F59" i="82"/>
  <c r="E49" i="82"/>
  <c r="F51" i="82"/>
  <c r="E39" i="82"/>
  <c r="E46" i="82"/>
  <c r="E41" i="82"/>
  <c r="E40" i="82"/>
  <c r="E43" i="82"/>
  <c r="D40" i="82"/>
  <c r="G63" i="82"/>
  <c r="C31" i="82"/>
  <c r="F31" i="82"/>
  <c r="G55" i="82"/>
  <c r="D31" i="82"/>
  <c r="D24" i="82"/>
  <c r="E23" i="82"/>
  <c r="C15" i="82"/>
  <c r="E17" i="82"/>
  <c r="E27" i="82"/>
  <c r="E26" i="82"/>
  <c r="E22" i="82"/>
  <c r="D15" i="82"/>
  <c r="E20" i="82"/>
  <c r="D16" i="82"/>
  <c r="C104" i="82"/>
  <c r="C121" i="82"/>
  <c r="C48" i="82"/>
  <c r="C114" i="82"/>
  <c r="C16" i="82"/>
  <c r="C66" i="82"/>
  <c r="C50" i="82"/>
  <c r="C71" i="82"/>
  <c r="C61" i="82"/>
  <c r="C123" i="82"/>
  <c r="C95" i="82"/>
  <c r="C44" i="82"/>
  <c r="C34" i="82"/>
  <c r="C45" i="82"/>
  <c r="C43" i="82"/>
  <c r="C59" i="82"/>
  <c r="C143" i="82"/>
  <c r="C94" i="82"/>
  <c r="C33" i="82"/>
  <c r="C137" i="82"/>
  <c r="C110" i="82"/>
  <c r="C141" i="82"/>
  <c r="C89" i="82"/>
  <c r="C36" i="82"/>
  <c r="C142" i="82"/>
  <c r="C57" i="82"/>
  <c r="C29" i="82"/>
  <c r="C12" i="82"/>
  <c r="C68" i="82"/>
  <c r="C76" i="82"/>
  <c r="C111" i="82"/>
  <c r="C32" i="82"/>
  <c r="C129" i="82"/>
  <c r="C41" i="82"/>
  <c r="C85" i="82"/>
  <c r="C140" i="82"/>
  <c r="C10" i="82"/>
  <c r="C28" i="82"/>
  <c r="C13" i="82"/>
  <c r="C27" i="82"/>
  <c r="C21" i="82"/>
  <c r="C98" i="82"/>
  <c r="C70" i="82"/>
  <c r="C93" i="82"/>
  <c r="C97" i="82"/>
  <c r="C63" i="82"/>
  <c r="C133" i="82"/>
  <c r="C60" i="82"/>
  <c r="C144" i="82"/>
  <c r="C118" i="82"/>
  <c r="C83" i="82"/>
  <c r="C113" i="82"/>
  <c r="C9" i="82"/>
  <c r="C135" i="82"/>
  <c r="E112" i="36"/>
  <c r="G136" i="36"/>
  <c r="G34" i="10498"/>
  <c r="F33" i="10498"/>
  <c r="D34" i="10498"/>
  <c r="C33" i="10498"/>
  <c r="D33" i="10498"/>
  <c r="C9" i="10498"/>
  <c r="D10" i="10498"/>
  <c r="D35" i="2"/>
  <c r="D36" i="2"/>
  <c r="H35" i="2"/>
  <c r="G35" i="2"/>
  <c r="E35" i="2"/>
  <c r="C21" i="2"/>
  <c r="H21" i="2"/>
  <c r="E21" i="2"/>
  <c r="D21" i="2"/>
  <c r="D22" i="2"/>
  <c r="F33" i="2"/>
  <c r="D51" i="11521"/>
  <c r="D52" i="11521"/>
  <c r="H51" i="11521"/>
  <c r="E43" i="11521"/>
  <c r="F43" i="11521"/>
  <c r="D44" i="11521"/>
  <c r="D43" i="11521"/>
  <c r="G43" i="11521"/>
  <c r="H1551" i="1"/>
  <c r="B106" i="1024"/>
  <c r="G1552" i="1"/>
  <c r="G115" i="3"/>
  <c r="C198" i="2561"/>
  <c r="F153" i="4888"/>
  <c r="E153" i="4888"/>
  <c r="G129" i="4888"/>
  <c r="G121" i="4888"/>
  <c r="E148" i="36"/>
  <c r="F148" i="36"/>
  <c r="C150" i="523"/>
  <c r="E150" i="523"/>
  <c r="B241" i="20994"/>
  <c r="F973" i="1"/>
  <c r="B242" i="20994"/>
  <c r="H962" i="1"/>
  <c r="F105" i="10498"/>
  <c r="C105" i="10498"/>
  <c r="D106" i="10498"/>
  <c r="G106" i="10498"/>
  <c r="F1552" i="1"/>
  <c r="B95" i="1024"/>
  <c r="C38" i="10498"/>
  <c r="G46" i="10498"/>
  <c r="E209" i="10541"/>
  <c r="D57" i="11522"/>
  <c r="F57" i="11522"/>
  <c r="D58" i="11522"/>
  <c r="G57" i="11522"/>
  <c r="D49" i="11522"/>
  <c r="D50" i="11522"/>
  <c r="F49" i="11522"/>
  <c r="E49" i="11522"/>
  <c r="G49" i="11522"/>
  <c r="G33" i="11522"/>
  <c r="C9" i="11522"/>
  <c r="D9" i="11522"/>
  <c r="F21" i="11522"/>
  <c r="E134" i="516"/>
  <c r="D135" i="516"/>
  <c r="C134" i="516"/>
  <c r="F146" i="516"/>
  <c r="C126" i="516"/>
  <c r="E126" i="516"/>
  <c r="D127" i="516"/>
  <c r="F138" i="516"/>
  <c r="G105" i="516"/>
  <c r="E105" i="516"/>
  <c r="F117" i="516"/>
  <c r="F105" i="516"/>
  <c r="G58" i="516"/>
  <c r="F58" i="516"/>
  <c r="E58" i="516"/>
  <c r="F70" i="516"/>
  <c r="C58" i="516"/>
  <c r="D58" i="516"/>
  <c r="F50" i="516"/>
  <c r="C50" i="516"/>
  <c r="G74" i="516"/>
  <c r="E50" i="516"/>
  <c r="F62" i="516"/>
  <c r="C26" i="516"/>
  <c r="D27" i="516"/>
  <c r="F26" i="516"/>
  <c r="F30" i="516"/>
  <c r="C18" i="516"/>
  <c r="C84" i="515"/>
  <c r="F84" i="515"/>
  <c r="E84" i="515"/>
  <c r="H1425" i="1"/>
  <c r="B115" i="768"/>
  <c r="H115" i="768" s="1"/>
  <c r="C113" i="2561"/>
  <c r="E109" i="82"/>
  <c r="F99" i="82"/>
  <c r="E107" i="82"/>
  <c r="E111" i="82"/>
  <c r="F111" i="82"/>
  <c r="D99" i="82"/>
  <c r="C146" i="11522"/>
  <c r="C131" i="11522"/>
  <c r="C116" i="11522"/>
  <c r="C45" i="11522"/>
  <c r="C115" i="11522"/>
  <c r="C96" i="11522"/>
  <c r="C72" i="11522"/>
  <c r="C70" i="11522"/>
  <c r="C29" i="11522"/>
  <c r="C88" i="11522"/>
  <c r="C47" i="11522"/>
  <c r="D132" i="516"/>
  <c r="C132" i="516"/>
  <c r="C103" i="516"/>
  <c r="E103" i="516"/>
  <c r="C95" i="516"/>
  <c r="F95" i="516"/>
  <c r="E89" i="516"/>
  <c r="E87" i="516"/>
  <c r="E97" i="516"/>
  <c r="F99" i="516"/>
  <c r="C19" i="523"/>
  <c r="D19" i="523"/>
  <c r="G96" i="20994"/>
  <c r="E84" i="20994"/>
  <c r="G122" i="10498"/>
  <c r="D123" i="10498"/>
  <c r="E116" i="10498"/>
  <c r="E113" i="10498"/>
  <c r="E108" i="10498"/>
  <c r="E118" i="10498"/>
  <c r="E115" i="10498"/>
  <c r="G107" i="10498"/>
  <c r="E33" i="2"/>
  <c r="C33" i="2"/>
  <c r="D34" i="2"/>
  <c r="D33" i="2"/>
  <c r="C11" i="2"/>
  <c r="F23" i="2"/>
  <c r="E94" i="40"/>
  <c r="E89" i="40"/>
  <c r="C34" i="11521"/>
  <c r="F46" i="11521"/>
  <c r="F34" i="11521"/>
  <c r="H34" i="11521"/>
  <c r="F1504" i="1"/>
  <c r="E1505" i="1"/>
  <c r="B94" i="9216"/>
  <c r="B24" i="2316"/>
  <c r="F340" i="1"/>
  <c r="E194" i="3"/>
  <c r="F200" i="3"/>
  <c r="E193" i="3"/>
  <c r="E77" i="3"/>
  <c r="E78" i="3"/>
  <c r="F75" i="4888"/>
  <c r="E115" i="515"/>
  <c r="D112" i="515"/>
  <c r="E122" i="515"/>
  <c r="E111" i="515"/>
  <c r="G135" i="515"/>
  <c r="E117" i="515"/>
  <c r="E116" i="515"/>
  <c r="E119" i="515"/>
  <c r="C111" i="515"/>
  <c r="G103" i="515"/>
  <c r="E103" i="515"/>
  <c r="D104" i="515"/>
  <c r="E52" i="25584"/>
  <c r="D52" i="25584"/>
  <c r="E64" i="25583"/>
  <c r="E91" i="36"/>
  <c r="C91" i="36"/>
  <c r="G107" i="82"/>
  <c r="E83" i="82"/>
  <c r="C20" i="515"/>
  <c r="F106" i="11522"/>
  <c r="C106" i="11522"/>
  <c r="E81" i="11522"/>
  <c r="E85" i="11522"/>
  <c r="E28" i="11522"/>
  <c r="E39" i="11522"/>
  <c r="G37" i="516"/>
  <c r="C13" i="516"/>
  <c r="F25" i="516"/>
  <c r="F72" i="10285"/>
  <c r="C72" i="10285"/>
  <c r="F1501" i="1"/>
  <c r="E1502" i="1"/>
  <c r="B128" i="20994"/>
  <c r="L938" i="1"/>
  <c r="H211" i="3"/>
  <c r="C193" i="2561"/>
  <c r="F171" i="4888"/>
  <c r="C42" i="25580"/>
  <c r="F49" i="11520"/>
  <c r="G49" i="11520"/>
  <c r="D50" i="11520"/>
  <c r="E49" i="11520"/>
  <c r="G73" i="11520"/>
  <c r="F40" i="9728" s="1"/>
  <c r="H49" i="11520"/>
  <c r="F41" i="11520"/>
  <c r="G65" i="11520"/>
  <c r="G41" i="11520"/>
  <c r="D41" i="11520"/>
  <c r="E41" i="11520"/>
  <c r="D42" i="11520"/>
  <c r="F53" i="11520"/>
  <c r="G57" i="11520"/>
  <c r="D34" i="11520"/>
  <c r="H33" i="11520"/>
  <c r="D33" i="11520"/>
  <c r="F24" i="11520"/>
  <c r="G48" i="11520"/>
  <c r="E24" i="11520"/>
  <c r="D25" i="11520"/>
  <c r="D24" i="11520"/>
  <c r="F36" i="11520"/>
  <c r="H80" i="1024"/>
  <c r="G80" i="1024"/>
  <c r="E149" i="523"/>
  <c r="C158" i="11522"/>
  <c r="G158" i="11522"/>
  <c r="D39" i="25584"/>
  <c r="E39" i="25584"/>
  <c r="B260" i="20994"/>
  <c r="J968" i="1"/>
  <c r="C146" i="36"/>
  <c r="G146" i="36"/>
  <c r="F73" i="20994"/>
  <c r="F76" i="20994"/>
  <c r="G75" i="768"/>
  <c r="F75" i="768"/>
  <c r="E48" i="768"/>
  <c r="G72" i="768"/>
  <c r="E114" i="40"/>
  <c r="C29" i="11521"/>
  <c r="F29" i="11521"/>
  <c r="C21" i="11521"/>
  <c r="F21" i="11521"/>
  <c r="E20" i="11521"/>
  <c r="E14" i="11521"/>
  <c r="D14" i="11521"/>
  <c r="E19" i="11521"/>
  <c r="E17" i="11521"/>
  <c r="H339" i="1"/>
  <c r="B35" i="2316"/>
  <c r="D337" i="1"/>
  <c r="B9" i="2316"/>
  <c r="F334" i="1"/>
  <c r="B18" i="2316"/>
  <c r="F199" i="4888"/>
  <c r="E106" i="25580"/>
  <c r="E99" i="25580"/>
  <c r="C72" i="11520"/>
  <c r="H72" i="11520"/>
  <c r="D73" i="11520"/>
  <c r="I40" i="9728" s="1"/>
  <c r="F72" i="11520"/>
  <c r="E64" i="11520"/>
  <c r="D64" i="11520"/>
  <c r="D65" i="11520"/>
  <c r="G64" i="11520"/>
  <c r="F56" i="11520"/>
  <c r="E56" i="11520"/>
  <c r="F68" i="11520"/>
  <c r="D57" i="11520"/>
  <c r="D56" i="11520"/>
  <c r="C56" i="11520"/>
  <c r="F74" i="515"/>
  <c r="C74" i="515"/>
  <c r="G74" i="515"/>
  <c r="D74" i="515"/>
  <c r="G98" i="515"/>
  <c r="C12" i="25583"/>
  <c r="D13" i="25583"/>
  <c r="D59" i="25583"/>
  <c r="F58" i="25583"/>
  <c r="G114" i="10541"/>
  <c r="C84" i="10541"/>
  <c r="F84" i="10541"/>
  <c r="G128" i="36"/>
  <c r="E109" i="36"/>
  <c r="D94" i="82"/>
  <c r="E93" i="82"/>
  <c r="F57" i="515"/>
  <c r="G57" i="515"/>
  <c r="H168" i="20994"/>
  <c r="F110" i="10498"/>
  <c r="D99" i="10498"/>
  <c r="E98" i="10498"/>
  <c r="F98" i="10498"/>
  <c r="D77" i="10498"/>
  <c r="C76" i="10498"/>
  <c r="E69" i="10498"/>
  <c r="D69" i="10498"/>
  <c r="D70" i="10498"/>
  <c r="F59" i="10498"/>
  <c r="G48" i="10498"/>
  <c r="D31" i="1"/>
  <c r="C81" i="3"/>
  <c r="E29" i="4888"/>
  <c r="D96" i="515"/>
  <c r="D97" i="515"/>
  <c r="G96" i="515"/>
  <c r="E14" i="25583"/>
  <c r="G46" i="25583"/>
  <c r="E23" i="25584"/>
  <c r="D63" i="25584"/>
  <c r="B193" i="8196"/>
  <c r="H193" i="8196" s="1"/>
  <c r="J846" i="1"/>
  <c r="D159" i="10541"/>
  <c r="E68" i="36"/>
  <c r="E75" i="36"/>
  <c r="E77" i="512"/>
  <c r="D22" i="512"/>
  <c r="G131" i="36"/>
  <c r="D132" i="36"/>
  <c r="C111" i="36"/>
  <c r="G111" i="36"/>
  <c r="F111" i="36"/>
  <c r="C108" i="82"/>
  <c r="E108" i="82"/>
  <c r="F66" i="11522"/>
  <c r="F42" i="11522"/>
  <c r="G42" i="11522"/>
  <c r="G127" i="516"/>
  <c r="F139" i="516"/>
  <c r="E90" i="516"/>
  <c r="G75" i="516"/>
  <c r="D75" i="516"/>
  <c r="G99" i="516"/>
  <c r="E77" i="516"/>
  <c r="E75" i="516"/>
  <c r="D59" i="516"/>
  <c r="G83" i="516"/>
  <c r="E56" i="516"/>
  <c r="C51" i="516"/>
  <c r="E139" i="9216"/>
  <c r="C98" i="10285"/>
  <c r="C11" i="10285"/>
  <c r="C87" i="10285"/>
  <c r="C117" i="10498"/>
  <c r="D117" i="10498"/>
  <c r="E109" i="10498"/>
  <c r="D110" i="10498"/>
  <c r="G110" i="10498"/>
  <c r="G32" i="10498"/>
  <c r="D32" i="10498"/>
  <c r="C23" i="10498"/>
  <c r="D23" i="10498"/>
  <c r="E15" i="10498"/>
  <c r="C15" i="10498"/>
  <c r="F27" i="10498"/>
  <c r="C27" i="2"/>
  <c r="F27" i="2"/>
  <c r="E27" i="2"/>
  <c r="D13" i="2"/>
  <c r="H12" i="2"/>
  <c r="E42" i="11521"/>
  <c r="D42" i="11521"/>
  <c r="F54" i="11521"/>
  <c r="F110" i="3"/>
  <c r="D68" i="3"/>
  <c r="D201" i="3"/>
  <c r="F36" i="32"/>
  <c r="C206" i="2561"/>
  <c r="G96" i="4888"/>
  <c r="F129" i="25580"/>
  <c r="F114" i="515"/>
  <c r="E114" i="515"/>
  <c r="C106" i="515"/>
  <c r="G106" i="515"/>
  <c r="D92" i="515"/>
  <c r="C91" i="515"/>
  <c r="F33" i="25583"/>
  <c r="D33" i="25583"/>
  <c r="G68" i="25583"/>
  <c r="E44" i="25583"/>
  <c r="J1190" i="1"/>
  <c r="B190" i="2048"/>
  <c r="H190" i="2048" s="1"/>
  <c r="B191" i="2819"/>
  <c r="H191" i="2819" s="1"/>
  <c r="J1095" i="1"/>
  <c r="J970" i="1"/>
  <c r="B262" i="20994"/>
  <c r="D1548" i="1"/>
  <c r="B79" i="1024"/>
  <c r="C126" i="2561"/>
  <c r="C77" i="8196"/>
  <c r="D113" i="82"/>
  <c r="E95" i="82"/>
  <c r="C87" i="82"/>
  <c r="F87" i="82"/>
  <c r="E121" i="11522"/>
  <c r="C111" i="11522"/>
  <c r="C103" i="11522"/>
  <c r="D97" i="11522"/>
  <c r="G96" i="11522"/>
  <c r="F96" i="11522"/>
  <c r="F88" i="11522"/>
  <c r="G112" i="11522"/>
  <c r="F92" i="11522"/>
  <c r="G104" i="11522"/>
  <c r="D80" i="11522"/>
  <c r="F76" i="11522"/>
  <c r="E64" i="11522"/>
  <c r="E32" i="11522"/>
  <c r="E141" i="516"/>
  <c r="C141" i="516"/>
  <c r="F133" i="516"/>
  <c r="E133" i="516"/>
  <c r="D133" i="516"/>
  <c r="D125" i="516"/>
  <c r="C110" i="516"/>
  <c r="E110" i="516"/>
  <c r="E88" i="516"/>
  <c r="G81" i="516"/>
  <c r="F81" i="516"/>
  <c r="F73" i="516"/>
  <c r="E73" i="516"/>
  <c r="D65" i="516"/>
  <c r="G65" i="516"/>
  <c r="D66" i="516"/>
  <c r="G57" i="516"/>
  <c r="F57" i="516"/>
  <c r="C41" i="516"/>
  <c r="G41" i="516"/>
  <c r="F33" i="516"/>
  <c r="D33" i="516"/>
  <c r="G145" i="20994"/>
  <c r="C87" i="768"/>
  <c r="C29" i="10285"/>
  <c r="F29" i="10285"/>
  <c r="C85" i="10498"/>
  <c r="G86" i="10498"/>
  <c r="D86" i="10498"/>
  <c r="C65" i="10498"/>
  <c r="F77" i="10498"/>
  <c r="C37" i="10498"/>
  <c r="G38" i="10498"/>
  <c r="F37" i="10498"/>
  <c r="G30" i="10498"/>
  <c r="F29" i="10498"/>
  <c r="C29" i="10498"/>
  <c r="F21" i="10498"/>
  <c r="E21" i="10498"/>
  <c r="C21" i="10498"/>
  <c r="D103" i="2316"/>
  <c r="H25" i="2"/>
  <c r="E36" i="2"/>
  <c r="E25" i="2"/>
  <c r="E34" i="2"/>
  <c r="H10" i="11521"/>
  <c r="H44" i="11521"/>
  <c r="H18" i="11521"/>
  <c r="H38" i="11521"/>
  <c r="H43" i="11521"/>
  <c r="H40" i="11521"/>
  <c r="H25" i="11521"/>
  <c r="H36" i="11521"/>
  <c r="H14" i="11521"/>
  <c r="H56" i="11521"/>
  <c r="F56" i="11521"/>
  <c r="H32" i="11521"/>
  <c r="H23" i="11521"/>
  <c r="H28" i="11521"/>
  <c r="H26" i="11521"/>
  <c r="H50" i="11521"/>
  <c r="H17" i="11521"/>
  <c r="H20" i="11521"/>
  <c r="G48" i="11521"/>
  <c r="F48" i="11521"/>
  <c r="C40" i="11521"/>
  <c r="D41" i="11521"/>
  <c r="E26" i="11521"/>
  <c r="E33" i="11521"/>
  <c r="F37" i="11521"/>
  <c r="G49" i="11521"/>
  <c r="F18" i="11521"/>
  <c r="E18" i="11521"/>
  <c r="D10" i="11521"/>
  <c r="C10" i="11521"/>
  <c r="D191" i="3"/>
  <c r="E88" i="3"/>
  <c r="G180" i="32"/>
  <c r="D20" i="32"/>
  <c r="G222" i="4888"/>
  <c r="C145" i="523"/>
  <c r="G125" i="523"/>
  <c r="C125" i="523"/>
  <c r="D69" i="11520"/>
  <c r="F69" i="11520"/>
  <c r="H69" i="11520"/>
  <c r="D61" i="11520"/>
  <c r="E61" i="11520"/>
  <c r="C61" i="11520"/>
  <c r="F61" i="11520"/>
  <c r="E50" i="11520"/>
  <c r="F58" i="11520"/>
  <c r="E57" i="11520"/>
  <c r="D47" i="11520"/>
  <c r="D46" i="11520"/>
  <c r="E54" i="11520"/>
  <c r="F46" i="11520"/>
  <c r="E55" i="11520"/>
  <c r="E51" i="11520"/>
  <c r="G38" i="11520"/>
  <c r="D39" i="11520"/>
  <c r="G54" i="11520"/>
  <c r="D31" i="11520"/>
  <c r="F30" i="11520"/>
  <c r="G45" i="11520"/>
  <c r="C21" i="11520"/>
  <c r="D21" i="11520"/>
  <c r="G105" i="515"/>
  <c r="D81" i="515"/>
  <c r="D82" i="515"/>
  <c r="D1523" i="1"/>
  <c r="B158" i="9216"/>
  <c r="E19" i="25582"/>
  <c r="F31" i="25582"/>
  <c r="D20" i="25582"/>
  <c r="E40" i="25583"/>
  <c r="C16" i="25586"/>
  <c r="G40" i="25586" s="1"/>
  <c r="D51" i="25583"/>
  <c r="G52" i="25583"/>
  <c r="B259" i="20994"/>
  <c r="J967" i="1"/>
  <c r="E18" i="82"/>
  <c r="E121" i="36"/>
  <c r="C121" i="36"/>
  <c r="G115" i="36"/>
  <c r="C115" i="36"/>
  <c r="E141" i="82"/>
  <c r="G141" i="82"/>
  <c r="F109" i="82"/>
  <c r="G121" i="82"/>
  <c r="E85" i="82"/>
  <c r="G109" i="82"/>
  <c r="F62" i="11522"/>
  <c r="G62" i="11522"/>
  <c r="G86" i="11522"/>
  <c r="G78" i="11522"/>
  <c r="G54" i="11522"/>
  <c r="C54" i="11522"/>
  <c r="D47" i="11522"/>
  <c r="G70" i="11522"/>
  <c r="F58" i="11522"/>
  <c r="D30" i="11522"/>
  <c r="E30" i="11522"/>
  <c r="C31" i="516"/>
  <c r="E31" i="516"/>
  <c r="E25" i="516"/>
  <c r="D15" i="516"/>
  <c r="G41" i="10285"/>
  <c r="F41" i="10285"/>
  <c r="D84" i="10498"/>
  <c r="G108" i="10498"/>
  <c r="G58" i="10498"/>
  <c r="G51" i="10498"/>
  <c r="D50" i="10498"/>
  <c r="D51" i="10498"/>
  <c r="G38" i="11521"/>
  <c r="D38" i="11521"/>
  <c r="D39" i="11521"/>
  <c r="G55" i="11521"/>
  <c r="D32" i="11521"/>
  <c r="G31" i="11521"/>
  <c r="C23" i="11521"/>
  <c r="F35" i="11521"/>
  <c r="D23" i="11521"/>
  <c r="D17" i="11521"/>
  <c r="D16" i="11521"/>
  <c r="C8" i="11521"/>
  <c r="D9" i="11521"/>
  <c r="D8" i="11521"/>
  <c r="D1500" i="1"/>
  <c r="B78" i="9216"/>
  <c r="C1501" i="1"/>
  <c r="E107" i="3"/>
  <c r="G120" i="4888"/>
  <c r="D67" i="11520"/>
  <c r="G67" i="11520"/>
  <c r="H67" i="11520"/>
  <c r="E67" i="11520"/>
  <c r="F71" i="11520"/>
  <c r="D60" i="11520"/>
  <c r="C59" i="11520"/>
  <c r="G44" i="11520"/>
  <c r="D44" i="11520"/>
  <c r="E44" i="11520"/>
  <c r="F48" i="11520"/>
  <c r="D36" i="11520"/>
  <c r="E36" i="11520"/>
  <c r="G36" i="11520"/>
  <c r="H36" i="11520"/>
  <c r="D28" i="11520"/>
  <c r="C28" i="11520"/>
  <c r="F28" i="11520"/>
  <c r="E28" i="11520"/>
  <c r="E79" i="515"/>
  <c r="D79" i="515"/>
  <c r="G45" i="1024"/>
  <c r="D26" i="25582"/>
  <c r="E26" i="25582"/>
  <c r="D9" i="25582"/>
  <c r="C9" i="25582"/>
  <c r="G38" i="25585"/>
  <c r="L108" i="3584"/>
  <c r="K109" i="3584"/>
  <c r="D92" i="2048"/>
  <c r="F85" i="2048"/>
  <c r="E65" i="512"/>
  <c r="C125" i="8196"/>
  <c r="E87" i="36"/>
  <c r="E90" i="36"/>
  <c r="E98" i="36"/>
  <c r="G147" i="82"/>
  <c r="E148" i="82"/>
  <c r="D148" i="82"/>
  <c r="D118" i="82"/>
  <c r="E118" i="82"/>
  <c r="E103" i="82"/>
  <c r="C103" i="82"/>
  <c r="F115" i="82"/>
  <c r="G124" i="11522"/>
  <c r="F100" i="11522"/>
  <c r="F112" i="11522"/>
  <c r="C69" i="11522"/>
  <c r="F93" i="516"/>
  <c r="C93" i="516"/>
  <c r="D94" i="516"/>
  <c r="F97" i="516"/>
  <c r="E85" i="516"/>
  <c r="C97" i="516"/>
  <c r="C22" i="516"/>
  <c r="C139" i="516"/>
  <c r="C125" i="516"/>
  <c r="C131" i="516"/>
  <c r="C27" i="516"/>
  <c r="C121" i="516"/>
  <c r="C77" i="516"/>
  <c r="C112" i="516"/>
  <c r="C84" i="516"/>
  <c r="C86" i="516"/>
  <c r="C47" i="516"/>
  <c r="C129" i="516"/>
  <c r="C107" i="516"/>
  <c r="C101" i="516"/>
  <c r="C91" i="516"/>
  <c r="C19" i="516"/>
  <c r="C24" i="516"/>
  <c r="G103" i="20994"/>
  <c r="H42" i="20994"/>
  <c r="F115" i="10498"/>
  <c r="E103" i="10498"/>
  <c r="F108" i="10498"/>
  <c r="D96" i="10498"/>
  <c r="E85" i="10498"/>
  <c r="F53" i="11521"/>
  <c r="C53" i="11521"/>
  <c r="E45" i="11521"/>
  <c r="D46" i="11521"/>
  <c r="F45" i="11521"/>
  <c r="C30" i="11521"/>
  <c r="E30" i="11521"/>
  <c r="F22" i="11521"/>
  <c r="C202" i="2561"/>
  <c r="C142" i="523"/>
  <c r="F25" i="25580"/>
  <c r="E33" i="25580"/>
  <c r="F113" i="515"/>
  <c r="G101" i="515"/>
  <c r="E101" i="515"/>
  <c r="D94" i="515"/>
  <c r="E94" i="515"/>
  <c r="F86" i="515"/>
  <c r="G86" i="515"/>
  <c r="B159" i="9216"/>
  <c r="D1524" i="1"/>
  <c r="B163" i="11522"/>
  <c r="F1250" i="1"/>
  <c r="G170" i="523"/>
  <c r="D30" i="25583"/>
  <c r="C30" i="25583"/>
  <c r="C48" i="25583"/>
  <c r="G48" i="25583"/>
  <c r="E12" i="25586"/>
  <c r="D16" i="25585"/>
  <c r="C158" i="25580"/>
  <c r="E158" i="25580"/>
  <c r="G158" i="25580"/>
  <c r="D21" i="4888"/>
  <c r="E21" i="4888"/>
  <c r="D41" i="25580"/>
  <c r="F41" i="25580"/>
  <c r="E31" i="25580"/>
  <c r="C80" i="515"/>
  <c r="C77" i="1024"/>
  <c r="D77" i="1024" s="1"/>
  <c r="G161" i="2048"/>
  <c r="E27" i="25586"/>
  <c r="E31" i="25586"/>
  <c r="C57" i="25583"/>
  <c r="D43" i="25585"/>
  <c r="E64" i="25582"/>
  <c r="C190" i="1024"/>
  <c r="D190" i="1024" s="1"/>
  <c r="E192" i="512"/>
  <c r="B193" i="2048"/>
  <c r="H193" i="2048" s="1"/>
  <c r="J1193" i="1"/>
  <c r="C142" i="10285"/>
  <c r="D142" i="10285"/>
  <c r="G142" i="10285"/>
  <c r="D262" i="3"/>
  <c r="E108" i="25580"/>
  <c r="E60" i="25580"/>
  <c r="E29" i="25580"/>
  <c r="F22" i="25580"/>
  <c r="D219" i="4888"/>
  <c r="C161" i="523"/>
  <c r="B173" i="1024"/>
  <c r="H1561" i="1"/>
  <c r="E242" i="10541"/>
  <c r="D26" i="25583"/>
  <c r="F35" i="25584"/>
  <c r="D9" i="25586"/>
  <c r="G47" i="25585"/>
  <c r="G262" i="3"/>
  <c r="E262" i="3"/>
  <c r="B262" i="2561"/>
  <c r="H262" i="2561" s="1"/>
  <c r="J437" i="1"/>
  <c r="D136" i="25580"/>
  <c r="G136" i="25580"/>
  <c r="E86" i="25580"/>
  <c r="C219" i="2561"/>
  <c r="G155" i="11522"/>
  <c r="G1563" i="1"/>
  <c r="G1562" i="1"/>
  <c r="G1564" i="1"/>
  <c r="D36" i="25582"/>
  <c r="D19" i="25583"/>
  <c r="C32" i="25583"/>
  <c r="D18" i="25584"/>
  <c r="G42" i="25584"/>
  <c r="G50" i="25584"/>
  <c r="G55" i="25583"/>
  <c r="F68" i="25583"/>
  <c r="D56" i="25583"/>
  <c r="G55" i="25584"/>
  <c r="E60" i="25584"/>
  <c r="H186" i="9216"/>
  <c r="G58" i="25584"/>
  <c r="D256" i="10541"/>
  <c r="C192" i="523"/>
  <c r="J63" i="1"/>
  <c r="D50" i="25586"/>
  <c r="E50" i="25586"/>
  <c r="C50" i="25586"/>
  <c r="G74" i="25586" s="1"/>
  <c r="E142" i="10285"/>
  <c r="C133" i="523"/>
  <c r="G80" i="523"/>
  <c r="D50" i="25580"/>
  <c r="F75" i="515"/>
  <c r="E27" i="1024"/>
  <c r="G45" i="25583"/>
  <c r="G34" i="25584"/>
  <c r="E20" i="25584"/>
  <c r="F65" i="25582"/>
  <c r="F53" i="25582"/>
  <c r="E39" i="25586"/>
  <c r="C190" i="9216"/>
  <c r="D190" i="9216" s="1"/>
  <c r="B261" i="10541"/>
  <c r="H261" i="10541" s="1"/>
  <c r="L531" i="1"/>
  <c r="B142" i="768"/>
  <c r="H142" i="768" s="1"/>
  <c r="L1428" i="1"/>
  <c r="F1517" i="1"/>
  <c r="F42" i="25584"/>
  <c r="C50" i="25582"/>
  <c r="B261" i="32"/>
  <c r="N285" i="1"/>
  <c r="B191" i="9216"/>
  <c r="B261" i="2561"/>
  <c r="H261" i="2561" s="1"/>
  <c r="B262" i="10541"/>
  <c r="H262" i="10541" s="1"/>
  <c r="L532" i="1"/>
  <c r="G1517" i="1"/>
  <c r="C11" i="25582"/>
  <c r="C41" i="25583"/>
  <c r="C192" i="1024"/>
  <c r="D192" i="1024" s="1"/>
  <c r="D193" i="2316"/>
  <c r="C193" i="2316"/>
  <c r="G193" i="2316"/>
  <c r="J1567" i="1"/>
  <c r="B191" i="1024"/>
  <c r="C66" i="25583"/>
  <c r="B193" i="9216"/>
  <c r="J1522" i="1"/>
  <c r="B263" i="32"/>
  <c r="N287" i="1"/>
  <c r="G262" i="25580"/>
  <c r="F48" i="25585"/>
  <c r="B261" i="20994"/>
  <c r="J969" i="1"/>
  <c r="J124" i="1"/>
  <c r="B261" i="25580"/>
  <c r="H261" i="25580" s="1"/>
  <c r="E262" i="25580"/>
  <c r="D50" i="25585"/>
  <c r="C50" i="25585"/>
  <c r="G74" i="25585" s="1"/>
  <c r="C262" i="25580"/>
  <c r="C193" i="512"/>
  <c r="D193" i="512"/>
  <c r="F193" i="512"/>
  <c r="G193" i="512"/>
  <c r="G262" i="4888"/>
  <c r="J1192" i="1"/>
  <c r="J1569" i="1"/>
  <c r="G193" i="523"/>
  <c r="D193" i="523"/>
  <c r="C193" i="523"/>
  <c r="F193" i="523"/>
  <c r="E193" i="523"/>
  <c r="C262" i="4888"/>
  <c r="E262" i="4888"/>
  <c r="C193" i="1024"/>
  <c r="E193" i="1024"/>
  <c r="G193" i="1024"/>
  <c r="C193" i="2819"/>
  <c r="E193" i="2819"/>
  <c r="G193" i="2819"/>
  <c r="D68" i="25583"/>
  <c r="G68" i="25582"/>
  <c r="F68" i="25582"/>
  <c r="D68" i="25582"/>
  <c r="E64" i="25584"/>
  <c r="D64" i="25584"/>
  <c r="G64" i="25584"/>
  <c r="E68" i="25583"/>
  <c r="C68" i="25583"/>
  <c r="F318" i="2561" l="1"/>
  <c r="D311" i="2561"/>
  <c r="F322" i="2561"/>
  <c r="G12" i="9728" s="1"/>
  <c r="G320" i="2561"/>
  <c r="F320" i="2561"/>
  <c r="D252" i="1024"/>
  <c r="D252" i="9216"/>
  <c r="D321" i="20994"/>
  <c r="E320" i="2561"/>
  <c r="E321" i="2561"/>
  <c r="D320" i="2561"/>
  <c r="E251" i="2316"/>
  <c r="E252" i="2316"/>
  <c r="D319" i="2561"/>
  <c r="C320" i="32"/>
  <c r="C321" i="32"/>
  <c r="D251" i="1024"/>
  <c r="D251" i="9216"/>
  <c r="D320" i="20994"/>
  <c r="D318" i="2561"/>
  <c r="D250" i="1024"/>
  <c r="D250" i="9216"/>
  <c r="D319" i="20994"/>
  <c r="E249" i="2316"/>
  <c r="E250" i="2316"/>
  <c r="E318" i="2561"/>
  <c r="E319" i="2561"/>
  <c r="D249" i="1024"/>
  <c r="D249" i="9216"/>
  <c r="D318" i="20994"/>
  <c r="F317" i="2561"/>
  <c r="D317" i="2561"/>
  <c r="E317" i="2561"/>
  <c r="G317" i="2561"/>
  <c r="E248" i="2316"/>
  <c r="C316" i="32"/>
  <c r="C318" i="32"/>
  <c r="D248" i="1024"/>
  <c r="D248" i="9216"/>
  <c r="D317" i="20994"/>
  <c r="G314" i="2561"/>
  <c r="G311" i="2561"/>
  <c r="D316" i="2561"/>
  <c r="F316" i="2561"/>
  <c r="E316" i="2561"/>
  <c r="G316" i="2561"/>
  <c r="G301" i="2561"/>
  <c r="E245" i="2316"/>
  <c r="E247" i="2316"/>
  <c r="D247" i="1024"/>
  <c r="D247" i="9216"/>
  <c r="D316" i="20994"/>
  <c r="D313" i="2561"/>
  <c r="D315" i="2561"/>
  <c r="G315" i="2561"/>
  <c r="F315" i="2561"/>
  <c r="E315" i="2561"/>
  <c r="E246" i="2316"/>
  <c r="D246" i="1024"/>
  <c r="D246" i="9216"/>
  <c r="D315" i="20994"/>
  <c r="C314" i="32"/>
  <c r="C315" i="32"/>
  <c r="D245" i="1024"/>
  <c r="D245" i="9216"/>
  <c r="D314" i="20994"/>
  <c r="E314" i="2561"/>
  <c r="D314" i="2561"/>
  <c r="D303" i="2561"/>
  <c r="F314" i="2561"/>
  <c r="F312" i="2561"/>
  <c r="D244" i="1024"/>
  <c r="D244" i="9216"/>
  <c r="D313" i="20994"/>
  <c r="F313" i="2561"/>
  <c r="E313" i="2561"/>
  <c r="E243" i="2316"/>
  <c r="E244" i="2316"/>
  <c r="D312" i="2561"/>
  <c r="C312" i="32"/>
  <c r="C313" i="32"/>
  <c r="D312" i="20994"/>
  <c r="D243" i="1024"/>
  <c r="D243" i="9216"/>
  <c r="F300" i="2561"/>
  <c r="G312" i="2561"/>
  <c r="F310" i="2561"/>
  <c r="F311" i="2561"/>
  <c r="E311" i="2561"/>
  <c r="E312" i="2561"/>
  <c r="D310" i="2561"/>
  <c r="D242" i="1024"/>
  <c r="D242" i="9216"/>
  <c r="D311" i="20994"/>
  <c r="E241" i="2316"/>
  <c r="E242" i="2316"/>
  <c r="C310" i="32"/>
  <c r="C311" i="32"/>
  <c r="D241" i="1024"/>
  <c r="D241" i="9216"/>
  <c r="D310" i="20994"/>
  <c r="F298" i="2561"/>
  <c r="G310" i="2561"/>
  <c r="E309" i="2561"/>
  <c r="E310" i="2561"/>
  <c r="G309" i="2561"/>
  <c r="F309" i="2561"/>
  <c r="D309" i="2561"/>
  <c r="F308" i="2561"/>
  <c r="D306" i="2561"/>
  <c r="D308" i="2561"/>
  <c r="G308" i="2561"/>
  <c r="G167" i="1024"/>
  <c r="G179" i="1024"/>
  <c r="D240" i="1024"/>
  <c r="D240" i="9216"/>
  <c r="D309" i="20994"/>
  <c r="E239" i="2316"/>
  <c r="E240" i="2316"/>
  <c r="F307" i="2561"/>
  <c r="D307" i="2561"/>
  <c r="G307" i="2561"/>
  <c r="C308" i="32"/>
  <c r="C309" i="32"/>
  <c r="D239" i="1024"/>
  <c r="D239" i="9216"/>
  <c r="D308" i="20994"/>
  <c r="E307" i="2561"/>
  <c r="E308" i="2561"/>
  <c r="D300" i="2561"/>
  <c r="G300" i="2561"/>
  <c r="D238" i="1024"/>
  <c r="D238" i="9216"/>
  <c r="D307" i="20994"/>
  <c r="G305" i="2561"/>
  <c r="F306" i="2561"/>
  <c r="G306" i="2561"/>
  <c r="F305" i="2561"/>
  <c r="E237" i="2316"/>
  <c r="E238" i="2316"/>
  <c r="D304" i="2561"/>
  <c r="G304" i="2561"/>
  <c r="F304" i="2561"/>
  <c r="C306" i="32"/>
  <c r="C307" i="32"/>
  <c r="D237" i="1024"/>
  <c r="H59" i="9216"/>
  <c r="F174" i="9216"/>
  <c r="F179" i="9216"/>
  <c r="F184" i="9216"/>
  <c r="F178" i="9216"/>
  <c r="F182" i="9216"/>
  <c r="G184" i="9216"/>
  <c r="D237" i="9216"/>
  <c r="F160" i="9216"/>
  <c r="D306" i="20994"/>
  <c r="E305" i="2561"/>
  <c r="E306" i="2561"/>
  <c r="G303" i="2561"/>
  <c r="F303" i="2561"/>
  <c r="D305" i="2561"/>
  <c r="D236" i="1024"/>
  <c r="D236" i="9216"/>
  <c r="D305" i="20994"/>
  <c r="E235" i="2316"/>
  <c r="E236" i="2316"/>
  <c r="G156" i="2561"/>
  <c r="C304" i="32"/>
  <c r="C305" i="32"/>
  <c r="E168" i="1024"/>
  <c r="E167" i="1024"/>
  <c r="F167" i="1024"/>
  <c r="H167" i="1024"/>
  <c r="D235" i="1024"/>
  <c r="F177" i="9216"/>
  <c r="F183" i="9216"/>
  <c r="F163" i="9216"/>
  <c r="C172" i="9216"/>
  <c r="D172" i="9216" s="1"/>
  <c r="G167" i="9216"/>
  <c r="H155" i="9216"/>
  <c r="F181" i="9216"/>
  <c r="E156" i="9216"/>
  <c r="D235" i="9216"/>
  <c r="F180" i="9216"/>
  <c r="E155" i="9216"/>
  <c r="F175" i="9216"/>
  <c r="G59" i="9216"/>
  <c r="H179" i="9216"/>
  <c r="G172" i="9216"/>
  <c r="D304" i="20994"/>
  <c r="E303" i="2561"/>
  <c r="E304" i="2561"/>
  <c r="D234" i="1024"/>
  <c r="D234" i="9216"/>
  <c r="D303" i="20994"/>
  <c r="E233" i="2316"/>
  <c r="E234" i="2316"/>
  <c r="F302" i="2561"/>
  <c r="C302" i="32"/>
  <c r="C303" i="32"/>
  <c r="F178" i="1024"/>
  <c r="D233" i="1024"/>
  <c r="D233" i="9216"/>
  <c r="D302" i="20994"/>
  <c r="F290" i="2561"/>
  <c r="G302" i="2561"/>
  <c r="D302" i="2561"/>
  <c r="E302" i="2561"/>
  <c r="D301" i="2561"/>
  <c r="D157" i="2561"/>
  <c r="D232" i="1024"/>
  <c r="D232" i="9216"/>
  <c r="G160" i="20994"/>
  <c r="G148" i="20994"/>
  <c r="D301" i="20994"/>
  <c r="E300" i="2561"/>
  <c r="E301" i="2561"/>
  <c r="F301" i="2561"/>
  <c r="E231" i="2316"/>
  <c r="E232" i="2316"/>
  <c r="G299" i="2561"/>
  <c r="D299" i="2561"/>
  <c r="F299" i="2561"/>
  <c r="C300" i="32"/>
  <c r="C301" i="32"/>
  <c r="D231" i="1024"/>
  <c r="D231" i="9216"/>
  <c r="F176" i="20994"/>
  <c r="G233" i="20994"/>
  <c r="D300" i="20994"/>
  <c r="D298" i="2561"/>
  <c r="G289" i="2561"/>
  <c r="D124" i="2561"/>
  <c r="G274" i="2561"/>
  <c r="G279" i="2561"/>
  <c r="F180" i="1024"/>
  <c r="F177" i="1024"/>
  <c r="F181" i="1024"/>
  <c r="H196" i="1024"/>
  <c r="C59" i="9216"/>
  <c r="D59" i="9216" s="1"/>
  <c r="F170" i="9216"/>
  <c r="E60" i="9216"/>
  <c r="E59" i="9216"/>
  <c r="G155" i="9216"/>
  <c r="F172" i="9216"/>
  <c r="H172" i="9216"/>
  <c r="F165" i="9216"/>
  <c r="C169" i="9216"/>
  <c r="D169" i="9216" s="1"/>
  <c r="C160" i="9216"/>
  <c r="D160" i="9216" s="1"/>
  <c r="F155" i="9216"/>
  <c r="H83" i="9216"/>
  <c r="F59" i="9216"/>
  <c r="F162" i="9216"/>
  <c r="H184" i="9216"/>
  <c r="F161" i="9216"/>
  <c r="G160" i="9216"/>
  <c r="E161" i="9216"/>
  <c r="F167" i="9216"/>
  <c r="H160" i="9216"/>
  <c r="H196" i="9216"/>
  <c r="C155" i="9216"/>
  <c r="D155" i="9216" s="1"/>
  <c r="G71" i="9216"/>
  <c r="F169" i="9216"/>
  <c r="C233" i="20994"/>
  <c r="D233" i="20994" s="1"/>
  <c r="H257" i="20994"/>
  <c r="G245" i="20994"/>
  <c r="D230" i="1024"/>
  <c r="D230" i="9216"/>
  <c r="D299" i="20994"/>
  <c r="E298" i="2561"/>
  <c r="E299" i="2561"/>
  <c r="E229" i="2316"/>
  <c r="E230" i="2316"/>
  <c r="G293" i="2561"/>
  <c r="G296" i="2561"/>
  <c r="E76" i="2561"/>
  <c r="G88" i="2561"/>
  <c r="F296" i="2561"/>
  <c r="D229" i="1024"/>
  <c r="E141" i="9216"/>
  <c r="D229" i="9216"/>
  <c r="F132" i="20994"/>
  <c r="D298" i="20994"/>
  <c r="E233" i="20994"/>
  <c r="F233" i="20994"/>
  <c r="H233" i="20994"/>
  <c r="E401" i="3"/>
  <c r="D402" i="3"/>
  <c r="F297" i="2561"/>
  <c r="C141" i="9216"/>
  <c r="D141" i="9216" s="1"/>
  <c r="E170" i="9216"/>
  <c r="G169" i="9216"/>
  <c r="G181" i="9216"/>
  <c r="H169" i="9216"/>
  <c r="H172" i="20994"/>
  <c r="F148" i="20994"/>
  <c r="E148" i="20994"/>
  <c r="H148" i="20994"/>
  <c r="C148" i="20994"/>
  <c r="D148" i="20994" s="1"/>
  <c r="E149" i="20994"/>
  <c r="E106" i="2316"/>
  <c r="E111" i="2316"/>
  <c r="D297" i="2561"/>
  <c r="D228" i="9216"/>
  <c r="D228" i="1024"/>
  <c r="D297" i="20994"/>
  <c r="F285" i="2561"/>
  <c r="G297" i="2561"/>
  <c r="E296" i="2561"/>
  <c r="E297" i="2561"/>
  <c r="E227" i="2316"/>
  <c r="E228" i="2316"/>
  <c r="E45" i="2561"/>
  <c r="D33" i="2316"/>
  <c r="C296" i="32"/>
  <c r="C297" i="32"/>
  <c r="C189" i="32"/>
  <c r="D227" i="1024"/>
  <c r="D227" i="9216"/>
  <c r="D296" i="20994"/>
  <c r="D407" i="3"/>
  <c r="G294" i="2561"/>
  <c r="F294" i="2561"/>
  <c r="D294" i="2561"/>
  <c r="D296" i="2561"/>
  <c r="F122" i="2561"/>
  <c r="D295" i="2561"/>
  <c r="F192" i="2561"/>
  <c r="G295" i="2561"/>
  <c r="G277" i="2561"/>
  <c r="F110" i="2561"/>
  <c r="F143" i="2561"/>
  <c r="G62" i="2561"/>
  <c r="G110" i="2561"/>
  <c r="F295" i="2561"/>
  <c r="D11" i="2316"/>
  <c r="C10" i="2316"/>
  <c r="E128" i="2316"/>
  <c r="E226" i="2316"/>
  <c r="G34" i="2316"/>
  <c r="F141" i="9216"/>
  <c r="D226" i="1024"/>
  <c r="F1524" i="1"/>
  <c r="B171" i="9216"/>
  <c r="C33" i="2316"/>
  <c r="H1514" i="1"/>
  <c r="B173" i="9216"/>
  <c r="D295" i="20994"/>
  <c r="D15" i="2316"/>
  <c r="D226" i="9216"/>
  <c r="G287" i="2561"/>
  <c r="F293" i="2561"/>
  <c r="D293" i="2561"/>
  <c r="E294" i="2561"/>
  <c r="E295" i="2561"/>
  <c r="G292" i="2561"/>
  <c r="D292" i="2561"/>
  <c r="F207" i="2561"/>
  <c r="G57" i="2316"/>
  <c r="D34" i="2316"/>
  <c r="F45" i="2316"/>
  <c r="F33" i="2316"/>
  <c r="E33" i="2316"/>
  <c r="F26" i="2316"/>
  <c r="D225" i="1024"/>
  <c r="H165" i="9216"/>
  <c r="G153" i="9216"/>
  <c r="E142" i="9216"/>
  <c r="D225" i="9216"/>
  <c r="D294" i="20994"/>
  <c r="D409" i="3"/>
  <c r="D410" i="3"/>
  <c r="G112" i="2561"/>
  <c r="F72" i="2561"/>
  <c r="G148" i="2561"/>
  <c r="E88" i="2561"/>
  <c r="G124" i="2561"/>
  <c r="F88" i="2561"/>
  <c r="G36" i="2316"/>
  <c r="F22" i="2316"/>
  <c r="E133" i="2316"/>
  <c r="E135" i="2316"/>
  <c r="C12" i="2316"/>
  <c r="D12" i="2316"/>
  <c r="C293" i="32"/>
  <c r="C294" i="32"/>
  <c r="D224" i="1024"/>
  <c r="D224" i="9216"/>
  <c r="E133" i="20994"/>
  <c r="E176" i="20994"/>
  <c r="H132" i="20994"/>
  <c r="G132" i="20994"/>
  <c r="E132" i="20994"/>
  <c r="H176" i="20994"/>
  <c r="D293" i="20994"/>
  <c r="C176" i="20994"/>
  <c r="D176" i="20994" s="1"/>
  <c r="G144" i="20994"/>
  <c r="H156" i="20994"/>
  <c r="H200" i="20994"/>
  <c r="C132" i="20994"/>
  <c r="D132" i="20994" s="1"/>
  <c r="G288" i="2561"/>
  <c r="E223" i="2316"/>
  <c r="E224" i="2316"/>
  <c r="E292" i="2561"/>
  <c r="E293" i="2561"/>
  <c r="D223" i="1024"/>
  <c r="F164" i="9216"/>
  <c r="D223" i="9216"/>
  <c r="D292" i="20994"/>
  <c r="D281" i="2561"/>
  <c r="F292" i="2561"/>
  <c r="G290" i="2561"/>
  <c r="G45" i="2561"/>
  <c r="D224" i="2561"/>
  <c r="F281" i="2561"/>
  <c r="E221" i="2316"/>
  <c r="C14" i="2316"/>
  <c r="F183" i="1024"/>
  <c r="H172" i="1024"/>
  <c r="G184" i="1024"/>
  <c r="F184" i="1024"/>
  <c r="F179" i="1024"/>
  <c r="F182" i="1024"/>
  <c r="G172" i="1024"/>
  <c r="C172" i="1024"/>
  <c r="D172" i="1024" s="1"/>
  <c r="D291" i="20994"/>
  <c r="L1541" i="1"/>
  <c r="B63" i="1024"/>
  <c r="B237" i="20994"/>
  <c r="F969" i="1"/>
  <c r="D222" i="1024"/>
  <c r="G955" i="1"/>
  <c r="H954" i="1"/>
  <c r="B177" i="20994"/>
  <c r="B235" i="20994"/>
  <c r="F967" i="1"/>
  <c r="F968" i="1"/>
  <c r="B236" i="20994"/>
  <c r="C291" i="32"/>
  <c r="C292" i="32"/>
  <c r="D291" i="2561"/>
  <c r="E291" i="2561"/>
  <c r="F291" i="2561"/>
  <c r="G291" i="2561"/>
  <c r="E222" i="2316"/>
  <c r="D222" i="9216"/>
  <c r="D289" i="2561"/>
  <c r="D221" i="1024"/>
  <c r="D221" i="9216"/>
  <c r="D290" i="20994"/>
  <c r="D290" i="2561"/>
  <c r="E290" i="2561"/>
  <c r="C289" i="32"/>
  <c r="C290" i="32"/>
  <c r="D220" i="1024"/>
  <c r="D220" i="9216"/>
  <c r="D289" i="20994"/>
  <c r="F288" i="2561"/>
  <c r="D286" i="2561"/>
  <c r="G278" i="2561"/>
  <c r="G281" i="2561"/>
  <c r="G280" i="2561"/>
  <c r="F284" i="2561"/>
  <c r="E219" i="2316"/>
  <c r="E220" i="2316"/>
  <c r="F289" i="2561"/>
  <c r="E289" i="2561"/>
  <c r="D288" i="2561"/>
  <c r="D219" i="1024"/>
  <c r="D219" i="9216"/>
  <c r="D288" i="20994"/>
  <c r="F287" i="2561"/>
  <c r="D287" i="2561"/>
  <c r="E287" i="2561"/>
  <c r="E288" i="2561"/>
  <c r="C287" i="32"/>
  <c r="C288" i="32"/>
  <c r="D218" i="1024"/>
  <c r="D218" i="9216"/>
  <c r="D287" i="20994"/>
  <c r="E217" i="2316"/>
  <c r="E218" i="2316"/>
  <c r="D217" i="1024"/>
  <c r="H217" i="9216"/>
  <c r="D217" i="9216"/>
  <c r="H286" i="20994"/>
  <c r="D286" i="20994"/>
  <c r="F282" i="2561"/>
  <c r="D282" i="2561"/>
  <c r="D285" i="2561"/>
  <c r="D284" i="2561"/>
  <c r="G286" i="10541"/>
  <c r="G217" i="8196"/>
  <c r="G166" i="768"/>
  <c r="D275" i="2561"/>
  <c r="F286" i="2561"/>
  <c r="G287" i="32"/>
  <c r="G217" i="2048"/>
  <c r="E285" i="2561"/>
  <c r="E286" i="2561"/>
  <c r="C285" i="32"/>
  <c r="C286" i="32"/>
  <c r="D216" i="1024"/>
  <c r="D216" i="9216"/>
  <c r="H285" i="20994"/>
  <c r="D285" i="20994"/>
  <c r="F279" i="2561"/>
  <c r="D279" i="2561"/>
  <c r="G285" i="25580"/>
  <c r="G285" i="10541"/>
  <c r="G216" i="2819"/>
  <c r="E215" i="2316"/>
  <c r="E216" i="2316"/>
  <c r="G143" i="2561"/>
  <c r="E59" i="2561"/>
  <c r="H215" i="1024"/>
  <c r="D215" i="1024"/>
  <c r="H215" i="9216"/>
  <c r="D215" i="9216"/>
  <c r="D284" i="20994"/>
  <c r="H284" i="20994"/>
  <c r="G270" i="2561"/>
  <c r="G272" i="2561"/>
  <c r="F278" i="2561"/>
  <c r="F280" i="2561"/>
  <c r="F272" i="2561"/>
  <c r="G284" i="2561"/>
  <c r="G283" i="2561"/>
  <c r="E283" i="2561"/>
  <c r="E284" i="2561"/>
  <c r="G285" i="32"/>
  <c r="F283" i="2561"/>
  <c r="D283" i="2561"/>
  <c r="G72" i="25586"/>
  <c r="C283" i="32"/>
  <c r="C284" i="32"/>
  <c r="D214" i="1024"/>
  <c r="D214" i="9216"/>
  <c r="D283" i="20994"/>
  <c r="H283" i="20994"/>
  <c r="G269" i="2561"/>
  <c r="E213" i="2316"/>
  <c r="E214" i="2316"/>
  <c r="G71" i="25586"/>
  <c r="G214" i="2048"/>
  <c r="D213" i="1024"/>
  <c r="D213" i="9216"/>
  <c r="D282" i="20994"/>
  <c r="E281" i="2561"/>
  <c r="E282" i="2561"/>
  <c r="F270" i="2561"/>
  <c r="G282" i="2561"/>
  <c r="C281" i="32"/>
  <c r="C282" i="32"/>
  <c r="D212" i="1024"/>
  <c r="D212" i="9216"/>
  <c r="D281" i="20994"/>
  <c r="E211" i="2316"/>
  <c r="E212" i="2316"/>
  <c r="D280" i="2561"/>
  <c r="D211" i="1024"/>
  <c r="D211" i="9216"/>
  <c r="D280" i="20994"/>
  <c r="E279" i="2561"/>
  <c r="E280" i="2561"/>
  <c r="C278" i="32"/>
  <c r="C280" i="32"/>
  <c r="D210" i="1024"/>
  <c r="D210" i="9216"/>
  <c r="D279" i="20994"/>
  <c r="D277" i="2561"/>
  <c r="E209" i="2316"/>
  <c r="E210" i="2316"/>
  <c r="D20" i="2561"/>
  <c r="E107" i="2561"/>
  <c r="G275" i="2561"/>
  <c r="G144" i="2561"/>
  <c r="E132" i="2316"/>
  <c r="E134" i="2316"/>
  <c r="E131" i="2316"/>
  <c r="E129" i="2316"/>
  <c r="E125" i="2316"/>
  <c r="E127" i="2316"/>
  <c r="E126" i="2316"/>
  <c r="D209" i="1024"/>
  <c r="D209" i="9216"/>
  <c r="D278" i="20994"/>
  <c r="F275" i="2561"/>
  <c r="D274" i="2561"/>
  <c r="E208" i="2316"/>
  <c r="E278" i="2561"/>
  <c r="D278" i="2561"/>
  <c r="F155" i="2561"/>
  <c r="C169" i="32"/>
  <c r="D208" i="1024"/>
  <c r="D208" i="9216"/>
  <c r="D277" i="20994"/>
  <c r="G65" i="25586"/>
  <c r="E277" i="2561"/>
  <c r="F277" i="2561"/>
  <c r="E149" i="2561"/>
  <c r="G43" i="2561"/>
  <c r="D271" i="2561"/>
  <c r="D56" i="2561"/>
  <c r="F271" i="2561"/>
  <c r="G271" i="2561"/>
  <c r="E152" i="2561"/>
  <c r="F87" i="2561"/>
  <c r="E276" i="2561"/>
  <c r="F276" i="2561"/>
  <c r="D276" i="2561"/>
  <c r="G276" i="2561"/>
  <c r="E207" i="2316"/>
  <c r="C276" i="32"/>
  <c r="C277" i="32"/>
  <c r="D207" i="1024"/>
  <c r="D207" i="9216"/>
  <c r="D276" i="20994"/>
  <c r="G125" i="2561"/>
  <c r="E168" i="2561"/>
  <c r="D206" i="1024"/>
  <c r="D206" i="9216"/>
  <c r="D275" i="20994"/>
  <c r="E205" i="2316"/>
  <c r="E206" i="2316"/>
  <c r="E274" i="2561"/>
  <c r="E275" i="2561"/>
  <c r="D272" i="2561"/>
  <c r="D28" i="2561"/>
  <c r="E140" i="2316"/>
  <c r="C274" i="32"/>
  <c r="C275" i="32"/>
  <c r="D205" i="1024"/>
  <c r="G205" i="9216"/>
  <c r="D205" i="9216"/>
  <c r="G274" i="20994"/>
  <c r="D274" i="20994"/>
  <c r="E410" i="3"/>
  <c r="E403" i="3"/>
  <c r="F274" i="10541"/>
  <c r="F205" i="8196"/>
  <c r="F154" i="768"/>
  <c r="F275" i="32"/>
  <c r="F205" i="2048"/>
  <c r="F273" i="10541"/>
  <c r="D143" i="2561"/>
  <c r="E273" i="2561"/>
  <c r="D273" i="2561"/>
  <c r="G273" i="2561"/>
  <c r="F204" i="2819"/>
  <c r="E204" i="2316"/>
  <c r="E154" i="2316"/>
  <c r="E157" i="2316"/>
  <c r="D204" i="1024"/>
  <c r="D204" i="9216"/>
  <c r="D273" i="20994"/>
  <c r="G273" i="20994"/>
  <c r="F273" i="25580"/>
  <c r="H273" i="3"/>
  <c r="G203" i="1024"/>
  <c r="D203" i="1024"/>
  <c r="G203" i="9216"/>
  <c r="D203" i="9216"/>
  <c r="G272" i="20994"/>
  <c r="D272" i="20994"/>
  <c r="E202" i="2316"/>
  <c r="E203" i="2316"/>
  <c r="D270" i="2561"/>
  <c r="F203" i="2819"/>
  <c r="E271" i="2561"/>
  <c r="E272" i="2561"/>
  <c r="E143" i="2561"/>
  <c r="F204" i="2561"/>
  <c r="E30" i="2561"/>
  <c r="D196" i="2561"/>
  <c r="C160" i="32"/>
  <c r="C272" i="32"/>
  <c r="D202" i="1024"/>
  <c r="D202" i="9216"/>
  <c r="G271" i="20994"/>
  <c r="D271" i="20994"/>
  <c r="F202" i="2048"/>
  <c r="G59" i="25586"/>
  <c r="D145" i="2561"/>
  <c r="D88" i="2561"/>
  <c r="G220" i="2561"/>
  <c r="D73" i="2561"/>
  <c r="G196" i="2561"/>
  <c r="E196" i="2561"/>
  <c r="D94" i="2561"/>
  <c r="C233" i="32"/>
  <c r="C142" i="32"/>
  <c r="C216" i="32"/>
  <c r="D201" i="1024"/>
  <c r="D270" i="20994"/>
  <c r="E178" i="2561"/>
  <c r="D201" i="9216"/>
  <c r="F79" i="2561"/>
  <c r="D105" i="2561"/>
  <c r="G59" i="2561"/>
  <c r="E101" i="2561"/>
  <c r="B171" i="1024"/>
  <c r="F1571" i="1"/>
  <c r="C136" i="32"/>
  <c r="C271" i="32"/>
  <c r="E147" i="2561"/>
  <c r="D175" i="2561"/>
  <c r="F128" i="2561"/>
  <c r="D144" i="2561"/>
  <c r="E130" i="2316"/>
  <c r="E200" i="2316"/>
  <c r="E201" i="2316"/>
  <c r="F269" i="2561"/>
  <c r="E269" i="2561"/>
  <c r="E270" i="2561"/>
  <c r="D67" i="2561"/>
  <c r="F85" i="2561"/>
  <c r="G85" i="2561"/>
  <c r="F44" i="2561"/>
  <c r="D269" i="2561"/>
  <c r="F182" i="2561"/>
  <c r="F166" i="2561"/>
  <c r="G164" i="2561"/>
  <c r="E24" i="2561"/>
  <c r="G96" i="2561"/>
  <c r="F40" i="2561"/>
  <c r="G72" i="2561"/>
  <c r="D192" i="2561"/>
  <c r="E78" i="2561"/>
  <c r="F56" i="2561"/>
  <c r="E108" i="2561"/>
  <c r="G58" i="2561"/>
  <c r="D24" i="2561"/>
  <c r="D173" i="2561"/>
  <c r="F129" i="2561"/>
  <c r="G185" i="2561"/>
  <c r="D153" i="2561"/>
  <c r="E44" i="2561"/>
  <c r="F225" i="2561"/>
  <c r="E82" i="2561"/>
  <c r="G73" i="2561"/>
  <c r="E77" i="2561"/>
  <c r="E35" i="2561"/>
  <c r="D125" i="2561"/>
  <c r="D221" i="2561"/>
  <c r="G55" i="2561"/>
  <c r="F84" i="2561"/>
  <c r="F183" i="2561"/>
  <c r="G78" i="2561"/>
  <c r="E108" i="2316"/>
  <c r="E110" i="2316"/>
  <c r="E101" i="2316"/>
  <c r="E91" i="2316"/>
  <c r="C238" i="32"/>
  <c r="G141" i="32"/>
  <c r="C256" i="32"/>
  <c r="C133" i="32"/>
  <c r="C152" i="32"/>
  <c r="C190" i="32"/>
  <c r="F131" i="32"/>
  <c r="G140" i="32"/>
  <c r="C164" i="32"/>
  <c r="G147" i="32"/>
  <c r="G135" i="32"/>
  <c r="C254" i="32"/>
  <c r="C227" i="32"/>
  <c r="C198" i="32"/>
  <c r="C239" i="32"/>
  <c r="C241" i="32"/>
  <c r="G136" i="32"/>
  <c r="C199" i="32"/>
  <c r="C192" i="32"/>
  <c r="C197" i="32"/>
  <c r="C203" i="32"/>
  <c r="C150" i="32"/>
  <c r="C135" i="32"/>
  <c r="C226" i="32"/>
  <c r="C270" i="32"/>
  <c r="C259" i="32"/>
  <c r="G150" i="32"/>
  <c r="G149" i="32"/>
  <c r="C167" i="32"/>
  <c r="C260" i="32"/>
  <c r="C225" i="32"/>
  <c r="G145" i="32"/>
  <c r="C211" i="32"/>
  <c r="D200" i="1024"/>
  <c r="D200" i="9216"/>
  <c r="D269" i="20994"/>
  <c r="E407" i="3"/>
  <c r="E409" i="3"/>
  <c r="E405" i="3"/>
  <c r="D401" i="3"/>
  <c r="E404" i="3"/>
  <c r="F267" i="2561"/>
  <c r="G270" i="32"/>
  <c r="D268" i="2561"/>
  <c r="G268" i="2561"/>
  <c r="G97" i="2561"/>
  <c r="E47" i="2561"/>
  <c r="D111" i="2561"/>
  <c r="F147" i="2561"/>
  <c r="E153" i="2561"/>
  <c r="E83" i="2561"/>
  <c r="F116" i="2561"/>
  <c r="E155" i="2561"/>
  <c r="G267" i="2561"/>
  <c r="G40" i="2561"/>
  <c r="E93" i="2561"/>
  <c r="F99" i="2561"/>
  <c r="F165" i="2561"/>
  <c r="E40" i="2561"/>
  <c r="F268" i="2561"/>
  <c r="E74" i="2561"/>
  <c r="G80" i="2561"/>
  <c r="E90" i="2561"/>
  <c r="G68" i="2561"/>
  <c r="F137" i="2561"/>
  <c r="F24" i="2561"/>
  <c r="G49" i="2561"/>
  <c r="D267" i="2561"/>
  <c r="D57" i="2561"/>
  <c r="G145" i="2561"/>
  <c r="G175" i="2561"/>
  <c r="F211" i="2561"/>
  <c r="D58" i="2561"/>
  <c r="E146" i="2561"/>
  <c r="F22" i="2561"/>
  <c r="D71" i="2561"/>
  <c r="G69" i="2561"/>
  <c r="E81" i="2561"/>
  <c r="G223" i="2561"/>
  <c r="D200" i="2561"/>
  <c r="E144" i="2316"/>
  <c r="C182" i="32"/>
  <c r="C140" i="32"/>
  <c r="C248" i="32"/>
  <c r="C166" i="32"/>
  <c r="C184" i="32"/>
  <c r="C144" i="32"/>
  <c r="C186" i="32"/>
  <c r="C172" i="32"/>
  <c r="C178" i="32"/>
  <c r="C176" i="32"/>
  <c r="C179" i="32"/>
  <c r="C258" i="32"/>
  <c r="C132" i="32"/>
  <c r="C183" i="32"/>
  <c r="C161" i="32"/>
  <c r="F135" i="32"/>
  <c r="C240" i="32"/>
  <c r="G151" i="32"/>
  <c r="C151" i="32"/>
  <c r="C194" i="32"/>
  <c r="C149" i="32"/>
  <c r="C220" i="32"/>
  <c r="C147" i="32"/>
  <c r="C268" i="32"/>
  <c r="C269" i="32"/>
  <c r="C145" i="32"/>
  <c r="F139" i="32"/>
  <c r="C165" i="32"/>
  <c r="E133" i="32"/>
  <c r="C207" i="32"/>
  <c r="F132" i="32"/>
  <c r="G131" i="32"/>
  <c r="C223" i="32"/>
  <c r="C187" i="32"/>
  <c r="C206" i="32"/>
  <c r="C230" i="32"/>
  <c r="C264" i="32"/>
  <c r="C137" i="32"/>
  <c r="G134" i="32"/>
  <c r="F130" i="32"/>
  <c r="D199" i="1024"/>
  <c r="D199" i="9216"/>
  <c r="D268" i="20994"/>
  <c r="G57" i="25586"/>
  <c r="D405" i="3"/>
  <c r="E267" i="2561"/>
  <c r="E268" i="2561"/>
  <c r="E198" i="2316"/>
  <c r="E199" i="2316"/>
  <c r="E37" i="2561"/>
  <c r="D14" i="2561"/>
  <c r="G158" i="2561"/>
  <c r="D216" i="2561"/>
  <c r="F37" i="2561"/>
  <c r="D40" i="2561"/>
  <c r="D87" i="2561"/>
  <c r="F89" i="2561"/>
  <c r="G169" i="2561"/>
  <c r="E75" i="2561"/>
  <c r="E42" i="2561"/>
  <c r="G86" i="2561"/>
  <c r="E92" i="2561"/>
  <c r="F57" i="2561"/>
  <c r="E46" i="2561"/>
  <c r="F115" i="2561"/>
  <c r="F148" i="2561"/>
  <c r="E96" i="2561"/>
  <c r="E106" i="2561"/>
  <c r="G191" i="2561"/>
  <c r="E19" i="2561"/>
  <c r="F177" i="2561"/>
  <c r="F27" i="2561"/>
  <c r="D96" i="2561"/>
  <c r="E38" i="2561"/>
  <c r="G139" i="2561"/>
  <c r="F104" i="2561"/>
  <c r="G116" i="2561"/>
  <c r="G265" i="2561"/>
  <c r="F76" i="2561"/>
  <c r="G229" i="2561"/>
  <c r="F49" i="2561"/>
  <c r="F78" i="2561"/>
  <c r="E97" i="2561"/>
  <c r="E147" i="2316"/>
  <c r="E139" i="2316"/>
  <c r="C228" i="32"/>
  <c r="G153" i="32"/>
  <c r="C249" i="32"/>
  <c r="G137" i="32"/>
  <c r="C221" i="32"/>
  <c r="G130" i="32"/>
  <c r="C243" i="32"/>
  <c r="C231" i="32"/>
  <c r="C235" i="32"/>
  <c r="C154" i="32"/>
  <c r="C146" i="32"/>
  <c r="C174" i="32"/>
  <c r="C131" i="32"/>
  <c r="C215" i="32"/>
  <c r="E134" i="32"/>
  <c r="C130" i="32"/>
  <c r="C138" i="32"/>
  <c r="C222" i="32"/>
  <c r="C159" i="32"/>
  <c r="C232" i="32"/>
  <c r="C255" i="32"/>
  <c r="G138" i="32"/>
  <c r="F133" i="32"/>
  <c r="F137" i="32"/>
  <c r="G143" i="32"/>
  <c r="E131" i="32"/>
  <c r="F140" i="32"/>
  <c r="C143" i="32"/>
  <c r="C252" i="32"/>
  <c r="C156" i="32"/>
  <c r="C181" i="32"/>
  <c r="C201" i="32"/>
  <c r="C177" i="32"/>
  <c r="C218" i="32"/>
  <c r="C185" i="32"/>
  <c r="C214" i="32"/>
  <c r="F134" i="32"/>
  <c r="C204" i="32"/>
  <c r="G133" i="32"/>
  <c r="C139" i="32"/>
  <c r="C196" i="32"/>
  <c r="C180" i="32"/>
  <c r="C195" i="32"/>
  <c r="C251" i="32"/>
  <c r="C253" i="32"/>
  <c r="C202" i="32"/>
  <c r="C168" i="32"/>
  <c r="C205" i="32"/>
  <c r="C213" i="32"/>
  <c r="C188" i="32"/>
  <c r="C175" i="32"/>
  <c r="C229" i="32"/>
  <c r="C245" i="32"/>
  <c r="C262" i="32"/>
  <c r="C247" i="32"/>
  <c r="C244" i="32"/>
  <c r="C242" i="32"/>
  <c r="C193" i="32"/>
  <c r="F136" i="32"/>
  <c r="G144" i="32"/>
  <c r="G142" i="32"/>
  <c r="C148" i="32"/>
  <c r="G139" i="32"/>
  <c r="C234" i="32"/>
  <c r="C257" i="32"/>
  <c r="F138" i="32"/>
  <c r="C219" i="32"/>
  <c r="C200" i="32"/>
  <c r="C224" i="32"/>
  <c r="C158" i="32"/>
  <c r="C237" i="32"/>
  <c r="C250" i="32"/>
  <c r="G132" i="32"/>
  <c r="E132" i="32"/>
  <c r="C171" i="32"/>
  <c r="C217" i="32"/>
  <c r="C162" i="32"/>
  <c r="C141" i="32"/>
  <c r="C134" i="32"/>
  <c r="C155" i="32"/>
  <c r="C208" i="32"/>
  <c r="C212" i="32"/>
  <c r="G148" i="32"/>
  <c r="D198" i="1024"/>
  <c r="D198" i="9216"/>
  <c r="D267" i="20994"/>
  <c r="E402" i="3"/>
  <c r="D403" i="3"/>
  <c r="G266" i="2561"/>
  <c r="G198" i="523"/>
  <c r="F81" i="2561"/>
  <c r="E180" i="2561"/>
  <c r="G38" i="2561"/>
  <c r="F134" i="2561"/>
  <c r="G64" i="2561"/>
  <c r="D265" i="2561"/>
  <c r="G182" i="2561"/>
  <c r="F174" i="2561"/>
  <c r="D116" i="2561"/>
  <c r="F139" i="2561"/>
  <c r="E36" i="2561"/>
  <c r="E192" i="2561"/>
  <c r="D10" i="2561"/>
  <c r="F80" i="2561"/>
  <c r="G51" i="2561"/>
  <c r="E56" i="2561"/>
  <c r="D45" i="2561"/>
  <c r="G162" i="2561"/>
  <c r="F154" i="2561"/>
  <c r="G140" i="2561"/>
  <c r="D166" i="2561"/>
  <c r="E112" i="2561"/>
  <c r="E137" i="2561"/>
  <c r="F145" i="2561"/>
  <c r="F266" i="2561"/>
  <c r="G186" i="2561"/>
  <c r="F190" i="2561"/>
  <c r="D134" i="2561"/>
  <c r="F179" i="2561"/>
  <c r="D89" i="2561"/>
  <c r="F34" i="2561"/>
  <c r="G83" i="2561"/>
  <c r="G207" i="2561"/>
  <c r="G77" i="2561"/>
  <c r="D117" i="2561"/>
  <c r="F77" i="2561"/>
  <c r="D184" i="2561"/>
  <c r="F45" i="2561"/>
  <c r="G90" i="2561"/>
  <c r="G152" i="2561"/>
  <c r="E145" i="2561"/>
  <c r="F223" i="2561"/>
  <c r="E89" i="2561"/>
  <c r="D78" i="2561"/>
  <c r="G101" i="2561"/>
  <c r="E140" i="2561"/>
  <c r="G106" i="2561"/>
  <c r="E169" i="2561"/>
  <c r="E171" i="2561"/>
  <c r="F38" i="2561"/>
  <c r="G211" i="2561"/>
  <c r="E188" i="2561"/>
  <c r="D142" i="2561"/>
  <c r="D23" i="2561"/>
  <c r="F173" i="2561"/>
  <c r="D163" i="2561"/>
  <c r="G153" i="2561"/>
  <c r="D46" i="2561"/>
  <c r="G128" i="2561"/>
  <c r="E54" i="2561"/>
  <c r="D60" i="2561"/>
  <c r="D180" i="2561"/>
  <c r="F69" i="2561"/>
  <c r="E134" i="2561"/>
  <c r="E48" i="2561"/>
  <c r="G166" i="2561"/>
  <c r="G107" i="2561"/>
  <c r="G155" i="2561"/>
  <c r="F222" i="2561"/>
  <c r="E66" i="2561"/>
  <c r="E211" i="2561"/>
  <c r="E105" i="2561"/>
  <c r="F142" i="2561"/>
  <c r="F153" i="2561"/>
  <c r="E266" i="2561"/>
  <c r="D266" i="2561"/>
  <c r="G81" i="2561"/>
  <c r="G180" i="2561"/>
  <c r="E177" i="2561"/>
  <c r="D59" i="2561"/>
  <c r="G167" i="2561"/>
  <c r="D159" i="2561"/>
  <c r="D150" i="2561"/>
  <c r="E175" i="2561"/>
  <c r="F127" i="2561"/>
  <c r="E167" i="2561"/>
  <c r="E156" i="2561"/>
  <c r="E197" i="2316"/>
  <c r="E116" i="2316"/>
  <c r="E152" i="2316"/>
  <c r="E151" i="2316"/>
  <c r="E141" i="2316"/>
  <c r="E153" i="2316"/>
  <c r="E138" i="2316"/>
  <c r="C163" i="32"/>
  <c r="C267" i="32"/>
  <c r="D197" i="1024"/>
  <c r="H197" i="1024"/>
  <c r="D197" i="9216"/>
  <c r="D266" i="20994"/>
  <c r="H266" i="20994"/>
  <c r="F114" i="2561"/>
  <c r="D118" i="2561"/>
  <c r="G137" i="2561"/>
  <c r="D72" i="2561"/>
  <c r="D138" i="2561"/>
  <c r="D154" i="2561"/>
  <c r="G178" i="2561"/>
  <c r="F75" i="2561"/>
  <c r="E72" i="2561"/>
  <c r="F141" i="2561"/>
  <c r="E138" i="2561"/>
  <c r="D33" i="2561"/>
  <c r="E136" i="2561"/>
  <c r="F90" i="2561"/>
  <c r="F71" i="2561"/>
  <c r="G177" i="2561"/>
  <c r="F133" i="2561"/>
  <c r="G165" i="2561"/>
  <c r="G105" i="2561"/>
  <c r="F65" i="2561"/>
  <c r="E154" i="2561"/>
  <c r="F117" i="2561"/>
  <c r="D178" i="2561"/>
  <c r="E43" i="2561"/>
  <c r="E85" i="2561"/>
  <c r="E125" i="2561"/>
  <c r="E144" i="2561"/>
  <c r="E86" i="2561"/>
  <c r="D29" i="2561"/>
  <c r="G173" i="2561"/>
  <c r="G89" i="2561"/>
  <c r="E34" i="2561"/>
  <c r="E183" i="2561"/>
  <c r="G75" i="2561"/>
  <c r="G150" i="2561"/>
  <c r="E210" i="2561"/>
  <c r="E103" i="2561"/>
  <c r="D53" i="2561"/>
  <c r="G200" i="2561"/>
  <c r="E179" i="2561"/>
  <c r="F191" i="2561"/>
  <c r="D205" i="2561"/>
  <c r="E213" i="2561"/>
  <c r="F216" i="2561"/>
  <c r="E141" i="2561"/>
  <c r="F161" i="2561"/>
  <c r="D54" i="2561"/>
  <c r="F196" i="2561"/>
  <c r="E32" i="2561"/>
  <c r="F189" i="2561"/>
  <c r="F97" i="2561"/>
  <c r="E161" i="2561"/>
  <c r="D77" i="2561"/>
  <c r="D85" i="2561"/>
  <c r="D152" i="2561"/>
  <c r="D74" i="2561"/>
  <c r="D139" i="2561"/>
  <c r="F86" i="2561"/>
  <c r="G33" i="2561"/>
  <c r="D70" i="2561"/>
  <c r="D35" i="2561"/>
  <c r="E151" i="2561"/>
  <c r="F152" i="2561"/>
  <c r="E104" i="2561"/>
  <c r="D106" i="2561"/>
  <c r="E207" i="2561"/>
  <c r="D179" i="2561"/>
  <c r="D176" i="2561"/>
  <c r="D51" i="2561"/>
  <c r="G67" i="2561"/>
  <c r="D161" i="2561"/>
  <c r="G172" i="2561"/>
  <c r="G48" i="2561"/>
  <c r="G56" i="2561"/>
  <c r="E172" i="2561"/>
  <c r="F156" i="2561"/>
  <c r="D49" i="2561"/>
  <c r="G179" i="2561"/>
  <c r="D230" i="2561"/>
  <c r="D107" i="2561"/>
  <c r="G141" i="2561"/>
  <c r="G161" i="2561"/>
  <c r="D141" i="2561"/>
  <c r="D38" i="2561"/>
  <c r="E139" i="2561"/>
  <c r="F163" i="2561"/>
  <c r="F53" i="2561"/>
  <c r="E142" i="2561"/>
  <c r="F66" i="2561"/>
  <c r="G134" i="2561"/>
  <c r="G157" i="2561"/>
  <c r="F29" i="2561"/>
  <c r="G163" i="2561"/>
  <c r="E129" i="2561"/>
  <c r="F175" i="2561"/>
  <c r="G228" i="2561"/>
  <c r="D13" i="2561"/>
  <c r="G109" i="2561"/>
  <c r="E133" i="2561"/>
  <c r="E16" i="2561"/>
  <c r="G199" i="2561"/>
  <c r="E196" i="2316"/>
  <c r="E89" i="2316"/>
  <c r="E136" i="2316"/>
  <c r="E142" i="2316"/>
  <c r="E93" i="2316"/>
  <c r="E137" i="2316"/>
  <c r="E96" i="2316"/>
  <c r="E146" i="2316"/>
  <c r="C173" i="32"/>
  <c r="C266" i="32"/>
  <c r="D196" i="1024"/>
  <c r="D196" i="9216"/>
  <c r="D265" i="20994"/>
  <c r="H265" i="20994"/>
  <c r="E237" i="2561"/>
  <c r="F265" i="2561"/>
  <c r="E265" i="2561"/>
  <c r="G254" i="2561"/>
  <c r="F242" i="2561"/>
  <c r="F230" i="2561"/>
  <c r="G53" i="2561"/>
  <c r="F184" i="2561"/>
  <c r="E118" i="2561"/>
  <c r="F102" i="2561"/>
  <c r="E110" i="2561"/>
  <c r="G65" i="2561"/>
  <c r="F118" i="2561"/>
  <c r="E114" i="2561"/>
  <c r="E115" i="2561"/>
  <c r="F159" i="2561"/>
  <c r="E119" i="2561"/>
  <c r="D104" i="2561"/>
  <c r="G174" i="2561"/>
  <c r="D83" i="2561"/>
  <c r="D69" i="2561"/>
  <c r="G41" i="2561"/>
  <c r="E22" i="2561"/>
  <c r="E130" i="2561"/>
  <c r="D66" i="2561"/>
  <c r="E109" i="2561"/>
  <c r="D25" i="2561"/>
  <c r="D93" i="2561"/>
  <c r="E65" i="2561"/>
  <c r="G154" i="2561"/>
  <c r="G130" i="2561"/>
  <c r="G218" i="2561"/>
  <c r="D158" i="2561"/>
  <c r="E166" i="2561"/>
  <c r="D30" i="2561"/>
  <c r="F70" i="2561"/>
  <c r="E55" i="2561"/>
  <c r="G70" i="2561"/>
  <c r="F64" i="2561"/>
  <c r="G32" i="2561"/>
  <c r="F51" i="2561"/>
  <c r="G151" i="2561"/>
  <c r="G129" i="2561"/>
  <c r="D102" i="2561"/>
  <c r="F105" i="2561"/>
  <c r="F235" i="2561"/>
  <c r="G232" i="2561"/>
  <c r="E163" i="2561"/>
  <c r="D264" i="2561"/>
  <c r="D86" i="2561"/>
  <c r="D128" i="2561"/>
  <c r="F140" i="2561"/>
  <c r="G104" i="2561"/>
  <c r="F109" i="2561"/>
  <c r="D185" i="2561"/>
  <c r="E21" i="2561"/>
  <c r="E159" i="2561"/>
  <c r="E127" i="2561"/>
  <c r="F218" i="2561"/>
  <c r="E216" i="2561"/>
  <c r="F121" i="2561"/>
  <c r="E111" i="2561"/>
  <c r="F25" i="2561"/>
  <c r="G57" i="2561"/>
  <c r="E182" i="2561"/>
  <c r="F28" i="2561"/>
  <c r="F150" i="2561"/>
  <c r="D151" i="2561"/>
  <c r="E14" i="2561"/>
  <c r="E17" i="2561"/>
  <c r="D22" i="2561"/>
  <c r="F101" i="2561"/>
  <c r="E116" i="2561"/>
  <c r="E29" i="2561"/>
  <c r="D82" i="2561"/>
  <c r="G92" i="2561"/>
  <c r="D65" i="2561"/>
  <c r="D162" i="2561"/>
  <c r="D155" i="2561"/>
  <c r="G37" i="2561"/>
  <c r="E218" i="2561"/>
  <c r="D97" i="2561"/>
  <c r="F124" i="2561"/>
  <c r="E157" i="2561"/>
  <c r="E190" i="2561"/>
  <c r="D171" i="2561"/>
  <c r="F176" i="2561"/>
  <c r="D15" i="2561"/>
  <c r="D109" i="2561"/>
  <c r="E49" i="2561"/>
  <c r="D34" i="2561"/>
  <c r="D140" i="2561"/>
  <c r="F68" i="2561"/>
  <c r="D156" i="2561"/>
  <c r="F151" i="2561"/>
  <c r="D129" i="2561"/>
  <c r="G102" i="2561"/>
  <c r="G245" i="2561"/>
  <c r="G149" i="2561"/>
  <c r="E57" i="2561"/>
  <c r="D122" i="2561"/>
  <c r="E87" i="2561"/>
  <c r="F46" i="2561"/>
  <c r="E124" i="2561"/>
  <c r="G136" i="2561"/>
  <c r="E150" i="2561"/>
  <c r="E80" i="2561"/>
  <c r="F48" i="2561"/>
  <c r="D12" i="2561"/>
  <c r="E79" i="2561"/>
  <c r="D90" i="2561"/>
  <c r="G170" i="2561"/>
  <c r="D119" i="2561"/>
  <c r="F59" i="2561"/>
  <c r="E121" i="2561"/>
  <c r="E165" i="2561"/>
  <c r="D21" i="2561"/>
  <c r="D110" i="2561"/>
  <c r="E33" i="2561"/>
  <c r="D137" i="2561"/>
  <c r="F162" i="2561"/>
  <c r="G36" i="2561"/>
  <c r="G117" i="2561"/>
  <c r="E158" i="2561"/>
  <c r="F169" i="2561"/>
  <c r="E185" i="2561"/>
  <c r="E60" i="2561"/>
  <c r="G142" i="2561"/>
  <c r="G99" i="2561"/>
  <c r="G133" i="2561"/>
  <c r="D130" i="2561"/>
  <c r="E51" i="2561"/>
  <c r="E41" i="2561"/>
  <c r="F130" i="2561"/>
  <c r="D41" i="2561"/>
  <c r="F136" i="2561"/>
  <c r="G216" i="2561"/>
  <c r="F264" i="2561"/>
  <c r="F195" i="2561"/>
  <c r="D81" i="2561"/>
  <c r="D17" i="2561"/>
  <c r="G120" i="2561"/>
  <c r="D76" i="2561"/>
  <c r="D37" i="2561"/>
  <c r="D121" i="2561"/>
  <c r="E102" i="2561"/>
  <c r="G183" i="2561"/>
  <c r="F33" i="2561"/>
  <c r="E122" i="2561"/>
  <c r="F21" i="2561"/>
  <c r="G121" i="2561"/>
  <c r="E189" i="2561"/>
  <c r="G46" i="2561"/>
  <c r="D183" i="2561"/>
  <c r="E25" i="2561"/>
  <c r="E27" i="2561"/>
  <c r="G93" i="2561"/>
  <c r="F149" i="2561"/>
  <c r="E128" i="2561"/>
  <c r="F61" i="2561"/>
  <c r="E120" i="2561"/>
  <c r="E28" i="2561"/>
  <c r="F92" i="2561"/>
  <c r="E117" i="2561"/>
  <c r="E99" i="2561"/>
  <c r="F157" i="2561"/>
  <c r="E84" i="2561"/>
  <c r="F93" i="2561"/>
  <c r="E53" i="2561"/>
  <c r="F73" i="2561"/>
  <c r="G263" i="2561"/>
  <c r="F35" i="2561"/>
  <c r="F60" i="2561"/>
  <c r="F167" i="2561"/>
  <c r="E119" i="2316"/>
  <c r="E156" i="2316"/>
  <c r="E114" i="2316"/>
  <c r="E122" i="2316"/>
  <c r="E158" i="2316"/>
  <c r="E94" i="2316"/>
  <c r="E145" i="2316"/>
  <c r="E104" i="2316"/>
  <c r="E150" i="2316"/>
  <c r="E115" i="2316"/>
  <c r="E155" i="2316"/>
  <c r="E149" i="2316"/>
  <c r="E159" i="2316"/>
  <c r="C210" i="32"/>
  <c r="C265" i="32"/>
  <c r="G152" i="32"/>
  <c r="C170" i="32"/>
  <c r="C153" i="32"/>
  <c r="G146" i="32"/>
  <c r="C191" i="32"/>
  <c r="E130" i="32"/>
  <c r="C209" i="32"/>
  <c r="C157" i="32"/>
  <c r="D195" i="1024"/>
  <c r="D195" i="9216"/>
  <c r="H264" i="20994"/>
  <c r="D264" i="20994"/>
  <c r="E408" i="3"/>
  <c r="C412" i="3"/>
  <c r="D412" i="3" s="1"/>
  <c r="D243" i="2561"/>
  <c r="E173" i="2316"/>
  <c r="E189" i="2316"/>
  <c r="G242" i="2561"/>
  <c r="F253" i="2561"/>
  <c r="E264" i="2561"/>
  <c r="E194" i="2316"/>
  <c r="E195" i="2316"/>
  <c r="D250" i="2561"/>
  <c r="G240" i="2561"/>
  <c r="G264" i="2561"/>
  <c r="D228" i="2561"/>
  <c r="E135" i="2561"/>
  <c r="G54" i="2561"/>
  <c r="F95" i="2561"/>
  <c r="E62" i="2561"/>
  <c r="G168" i="2561"/>
  <c r="G171" i="2561"/>
  <c r="D258" i="2561"/>
  <c r="E70" i="2561"/>
  <c r="E73" i="2561"/>
  <c r="G94" i="2561"/>
  <c r="E94" i="2561"/>
  <c r="G71" i="2561"/>
  <c r="D95" i="2561"/>
  <c r="D61" i="2561"/>
  <c r="F94" i="2561"/>
  <c r="F144" i="2561"/>
  <c r="F106" i="2561"/>
  <c r="F42" i="2561"/>
  <c r="G84" i="2561"/>
  <c r="G204" i="2561"/>
  <c r="D172" i="2561"/>
  <c r="D55" i="2561"/>
  <c r="D120" i="2561"/>
  <c r="D136" i="2561"/>
  <c r="G159" i="2561"/>
  <c r="D229" i="2561"/>
  <c r="D223" i="2561"/>
  <c r="E63" i="2561"/>
  <c r="D26" i="2561"/>
  <c r="E148" i="2561"/>
  <c r="G138" i="2561"/>
  <c r="F96" i="2561"/>
  <c r="F171" i="2561"/>
  <c r="E61" i="2561"/>
  <c r="G135" i="2561"/>
  <c r="E173" i="2561"/>
  <c r="F74" i="2561"/>
  <c r="D75" i="2561"/>
  <c r="D62" i="2561"/>
  <c r="G108" i="2561"/>
  <c r="E71" i="2561"/>
  <c r="G222" i="2561"/>
  <c r="E64" i="2561"/>
  <c r="F160" i="2561"/>
  <c r="E69" i="2561"/>
  <c r="G114" i="2561"/>
  <c r="G213" i="2561"/>
  <c r="D84" i="2561"/>
  <c r="F228" i="2561"/>
  <c r="G195" i="2561"/>
  <c r="D31" i="2561"/>
  <c r="E68" i="2561"/>
  <c r="D135" i="2561"/>
  <c r="D64" i="2561"/>
  <c r="G34" i="2561"/>
  <c r="G118" i="2561"/>
  <c r="E23" i="2561"/>
  <c r="E174" i="2561"/>
  <c r="D174" i="2561"/>
  <c r="D103" i="2561"/>
  <c r="F67" i="2561"/>
  <c r="G61" i="2561"/>
  <c r="E26" i="2561"/>
  <c r="D115" i="2561"/>
  <c r="D190" i="2561"/>
  <c r="G190" i="2561"/>
  <c r="F185" i="2561"/>
  <c r="D32" i="2561"/>
  <c r="F83" i="2561"/>
  <c r="F62" i="2561"/>
  <c r="G258" i="2561"/>
  <c r="E102" i="2316"/>
  <c r="E121" i="2316"/>
  <c r="E177" i="2316"/>
  <c r="E100" i="2316"/>
  <c r="E95" i="2316"/>
  <c r="E103" i="2316"/>
  <c r="E105" i="2316"/>
  <c r="E112" i="2316"/>
  <c r="E107" i="2316"/>
  <c r="E99" i="2316"/>
  <c r="E109" i="2316"/>
  <c r="E143" i="2316"/>
  <c r="E148" i="2316"/>
  <c r="E92" i="2316"/>
  <c r="E98" i="2316"/>
  <c r="H194" i="1024"/>
  <c r="D194" i="1024"/>
  <c r="E194" i="9216"/>
  <c r="G106" i="9216"/>
  <c r="D263" i="20994"/>
  <c r="E263" i="20994"/>
  <c r="D406" i="3"/>
  <c r="E406" i="3"/>
  <c r="D408" i="3"/>
  <c r="F254" i="2561"/>
  <c r="E185" i="2316"/>
  <c r="F234" i="2561"/>
  <c r="F247" i="2561"/>
  <c r="G36" i="25586"/>
  <c r="D235" i="2561"/>
  <c r="F249" i="2561"/>
  <c r="E184" i="2316"/>
  <c r="G234" i="2561"/>
  <c r="E236" i="2561"/>
  <c r="E192" i="2316"/>
  <c r="E190" i="2316"/>
  <c r="E182" i="2316"/>
  <c r="G259" i="2561"/>
  <c r="G260" i="2561"/>
  <c r="D256" i="2561"/>
  <c r="D227" i="2561"/>
  <c r="F236" i="2561"/>
  <c r="D237" i="2561"/>
  <c r="D259" i="2561"/>
  <c r="G224" i="2561"/>
  <c r="E176" i="2316"/>
  <c r="D241" i="2561"/>
  <c r="F246" i="2561"/>
  <c r="E191" i="2316"/>
  <c r="E174" i="2316"/>
  <c r="D257" i="2561"/>
  <c r="E179" i="2316"/>
  <c r="D260" i="2561"/>
  <c r="C261" i="2561"/>
  <c r="D143" i="768"/>
  <c r="D191" i="2048"/>
  <c r="E252" i="2561"/>
  <c r="E248" i="2561"/>
  <c r="D264" i="32"/>
  <c r="D194" i="2048"/>
  <c r="E162" i="2316"/>
  <c r="F248" i="2561"/>
  <c r="E249" i="2561"/>
  <c r="E188" i="2316"/>
  <c r="G247" i="2561"/>
  <c r="E232" i="2561"/>
  <c r="G237" i="2561"/>
  <c r="G252" i="2561"/>
  <c r="F257" i="2561"/>
  <c r="G257" i="2561"/>
  <c r="G39" i="25586"/>
  <c r="E245" i="2561"/>
  <c r="E235" i="2561"/>
  <c r="E178" i="2316"/>
  <c r="D245" i="2561"/>
  <c r="F256" i="2561"/>
  <c r="D263" i="10541"/>
  <c r="D194" i="8196"/>
  <c r="E233" i="2561"/>
  <c r="F232" i="2561"/>
  <c r="F239" i="2561"/>
  <c r="D255" i="2561"/>
  <c r="E247" i="2561"/>
  <c r="E161" i="2316"/>
  <c r="E169" i="2316"/>
  <c r="D236" i="2561"/>
  <c r="E260" i="2561"/>
  <c r="E244" i="2561"/>
  <c r="D246" i="2561"/>
  <c r="G246" i="2561"/>
  <c r="D242" i="2561"/>
  <c r="G248" i="2561"/>
  <c r="E253" i="2561"/>
  <c r="F127" i="768"/>
  <c r="G235" i="2561"/>
  <c r="E242" i="2561"/>
  <c r="G251" i="2561"/>
  <c r="F263" i="2561"/>
  <c r="F259" i="2561"/>
  <c r="D249" i="2561"/>
  <c r="E246" i="2561"/>
  <c r="G236" i="2561"/>
  <c r="F260" i="2561"/>
  <c r="G256" i="2561"/>
  <c r="F252" i="2561"/>
  <c r="F238" i="2561"/>
  <c r="D244" i="2561"/>
  <c r="E259" i="2561"/>
  <c r="E263" i="2561"/>
  <c r="D248" i="2561"/>
  <c r="E234" i="2561"/>
  <c r="E243" i="2561"/>
  <c r="F240" i="2561"/>
  <c r="F258" i="2561"/>
  <c r="E239" i="2561"/>
  <c r="F237" i="2561"/>
  <c r="E230" i="2561"/>
  <c r="G255" i="2561"/>
  <c r="G233" i="2561"/>
  <c r="D234" i="2561"/>
  <c r="F233" i="2561"/>
  <c r="D217" i="2561"/>
  <c r="F217" i="2561"/>
  <c r="D164" i="2561"/>
  <c r="F164" i="2561"/>
  <c r="E164" i="2561"/>
  <c r="G187" i="2561"/>
  <c r="F187" i="2561"/>
  <c r="D187" i="2561"/>
  <c r="G188" i="2561"/>
  <c r="D188" i="2561"/>
  <c r="E223" i="2561"/>
  <c r="F82" i="2561"/>
  <c r="E226" i="2561"/>
  <c r="E257" i="2561"/>
  <c r="E220" i="2561"/>
  <c r="E251" i="2561"/>
  <c r="D146" i="2561"/>
  <c r="G181" i="2561"/>
  <c r="E228" i="2561"/>
  <c r="G100" i="2561"/>
  <c r="D100" i="2561"/>
  <c r="E221" i="2561"/>
  <c r="F221" i="2561"/>
  <c r="D238" i="2561"/>
  <c r="E238" i="2561"/>
  <c r="G210" i="2561"/>
  <c r="D210" i="2561"/>
  <c r="E224" i="2561"/>
  <c r="D18" i="2561"/>
  <c r="E18" i="2561"/>
  <c r="D201" i="2561"/>
  <c r="G201" i="2561"/>
  <c r="D80" i="2561"/>
  <c r="D79" i="2561"/>
  <c r="D226" i="2561"/>
  <c r="F54" i="2561"/>
  <c r="G253" i="2561"/>
  <c r="F188" i="2561"/>
  <c r="G225" i="2561"/>
  <c r="G39" i="2561"/>
  <c r="D254" i="2561"/>
  <c r="D218" i="2561"/>
  <c r="F244" i="2561"/>
  <c r="E187" i="2561"/>
  <c r="F55" i="2561"/>
  <c r="E176" i="2561"/>
  <c r="E255" i="2561"/>
  <c r="F251" i="2561"/>
  <c r="G52" i="2561"/>
  <c r="F52" i="2561"/>
  <c r="D52" i="2561"/>
  <c r="E52" i="2561"/>
  <c r="G76" i="2561"/>
  <c r="D47" i="2561"/>
  <c r="G47" i="2561"/>
  <c r="F47" i="2561"/>
  <c r="D48" i="2561"/>
  <c r="F186" i="2561"/>
  <c r="D186" i="2561"/>
  <c r="D36" i="2561"/>
  <c r="F36" i="2561"/>
  <c r="G60" i="2561"/>
  <c r="G194" i="2561"/>
  <c r="D195" i="2561"/>
  <c r="F194" i="2561"/>
  <c r="F120" i="2561"/>
  <c r="F108" i="2561"/>
  <c r="D108" i="2561"/>
  <c r="D247" i="2561"/>
  <c r="G87" i="2561"/>
  <c r="D168" i="2561"/>
  <c r="F168" i="2561"/>
  <c r="D169" i="2561"/>
  <c r="F98" i="2561"/>
  <c r="D99" i="2561"/>
  <c r="G98" i="2561"/>
  <c r="F146" i="2561"/>
  <c r="G146" i="2561"/>
  <c r="E222" i="2561"/>
  <c r="E15" i="2561"/>
  <c r="D182" i="2561"/>
  <c r="E258" i="2561"/>
  <c r="E67" i="2561"/>
  <c r="D68" i="2561"/>
  <c r="D189" i="2561"/>
  <c r="E91" i="2561"/>
  <c r="D91" i="2561"/>
  <c r="F91" i="2561"/>
  <c r="G91" i="2561"/>
  <c r="D211" i="2561"/>
  <c r="F229" i="2561"/>
  <c r="G205" i="2561"/>
  <c r="E191" i="2561"/>
  <c r="E31" i="2561"/>
  <c r="D251" i="2561"/>
  <c r="F100" i="2561"/>
  <c r="F201" i="2561"/>
  <c r="E100" i="2561"/>
  <c r="F30" i="2561"/>
  <c r="D253" i="2561"/>
  <c r="F181" i="2561"/>
  <c r="E181" i="2561"/>
  <c r="F43" i="2561"/>
  <c r="F31" i="2561"/>
  <c r="G176" i="2561"/>
  <c r="E240" i="2561"/>
  <c r="D240" i="2561"/>
  <c r="E170" i="2561"/>
  <c r="F170" i="2561"/>
  <c r="D170" i="2561"/>
  <c r="F39" i="2561"/>
  <c r="D39" i="2561"/>
  <c r="E39" i="2561"/>
  <c r="F111" i="2561"/>
  <c r="G111" i="2561"/>
  <c r="E241" i="2561"/>
  <c r="F241" i="2561"/>
  <c r="F158" i="2561"/>
  <c r="D112" i="2561"/>
  <c r="D222" i="2561"/>
  <c r="E225" i="2561"/>
  <c r="G249" i="2561"/>
  <c r="D225" i="2561"/>
  <c r="F245" i="2561"/>
  <c r="D43" i="2561"/>
  <c r="F255" i="2561"/>
  <c r="F243" i="2561"/>
  <c r="D149" i="2561"/>
  <c r="D148" i="2561"/>
  <c r="E227" i="2561"/>
  <c r="F112" i="2561"/>
  <c r="E184" i="2561"/>
  <c r="E256" i="2561"/>
  <c r="D92" i="2561"/>
  <c r="G122" i="2561"/>
  <c r="E254" i="2561"/>
  <c r="G241" i="2561"/>
  <c r="G189" i="2561"/>
  <c r="E98" i="2561"/>
  <c r="D233" i="2561"/>
  <c r="E186" i="2561"/>
  <c r="G79" i="2561"/>
  <c r="D44" i="2561"/>
  <c r="D19" i="2561"/>
  <c r="D177" i="2561"/>
  <c r="D239" i="2561"/>
  <c r="G103" i="2561"/>
  <c r="G127" i="2561"/>
  <c r="F103" i="2561"/>
  <c r="G123" i="2561"/>
  <c r="D123" i="2561"/>
  <c r="E123" i="2561"/>
  <c r="F123" i="2561"/>
  <c r="G147" i="2561"/>
  <c r="D133" i="2561"/>
  <c r="F132" i="2561"/>
  <c r="D132" i="2561"/>
  <c r="E132" i="2561"/>
  <c r="G132" i="2561"/>
  <c r="F107" i="2561"/>
  <c r="E95" i="2561"/>
  <c r="G95" i="2561"/>
  <c r="E20" i="2561"/>
  <c r="F20" i="2561"/>
  <c r="F131" i="2561"/>
  <c r="G131" i="2561"/>
  <c r="D131" i="2561"/>
  <c r="E131" i="2561"/>
  <c r="G250" i="2561"/>
  <c r="F250" i="2561"/>
  <c r="E250" i="2561"/>
  <c r="D165" i="2561"/>
  <c r="D167" i="2561"/>
  <c r="F135" i="2561"/>
  <c r="D16" i="2561"/>
  <c r="G119" i="2561"/>
  <c r="F200" i="2561"/>
  <c r="G192" i="2561"/>
  <c r="G42" i="2561"/>
  <c r="D42" i="2561"/>
  <c r="E229" i="2561"/>
  <c r="D181" i="2561"/>
  <c r="E50" i="2561"/>
  <c r="F50" i="2561"/>
  <c r="G50" i="2561"/>
  <c r="D50" i="2561"/>
  <c r="D160" i="2561"/>
  <c r="G160" i="2561"/>
  <c r="F172" i="2561"/>
  <c r="D231" i="2561"/>
  <c r="E231" i="2561"/>
  <c r="G231" i="2561"/>
  <c r="F213" i="2561"/>
  <c r="G74" i="2561"/>
  <c r="G82" i="2561"/>
  <c r="G184" i="2561"/>
  <c r="E217" i="2561"/>
  <c r="E160" i="2561"/>
  <c r="G244" i="2561"/>
  <c r="D191" i="2561"/>
  <c r="G66" i="2561"/>
  <c r="D98" i="2561"/>
  <c r="D207" i="2561"/>
  <c r="F180" i="2561"/>
  <c r="D232" i="2561"/>
  <c r="D252" i="2561"/>
  <c r="F58" i="2561"/>
  <c r="E58" i="2561"/>
  <c r="D63" i="2561"/>
  <c r="G63" i="2561"/>
  <c r="F63" i="2561"/>
  <c r="G44" i="2561"/>
  <c r="F26" i="2561"/>
  <c r="D27" i="2561"/>
  <c r="E209" i="2561"/>
  <c r="G209" i="2561"/>
  <c r="G115" i="2561"/>
  <c r="F199" i="2561"/>
  <c r="F32" i="2561"/>
  <c r="F119" i="2561"/>
  <c r="D147" i="2561"/>
  <c r="D101" i="2561"/>
  <c r="E170" i="2316"/>
  <c r="E165" i="2316"/>
  <c r="E97" i="2316"/>
  <c r="E124" i="2316"/>
  <c r="E167" i="2316"/>
  <c r="E166" i="2316"/>
  <c r="E163" i="2316"/>
  <c r="E160" i="2316"/>
  <c r="E123" i="2316"/>
  <c r="E118" i="2316"/>
  <c r="E164" i="2316"/>
  <c r="E168" i="2316"/>
  <c r="E171" i="2316"/>
  <c r="E90" i="2316"/>
  <c r="E113" i="2316"/>
  <c r="E181" i="2316"/>
  <c r="E120" i="2316"/>
  <c r="E117" i="2316"/>
  <c r="G32" i="25586"/>
  <c r="G38" i="25586"/>
  <c r="G45" i="25586"/>
  <c r="G34" i="25586"/>
  <c r="G37" i="25586"/>
  <c r="G42" i="25586"/>
  <c r="G46" i="25586"/>
  <c r="G43" i="25586"/>
  <c r="D404" i="3"/>
  <c r="E187" i="2316"/>
  <c r="E186" i="2316"/>
  <c r="G50" i="25586"/>
  <c r="B174" i="1024"/>
  <c r="H1562" i="1"/>
  <c r="E158" i="9216"/>
  <c r="F158" i="9216"/>
  <c r="G158" i="9216"/>
  <c r="C158" i="9216"/>
  <c r="D158" i="9216" s="1"/>
  <c r="H182" i="9216"/>
  <c r="H158" i="9216"/>
  <c r="F241" i="20994"/>
  <c r="F252" i="20994"/>
  <c r="F249" i="20994"/>
  <c r="F246" i="20994"/>
  <c r="F248" i="20994"/>
  <c r="F253" i="20994"/>
  <c r="C241" i="20994"/>
  <c r="D241" i="20994" s="1"/>
  <c r="H241" i="20994"/>
  <c r="F250" i="20994"/>
  <c r="E241" i="20994"/>
  <c r="G253" i="20994"/>
  <c r="G241" i="20994"/>
  <c r="D193" i="2819"/>
  <c r="F192" i="2819"/>
  <c r="D192" i="2819"/>
  <c r="E192" i="2819"/>
  <c r="G192" i="2819"/>
  <c r="C192" i="2819"/>
  <c r="H1563" i="1"/>
  <c r="B175" i="1024"/>
  <c r="N11" i="1"/>
  <c r="N12" i="1" s="1"/>
  <c r="N13" i="1" s="1"/>
  <c r="N14" i="1" s="1"/>
  <c r="M10" i="1"/>
  <c r="D214" i="2561"/>
  <c r="F214" i="2561"/>
  <c r="F226" i="2561"/>
  <c r="E214" i="2561"/>
  <c r="G214" i="2561"/>
  <c r="G238" i="2561"/>
  <c r="G170" i="9216"/>
  <c r="C191" i="9216"/>
  <c r="D191" i="9216" s="1"/>
  <c r="G191" i="9216"/>
  <c r="F191" i="9216"/>
  <c r="H191" i="9216"/>
  <c r="E191" i="9216"/>
  <c r="E192" i="9216"/>
  <c r="E261" i="10541"/>
  <c r="G261" i="10541"/>
  <c r="D261" i="10541"/>
  <c r="F261" i="10541"/>
  <c r="C261" i="10541"/>
  <c r="C262" i="2561"/>
  <c r="G286" i="2561" s="1"/>
  <c r="G193" i="2048"/>
  <c r="C193" i="2048"/>
  <c r="E193" i="2048"/>
  <c r="F193" i="2048"/>
  <c r="D193" i="2048"/>
  <c r="K110" i="3584"/>
  <c r="L109" i="3584"/>
  <c r="B79" i="9216"/>
  <c r="D1501" i="1"/>
  <c r="F81" i="3"/>
  <c r="G81" i="3"/>
  <c r="E81" i="3"/>
  <c r="H105" i="3"/>
  <c r="G93" i="3"/>
  <c r="E82" i="3"/>
  <c r="H81" i="3"/>
  <c r="D81" i="3"/>
  <c r="G140" i="20994"/>
  <c r="E129" i="20994"/>
  <c r="H152" i="20994"/>
  <c r="E128" i="20994"/>
  <c r="F128" i="20994"/>
  <c r="C128" i="20994"/>
  <c r="D128" i="20994" s="1"/>
  <c r="G128" i="20994"/>
  <c r="H128" i="20994"/>
  <c r="E107" i="9216"/>
  <c r="H131" i="9216"/>
  <c r="H107" i="9216"/>
  <c r="C107" i="9216"/>
  <c r="D107" i="9216" s="1"/>
  <c r="F23" i="2561"/>
  <c r="G35" i="2561"/>
  <c r="D11" i="2561"/>
  <c r="D209" i="2561"/>
  <c r="E208" i="2561"/>
  <c r="D208" i="2561"/>
  <c r="G208" i="2561"/>
  <c r="F208" i="2561"/>
  <c r="D61" i="3584"/>
  <c r="C62" i="3584"/>
  <c r="G158" i="1024"/>
  <c r="C158" i="1024"/>
  <c r="D158" i="1024" s="1"/>
  <c r="H182" i="1024"/>
  <c r="E158" i="1024"/>
  <c r="F158" i="1024"/>
  <c r="H158" i="1024"/>
  <c r="E159" i="1024"/>
  <c r="D194" i="2561"/>
  <c r="F251" i="20994"/>
  <c r="F1505" i="1"/>
  <c r="E1506" i="1"/>
  <c r="B95" i="9216"/>
  <c r="H1506" i="1"/>
  <c r="G1507" i="1"/>
  <c r="B108" i="9216"/>
  <c r="F234" i="20994"/>
  <c r="G246" i="20994"/>
  <c r="H258" i="20994"/>
  <c r="G234" i="20994"/>
  <c r="E234" i="20994"/>
  <c r="C234" i="20994"/>
  <c r="D234" i="20994" s="1"/>
  <c r="H234" i="20994"/>
  <c r="B176" i="9216"/>
  <c r="H1517" i="1"/>
  <c r="G163" i="11522"/>
  <c r="E163" i="11522"/>
  <c r="C163" i="11522"/>
  <c r="F163" i="11522"/>
  <c r="H163" i="11522"/>
  <c r="D164" i="11522"/>
  <c r="D163" i="11522"/>
  <c r="D191" i="2819"/>
  <c r="C191" i="2819"/>
  <c r="F191" i="2819"/>
  <c r="E191" i="2819"/>
  <c r="G191" i="2819"/>
  <c r="E141" i="512"/>
  <c r="E145" i="512"/>
  <c r="E140" i="512"/>
  <c r="C136" i="512"/>
  <c r="E148" i="512"/>
  <c r="D136" i="512"/>
  <c r="G136" i="512"/>
  <c r="E139" i="512"/>
  <c r="F148" i="512"/>
  <c r="E147" i="512"/>
  <c r="D137" i="512"/>
  <c r="E142" i="512"/>
  <c r="E144" i="512"/>
  <c r="F136" i="512"/>
  <c r="E137" i="512"/>
  <c r="E138" i="512"/>
  <c r="E136" i="512"/>
  <c r="E146" i="512"/>
  <c r="C166" i="9216"/>
  <c r="D166" i="9216" s="1"/>
  <c r="F166" i="9216"/>
  <c r="G166" i="9216"/>
  <c r="H166" i="9216"/>
  <c r="E167" i="9216"/>
  <c r="G178" i="9216"/>
  <c r="E166" i="9216"/>
  <c r="H190" i="9216"/>
  <c r="H161" i="20994"/>
  <c r="E162" i="20994"/>
  <c r="C161" i="20994"/>
  <c r="D161" i="20994" s="1"/>
  <c r="G173" i="20994"/>
  <c r="F161" i="20994"/>
  <c r="G161" i="20994"/>
  <c r="E161" i="20994"/>
  <c r="F97" i="1024"/>
  <c r="E97" i="1024"/>
  <c r="G97" i="1024"/>
  <c r="C97" i="1024"/>
  <c r="D97" i="1024" s="1"/>
  <c r="H97" i="1024"/>
  <c r="C261" i="25580"/>
  <c r="E261" i="25580"/>
  <c r="D261" i="25580"/>
  <c r="F261" i="25580"/>
  <c r="D262" i="25580"/>
  <c r="G261" i="25580"/>
  <c r="D263" i="32"/>
  <c r="E263" i="32"/>
  <c r="G263" i="32"/>
  <c r="C263" i="32"/>
  <c r="F263" i="32"/>
  <c r="D262" i="32"/>
  <c r="E261" i="32"/>
  <c r="F261" i="32"/>
  <c r="C261" i="32"/>
  <c r="D261" i="32"/>
  <c r="G261" i="32"/>
  <c r="E126" i="2561"/>
  <c r="G126" i="2561"/>
  <c r="F138" i="2561"/>
  <c r="D126" i="2561"/>
  <c r="F126" i="2561"/>
  <c r="C190" i="2048"/>
  <c r="G190" i="2048"/>
  <c r="D190" i="2048"/>
  <c r="F190" i="2048"/>
  <c r="E190" i="2048"/>
  <c r="F206" i="2561"/>
  <c r="G206" i="2561"/>
  <c r="D206" i="2561"/>
  <c r="E206" i="2561"/>
  <c r="G230" i="2561"/>
  <c r="F227" i="2561"/>
  <c r="E215" i="2561"/>
  <c r="G239" i="2561"/>
  <c r="G215" i="2561"/>
  <c r="D215" i="2561"/>
  <c r="F215" i="2561"/>
  <c r="H157" i="1024"/>
  <c r="C157" i="1024"/>
  <c r="D157" i="1024" s="1"/>
  <c r="H181" i="1024"/>
  <c r="G169" i="1024"/>
  <c r="F157" i="1024"/>
  <c r="G157" i="1024"/>
  <c r="E157" i="1024"/>
  <c r="G160" i="512"/>
  <c r="B98" i="1024"/>
  <c r="F1555" i="1"/>
  <c r="E1556" i="1"/>
  <c r="H192" i="9216"/>
  <c r="E168" i="9216"/>
  <c r="H168" i="9216"/>
  <c r="G168" i="9216"/>
  <c r="F168" i="9216"/>
  <c r="C168" i="9216"/>
  <c r="D168" i="9216" s="1"/>
  <c r="E169" i="9216"/>
  <c r="G180" i="9216"/>
  <c r="E143" i="512"/>
  <c r="G202" i="2561"/>
  <c r="F202" i="2561"/>
  <c r="D202" i="2561"/>
  <c r="G226" i="2561"/>
  <c r="E202" i="2561"/>
  <c r="F262" i="20994"/>
  <c r="H262" i="20994"/>
  <c r="C262" i="20994"/>
  <c r="E262" i="20994"/>
  <c r="G262" i="20994"/>
  <c r="F60" i="3"/>
  <c r="E49" i="3"/>
  <c r="F52" i="3"/>
  <c r="D49" i="3"/>
  <c r="F54" i="3"/>
  <c r="G61" i="3"/>
  <c r="F56" i="3"/>
  <c r="F51" i="3"/>
  <c r="H73" i="3"/>
  <c r="H49" i="3"/>
  <c r="F61" i="3"/>
  <c r="F50" i="3"/>
  <c r="F57" i="3"/>
  <c r="F53" i="3"/>
  <c r="F59" i="3"/>
  <c r="E50" i="3"/>
  <c r="G49" i="3"/>
  <c r="F55" i="3"/>
  <c r="F49" i="3"/>
  <c r="F58" i="3"/>
  <c r="C170" i="1024"/>
  <c r="D170" i="1024" s="1"/>
  <c r="E170" i="1024"/>
  <c r="G182" i="1024"/>
  <c r="G170" i="1024"/>
  <c r="F170" i="1024"/>
  <c r="H170" i="1024"/>
  <c r="G50" i="25585"/>
  <c r="E219" i="2561"/>
  <c r="D219" i="2561"/>
  <c r="G219" i="2561"/>
  <c r="F219" i="2561"/>
  <c r="F231" i="2561"/>
  <c r="D220" i="2561"/>
  <c r="G243" i="2561"/>
  <c r="E78" i="9216"/>
  <c r="H78" i="9216"/>
  <c r="F78" i="9216"/>
  <c r="G78" i="9216"/>
  <c r="G90" i="9216"/>
  <c r="C78" i="9216"/>
  <c r="D78" i="9216" s="1"/>
  <c r="E18" i="2316"/>
  <c r="F30" i="2316"/>
  <c r="D18" i="2316"/>
  <c r="C18" i="2316"/>
  <c r="G42" i="2316"/>
  <c r="D19" i="2316"/>
  <c r="F1502" i="1"/>
  <c r="B92" i="9216"/>
  <c r="D199" i="2561"/>
  <c r="E198" i="2561"/>
  <c r="D198" i="2561"/>
  <c r="F198" i="2561"/>
  <c r="G198" i="2561"/>
  <c r="F210" i="2561"/>
  <c r="C20" i="2316"/>
  <c r="F32" i="2316"/>
  <c r="F20" i="2316"/>
  <c r="D20" i="2316"/>
  <c r="G44" i="2316"/>
  <c r="E20" i="2316"/>
  <c r="D21" i="2316"/>
  <c r="G221" i="2561"/>
  <c r="G197" i="2561"/>
  <c r="F209" i="2561"/>
  <c r="D197" i="2561"/>
  <c r="F197" i="2561"/>
  <c r="E197" i="2561"/>
  <c r="D246" i="32"/>
  <c r="F246" i="32"/>
  <c r="G246" i="32"/>
  <c r="D247" i="32"/>
  <c r="E246" i="32"/>
  <c r="F258" i="32"/>
  <c r="C246" i="32"/>
  <c r="G159" i="9216"/>
  <c r="E160" i="9216"/>
  <c r="E159" i="9216"/>
  <c r="H159" i="9216"/>
  <c r="F159" i="9216"/>
  <c r="C159" i="9216"/>
  <c r="D159" i="9216" s="1"/>
  <c r="H183" i="9216"/>
  <c r="G171" i="9216"/>
  <c r="H79" i="1024"/>
  <c r="E80" i="1024"/>
  <c r="G91" i="1024"/>
  <c r="F79" i="1024"/>
  <c r="E79" i="1024"/>
  <c r="C79" i="1024"/>
  <c r="D79" i="1024" s="1"/>
  <c r="G79" i="1024"/>
  <c r="F21" i="2316"/>
  <c r="D10" i="2316"/>
  <c r="C9" i="2316"/>
  <c r="D9" i="2316"/>
  <c r="G33" i="2316"/>
  <c r="G260" i="20994"/>
  <c r="E260" i="20994"/>
  <c r="C260" i="20994"/>
  <c r="D260" i="20994" s="1"/>
  <c r="F260" i="20994"/>
  <c r="F113" i="2561"/>
  <c r="E113" i="2561"/>
  <c r="F125" i="2561"/>
  <c r="G113" i="2561"/>
  <c r="D114" i="2561"/>
  <c r="D113" i="2561"/>
  <c r="G1553" i="1"/>
  <c r="H1552" i="1"/>
  <c r="B107" i="1024"/>
  <c r="C23" i="2316"/>
  <c r="F23" i="2316"/>
  <c r="D23" i="2316"/>
  <c r="E23" i="2316"/>
  <c r="G47" i="2316"/>
  <c r="C174" i="523"/>
  <c r="F186" i="523"/>
  <c r="G174" i="523"/>
  <c r="D175" i="523"/>
  <c r="F174" i="523"/>
  <c r="D174" i="523"/>
  <c r="E174" i="523"/>
  <c r="F220" i="2561"/>
  <c r="E183" i="2316"/>
  <c r="E175" i="2316"/>
  <c r="E180" i="2316"/>
  <c r="E172" i="2316"/>
  <c r="H191" i="1024"/>
  <c r="G191" i="1024"/>
  <c r="E192" i="1024"/>
  <c r="F191" i="1024"/>
  <c r="C191" i="1024"/>
  <c r="D191" i="1024" s="1"/>
  <c r="E191" i="1024"/>
  <c r="G212" i="2561"/>
  <c r="E212" i="2561"/>
  <c r="F224" i="2561"/>
  <c r="D213" i="2561"/>
  <c r="D212" i="2561"/>
  <c r="F212" i="2561"/>
  <c r="H405" i="3"/>
  <c r="G406" i="3"/>
  <c r="D193" i="1024"/>
  <c r="H193" i="9216"/>
  <c r="E193" i="9216"/>
  <c r="F193" i="9216"/>
  <c r="G193" i="9216"/>
  <c r="C193" i="9216"/>
  <c r="E193" i="2316"/>
  <c r="E173" i="1024"/>
  <c r="G173" i="1024"/>
  <c r="G185" i="1024"/>
  <c r="F173" i="1024"/>
  <c r="C173" i="1024"/>
  <c r="D173" i="1024" s="1"/>
  <c r="H173" i="1024"/>
  <c r="F193" i="8196"/>
  <c r="D193" i="8196"/>
  <c r="G193" i="8196"/>
  <c r="C193" i="8196"/>
  <c r="E193" i="8196"/>
  <c r="F24" i="2316"/>
  <c r="F36" i="2316"/>
  <c r="E24" i="2316"/>
  <c r="G48" i="2316"/>
  <c r="D24" i="2316"/>
  <c r="D25" i="2316"/>
  <c r="C24" i="2316"/>
  <c r="G115" i="768"/>
  <c r="E115" i="768"/>
  <c r="D115" i="768"/>
  <c r="F115" i="768"/>
  <c r="D116" i="768"/>
  <c r="C115" i="768"/>
  <c r="G139" i="768"/>
  <c r="C242" i="20994"/>
  <c r="D242" i="20994" s="1"/>
  <c r="F242" i="20994"/>
  <c r="G242" i="20994"/>
  <c r="E242" i="20994"/>
  <c r="H242" i="20994"/>
  <c r="G254" i="20994"/>
  <c r="E243" i="20994"/>
  <c r="G106" i="1024"/>
  <c r="C106" i="1024"/>
  <c r="D106" i="1024" s="1"/>
  <c r="E106" i="1024"/>
  <c r="H106" i="1024"/>
  <c r="H130" i="1024"/>
  <c r="G62" i="2316"/>
  <c r="E38" i="2316"/>
  <c r="D39" i="2316"/>
  <c r="C38" i="2316"/>
  <c r="G38" i="2316"/>
  <c r="F50" i="2316"/>
  <c r="F38" i="2316"/>
  <c r="D38" i="2316"/>
  <c r="G240" i="20994"/>
  <c r="C240" i="20994"/>
  <c r="D240" i="20994" s="1"/>
  <c r="H240" i="20994"/>
  <c r="E240" i="20994"/>
  <c r="G252" i="20994"/>
  <c r="F240" i="20994"/>
  <c r="G249" i="3"/>
  <c r="F249" i="3"/>
  <c r="E249" i="3"/>
  <c r="D249" i="3"/>
  <c r="E250" i="3"/>
  <c r="H249" i="3"/>
  <c r="G261" i="3"/>
  <c r="G261" i="20994"/>
  <c r="F261" i="20994"/>
  <c r="C261" i="20994"/>
  <c r="D261" i="20994" s="1"/>
  <c r="E261" i="20994"/>
  <c r="E262" i="10541"/>
  <c r="C262" i="10541"/>
  <c r="G262" i="10541"/>
  <c r="F262" i="10541"/>
  <c r="D262" i="10541"/>
  <c r="E142" i="768"/>
  <c r="F142" i="768"/>
  <c r="G142" i="768"/>
  <c r="C142" i="768"/>
  <c r="D142" i="768"/>
  <c r="H1564" i="1"/>
  <c r="B176" i="1024"/>
  <c r="E259" i="20994"/>
  <c r="G259" i="20994"/>
  <c r="C259" i="20994"/>
  <c r="D259" i="20994" s="1"/>
  <c r="F259" i="20994"/>
  <c r="E35" i="2316"/>
  <c r="F47" i="2316"/>
  <c r="D35" i="2316"/>
  <c r="F35" i="2316"/>
  <c r="G59" i="2316"/>
  <c r="C35" i="2316"/>
  <c r="D36" i="2316"/>
  <c r="G35" i="2316"/>
  <c r="D193" i="2561"/>
  <c r="E194" i="2561"/>
  <c r="E193" i="2561"/>
  <c r="E200" i="2561"/>
  <c r="G193" i="2561"/>
  <c r="E205" i="2561"/>
  <c r="E195" i="2561"/>
  <c r="E199" i="2561"/>
  <c r="E204" i="2561"/>
  <c r="G217" i="2561"/>
  <c r="F193" i="2561"/>
  <c r="E201" i="2561"/>
  <c r="H94" i="9216"/>
  <c r="E94" i="9216"/>
  <c r="C94" i="9216"/>
  <c r="D94" i="9216" s="1"/>
  <c r="F94" i="9216"/>
  <c r="G94" i="9216"/>
  <c r="G95" i="1024"/>
  <c r="F95" i="1024"/>
  <c r="C95" i="1024"/>
  <c r="D95" i="1024" s="1"/>
  <c r="E95" i="1024"/>
  <c r="H95" i="1024"/>
  <c r="E96" i="1024"/>
  <c r="F203" i="2561"/>
  <c r="E203" i="2561"/>
  <c r="D204" i="2561"/>
  <c r="G203" i="2561"/>
  <c r="G227" i="2561"/>
  <c r="D203" i="2561"/>
  <c r="D162" i="11522"/>
  <c r="C162" i="11522"/>
  <c r="F162" i="11522"/>
  <c r="E162" i="11522"/>
  <c r="G162" i="11522"/>
  <c r="D236" i="32"/>
  <c r="F236" i="32"/>
  <c r="G236" i="32"/>
  <c r="F248" i="32"/>
  <c r="E236" i="32"/>
  <c r="G260" i="32"/>
  <c r="D237" i="32"/>
  <c r="C236" i="32"/>
  <c r="F247" i="20994"/>
  <c r="F205" i="2561"/>
  <c r="D127" i="2561"/>
  <c r="D13" i="2316"/>
  <c r="C13" i="2316"/>
  <c r="D14" i="2316"/>
  <c r="F25" i="2316"/>
  <c r="F49" i="2316"/>
  <c r="E37" i="2316"/>
  <c r="D37" i="2316"/>
  <c r="F37" i="2316"/>
  <c r="C37" i="2316"/>
  <c r="G37" i="2316"/>
  <c r="G61" i="2316"/>
  <c r="H261" i="20994" l="1"/>
  <c r="F171" i="9216"/>
  <c r="E173" i="9216"/>
  <c r="H197" i="9216"/>
  <c r="F173" i="9216"/>
  <c r="G185" i="9216"/>
  <c r="G173" i="9216"/>
  <c r="E174" i="9216"/>
  <c r="H173" i="9216"/>
  <c r="C173" i="9216"/>
  <c r="D173" i="9216" s="1"/>
  <c r="H195" i="9216"/>
  <c r="G183" i="9216"/>
  <c r="H171" i="9216"/>
  <c r="E171" i="9216"/>
  <c r="C171" i="9216"/>
  <c r="D171" i="9216" s="1"/>
  <c r="E172" i="9216"/>
  <c r="H259" i="20994"/>
  <c r="H260" i="20994"/>
  <c r="E235" i="20994"/>
  <c r="H235" i="20994"/>
  <c r="G247" i="20994"/>
  <c r="F235" i="20994"/>
  <c r="G235" i="20994"/>
  <c r="C235" i="20994"/>
  <c r="D235" i="20994" s="1"/>
  <c r="G75" i="1024"/>
  <c r="G63" i="1024"/>
  <c r="H87" i="1024"/>
  <c r="E64" i="1024"/>
  <c r="F63" i="1024"/>
  <c r="H63" i="1024"/>
  <c r="C63" i="1024"/>
  <c r="D63" i="1024" s="1"/>
  <c r="E63" i="1024"/>
  <c r="G236" i="20994"/>
  <c r="H236" i="20994"/>
  <c r="E236" i="20994"/>
  <c r="F236" i="20994"/>
  <c r="C236" i="20994"/>
  <c r="D236" i="20994" s="1"/>
  <c r="G248" i="20994"/>
  <c r="E177" i="20994"/>
  <c r="H201" i="20994"/>
  <c r="G177" i="20994"/>
  <c r="C177" i="20994"/>
  <c r="D177" i="20994" s="1"/>
  <c r="H177" i="20994"/>
  <c r="F177" i="20994"/>
  <c r="G956" i="1"/>
  <c r="B178" i="20994"/>
  <c r="H955" i="1"/>
  <c r="E238" i="20994"/>
  <c r="E237" i="20994"/>
  <c r="C237" i="20994"/>
  <c r="D237" i="20994" s="1"/>
  <c r="G237" i="20994"/>
  <c r="F237" i="20994"/>
  <c r="H237" i="20994"/>
  <c r="G249" i="20994"/>
  <c r="F261" i="2561"/>
  <c r="G285" i="2561"/>
  <c r="E171" i="1024"/>
  <c r="D263" i="2561"/>
  <c r="F274" i="2561"/>
  <c r="F273" i="2561"/>
  <c r="E172" i="1024"/>
  <c r="F171" i="1024"/>
  <c r="H171" i="1024"/>
  <c r="H195" i="1024"/>
  <c r="G183" i="1024"/>
  <c r="F172" i="1024"/>
  <c r="G171" i="1024"/>
  <c r="C171" i="1024"/>
  <c r="D171" i="1024" s="1"/>
  <c r="H200" i="1024"/>
  <c r="H200" i="9216"/>
  <c r="H199" i="1024"/>
  <c r="H198" i="1024"/>
  <c r="C413" i="3"/>
  <c r="D413" i="3" s="1"/>
  <c r="G261" i="2561"/>
  <c r="E261" i="2561"/>
  <c r="D261" i="2561"/>
  <c r="C63" i="3584"/>
  <c r="D62" i="3584"/>
  <c r="G1554" i="1"/>
  <c r="H1553" i="1"/>
  <c r="B108" i="1024"/>
  <c r="F1556" i="1"/>
  <c r="B99" i="1024"/>
  <c r="E1557" i="1"/>
  <c r="E108" i="9216"/>
  <c r="H132" i="9216"/>
  <c r="C108" i="9216"/>
  <c r="D108" i="9216" s="1"/>
  <c r="H108" i="9216"/>
  <c r="F79" i="9216"/>
  <c r="G91" i="9216"/>
  <c r="H79" i="9216"/>
  <c r="C79" i="9216"/>
  <c r="D79" i="9216" s="1"/>
  <c r="G79" i="9216"/>
  <c r="E79" i="9216"/>
  <c r="E80" i="9216"/>
  <c r="G176" i="1024"/>
  <c r="H176" i="1024"/>
  <c r="F176" i="1024"/>
  <c r="E177" i="1024"/>
  <c r="E176" i="1024"/>
  <c r="G188" i="1024"/>
  <c r="C176" i="1024"/>
  <c r="D176" i="1024" s="1"/>
  <c r="G1508" i="1"/>
  <c r="B109" i="9216"/>
  <c r="H1507" i="1"/>
  <c r="H406" i="3"/>
  <c r="G407" i="3"/>
  <c r="G176" i="9216"/>
  <c r="C176" i="9216"/>
  <c r="D176" i="9216" s="1"/>
  <c r="H176" i="9216"/>
  <c r="F176" i="9216"/>
  <c r="E176" i="9216"/>
  <c r="E177" i="9216"/>
  <c r="G188" i="9216"/>
  <c r="E98" i="1024"/>
  <c r="G98" i="1024"/>
  <c r="H98" i="1024"/>
  <c r="C98" i="1024"/>
  <c r="D98" i="1024" s="1"/>
  <c r="F98" i="1024"/>
  <c r="D262" i="20994"/>
  <c r="F95" i="9216"/>
  <c r="H95" i="9216"/>
  <c r="E95" i="9216"/>
  <c r="G95" i="9216"/>
  <c r="C95" i="9216"/>
  <c r="D95" i="9216" s="1"/>
  <c r="E92" i="9216"/>
  <c r="C92" i="9216"/>
  <c r="D92" i="9216" s="1"/>
  <c r="H92" i="9216"/>
  <c r="F92" i="9216"/>
  <c r="G92" i="9216"/>
  <c r="E93" i="9216"/>
  <c r="L110" i="3584"/>
  <c r="K111" i="3584"/>
  <c r="E1507" i="1"/>
  <c r="B96" i="9216"/>
  <c r="F1506" i="1"/>
  <c r="G107" i="9216"/>
  <c r="E174" i="1024"/>
  <c r="G186" i="1024"/>
  <c r="C174" i="1024"/>
  <c r="D174" i="1024" s="1"/>
  <c r="F174" i="1024"/>
  <c r="G174" i="1024"/>
  <c r="H174" i="1024"/>
  <c r="E175" i="1024"/>
  <c r="H175" i="1024"/>
  <c r="F175" i="1024"/>
  <c r="C175" i="1024"/>
  <c r="D175" i="1024" s="1"/>
  <c r="G175" i="1024"/>
  <c r="G187" i="1024"/>
  <c r="D193" i="9216"/>
  <c r="D262" i="2561"/>
  <c r="F262" i="2561"/>
  <c r="E262" i="2561"/>
  <c r="G262" i="2561"/>
  <c r="M11" i="1"/>
  <c r="C63" i="3"/>
  <c r="H107" i="1024"/>
  <c r="H131" i="1024"/>
  <c r="G107" i="1024"/>
  <c r="E107" i="1024"/>
  <c r="C107" i="1024"/>
  <c r="D107" i="1024" s="1"/>
  <c r="H202" i="20994" l="1"/>
  <c r="H178" i="20994"/>
  <c r="G178" i="20994"/>
  <c r="F178" i="20994"/>
  <c r="E178" i="20994"/>
  <c r="C178" i="20994"/>
  <c r="D178" i="20994" s="1"/>
  <c r="B179" i="20994"/>
  <c r="G957" i="1"/>
  <c r="H956" i="1"/>
  <c r="G108" i="9216"/>
  <c r="H407" i="3"/>
  <c r="G408" i="3"/>
  <c r="H63" i="3"/>
  <c r="D63" i="3"/>
  <c r="E63" i="3"/>
  <c r="F63" i="3"/>
  <c r="G63" i="3"/>
  <c r="G75" i="3"/>
  <c r="H87" i="3"/>
  <c r="M12" i="1"/>
  <c r="C64" i="3"/>
  <c r="H96" i="9216"/>
  <c r="C96" i="9216"/>
  <c r="D96" i="9216" s="1"/>
  <c r="F96" i="9216"/>
  <c r="E96" i="9216"/>
  <c r="G96" i="9216"/>
  <c r="G1546" i="1"/>
  <c r="B100" i="1024"/>
  <c r="F1557" i="1"/>
  <c r="G1555" i="1"/>
  <c r="B109" i="1024"/>
  <c r="H1554" i="1"/>
  <c r="G108" i="1024"/>
  <c r="H108" i="1024"/>
  <c r="H132" i="1024"/>
  <c r="C108" i="1024"/>
  <c r="D108" i="1024" s="1"/>
  <c r="E108" i="1024"/>
  <c r="E1508" i="1"/>
  <c r="F1507" i="1"/>
  <c r="B97" i="9216"/>
  <c r="H109" i="9216"/>
  <c r="C109" i="9216"/>
  <c r="D109" i="9216" s="1"/>
  <c r="H133" i="9216"/>
  <c r="E109" i="9216"/>
  <c r="C99" i="1024"/>
  <c r="D99" i="1024" s="1"/>
  <c r="H99" i="1024"/>
  <c r="E99" i="1024"/>
  <c r="F99" i="1024"/>
  <c r="G99" i="1024"/>
  <c r="L111" i="3584"/>
  <c r="K112" i="3584"/>
  <c r="G1509" i="1"/>
  <c r="H1508" i="1"/>
  <c r="B110" i="9216"/>
  <c r="C64" i="3584"/>
  <c r="D63" i="3584"/>
  <c r="G179" i="20994" l="1"/>
  <c r="H179" i="20994"/>
  <c r="F179" i="20994"/>
  <c r="H203" i="20994"/>
  <c r="C179" i="20994"/>
  <c r="D179" i="20994" s="1"/>
  <c r="E179" i="20994"/>
  <c r="H957" i="1"/>
  <c r="G958" i="1"/>
  <c r="B180" i="20994"/>
  <c r="F108" i="1024"/>
  <c r="G109" i="9216"/>
  <c r="B110" i="1024"/>
  <c r="H1555" i="1"/>
  <c r="G1556" i="1"/>
  <c r="C65" i="3584"/>
  <c r="D64" i="3584"/>
  <c r="H134" i="9216"/>
  <c r="C110" i="9216"/>
  <c r="D110" i="9216" s="1"/>
  <c r="E110" i="9216"/>
  <c r="H110" i="9216"/>
  <c r="G100" i="1024"/>
  <c r="H100" i="1024"/>
  <c r="F105" i="1024"/>
  <c r="F100" i="1024"/>
  <c r="C100" i="1024"/>
  <c r="D100" i="1024" s="1"/>
  <c r="E100" i="1024"/>
  <c r="F106" i="1024"/>
  <c r="F107" i="1024"/>
  <c r="F64" i="3"/>
  <c r="D64" i="3"/>
  <c r="H64" i="3"/>
  <c r="G76" i="3"/>
  <c r="H88" i="3"/>
  <c r="E64" i="3"/>
  <c r="G64" i="3"/>
  <c r="G1510" i="1"/>
  <c r="B111" i="9216"/>
  <c r="H1509" i="1"/>
  <c r="G97" i="9216"/>
  <c r="F97" i="9216"/>
  <c r="C97" i="9216"/>
  <c r="D97" i="9216" s="1"/>
  <c r="E97" i="9216"/>
  <c r="H97" i="9216"/>
  <c r="H408" i="3"/>
  <c r="G409" i="3"/>
  <c r="G1547" i="1"/>
  <c r="H1546" i="1"/>
  <c r="B101" i="1024"/>
  <c r="K113" i="3584"/>
  <c r="L112" i="3584"/>
  <c r="C65" i="3"/>
  <c r="M13" i="1"/>
  <c r="F1508" i="1"/>
  <c r="E1509" i="1"/>
  <c r="B98" i="9216"/>
  <c r="H133" i="1024"/>
  <c r="C109" i="1024"/>
  <c r="D109" i="1024" s="1"/>
  <c r="H109" i="1024"/>
  <c r="F109" i="1024"/>
  <c r="G109" i="1024"/>
  <c r="E109" i="1024"/>
  <c r="H958" i="1" l="1"/>
  <c r="B181" i="20994"/>
  <c r="I947" i="1"/>
  <c r="H204" i="20994"/>
  <c r="C180" i="20994"/>
  <c r="D180" i="20994" s="1"/>
  <c r="H180" i="20994"/>
  <c r="E180" i="20994"/>
  <c r="G180" i="20994"/>
  <c r="F180" i="20994"/>
  <c r="G410" i="3"/>
  <c r="H410" i="3" s="1"/>
  <c r="H409" i="3"/>
  <c r="M14" i="1"/>
  <c r="C67" i="3" s="1"/>
  <c r="C66" i="3"/>
  <c r="C111" i="9216"/>
  <c r="D111" i="9216" s="1"/>
  <c r="E111" i="9216"/>
  <c r="H135" i="9216"/>
  <c r="H111" i="9216"/>
  <c r="H65" i="3"/>
  <c r="E65" i="3"/>
  <c r="F65" i="3"/>
  <c r="D65" i="3"/>
  <c r="G65" i="3"/>
  <c r="H89" i="3"/>
  <c r="G77" i="3"/>
  <c r="I1499" i="1"/>
  <c r="H1510" i="1"/>
  <c r="B112" i="9216"/>
  <c r="K114" i="3584"/>
  <c r="L113" i="3584"/>
  <c r="D65" i="3584"/>
  <c r="C66" i="3584"/>
  <c r="H101" i="1024"/>
  <c r="C101" i="1024"/>
  <c r="D101" i="1024" s="1"/>
  <c r="F101" i="1024"/>
  <c r="G101" i="1024"/>
  <c r="E101" i="1024"/>
  <c r="B111" i="1024"/>
  <c r="H1556" i="1"/>
  <c r="G1557" i="1"/>
  <c r="H98" i="9216"/>
  <c r="E98" i="9216"/>
  <c r="C98" i="9216"/>
  <c r="D98" i="9216" s="1"/>
  <c r="G98" i="9216"/>
  <c r="F98" i="9216"/>
  <c r="G110" i="9216"/>
  <c r="E1510" i="1"/>
  <c r="B99" i="9216"/>
  <c r="F1509" i="1"/>
  <c r="G1548" i="1"/>
  <c r="H1547" i="1"/>
  <c r="B102" i="1024"/>
  <c r="F110" i="1024"/>
  <c r="C110" i="1024"/>
  <c r="D110" i="1024" s="1"/>
  <c r="H134" i="1024"/>
  <c r="G110" i="1024"/>
  <c r="E110" i="1024"/>
  <c r="H110" i="1024"/>
  <c r="H205" i="20994" l="1"/>
  <c r="G181" i="20994"/>
  <c r="C181" i="20994"/>
  <c r="D181" i="20994" s="1"/>
  <c r="F181" i="20994"/>
  <c r="H181" i="20994"/>
  <c r="E181" i="20994"/>
  <c r="I948" i="1"/>
  <c r="B182" i="20994"/>
  <c r="J947" i="1"/>
  <c r="G111" i="9216"/>
  <c r="H1548" i="1"/>
  <c r="G1549" i="1"/>
  <c r="B103" i="1024"/>
  <c r="C111" i="1024"/>
  <c r="D111" i="1024" s="1"/>
  <c r="H135" i="1024"/>
  <c r="G111" i="1024"/>
  <c r="E111" i="1024"/>
  <c r="F111" i="1024"/>
  <c r="H111" i="1024"/>
  <c r="L114" i="3584"/>
  <c r="K115" i="3584"/>
  <c r="G99" i="9216"/>
  <c r="E99" i="9216"/>
  <c r="F99" i="9216"/>
  <c r="C99" i="9216"/>
  <c r="D99" i="9216" s="1"/>
  <c r="H99" i="9216"/>
  <c r="H112" i="9216"/>
  <c r="E112" i="9216"/>
  <c r="H136" i="9216"/>
  <c r="C112" i="9216"/>
  <c r="D112" i="9216" s="1"/>
  <c r="G1499" i="1"/>
  <c r="F1510" i="1"/>
  <c r="B100" i="9216"/>
  <c r="I1500" i="1"/>
  <c r="J1499" i="1"/>
  <c r="B113" i="9216"/>
  <c r="G66" i="3"/>
  <c r="E66" i="3"/>
  <c r="G78" i="3"/>
  <c r="F66" i="3"/>
  <c r="H90" i="3"/>
  <c r="H66" i="3"/>
  <c r="D66" i="3"/>
  <c r="H67" i="3"/>
  <c r="E68" i="3"/>
  <c r="E67" i="3"/>
  <c r="F67" i="3"/>
  <c r="D67" i="3"/>
  <c r="H91" i="3"/>
  <c r="G79" i="3"/>
  <c r="G67" i="3"/>
  <c r="F102" i="1024"/>
  <c r="H102" i="1024"/>
  <c r="E102" i="1024"/>
  <c r="G102" i="1024"/>
  <c r="C102" i="1024"/>
  <c r="D102" i="1024" s="1"/>
  <c r="B112" i="1024"/>
  <c r="H1557" i="1"/>
  <c r="I1546" i="1"/>
  <c r="C67" i="3584"/>
  <c r="D66" i="3584"/>
  <c r="H108" i="3584" s="1"/>
  <c r="I108" i="3584"/>
  <c r="E182" i="20994" l="1"/>
  <c r="C182" i="20994"/>
  <c r="D182" i="20994" s="1"/>
  <c r="F182" i="20994"/>
  <c r="H182" i="20994"/>
  <c r="H206" i="20994"/>
  <c r="G182" i="20994"/>
  <c r="I949" i="1"/>
  <c r="J948" i="1"/>
  <c r="B183" i="20994"/>
  <c r="F112" i="9216"/>
  <c r="G112" i="9216"/>
  <c r="H113" i="9216"/>
  <c r="F113" i="9216"/>
  <c r="E113" i="9216"/>
  <c r="H137" i="9216"/>
  <c r="C113" i="9216"/>
  <c r="D113" i="9216" s="1"/>
  <c r="I109" i="3584"/>
  <c r="C68" i="3584"/>
  <c r="D67" i="3584"/>
  <c r="H109" i="3584" s="1"/>
  <c r="G100" i="9216"/>
  <c r="F106" i="9216"/>
  <c r="E100" i="9216"/>
  <c r="F100" i="9216"/>
  <c r="C100" i="9216"/>
  <c r="D100" i="9216" s="1"/>
  <c r="H100" i="9216"/>
  <c r="F105" i="9216"/>
  <c r="F107" i="9216"/>
  <c r="F108" i="9216"/>
  <c r="F109" i="9216"/>
  <c r="F110" i="9216"/>
  <c r="F111" i="9216"/>
  <c r="K116" i="3584"/>
  <c r="L115" i="3584"/>
  <c r="G103" i="1024"/>
  <c r="F103" i="1024"/>
  <c r="H103" i="1024"/>
  <c r="E103" i="1024"/>
  <c r="C103" i="1024"/>
  <c r="D103" i="1024" s="1"/>
  <c r="J1500" i="1"/>
  <c r="B114" i="9216"/>
  <c r="I1501" i="1"/>
  <c r="J1546" i="1"/>
  <c r="I1547" i="1"/>
  <c r="B113" i="1024"/>
  <c r="B101" i="9216"/>
  <c r="H1499" i="1"/>
  <c r="G1500" i="1"/>
  <c r="H1549" i="1"/>
  <c r="B104" i="1024"/>
  <c r="C112" i="1024"/>
  <c r="D112" i="1024" s="1"/>
  <c r="F112" i="1024"/>
  <c r="E112" i="1024"/>
  <c r="G112" i="1024"/>
  <c r="H136" i="1024"/>
  <c r="H112" i="1024"/>
  <c r="C183" i="20994" l="1"/>
  <c r="D183" i="20994" s="1"/>
  <c r="F183" i="20994"/>
  <c r="E183" i="20994"/>
  <c r="H183" i="20994"/>
  <c r="H207" i="20994"/>
  <c r="G183" i="20994"/>
  <c r="B184" i="20994"/>
  <c r="J949" i="1"/>
  <c r="I950" i="1"/>
  <c r="G113" i="9216"/>
  <c r="F114" i="9216"/>
  <c r="H114" i="9216"/>
  <c r="C114" i="9216"/>
  <c r="D114" i="9216" s="1"/>
  <c r="H138" i="9216"/>
  <c r="E114" i="9216"/>
  <c r="K117" i="3584"/>
  <c r="L116" i="3584"/>
  <c r="H1500" i="1"/>
  <c r="B102" i="9216"/>
  <c r="G1501" i="1"/>
  <c r="H113" i="1024"/>
  <c r="C113" i="1024"/>
  <c r="D113" i="1024" s="1"/>
  <c r="G113" i="1024"/>
  <c r="H137" i="1024"/>
  <c r="E113" i="1024"/>
  <c r="F113" i="1024"/>
  <c r="F101" i="9216"/>
  <c r="H101" i="9216"/>
  <c r="E101" i="9216"/>
  <c r="C101" i="9216"/>
  <c r="D101" i="9216" s="1"/>
  <c r="G101" i="9216"/>
  <c r="J1547" i="1"/>
  <c r="I1548" i="1"/>
  <c r="B114" i="1024"/>
  <c r="G104" i="1024"/>
  <c r="C104" i="1024"/>
  <c r="D104" i="1024" s="1"/>
  <c r="E105" i="1024"/>
  <c r="F104" i="1024"/>
  <c r="E104" i="1024"/>
  <c r="H104" i="1024"/>
  <c r="B115" i="9216"/>
  <c r="J1501" i="1"/>
  <c r="I1502" i="1"/>
  <c r="D68" i="3584"/>
  <c r="C69" i="3584"/>
  <c r="B185" i="20994" l="1"/>
  <c r="J950" i="1"/>
  <c r="I951" i="1"/>
  <c r="H208" i="20994"/>
  <c r="E184" i="20994"/>
  <c r="H184" i="20994"/>
  <c r="G184" i="20994"/>
  <c r="C184" i="20994"/>
  <c r="D184" i="20994" s="1"/>
  <c r="F184" i="20994"/>
  <c r="G114" i="9216"/>
  <c r="L117" i="3584"/>
  <c r="K118" i="3584"/>
  <c r="E115" i="9216"/>
  <c r="C115" i="9216"/>
  <c r="D115" i="9216" s="1"/>
  <c r="H115" i="9216"/>
  <c r="F115" i="9216"/>
  <c r="H139" i="9216"/>
  <c r="H138" i="1024"/>
  <c r="C114" i="1024"/>
  <c r="D114" i="1024" s="1"/>
  <c r="F114" i="1024"/>
  <c r="G114" i="1024"/>
  <c r="E114" i="1024"/>
  <c r="H114" i="1024"/>
  <c r="H1501" i="1"/>
  <c r="G1502" i="1"/>
  <c r="B103" i="9216"/>
  <c r="C70" i="3584"/>
  <c r="D69" i="3584"/>
  <c r="I1549" i="1"/>
  <c r="J1548" i="1"/>
  <c r="B115" i="1024"/>
  <c r="C102" i="9216"/>
  <c r="D102" i="9216" s="1"/>
  <c r="F102" i="9216"/>
  <c r="H102" i="9216"/>
  <c r="E102" i="9216"/>
  <c r="G102" i="9216"/>
  <c r="B116" i="9216"/>
  <c r="J1502" i="1"/>
  <c r="I1503" i="1"/>
  <c r="H185" i="20994" l="1"/>
  <c r="H209" i="20994"/>
  <c r="C185" i="20994"/>
  <c r="D185" i="20994" s="1"/>
  <c r="E185" i="20994"/>
  <c r="G185" i="20994"/>
  <c r="F185" i="20994"/>
  <c r="I952" i="1"/>
  <c r="J951" i="1"/>
  <c r="B186" i="20994"/>
  <c r="G115" i="9216"/>
  <c r="D70" i="3584"/>
  <c r="H110" i="3584" s="1"/>
  <c r="C71" i="3584"/>
  <c r="I110" i="3584"/>
  <c r="C103" i="9216"/>
  <c r="D103" i="9216" s="1"/>
  <c r="H103" i="9216"/>
  <c r="G103" i="9216"/>
  <c r="F103" i="9216"/>
  <c r="E103" i="9216"/>
  <c r="B104" i="9216"/>
  <c r="H1502" i="1"/>
  <c r="B117" i="9216"/>
  <c r="J1503" i="1"/>
  <c r="I1504" i="1"/>
  <c r="H139" i="1024"/>
  <c r="H115" i="1024"/>
  <c r="G115" i="1024"/>
  <c r="C115" i="1024"/>
  <c r="D115" i="1024" s="1"/>
  <c r="E115" i="1024"/>
  <c r="F115" i="1024"/>
  <c r="E116" i="9216"/>
  <c r="C116" i="9216"/>
  <c r="D116" i="9216" s="1"/>
  <c r="F116" i="9216"/>
  <c r="H116" i="9216"/>
  <c r="H140" i="9216"/>
  <c r="K119" i="3584"/>
  <c r="L119" i="3584" s="1"/>
  <c r="L118" i="3584"/>
  <c r="J1549" i="1"/>
  <c r="B116" i="1024"/>
  <c r="I1550" i="1"/>
  <c r="J952" i="1" l="1"/>
  <c r="I953" i="1"/>
  <c r="B187" i="20994"/>
  <c r="H210" i="20994"/>
  <c r="E186" i="20994"/>
  <c r="G186" i="20994"/>
  <c r="C186" i="20994"/>
  <c r="D186" i="20994" s="1"/>
  <c r="H186" i="20994"/>
  <c r="F186" i="20994"/>
  <c r="G116" i="9216"/>
  <c r="I1505" i="1"/>
  <c r="J1504" i="1"/>
  <c r="B118" i="9216"/>
  <c r="J1550" i="1"/>
  <c r="B117" i="1024"/>
  <c r="I1551" i="1"/>
  <c r="G117" i="9216"/>
  <c r="C117" i="9216"/>
  <c r="D117" i="9216" s="1"/>
  <c r="F117" i="9216"/>
  <c r="H117" i="9216"/>
  <c r="E117" i="9216"/>
  <c r="H141" i="9216"/>
  <c r="H116" i="1024"/>
  <c r="E116" i="1024"/>
  <c r="G116" i="1024"/>
  <c r="F116" i="1024"/>
  <c r="C116" i="1024"/>
  <c r="D116" i="1024" s="1"/>
  <c r="H140" i="1024"/>
  <c r="F104" i="9216"/>
  <c r="E104" i="9216"/>
  <c r="C104" i="9216"/>
  <c r="D104" i="9216" s="1"/>
  <c r="G104" i="9216"/>
  <c r="H104" i="9216"/>
  <c r="E105" i="9216"/>
  <c r="C72" i="3584"/>
  <c r="D71" i="3584"/>
  <c r="G199" i="20994" l="1"/>
  <c r="G187" i="20994"/>
  <c r="F187" i="20994"/>
  <c r="E187" i="20994"/>
  <c r="C187" i="20994"/>
  <c r="D187" i="20994" s="1"/>
  <c r="H211" i="20994"/>
  <c r="H187" i="20994"/>
  <c r="J953" i="1"/>
  <c r="B188" i="20994"/>
  <c r="I954" i="1"/>
  <c r="E117" i="1024"/>
  <c r="G117" i="1024"/>
  <c r="H117" i="1024"/>
  <c r="C117" i="1024"/>
  <c r="D117" i="1024" s="1"/>
  <c r="F117" i="1024"/>
  <c r="H141" i="1024"/>
  <c r="D72" i="3584"/>
  <c r="H111" i="3584" s="1"/>
  <c r="I111" i="3584"/>
  <c r="C73" i="3584"/>
  <c r="H118" i="9216"/>
  <c r="C118" i="9216"/>
  <c r="D118" i="9216" s="1"/>
  <c r="G130" i="9216"/>
  <c r="G118" i="9216"/>
  <c r="E118" i="9216"/>
  <c r="H142" i="9216"/>
  <c r="F118" i="9216"/>
  <c r="J1505" i="1"/>
  <c r="B119" i="9216"/>
  <c r="I1506" i="1"/>
  <c r="J1551" i="1"/>
  <c r="I1552" i="1"/>
  <c r="B118" i="1024"/>
  <c r="B189" i="20994" l="1"/>
  <c r="I955" i="1"/>
  <c r="J954" i="1"/>
  <c r="G188" i="20994"/>
  <c r="H212" i="20994"/>
  <c r="H188" i="20994"/>
  <c r="E188" i="20994"/>
  <c r="G200" i="20994"/>
  <c r="C188" i="20994"/>
  <c r="D188" i="20994" s="1"/>
  <c r="F188" i="20994"/>
  <c r="J1506" i="1"/>
  <c r="B120" i="9216"/>
  <c r="I1507" i="1"/>
  <c r="H119" i="9216"/>
  <c r="H143" i="9216"/>
  <c r="G131" i="9216"/>
  <c r="E119" i="9216"/>
  <c r="G119" i="9216"/>
  <c r="F119" i="9216"/>
  <c r="C119" i="9216"/>
  <c r="D119" i="9216" s="1"/>
  <c r="C118" i="1024"/>
  <c r="D118" i="1024" s="1"/>
  <c r="E118" i="1024"/>
  <c r="F118" i="1024"/>
  <c r="H142" i="1024"/>
  <c r="G118" i="1024"/>
  <c r="G130" i="1024"/>
  <c r="H118" i="1024"/>
  <c r="B119" i="1024"/>
  <c r="J1552" i="1"/>
  <c r="I1553" i="1"/>
  <c r="C74" i="3584"/>
  <c r="D73" i="3584"/>
  <c r="J955" i="1" l="1"/>
  <c r="B190" i="20994"/>
  <c r="I956" i="1"/>
  <c r="E189" i="20994"/>
  <c r="H213" i="20994"/>
  <c r="H189" i="20994"/>
  <c r="G201" i="20994"/>
  <c r="C189" i="20994"/>
  <c r="D189" i="20994" s="1"/>
  <c r="F189" i="20994"/>
  <c r="G189" i="20994"/>
  <c r="G131" i="1024"/>
  <c r="G119" i="1024"/>
  <c r="H119" i="1024"/>
  <c r="C119" i="1024"/>
  <c r="D119" i="1024" s="1"/>
  <c r="E119" i="1024"/>
  <c r="F119" i="1024"/>
  <c r="H143" i="1024"/>
  <c r="J1507" i="1"/>
  <c r="B121" i="9216"/>
  <c r="I1508" i="1"/>
  <c r="H144" i="9216"/>
  <c r="G132" i="9216"/>
  <c r="E120" i="9216"/>
  <c r="F120" i="9216"/>
  <c r="C120" i="9216"/>
  <c r="D120" i="9216" s="1"/>
  <c r="H120" i="9216"/>
  <c r="G120" i="9216"/>
  <c r="C75" i="3584"/>
  <c r="I112" i="3584"/>
  <c r="D74" i="3584"/>
  <c r="H112" i="3584" s="1"/>
  <c r="I1554" i="1"/>
  <c r="B120" i="1024"/>
  <c r="J1553" i="1"/>
  <c r="I957" i="1" l="1"/>
  <c r="J956" i="1"/>
  <c r="B191" i="20994"/>
  <c r="H214" i="20994"/>
  <c r="G202" i="20994"/>
  <c r="C190" i="20994"/>
  <c r="D190" i="20994" s="1"/>
  <c r="H190" i="20994"/>
  <c r="F190" i="20994"/>
  <c r="E190" i="20994"/>
  <c r="G190" i="20994"/>
  <c r="D75" i="3584"/>
  <c r="H113" i="3584" s="1"/>
  <c r="I113" i="3584"/>
  <c r="C76" i="3584"/>
  <c r="J1508" i="1"/>
  <c r="I1509" i="1"/>
  <c r="B122" i="9216"/>
  <c r="G120" i="1024"/>
  <c r="H144" i="1024"/>
  <c r="C120" i="1024"/>
  <c r="D120" i="1024" s="1"/>
  <c r="F120" i="1024"/>
  <c r="E120" i="1024"/>
  <c r="G132" i="1024"/>
  <c r="H120" i="1024"/>
  <c r="E121" i="9216"/>
  <c r="C121" i="9216"/>
  <c r="D121" i="9216" s="1"/>
  <c r="F121" i="9216"/>
  <c r="H121" i="9216"/>
  <c r="G133" i="9216"/>
  <c r="H145" i="9216"/>
  <c r="G121" i="9216"/>
  <c r="B121" i="1024"/>
  <c r="I1555" i="1"/>
  <c r="J1554" i="1"/>
  <c r="B192" i="20994" l="1"/>
  <c r="I958" i="1"/>
  <c r="J957" i="1"/>
  <c r="E191" i="20994"/>
  <c r="H191" i="20994"/>
  <c r="C191" i="20994"/>
  <c r="D191" i="20994" s="1"/>
  <c r="G203" i="20994"/>
  <c r="H215" i="20994"/>
  <c r="F191" i="20994"/>
  <c r="G191" i="20994"/>
  <c r="I1510" i="1"/>
  <c r="B123" i="9216"/>
  <c r="J1509" i="1"/>
  <c r="I114" i="3584"/>
  <c r="D76" i="3584"/>
  <c r="H114" i="3584" s="1"/>
  <c r="C77" i="3584"/>
  <c r="J1555" i="1"/>
  <c r="B122" i="1024"/>
  <c r="I1556" i="1"/>
  <c r="H121" i="1024"/>
  <c r="F121" i="1024"/>
  <c r="E121" i="1024"/>
  <c r="G121" i="1024"/>
  <c r="H145" i="1024"/>
  <c r="G133" i="1024"/>
  <c r="C121" i="1024"/>
  <c r="D121" i="1024" s="1"/>
  <c r="H122" i="9216"/>
  <c r="G122" i="9216"/>
  <c r="H146" i="9216"/>
  <c r="C122" i="9216"/>
  <c r="D122" i="9216" s="1"/>
  <c r="F122" i="9216"/>
  <c r="G134" i="9216"/>
  <c r="E122" i="9216"/>
  <c r="E192" i="20994" l="1"/>
  <c r="H216" i="20994"/>
  <c r="H192" i="20994"/>
  <c r="F192" i="20994"/>
  <c r="G192" i="20994"/>
  <c r="C192" i="20994"/>
  <c r="D192" i="20994" s="1"/>
  <c r="G204" i="20994"/>
  <c r="K947" i="1"/>
  <c r="B193" i="20994"/>
  <c r="J958" i="1"/>
  <c r="H146" i="1024"/>
  <c r="H122" i="1024"/>
  <c r="E122" i="1024"/>
  <c r="C122" i="1024"/>
  <c r="D122" i="1024" s="1"/>
  <c r="G134" i="1024"/>
  <c r="F122" i="1024"/>
  <c r="G122" i="1024"/>
  <c r="C78" i="3584"/>
  <c r="I115" i="3584"/>
  <c r="D77" i="3584"/>
  <c r="H115" i="3584" s="1"/>
  <c r="G135" i="9216"/>
  <c r="G123" i="9216"/>
  <c r="H147" i="9216"/>
  <c r="C123" i="9216"/>
  <c r="D123" i="9216" s="1"/>
  <c r="E123" i="9216"/>
  <c r="H123" i="9216"/>
  <c r="F123" i="9216"/>
  <c r="B123" i="1024"/>
  <c r="J1556" i="1"/>
  <c r="I1557" i="1"/>
  <c r="J1510" i="1"/>
  <c r="B124" i="9216"/>
  <c r="K1499" i="1"/>
  <c r="B194" i="20994" l="1"/>
  <c r="K948" i="1"/>
  <c r="L947" i="1"/>
  <c r="H193" i="20994"/>
  <c r="F202" i="20994"/>
  <c r="G193" i="20994"/>
  <c r="F204" i="20994"/>
  <c r="C193" i="20994"/>
  <c r="D193" i="20994" s="1"/>
  <c r="F199" i="20994"/>
  <c r="F205" i="20994"/>
  <c r="F201" i="20994"/>
  <c r="H217" i="20994"/>
  <c r="F193" i="20994"/>
  <c r="F203" i="20994"/>
  <c r="E193" i="20994"/>
  <c r="G205" i="20994"/>
  <c r="F200" i="20994"/>
  <c r="K1500" i="1"/>
  <c r="L1499" i="1"/>
  <c r="B125" i="9216"/>
  <c r="G123" i="1024"/>
  <c r="F123" i="1024"/>
  <c r="H147" i="1024"/>
  <c r="H123" i="1024"/>
  <c r="E123" i="1024"/>
  <c r="C123" i="1024"/>
  <c r="D123" i="1024" s="1"/>
  <c r="G135" i="1024"/>
  <c r="E124" i="9216"/>
  <c r="H148" i="9216"/>
  <c r="F124" i="9216"/>
  <c r="H124" i="9216"/>
  <c r="C124" i="9216"/>
  <c r="D124" i="9216" s="1"/>
  <c r="F135" i="9216"/>
  <c r="F132" i="9216"/>
  <c r="F131" i="9216"/>
  <c r="F133" i="9216"/>
  <c r="F136" i="9216"/>
  <c r="F130" i="9216"/>
  <c r="G136" i="9216"/>
  <c r="G124" i="9216"/>
  <c r="F134" i="9216"/>
  <c r="K1546" i="1"/>
  <c r="J1557" i="1"/>
  <c r="B124" i="1024"/>
  <c r="I116" i="3584"/>
  <c r="C79" i="3584"/>
  <c r="D78" i="3584"/>
  <c r="H116" i="3584" s="1"/>
  <c r="C194" i="20994" l="1"/>
  <c r="D194" i="20994" s="1"/>
  <c r="G194" i="20994"/>
  <c r="H218" i="20994"/>
  <c r="G206" i="20994"/>
  <c r="F194" i="20994"/>
  <c r="H194" i="20994"/>
  <c r="E194" i="20994"/>
  <c r="L948" i="1"/>
  <c r="K949" i="1"/>
  <c r="B195" i="20994"/>
  <c r="F134" i="1024"/>
  <c r="F135" i="1024"/>
  <c r="F130" i="1024"/>
  <c r="F133" i="1024"/>
  <c r="H124" i="1024"/>
  <c r="G136" i="1024"/>
  <c r="F136" i="1024"/>
  <c r="C124" i="1024"/>
  <c r="D124" i="1024" s="1"/>
  <c r="F124" i="1024"/>
  <c r="F132" i="1024"/>
  <c r="H148" i="1024"/>
  <c r="E124" i="1024"/>
  <c r="G124" i="1024"/>
  <c r="F131" i="1024"/>
  <c r="B125" i="1024"/>
  <c r="L1546" i="1"/>
  <c r="K1547" i="1"/>
  <c r="E125" i="9216"/>
  <c r="C125" i="9216"/>
  <c r="D125" i="9216" s="1"/>
  <c r="G137" i="9216"/>
  <c r="H149" i="9216"/>
  <c r="H125" i="9216"/>
  <c r="G125" i="9216"/>
  <c r="F125" i="9216"/>
  <c r="I117" i="3584"/>
  <c r="C80" i="3584"/>
  <c r="D79" i="3584"/>
  <c r="H117" i="3584" s="1"/>
  <c r="L1500" i="1"/>
  <c r="K1501" i="1"/>
  <c r="B126" i="9216"/>
  <c r="C195" i="20994" l="1"/>
  <c r="D195" i="20994" s="1"/>
  <c r="H219" i="20994"/>
  <c r="F195" i="20994"/>
  <c r="H195" i="20994"/>
  <c r="E195" i="20994"/>
  <c r="G195" i="20994"/>
  <c r="G207" i="20994"/>
  <c r="B196" i="20994"/>
  <c r="L949" i="1"/>
  <c r="K950" i="1"/>
  <c r="L1501" i="1"/>
  <c r="B127" i="9216"/>
  <c r="K1502" i="1"/>
  <c r="C125" i="1024"/>
  <c r="D125" i="1024" s="1"/>
  <c r="H125" i="1024"/>
  <c r="G137" i="1024"/>
  <c r="F125" i="1024"/>
  <c r="G125" i="1024"/>
  <c r="E125" i="1024"/>
  <c r="H149" i="1024"/>
  <c r="I118" i="3584"/>
  <c r="D80" i="3584"/>
  <c r="H118" i="3584" s="1"/>
  <c r="C81" i="3584"/>
  <c r="L1547" i="1"/>
  <c r="B126" i="1024"/>
  <c r="K1548" i="1"/>
  <c r="C126" i="9216"/>
  <c r="D126" i="9216" s="1"/>
  <c r="H150" i="9216"/>
  <c r="H126" i="9216"/>
  <c r="F126" i="9216"/>
  <c r="E126" i="9216"/>
  <c r="G126" i="9216"/>
  <c r="G138" i="9216"/>
  <c r="B197" i="20994" l="1"/>
  <c r="K951" i="1"/>
  <c r="Q948" i="1"/>
  <c r="L950" i="1"/>
  <c r="H196" i="20994"/>
  <c r="H220" i="20994"/>
  <c r="G196" i="20994"/>
  <c r="G208" i="20994"/>
  <c r="F196" i="20994"/>
  <c r="E196" i="20994"/>
  <c r="C196" i="20994"/>
  <c r="D196" i="20994" s="1"/>
  <c r="I119" i="3584"/>
  <c r="D81" i="3584"/>
  <c r="H119" i="3584" s="1"/>
  <c r="G126" i="1024"/>
  <c r="E126" i="1024"/>
  <c r="G138" i="1024"/>
  <c r="C126" i="1024"/>
  <c r="D126" i="1024" s="1"/>
  <c r="H126" i="1024"/>
  <c r="H150" i="1024"/>
  <c r="F126" i="1024"/>
  <c r="L1502" i="1"/>
  <c r="B128" i="9216"/>
  <c r="K1503" i="1"/>
  <c r="C127" i="9216"/>
  <c r="D127" i="9216" s="1"/>
  <c r="F127" i="9216"/>
  <c r="H127" i="9216"/>
  <c r="H151" i="9216"/>
  <c r="G139" i="9216"/>
  <c r="G127" i="9216"/>
  <c r="E127" i="9216"/>
  <c r="K1549" i="1"/>
  <c r="L1548" i="1"/>
  <c r="B127" i="1024"/>
  <c r="B198" i="20994" l="1"/>
  <c r="L951" i="1"/>
  <c r="Q949" i="1"/>
  <c r="G197" i="20994"/>
  <c r="H221" i="20994"/>
  <c r="F197" i="20994"/>
  <c r="C197" i="20994"/>
  <c r="D197" i="20994" s="1"/>
  <c r="G209" i="20994"/>
  <c r="H197" i="20994"/>
  <c r="E197" i="20994"/>
  <c r="G139" i="1024"/>
  <c r="F127" i="1024"/>
  <c r="H151" i="1024"/>
  <c r="G127" i="1024"/>
  <c r="E127" i="1024"/>
  <c r="H127" i="1024"/>
  <c r="C127" i="1024"/>
  <c r="D127" i="1024" s="1"/>
  <c r="B128" i="1024"/>
  <c r="K1550" i="1"/>
  <c r="L1549" i="1"/>
  <c r="L1503" i="1"/>
  <c r="B129" i="9216"/>
  <c r="C128" i="9216"/>
  <c r="D128" i="9216" s="1"/>
  <c r="F128" i="9216"/>
  <c r="H128" i="9216"/>
  <c r="G140" i="9216"/>
  <c r="H152" i="9216"/>
  <c r="E128" i="9216"/>
  <c r="G128" i="9216"/>
  <c r="H222" i="20994" l="1"/>
  <c r="G198" i="20994"/>
  <c r="C198" i="20994"/>
  <c r="D198" i="20994" s="1"/>
  <c r="G210" i="20994"/>
  <c r="H198" i="20994"/>
  <c r="F198" i="20994"/>
  <c r="E199" i="20994"/>
  <c r="E198" i="20994"/>
  <c r="F129" i="9216"/>
  <c r="C129" i="9216"/>
  <c r="D129" i="9216" s="1"/>
  <c r="E129" i="9216"/>
  <c r="G141" i="9216"/>
  <c r="H153" i="9216"/>
  <c r="E130" i="9216"/>
  <c r="G129" i="9216"/>
  <c r="H129" i="9216"/>
  <c r="L1550" i="1"/>
  <c r="B129" i="1024"/>
  <c r="C128" i="1024"/>
  <c r="D128" i="1024" s="1"/>
  <c r="E128" i="1024"/>
  <c r="G140" i="1024"/>
  <c r="H128" i="1024"/>
  <c r="G128" i="1024"/>
  <c r="H152" i="1024"/>
  <c r="F128" i="1024"/>
  <c r="H153" i="1024" l="1"/>
  <c r="G129" i="1024"/>
  <c r="C129" i="1024"/>
  <c r="D129" i="1024" s="1"/>
  <c r="E129" i="1024"/>
  <c r="H129" i="1024"/>
  <c r="F129" i="1024"/>
  <c r="E130" i="1024"/>
  <c r="G141" i="1024"/>
  <c r="O285" i="1" l="1"/>
  <c r="B273" i="32" l="1"/>
  <c r="P285" i="1"/>
  <c r="G297" i="32" l="1"/>
  <c r="F285" i="32"/>
  <c r="D274" i="32"/>
  <c r="C273" i="32"/>
  <c r="D273" i="32"/>
  <c r="E273" i="32"/>
  <c r="G273" i="32"/>
  <c r="F273" i="32"/>
  <c r="Q279" i="1" l="1"/>
  <c r="B279" i="32" l="1"/>
  <c r="R279" i="1"/>
  <c r="G303" i="32" l="1"/>
  <c r="F291" i="32"/>
  <c r="D280" i="32"/>
  <c r="C279" i="32"/>
  <c r="D279" i="32"/>
  <c r="E279" i="32"/>
  <c r="F279" i="32"/>
  <c r="G279" i="32"/>
  <c r="M1095" i="1" l="1"/>
  <c r="N371" i="1"/>
  <c r="N1095" i="1" l="1"/>
  <c r="B215" i="2819"/>
  <c r="H215" i="2819" s="1"/>
  <c r="M1614" i="1"/>
  <c r="G239" i="2819" l="1"/>
  <c r="F227" i="2819"/>
  <c r="D216" i="2819"/>
  <c r="E215" i="2819"/>
  <c r="F215" i="2819"/>
  <c r="G215" i="2819"/>
  <c r="C215" i="2819"/>
  <c r="D215" i="2819"/>
  <c r="N1614" i="1"/>
  <c r="B215" i="25590"/>
  <c r="H215" i="25590" s="1"/>
  <c r="M1030" i="1"/>
  <c r="G239" i="25590" l="1"/>
  <c r="F227" i="25590"/>
  <c r="D216" i="25590"/>
  <c r="E215" i="25590"/>
  <c r="D215" i="25590"/>
  <c r="F215" i="25590"/>
  <c r="C215" i="25590"/>
  <c r="G215" i="25590"/>
  <c r="N1030" i="1"/>
  <c r="B215" i="25589"/>
  <c r="H215" i="25589" s="1"/>
  <c r="G239" i="25589" l="1"/>
  <c r="F227" i="25589"/>
  <c r="D216" i="25589"/>
  <c r="E215" i="25589"/>
  <c r="F215" i="25589"/>
  <c r="G215" i="25589"/>
  <c r="C215" i="25589"/>
  <c r="D215" i="25589"/>
  <c r="M61" i="1" l="1"/>
  <c r="C284" i="3" l="1"/>
  <c r="N61" i="1"/>
  <c r="H308" i="3" l="1"/>
  <c r="G296" i="3"/>
  <c r="E285" i="3"/>
  <c r="D284" i="3"/>
  <c r="E284" i="3"/>
  <c r="F284" i="3"/>
  <c r="G284" i="3"/>
  <c r="H284" i="3"/>
  <c r="M65" i="1" l="1"/>
  <c r="C288" i="3" l="1"/>
  <c r="N65" i="1"/>
  <c r="H312" i="3" l="1"/>
  <c r="G300" i="3"/>
  <c r="E289" i="3"/>
  <c r="D288" i="3"/>
  <c r="E288" i="3"/>
  <c r="F288" i="3"/>
  <c r="G288" i="3"/>
  <c r="H288" i="3"/>
  <c r="O369" i="1" l="1"/>
  <c r="O1093" i="1"/>
  <c r="B225" i="2819" l="1"/>
  <c r="H225" i="2819" s="1"/>
  <c r="P1093" i="1"/>
  <c r="P369" i="1"/>
  <c r="B225" i="2316"/>
  <c r="H225" i="2316" s="1"/>
  <c r="G249" i="2316" l="1"/>
  <c r="G249" i="2819"/>
  <c r="F237" i="2316"/>
  <c r="F237" i="2819"/>
  <c r="D226" i="2316"/>
  <c r="D226" i="2819"/>
  <c r="C225" i="2316"/>
  <c r="D225" i="2316"/>
  <c r="F225" i="2316"/>
  <c r="G225" i="2316"/>
  <c r="C225" i="2819"/>
  <c r="D225" i="2819"/>
  <c r="E225" i="2819"/>
  <c r="F225" i="2819"/>
  <c r="G225" i="2819"/>
  <c r="E225" i="2316" l="1"/>
  <c r="O1028" i="1"/>
  <c r="B225" i="25589" l="1"/>
  <c r="H225" i="25589" s="1"/>
  <c r="P1028" i="1"/>
  <c r="O1612" i="1"/>
  <c r="G249" i="25589" l="1"/>
  <c r="F237" i="25589"/>
  <c r="D226" i="25589"/>
  <c r="P1612" i="1"/>
  <c r="B225" i="25590"/>
  <c r="H225" i="25590" s="1"/>
  <c r="C225" i="25589"/>
  <c r="D225" i="25589"/>
  <c r="E225" i="25589"/>
  <c r="F225" i="25589"/>
  <c r="G225" i="25589"/>
  <c r="G249" i="25590" l="1"/>
  <c r="F237" i="25590"/>
  <c r="D226" i="25590"/>
  <c r="C225" i="25590"/>
  <c r="D225" i="25590"/>
  <c r="E225" i="25590"/>
  <c r="F225" i="25590"/>
  <c r="G225" i="25590"/>
  <c r="S283" i="1" l="1"/>
  <c r="B295" i="32" l="1"/>
  <c r="T283" i="1"/>
  <c r="F307" i="32" l="1"/>
  <c r="D296" i="32"/>
  <c r="E295" i="32"/>
  <c r="D295" i="32"/>
  <c r="F295" i="32"/>
  <c r="C295" i="32"/>
  <c r="G295" i="32"/>
  <c r="S286" i="1" l="1"/>
  <c r="T286" i="1" l="1"/>
  <c r="B298" i="32"/>
  <c r="G322" i="32" l="1"/>
  <c r="F310" i="32"/>
  <c r="E298" i="32"/>
  <c r="G298" i="32"/>
  <c r="C298" i="32"/>
  <c r="D298" i="32"/>
  <c r="F298" i="32"/>
  <c r="S287" i="1" l="1"/>
  <c r="B299" i="32" l="1"/>
  <c r="T287" i="1"/>
  <c r="F311" i="32" l="1"/>
  <c r="D300" i="32"/>
  <c r="C299" i="32"/>
  <c r="D299" i="32"/>
  <c r="E299" i="32"/>
  <c r="F299" i="32"/>
  <c r="G299" i="32"/>
  <c r="W281" i="1" l="1"/>
  <c r="X281" i="1" l="1"/>
  <c r="B317" i="32"/>
  <c r="D318" i="32" l="1"/>
  <c r="C317" i="32"/>
  <c r="F317" i="32"/>
  <c r="G317" i="32"/>
  <c r="D317" i="32"/>
  <c r="E317" i="32"/>
  <c r="W283" i="1" l="1"/>
  <c r="X283" i="1" l="1"/>
  <c r="B319" i="32"/>
  <c r="D320" i="32" l="1"/>
  <c r="C319" i="32"/>
  <c r="E319" i="32"/>
  <c r="G319" i="32"/>
  <c r="D319" i="32"/>
  <c r="F319" i="32"/>
  <c r="W287" i="1" l="1"/>
  <c r="B323" i="32" l="1"/>
  <c r="X287" i="1"/>
  <c r="C323" i="32" l="1"/>
  <c r="E11" i="9728" s="1"/>
  <c r="D11" i="9728"/>
  <c r="H318" i="32"/>
  <c r="H310" i="32"/>
  <c r="H302" i="32"/>
  <c r="H294" i="32"/>
  <c r="H286" i="32"/>
  <c r="H278" i="32"/>
  <c r="H270" i="32"/>
  <c r="H262" i="32"/>
  <c r="H254" i="32"/>
  <c r="H246" i="32"/>
  <c r="H238" i="32"/>
  <c r="H230" i="32"/>
  <c r="H222" i="32"/>
  <c r="H214" i="32"/>
  <c r="H206" i="32"/>
  <c r="H198" i="32"/>
  <c r="H190" i="32"/>
  <c r="H182" i="32"/>
  <c r="H174" i="32"/>
  <c r="H317" i="32"/>
  <c r="H309" i="32"/>
  <c r="H301" i="32"/>
  <c r="H293" i="32"/>
  <c r="H285" i="32"/>
  <c r="H277" i="32"/>
  <c r="H269" i="32"/>
  <c r="H261" i="32"/>
  <c r="H253" i="32"/>
  <c r="H245" i="32"/>
  <c r="H237" i="32"/>
  <c r="H229" i="32"/>
  <c r="H221" i="32"/>
  <c r="H213" i="32"/>
  <c r="H205" i="32"/>
  <c r="H197" i="32"/>
  <c r="H189" i="32"/>
  <c r="H181" i="32"/>
  <c r="H173" i="32"/>
  <c r="H165" i="32"/>
  <c r="H157" i="32"/>
  <c r="H149" i="32"/>
  <c r="H316" i="32"/>
  <c r="H308" i="32"/>
  <c r="H300" i="32"/>
  <c r="H292" i="32"/>
  <c r="H284" i="32"/>
  <c r="H276" i="32"/>
  <c r="H268" i="32"/>
  <c r="H260" i="32"/>
  <c r="H252" i="32"/>
  <c r="H244" i="32"/>
  <c r="H236" i="32"/>
  <c r="H228" i="32"/>
  <c r="H220" i="32"/>
  <c r="H212" i="32"/>
  <c r="H204" i="32"/>
  <c r="H196" i="32"/>
  <c r="H188" i="32"/>
  <c r="H180" i="32"/>
  <c r="H322" i="32"/>
  <c r="H314" i="32"/>
  <c r="H306" i="32"/>
  <c r="H298" i="32"/>
  <c r="H290" i="32"/>
  <c r="H282" i="32"/>
  <c r="H274" i="32"/>
  <c r="H266" i="32"/>
  <c r="H258" i="32"/>
  <c r="H250" i="32"/>
  <c r="H242" i="32"/>
  <c r="H234" i="32"/>
  <c r="H226" i="32"/>
  <c r="H218" i="32"/>
  <c r="H210" i="32"/>
  <c r="H321" i="32"/>
  <c r="H313" i="32"/>
  <c r="H305" i="32"/>
  <c r="H297" i="32"/>
  <c r="H289" i="32"/>
  <c r="H281" i="32"/>
  <c r="H273" i="32"/>
  <c r="H265" i="32"/>
  <c r="H257" i="32"/>
  <c r="H249" i="32"/>
  <c r="H241" i="32"/>
  <c r="H233" i="32"/>
  <c r="H225" i="32"/>
  <c r="H217" i="32"/>
  <c r="H209" i="32"/>
  <c r="H201" i="32"/>
  <c r="H193" i="32"/>
  <c r="H185" i="32"/>
  <c r="H177" i="32"/>
  <c r="H169" i="32"/>
  <c r="H161" i="32"/>
  <c r="H153" i="32"/>
  <c r="H315" i="32"/>
  <c r="H295" i="32"/>
  <c r="H272" i="32"/>
  <c r="H251" i="32"/>
  <c r="H231" i="32"/>
  <c r="H208" i="32"/>
  <c r="H192" i="32"/>
  <c r="H176" i="32"/>
  <c r="H164" i="32"/>
  <c r="H154" i="32"/>
  <c r="H144" i="32"/>
  <c r="H136" i="32"/>
  <c r="H128" i="32"/>
  <c r="H120" i="32"/>
  <c r="H112" i="32"/>
  <c r="H104" i="32"/>
  <c r="H96" i="32"/>
  <c r="H88" i="32"/>
  <c r="H80" i="32"/>
  <c r="H72" i="32"/>
  <c r="H64" i="32"/>
  <c r="H56" i="32"/>
  <c r="H48" i="32"/>
  <c r="H40" i="32"/>
  <c r="H32" i="32"/>
  <c r="H24" i="32"/>
  <c r="H16" i="32"/>
  <c r="H8" i="32"/>
  <c r="H312" i="32"/>
  <c r="H291" i="32"/>
  <c r="H271" i="32"/>
  <c r="H248" i="32"/>
  <c r="H227" i="32"/>
  <c r="H207" i="32"/>
  <c r="H191" i="32"/>
  <c r="H175" i="32"/>
  <c r="H163" i="32"/>
  <c r="H152" i="32"/>
  <c r="H143" i="32"/>
  <c r="H135" i="32"/>
  <c r="H127" i="32"/>
  <c r="H119" i="32"/>
  <c r="H111" i="32"/>
  <c r="H103" i="32"/>
  <c r="H95" i="32"/>
  <c r="H87" i="32"/>
  <c r="H79" i="32"/>
  <c r="H71" i="32"/>
  <c r="H63" i="32"/>
  <c r="H55" i="32"/>
  <c r="H47" i="32"/>
  <c r="H39" i="32"/>
  <c r="H31" i="32"/>
  <c r="H23" i="32"/>
  <c r="H15" i="32"/>
  <c r="H311" i="32"/>
  <c r="H288" i="32"/>
  <c r="H267" i="32"/>
  <c r="H247" i="32"/>
  <c r="H224" i="32"/>
  <c r="H203" i="32"/>
  <c r="H187" i="32"/>
  <c r="H172" i="32"/>
  <c r="H162" i="32"/>
  <c r="H151" i="32"/>
  <c r="H142" i="32"/>
  <c r="H134" i="32"/>
  <c r="H126" i="32"/>
  <c r="H118" i="32"/>
  <c r="H110" i="32"/>
  <c r="H102" i="32"/>
  <c r="H94" i="32"/>
  <c r="H86" i="32"/>
  <c r="H78" i="32"/>
  <c r="H70" i="32"/>
  <c r="H62" i="32"/>
  <c r="H54" i="32"/>
  <c r="H46" i="32"/>
  <c r="H38" i="32"/>
  <c r="H30" i="32"/>
  <c r="H22" i="32"/>
  <c r="H14" i="32"/>
  <c r="H307" i="32"/>
  <c r="H287" i="32"/>
  <c r="H264" i="32"/>
  <c r="H243" i="32"/>
  <c r="H223" i="32"/>
  <c r="H202" i="32"/>
  <c r="H186" i="32"/>
  <c r="H171" i="32"/>
  <c r="H160" i="32"/>
  <c r="H150" i="32"/>
  <c r="H141" i="32"/>
  <c r="H133" i="32"/>
  <c r="H125" i="32"/>
  <c r="H117" i="32"/>
  <c r="H109" i="32"/>
  <c r="H101" i="32"/>
  <c r="H93" i="32"/>
  <c r="H85" i="32"/>
  <c r="H77" i="32"/>
  <c r="H69" i="32"/>
  <c r="H61" i="32"/>
  <c r="H53" i="32"/>
  <c r="H45" i="32"/>
  <c r="H37" i="32"/>
  <c r="H29" i="32"/>
  <c r="H21" i="32"/>
  <c r="H13" i="32"/>
  <c r="H304" i="32"/>
  <c r="H283" i="32"/>
  <c r="H263" i="32"/>
  <c r="H240" i="32"/>
  <c r="H219" i="32"/>
  <c r="H200" i="32"/>
  <c r="H184" i="32"/>
  <c r="H170" i="32"/>
  <c r="H159" i="32"/>
  <c r="H148" i="32"/>
  <c r="H140" i="32"/>
  <c r="H132" i="32"/>
  <c r="H124" i="32"/>
  <c r="H116" i="32"/>
  <c r="H108" i="32"/>
  <c r="H100" i="32"/>
  <c r="H92" i="32"/>
  <c r="H84" i="32"/>
  <c r="H76" i="32"/>
  <c r="H68" i="32"/>
  <c r="H60" i="32"/>
  <c r="H52" i="32"/>
  <c r="H44" i="32"/>
  <c r="H36" i="32"/>
  <c r="H28" i="32"/>
  <c r="H20" i="32"/>
  <c r="H12" i="32"/>
  <c r="H323" i="32"/>
  <c r="H303" i="32"/>
  <c r="H280" i="32"/>
  <c r="H259" i="32"/>
  <c r="H239" i="32"/>
  <c r="H216" i="32"/>
  <c r="H199" i="32"/>
  <c r="H183" i="32"/>
  <c r="H168" i="32"/>
  <c r="H275" i="32"/>
  <c r="H194" i="32"/>
  <c r="H147" i="32"/>
  <c r="H129" i="32"/>
  <c r="H106" i="32"/>
  <c r="H83" i="32"/>
  <c r="H65" i="32"/>
  <c r="H42" i="32"/>
  <c r="H19" i="32"/>
  <c r="H131" i="32"/>
  <c r="H256" i="32"/>
  <c r="H179" i="32"/>
  <c r="H146" i="32"/>
  <c r="H123" i="32"/>
  <c r="H105" i="32"/>
  <c r="H82" i="32"/>
  <c r="H59" i="32"/>
  <c r="H41" i="32"/>
  <c r="H18" i="32"/>
  <c r="H255" i="32"/>
  <c r="H178" i="32"/>
  <c r="H145" i="32"/>
  <c r="H122" i="32"/>
  <c r="H99" i="32"/>
  <c r="H81" i="32"/>
  <c r="H58" i="32"/>
  <c r="H35" i="32"/>
  <c r="H17" i="32"/>
  <c r="H211" i="32"/>
  <c r="H320" i="32"/>
  <c r="H235" i="32"/>
  <c r="H167" i="32"/>
  <c r="H139" i="32"/>
  <c r="H121" i="32"/>
  <c r="H98" i="32"/>
  <c r="H75" i="32"/>
  <c r="H57" i="32"/>
  <c r="H34" i="32"/>
  <c r="H11" i="32"/>
  <c r="H296" i="32"/>
  <c r="H113" i="32"/>
  <c r="H67" i="32"/>
  <c r="H26" i="32"/>
  <c r="H319" i="32"/>
  <c r="H232" i="32"/>
  <c r="H166" i="32"/>
  <c r="H138" i="32"/>
  <c r="H115" i="32"/>
  <c r="H97" i="32"/>
  <c r="H74" i="32"/>
  <c r="H51" i="32"/>
  <c r="H33" i="32"/>
  <c r="H10" i="32"/>
  <c r="H299" i="32"/>
  <c r="H215" i="32"/>
  <c r="H158" i="32"/>
  <c r="H137" i="32"/>
  <c r="H114" i="32"/>
  <c r="H91" i="32"/>
  <c r="H73" i="32"/>
  <c r="H50" i="32"/>
  <c r="H27" i="32"/>
  <c r="H9" i="32"/>
  <c r="H156" i="32"/>
  <c r="H90" i="32"/>
  <c r="H49" i="32"/>
  <c r="H43" i="32"/>
  <c r="H89" i="32"/>
  <c r="H66" i="32"/>
  <c r="H279" i="32"/>
  <c r="H25" i="32"/>
  <c r="H195" i="32"/>
  <c r="H155" i="32"/>
  <c r="H130" i="32"/>
  <c r="H107" i="32"/>
  <c r="G323" i="32"/>
  <c r="F11" i="9728" s="1"/>
  <c r="F323" i="32"/>
  <c r="G11" i="9728" s="1"/>
  <c r="E323" i="32"/>
  <c r="H11" i="9728" s="1"/>
  <c r="D323" i="32"/>
  <c r="I11" i="9728" s="1"/>
  <c r="D38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Fernando</author>
  </authors>
  <commentList>
    <comment ref="C367" authorId="0" shapeId="0" xr:uid="{00000000-0006-0000-0000-000001000000}">
      <text>
        <r>
          <rPr>
            <b/>
            <sz val="9"/>
            <color indexed="81"/>
            <rFont val="Tahoma"/>
            <family val="2"/>
          </rPr>
          <t>Fernando:</t>
        </r>
        <r>
          <rPr>
            <sz val="9"/>
            <color indexed="81"/>
            <rFont val="Tahoma"/>
            <family val="2"/>
          </rPr>
          <t xml:space="preserve">
Mudança de Veículo
</t>
        </r>
        <r>
          <rPr>
            <sz val="9"/>
            <color indexed="81"/>
            <rFont val="Tahoma"/>
            <family val="2"/>
          </rPr>
          <t>MB ATRON 2423</t>
        </r>
        <r>
          <rPr>
            <sz val="9"/>
            <color indexed="81"/>
            <rFont val="Tahoma"/>
            <family val="2"/>
          </rPr>
          <t xml:space="preserve"> </t>
        </r>
        <r>
          <rPr>
            <u/>
            <sz val="9"/>
            <color indexed="81"/>
            <rFont val="Tahoma"/>
            <family val="2"/>
          </rPr>
          <t>Euro 5</t>
        </r>
      </text>
    </comment>
    <comment ref="C1091" authorId="0" shapeId="0" xr:uid="{00000000-0006-0000-0000-000002000000}">
      <text>
        <r>
          <rPr>
            <b/>
            <sz val="9"/>
            <color indexed="81"/>
            <rFont val="Tahoma"/>
            <family val="2"/>
          </rPr>
          <t>Fernando:</t>
        </r>
        <r>
          <rPr>
            <sz val="9"/>
            <color indexed="81"/>
            <rFont val="Tahoma"/>
            <family val="2"/>
          </rPr>
          <t xml:space="preserve">
Mudança de Veículo
MB ACCELO 815   Euro 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Jose Luiz</author>
  </authors>
  <commentList>
    <comment ref="B47" authorId="0" shapeId="0" xr:uid="{00000000-0006-0000-0700-000001000000}">
      <text>
        <r>
          <rPr>
            <b/>
            <sz val="9"/>
            <color indexed="81"/>
            <rFont val="Tahoma"/>
            <family val="2"/>
          </rPr>
          <t>Jose Luiz:</t>
        </r>
        <r>
          <rPr>
            <sz val="9"/>
            <color indexed="81"/>
            <rFont val="Tahoma"/>
            <family val="2"/>
          </rPr>
          <t xml:space="preserve">
ESTIMATIVA DE AUMENTO COM O RETORNO DA CIDE E DO PIS&amp;COFINS</t>
        </r>
      </text>
    </comment>
  </commentList>
</comments>
</file>

<file path=xl/sharedStrings.xml><?xml version="1.0" encoding="utf-8"?>
<sst xmlns="http://schemas.openxmlformats.org/spreadsheetml/2006/main" count="7774" uniqueCount="739">
  <si>
    <t>jan</t>
  </si>
  <si>
    <t>fev</t>
  </si>
  <si>
    <t>mar</t>
  </si>
  <si>
    <t>abr</t>
  </si>
  <si>
    <t>mai</t>
  </si>
  <si>
    <t>jun</t>
  </si>
  <si>
    <t>jul</t>
  </si>
  <si>
    <t>ago</t>
  </si>
  <si>
    <t>set</t>
  </si>
  <si>
    <t>out</t>
  </si>
  <si>
    <t>nov</t>
  </si>
  <si>
    <t>dez</t>
  </si>
  <si>
    <t>ÓLEO DE CÁRTER</t>
  </si>
  <si>
    <t>DAT - DESP. ADM. E DE TERMINAIS</t>
  </si>
  <si>
    <t>SEGUROS</t>
  </si>
  <si>
    <t>ÍNDICE</t>
  </si>
  <si>
    <t>= Valor do terceiro-eixo  em jul/94 (R$)</t>
  </si>
  <si>
    <t>BASE: JULHO 94 = 100</t>
  </si>
  <si>
    <t xml:space="preserve"> = Valor do pneu 900 R 20  em jul/94 (R$)</t>
  </si>
  <si>
    <t>= Valor da câmara  em jul/94 (R$)</t>
  </si>
  <si>
    <t>= Valor do protetor em julho/94 (R$)</t>
  </si>
  <si>
    <t>= Valor da lavagem completa em jul/94 (R$)</t>
  </si>
  <si>
    <t>= Valor do salário básico em julho/94 (R$)</t>
  </si>
  <si>
    <t>= Valor do MBB 1218 em jul/94 (R$)</t>
  </si>
  <si>
    <t>= Valor do rodoar  em jul/94 (R$)</t>
  </si>
  <si>
    <t>= Preço total dos seguros  em jul/94 (R$)</t>
  </si>
  <si>
    <t>= Valor do óleo de cárter em em jul/94 (R$/litro)</t>
  </si>
  <si>
    <t>= Salário do mecânico  em jul/94 (R$)</t>
  </si>
  <si>
    <t>BASE: JULHO94 = 100</t>
  </si>
  <si>
    <t>= Desp. Adm. e de Terminais em ju/94 (R$/t)</t>
  </si>
  <si>
    <t>ITENS DE CONSUMO GERAL</t>
  </si>
  <si>
    <t>ITENS DE TRANSFERÊNCIA</t>
  </si>
  <si>
    <t>VEÍCULO DO INCT</t>
  </si>
  <si>
    <t>PNEUS PARA O INCT</t>
  </si>
  <si>
    <t>PROTETOR PARA O INCT (900X20)</t>
  </si>
  <si>
    <t>RECAUCHUTAGEM PARA O INCT (900X20)</t>
  </si>
  <si>
    <t>VEÍCULO LEVE</t>
  </si>
  <si>
    <t>Valor do MBB 1620 em abril 2000</t>
  </si>
  <si>
    <t>BASE:  abril de 2000 = 1000</t>
  </si>
  <si>
    <t>BASE: abril de 2000 = 100</t>
  </si>
  <si>
    <t>BASE: abil de 2000 = 100</t>
  </si>
  <si>
    <t>Preço da câmara em abril de 2.000</t>
  </si>
  <si>
    <t>BASE: abril 2000 = 100</t>
  </si>
  <si>
    <t>SEGUROS PARA INCT (1214)</t>
  </si>
  <si>
    <t>BASE: ABRIL 2000 = 100</t>
  </si>
  <si>
    <t xml:space="preserve">Preço totaL do seguro  em abril 2.000 </t>
  </si>
  <si>
    <t xml:space="preserve"> Valor do rodoar  em abr/2000 (R$)</t>
  </si>
  <si>
    <t>BASE: abril 2000</t>
  </si>
  <si>
    <t xml:space="preserve"> Valor do pneu (R$)</t>
  </si>
  <si>
    <t>PNEUS  (750x16 xconvencional, 12 lonas)</t>
  </si>
  <si>
    <t>CÂMARAS (750 x16, 12 lonas)</t>
  </si>
  <si>
    <t>PROTETOR (750 x16, 12 lonas)</t>
  </si>
  <si>
    <t>BASE: abril 2000 =100</t>
  </si>
  <si>
    <t>Valor da lavagem completa em abr/2000 (R$)</t>
  </si>
  <si>
    <t>SALÁRIO DE AJUDANTE</t>
  </si>
  <si>
    <t>Valor do salário de ajudante em abril 2000 (R$)</t>
  </si>
  <si>
    <t>Valor do salário de motorista urbano em abril 2000 (R$)</t>
  </si>
  <si>
    <t>Seguros totais em abril de 2.000</t>
  </si>
  <si>
    <t>GERENCIAMENTO DE RISCOS</t>
  </si>
  <si>
    <t>Veja tabela seguinte</t>
  </si>
  <si>
    <t>RECAPAGEM  (750x16, 12 lonas)</t>
  </si>
  <si>
    <t>Valor da recapagem em abril 2000</t>
  </si>
  <si>
    <t>Valor da recapagem em abril 2.000</t>
  </si>
  <si>
    <t>2001</t>
  </si>
  <si>
    <t>R$/litro</t>
  </si>
  <si>
    <t>Variação no ano (%)</t>
  </si>
  <si>
    <t>Variação mensal (%)</t>
  </si>
  <si>
    <t>Mês e ano</t>
  </si>
  <si>
    <t>Índice</t>
  </si>
  <si>
    <t>Variação em mensal (%)</t>
  </si>
  <si>
    <t>Variação 12 meses (%)</t>
  </si>
  <si>
    <t>R$/mês</t>
  </si>
  <si>
    <t xml:space="preserve">EVOLUÇÃO SALÁRIO DE MECÂNICO </t>
  </si>
  <si>
    <t>SALÁRIO DE MOTORISTA URBANO CAMINHÃO LEVE</t>
  </si>
  <si>
    <t xml:space="preserve">  Substituído pelo MBB-1620 (veja planilha seguinte)</t>
  </si>
  <si>
    <t>Valor do MBB-710 em abril de 2.000</t>
  </si>
  <si>
    <t>R$</t>
  </si>
  <si>
    <t>R$/ tonelada</t>
  </si>
  <si>
    <t>EVOLUÇÃO DO PREÇO DO TERCEIRO EIXO PARA TRUQUE</t>
  </si>
  <si>
    <t>EVOLUÇÃO DO PREÇO DE PNEUS 900 R 20</t>
  </si>
  <si>
    <t>EVOLUÇÃO DO PREÇO DA CÂMERA 900 R 20</t>
  </si>
  <si>
    <t>EVOLUÇÃO DO PREÇO DE PROTETOR 900 R 20</t>
  </si>
  <si>
    <t>EVOLUÇÃO DO PREÇO DE RECAPAGEM PNEU 900 R 20</t>
  </si>
  <si>
    <t>EVOLUÇÃO DO PREÇO DOS SEGUROS MBB 1218</t>
  </si>
  <si>
    <t>EVOLUÇÃO DO CUSTO DO GERENCIAMENTO DE RISCO</t>
  </si>
  <si>
    <t>NA TRANFERÊNCIA DE CARGAS</t>
  </si>
  <si>
    <t>NA COLETA OU ENTREGA</t>
  </si>
  <si>
    <t>Óleo de câmbio</t>
  </si>
  <si>
    <t>Óleo de cárter</t>
  </si>
  <si>
    <t>Salário de motorista rodoviário</t>
  </si>
  <si>
    <t>Lavagem de furgão leve</t>
  </si>
  <si>
    <t>ITENS DE COLETA OU ENTREGA</t>
  </si>
  <si>
    <t>mar'01</t>
  </si>
  <si>
    <t>Substituído pelo 1000 R 20. Ver planilha seguinte.</t>
  </si>
  <si>
    <t>INSUMOS</t>
  </si>
  <si>
    <t>Unidade</t>
  </si>
  <si>
    <t>Valor (R$)</t>
  </si>
  <si>
    <t>12 meses (%)</t>
  </si>
  <si>
    <t>Ano (%)</t>
  </si>
  <si>
    <t>No mês (%)</t>
  </si>
  <si>
    <t>Variação (%)</t>
  </si>
  <si>
    <t>litro</t>
  </si>
  <si>
    <t>mês</t>
  </si>
  <si>
    <t>ton</t>
  </si>
  <si>
    <t>Rodoar para truque</t>
  </si>
  <si>
    <t>Lavagem de furgão para truque</t>
  </si>
  <si>
    <t>unidade</t>
  </si>
  <si>
    <t>Motorista urbano</t>
  </si>
  <si>
    <t>Recapagem pneu 1000 R 20</t>
  </si>
  <si>
    <t>Recapagem pneu 750 R 20</t>
  </si>
  <si>
    <t>Pneu 900 R 20</t>
  </si>
  <si>
    <t>Câmara para pneu 900 R 20</t>
  </si>
  <si>
    <t>Protetor para pneu 900 R 20</t>
  </si>
  <si>
    <t>Recauchutagem pneu 900 R 20</t>
  </si>
  <si>
    <t>EVOLUÇÃO DO PREÇO DO MBB 1620</t>
  </si>
  <si>
    <t>Despesas Admistrativas e de Terminais</t>
  </si>
  <si>
    <t>Ajudante</t>
  </si>
  <si>
    <t xml:space="preserve">  Substituído pela FIPE pelo MBB-1620 (veja planilha seguinte)</t>
  </si>
  <si>
    <t>Substituído pela Fipe pelo 1000 R 20. Ver planilha seguinte.</t>
  </si>
  <si>
    <t>out/01</t>
  </si>
  <si>
    <t>set/01</t>
  </si>
  <si>
    <t>ÓLEO DE CÂMBIO (CONT.)</t>
  </si>
  <si>
    <t>ÓLEO DE CÁRTER (CONT.)</t>
  </si>
  <si>
    <t>SALÁRIO DO MECÃNICO</t>
  </si>
  <si>
    <t>SALÁRIO DO MECÃNICO |(CONT.)</t>
  </si>
  <si>
    <t>DAT - DESP. ADM. E DE TERMINAIS (CONT.)</t>
  </si>
  <si>
    <t>DIESEL - CONTINUAÇÃO</t>
  </si>
  <si>
    <t>RODOAR (CONT.)</t>
  </si>
  <si>
    <t xml:space="preserve">EVOLUÇÃO DOS PREÇOS DOS INSUMOS   </t>
  </si>
  <si>
    <t>Fonte:Fipe</t>
  </si>
  <si>
    <t>CARROÇARIA FURGÃO</t>
  </si>
  <si>
    <t>nov/01</t>
  </si>
  <si>
    <t>dez/01</t>
  </si>
  <si>
    <t xml:space="preserve">Furgão para truque </t>
  </si>
  <si>
    <t>2002</t>
  </si>
  <si>
    <t>jan/02</t>
  </si>
  <si>
    <t>fev/02</t>
  </si>
  <si>
    <t xml:space="preserve">Preço totaL do GRIS/t  em abril 2.000 </t>
  </si>
  <si>
    <t>mar/02</t>
  </si>
  <si>
    <t>PORTARIAS INTERMINISTERIAIS DO</t>
  </si>
  <si>
    <t>MF/MME REAJUSTANDO O DIESEL</t>
  </si>
  <si>
    <t>DATA</t>
  </si>
  <si>
    <t>DOU</t>
  </si>
  <si>
    <t>número</t>
  </si>
  <si>
    <t>R$/lt em  S. Paulo</t>
  </si>
  <si>
    <t>Disponível no Decope com anexo</t>
  </si>
  <si>
    <t>Liberado</t>
  </si>
  <si>
    <t>Disponível no Decope</t>
  </si>
  <si>
    <t xml:space="preserve"> REFIN (%)</t>
  </si>
  <si>
    <t>Fonte: Fipe</t>
  </si>
  <si>
    <t>Fonte: N TC</t>
  </si>
  <si>
    <t>abr/02</t>
  </si>
  <si>
    <t>Acum.(%)</t>
  </si>
  <si>
    <t>mai/02</t>
  </si>
  <si>
    <t>jun/02</t>
  </si>
  <si>
    <t>Aumento até o último mês (%)</t>
  </si>
  <si>
    <t>jul/02</t>
  </si>
  <si>
    <t>ago/02</t>
  </si>
  <si>
    <t>set/02</t>
  </si>
  <si>
    <t>2003</t>
  </si>
  <si>
    <t>Variação 24 meses (%)</t>
  </si>
  <si>
    <t>24 messes (%)</t>
  </si>
  <si>
    <t>A partir de março/2003, passou a ser cotado o MBB L 6x2 1620.</t>
  </si>
  <si>
    <t>cancelado</t>
  </si>
  <si>
    <t>ENCERRADO</t>
  </si>
  <si>
    <t>em 2.002</t>
  </si>
  <si>
    <t>em 2.003</t>
  </si>
  <si>
    <t xml:space="preserve">DESDE ABRIL/00 </t>
  </si>
  <si>
    <t>2004</t>
  </si>
  <si>
    <t>EVOLUÇÃO DO PREÇO DO MBB 1218/1318</t>
  </si>
  <si>
    <t>CÂMARAS PARA O INCT (900X20)</t>
  </si>
  <si>
    <t>em 2004</t>
  </si>
  <si>
    <t>Fonte: www.anp.gov.br/i_preço-web</t>
  </si>
  <si>
    <t>R$/itro</t>
  </si>
  <si>
    <t>De</t>
  </si>
  <si>
    <t>até</t>
  </si>
  <si>
    <t xml:space="preserve"> = Valor por km para o MBB 1620</t>
  </si>
  <si>
    <t>R$/km</t>
  </si>
  <si>
    <t>EVOLUÇÃO DO  CUSTO DE PEÇAS PARA O MBB 1620 TRUCADO</t>
  </si>
  <si>
    <t>DAT - DESP. ADM. E DE TERMINAIS (NOVA MATRIZ)</t>
  </si>
  <si>
    <t>CUSTOS DE MANUTENÇÃO TERCERIZADA (R$/km)</t>
  </si>
  <si>
    <t>ENCERRAD0</t>
  </si>
  <si>
    <t xml:space="preserve">  Fator de pareamento</t>
  </si>
  <si>
    <t>Furgão para caminhão leve</t>
  </si>
  <si>
    <t>Aumentos diesel na refinaria (%)</t>
  </si>
  <si>
    <t>(sobre preços sem a CIDE/PIS/COFINS)</t>
  </si>
  <si>
    <t>Fator de atualização</t>
  </si>
  <si>
    <t xml:space="preserve">Fator de atualização </t>
  </si>
  <si>
    <t>impacto do aumento de 8%</t>
  </si>
  <si>
    <t>impacto do aumento de 4,8%</t>
  </si>
  <si>
    <t>encerrado</t>
  </si>
  <si>
    <t>Variação mensal</t>
  </si>
  <si>
    <t>2005</t>
  </si>
  <si>
    <t>PNEUS PARA O INCTA/INCTF</t>
  </si>
  <si>
    <t>VEÍCULO DO INCTA/INCTF</t>
  </si>
  <si>
    <t>CARROÇARIA PARA INTC e INCTA/INCTF</t>
  </si>
  <si>
    <t>CARROÇARIA PARA INTC e INCTA/INCTF (CONT.)</t>
  </si>
  <si>
    <t>TERCEIRO EIXO PARA INCT E PARA INCTA/INCTF</t>
  </si>
  <si>
    <t>RODOAR 3 EIXOS (CONT.)</t>
  </si>
  <si>
    <t>CÂMARAS PARA O INCTA/INCTF (1000X20)</t>
  </si>
  <si>
    <t>PROTETOR PARA O INCTA/INCTF (1000X20)</t>
  </si>
  <si>
    <t>LAVAGEM PARA O INCT E INCTA/INCTF</t>
  </si>
  <si>
    <t>860,09</t>
  </si>
  <si>
    <t xml:space="preserve"> = Valor do pneu 1000X20 RADIAL LISO EM ABRIL </t>
  </si>
  <si>
    <t>%</t>
  </si>
  <si>
    <t>em 2005</t>
  </si>
  <si>
    <t>R$ 0,05/litro</t>
  </si>
  <si>
    <t>só diesel do interior (equalização)</t>
  </si>
  <si>
    <t>Equiparação interior/RM</t>
  </si>
  <si>
    <t>equiparação</t>
  </si>
  <si>
    <t>aumento</t>
  </si>
  <si>
    <t>UTILIZADOS PELA FIPE NOS ÍNDICES DE CUSTOS DE CARGAS FRACIONADAS</t>
  </si>
  <si>
    <t>Substituído pelo pneu 1000x20 (ver tabela seguinte)</t>
  </si>
  <si>
    <t>após CIDE/PIS/COFINS, sem ICMS</t>
  </si>
  <si>
    <t>Aumento</t>
  </si>
  <si>
    <t>mensal</t>
  </si>
  <si>
    <t>anual</t>
  </si>
  <si>
    <t>NA</t>
  </si>
  <si>
    <t>Terceiro eixo (cont.).</t>
  </si>
  <si>
    <t>2006</t>
  </si>
  <si>
    <t>2007</t>
  </si>
  <si>
    <t>2008</t>
  </si>
  <si>
    <t>2009</t>
  </si>
  <si>
    <t>2010</t>
  </si>
  <si>
    <t>2011</t>
  </si>
  <si>
    <t>.</t>
  </si>
  <si>
    <t>CARROÇARIA FURGÃO (cont.)</t>
  </si>
  <si>
    <t>LAVAGEM VEÍCULO LEVE</t>
  </si>
  <si>
    <t>BASE: abril de 2000 = 1000</t>
  </si>
  <si>
    <t>RODOAR LEVE</t>
  </si>
  <si>
    <t>2000</t>
  </si>
  <si>
    <t>12/08/006</t>
  </si>
  <si>
    <t>INDICE</t>
  </si>
  <si>
    <t xml:space="preserve">SALÁRIO DE MOTORISTA RODOVIÁRIO </t>
  </si>
  <si>
    <t>(%) variação últimos 12 meses</t>
  </si>
  <si>
    <t>(%) variação Últimos 24 meses</t>
  </si>
  <si>
    <t>(%) variação  ano</t>
  </si>
  <si>
    <t>Variação mês (%)</t>
  </si>
  <si>
    <t>Fonte: Departamento de Custos Operacionais e Pesquisas Econômicas - DECOPE/NTC&amp;Logística *</t>
  </si>
  <si>
    <t>Obs: A partir de  julho/07, essa pesquisa passou a ser realizada pelo DECOPE/NTC&amp;Logística</t>
  </si>
  <si>
    <t>Fonte até jun/07: Fipe/USP</t>
  </si>
  <si>
    <t>Fonte: DECOPE/NTC</t>
  </si>
  <si>
    <t>Fonte a partir de jul/07: DECOPE/NTC</t>
  </si>
  <si>
    <t>Fonte: DECOPE/NTC *</t>
  </si>
  <si>
    <t>OBSERVAÇÕES</t>
  </si>
  <si>
    <t>Fonte: Depto. Custos Operacionais e Pesquisas Economicas/NTC&amp;Logística</t>
  </si>
  <si>
    <t>OBS: O VALOR DA MANUTENÇÃO P/KM É CORRIGIDOS PELO INCT/IBGE - CRITÉRIO UTILIDADO PELAS CONCESSIONARIAS</t>
  </si>
  <si>
    <t>Fonte: Depto. Custos Operacionais e Pesquisas Econômicas/NTC&amp;Logística</t>
  </si>
  <si>
    <t xml:space="preserve">    </t>
  </si>
  <si>
    <t>Adição de 2 % de Biodiesel</t>
  </si>
  <si>
    <t>PEÇAS PARA O INCTF</t>
  </si>
  <si>
    <t>Aumento nas Refinarias com impacto de 8,89% nos custos</t>
  </si>
  <si>
    <t>* Variação em virtude do aumento da composição do biodiesel no diesel de 2% para 3%. De acordo com levantamento da ANP - Agência Nacional de Petróleo.</t>
  </si>
  <si>
    <t>* Folha Online - Dinheiro - 14/07/08</t>
  </si>
  <si>
    <t>Dissídio Coletivo - Maio/09 - 7,0%</t>
  </si>
  <si>
    <t xml:space="preserve">redução do diesel nas Refinarias em 15%, com impacto de 9,60% nas bombas, nos custos. Nos 9,6%, segundo o Governo, já está computado o aumento do percentual de biodiesel no diesel de 3% para 4% a partir de julho. </t>
  </si>
  <si>
    <t>AUMENTO DO DIESEL EM 15% NAS REFINARIAS</t>
  </si>
  <si>
    <t>REDUÇÃO DE 15% NO DIESEL NAS REFINARIAS</t>
  </si>
  <si>
    <t>Obs: A partir do dia 01/07/08, aumento, obrigatório, do percentual de óleo vegetal (biodiesel) no diesel, de 2% para 3%.</t>
  </si>
  <si>
    <t>em 2008</t>
  </si>
  <si>
    <t>em 2009</t>
  </si>
  <si>
    <t>AUMENTOS DO ÓLEO DIESEL NAS REFINARIAS (%)</t>
  </si>
  <si>
    <t>DEZ/2001 = 100%</t>
  </si>
  <si>
    <t>PERIODO</t>
  </si>
  <si>
    <t>VAR. (%)</t>
  </si>
  <si>
    <t>VAR. (%) ACUMULADA</t>
  </si>
  <si>
    <t>Período</t>
  </si>
  <si>
    <t xml:space="preserve">R$/Litro </t>
  </si>
  <si>
    <t>IPCA/IBGE</t>
  </si>
  <si>
    <t>DIESEL</t>
  </si>
  <si>
    <t>REAL</t>
  </si>
  <si>
    <t>ÓLEO DIESEL  (%) ACUM.</t>
  </si>
  <si>
    <t>IPCA/IBGE  (%) ACUM.</t>
  </si>
  <si>
    <t>REDUÇÃO DE 15% NO DIESEL NAS REFINARIAS - Obs: A partir do dia 09/08/09, aumento, obrigatório, do percentual de óleo vegetal (biodiesel) no diesel, de 3% para 4%.</t>
  </si>
  <si>
    <t>SÉRIE HISTÓRICA</t>
  </si>
  <si>
    <t>VARIAÇÃO (%)</t>
  </si>
  <si>
    <t xml:space="preserve">EVOLUÇÃO DO PREÇO </t>
  </si>
  <si>
    <t>Semanal</t>
  </si>
  <si>
    <t xml:space="preserve">     Base: Abril 00 = 100</t>
  </si>
  <si>
    <t>Fonte:Fipe/USP</t>
  </si>
  <si>
    <t>EVOLUÇÃO DO PREÇO</t>
  </si>
  <si>
    <t>SÉRIE HISTÓRIA</t>
  </si>
  <si>
    <t>PNEUS 1000 R 20</t>
  </si>
  <si>
    <t xml:space="preserve">      EVOLUÇÃO DO PREÇO</t>
  </si>
  <si>
    <t>PNEUS 750 R 16</t>
  </si>
  <si>
    <t>CÂMARA PARA PNEU 1.000 R 20</t>
  </si>
  <si>
    <t xml:space="preserve"> CÂMARA PARA PNEU 750 R 16</t>
  </si>
  <si>
    <t>PROTETOR PARA PNEU 1.000 R 20</t>
  </si>
  <si>
    <t xml:space="preserve"> PROTETOR PARA PNEU 750  R 16</t>
  </si>
  <si>
    <t>Fonte:'Fipe/USP</t>
  </si>
  <si>
    <t>2012</t>
  </si>
  <si>
    <t>Base: Julho 94 = 100             Fonte: FIPE</t>
  </si>
  <si>
    <t>COMBUSTÍVEL (DIESEL)        0,34 = Valor do combustível  em Julho/94 (R$/litro)</t>
  </si>
  <si>
    <r>
      <t xml:space="preserve">ÓLEO DE CÂMBIO     </t>
    </r>
    <r>
      <rPr>
        <b/>
        <sz val="14"/>
        <color indexed="9"/>
        <rFont val="Apple Chancery"/>
        <family val="4"/>
      </rPr>
      <t>4,3</t>
    </r>
    <r>
      <rPr>
        <b/>
        <sz val="12"/>
        <color indexed="9"/>
        <rFont val="Apple Chancery"/>
        <family val="4"/>
      </rPr>
      <t xml:space="preserve"> = Valor do ÓLEO DE CÂMBIO em JULHO/94</t>
    </r>
  </si>
  <si>
    <t>ÓLEO DE CÂMBIO (CONTINUAÇÃO)</t>
  </si>
  <si>
    <t>ÓLEO DE CÁRTER (CONTINUAÇÃO.)</t>
  </si>
  <si>
    <t xml:space="preserve">CARROÇARIA </t>
  </si>
  <si>
    <t xml:space="preserve">CÂMARAS </t>
  </si>
  <si>
    <t>Preço em abril de 2000</t>
  </si>
  <si>
    <t>PROTETOR INCTF (1000X20)</t>
  </si>
  <si>
    <t>RECAPAGEM PARA O INCTF (1000X20)</t>
  </si>
  <si>
    <t>RECAPAGEM INCTF 1000X20)</t>
  </si>
  <si>
    <t>LAVAGEM P/ INCTF (CONT.)</t>
  </si>
  <si>
    <t>GERENCIAMENTO DE RISCOS PARA INCTF  (MBB L1620)</t>
  </si>
  <si>
    <t>Valor da carroceria do MB-710 em abril 2000 =</t>
  </si>
  <si>
    <t>PNEUS  (750x16 )</t>
  </si>
  <si>
    <t>MANUTENÇÃO TERCERIZADA</t>
  </si>
  <si>
    <t>Manutenção tercerizada ( cont. )</t>
  </si>
  <si>
    <t>SALÁRIO DE MOTORISTA URBANO</t>
  </si>
  <si>
    <t>A partir de março/2012, passou a ser cotado o MBB ATRON 2423 EURO 5</t>
  </si>
  <si>
    <t>A partir de março/2012, passou a ser cotado o MBB ACCELO 815 EURO 5</t>
  </si>
  <si>
    <t>2013</t>
  </si>
  <si>
    <t>ENTRADO DO DIESEL S-50</t>
  </si>
  <si>
    <t xml:space="preserve">A Petrobras anunciou na noite de terça-feira (29/1) reajuste de 6,6% no preço da gasolina nas refinarias e do diesel em 5,4%, a partir desta quarta. </t>
  </si>
  <si>
    <t xml:space="preserve">Aumento do preço do diesel e da gasolina nas Refinarias num percentual de 6,0% para o diesel. </t>
  </si>
  <si>
    <t xml:space="preserve">O preço do diesel nas refinarias de todo o país terá um reajuste de 5% a partir da meia-noite desta quarta-feira 06/03/13. </t>
  </si>
  <si>
    <t>aumento do preço do diesel e da gasolina nas Refinarias num percentual de 3,94% para o diesel e 7,83% para a gasolina. Com isenção da CIDE o consumidor final não sentirá o impacto, segundo o Governo.</t>
  </si>
  <si>
    <t>A redução até abril/11 foi de 4,46%</t>
  </si>
  <si>
    <t>Dissídio Coletivo - 1,0%</t>
  </si>
  <si>
    <t xml:space="preserve">A Petrobras anunciou na tarde de sábado (30/11) reajuste de 8,00% no preço do diesel, a partir desta segunda-feira </t>
  </si>
  <si>
    <t>PNEUS 275/80  - R 22,5 - CAMINHÃO TRUCK</t>
  </si>
  <si>
    <t>PNEUS 215/75  - R 17,5 - VEÍCULO 3/4</t>
  </si>
  <si>
    <t>2014</t>
  </si>
  <si>
    <t>Fonte: Agência Nacional do Petróleo - ANP</t>
  </si>
  <si>
    <t>Fonte: DECOPE/NTC&amp;LOGÍSTICA</t>
  </si>
  <si>
    <t>SALÁRIO DE MOTORISTA - TRUCK</t>
  </si>
  <si>
    <t>Pneu 275/80 - R 22 Veículo Toco</t>
  </si>
  <si>
    <t>Pneu 215/75 R17,5 - Veículo 3/4</t>
  </si>
  <si>
    <t>Pneu 205/75 R17,5 - Veículo Accelo</t>
  </si>
  <si>
    <t>Manutenção MB ATRON 2324 (EURO 5)</t>
  </si>
  <si>
    <t>Mercedes-Benz MB  ACCELO 815 ( EURO 5 )</t>
  </si>
  <si>
    <t>Seguro de veículo MB  ACCELO 815 ( EURO 5 )</t>
  </si>
  <si>
    <t>Manutenção MB  ACCELO 815 ( EURO 5 )</t>
  </si>
  <si>
    <t>TRUCK MB ATRON 2324 (EURO 5)</t>
  </si>
  <si>
    <t>VEÍCULO DO INCTF TRUQUE MB ATRON 2324 (EURO 5)</t>
  </si>
  <si>
    <t>SEGUROS INCTA/INCTF  MB ATRON 2324</t>
  </si>
  <si>
    <t>SEGUROS /INCTF  MB ATRON 2324</t>
  </si>
  <si>
    <t>Arla 32</t>
  </si>
  <si>
    <t>Óleo diesel S-500</t>
  </si>
  <si>
    <t>Óleo diesel S-10</t>
  </si>
  <si>
    <t>Base: Out/03 = 100</t>
  </si>
  <si>
    <t>Mês</t>
  </si>
  <si>
    <t>Mês %</t>
  </si>
  <si>
    <t>Ano %</t>
  </si>
  <si>
    <t>12 m  %</t>
  </si>
  <si>
    <t>24 m %</t>
  </si>
  <si>
    <t>EVOLUÇÃO DOS INSUMOS DO TRANSPORTE DE CARGA FRACIONADA</t>
  </si>
  <si>
    <t>Fonte: NTC/DECOPE</t>
  </si>
  <si>
    <t>Diesel S-10</t>
  </si>
  <si>
    <t>Base: Mar/12 = 100</t>
  </si>
  <si>
    <t>PREÇO MÉDIO NACIONAL DO DIESEL - S500 AO CONSUMIDOR</t>
  </si>
  <si>
    <t>PREÇO MÉDIO NACIONAL DO DIESEL S-50 / S-10 AO CONSUMIDOR</t>
  </si>
  <si>
    <t>Carter</t>
  </si>
  <si>
    <t>Câmbio</t>
  </si>
  <si>
    <t>Base: jul/04 = 100</t>
  </si>
  <si>
    <t xml:space="preserve">            EVOLUÇÃO DOS INSUMOS DO TRANSPORTE DE CARGA FRACIONADA</t>
  </si>
  <si>
    <t>Accelo 815</t>
  </si>
  <si>
    <t>Salário de Motorista</t>
  </si>
  <si>
    <t>Acumalada %</t>
  </si>
  <si>
    <t>Base: Jul/94 = 100</t>
  </si>
  <si>
    <t>Veículo Truck</t>
  </si>
  <si>
    <t>Veículo Toco</t>
  </si>
  <si>
    <t>Veículo Leve</t>
  </si>
  <si>
    <t>Salário de Ajudante</t>
  </si>
  <si>
    <t>Base:Abr/00 = 100</t>
  </si>
  <si>
    <t>Base: Abr/00 = 100</t>
  </si>
  <si>
    <t>Administrativas e de Terminais</t>
  </si>
  <si>
    <t>Furgão Alumínio</t>
  </si>
  <si>
    <t>Rodoar</t>
  </si>
  <si>
    <t>Pneu 275/80 R22</t>
  </si>
  <si>
    <t>Pneu 215/70 R22</t>
  </si>
  <si>
    <t xml:space="preserve">Recapagem </t>
  </si>
  <si>
    <t>Lavagem</t>
  </si>
  <si>
    <t>Seguro</t>
  </si>
  <si>
    <t>Veículo Accelo 815</t>
  </si>
  <si>
    <t>Dissídio Coletivo - 7,5%</t>
  </si>
  <si>
    <t>Dissídio Coletivo - 9,0%</t>
  </si>
  <si>
    <t>Dissídio Coletivo - 8,0%</t>
  </si>
  <si>
    <t xml:space="preserve">           EVOLUÇÃO DOS INSUMOS DO TRANSPORTE DE CARGA FRACIONADA</t>
  </si>
  <si>
    <t>EVOLUÇÃO DOS INSUMOS</t>
  </si>
  <si>
    <t xml:space="preserve">       EVOLUÇÃO DOS INSUMOS DO TRANSPORTE DE CARGA FRACIONADA</t>
  </si>
  <si>
    <t xml:space="preserve">        EVOLUÇÃO DOS INSUMOS DO TRANSPORTE DE CARGA FRACIONADA</t>
  </si>
  <si>
    <t>Base: Set/10 = 100</t>
  </si>
  <si>
    <t>Manutenção Tercerizada(R$/km)</t>
  </si>
  <si>
    <t>Base: abr/00 = 100</t>
  </si>
  <si>
    <t xml:space="preserve">      EVOLUÇÃO DOS INSUMOS DO TRANSPORTE DE CARGA FRACIONADA</t>
  </si>
  <si>
    <t>Diesel Comum</t>
  </si>
  <si>
    <t>Variação Acum. jul/94=100(%)</t>
  </si>
  <si>
    <t>Variação Acum. jul/00=100(%)</t>
  </si>
  <si>
    <t>A Petrobras anunciou na noite de quinta feira (06/11/14) reajuste de 5,00% no preço do diesel, a partir desta sexta feira, com repasse de 100% para as bombas.</t>
  </si>
  <si>
    <t>AUMENTO DO DIESEL EM 5% NAS REFINARIAS</t>
  </si>
  <si>
    <t>2015</t>
  </si>
  <si>
    <t>PNEUS 215/75  - R 17,5 - ACELLO 815</t>
  </si>
  <si>
    <t>Pneu 1.000 R20                                                                                Veículo Truck</t>
  </si>
  <si>
    <t>Pneu 750                                                                                                Veículo Toco</t>
  </si>
  <si>
    <t>AUMENTO DO RETORNO DA CIDE E DO PIS &amp; COFINS EM  1º DE FEVEREIRO/15</t>
  </si>
  <si>
    <t>OUTUBRO|03</t>
  </si>
  <si>
    <t>NOVEMBRO|03</t>
  </si>
  <si>
    <t>DEZEMBRO|03</t>
  </si>
  <si>
    <t>JANEIRO|04</t>
  </si>
  <si>
    <t>FEVEREIRO|04</t>
  </si>
  <si>
    <t>MARÇO|04</t>
  </si>
  <si>
    <t>ABRIL|04</t>
  </si>
  <si>
    <t>MAIO|04</t>
  </si>
  <si>
    <t>JUNHO|04</t>
  </si>
  <si>
    <t>JULHO|04</t>
  </si>
  <si>
    <t>AGOSTO|04</t>
  </si>
  <si>
    <t>SETEMBRO|04</t>
  </si>
  <si>
    <t>OUTUBRO|04</t>
  </si>
  <si>
    <t>NOVEMBRO|04</t>
  </si>
  <si>
    <t>DEZEMBRO|04</t>
  </si>
  <si>
    <t>JANEIRO|05</t>
  </si>
  <si>
    <t>FEVEREIRO|05</t>
  </si>
  <si>
    <t>MARÇO|05</t>
  </si>
  <si>
    <t>ABRIL|05</t>
  </si>
  <si>
    <t>MAIO|05</t>
  </si>
  <si>
    <t>JUNHO|05</t>
  </si>
  <si>
    <t>JULHO|05</t>
  </si>
  <si>
    <t>AGOSTO|05</t>
  </si>
  <si>
    <t>SETEMBRO|05</t>
  </si>
  <si>
    <t>OUTUBRO|05</t>
  </si>
  <si>
    <t>NOVEMBRO|05</t>
  </si>
  <si>
    <t>DEZEMBRO|05</t>
  </si>
  <si>
    <t>JANEIRO|06</t>
  </si>
  <si>
    <t>FEVEREIRO|06</t>
  </si>
  <si>
    <t>MARÇO|06</t>
  </si>
  <si>
    <t>ABRIL|06</t>
  </si>
  <si>
    <t>MAIO|06</t>
  </si>
  <si>
    <t>JUNHO|06</t>
  </si>
  <si>
    <t>JULHO|06</t>
  </si>
  <si>
    <t>AGOSTO|06</t>
  </si>
  <si>
    <t>SETEMBRO|06</t>
  </si>
  <si>
    <t>OUTUBRO|06</t>
  </si>
  <si>
    <t>NOVEMBRO|06</t>
  </si>
  <si>
    <t>DEZEMBRO|06</t>
  </si>
  <si>
    <t>JANEIRO|07</t>
  </si>
  <si>
    <t>FEVEREIRO|07</t>
  </si>
  <si>
    <t>MARÇO|07</t>
  </si>
  <si>
    <t>ABRIL|07</t>
  </si>
  <si>
    <t>MAIO|07</t>
  </si>
  <si>
    <t>JUNHO|07</t>
  </si>
  <si>
    <t>JULHO|07</t>
  </si>
  <si>
    <t>AGOSTO|07</t>
  </si>
  <si>
    <t>SETEMBRO|07</t>
  </si>
  <si>
    <t>OUTUBRO|07</t>
  </si>
  <si>
    <t>NOVEMBRO|07</t>
  </si>
  <si>
    <t>DEZEMBRO|07</t>
  </si>
  <si>
    <t>JANEIRO|08</t>
  </si>
  <si>
    <t>FEVEREIRO|08</t>
  </si>
  <si>
    <t>MARÇO|08</t>
  </si>
  <si>
    <t>ABRIL|08</t>
  </si>
  <si>
    <t>MAIO|08</t>
  </si>
  <si>
    <t>JUNHO|08</t>
  </si>
  <si>
    <t>JULHO|08</t>
  </si>
  <si>
    <t>AGOSTO|08</t>
  </si>
  <si>
    <t>SETEMBRO|08</t>
  </si>
  <si>
    <t>OUTUBRO|08</t>
  </si>
  <si>
    <t>NOVEMBRO|08</t>
  </si>
  <si>
    <t>DEZEMBRO|08</t>
  </si>
  <si>
    <t>JANEIRO|09</t>
  </si>
  <si>
    <t>FEVEREIRO|09</t>
  </si>
  <si>
    <t>MARÇO|09</t>
  </si>
  <si>
    <t>ABRIL|09</t>
  </si>
  <si>
    <t>MAIO|09</t>
  </si>
  <si>
    <t>JUNHO|09</t>
  </si>
  <si>
    <t>JULHO|09</t>
  </si>
  <si>
    <t>AGOSTO|09</t>
  </si>
  <si>
    <t>SETEMBRO|09</t>
  </si>
  <si>
    <t>OUTUBRO|09</t>
  </si>
  <si>
    <t>NOVEMBRO|09</t>
  </si>
  <si>
    <t>DEZEMBRO|09</t>
  </si>
  <si>
    <t>JANEIRO|10</t>
  </si>
  <si>
    <t>FEVEREIRO|10</t>
  </si>
  <si>
    <t>MARÇO|10</t>
  </si>
  <si>
    <t>ABRIL|10</t>
  </si>
  <si>
    <t>MAIO|10</t>
  </si>
  <si>
    <t>JUNHO|10</t>
  </si>
  <si>
    <t>JULHO|10</t>
  </si>
  <si>
    <t>AGOSTO|10</t>
  </si>
  <si>
    <t>SETEMBRO|10</t>
  </si>
  <si>
    <t>OUTUBRO|10</t>
  </si>
  <si>
    <t>NOVEMBRO|10</t>
  </si>
  <si>
    <t>DEZEMBRO|10</t>
  </si>
  <si>
    <t>JANEIRO|11</t>
  </si>
  <si>
    <t>FEVEREIRO|11</t>
  </si>
  <si>
    <t>MARÇO|11</t>
  </si>
  <si>
    <t>ABRIL|11</t>
  </si>
  <si>
    <t>MAIO|11</t>
  </si>
  <si>
    <t>JUNHO|11</t>
  </si>
  <si>
    <t>JULHO|11</t>
  </si>
  <si>
    <t>AGOSTO|11</t>
  </si>
  <si>
    <t>SETEMBRO|11</t>
  </si>
  <si>
    <t>OUTUBRO|11</t>
  </si>
  <si>
    <t>NOVEMBRO|11</t>
  </si>
  <si>
    <t>DEZEMBRO|11</t>
  </si>
  <si>
    <t>JANEIRO|12</t>
  </si>
  <si>
    <t>FEVEREIRO|12</t>
  </si>
  <si>
    <t>MARÇO|12</t>
  </si>
  <si>
    <t>ABRIL|12</t>
  </si>
  <si>
    <t>MAIO|12</t>
  </si>
  <si>
    <t>JUNHO|12</t>
  </si>
  <si>
    <t>JULHO|12</t>
  </si>
  <si>
    <t>AGOSTO|12</t>
  </si>
  <si>
    <t>SETEMBRO|12</t>
  </si>
  <si>
    <t>OUTUBRO|12</t>
  </si>
  <si>
    <t>NOVEMBRO|12</t>
  </si>
  <si>
    <t>DEZEMBRO|12</t>
  </si>
  <si>
    <t>JANEIRO|13</t>
  </si>
  <si>
    <t>FEVEREIRO|13</t>
  </si>
  <si>
    <t>MARÇO|13</t>
  </si>
  <si>
    <t>ABRIL|13</t>
  </si>
  <si>
    <t>MAIO|13</t>
  </si>
  <si>
    <t>JUNHO|13</t>
  </si>
  <si>
    <t>JULHO|13</t>
  </si>
  <si>
    <t>AGOSTO|13</t>
  </si>
  <si>
    <t>SETEMBRO|13</t>
  </si>
  <si>
    <t>OUTUBRO|13</t>
  </si>
  <si>
    <t>NOVEMBRO|13</t>
  </si>
  <si>
    <t>DEZEMBRO|13</t>
  </si>
  <si>
    <t>JANEIRO|14</t>
  </si>
  <si>
    <t>FEVEREIRO|14</t>
  </si>
  <si>
    <t>MARÇO|14</t>
  </si>
  <si>
    <t>ABRIL|14</t>
  </si>
  <si>
    <t>MAIO|14</t>
  </si>
  <si>
    <t>JUNHO|14</t>
  </si>
  <si>
    <t>JULHO|14</t>
  </si>
  <si>
    <t>AGOSTO|14</t>
  </si>
  <si>
    <t>SETEMBRO|14</t>
  </si>
  <si>
    <t>OUTUBRO|14</t>
  </si>
  <si>
    <t>NOVEMBRO|14</t>
  </si>
  <si>
    <t>DEZEMBRO|14</t>
  </si>
  <si>
    <t>JANEIRO|15</t>
  </si>
  <si>
    <t>OUTUBRO|02</t>
  </si>
  <si>
    <t>OUTUBRO|01</t>
  </si>
  <si>
    <t>OUTUBRO|00</t>
  </si>
  <si>
    <t>JANEIRO|02</t>
  </si>
  <si>
    <t>FEVEREIRO|02</t>
  </si>
  <si>
    <t>MARÇO|02</t>
  </si>
  <si>
    <t>ABRIL|02</t>
  </si>
  <si>
    <t>MAIO|02</t>
  </si>
  <si>
    <t>JUNHO|02</t>
  </si>
  <si>
    <t>JULHO|02</t>
  </si>
  <si>
    <t>AGOSTO|02</t>
  </si>
  <si>
    <t>SETEMBRO|02</t>
  </si>
  <si>
    <t>NOVEMBRO|02</t>
  </si>
  <si>
    <t>DEZEMBRO|02</t>
  </si>
  <si>
    <t>JANEIRO|01</t>
  </si>
  <si>
    <t>FEVEREIRO|01</t>
  </si>
  <si>
    <t>MARÇO|01</t>
  </si>
  <si>
    <t>ABRIL|01</t>
  </si>
  <si>
    <t>MAIO|01</t>
  </si>
  <si>
    <t>JUNHO|01</t>
  </si>
  <si>
    <t>JULHO|01</t>
  </si>
  <si>
    <t>AGOSTO|01</t>
  </si>
  <si>
    <t>SETEMBRO|01</t>
  </si>
  <si>
    <t>NOVEMBRO|01</t>
  </si>
  <si>
    <t>DEZEMBRO|01</t>
  </si>
  <si>
    <t>ABRIL|00</t>
  </si>
  <si>
    <t>MAIO|00</t>
  </si>
  <si>
    <t>JUNHO|00</t>
  </si>
  <si>
    <t>JULHO|00</t>
  </si>
  <si>
    <t>AGOSTO|00</t>
  </si>
  <si>
    <t>SETEMBRO|00</t>
  </si>
  <si>
    <t>NOVEMBRO|00</t>
  </si>
  <si>
    <t>DEZEMBRO|00</t>
  </si>
  <si>
    <t>JANEIRO|03</t>
  </si>
  <si>
    <t>FEVEREIRO|03</t>
  </si>
  <si>
    <t>MARÇO|03</t>
  </si>
  <si>
    <t>ABRIL|03</t>
  </si>
  <si>
    <t>MAIO|03</t>
  </si>
  <si>
    <t>JUNHO|03</t>
  </si>
  <si>
    <t>JULHO|03</t>
  </si>
  <si>
    <t>AGOSTO|03</t>
  </si>
  <si>
    <t>SETEMBRO|03</t>
  </si>
  <si>
    <t>JANEIRO|00</t>
  </si>
  <si>
    <t>FEVEREIRO|00</t>
  </si>
  <si>
    <t>MARÇO|00</t>
  </si>
  <si>
    <t>JANEIRO|99</t>
  </si>
  <si>
    <t>FEVEREIRO|99</t>
  </si>
  <si>
    <t>MARÇO|99</t>
  </si>
  <si>
    <t>ABRIL|99</t>
  </si>
  <si>
    <t>MAIO|99</t>
  </si>
  <si>
    <t>JUNHO|99</t>
  </si>
  <si>
    <t>JULHO|99</t>
  </si>
  <si>
    <t>AGOSTO|99</t>
  </si>
  <si>
    <t>SETEMBRO|99</t>
  </si>
  <si>
    <t>OUTUBRO|99</t>
  </si>
  <si>
    <t>NOVEMBRO|99</t>
  </si>
  <si>
    <t>DEZEMBRO|99</t>
  </si>
  <si>
    <t>JANEIRO|98</t>
  </si>
  <si>
    <t>FEVEREIRO|98</t>
  </si>
  <si>
    <t>MARÇO|98</t>
  </si>
  <si>
    <t>ABRIL|98</t>
  </si>
  <si>
    <t>MAIO|98</t>
  </si>
  <si>
    <t>JUNHO|98</t>
  </si>
  <si>
    <t>JULHO|98</t>
  </si>
  <si>
    <t>AGOSTO|98</t>
  </si>
  <si>
    <t>SETEMBRO|98</t>
  </si>
  <si>
    <t>OUTUBRO|98</t>
  </si>
  <si>
    <t>NOVEMBRO|98</t>
  </si>
  <si>
    <t>DEZEMBRO|98</t>
  </si>
  <si>
    <t>JANEIRO|97</t>
  </si>
  <si>
    <t>FEVEREIRO|97</t>
  </si>
  <si>
    <t>MARÇO|97</t>
  </si>
  <si>
    <t>ABRIL|97</t>
  </si>
  <si>
    <t>MAIO|97</t>
  </si>
  <si>
    <t>JUNHO|97</t>
  </si>
  <si>
    <t>JULHO|97</t>
  </si>
  <si>
    <t>AGOSTO|97</t>
  </si>
  <si>
    <t>SETEMBRO|97</t>
  </si>
  <si>
    <t>OUTUBRO|97</t>
  </si>
  <si>
    <t>NOVEMBRO|97</t>
  </si>
  <si>
    <t>DEZEMBRO|97</t>
  </si>
  <si>
    <t>JANEIRO|96</t>
  </si>
  <si>
    <t>FEVEREIRO|96</t>
  </si>
  <si>
    <t>MARÇO|96</t>
  </si>
  <si>
    <t>ABRIL|96</t>
  </si>
  <si>
    <t>MAIO|96</t>
  </si>
  <si>
    <t>JUNHO|96</t>
  </si>
  <si>
    <t>JULHO|96</t>
  </si>
  <si>
    <t>AGOSTO|96</t>
  </si>
  <si>
    <t>SETEMBRO|96</t>
  </si>
  <si>
    <t>OUTUBRO|96</t>
  </si>
  <si>
    <t>NOVEMBRO|96</t>
  </si>
  <si>
    <t>DEZEMBRO|96</t>
  </si>
  <si>
    <t>JANEIRO|95</t>
  </si>
  <si>
    <t>FEVEREIRO|95</t>
  </si>
  <si>
    <t>MARÇO|95</t>
  </si>
  <si>
    <t>ABRIL|95</t>
  </si>
  <si>
    <t>MAIO|95</t>
  </si>
  <si>
    <t>JUNHO|95</t>
  </si>
  <si>
    <t>JULHO|95</t>
  </si>
  <si>
    <t>AGOSTO|95</t>
  </si>
  <si>
    <t>SETEMBRO|95</t>
  </si>
  <si>
    <t>OUTUBRO|95</t>
  </si>
  <si>
    <t>NOVEMBRO|95</t>
  </si>
  <si>
    <t>DEZEMBRO|95</t>
  </si>
  <si>
    <t>JULHO|94</t>
  </si>
  <si>
    <t>AGOSTO|94</t>
  </si>
  <si>
    <t>SETEMBRO|94</t>
  </si>
  <si>
    <t>OUTUBRO|94</t>
  </si>
  <si>
    <t>NOVEMBRO|94</t>
  </si>
  <si>
    <t>DEZEMBRO|94</t>
  </si>
  <si>
    <t>O Ministro da Fazenda anunciou o retorno da CIDE  e do PIS&amp;COFINS sobre o preço dos combustíveis - a aliquota do PIS&amp;COFINS começa alta, com progressiva redução na medida em que a CIDE retornar.</t>
  </si>
  <si>
    <t>IPCA/IBGE DO PERÍODO</t>
  </si>
  <si>
    <t>ÍNDICE  REAJUSTE DIESEL</t>
  </si>
  <si>
    <t>REAJUSTE ACUMULADO DIESEL</t>
  </si>
  <si>
    <t xml:space="preserve">ÍNDICE </t>
  </si>
  <si>
    <t>VARIAÇÃO ACUMULADA DO IPCA (PERÍODO)</t>
  </si>
  <si>
    <t>FEVEREIRO|15</t>
  </si>
  <si>
    <t>MARÇO|15</t>
  </si>
  <si>
    <t>MARCO|15</t>
  </si>
  <si>
    <t>ABRIL|15</t>
  </si>
  <si>
    <t>MAIO|15</t>
  </si>
  <si>
    <t>JUNHO|15</t>
  </si>
  <si>
    <t>R$/tonelada</t>
  </si>
  <si>
    <t>Pneu 205/R75 17,5</t>
  </si>
  <si>
    <t>JULHO|15</t>
  </si>
  <si>
    <t>AGOSTO|15</t>
  </si>
  <si>
    <t>SETEMBRO|15</t>
  </si>
  <si>
    <t>AUMENTO DO DIESEL EM 4% NAS REFINARIAS</t>
  </si>
  <si>
    <t>Rio de Janeiro, 30 de setembro de 2015 – Petróleo Brasileiro S.A. – Petrobras informa que realizou os seguintes reajustes 4% nos preços de venda nas refinarias, a vigorarem a partir da 0:00h do dia 30 de setembro de 2015.</t>
  </si>
  <si>
    <t>OUTUBRO|15</t>
  </si>
  <si>
    <t>NOVEMBRO|15</t>
  </si>
  <si>
    <t>DEZEMBRO|15</t>
  </si>
  <si>
    <t>2016</t>
  </si>
  <si>
    <t>JANEIRO|16</t>
  </si>
  <si>
    <t>FEVEREIRO|16</t>
  </si>
  <si>
    <t>MARÇO|16</t>
  </si>
  <si>
    <t>ABRIL|16</t>
  </si>
  <si>
    <t>MAIO|16</t>
  </si>
  <si>
    <t>JUNHO|16</t>
  </si>
  <si>
    <t>JULHO|16</t>
  </si>
  <si>
    <t>AGOSTO|16</t>
  </si>
  <si>
    <t>SETEMBRO|16</t>
  </si>
  <si>
    <t>OUTUBRO|16</t>
  </si>
  <si>
    <t>NOVEMBRO|16</t>
  </si>
  <si>
    <t>DEZEMBRO|16</t>
  </si>
  <si>
    <t>2017</t>
  </si>
  <si>
    <t>JANEIRO|17</t>
  </si>
  <si>
    <t>FEVEREIRO|17</t>
  </si>
  <si>
    <t>MARÇO|17</t>
  </si>
  <si>
    <t>ABRIL|17</t>
  </si>
  <si>
    <t>MAIO|17</t>
  </si>
  <si>
    <t>JUNHO|17</t>
  </si>
  <si>
    <t>Dissídio Coletivo - 4,0%</t>
  </si>
  <si>
    <t>Dissídio Coletivo - 7,0% + 1,82%</t>
  </si>
  <si>
    <t>JULHO|17</t>
  </si>
  <si>
    <t>Veículo substituído por Atego 2426 6x2 2p, pois o anterior saiu da linha de montagem.</t>
  </si>
  <si>
    <t>Seguro de veículo MB ATEGO 2426 (EURO 5)</t>
  </si>
  <si>
    <t>Mercedes-Benz MB ATEGO 2426 (EURO 5)*</t>
  </si>
  <si>
    <t>* Veículo substituído por Atego 2426 6x2 2p, pois o anterior saiu da linha de montagem do fabricante.</t>
  </si>
  <si>
    <t>Atego 2426</t>
  </si>
  <si>
    <t>AGOSTO|17</t>
  </si>
  <si>
    <t>SETEMBRO|17</t>
  </si>
  <si>
    <t>OUTUBRO|17</t>
  </si>
  <si>
    <t>NOVEMBRO|17</t>
  </si>
  <si>
    <t>DEZEMBRO|17</t>
  </si>
  <si>
    <t>JANEIRO|18</t>
  </si>
  <si>
    <t>2018</t>
  </si>
  <si>
    <t>DE JULHO/94 A FEVEREIR0/00 - MBB 1221</t>
  </si>
  <si>
    <t>Caminhões MBB 1221</t>
  </si>
  <si>
    <t>FEVEREIRO|18</t>
  </si>
  <si>
    <t>MARÇO|18</t>
  </si>
  <si>
    <t>ABRIL|18</t>
  </si>
  <si>
    <t>MAIO|18</t>
  </si>
  <si>
    <t>JUNHO|18</t>
  </si>
  <si>
    <t>JULHO|18</t>
  </si>
  <si>
    <t>AGOSTO|18</t>
  </si>
  <si>
    <t>SETEMBRO|18</t>
  </si>
  <si>
    <t>OUTUBRO|18</t>
  </si>
  <si>
    <t xml:space="preserve"> 27/10/2018</t>
  </si>
  <si>
    <t>NOVEMBRO|18</t>
  </si>
  <si>
    <t>DEZEMBRO|18</t>
  </si>
  <si>
    <t>2019</t>
  </si>
  <si>
    <t>JANEIRO|19</t>
  </si>
  <si>
    <t>FEVEREIRO|19</t>
  </si>
  <si>
    <t>MARÇO|19</t>
  </si>
  <si>
    <t>ABRIL|19</t>
  </si>
  <si>
    <t>MAIO|19</t>
  </si>
  <si>
    <t>JUNHO|19</t>
  </si>
  <si>
    <t>JULHO|19</t>
  </si>
  <si>
    <t>AGOSTO|19</t>
  </si>
  <si>
    <t>SETEMBRO|19</t>
  </si>
  <si>
    <t>OUTUBRO|19</t>
  </si>
  <si>
    <t>NOVEMBRO|19</t>
  </si>
  <si>
    <t>DEZEMBRO|19</t>
  </si>
  <si>
    <t>2020</t>
  </si>
  <si>
    <t>JANEIRO|20</t>
  </si>
  <si>
    <t>FEVEREIRO|20</t>
  </si>
  <si>
    <t>MARÇO|20</t>
  </si>
  <si>
    <t>ABRIL|20</t>
  </si>
  <si>
    <t>MAIO|20</t>
  </si>
  <si>
    <t>JUNHO|20</t>
  </si>
  <si>
    <t>JULHO|20</t>
  </si>
  <si>
    <t>AGOSTO|20</t>
  </si>
  <si>
    <t>SETEMBRO|20</t>
  </si>
  <si>
    <t>Veículo Atego 2536</t>
  </si>
  <si>
    <t>SETEMBRO|2020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</si>
</sst>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00"/>
    <numFmt numFmtId="166" formatCode="0.0000"/>
    <numFmt numFmtId="167" formatCode="#,##0.0000"/>
    <numFmt numFmtId="168" formatCode="#,##0.000"/>
    <numFmt numFmtId="169" formatCode="0.00000"/>
    <numFmt numFmtId="170" formatCode="#,##0.00000"/>
    <numFmt numFmtId="171" formatCode="#,##0.0000_);\(#,##0.0000\)"/>
    <numFmt numFmtId="172" formatCode="0.0%"/>
    <numFmt numFmtId="173" formatCode="#,##0.00000_);\(#,##0.00000\)"/>
    <numFmt numFmtId="174" formatCode="0.00_);[Red]\(0.00\)"/>
    <numFmt numFmtId="175" formatCode="mmm\-yy"/>
    <numFmt numFmtId="176" formatCode="#,##0.0000_);[Red]\(#,##0.0000\)"/>
    <numFmt numFmtId="177" formatCode="mmmm\-yy"/>
    <numFmt numFmtId="178" formatCode="#,##0.00_);[Red]\(#,##0.00\)"/>
    <numFmt numFmtId="179" formatCode="#,##0.00_ ;[Red]\-#,##0.00\ "/>
    <numFmt numFmtId="180" formatCode="[$-416]d\-mmm\-yy;@"/>
    <numFmt numFmtId="181" formatCode="_(* #,##0.0000_);_(* \(#,##0.0000\);_(* &quot;-&quot;??_);_(@_)"/>
    <numFmt numFmtId="182" formatCode="_(* #,##0.000000_);_(* \(#,##0.000000\);_(* &quot;-&quot;??_);_(@_)"/>
  </numFmts>
  <fonts count="142">
    <font>
      <sz val="12"/>
      <name val="Arial"/>
    </font>
    <font>
      <sz val="11"/>
      <color theme="1"/>
      <name val="Calibri"/>
      <family val="2"/>
      <scheme val="minor"/>
    </font>
    <font>
      <sz val="12"/>
      <name val="Arial"/>
      <family val="2"/>
    </font>
    <font>
      <b/>
      <sz val="12"/>
      <name val="Arial"/>
      <family val="2"/>
    </font>
    <font>
      <b/>
      <sz val="14"/>
      <name val="Arial"/>
      <family val="2"/>
    </font>
    <font>
      <sz val="12"/>
      <name val="Arial"/>
      <family val="2"/>
    </font>
    <font>
      <b/>
      <sz val="13"/>
      <name val="Arial"/>
      <family val="2"/>
    </font>
    <font>
      <sz val="13"/>
      <name val="Arial"/>
      <family val="2"/>
    </font>
    <font>
      <b/>
      <sz val="11"/>
      <name val="Arial"/>
      <family val="2"/>
    </font>
    <font>
      <b/>
      <i/>
      <sz val="12"/>
      <name val="Arial"/>
      <family val="2"/>
    </font>
    <font>
      <sz val="10"/>
      <name val="Arial"/>
      <family val="2"/>
    </font>
    <font>
      <b/>
      <i/>
      <sz val="10"/>
      <name val="Arial"/>
      <family val="2"/>
    </font>
    <font>
      <b/>
      <i/>
      <sz val="11"/>
      <name val="Arial"/>
      <family val="2"/>
    </font>
    <font>
      <b/>
      <sz val="10"/>
      <name val="Calibri"/>
      <family val="2"/>
    </font>
    <font>
      <b/>
      <i/>
      <sz val="10"/>
      <name val="Calibri"/>
      <family val="2"/>
    </font>
    <font>
      <sz val="10"/>
      <name val="Calibri"/>
      <family val="2"/>
    </font>
    <font>
      <b/>
      <sz val="11"/>
      <name val="Arial"/>
      <family val="2"/>
    </font>
    <font>
      <b/>
      <sz val="11"/>
      <color indexed="10"/>
      <name val="Arial"/>
      <family val="2"/>
    </font>
    <font>
      <b/>
      <sz val="11"/>
      <name val="Times New Roman"/>
      <family val="1"/>
    </font>
    <font>
      <b/>
      <sz val="14"/>
      <name val="Apple Chancery"/>
      <family val="4"/>
    </font>
    <font>
      <b/>
      <sz val="12"/>
      <name val="Apple Chancery"/>
      <family val="4"/>
    </font>
    <font>
      <b/>
      <sz val="13"/>
      <name val="Cambria"/>
      <family val="1"/>
    </font>
    <font>
      <b/>
      <sz val="13"/>
      <color indexed="9"/>
      <name val="Cambria"/>
      <family val="1"/>
    </font>
    <font>
      <b/>
      <i/>
      <sz val="13"/>
      <name val="Cambria"/>
      <family val="1"/>
    </font>
    <font>
      <b/>
      <i/>
      <sz val="13"/>
      <color indexed="9"/>
      <name val="Cambria"/>
      <family val="1"/>
    </font>
    <font>
      <sz val="13"/>
      <name val="Cambria"/>
      <family val="1"/>
    </font>
    <font>
      <b/>
      <sz val="15"/>
      <name val="Apple Chancery"/>
      <family val="4"/>
    </font>
    <font>
      <b/>
      <sz val="16"/>
      <name val="Apple Chancery"/>
      <family val="4"/>
    </font>
    <font>
      <b/>
      <sz val="16"/>
      <color indexed="9"/>
      <name val="Apple Chancery"/>
      <family val="4"/>
    </font>
    <font>
      <b/>
      <sz val="12"/>
      <color indexed="9"/>
      <name val="Arial"/>
      <family val="2"/>
    </font>
    <font>
      <b/>
      <sz val="13"/>
      <color indexed="9"/>
      <name val="Arial"/>
      <family val="2"/>
    </font>
    <font>
      <sz val="12"/>
      <name val="Cambria"/>
      <family val="1"/>
    </font>
    <font>
      <b/>
      <i/>
      <sz val="13"/>
      <name val="Apple Chancery"/>
      <family val="4"/>
    </font>
    <font>
      <b/>
      <i/>
      <sz val="13"/>
      <color indexed="9"/>
      <name val="Apple Chancery"/>
      <family val="4"/>
    </font>
    <font>
      <sz val="9"/>
      <color indexed="81"/>
      <name val="Tahoma"/>
      <family val="2"/>
    </font>
    <font>
      <b/>
      <sz val="9"/>
      <color indexed="81"/>
      <name val="Tahoma"/>
      <family val="2"/>
    </font>
    <font>
      <u/>
      <sz val="9"/>
      <color indexed="81"/>
      <name val="Tahoma"/>
      <family val="2"/>
    </font>
    <font>
      <b/>
      <sz val="12"/>
      <color indexed="56"/>
      <name val="Arial"/>
      <family val="2"/>
    </font>
    <font>
      <b/>
      <sz val="12"/>
      <color indexed="9"/>
      <name val="Apple Chancery"/>
      <family val="4"/>
    </font>
    <font>
      <b/>
      <sz val="14"/>
      <color indexed="9"/>
      <name val="Apple Chancery"/>
      <family val="4"/>
    </font>
    <font>
      <b/>
      <sz val="12"/>
      <color indexed="10"/>
      <name val="Apple Chancery"/>
      <family val="4"/>
    </font>
    <font>
      <b/>
      <sz val="10"/>
      <color indexed="10"/>
      <name val="Apple Chancery"/>
      <family val="4"/>
    </font>
    <font>
      <b/>
      <sz val="18"/>
      <name val="Apple Chancery"/>
      <family val="4"/>
    </font>
    <font>
      <b/>
      <sz val="11"/>
      <color theme="0"/>
      <name val="Arial"/>
      <family val="2"/>
    </font>
    <font>
      <b/>
      <i/>
      <sz val="11"/>
      <color rgb="FFC00000"/>
      <name val="Arial"/>
      <family val="2"/>
    </font>
    <font>
      <b/>
      <sz val="11"/>
      <color rgb="FFC00000"/>
      <name val="Arial"/>
      <family val="2"/>
    </font>
    <font>
      <b/>
      <sz val="14"/>
      <color theme="0"/>
      <name val="Apple Chancery"/>
      <family val="4"/>
    </font>
    <font>
      <b/>
      <sz val="11"/>
      <color rgb="FFFF0000"/>
      <name val="Arial"/>
      <family val="2"/>
    </font>
    <font>
      <b/>
      <sz val="12"/>
      <color theme="0"/>
      <name val="Apple Chancery"/>
      <family val="4"/>
    </font>
    <font>
      <b/>
      <sz val="12"/>
      <color rgb="FFFF0000"/>
      <name val="Apple Chancery"/>
      <family val="4"/>
    </font>
    <font>
      <b/>
      <sz val="10"/>
      <color rgb="FFFF0000"/>
      <name val="Apple Chancery"/>
      <family val="4"/>
    </font>
    <font>
      <b/>
      <sz val="11"/>
      <color theme="1"/>
      <name val="Arial"/>
      <family val="2"/>
    </font>
    <font>
      <b/>
      <sz val="10"/>
      <color theme="0"/>
      <name val="Apple Chancery"/>
      <family val="4"/>
    </font>
    <font>
      <b/>
      <sz val="12"/>
      <color theme="0"/>
      <name val="Arial"/>
      <family val="2"/>
    </font>
    <font>
      <b/>
      <sz val="11"/>
      <color theme="0"/>
      <name val="Apple Chancery"/>
      <family val="4"/>
    </font>
    <font>
      <b/>
      <sz val="13.5"/>
      <color theme="0"/>
      <name val="Apple Chancery"/>
      <family val="4"/>
    </font>
    <font>
      <b/>
      <sz val="16"/>
      <color theme="0"/>
      <name val="Apple Chancery"/>
      <family val="4"/>
    </font>
    <font>
      <b/>
      <sz val="15"/>
      <color theme="0"/>
      <name val="Apple Chancery"/>
      <family val="4"/>
    </font>
    <font>
      <b/>
      <sz val="11.5"/>
      <color theme="0"/>
      <name val="Apple Chancery"/>
      <family val="4"/>
    </font>
    <font>
      <b/>
      <sz val="16"/>
      <color theme="0"/>
      <name val="Arial"/>
      <family val="2"/>
    </font>
    <font>
      <b/>
      <sz val="18"/>
      <color theme="0"/>
      <name val="Apple Chancery"/>
      <family val="4"/>
    </font>
    <font>
      <b/>
      <sz val="18"/>
      <color theme="0"/>
      <name val="Arial"/>
      <family val="2"/>
    </font>
    <font>
      <b/>
      <sz val="13"/>
      <color theme="0"/>
      <name val="Apple Chancery"/>
      <family val="4"/>
    </font>
    <font>
      <b/>
      <sz val="22"/>
      <color theme="0"/>
      <name val="Apple Chancery"/>
      <family val="4"/>
    </font>
    <font>
      <b/>
      <i/>
      <sz val="13"/>
      <color theme="0"/>
      <name val="Cambria"/>
      <family val="1"/>
    </font>
    <font>
      <sz val="13"/>
      <color theme="0"/>
      <name val="Cambria"/>
      <family val="1"/>
    </font>
    <font>
      <b/>
      <sz val="14"/>
      <color rgb="FF184782"/>
      <name val="Calibri"/>
      <family val="2"/>
      <scheme val="minor"/>
    </font>
    <font>
      <sz val="12"/>
      <name val="Calibri"/>
      <family val="2"/>
      <scheme val="minor"/>
    </font>
    <font>
      <b/>
      <sz val="12"/>
      <color rgb="FF184782"/>
      <name val="Calibri"/>
      <family val="2"/>
      <scheme val="minor"/>
    </font>
    <font>
      <b/>
      <i/>
      <sz val="13"/>
      <color indexed="9"/>
      <name val="Calibri"/>
      <family val="2"/>
      <scheme val="minor"/>
    </font>
    <font>
      <b/>
      <sz val="13"/>
      <color theme="0"/>
      <name val="Calibri"/>
      <family val="2"/>
      <scheme val="minor"/>
    </font>
    <font>
      <b/>
      <sz val="12"/>
      <color theme="0"/>
      <name val="Calibri"/>
      <family val="2"/>
      <scheme val="minor"/>
    </font>
    <font>
      <b/>
      <sz val="11"/>
      <name val="Calibri"/>
      <family val="2"/>
      <scheme val="minor"/>
    </font>
    <font>
      <b/>
      <sz val="10"/>
      <name val="Calibri"/>
      <family val="2"/>
      <scheme val="minor"/>
    </font>
    <font>
      <sz val="11.5"/>
      <name val="Calibri"/>
      <family val="2"/>
      <scheme val="minor"/>
    </font>
    <font>
      <b/>
      <sz val="11.5"/>
      <name val="Calibri"/>
      <family val="2"/>
      <scheme val="minor"/>
    </font>
    <font>
      <i/>
      <sz val="12"/>
      <name val="Calibri"/>
      <family val="2"/>
      <scheme val="minor"/>
    </font>
    <font>
      <b/>
      <i/>
      <sz val="12"/>
      <name val="Calibri"/>
      <family val="2"/>
      <scheme val="minor"/>
    </font>
    <font>
      <i/>
      <sz val="12"/>
      <color rgb="FF184782"/>
      <name val="Calibri"/>
      <family val="2"/>
      <scheme val="minor"/>
    </font>
    <font>
      <b/>
      <i/>
      <sz val="13"/>
      <name val="Calibri"/>
      <family val="2"/>
      <scheme val="minor"/>
    </font>
    <font>
      <b/>
      <i/>
      <sz val="13"/>
      <color indexed="21"/>
      <name val="Calibri"/>
      <family val="2"/>
      <scheme val="minor"/>
    </font>
    <font>
      <b/>
      <i/>
      <sz val="10"/>
      <color indexed="60"/>
      <name val="Calibri"/>
      <family val="2"/>
      <scheme val="minor"/>
    </font>
    <font>
      <b/>
      <i/>
      <sz val="10"/>
      <color rgb="FF184782"/>
      <name val="Calibri"/>
      <family val="2"/>
      <scheme val="minor"/>
    </font>
    <font>
      <sz val="12"/>
      <color theme="0"/>
      <name val="Calibri"/>
      <family val="2"/>
      <scheme val="minor"/>
    </font>
    <font>
      <b/>
      <sz val="12"/>
      <name val="Calibri"/>
      <family val="2"/>
      <scheme val="minor"/>
    </font>
    <font>
      <b/>
      <i/>
      <sz val="8"/>
      <name val="Calibri"/>
      <family val="2"/>
      <scheme val="minor"/>
    </font>
    <font>
      <b/>
      <i/>
      <sz val="10"/>
      <name val="Calibri"/>
      <family val="2"/>
      <scheme val="minor"/>
    </font>
    <font>
      <sz val="8"/>
      <name val="Calibri"/>
      <family val="2"/>
      <scheme val="minor"/>
    </font>
    <font>
      <b/>
      <i/>
      <sz val="8"/>
      <color rgb="FF184782"/>
      <name val="Calibri"/>
      <family val="2"/>
      <scheme val="minor"/>
    </font>
    <font>
      <b/>
      <i/>
      <sz val="8"/>
      <color indexed="10"/>
      <name val="Calibri"/>
      <family val="2"/>
      <scheme val="minor"/>
    </font>
    <font>
      <i/>
      <sz val="8"/>
      <name val="Calibri"/>
      <family val="2"/>
      <scheme val="minor"/>
    </font>
    <font>
      <b/>
      <i/>
      <sz val="11"/>
      <name val="Calibri"/>
      <family val="2"/>
      <scheme val="minor"/>
    </font>
    <font>
      <i/>
      <sz val="11"/>
      <name val="Calibri"/>
      <family val="2"/>
      <scheme val="minor"/>
    </font>
    <font>
      <b/>
      <i/>
      <sz val="12"/>
      <color rgb="FF184782"/>
      <name val="Calibri"/>
      <family val="2"/>
      <scheme val="minor"/>
    </font>
    <font>
      <sz val="12"/>
      <color indexed="9"/>
      <name val="Calibri"/>
      <family val="2"/>
      <scheme val="minor"/>
    </font>
    <font>
      <sz val="10"/>
      <name val="Calibri"/>
      <family val="2"/>
      <scheme val="minor"/>
    </font>
    <font>
      <sz val="10"/>
      <color indexed="22"/>
      <name val="Calibri"/>
      <family val="2"/>
      <scheme val="minor"/>
    </font>
    <font>
      <u/>
      <sz val="10"/>
      <name val="Calibri"/>
      <family val="2"/>
      <scheme val="minor"/>
    </font>
    <font>
      <sz val="12"/>
      <color rgb="FF184782"/>
      <name val="Calibri"/>
      <family val="2"/>
      <scheme val="minor"/>
    </font>
    <font>
      <b/>
      <sz val="10"/>
      <color rgb="FF184782"/>
      <name val="Calibri"/>
      <family val="2"/>
      <scheme val="minor"/>
    </font>
    <font>
      <b/>
      <i/>
      <sz val="11"/>
      <color theme="0"/>
      <name val="Calibri"/>
      <family val="2"/>
      <scheme val="minor"/>
    </font>
    <font>
      <b/>
      <i/>
      <sz val="10"/>
      <color theme="0"/>
      <name val="Calibri"/>
      <family val="2"/>
      <scheme val="minor"/>
    </font>
    <font>
      <sz val="10"/>
      <color theme="1"/>
      <name val="Calibri"/>
      <family val="2"/>
      <scheme val="minor"/>
    </font>
    <font>
      <b/>
      <sz val="20"/>
      <color theme="0"/>
      <name val="Apple Chancery"/>
      <family val="4"/>
    </font>
    <font>
      <b/>
      <sz val="14"/>
      <color theme="0"/>
      <name val="Arial"/>
      <family val="2"/>
    </font>
    <font>
      <b/>
      <sz val="13"/>
      <color indexed="9"/>
      <name val="Calibri"/>
      <family val="2"/>
      <scheme val="minor"/>
    </font>
    <font>
      <b/>
      <sz val="12"/>
      <color indexed="9"/>
      <name val="Calibri"/>
      <family val="2"/>
      <scheme val="minor"/>
    </font>
    <font>
      <b/>
      <sz val="14"/>
      <color indexed="9"/>
      <name val="Calibri"/>
      <family val="2"/>
      <scheme val="minor"/>
    </font>
    <font>
      <b/>
      <sz val="16"/>
      <color indexed="9"/>
      <name val="Calibri"/>
      <family val="2"/>
      <scheme val="minor"/>
    </font>
    <font>
      <b/>
      <sz val="13.5"/>
      <color indexed="9"/>
      <name val="Calibri"/>
      <family val="2"/>
      <scheme val="minor"/>
    </font>
    <font>
      <sz val="10"/>
      <color rgb="FF184782"/>
      <name val="Calibri"/>
      <family val="2"/>
    </font>
    <font>
      <sz val="12"/>
      <name val="Calibri"/>
      <family val="2"/>
      <scheme val="minor"/>
    </font>
    <font>
      <b/>
      <sz val="20"/>
      <color theme="0"/>
      <name val="Calibri"/>
      <family val="2"/>
      <scheme val="minor"/>
    </font>
    <font>
      <b/>
      <sz val="16"/>
      <color theme="0"/>
      <name val="Calibri"/>
      <family val="2"/>
      <scheme val="minor"/>
    </font>
    <font>
      <b/>
      <i/>
      <sz val="20"/>
      <color rgb="FF184782"/>
      <name val="Calibri"/>
      <family val="2"/>
      <scheme val="minor"/>
    </font>
    <font>
      <b/>
      <sz val="12"/>
      <color rgb="FF184782"/>
      <name val="Calibri"/>
      <family val="2"/>
      <scheme val="minor"/>
    </font>
    <font>
      <b/>
      <sz val="12"/>
      <color theme="0"/>
      <name val="Calibri"/>
      <family val="2"/>
      <scheme val="minor"/>
    </font>
    <font>
      <sz val="10"/>
      <name val="Calibri"/>
      <family val="2"/>
      <scheme val="minor"/>
    </font>
    <font>
      <sz val="12"/>
      <color rgb="FFC00000"/>
      <name val="Calibri"/>
      <family val="2"/>
      <scheme val="minor"/>
    </font>
    <font>
      <b/>
      <i/>
      <sz val="12"/>
      <color rgb="FF184782"/>
      <name val="Calibri"/>
      <family val="2"/>
      <scheme val="minor"/>
    </font>
    <font>
      <b/>
      <sz val="12"/>
      <name val="Calibri"/>
      <family val="2"/>
      <scheme val="minor"/>
    </font>
    <font>
      <b/>
      <sz val="10"/>
      <name val="Calibri"/>
      <family val="2"/>
      <scheme val="minor"/>
    </font>
    <font>
      <sz val="12"/>
      <color rgb="FF184782"/>
      <name val="Calibri"/>
      <family val="2"/>
      <scheme val="minor"/>
    </font>
    <font>
      <b/>
      <i/>
      <sz val="12"/>
      <name val="Calibri"/>
      <family val="2"/>
      <scheme val="minor"/>
    </font>
    <font>
      <i/>
      <sz val="12"/>
      <name val="Calibri"/>
      <family val="2"/>
      <scheme val="minor"/>
    </font>
    <font>
      <sz val="1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78">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17"/>
        <bgColor indexed="64"/>
      </patternFill>
    </fill>
    <fill>
      <patternFill patternType="solid">
        <fgColor indexed="26"/>
        <bgColor indexed="64"/>
      </patternFill>
    </fill>
    <fill>
      <patternFill patternType="lightGray">
        <fgColor indexed="32"/>
        <bgColor indexed="16"/>
      </patternFill>
    </fill>
    <fill>
      <patternFill patternType="darkGrid">
        <fgColor indexed="32"/>
        <bgColor indexed="20"/>
      </patternFill>
    </fill>
    <fill>
      <patternFill patternType="gray125">
        <bgColor indexed="19"/>
      </patternFill>
    </fill>
    <fill>
      <patternFill patternType="lightUp">
        <fgColor indexed="44"/>
      </patternFill>
    </fill>
    <fill>
      <patternFill patternType="lightUp">
        <fgColor indexed="45"/>
      </patternFill>
    </fill>
    <fill>
      <patternFill patternType="solid">
        <fgColor indexed="9"/>
        <bgColor indexed="64"/>
      </patternFill>
    </fill>
    <fill>
      <patternFill patternType="darkGray">
        <fgColor indexed="8"/>
        <bgColor indexed="18"/>
      </patternFill>
    </fill>
    <fill>
      <patternFill patternType="solid">
        <fgColor indexed="31"/>
        <bgColor indexed="64"/>
      </patternFill>
    </fill>
    <fill>
      <patternFill patternType="solid">
        <fgColor indexed="44"/>
        <bgColor indexed="64"/>
      </patternFill>
    </fill>
    <fill>
      <patternFill patternType="solid">
        <fgColor indexed="44"/>
        <bgColor indexed="59"/>
      </patternFill>
    </fill>
    <fill>
      <patternFill patternType="solid">
        <fgColor indexed="46"/>
        <bgColor indexed="64"/>
      </patternFill>
    </fill>
    <fill>
      <patternFill patternType="solid">
        <fgColor indexed="46"/>
        <bgColor indexed="59"/>
      </patternFill>
    </fill>
    <fill>
      <patternFill patternType="darkGrid">
        <fgColor indexed="32"/>
        <bgColor indexed="28"/>
      </patternFill>
    </fill>
    <fill>
      <patternFill patternType="solid">
        <fgColor indexed="31"/>
        <bgColor indexed="59"/>
      </patternFill>
    </fill>
    <fill>
      <patternFill patternType="solid">
        <fgColor indexed="51"/>
        <bgColor indexed="64"/>
      </patternFill>
    </fill>
    <fill>
      <patternFill patternType="solid">
        <fgColor indexed="51"/>
        <bgColor indexed="59"/>
      </patternFill>
    </fill>
    <fill>
      <patternFill patternType="darkDown">
        <bgColor indexed="38"/>
      </patternFill>
    </fill>
    <fill>
      <patternFill patternType="darkUp">
        <bgColor indexed="21"/>
      </patternFill>
    </fill>
    <fill>
      <patternFill patternType="darkDown">
        <fgColor indexed="59"/>
        <bgColor indexed="21"/>
      </patternFill>
    </fill>
    <fill>
      <patternFill patternType="lightUp">
        <fgColor indexed="44"/>
        <bgColor indexed="9"/>
      </patternFill>
    </fill>
    <fill>
      <patternFill patternType="darkUp">
        <fgColor indexed="16"/>
        <bgColor indexed="62"/>
      </patternFill>
    </fill>
    <fill>
      <patternFill patternType="lightUp">
        <fgColor indexed="45"/>
        <bgColor indexed="9"/>
      </patternFill>
    </fill>
    <fill>
      <patternFill patternType="darkDown">
        <fgColor indexed="16"/>
        <bgColor indexed="62"/>
      </patternFill>
    </fill>
    <fill>
      <patternFill patternType="darkGray">
        <fgColor rgb="FF333300"/>
        <bgColor rgb="FF002060"/>
      </patternFill>
    </fill>
    <fill>
      <patternFill patternType="darkGray">
        <bgColor rgb="FF6E1E18"/>
      </patternFill>
    </fill>
    <fill>
      <patternFill patternType="solid">
        <fgColor rgb="FFFFFFCC"/>
        <bgColor indexed="64"/>
      </patternFill>
    </fill>
    <fill>
      <patternFill patternType="solid">
        <fgColor theme="5" tint="0.59999389629810485"/>
        <bgColor indexed="64"/>
      </patternFill>
    </fill>
    <fill>
      <patternFill patternType="solid">
        <fgColor theme="0"/>
        <bgColor indexed="64"/>
      </patternFill>
    </fill>
    <fill>
      <patternFill patternType="solid">
        <fgColor rgb="FFFFFF00"/>
        <bgColor indexed="64"/>
      </patternFill>
    </fill>
    <fill>
      <patternFill patternType="solid">
        <fgColor theme="0"/>
        <bgColor theme="0"/>
      </patternFill>
    </fill>
    <fill>
      <patternFill patternType="darkGray">
        <fgColor theme="1"/>
        <bgColor rgb="FF00339A"/>
      </patternFill>
    </fill>
    <fill>
      <patternFill patternType="solid">
        <fgColor theme="0" tint="-0.14999847407452621"/>
        <bgColor indexed="64"/>
      </patternFill>
    </fill>
    <fill>
      <patternFill patternType="solid">
        <fgColor rgb="FF184782"/>
        <bgColor indexed="64"/>
      </patternFill>
    </fill>
    <fill>
      <patternFill patternType="solid">
        <fgColor rgb="FFCF9E4D"/>
        <bgColor indexed="64"/>
      </patternFill>
    </fill>
    <fill>
      <patternFill patternType="solid">
        <fgColor theme="4" tint="0.79998168889431442"/>
        <bgColor indexed="64"/>
      </patternFill>
    </fill>
    <fill>
      <patternFill patternType="solid">
        <fgColor rgb="FFFFFFFF"/>
        <bgColor indexed="64"/>
      </patternFill>
    </fill>
    <fill>
      <patternFill patternType="darkGray">
        <fgColor rgb="FF003300"/>
        <bgColor rgb="FF002060"/>
      </patternFill>
    </fill>
    <fill>
      <patternFill patternType="solid">
        <fgColor theme="6" tint="0.79998168889431442"/>
        <bgColor indexed="64"/>
      </patternFill>
    </fill>
    <fill>
      <patternFill patternType="darkGray">
        <fgColor theme="1"/>
        <bgColor rgb="FF6E1E18"/>
      </patternFill>
    </fill>
    <fill>
      <patternFill patternType="darkGray">
        <fgColor indexed="8"/>
        <bgColor rgb="FF00008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right/>
      <top style="thin">
        <color indexed="9"/>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rgb="FF184782"/>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rgb="FF184782"/>
      </right>
      <top style="medium">
        <color theme="0" tint="-0.14996795556505021"/>
      </top>
      <bottom style="medium">
        <color theme="0" tint="-0.14996795556505021"/>
      </bottom>
      <diagonal/>
    </border>
    <border>
      <left style="medium">
        <color theme="0" tint="-0.14996795556505021"/>
      </left>
      <right style="medium">
        <color theme="0" tint="-0.14996795556505021"/>
      </right>
      <top style="medium">
        <color rgb="FF184782"/>
      </top>
      <bottom style="medium">
        <color theme="0" tint="-0.14996795556505021"/>
      </bottom>
      <diagonal/>
    </border>
    <border>
      <left style="medium">
        <color theme="0" tint="-0.14996795556505021"/>
      </left>
      <right style="medium">
        <color theme="0" tint="-0.14996795556505021"/>
      </right>
      <top style="medium">
        <color theme="0" tint="-0.14996795556505021"/>
      </top>
      <bottom/>
      <diagonal/>
    </border>
    <border>
      <left style="medium">
        <color rgb="FF184782"/>
      </left>
      <right/>
      <top/>
      <bottom/>
      <diagonal/>
    </border>
    <border>
      <left style="medium">
        <color theme="0" tint="-0.14996795556505021"/>
      </left>
      <right style="medium">
        <color theme="0" tint="-0.14996795556505021"/>
      </right>
      <top style="medium">
        <color rgb="FF184782"/>
      </top>
      <bottom/>
      <diagonal/>
    </border>
    <border>
      <left style="medium">
        <color theme="0" tint="-0.14996795556505021"/>
      </left>
      <right style="medium">
        <color rgb="FF184782"/>
      </right>
      <top/>
      <bottom style="medium">
        <color rgb="FF184782"/>
      </bottom>
      <diagonal/>
    </border>
    <border>
      <left style="medium">
        <color rgb="FF184782"/>
      </left>
      <right style="medium">
        <color theme="0" tint="-0.14996795556505021"/>
      </right>
      <top/>
      <bottom style="medium">
        <color rgb="FF184782"/>
      </bottom>
      <diagonal/>
    </border>
    <border>
      <left style="medium">
        <color theme="0" tint="-0.14996795556505021"/>
      </left>
      <right style="medium">
        <color theme="0" tint="-0.14996795556505021"/>
      </right>
      <top/>
      <bottom style="medium">
        <color rgb="FF184782"/>
      </bottom>
      <diagonal/>
    </border>
    <border>
      <left style="medium">
        <color rgb="FF184782"/>
      </left>
      <right/>
      <top style="medium">
        <color rgb="FF184782"/>
      </top>
      <bottom/>
      <diagonal/>
    </border>
    <border>
      <left style="medium">
        <color rgb="FF184782"/>
      </left>
      <right/>
      <top/>
      <bottom style="medium">
        <color rgb="FF184782"/>
      </bottom>
      <diagonal/>
    </border>
    <border>
      <left style="medium">
        <color rgb="FF184782"/>
      </left>
      <right style="medium">
        <color theme="0" tint="-0.14996795556505021"/>
      </right>
      <top style="medium">
        <color rgb="FF184782"/>
      </top>
      <bottom style="medium">
        <color rgb="FF184782"/>
      </bottom>
      <diagonal/>
    </border>
    <border>
      <left style="medium">
        <color theme="0" tint="-0.14996795556505021"/>
      </left>
      <right style="medium">
        <color theme="0" tint="-0.14996795556505021"/>
      </right>
      <top style="medium">
        <color rgb="FF184782"/>
      </top>
      <bottom style="medium">
        <color rgb="FF184782"/>
      </bottom>
      <diagonal/>
    </border>
    <border>
      <left style="medium">
        <color theme="0" tint="-0.14996795556505021"/>
      </left>
      <right style="medium">
        <color rgb="FF184782"/>
      </right>
      <top style="medium">
        <color rgb="FF184782"/>
      </top>
      <bottom style="medium">
        <color rgb="FF184782"/>
      </bottom>
      <diagonal/>
    </border>
    <border>
      <left/>
      <right style="medium">
        <color theme="0" tint="-0.14996795556505021"/>
      </right>
      <top style="medium">
        <color theme="0" tint="-0.14996795556505021"/>
      </top>
      <bottom style="medium">
        <color theme="0" tint="-0.14996795556505021"/>
      </bottom>
      <diagonal/>
    </border>
    <border>
      <left/>
      <right/>
      <top style="medium">
        <color rgb="FF184782"/>
      </top>
      <bottom/>
      <diagonal/>
    </border>
    <border>
      <left style="medium">
        <color theme="0" tint="-0.14996795556505021"/>
      </left>
      <right/>
      <top style="medium">
        <color rgb="FF184782"/>
      </top>
      <bottom style="medium">
        <color theme="0" tint="-0.14996795556505021"/>
      </bottom>
      <diagonal/>
    </border>
    <border>
      <left style="medium">
        <color theme="0" tint="-0.14996795556505021"/>
      </left>
      <right/>
      <top style="medium">
        <color theme="0" tint="-0.14996795556505021"/>
      </top>
      <bottom style="medium">
        <color theme="0" tint="-0.14996795556505021"/>
      </bottom>
      <diagonal/>
    </border>
    <border>
      <left style="medium">
        <color theme="0" tint="-0.14996795556505021"/>
      </left>
      <right/>
      <top style="medium">
        <color theme="0" tint="-0.14996795556505021"/>
      </top>
      <bottom/>
      <diagonal/>
    </border>
    <border>
      <left style="medium">
        <color rgb="FF184782"/>
      </left>
      <right style="medium">
        <color rgb="FF184782"/>
      </right>
      <top style="medium">
        <color theme="0" tint="-0.14996795556505021"/>
      </top>
      <bottom style="medium">
        <color theme="0" tint="-0.14996795556505021"/>
      </bottom>
      <diagonal/>
    </border>
    <border>
      <left style="medium">
        <color rgb="FF184782"/>
      </left>
      <right style="medium">
        <color rgb="FF184782"/>
      </right>
      <top style="medium">
        <color indexed="64"/>
      </top>
      <bottom style="medium">
        <color theme="0" tint="-0.14996795556505021"/>
      </bottom>
      <diagonal/>
    </border>
    <border>
      <left style="medium">
        <color rgb="FF184782"/>
      </left>
      <right style="medium">
        <color rgb="FF184782"/>
      </right>
      <top style="medium">
        <color rgb="FF184782"/>
      </top>
      <bottom style="medium">
        <color theme="0" tint="-0.14996795556505021"/>
      </bottom>
      <diagonal/>
    </border>
    <border>
      <left style="medium">
        <color theme="0" tint="-0.14996795556505021"/>
      </left>
      <right/>
      <top style="medium">
        <color rgb="FF184782"/>
      </top>
      <bottom/>
      <diagonal/>
    </border>
    <border>
      <left style="medium">
        <color rgb="FF184782"/>
      </left>
      <right style="medium">
        <color rgb="FF184782"/>
      </right>
      <top style="medium">
        <color rgb="FF184782"/>
      </top>
      <bottom/>
      <diagonal/>
    </border>
    <border>
      <left style="medium">
        <color rgb="FF184782"/>
      </left>
      <right style="medium">
        <color theme="0" tint="-0.14996795556505021"/>
      </right>
      <top style="medium">
        <color rgb="FF184782"/>
      </top>
      <bottom style="thin">
        <color theme="0" tint="-0.14996795556505021"/>
      </bottom>
      <diagonal/>
    </border>
    <border>
      <left style="medium">
        <color theme="0" tint="-0.14996795556505021"/>
      </left>
      <right style="medium">
        <color theme="0" tint="-0.14996795556505021"/>
      </right>
      <top style="medium">
        <color rgb="FF184782"/>
      </top>
      <bottom style="thin">
        <color theme="0" tint="-0.14996795556505021"/>
      </bottom>
      <diagonal/>
    </border>
    <border>
      <left style="medium">
        <color theme="0" tint="-0.14996795556505021"/>
      </left>
      <right style="medium">
        <color rgb="FF184782"/>
      </right>
      <top style="medium">
        <color rgb="FF184782"/>
      </top>
      <bottom style="thin">
        <color theme="0" tint="-0.14996795556505021"/>
      </bottom>
      <diagonal/>
    </border>
    <border>
      <left style="medium">
        <color rgb="FF184782"/>
      </left>
      <right style="medium">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thin">
        <color theme="0" tint="-0.14996795556505021"/>
      </top>
      <bottom style="thin">
        <color theme="0" tint="-0.14996795556505021"/>
      </bottom>
      <diagonal/>
    </border>
    <border>
      <left style="medium">
        <color theme="0" tint="-0.14996795556505021"/>
      </left>
      <right style="medium">
        <color rgb="FF184782"/>
      </right>
      <top style="thin">
        <color theme="0" tint="-0.14996795556505021"/>
      </top>
      <bottom style="thin">
        <color theme="0" tint="-0.14996795556505021"/>
      </bottom>
      <diagonal/>
    </border>
    <border>
      <left style="medium">
        <color rgb="FF184782"/>
      </left>
      <right style="medium">
        <color theme="0" tint="-0.14996795556505021"/>
      </right>
      <top style="thin">
        <color theme="0" tint="-0.14996795556505021"/>
      </top>
      <bottom style="medium">
        <color rgb="FF184782"/>
      </bottom>
      <diagonal/>
    </border>
    <border>
      <left style="medium">
        <color theme="0" tint="-0.14996795556505021"/>
      </left>
      <right style="medium">
        <color theme="0" tint="-0.14996795556505021"/>
      </right>
      <top style="thin">
        <color theme="0" tint="-0.14996795556505021"/>
      </top>
      <bottom style="medium">
        <color rgb="FF184782"/>
      </bottom>
      <diagonal/>
    </border>
    <border>
      <left style="medium">
        <color theme="0" tint="-0.14996795556505021"/>
      </left>
      <right style="medium">
        <color rgb="FF184782"/>
      </right>
      <top style="thin">
        <color theme="0" tint="-0.14996795556505021"/>
      </top>
      <bottom style="medium">
        <color rgb="FF184782"/>
      </bottom>
      <diagonal/>
    </border>
    <border>
      <left style="medium">
        <color theme="0" tint="-0.14996795556505021"/>
      </left>
      <right/>
      <top style="medium">
        <color rgb="FF184782"/>
      </top>
      <bottom style="thin">
        <color theme="0" tint="-0.14996795556505021"/>
      </bottom>
      <diagonal/>
    </border>
    <border>
      <left style="medium">
        <color rgb="FF184782"/>
      </left>
      <right style="medium">
        <color rgb="FF184782"/>
      </right>
      <top style="medium">
        <color rgb="FF184782"/>
      </top>
      <bottom style="thin">
        <color theme="0" tint="-0.14996795556505021"/>
      </bottom>
      <diagonal/>
    </border>
    <border>
      <left style="medium">
        <color theme="0" tint="-0.14996795556505021"/>
      </left>
      <right/>
      <top style="thin">
        <color theme="0" tint="-0.14996795556505021"/>
      </top>
      <bottom style="thin">
        <color theme="0" tint="-0.14996795556505021"/>
      </bottom>
      <diagonal/>
    </border>
    <border>
      <left style="medium">
        <color rgb="FF184782"/>
      </left>
      <right style="medium">
        <color rgb="FF184782"/>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thin">
        <color theme="0" tint="-0.14996795556505021"/>
      </bottom>
      <diagonal/>
    </border>
    <border>
      <left style="medium">
        <color rgb="FF184782"/>
      </left>
      <right style="medium">
        <color theme="0" tint="-0.14996795556505021"/>
      </right>
      <top style="medium">
        <color theme="0" tint="-0.14996795556505021"/>
      </top>
      <bottom style="thin">
        <color theme="0" tint="-0.14993743705557422"/>
      </bottom>
      <diagonal/>
    </border>
    <border>
      <left style="medium">
        <color theme="0" tint="-0.14996795556505021"/>
      </left>
      <right style="medium">
        <color theme="0" tint="-0.14996795556505021"/>
      </right>
      <top style="medium">
        <color theme="0" tint="-0.14996795556505021"/>
      </top>
      <bottom style="thin">
        <color theme="0" tint="-0.14993743705557422"/>
      </bottom>
      <diagonal/>
    </border>
    <border>
      <left style="medium">
        <color theme="0" tint="-0.14996795556505021"/>
      </left>
      <right style="medium">
        <color rgb="FF184782"/>
      </right>
      <top style="medium">
        <color theme="0" tint="-0.14996795556505021"/>
      </top>
      <bottom style="thin">
        <color theme="0" tint="-0.14993743705557422"/>
      </bottom>
      <diagonal/>
    </border>
    <border>
      <left style="medium">
        <color rgb="FF184782"/>
      </left>
      <right style="medium">
        <color theme="0" tint="-0.14996795556505021"/>
      </right>
      <top style="thin">
        <color theme="0" tint="-0.14993743705557422"/>
      </top>
      <bottom style="thin">
        <color theme="0" tint="-0.14993743705557422"/>
      </bottom>
      <diagonal/>
    </border>
    <border>
      <left style="medium">
        <color theme="0" tint="-0.14996795556505021"/>
      </left>
      <right style="medium">
        <color theme="0" tint="-0.14996795556505021"/>
      </right>
      <top style="thin">
        <color theme="0" tint="-0.14993743705557422"/>
      </top>
      <bottom style="thin">
        <color theme="0" tint="-0.14993743705557422"/>
      </bottom>
      <diagonal/>
    </border>
    <border>
      <left style="medium">
        <color theme="0" tint="-0.14996795556505021"/>
      </left>
      <right style="medium">
        <color rgb="FF184782"/>
      </right>
      <top style="thin">
        <color theme="0" tint="-0.14993743705557422"/>
      </top>
      <bottom style="thin">
        <color theme="0" tint="-0.14993743705557422"/>
      </bottom>
      <diagonal/>
    </border>
    <border>
      <left style="medium">
        <color rgb="FF184782"/>
      </left>
      <right style="medium">
        <color theme="0" tint="-0.14996795556505021"/>
      </right>
      <top style="medium">
        <color theme="0" tint="-0.14996795556505021"/>
      </top>
      <bottom style="thin">
        <color theme="0" tint="-0.14996795556505021"/>
      </bottom>
      <diagonal/>
    </border>
    <border>
      <left style="medium">
        <color theme="0" tint="-0.14996795556505021"/>
      </left>
      <right style="medium">
        <color rgb="FF184782"/>
      </right>
      <top style="medium">
        <color theme="0" tint="-0.14996795556505021"/>
      </top>
      <bottom style="thin">
        <color theme="0" tint="-0.14996795556505021"/>
      </bottom>
      <diagonal/>
    </border>
    <border>
      <left style="medium">
        <color theme="0" tint="-0.14996795556505021"/>
      </left>
      <right style="medium">
        <color theme="0" tint="-0.14996795556505021"/>
      </right>
      <top style="thin">
        <color theme="0" tint="-0.14993743705557422"/>
      </top>
      <bottom/>
      <diagonal/>
    </border>
    <border>
      <left style="medium">
        <color theme="0" tint="-0.14996795556505021"/>
      </left>
      <right style="medium">
        <color rgb="FF184782"/>
      </right>
      <top style="thin">
        <color theme="0" tint="-0.14993743705557422"/>
      </top>
      <bottom/>
      <diagonal/>
    </border>
    <border>
      <left style="medium">
        <color rgb="FF184782"/>
      </left>
      <right style="medium">
        <color theme="0" tint="-0.14996795556505021"/>
      </right>
      <top style="medium">
        <color theme="0" tint="-0.14993743705557422"/>
      </top>
      <bottom style="medium">
        <color theme="0" tint="-0.14996795556505021"/>
      </bottom>
      <diagonal/>
    </border>
    <border>
      <left style="medium">
        <color theme="0" tint="-0.14996795556505021"/>
      </left>
      <right style="medium">
        <color theme="0" tint="-0.14996795556505021"/>
      </right>
      <top style="medium">
        <color theme="0" tint="-0.14993743705557422"/>
      </top>
      <bottom style="medium">
        <color theme="0" tint="-0.14996795556505021"/>
      </bottom>
      <diagonal/>
    </border>
    <border>
      <left style="medium">
        <color theme="0" tint="-0.14996795556505021"/>
      </left>
      <right style="medium">
        <color rgb="FF184782"/>
      </right>
      <top style="medium">
        <color theme="0" tint="-0.14993743705557422"/>
      </top>
      <bottom style="medium">
        <color theme="0" tint="-0.14996795556505021"/>
      </bottom>
      <diagonal/>
    </border>
    <border>
      <left style="medium">
        <color theme="0" tint="-0.14996795556505021"/>
      </left>
      <right style="medium">
        <color theme="0" tint="-0.14996795556505021"/>
      </right>
      <top style="medium">
        <color theme="0" tint="-0.14996795556505021"/>
      </top>
      <bottom style="medium">
        <color rgb="FF184782"/>
      </bottom>
      <diagonal/>
    </border>
    <border>
      <left style="medium">
        <color rgb="FF184782"/>
      </left>
      <right style="medium">
        <color theme="0" tint="-0.14996795556505021"/>
      </right>
      <top style="thin">
        <color theme="0" tint="-0.14996795556505021"/>
      </top>
      <bottom/>
      <diagonal/>
    </border>
    <border>
      <left style="medium">
        <color theme="0" tint="-0.14996795556505021"/>
      </left>
      <right style="medium">
        <color theme="0" tint="-0.14996795556505021"/>
      </right>
      <top style="thin">
        <color theme="0" tint="-0.14996795556505021"/>
      </top>
      <bottom/>
      <diagonal/>
    </border>
    <border>
      <left style="medium">
        <color theme="0" tint="-0.14996795556505021"/>
      </left>
      <right style="medium">
        <color rgb="FF184782"/>
      </right>
      <top style="thin">
        <color theme="0" tint="-0.14996795556505021"/>
      </top>
      <bottom/>
      <diagonal/>
    </border>
    <border>
      <left style="medium">
        <color rgb="FF184782"/>
      </left>
      <right style="medium">
        <color theme="0" tint="-0.14996795556505021"/>
      </right>
      <top style="medium">
        <color theme="0" tint="-0.14996795556505021"/>
      </top>
      <bottom/>
      <diagonal/>
    </border>
    <border>
      <left style="medium">
        <color theme="0" tint="-0.14996795556505021"/>
      </left>
      <right style="medium">
        <color rgb="FF184782"/>
      </right>
      <top style="medium">
        <color theme="0" tint="-0.14996795556505021"/>
      </top>
      <bottom/>
      <diagonal/>
    </border>
    <border>
      <left style="medium">
        <color theme="0" tint="-0.14996795556505021"/>
      </left>
      <right/>
      <top style="thin">
        <color theme="0" tint="-0.14996795556505021"/>
      </top>
      <bottom/>
      <diagonal/>
    </border>
    <border>
      <left style="medium">
        <color rgb="FF184782"/>
      </left>
      <right style="medium">
        <color rgb="FF184782"/>
      </right>
      <top style="medium">
        <color theme="0" tint="-0.14996795556505021"/>
      </top>
      <bottom/>
      <diagonal/>
    </border>
    <border>
      <left style="medium">
        <color rgb="FF184782"/>
      </left>
      <right style="medium">
        <color rgb="FF184782"/>
      </right>
      <top style="thin">
        <color theme="0" tint="-0.14996795556505021"/>
      </top>
      <bottom/>
      <diagonal/>
    </border>
    <border>
      <left style="medium">
        <color rgb="FF184782"/>
      </left>
      <right style="medium">
        <color theme="0" tint="-0.14996795556505021"/>
      </right>
      <top style="medium">
        <color theme="0" tint="-0.14993743705557422"/>
      </top>
      <bottom/>
      <diagonal/>
    </border>
    <border>
      <left style="medium">
        <color theme="0" tint="-0.14996795556505021"/>
      </left>
      <right style="medium">
        <color theme="0" tint="-0.14996795556505021"/>
      </right>
      <top style="medium">
        <color theme="0" tint="-0.14993743705557422"/>
      </top>
      <bottom/>
      <diagonal/>
    </border>
    <border>
      <left style="medium">
        <color theme="0" tint="-0.14996795556505021"/>
      </left>
      <right style="medium">
        <color rgb="FF184782"/>
      </right>
      <top style="medium">
        <color theme="0" tint="-0.14993743705557422"/>
      </top>
      <bottom/>
      <diagonal/>
    </border>
    <border>
      <left style="medium">
        <color rgb="FF184782"/>
      </left>
      <right/>
      <top style="medium">
        <color rgb="FF184782"/>
      </top>
      <bottom style="medium">
        <color rgb="FF184782"/>
      </bottom>
      <diagonal/>
    </border>
    <border>
      <left/>
      <right/>
      <top style="medium">
        <color rgb="FF184782"/>
      </top>
      <bottom style="medium">
        <color rgb="FF184782"/>
      </bottom>
      <diagonal/>
    </border>
    <border>
      <left/>
      <right style="medium">
        <color theme="0" tint="-0.14996795556505021"/>
      </right>
      <top style="medium">
        <color rgb="FF184782"/>
      </top>
      <bottom style="medium">
        <color rgb="FF184782"/>
      </bottom>
      <diagonal/>
    </border>
    <border>
      <left style="medium">
        <color rgb="FF184782"/>
      </left>
      <right style="medium">
        <color theme="0" tint="-0.14996795556505021"/>
      </right>
      <top style="medium">
        <color rgb="FF184782"/>
      </top>
      <bottom style="medium">
        <color theme="0" tint="-0.14996795556505021"/>
      </bottom>
      <diagonal/>
    </border>
    <border>
      <left style="medium">
        <color theme="0" tint="-0.14996795556505021"/>
      </left>
      <right style="medium">
        <color rgb="FF184782"/>
      </right>
      <top style="medium">
        <color rgb="FF184782"/>
      </top>
      <bottom style="medium">
        <color theme="0" tint="-0.14996795556505021"/>
      </bottom>
      <diagonal/>
    </border>
    <border>
      <left style="medium">
        <color rgb="FF184782"/>
      </left>
      <right style="medium">
        <color theme="0" tint="-0.14996795556505021"/>
      </right>
      <top style="medium">
        <color theme="0" tint="-0.14996795556505021"/>
      </top>
      <bottom style="medium">
        <color rgb="FF184782"/>
      </bottom>
      <diagonal/>
    </border>
    <border>
      <left style="medium">
        <color theme="0" tint="-0.14996795556505021"/>
      </left>
      <right style="medium">
        <color rgb="FF184782"/>
      </right>
      <top style="medium">
        <color theme="0" tint="-0.14996795556505021"/>
      </top>
      <bottom style="medium">
        <color rgb="FF184782"/>
      </bottom>
      <diagonal/>
    </border>
    <border>
      <left style="medium">
        <color rgb="FF184782"/>
      </left>
      <right style="medium">
        <color theme="0" tint="-0.14996795556505021"/>
      </right>
      <top style="thin">
        <color theme="0" tint="-0.14993743705557422"/>
      </top>
      <bottom style="medium">
        <color theme="0" tint="-0.14993743705557422"/>
      </bottom>
      <diagonal/>
    </border>
    <border>
      <left/>
      <right style="medium">
        <color rgb="FF184782"/>
      </right>
      <top style="medium">
        <color theme="0" tint="-0.14996795556505021"/>
      </top>
      <bottom style="medium">
        <color rgb="FF184782"/>
      </bottom>
      <diagonal/>
    </border>
    <border>
      <left/>
      <right/>
      <top style="medium">
        <color theme="0" tint="-0.14996795556505021"/>
      </top>
      <bottom style="medium">
        <color rgb="FF184782"/>
      </bottom>
      <diagonal/>
    </border>
    <border>
      <left/>
      <right/>
      <top style="medium">
        <color theme="0" tint="-0.14996795556505021"/>
      </top>
      <bottom style="medium">
        <color theme="0" tint="-0.14996795556505021"/>
      </bottom>
      <diagonal/>
    </border>
    <border>
      <left/>
      <right style="medium">
        <color rgb="FF184782"/>
      </right>
      <top style="medium">
        <color theme="0" tint="-0.14996795556505021"/>
      </top>
      <bottom style="medium">
        <color theme="0" tint="-0.14996795556505021"/>
      </bottom>
      <diagonal/>
    </border>
    <border>
      <left/>
      <right/>
      <top style="medium">
        <color theme="0" tint="-0.14996795556505021"/>
      </top>
      <bottom/>
      <diagonal/>
    </border>
    <border>
      <left/>
      <right style="medium">
        <color rgb="FF184782"/>
      </right>
      <top style="medium">
        <color theme="0" tint="-0.14996795556505021"/>
      </top>
      <bottom/>
      <diagonal/>
    </border>
    <border>
      <left style="medium">
        <color rgb="FF184782"/>
      </left>
      <right/>
      <top style="medium">
        <color theme="0" tint="-0.14996795556505021"/>
      </top>
      <bottom style="medium">
        <color indexed="64"/>
      </bottom>
      <diagonal/>
    </border>
    <border>
      <left/>
      <right/>
      <top style="medium">
        <color theme="0" tint="-0.14996795556505021"/>
      </top>
      <bottom style="medium">
        <color indexed="64"/>
      </bottom>
      <diagonal/>
    </border>
    <border>
      <left/>
      <right style="medium">
        <color rgb="FF184782"/>
      </right>
      <top style="medium">
        <color theme="0" tint="-0.14996795556505021"/>
      </top>
      <bottom style="medium">
        <color indexed="64"/>
      </bottom>
      <diagonal/>
    </border>
    <border>
      <left style="medium">
        <color theme="0" tint="-0.14996795556505021"/>
      </left>
      <right style="medium">
        <color theme="0" tint="-0.14996795556505021"/>
      </right>
      <top/>
      <bottom style="medium">
        <color theme="0" tint="-0.14996795556505021"/>
      </bottom>
      <diagonal/>
    </border>
    <border>
      <left style="medium">
        <color rgb="FF184782"/>
      </left>
      <right style="medium">
        <color theme="0" tint="-0.14996795556505021"/>
      </right>
      <top style="thin">
        <color theme="0" tint="-0.14993743705557422"/>
      </top>
      <bottom/>
      <diagonal/>
    </border>
    <border>
      <left style="medium">
        <color rgb="FF184782"/>
      </left>
      <right style="medium">
        <color theme="0" tint="-0.14996795556505021"/>
      </right>
      <top style="medium">
        <color rgb="FF184782"/>
      </top>
      <bottom style="thin">
        <color theme="0" tint="-0.14993743705557422"/>
      </bottom>
      <diagonal/>
    </border>
    <border>
      <left style="medium">
        <color theme="0" tint="-0.14996795556505021"/>
      </left>
      <right style="medium">
        <color theme="0" tint="-0.14996795556505021"/>
      </right>
      <top style="medium">
        <color rgb="FF184782"/>
      </top>
      <bottom style="thin">
        <color theme="0" tint="-0.14993743705557422"/>
      </bottom>
      <diagonal/>
    </border>
    <border>
      <left style="medium">
        <color theme="0" tint="-0.14996795556505021"/>
      </left>
      <right style="medium">
        <color rgb="FF184782"/>
      </right>
      <top style="medium">
        <color rgb="FF184782"/>
      </top>
      <bottom style="thin">
        <color theme="0" tint="-0.14993743705557422"/>
      </bottom>
      <diagonal/>
    </border>
    <border>
      <left style="medium">
        <color theme="0" tint="-0.14996795556505021"/>
      </left>
      <right style="medium">
        <color theme="0" tint="-0.14993743705557422"/>
      </right>
      <top style="medium">
        <color theme="0" tint="-0.14996795556505021"/>
      </top>
      <bottom/>
      <diagonal/>
    </border>
    <border>
      <left style="medium">
        <color theme="0" tint="-0.14996795556505021"/>
      </left>
      <right style="medium">
        <color theme="0" tint="-0.14993743705557422"/>
      </right>
      <top style="medium">
        <color theme="0" tint="-0.14993743705557422"/>
      </top>
      <bottom/>
      <diagonal/>
    </border>
    <border>
      <left/>
      <right style="medium">
        <color rgb="FF184782"/>
      </right>
      <top style="medium">
        <color theme="0" tint="-0.14993743705557422"/>
      </top>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style="medium">
        <color rgb="FF184782"/>
      </left>
      <right style="medium">
        <color rgb="FF184782"/>
      </right>
      <top/>
      <bottom/>
      <diagonal/>
    </border>
    <border>
      <left style="medium">
        <color theme="0" tint="-0.14996795556505021"/>
      </left>
      <right style="medium">
        <color theme="0" tint="-0.14996795556505021"/>
      </right>
      <top/>
      <bottom style="thin">
        <color theme="0" tint="-0.14996795556505021"/>
      </bottom>
      <diagonal/>
    </border>
    <border>
      <left style="medium">
        <color rgb="FF184782"/>
      </left>
      <right style="medium">
        <color rgb="FF184782"/>
      </right>
      <top/>
      <bottom style="thin">
        <color theme="0" tint="-0.14996795556505021"/>
      </bottom>
      <diagonal/>
    </border>
    <border>
      <left style="medium">
        <color theme="0" tint="-0.14996795556505021"/>
      </left>
      <right/>
      <top/>
      <bottom style="thin">
        <color theme="0" tint="-0.14996795556505021"/>
      </bottom>
      <diagonal/>
    </border>
    <border>
      <left style="medium">
        <color theme="0" tint="-0.14996795556505021"/>
      </left>
      <right/>
      <top/>
      <bottom style="medium">
        <color theme="0" tint="-0.14996795556505021"/>
      </bottom>
      <diagonal/>
    </border>
    <border>
      <left style="medium">
        <color rgb="FF184782"/>
      </left>
      <right style="medium">
        <color rgb="FF184782"/>
      </right>
      <top/>
      <bottom style="medium">
        <color theme="0" tint="-0.14996795556505021"/>
      </bottom>
      <diagonal/>
    </border>
    <border>
      <left style="medium">
        <color theme="0" tint="-0.14996795556505021"/>
      </left>
      <right style="medium">
        <color theme="0" tint="-0.14993743705557422"/>
      </right>
      <top style="medium">
        <color theme="0" tint="-0.14996795556505021"/>
      </top>
      <bottom style="medium">
        <color theme="0" tint="-0.14996795556505021"/>
      </bottom>
      <diagonal/>
    </border>
    <border>
      <left style="medium">
        <color rgb="FF184782"/>
      </left>
      <right style="medium">
        <color theme="0" tint="-0.14996795556505021"/>
      </right>
      <top style="medium">
        <color theme="0" tint="-0.14996795556505021"/>
      </top>
      <bottom style="medium">
        <color theme="0" tint="-0.14993743705557422"/>
      </bottom>
      <diagonal/>
    </border>
    <border>
      <left style="medium">
        <color theme="0" tint="-0.14996795556505021"/>
      </left>
      <right style="medium">
        <color theme="0" tint="-0.14996795556505021"/>
      </right>
      <top style="medium">
        <color theme="0" tint="-0.14996795556505021"/>
      </top>
      <bottom style="medium">
        <color theme="0" tint="-0.14993743705557422"/>
      </bottom>
      <diagonal/>
    </border>
    <border>
      <left style="medium">
        <color theme="0" tint="-0.14996795556505021"/>
      </left>
      <right style="medium">
        <color theme="0" tint="-0.14993743705557422"/>
      </right>
      <top style="medium">
        <color theme="0" tint="-0.14996795556505021"/>
      </top>
      <bottom style="medium">
        <color theme="0" tint="-0.14993743705557422"/>
      </bottom>
      <diagonal/>
    </border>
    <border>
      <left/>
      <right style="medium">
        <color rgb="FF184782"/>
      </right>
      <top style="medium">
        <color theme="0" tint="-0.14996795556505021"/>
      </top>
      <bottom style="medium">
        <color theme="0" tint="-0.14993743705557422"/>
      </bottom>
      <diagonal/>
    </border>
    <border>
      <left style="medium">
        <color theme="0" tint="-0.14996795556505021"/>
      </left>
      <right/>
      <top style="thin">
        <color theme="0" tint="-0.14996795556505021"/>
      </top>
      <bottom style="medium">
        <color rgb="FF184782"/>
      </bottom>
      <diagonal/>
    </border>
    <border>
      <left style="medium">
        <color rgb="FF184782"/>
      </left>
      <right style="medium">
        <color rgb="FF184782"/>
      </right>
      <top style="thin">
        <color theme="0" tint="-0.14996795556505021"/>
      </top>
      <bottom style="medium">
        <color rgb="FF184782"/>
      </bottom>
      <diagonal/>
    </border>
    <border>
      <left/>
      <right style="medium">
        <color rgb="FF184782"/>
      </right>
      <top style="medium">
        <color rgb="FF184782"/>
      </top>
      <bottom/>
      <diagonal/>
    </border>
    <border>
      <left/>
      <right/>
      <top/>
      <bottom style="medium">
        <color rgb="FF184782"/>
      </bottom>
      <diagonal/>
    </border>
    <border>
      <left/>
      <right style="medium">
        <color rgb="FF184782"/>
      </right>
      <top/>
      <bottom style="medium">
        <color rgb="FF184782"/>
      </bottom>
      <diagonal/>
    </border>
    <border>
      <left style="medium">
        <color rgb="FF184782"/>
      </left>
      <right/>
      <top style="medium">
        <color theme="0" tint="-0.14996795556505021"/>
      </top>
      <bottom style="medium">
        <color rgb="FF184782"/>
      </bottom>
      <diagonal/>
    </border>
    <border>
      <left style="medium">
        <color rgb="FF184782"/>
      </left>
      <right/>
      <top style="medium">
        <color theme="0" tint="-0.14996795556505021"/>
      </top>
      <bottom style="medium">
        <color theme="0" tint="-0.14996795556505021"/>
      </bottom>
      <diagonal/>
    </border>
    <border>
      <left style="medium">
        <color theme="0" tint="-0.14996795556505021"/>
      </left>
      <right style="medium">
        <color rgb="FF184782"/>
      </right>
      <top/>
      <bottom style="medium">
        <color theme="0" tint="-0.14996795556505021"/>
      </bottom>
      <diagonal/>
    </border>
    <border>
      <left/>
      <right/>
      <top style="medium">
        <color rgb="FF184782"/>
      </top>
      <bottom style="medium">
        <color theme="0" tint="-0.14996795556505021"/>
      </bottom>
      <diagonal/>
    </border>
    <border>
      <left/>
      <right style="medium">
        <color theme="0" tint="-0.14996795556505021"/>
      </right>
      <top style="medium">
        <color rgb="FF184782"/>
      </top>
      <bottom style="medium">
        <color theme="0" tint="-0.14996795556505021"/>
      </bottom>
      <diagonal/>
    </border>
    <border>
      <left/>
      <right style="medium">
        <color rgb="FF184782"/>
      </right>
      <top style="medium">
        <color rgb="FF184782"/>
      </top>
      <bottom style="medium">
        <color theme="0" tint="-0.14996795556505021"/>
      </bottom>
      <diagonal/>
    </border>
    <border>
      <left style="medium">
        <color rgb="FF184782"/>
      </left>
      <right/>
      <top style="medium">
        <color theme="0" tint="-0.14996795556505021"/>
      </top>
      <bottom/>
      <diagonal/>
    </border>
    <border>
      <left/>
      <right style="medium">
        <color rgb="FF184782"/>
      </right>
      <top/>
      <bottom/>
      <diagonal/>
    </border>
    <border>
      <left style="medium">
        <color rgb="FF184782"/>
      </left>
      <right/>
      <top style="medium">
        <color rgb="FF184782"/>
      </top>
      <bottom style="medium">
        <color theme="0" tint="-0.14996795556505021"/>
      </bottom>
      <diagonal/>
    </border>
    <border>
      <left style="medium">
        <color theme="0" tint="-0.14996795556505021"/>
      </left>
      <right style="medium">
        <color rgb="FF184782"/>
      </right>
      <top/>
      <bottom/>
      <diagonal/>
    </border>
    <border>
      <left style="medium">
        <color rgb="FF184782"/>
      </left>
      <right style="medium">
        <color theme="0" tint="-0.14996795556505021"/>
      </right>
      <top/>
      <bottom style="thin">
        <color theme="0" tint="-0.14996795556505021"/>
      </bottom>
      <diagonal/>
    </border>
    <border>
      <left style="medium">
        <color rgb="FF184782"/>
      </left>
      <right style="medium">
        <color theme="0" tint="-0.14996795556505021"/>
      </right>
      <top style="medium">
        <color rgb="FF184782"/>
      </top>
      <bottom/>
      <diagonal/>
    </border>
    <border>
      <left style="medium">
        <color indexed="64"/>
      </left>
      <right style="medium">
        <color indexed="64"/>
      </right>
      <top style="medium">
        <color indexed="64"/>
      </top>
      <bottom style="medium">
        <color indexed="64"/>
      </bottom>
      <diagonal/>
    </border>
    <border>
      <left style="medium">
        <color rgb="FF184782"/>
      </left>
      <right style="medium">
        <color theme="0" tint="-0.14996795556505021"/>
      </right>
      <top style="medium">
        <color theme="0" tint="-0.14993743705557422"/>
      </top>
      <bottom style="medium">
        <color theme="0" tint="-0.14993743705557422"/>
      </bottom>
      <diagonal/>
    </border>
    <border>
      <left style="medium">
        <color theme="0" tint="-0.14996795556505021"/>
      </left>
      <right style="medium">
        <color theme="0" tint="-0.14996795556505021"/>
      </right>
      <top style="medium">
        <color theme="0" tint="-0.14993743705557422"/>
      </top>
      <bottom style="medium">
        <color theme="0" tint="-0.14993743705557422"/>
      </bottom>
      <diagonal/>
    </border>
    <border>
      <left style="medium">
        <color theme="0" tint="-0.14996795556505021"/>
      </left>
      <right style="medium">
        <color theme="0" tint="-0.14993743705557422"/>
      </right>
      <top style="medium">
        <color theme="0" tint="-0.14993743705557422"/>
      </top>
      <bottom style="medium">
        <color theme="0" tint="-0.14993743705557422"/>
      </bottom>
      <diagonal/>
    </border>
    <border>
      <left/>
      <right style="medium">
        <color rgb="FF184782"/>
      </right>
      <top style="medium">
        <color theme="0" tint="-0.14993743705557422"/>
      </top>
      <bottom style="medium">
        <color theme="0" tint="-0.14993743705557422"/>
      </bottom>
      <diagonal/>
    </border>
    <border>
      <left style="medium">
        <color theme="0" tint="-0.14996795556505021"/>
      </left>
      <right style="medium">
        <color theme="0" tint="-0.14996795556505021"/>
      </right>
      <top style="thin">
        <color theme="0" tint="-0.14996795556505021"/>
      </top>
      <bottom style="thin">
        <color theme="0" tint="-0.14993743705557422"/>
      </bottom>
      <diagonal/>
    </border>
    <border>
      <left style="medium">
        <color theme="0" tint="-0.14996795556505021"/>
      </left>
      <right/>
      <top style="thin">
        <color theme="0" tint="-0.14996795556505021"/>
      </top>
      <bottom style="thin">
        <color theme="0" tint="-0.14993743705557422"/>
      </bottom>
      <diagonal/>
    </border>
    <border>
      <left style="medium">
        <color theme="0" tint="-0.14996795556505021"/>
      </left>
      <right/>
      <top style="thin">
        <color theme="0" tint="-0.14993743705557422"/>
      </top>
      <bottom style="thin">
        <color theme="0" tint="-0.14993743705557422"/>
      </bottom>
      <diagonal/>
    </border>
    <border>
      <left style="medium">
        <color rgb="FF184782"/>
      </left>
      <right style="medium">
        <color rgb="FF184782"/>
      </right>
      <top style="thin">
        <color theme="0" tint="-0.14996795556505021"/>
      </top>
      <bottom style="thin">
        <color theme="0" tint="-0.14993743705557422"/>
      </bottom>
      <diagonal/>
    </border>
    <border>
      <left style="medium">
        <color theme="0" tint="-0.14996795556505021"/>
      </left>
      <right/>
      <top style="thin">
        <color theme="0" tint="-0.14993743705557422"/>
      </top>
      <bottom/>
      <diagonal/>
    </border>
    <border>
      <left style="medium">
        <color rgb="FF184782"/>
      </left>
      <right style="medium">
        <color theme="0" tint="-0.14996795556505021"/>
      </right>
      <top/>
      <bottom style="medium">
        <color theme="0" tint="-0.14996795556505021"/>
      </bottom>
      <diagonal/>
    </border>
    <border>
      <left style="medium">
        <color theme="0" tint="-0.14996795556505021"/>
      </left>
      <right style="medium">
        <color theme="0" tint="-0.14993743705557422"/>
      </right>
      <top/>
      <bottom style="medium">
        <color theme="0" tint="-0.14996795556505021"/>
      </bottom>
      <diagonal/>
    </border>
    <border>
      <left/>
      <right style="medium">
        <color rgb="FF184782"/>
      </right>
      <top/>
      <bottom style="medium">
        <color theme="0" tint="-0.14996795556505021"/>
      </bottom>
      <diagonal/>
    </border>
    <border>
      <left/>
      <right style="thin">
        <color indexed="64"/>
      </right>
      <top style="thin">
        <color indexed="64"/>
      </top>
      <bottom style="medium">
        <color indexed="64"/>
      </bottom>
      <diagonal/>
    </border>
    <border>
      <left style="medium">
        <color theme="0" tint="-0.14996795556505021"/>
      </left>
      <right style="medium">
        <color rgb="FF184782"/>
      </right>
      <top style="medium">
        <color theme="0" tint="-0.14993743705557422"/>
      </top>
      <bottom style="medium">
        <color theme="0" tint="-0.14993743705557422"/>
      </bottom>
      <diagonal/>
    </border>
    <border>
      <left style="medium">
        <color theme="0" tint="-0.14996795556505021"/>
      </left>
      <right style="medium">
        <color rgb="FF184782"/>
      </right>
      <top style="medium">
        <color theme="0" tint="-0.14996795556505021"/>
      </top>
      <bottom style="medium">
        <color theme="0" tint="-0.14993743705557422"/>
      </bottom>
      <diagonal/>
    </border>
    <border>
      <left style="medium">
        <color theme="0" tint="-0.14993743705557422"/>
      </left>
      <right style="medium">
        <color theme="0" tint="-0.14993743705557422"/>
      </right>
      <top style="medium">
        <color theme="0" tint="-0.14993743705557422"/>
      </top>
      <bottom style="medium">
        <color theme="0" tint="-0.14993743705557422"/>
      </bottom>
      <diagonal/>
    </border>
    <border>
      <left style="medium">
        <color rgb="FF184782"/>
      </left>
      <right style="medium">
        <color theme="0" tint="-0.14993743705557422"/>
      </right>
      <top style="medium">
        <color theme="0" tint="-0.14993743705557422"/>
      </top>
      <bottom style="medium">
        <color theme="0" tint="-0.14993743705557422"/>
      </bottom>
      <diagonal/>
    </border>
    <border>
      <left style="medium">
        <color theme="0" tint="-0.14993743705557422"/>
      </left>
      <right style="medium">
        <color rgb="FF184782"/>
      </right>
      <top style="medium">
        <color theme="0" tint="-0.14993743705557422"/>
      </top>
      <bottom style="medium">
        <color theme="0" tint="-0.14993743705557422"/>
      </bottom>
      <diagonal/>
    </border>
    <border>
      <left style="medium">
        <color rgb="FF184782"/>
      </left>
      <right style="medium">
        <color theme="0" tint="-0.14993743705557422"/>
      </right>
      <top style="medium">
        <color theme="0" tint="-0.14996795556505021"/>
      </top>
      <bottom style="medium">
        <color theme="0" tint="-0.14996795556505021"/>
      </bottom>
      <diagonal/>
    </border>
    <border>
      <left style="medium">
        <color theme="0" tint="-0.14993743705557422"/>
      </left>
      <right style="medium">
        <color theme="0" tint="-0.14993743705557422"/>
      </right>
      <top style="medium">
        <color theme="0" tint="-0.14996795556505021"/>
      </top>
      <bottom style="medium">
        <color theme="0" tint="-0.14996795556505021"/>
      </bottom>
      <diagonal/>
    </border>
    <border>
      <left style="medium">
        <color theme="0" tint="-0.14993743705557422"/>
      </left>
      <right style="medium">
        <color rgb="FF184782"/>
      </right>
      <top style="medium">
        <color theme="0" tint="-0.14996795556505021"/>
      </top>
      <bottom style="medium">
        <color theme="0" tint="-0.14996795556505021"/>
      </bottom>
      <diagonal/>
    </border>
    <border>
      <left style="medium">
        <color rgb="FF184782"/>
      </left>
      <right style="medium">
        <color theme="0" tint="-0.14993743705557422"/>
      </right>
      <top style="medium">
        <color theme="0" tint="-0.14993743705557422"/>
      </top>
      <bottom/>
      <diagonal/>
    </border>
    <border>
      <left style="medium">
        <color theme="0" tint="-0.14993743705557422"/>
      </left>
      <right style="medium">
        <color theme="0" tint="-0.14993743705557422"/>
      </right>
      <top style="medium">
        <color theme="0" tint="-0.14993743705557422"/>
      </top>
      <bottom/>
      <diagonal/>
    </border>
    <border>
      <left style="medium">
        <color theme="0" tint="-0.14993743705557422"/>
      </left>
      <right style="medium">
        <color rgb="FF184782"/>
      </right>
      <top style="medium">
        <color theme="0" tint="-0.14993743705557422"/>
      </top>
      <bottom/>
      <diagonal/>
    </border>
    <border>
      <left style="medium">
        <color rgb="FF184782"/>
      </left>
      <right style="medium">
        <color theme="0" tint="-0.14993743705557422"/>
      </right>
      <top style="medium">
        <color theme="0" tint="-0.14996795556505021"/>
      </top>
      <bottom/>
      <diagonal/>
    </border>
    <border>
      <left style="medium">
        <color theme="0" tint="-0.14993743705557422"/>
      </left>
      <right style="medium">
        <color theme="0" tint="-0.14993743705557422"/>
      </right>
      <top style="medium">
        <color theme="0" tint="-0.14996795556505021"/>
      </top>
      <bottom/>
      <diagonal/>
    </border>
    <border>
      <left style="medium">
        <color theme="0" tint="-0.14993743705557422"/>
      </left>
      <right style="medium">
        <color rgb="FF184782"/>
      </right>
      <top style="medium">
        <color theme="0" tint="-0.14996795556505021"/>
      </top>
      <bottom/>
      <diagonal/>
    </border>
    <border>
      <left style="medium">
        <color indexed="64"/>
      </left>
      <right/>
      <top/>
      <bottom style="thin">
        <color indexed="64"/>
      </bottom>
      <diagonal/>
    </border>
    <border>
      <left style="medium">
        <color theme="0" tint="-0.14993743705557422"/>
      </left>
      <right/>
      <top style="medium">
        <color theme="0" tint="-0.14996795556505021"/>
      </top>
      <bottom style="medium">
        <color theme="0"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bottom/>
      <diagonal/>
    </border>
    <border>
      <left style="medium">
        <color rgb="FF184782"/>
      </left>
      <right style="medium">
        <color theme="0" tint="-0.14996795556505021"/>
      </right>
      <top style="thin">
        <color theme="0" tint="-0.24994659260841701"/>
      </top>
      <bottom/>
      <diagonal/>
    </border>
    <border>
      <left style="medium">
        <color theme="0" tint="-0.14996795556505021"/>
      </left>
      <right style="medium">
        <color theme="0" tint="-0.14996795556505021"/>
      </right>
      <top style="thin">
        <color theme="0" tint="-0.24994659260841701"/>
      </top>
      <bottom/>
      <diagonal/>
    </border>
    <border>
      <left style="medium">
        <color theme="0" tint="-0.14996795556505021"/>
      </left>
      <right/>
      <top style="thin">
        <color theme="0" tint="-0.24994659260841701"/>
      </top>
      <bottom/>
      <diagonal/>
    </border>
  </borders>
  <cellStyleXfs count="48">
    <xf numFmtId="0" fontId="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26" fillId="0" borderId="0" applyNumberFormat="0" applyFill="0" applyBorder="0" applyAlignment="0" applyProtection="0"/>
    <xf numFmtId="0" fontId="127" fillId="0" borderId="207" applyNumberFormat="0" applyFill="0" applyAlignment="0" applyProtection="0"/>
    <xf numFmtId="0" fontId="128" fillId="0" borderId="208" applyNumberFormat="0" applyFill="0" applyAlignment="0" applyProtection="0"/>
    <xf numFmtId="0" fontId="129" fillId="0" borderId="209" applyNumberFormat="0" applyFill="0" applyAlignment="0" applyProtection="0"/>
    <xf numFmtId="0" fontId="129" fillId="0" borderId="0" applyNumberFormat="0" applyFill="0" applyBorder="0" applyAlignment="0" applyProtection="0"/>
    <xf numFmtId="0" fontId="130" fillId="47" borderId="0" applyNumberFormat="0" applyBorder="0" applyAlignment="0" applyProtection="0"/>
    <xf numFmtId="0" fontId="131" fillId="48" borderId="0" applyNumberFormat="0" applyBorder="0" applyAlignment="0" applyProtection="0"/>
    <xf numFmtId="0" fontId="132" fillId="49" borderId="0" applyNumberFormat="0" applyBorder="0" applyAlignment="0" applyProtection="0"/>
    <xf numFmtId="0" fontId="133" fillId="50" borderId="210" applyNumberFormat="0" applyAlignment="0" applyProtection="0"/>
    <xf numFmtId="0" fontId="134" fillId="51" borderId="211" applyNumberFormat="0" applyAlignment="0" applyProtection="0"/>
    <xf numFmtId="0" fontId="135" fillId="51" borderId="210" applyNumberFormat="0" applyAlignment="0" applyProtection="0"/>
    <xf numFmtId="0" fontId="136" fillId="0" borderId="212" applyNumberFormat="0" applyFill="0" applyAlignment="0" applyProtection="0"/>
    <xf numFmtId="0" fontId="137" fillId="52" borderId="213" applyNumberFormat="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40" fillId="0" borderId="215" applyNumberFormat="0" applyFill="0" applyAlignment="0" applyProtection="0"/>
    <xf numFmtId="0" fontId="14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4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4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4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4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4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0" borderId="0"/>
    <xf numFmtId="0" fontId="1" fillId="53" borderId="214" applyNumberFormat="0" applyFont="0" applyAlignment="0" applyProtection="0"/>
  </cellStyleXfs>
  <cellXfs count="1612">
    <xf numFmtId="0" fontId="0" fillId="0" borderId="0" xfId="0"/>
    <xf numFmtId="0" fontId="2" fillId="0" borderId="0" xfId="0" applyFont="1"/>
    <xf numFmtId="0" fontId="3" fillId="0" borderId="0" xfId="0" applyFont="1"/>
    <xf numFmtId="2" fontId="2" fillId="0" borderId="0" xfId="0" applyNumberFormat="1" applyFont="1"/>
    <xf numFmtId="0" fontId="4" fillId="0" borderId="0" xfId="0" applyFont="1"/>
    <xf numFmtId="0" fontId="5" fillId="0" borderId="0" xfId="0" applyFont="1"/>
    <xf numFmtId="0" fontId="6" fillId="0" borderId="0" xfId="0" applyFont="1"/>
    <xf numFmtId="0" fontId="7" fillId="0" borderId="0" xfId="0" applyFont="1"/>
    <xf numFmtId="0" fontId="3" fillId="0" borderId="1" xfId="0" applyFont="1" applyBorder="1" applyAlignment="1">
      <alignment horizontal="centerContinuous" wrapText="1"/>
    </xf>
    <xf numFmtId="0" fontId="3" fillId="0" borderId="1" xfId="0" applyFont="1" applyBorder="1" applyAlignment="1">
      <alignment horizontal="centerContinuous"/>
    </xf>
    <xf numFmtId="0" fontId="3" fillId="0" borderId="1" xfId="0" applyFont="1" applyBorder="1" applyAlignment="1">
      <alignment horizontal="center" wrapText="1"/>
    </xf>
    <xf numFmtId="0" fontId="8" fillId="0" borderId="1" xfId="0" applyFont="1" applyBorder="1" applyAlignment="1">
      <alignment horizontal="centerContinuous" wrapText="1"/>
    </xf>
    <xf numFmtId="0" fontId="8" fillId="0" borderId="1" xfId="0" applyFont="1" applyBorder="1" applyAlignment="1">
      <alignment horizontal="center" wrapText="1"/>
    </xf>
    <xf numFmtId="0" fontId="0" fillId="0" borderId="1" xfId="0" applyBorder="1"/>
    <xf numFmtId="0" fontId="0" fillId="0" borderId="0" xfId="0" applyAlignment="1">
      <alignment horizontal="right"/>
    </xf>
    <xf numFmtId="17" fontId="6" fillId="0" borderId="0" xfId="0" applyNumberFormat="1" applyFont="1"/>
    <xf numFmtId="17" fontId="5" fillId="0" borderId="1" xfId="0" applyNumberFormat="1" applyFont="1" applyBorder="1"/>
    <xf numFmtId="2" fontId="5" fillId="0" borderId="1" xfId="0" applyNumberFormat="1" applyFont="1" applyBorder="1" applyAlignment="1">
      <alignment horizontal="center"/>
    </xf>
    <xf numFmtId="49" fontId="5" fillId="0" borderId="1" xfId="0" applyNumberFormat="1" applyFont="1" applyBorder="1" applyAlignment="1">
      <alignment horizontal="right"/>
    </xf>
    <xf numFmtId="2" fontId="5" fillId="0" borderId="0" xfId="0" applyNumberFormat="1" applyFont="1"/>
    <xf numFmtId="17" fontId="5" fillId="0" borderId="0" xfId="0" applyNumberFormat="1" applyFont="1"/>
    <xf numFmtId="2" fontId="5" fillId="0" borderId="0" xfId="0" applyNumberFormat="1" applyFont="1" applyAlignment="1">
      <alignment horizontal="center"/>
    </xf>
    <xf numFmtId="2" fontId="5" fillId="0" borderId="2" xfId="0" applyNumberFormat="1" applyFont="1" applyBorder="1" applyAlignment="1">
      <alignment horizontal="center"/>
    </xf>
    <xf numFmtId="0" fontId="5" fillId="0" borderId="1" xfId="0" applyFont="1" applyBorder="1" applyAlignment="1">
      <alignment horizontal="center"/>
    </xf>
    <xf numFmtId="4" fontId="5" fillId="0" borderId="1" xfId="0" applyNumberFormat="1" applyFont="1" applyBorder="1" applyAlignment="1">
      <alignment horizontal="center"/>
    </xf>
    <xf numFmtId="2" fontId="5" fillId="0" borderId="1" xfId="0" applyNumberFormat="1" applyFont="1" applyBorder="1"/>
    <xf numFmtId="17" fontId="5" fillId="0" borderId="1" xfId="0" applyNumberFormat="1" applyFont="1" applyBorder="1" applyAlignment="1">
      <alignment horizontal="right"/>
    </xf>
    <xf numFmtId="4" fontId="5" fillId="0" borderId="2" xfId="0" applyNumberFormat="1" applyFont="1" applyBorder="1" applyAlignment="1">
      <alignment horizontal="center"/>
    </xf>
    <xf numFmtId="17" fontId="5" fillId="0" borderId="2" xfId="0" applyNumberFormat="1" applyFont="1" applyBorder="1"/>
    <xf numFmtId="0" fontId="5" fillId="0" borderId="1" xfId="0" applyFont="1" applyBorder="1"/>
    <xf numFmtId="0" fontId="5" fillId="0" borderId="1" xfId="0" applyFont="1" applyBorder="1" applyAlignment="1">
      <alignment horizontal="right"/>
    </xf>
    <xf numFmtId="2" fontId="5" fillId="0" borderId="2" xfId="0" applyNumberFormat="1" applyFont="1" applyBorder="1"/>
    <xf numFmtId="4" fontId="5" fillId="0" borderId="0" xfId="0" applyNumberFormat="1" applyFont="1" applyAlignment="1">
      <alignment horizontal="center"/>
    </xf>
    <xf numFmtId="0" fontId="5" fillId="0" borderId="0" xfId="0" applyFont="1" applyAlignment="1">
      <alignment horizontal="center"/>
    </xf>
    <xf numFmtId="166" fontId="0" fillId="0" borderId="0" xfId="0" applyNumberFormat="1"/>
    <xf numFmtId="49" fontId="2" fillId="0" borderId="1" xfId="0" applyNumberFormat="1" applyFont="1" applyBorder="1" applyAlignment="1">
      <alignment horizontal="right"/>
    </xf>
    <xf numFmtId="49" fontId="5" fillId="0" borderId="2" xfId="0" applyNumberFormat="1" applyFont="1" applyBorder="1" applyAlignment="1">
      <alignment horizontal="right"/>
    </xf>
    <xf numFmtId="0" fontId="5" fillId="0" borderId="2" xfId="0" applyFont="1" applyBorder="1" applyAlignment="1">
      <alignment horizontal="center"/>
    </xf>
    <xf numFmtId="17" fontId="2" fillId="0" borderId="1" xfId="0" applyNumberFormat="1" applyFont="1" applyBorder="1"/>
    <xf numFmtId="166" fontId="5" fillId="0" borderId="1" xfId="0" applyNumberFormat="1" applyFont="1" applyBorder="1" applyAlignment="1">
      <alignment horizontal="center"/>
    </xf>
    <xf numFmtId="2" fontId="5" fillId="0" borderId="3" xfId="0" applyNumberFormat="1" applyFont="1" applyBorder="1"/>
    <xf numFmtId="0" fontId="5" fillId="0" borderId="3" xfId="0" applyFont="1" applyBorder="1"/>
    <xf numFmtId="0" fontId="3" fillId="0" borderId="1" xfId="0" applyFont="1" applyBorder="1" applyAlignment="1">
      <alignment horizontal="left" wrapText="1"/>
    </xf>
    <xf numFmtId="0" fontId="8" fillId="0" borderId="1" xfId="0" applyFont="1" applyBorder="1" applyAlignment="1">
      <alignment horizontal="centerContinuous"/>
    </xf>
    <xf numFmtId="0" fontId="3" fillId="2" borderId="1" xfId="0" applyFont="1" applyFill="1" applyBorder="1"/>
    <xf numFmtId="0" fontId="3" fillId="2" borderId="3" xfId="0" applyFont="1" applyFill="1" applyBorder="1"/>
    <xf numFmtId="0" fontId="3" fillId="2" borderId="4" xfId="0" applyFont="1" applyFill="1" applyBorder="1"/>
    <xf numFmtId="2" fontId="5" fillId="2" borderId="1" xfId="0" applyNumberFormat="1" applyFont="1" applyFill="1" applyBorder="1" applyAlignment="1">
      <alignment horizontal="left"/>
    </xf>
    <xf numFmtId="2" fontId="5" fillId="2" borderId="1" xfId="0" applyNumberFormat="1" applyFont="1" applyFill="1" applyBorder="1" applyAlignment="1">
      <alignment horizontal="center"/>
    </xf>
    <xf numFmtId="17" fontId="2" fillId="0" borderId="2" xfId="0" applyNumberFormat="1" applyFont="1" applyBorder="1"/>
    <xf numFmtId="166" fontId="5" fillId="0" borderId="2" xfId="0" applyNumberFormat="1" applyFont="1" applyBorder="1" applyAlignment="1">
      <alignment horizontal="center"/>
    </xf>
    <xf numFmtId="17" fontId="2" fillId="0" borderId="0" xfId="0" applyNumberFormat="1" applyFont="1"/>
    <xf numFmtId="166" fontId="5" fillId="0" borderId="0" xfId="0" applyNumberFormat="1" applyFont="1" applyAlignment="1">
      <alignment horizontal="center"/>
    </xf>
    <xf numFmtId="17" fontId="0" fillId="0" borderId="0" xfId="0" applyNumberFormat="1"/>
    <xf numFmtId="17" fontId="2" fillId="2" borderId="1" xfId="0" applyNumberFormat="1" applyFont="1" applyFill="1" applyBorder="1"/>
    <xf numFmtId="166" fontId="5" fillId="2" borderId="1" xfId="0" applyNumberFormat="1" applyFont="1" applyFill="1" applyBorder="1" applyAlignment="1">
      <alignment horizontal="center"/>
    </xf>
    <xf numFmtId="0" fontId="2" fillId="2" borderId="1" xfId="0" applyFont="1" applyFill="1" applyBorder="1"/>
    <xf numFmtId="17" fontId="5" fillId="2" borderId="1" xfId="0" applyNumberFormat="1" applyFont="1" applyFill="1" applyBorder="1"/>
    <xf numFmtId="0" fontId="5" fillId="2" borderId="1" xfId="0" applyFont="1" applyFill="1" applyBorder="1"/>
    <xf numFmtId="0" fontId="2" fillId="0" borderId="1" xfId="0" applyFont="1" applyBorder="1"/>
    <xf numFmtId="0" fontId="5" fillId="2" borderId="3" xfId="0" applyFont="1" applyFill="1" applyBorder="1"/>
    <xf numFmtId="2" fontId="5" fillId="2" borderId="3" xfId="0" applyNumberFormat="1" applyFont="1" applyFill="1" applyBorder="1" applyAlignment="1">
      <alignment horizontal="center"/>
    </xf>
    <xf numFmtId="4" fontId="2" fillId="0" borderId="0" xfId="0" applyNumberFormat="1" applyFont="1"/>
    <xf numFmtId="0" fontId="9" fillId="0" borderId="0" xfId="0" applyFont="1"/>
    <xf numFmtId="165" fontId="11"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0" fontId="11" fillId="0" borderId="0" xfId="0" applyFont="1"/>
    <xf numFmtId="17" fontId="11" fillId="0" borderId="0" xfId="0" applyNumberFormat="1" applyFont="1"/>
    <xf numFmtId="4" fontId="0" fillId="0" borderId="0" xfId="0" applyNumberFormat="1"/>
    <xf numFmtId="0" fontId="13" fillId="0" borderId="1" xfId="0" applyFont="1" applyBorder="1" applyAlignment="1">
      <alignment horizontal="center" vertical="center"/>
    </xf>
    <xf numFmtId="2" fontId="13" fillId="0" borderId="1" xfId="0" applyNumberFormat="1" applyFont="1" applyBorder="1" applyAlignment="1">
      <alignment horizontal="center" vertical="center"/>
    </xf>
    <xf numFmtId="0" fontId="14" fillId="0" borderId="1" xfId="0" applyFont="1" applyBorder="1" applyAlignment="1">
      <alignment horizontal="center" vertical="center"/>
    </xf>
    <xf numFmtId="0" fontId="13" fillId="0" borderId="0" xfId="0" applyFont="1" applyAlignment="1">
      <alignment vertical="center"/>
    </xf>
    <xf numFmtId="166" fontId="14" fillId="0" borderId="1" xfId="0" applyNumberFormat="1" applyFont="1" applyBorder="1" applyAlignment="1">
      <alignment horizontal="center" vertical="center"/>
    </xf>
    <xf numFmtId="0" fontId="15" fillId="0" borderId="0" xfId="0" applyFont="1" applyAlignment="1">
      <alignment vertical="center"/>
    </xf>
    <xf numFmtId="14" fontId="15" fillId="0" borderId="1" xfId="0" applyNumberFormat="1" applyFont="1" applyBorder="1" applyAlignment="1">
      <alignment horizontal="center" vertical="center"/>
    </xf>
    <xf numFmtId="2" fontId="15" fillId="0" borderId="1" xfId="0" applyNumberFormat="1" applyFont="1" applyBorder="1" applyAlignment="1">
      <alignment horizontal="center" vertical="center"/>
    </xf>
    <xf numFmtId="14" fontId="15" fillId="3" borderId="1" xfId="0" applyNumberFormat="1" applyFont="1" applyFill="1" applyBorder="1" applyAlignment="1">
      <alignment horizontal="center" vertical="center"/>
    </xf>
    <xf numFmtId="2" fontId="15" fillId="3" borderId="1" xfId="0" applyNumberFormat="1" applyFont="1" applyFill="1" applyBorder="1" applyAlignment="1">
      <alignment horizontal="center" vertical="center"/>
    </xf>
    <xf numFmtId="2" fontId="13" fillId="3" borderId="1" xfId="0" applyNumberFormat="1" applyFont="1" applyFill="1" applyBorder="1" applyAlignment="1">
      <alignment horizontal="center" vertical="center"/>
    </xf>
    <xf numFmtId="166" fontId="15" fillId="0" borderId="0" xfId="0" applyNumberFormat="1" applyFont="1" applyAlignment="1">
      <alignment vertical="center"/>
    </xf>
    <xf numFmtId="0" fontId="15" fillId="0" borderId="0" xfId="0" applyFont="1" applyAlignment="1">
      <alignment horizontal="center" vertical="center"/>
    </xf>
    <xf numFmtId="2" fontId="15" fillId="0" borderId="0" xfId="0" applyNumberFormat="1" applyFont="1" applyAlignment="1">
      <alignment horizontal="center" vertical="center"/>
    </xf>
    <xf numFmtId="2" fontId="14" fillId="0" borderId="1" xfId="0" applyNumberFormat="1" applyFont="1" applyBorder="1" applyAlignment="1">
      <alignment horizontal="center" vertical="center"/>
    </xf>
    <xf numFmtId="0" fontId="15" fillId="0" borderId="2" xfId="0" applyFont="1" applyBorder="1" applyAlignment="1">
      <alignment vertical="center"/>
    </xf>
    <xf numFmtId="2" fontId="15" fillId="0" borderId="0" xfId="0" applyNumberFormat="1" applyFont="1" applyAlignment="1">
      <alignment horizontal="right" vertical="center"/>
    </xf>
    <xf numFmtId="2" fontId="15" fillId="0" borderId="0" xfId="0" applyNumberFormat="1" applyFont="1" applyAlignment="1">
      <alignment vertical="center"/>
    </xf>
    <xf numFmtId="2" fontId="14" fillId="0" borderId="1" xfId="0" applyNumberFormat="1" applyFont="1" applyBorder="1" applyAlignment="1">
      <alignment horizontal="center" vertical="center" wrapText="1"/>
    </xf>
    <xf numFmtId="0" fontId="13" fillId="0" borderId="0" xfId="0" applyFont="1" applyAlignment="1">
      <alignment horizontal="center" vertical="center"/>
    </xf>
    <xf numFmtId="0" fontId="13" fillId="0" borderId="3" xfId="0" applyFont="1" applyBorder="1" applyAlignment="1">
      <alignment horizontal="left" vertical="center"/>
    </xf>
    <xf numFmtId="0" fontId="13" fillId="0" borderId="5" xfId="0" applyFont="1" applyBorder="1" applyAlignment="1">
      <alignment horizontal="center" vertical="center"/>
    </xf>
    <xf numFmtId="0" fontId="15" fillId="0" borderId="1"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vertical="center"/>
    </xf>
    <xf numFmtId="0" fontId="15" fillId="0" borderId="8" xfId="0" applyFont="1" applyBorder="1" applyAlignment="1">
      <alignment vertical="center"/>
    </xf>
    <xf numFmtId="0" fontId="15" fillId="0" borderId="5" xfId="0" applyFont="1" applyBorder="1" applyAlignment="1">
      <alignment vertical="center"/>
    </xf>
    <xf numFmtId="0" fontId="15" fillId="0" borderId="9" xfId="0" applyFont="1" applyBorder="1" applyAlignment="1">
      <alignment vertical="center"/>
    </xf>
    <xf numFmtId="0" fontId="15" fillId="0" borderId="10" xfId="0" applyFont="1" applyBorder="1" applyAlignment="1">
      <alignment vertical="center"/>
    </xf>
    <xf numFmtId="0" fontId="15" fillId="0" borderId="11" xfId="0" applyFont="1" applyBorder="1" applyAlignment="1">
      <alignment vertical="center"/>
    </xf>
    <xf numFmtId="0" fontId="15" fillId="0" borderId="12" xfId="0" applyFont="1" applyBorder="1" applyAlignment="1">
      <alignment vertical="center"/>
    </xf>
    <xf numFmtId="0" fontId="15" fillId="0" borderId="13" xfId="0" applyFont="1" applyBorder="1" applyAlignment="1">
      <alignment vertical="center"/>
    </xf>
    <xf numFmtId="2" fontId="15" fillId="0" borderId="1" xfId="0" applyNumberFormat="1" applyFont="1" applyBorder="1" applyAlignment="1">
      <alignment vertical="center"/>
    </xf>
    <xf numFmtId="14" fontId="15" fillId="0" borderId="0" xfId="0" applyNumberFormat="1" applyFont="1" applyAlignment="1">
      <alignment horizontal="center" vertical="center"/>
    </xf>
    <xf numFmtId="0" fontId="15" fillId="3" borderId="1" xfId="0" applyFont="1" applyFill="1" applyBorder="1" applyAlignment="1">
      <alignment horizontal="center" vertical="center"/>
    </xf>
    <xf numFmtId="0" fontId="13" fillId="0" borderId="0" xfId="0" applyFont="1" applyAlignment="1">
      <alignment horizontal="right" vertical="center"/>
    </xf>
    <xf numFmtId="0" fontId="14" fillId="0" borderId="0" xfId="0" applyFont="1" applyAlignment="1">
      <alignment horizontal="left" vertical="center"/>
    </xf>
    <xf numFmtId="2" fontId="13" fillId="0" borderId="0" xfId="0" applyNumberFormat="1" applyFont="1" applyAlignment="1">
      <alignment horizontal="right" vertical="center"/>
    </xf>
    <xf numFmtId="165" fontId="15" fillId="0" borderId="0" xfId="0" applyNumberFormat="1" applyFont="1" applyAlignment="1">
      <alignment horizontal="center" vertical="center"/>
    </xf>
    <xf numFmtId="165" fontId="15" fillId="0" borderId="0" xfId="0" applyNumberFormat="1" applyFont="1" applyAlignment="1">
      <alignment horizontal="right" vertical="center"/>
    </xf>
    <xf numFmtId="165" fontId="15" fillId="0" borderId="0" xfId="0" applyNumberFormat="1" applyFont="1" applyAlignment="1">
      <alignment vertical="center"/>
    </xf>
    <xf numFmtId="3" fontId="13" fillId="0" borderId="0" xfId="0" applyNumberFormat="1" applyFont="1" applyAlignment="1">
      <alignment horizontal="center" vertical="center"/>
    </xf>
    <xf numFmtId="0" fontId="13" fillId="0" borderId="0" xfId="0" applyFont="1" applyAlignment="1">
      <alignment horizontal="left" vertical="center"/>
    </xf>
    <xf numFmtId="2" fontId="13" fillId="0" borderId="0" xfId="0" applyNumberFormat="1" applyFont="1" applyAlignment="1">
      <alignment vertical="center"/>
    </xf>
    <xf numFmtId="17" fontId="15" fillId="0" borderId="0" xfId="0" applyNumberFormat="1" applyFont="1" applyAlignment="1">
      <alignment horizontal="center" vertical="center"/>
    </xf>
    <xf numFmtId="0" fontId="15" fillId="0" borderId="0" xfId="0" applyFont="1" applyAlignment="1">
      <alignment horizontal="center" vertical="center" wrapText="1"/>
    </xf>
    <xf numFmtId="4" fontId="15" fillId="0" borderId="0" xfId="0" applyNumberFormat="1" applyFont="1" applyAlignment="1">
      <alignment horizontal="center" vertical="center"/>
    </xf>
    <xf numFmtId="4" fontId="15" fillId="0" borderId="0" xfId="0" applyNumberFormat="1" applyFont="1" applyAlignment="1">
      <alignment vertical="center"/>
    </xf>
    <xf numFmtId="175" fontId="15" fillId="0" borderId="0" xfId="0" applyNumberFormat="1" applyFont="1" applyAlignment="1">
      <alignment vertical="center"/>
    </xf>
    <xf numFmtId="4" fontId="8" fillId="0" borderId="0" xfId="0" applyNumberFormat="1" applyFont="1" applyAlignment="1">
      <alignment horizontal="center" vertical="center"/>
    </xf>
    <xf numFmtId="0" fontId="8" fillId="0" borderId="0" xfId="0" applyFont="1" applyAlignment="1">
      <alignment vertical="center"/>
    </xf>
    <xf numFmtId="0" fontId="8" fillId="0" borderId="0" xfId="0" applyFont="1" applyAlignment="1">
      <alignment horizontal="left" vertical="center"/>
    </xf>
    <xf numFmtId="0" fontId="16" fillId="0" borderId="0" xfId="0" applyFont="1" applyAlignment="1">
      <alignment vertical="center"/>
    </xf>
    <xf numFmtId="4" fontId="8" fillId="0" borderId="0" xfId="0" applyNumberFormat="1" applyFont="1" applyAlignment="1">
      <alignment vertical="center"/>
    </xf>
    <xf numFmtId="2" fontId="8" fillId="0" borderId="0" xfId="0" applyNumberFormat="1" applyFont="1" applyAlignment="1">
      <alignment horizontal="center" vertical="center"/>
    </xf>
    <xf numFmtId="0" fontId="8" fillId="0" borderId="0" xfId="0" applyFont="1" applyAlignment="1">
      <alignment horizontal="center" vertical="center"/>
    </xf>
    <xf numFmtId="4" fontId="8" fillId="0" borderId="0" xfId="0" applyNumberFormat="1" applyFont="1" applyAlignment="1">
      <alignment horizontal="left" vertical="center"/>
    </xf>
    <xf numFmtId="0" fontId="17" fillId="0" borderId="1" xfId="0" applyFont="1" applyBorder="1" applyAlignment="1">
      <alignment vertical="center"/>
    </xf>
    <xf numFmtId="49" fontId="17" fillId="0" borderId="1" xfId="0" applyNumberFormat="1" applyFont="1" applyBorder="1" applyAlignment="1">
      <alignment horizontal="center" vertical="center"/>
    </xf>
    <xf numFmtId="0" fontId="17" fillId="0" borderId="1" xfId="0" applyFont="1" applyBorder="1" applyAlignment="1">
      <alignment horizontal="center" vertical="center"/>
    </xf>
    <xf numFmtId="4" fontId="17" fillId="0" borderId="1" xfId="0" applyNumberFormat="1" applyFont="1" applyBorder="1" applyAlignment="1">
      <alignment horizontal="center" vertical="center"/>
    </xf>
    <xf numFmtId="2" fontId="17" fillId="0" borderId="1" xfId="0" applyNumberFormat="1" applyFont="1" applyBorder="1" applyAlignment="1">
      <alignment horizontal="center" vertical="center"/>
    </xf>
    <xf numFmtId="166" fontId="8" fillId="0" borderId="0" xfId="0" applyNumberFormat="1" applyFont="1" applyAlignment="1">
      <alignment horizontal="center" vertical="center"/>
    </xf>
    <xf numFmtId="2" fontId="8" fillId="0" borderId="0" xfId="0" applyNumberFormat="1" applyFont="1" applyAlignment="1">
      <alignment vertical="center"/>
    </xf>
    <xf numFmtId="3" fontId="8" fillId="0" borderId="0" xfId="0" applyNumberFormat="1" applyFont="1" applyAlignment="1">
      <alignment horizontal="right" vertical="center"/>
    </xf>
    <xf numFmtId="2" fontId="17" fillId="0" borderId="1" xfId="0" applyNumberFormat="1" applyFont="1" applyBorder="1" applyAlignment="1">
      <alignment vertical="center"/>
    </xf>
    <xf numFmtId="165" fontId="8" fillId="0" borderId="0" xfId="0" applyNumberFormat="1" applyFont="1" applyAlignment="1">
      <alignment horizontal="center" vertical="center"/>
    </xf>
    <xf numFmtId="168" fontId="8" fillId="0" borderId="0" xfId="0" applyNumberFormat="1" applyFont="1" applyAlignment="1">
      <alignment vertical="center"/>
    </xf>
    <xf numFmtId="0" fontId="8" fillId="0" borderId="1" xfId="0" applyFont="1" applyBorder="1" applyAlignment="1">
      <alignment vertical="center"/>
    </xf>
    <xf numFmtId="1" fontId="8"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vertical="center"/>
    </xf>
    <xf numFmtId="172" fontId="8" fillId="0" borderId="0" xfId="3" applyNumberFormat="1" applyFont="1" applyAlignment="1">
      <alignment vertical="center"/>
    </xf>
    <xf numFmtId="168" fontId="8" fillId="0" borderId="0" xfId="0" applyNumberFormat="1" applyFont="1" applyAlignment="1">
      <alignment horizontal="right" vertical="center"/>
    </xf>
    <xf numFmtId="0" fontId="8" fillId="4" borderId="0" xfId="0" applyFont="1" applyFill="1" applyAlignment="1">
      <alignment vertical="center"/>
    </xf>
    <xf numFmtId="165" fontId="8" fillId="4" borderId="0" xfId="0" applyNumberFormat="1" applyFont="1" applyFill="1" applyAlignment="1">
      <alignment horizontal="center" vertical="center"/>
    </xf>
    <xf numFmtId="2" fontId="8" fillId="4" borderId="0" xfId="0" applyNumberFormat="1" applyFont="1" applyFill="1" applyAlignment="1">
      <alignment horizontal="center" vertical="center"/>
    </xf>
    <xf numFmtId="166" fontId="8" fillId="4" borderId="0" xfId="0" applyNumberFormat="1" applyFont="1" applyFill="1" applyAlignment="1">
      <alignment horizontal="center" vertical="center"/>
    </xf>
    <xf numFmtId="2" fontId="8" fillId="4" borderId="0" xfId="0" applyNumberFormat="1" applyFont="1" applyFill="1" applyAlignment="1">
      <alignment vertical="center"/>
    </xf>
    <xf numFmtId="168" fontId="8" fillId="4" borderId="0" xfId="0" applyNumberFormat="1" applyFont="1" applyFill="1" applyAlignment="1">
      <alignment vertical="center"/>
    </xf>
    <xf numFmtId="168" fontId="8" fillId="4" borderId="0" xfId="0" applyNumberFormat="1" applyFont="1" applyFill="1" applyAlignment="1">
      <alignment horizontal="right" vertical="center"/>
    </xf>
    <xf numFmtId="4" fontId="17" fillId="0" borderId="1" xfId="0" applyNumberFormat="1" applyFont="1" applyBorder="1" applyAlignment="1">
      <alignment horizontal="right" vertical="center"/>
    </xf>
    <xf numFmtId="4" fontId="8" fillId="0" borderId="0" xfId="0" applyNumberFormat="1" applyFont="1" applyAlignment="1">
      <alignment horizontal="right" vertical="center"/>
    </xf>
    <xf numFmtId="10" fontId="8" fillId="0" borderId="0" xfId="3" applyNumberFormat="1" applyFont="1" applyAlignment="1">
      <alignment vertical="center"/>
    </xf>
    <xf numFmtId="4" fontId="8" fillId="4" borderId="0" xfId="0" applyNumberFormat="1" applyFont="1" applyFill="1" applyAlignment="1">
      <alignment horizontal="right" vertical="center"/>
    </xf>
    <xf numFmtId="2" fontId="17" fillId="0" borderId="1" xfId="0" applyNumberFormat="1" applyFont="1" applyBorder="1" applyAlignment="1">
      <alignment horizontal="right" vertical="center"/>
    </xf>
    <xf numFmtId="2" fontId="8" fillId="0" borderId="0" xfId="0" applyNumberFormat="1" applyFont="1" applyAlignment="1">
      <alignment horizontal="right" vertical="center"/>
    </xf>
    <xf numFmtId="4" fontId="8" fillId="0" borderId="1" xfId="0" applyNumberFormat="1" applyFont="1" applyBorder="1" applyAlignment="1">
      <alignment horizontal="center" vertical="center"/>
    </xf>
    <xf numFmtId="2" fontId="8" fillId="0" borderId="1" xfId="0" applyNumberFormat="1" applyFont="1" applyBorder="1" applyAlignment="1">
      <alignment horizontal="right" vertical="center"/>
    </xf>
    <xf numFmtId="4" fontId="8" fillId="4" borderId="0" xfId="0" applyNumberFormat="1" applyFont="1" applyFill="1" applyAlignment="1">
      <alignment horizontal="center" vertical="center"/>
    </xf>
    <xf numFmtId="0" fontId="8" fillId="4" borderId="0" xfId="0" applyFont="1" applyFill="1" applyAlignment="1">
      <alignment horizontal="center" vertical="center"/>
    </xf>
    <xf numFmtId="4" fontId="8" fillId="4" borderId="0" xfId="0" applyNumberFormat="1" applyFont="1" applyFill="1" applyAlignment="1">
      <alignment vertical="center"/>
    </xf>
    <xf numFmtId="49" fontId="8" fillId="0" borderId="1" xfId="0" applyNumberFormat="1" applyFont="1" applyBorder="1" applyAlignment="1">
      <alignment horizontal="center" vertical="center"/>
    </xf>
    <xf numFmtId="4" fontId="8" fillId="2" borderId="1" xfId="0" applyNumberFormat="1" applyFont="1" applyFill="1" applyBorder="1" applyAlignment="1">
      <alignment horizontal="center" vertical="center"/>
    </xf>
    <xf numFmtId="2" fontId="8" fillId="0" borderId="0" xfId="0" applyNumberFormat="1" applyFont="1" applyAlignment="1">
      <alignment horizontal="left" vertical="center"/>
    </xf>
    <xf numFmtId="4" fontId="8" fillId="0" borderId="1" xfId="0" applyNumberFormat="1" applyFont="1" applyBorder="1" applyAlignment="1">
      <alignment vertical="center"/>
    </xf>
    <xf numFmtId="0" fontId="8" fillId="0" borderId="0" xfId="0" quotePrefix="1" applyFont="1" applyAlignment="1">
      <alignment horizontal="left" vertical="center"/>
    </xf>
    <xf numFmtId="0" fontId="17" fillId="0" borderId="0" xfId="0" applyFont="1" applyAlignment="1">
      <alignment vertical="center"/>
    </xf>
    <xf numFmtId="4" fontId="17" fillId="0" borderId="0" xfId="0" applyNumberFormat="1" applyFont="1" applyAlignment="1">
      <alignment horizontal="center" vertical="center"/>
    </xf>
    <xf numFmtId="4" fontId="17" fillId="0" borderId="0" xfId="0" applyNumberFormat="1" applyFont="1" applyAlignment="1">
      <alignment horizontal="left" vertical="center"/>
    </xf>
    <xf numFmtId="0" fontId="17" fillId="0" borderId="0" xfId="0" applyFont="1" applyAlignment="1">
      <alignment horizontal="left" vertical="center"/>
    </xf>
    <xf numFmtId="2" fontId="17" fillId="0" borderId="0" xfId="0" applyNumberFormat="1" applyFont="1" applyAlignment="1">
      <alignment horizontal="center" vertical="center"/>
    </xf>
    <xf numFmtId="4" fontId="17" fillId="0" borderId="1" xfId="0" applyNumberFormat="1" applyFont="1" applyBorder="1" applyAlignment="1">
      <alignment vertical="center"/>
    </xf>
    <xf numFmtId="4" fontId="17" fillId="0" borderId="0" xfId="0" applyNumberFormat="1" applyFont="1" applyAlignment="1">
      <alignment vertical="center"/>
    </xf>
    <xf numFmtId="10" fontId="8" fillId="0" borderId="0" xfId="3" applyNumberFormat="1" applyFont="1" applyAlignment="1">
      <alignment horizontal="center" vertical="center"/>
    </xf>
    <xf numFmtId="165" fontId="17" fillId="0" borderId="0" xfId="0" applyNumberFormat="1" applyFont="1" applyAlignment="1">
      <alignment horizontal="center" vertical="center"/>
    </xf>
    <xf numFmtId="0" fontId="8" fillId="0" borderId="1" xfId="0" applyFont="1" applyBorder="1" applyAlignment="1">
      <alignment horizontal="left" vertical="center"/>
    </xf>
    <xf numFmtId="39" fontId="8" fillId="0" borderId="0" xfId="0" applyNumberFormat="1" applyFont="1" applyAlignment="1">
      <alignment vertical="center"/>
    </xf>
    <xf numFmtId="39" fontId="8" fillId="0" borderId="1" xfId="0" applyNumberFormat="1" applyFont="1" applyBorder="1" applyAlignment="1">
      <alignment vertical="center"/>
    </xf>
    <xf numFmtId="39" fontId="8" fillId="4" borderId="0" xfId="0" applyNumberFormat="1" applyFont="1" applyFill="1" applyAlignment="1">
      <alignment vertical="center"/>
    </xf>
    <xf numFmtId="39" fontId="8" fillId="0" borderId="0" xfId="0" applyNumberFormat="1" applyFont="1" applyAlignment="1">
      <alignment horizontal="center" vertical="center"/>
    </xf>
    <xf numFmtId="39" fontId="17" fillId="0" borderId="0" xfId="0" applyNumberFormat="1" applyFont="1" applyAlignment="1">
      <alignment horizontal="center" vertical="center"/>
    </xf>
    <xf numFmtId="0" fontId="17" fillId="0" borderId="0" xfId="0" applyFont="1" applyAlignment="1">
      <alignment horizontal="center" vertical="center"/>
    </xf>
    <xf numFmtId="39" fontId="17" fillId="0" borderId="1" xfId="0" applyNumberFormat="1" applyFont="1" applyBorder="1" applyAlignment="1">
      <alignment horizontal="center" vertical="center"/>
    </xf>
    <xf numFmtId="2" fontId="17" fillId="0" borderId="0" xfId="0" applyNumberFormat="1" applyFont="1" applyAlignment="1">
      <alignment horizontal="right" vertical="center"/>
    </xf>
    <xf numFmtId="2" fontId="17" fillId="0" borderId="0" xfId="0" applyNumberFormat="1" applyFont="1" applyAlignment="1">
      <alignment vertical="center"/>
    </xf>
    <xf numFmtId="39" fontId="8" fillId="4" borderId="0" xfId="0" applyNumberFormat="1" applyFont="1" applyFill="1" applyAlignment="1">
      <alignment horizontal="center" vertical="center"/>
    </xf>
    <xf numFmtId="166" fontId="8" fillId="0" borderId="0" xfId="2" applyNumberFormat="1" applyFont="1" applyAlignment="1">
      <alignment vertical="center"/>
    </xf>
    <xf numFmtId="166" fontId="8" fillId="0" borderId="0" xfId="2" applyNumberFormat="1" applyFont="1" applyAlignment="1">
      <alignment horizontal="right" vertical="center"/>
    </xf>
    <xf numFmtId="166" fontId="8" fillId="4" borderId="0" xfId="2" applyNumberFormat="1" applyFont="1" applyFill="1" applyAlignment="1">
      <alignment horizontal="right" vertical="center"/>
    </xf>
    <xf numFmtId="166" fontId="8" fillId="4" borderId="0" xfId="2" applyNumberFormat="1" applyFont="1" applyFill="1" applyAlignment="1">
      <alignment vertical="center"/>
    </xf>
    <xf numFmtId="49" fontId="8" fillId="0" borderId="0" xfId="0" applyNumberFormat="1" applyFont="1" applyAlignment="1">
      <alignment horizontal="center" vertical="center"/>
    </xf>
    <xf numFmtId="39" fontId="8" fillId="0" borderId="0" xfId="0" applyNumberFormat="1" applyFont="1" applyAlignment="1">
      <alignment horizontal="left" vertical="center"/>
    </xf>
    <xf numFmtId="49" fontId="17" fillId="0" borderId="0" xfId="0" applyNumberFormat="1" applyFont="1" applyAlignment="1">
      <alignment horizontal="center" vertical="center"/>
    </xf>
    <xf numFmtId="172" fontId="8" fillId="0" borderId="0" xfId="3" applyNumberFormat="1" applyFont="1" applyAlignment="1">
      <alignment horizontal="center" vertical="center"/>
    </xf>
    <xf numFmtId="49" fontId="8" fillId="0" borderId="0" xfId="0" quotePrefix="1" applyNumberFormat="1" applyFont="1" applyAlignment="1">
      <alignment horizontal="center" vertical="center"/>
    </xf>
    <xf numFmtId="173" fontId="8" fillId="0" borderId="0" xfId="0" applyNumberFormat="1" applyFont="1" applyAlignment="1">
      <alignment horizontal="center" vertical="center"/>
    </xf>
    <xf numFmtId="171" fontId="8" fillId="0" borderId="0" xfId="0" applyNumberFormat="1" applyFont="1" applyAlignment="1">
      <alignment horizontal="center" vertical="center"/>
    </xf>
    <xf numFmtId="0" fontId="8" fillId="5" borderId="0" xfId="0" applyFont="1" applyFill="1" applyAlignment="1">
      <alignment vertical="center"/>
    </xf>
    <xf numFmtId="4" fontId="8" fillId="5" borderId="0" xfId="0" applyNumberFormat="1" applyFont="1" applyFill="1" applyAlignment="1">
      <alignment horizontal="center" vertical="center"/>
    </xf>
    <xf numFmtId="2" fontId="8" fillId="5" borderId="0" xfId="0" applyNumberFormat="1" applyFont="1" applyFill="1" applyAlignment="1">
      <alignment horizontal="center" vertical="center"/>
    </xf>
    <xf numFmtId="2" fontId="8" fillId="5" borderId="0" xfId="0" applyNumberFormat="1" applyFont="1" applyFill="1" applyAlignment="1">
      <alignment vertical="center"/>
    </xf>
    <xf numFmtId="4" fontId="8" fillId="5" borderId="0" xfId="0" applyNumberFormat="1" applyFont="1" applyFill="1" applyAlignment="1">
      <alignment vertical="center"/>
    </xf>
    <xf numFmtId="0" fontId="8" fillId="5" borderId="0" xfId="0" applyFont="1" applyFill="1" applyAlignment="1">
      <alignment horizontal="center" vertical="center"/>
    </xf>
    <xf numFmtId="167" fontId="8" fillId="0" borderId="0" xfId="0" applyNumberFormat="1" applyFont="1" applyAlignment="1">
      <alignment horizontal="center" vertical="center"/>
    </xf>
    <xf numFmtId="167" fontId="8" fillId="5" borderId="0" xfId="0" applyNumberFormat="1" applyFont="1" applyFill="1" applyAlignment="1">
      <alignment horizontal="center" vertical="center"/>
    </xf>
    <xf numFmtId="2" fontId="16" fillId="0" borderId="0" xfId="0" applyNumberFormat="1" applyFont="1" applyAlignment="1">
      <alignment vertical="center"/>
    </xf>
    <xf numFmtId="0" fontId="16" fillId="5" borderId="0" xfId="0" applyFont="1" applyFill="1" applyAlignment="1">
      <alignment vertical="center"/>
    </xf>
    <xf numFmtId="17" fontId="5" fillId="0" borderId="0" xfId="0" applyNumberFormat="1" applyFont="1" applyAlignment="1">
      <alignment horizontal="right"/>
    </xf>
    <xf numFmtId="170" fontId="5" fillId="0" borderId="0" xfId="0" applyNumberFormat="1" applyFont="1" applyAlignment="1">
      <alignment horizontal="center"/>
    </xf>
    <xf numFmtId="167" fontId="8" fillId="0" borderId="0" xfId="0" applyNumberFormat="1" applyFont="1" applyAlignment="1">
      <alignment horizontal="right" vertical="center"/>
    </xf>
    <xf numFmtId="2" fontId="25" fillId="6" borderId="1" xfId="0" applyNumberFormat="1" applyFont="1" applyFill="1" applyBorder="1" applyAlignment="1">
      <alignment horizontal="center"/>
    </xf>
    <xf numFmtId="40" fontId="25" fillId="6" borderId="1" xfId="0" applyNumberFormat="1" applyFont="1" applyFill="1" applyBorder="1" applyAlignment="1">
      <alignment horizontal="center"/>
    </xf>
    <xf numFmtId="0" fontId="25" fillId="6" borderId="1" xfId="0" applyFont="1" applyFill="1" applyBorder="1"/>
    <xf numFmtId="2" fontId="25" fillId="6" borderId="1" xfId="0" applyNumberFormat="1" applyFont="1" applyFill="1" applyBorder="1"/>
    <xf numFmtId="17" fontId="11" fillId="3" borderId="4" xfId="0" applyNumberFormat="1" applyFont="1" applyFill="1" applyBorder="1"/>
    <xf numFmtId="17" fontId="25" fillId="6" borderId="14" xfId="0" applyNumberFormat="1" applyFont="1" applyFill="1" applyBorder="1"/>
    <xf numFmtId="166" fontId="25" fillId="6" borderId="15" xfId="0" applyNumberFormat="1" applyFont="1" applyFill="1" applyBorder="1" applyAlignment="1">
      <alignment horizontal="center"/>
    </xf>
    <xf numFmtId="17" fontId="25" fillId="6" borderId="14" xfId="0" applyNumberFormat="1" applyFont="1" applyFill="1" applyBorder="1" applyAlignment="1">
      <alignment horizontal="right"/>
    </xf>
    <xf numFmtId="17" fontId="25" fillId="6" borderId="16" xfId="0" applyNumberFormat="1" applyFont="1" applyFill="1" applyBorder="1"/>
    <xf numFmtId="2" fontId="25" fillId="6" borderId="17" xfId="0" applyNumberFormat="1" applyFont="1" applyFill="1" applyBorder="1" applyAlignment="1">
      <alignment horizontal="center"/>
    </xf>
    <xf numFmtId="2" fontId="25" fillId="6" borderId="17" xfId="0" applyNumberFormat="1" applyFont="1" applyFill="1" applyBorder="1"/>
    <xf numFmtId="166" fontId="25" fillId="6" borderId="18" xfId="0" applyNumberFormat="1" applyFont="1" applyFill="1" applyBorder="1" applyAlignment="1">
      <alignment horizontal="center"/>
    </xf>
    <xf numFmtId="17" fontId="25" fillId="6" borderId="19" xfId="0" applyNumberFormat="1" applyFont="1" applyFill="1" applyBorder="1"/>
    <xf numFmtId="4" fontId="25" fillId="6" borderId="20" xfId="0" applyNumberFormat="1" applyFont="1" applyFill="1" applyBorder="1" applyAlignment="1">
      <alignment horizontal="center"/>
    </xf>
    <xf numFmtId="166" fontId="25" fillId="6" borderId="21" xfId="0" applyNumberFormat="1" applyFont="1" applyFill="1" applyBorder="1" applyAlignment="1">
      <alignment horizontal="center"/>
    </xf>
    <xf numFmtId="4" fontId="25" fillId="6" borderId="1" xfId="0" applyNumberFormat="1" applyFont="1" applyFill="1" applyBorder="1" applyAlignment="1">
      <alignment horizontal="center"/>
    </xf>
    <xf numFmtId="4" fontId="25" fillId="6" borderId="1" xfId="0" applyNumberFormat="1" applyFont="1" applyFill="1" applyBorder="1"/>
    <xf numFmtId="4" fontId="25" fillId="6" borderId="17" xfId="0" applyNumberFormat="1" applyFont="1" applyFill="1" applyBorder="1"/>
    <xf numFmtId="2" fontId="25" fillId="6" borderId="20" xfId="0" applyNumberFormat="1" applyFont="1" applyFill="1" applyBorder="1" applyAlignment="1">
      <alignment horizontal="center"/>
    </xf>
    <xf numFmtId="2" fontId="25" fillId="6" borderId="2" xfId="0" applyNumberFormat="1" applyFont="1" applyFill="1" applyBorder="1" applyAlignment="1">
      <alignment horizontal="center"/>
    </xf>
    <xf numFmtId="4" fontId="25" fillId="6" borderId="17" xfId="0" applyNumberFormat="1" applyFont="1" applyFill="1" applyBorder="1" applyAlignment="1">
      <alignment horizontal="center"/>
    </xf>
    <xf numFmtId="40" fontId="25" fillId="6" borderId="20" xfId="0" applyNumberFormat="1" applyFont="1" applyFill="1" applyBorder="1" applyAlignment="1">
      <alignment horizontal="center"/>
    </xf>
    <xf numFmtId="40" fontId="25" fillId="6" borderId="2" xfId="0" applyNumberFormat="1" applyFont="1" applyFill="1" applyBorder="1" applyAlignment="1">
      <alignment horizontal="center"/>
    </xf>
    <xf numFmtId="40" fontId="25" fillId="6" borderId="17" xfId="0" applyNumberFormat="1" applyFont="1" applyFill="1" applyBorder="1" applyAlignment="1">
      <alignment horizontal="center"/>
    </xf>
    <xf numFmtId="166" fontId="31" fillId="6" borderId="21" xfId="0" applyNumberFormat="1" applyFont="1" applyFill="1" applyBorder="1" applyAlignment="1">
      <alignment horizontal="center"/>
    </xf>
    <xf numFmtId="166" fontId="31" fillId="6" borderId="15" xfId="0" applyNumberFormat="1" applyFont="1" applyFill="1" applyBorder="1" applyAlignment="1">
      <alignment horizontal="center"/>
    </xf>
    <xf numFmtId="17" fontId="31" fillId="6" borderId="14" xfId="0" applyNumberFormat="1" applyFont="1" applyFill="1" applyBorder="1"/>
    <xf numFmtId="17" fontId="31" fillId="6" borderId="14" xfId="0" applyNumberFormat="1" applyFont="1" applyFill="1" applyBorder="1" applyAlignment="1">
      <alignment horizontal="right"/>
    </xf>
    <xf numFmtId="4" fontId="31" fillId="6" borderId="1" xfId="0" applyNumberFormat="1" applyFont="1" applyFill="1" applyBorder="1" applyAlignment="1">
      <alignment horizontal="center"/>
    </xf>
    <xf numFmtId="17" fontId="31" fillId="6" borderId="16" xfId="0" applyNumberFormat="1" applyFont="1" applyFill="1" applyBorder="1"/>
    <xf numFmtId="166" fontId="31" fillId="6" borderId="18" xfId="0" applyNumberFormat="1" applyFont="1" applyFill="1" applyBorder="1" applyAlignment="1">
      <alignment horizontal="center"/>
    </xf>
    <xf numFmtId="17" fontId="25" fillId="6" borderId="22" xfId="0" applyNumberFormat="1" applyFont="1" applyFill="1" applyBorder="1"/>
    <xf numFmtId="2" fontId="25" fillId="6" borderId="2" xfId="0" applyNumberFormat="1" applyFont="1" applyFill="1" applyBorder="1"/>
    <xf numFmtId="17" fontId="25" fillId="6" borderId="23" xfId="0" applyNumberFormat="1" applyFont="1" applyFill="1" applyBorder="1"/>
    <xf numFmtId="4" fontId="25" fillId="6" borderId="2" xfId="0" applyNumberFormat="1" applyFont="1" applyFill="1" applyBorder="1" applyAlignment="1">
      <alignment horizontal="center"/>
    </xf>
    <xf numFmtId="0" fontId="24" fillId="7" borderId="1" xfId="0" applyFont="1" applyFill="1" applyBorder="1" applyAlignment="1">
      <alignment horizontal="centerContinuous" vertical="center" wrapText="1"/>
    </xf>
    <xf numFmtId="0" fontId="24" fillId="7" borderId="1" xfId="0" applyFont="1" applyFill="1" applyBorder="1" applyAlignment="1">
      <alignment horizontal="center" vertical="center" wrapText="1"/>
    </xf>
    <xf numFmtId="2" fontId="31" fillId="6" borderId="1" xfId="0" applyNumberFormat="1" applyFont="1" applyFill="1" applyBorder="1" applyAlignment="1">
      <alignment horizontal="center"/>
    </xf>
    <xf numFmtId="0" fontId="31" fillId="6" borderId="1" xfId="0" applyFont="1" applyFill="1" applyBorder="1"/>
    <xf numFmtId="2" fontId="31" fillId="6" borderId="1" xfId="0" applyNumberFormat="1" applyFont="1" applyFill="1" applyBorder="1"/>
    <xf numFmtId="40" fontId="31" fillId="6" borderId="1" xfId="0" applyNumberFormat="1" applyFont="1" applyFill="1" applyBorder="1" applyAlignment="1">
      <alignment horizontal="center"/>
    </xf>
    <xf numFmtId="17" fontId="31" fillId="6" borderId="19" xfId="0" applyNumberFormat="1" applyFont="1" applyFill="1" applyBorder="1"/>
    <xf numFmtId="4" fontId="31" fillId="6" borderId="20" xfId="0" applyNumberFormat="1" applyFont="1" applyFill="1" applyBorder="1" applyAlignment="1">
      <alignment horizontal="center"/>
    </xf>
    <xf numFmtId="2" fontId="31" fillId="6" borderId="20" xfId="0" applyNumberFormat="1" applyFont="1" applyFill="1" applyBorder="1" applyAlignment="1">
      <alignment horizontal="center"/>
    </xf>
    <xf numFmtId="2" fontId="31" fillId="6" borderId="17" xfId="0" applyNumberFormat="1" applyFont="1" applyFill="1" applyBorder="1" applyAlignment="1">
      <alignment horizontal="center"/>
    </xf>
    <xf numFmtId="40" fontId="31" fillId="6" borderId="17" xfId="0" applyNumberFormat="1" applyFont="1" applyFill="1" applyBorder="1" applyAlignment="1">
      <alignment horizontal="center"/>
    </xf>
    <xf numFmtId="2" fontId="31" fillId="6" borderId="17" xfId="0" applyNumberFormat="1" applyFont="1" applyFill="1" applyBorder="1"/>
    <xf numFmtId="0" fontId="29" fillId="8" borderId="24" xfId="0" applyFont="1" applyFill="1" applyBorder="1" applyAlignment="1">
      <alignment horizontal="centerContinuous" vertical="center" wrapText="1"/>
    </xf>
    <xf numFmtId="0" fontId="29" fillId="8" borderId="25" xfId="0" applyFont="1" applyFill="1" applyBorder="1" applyAlignment="1">
      <alignment horizontal="centerContinuous" vertical="center" wrapText="1"/>
    </xf>
    <xf numFmtId="0" fontId="29" fillId="8" borderId="25" xfId="0" applyFont="1" applyFill="1" applyBorder="1" applyAlignment="1">
      <alignment horizontal="center" vertical="center" wrapText="1"/>
    </xf>
    <xf numFmtId="0" fontId="29" fillId="8" borderId="26" xfId="0" applyFont="1" applyFill="1" applyBorder="1" applyAlignment="1">
      <alignment horizontal="centerContinuous" vertical="center" wrapText="1"/>
    </xf>
    <xf numFmtId="0" fontId="24" fillId="9" borderId="24" xfId="0" applyFont="1" applyFill="1" applyBorder="1" applyAlignment="1">
      <alignment horizontal="centerContinuous" vertical="center" wrapText="1"/>
    </xf>
    <xf numFmtId="0" fontId="24" fillId="9" borderId="25" xfId="0" applyFont="1" applyFill="1" applyBorder="1" applyAlignment="1">
      <alignment horizontal="centerContinuous" vertical="center" wrapText="1"/>
    </xf>
    <xf numFmtId="0" fontId="24" fillId="9" borderId="25" xfId="0" applyFont="1" applyFill="1" applyBorder="1" applyAlignment="1">
      <alignment horizontal="center" vertical="center" wrapText="1"/>
    </xf>
    <xf numFmtId="0" fontId="24" fillId="9" borderId="26" xfId="0" applyFont="1" applyFill="1" applyBorder="1" applyAlignment="1">
      <alignment horizontal="centerContinuous" vertical="center" wrapText="1"/>
    </xf>
    <xf numFmtId="0" fontId="23" fillId="10" borderId="24" xfId="0" applyFont="1" applyFill="1" applyBorder="1" applyAlignment="1">
      <alignment horizontal="centerContinuous" vertical="center" wrapText="1"/>
    </xf>
    <xf numFmtId="0" fontId="23" fillId="10" borderId="25" xfId="0" applyFont="1" applyFill="1" applyBorder="1" applyAlignment="1">
      <alignment horizontal="centerContinuous" vertical="center" wrapText="1"/>
    </xf>
    <xf numFmtId="0" fontId="23" fillId="10" borderId="25" xfId="0" applyFont="1" applyFill="1" applyBorder="1" applyAlignment="1">
      <alignment horizontal="center" vertical="center" wrapText="1"/>
    </xf>
    <xf numFmtId="0" fontId="23" fillId="10" borderId="26" xfId="0" applyFont="1" applyFill="1" applyBorder="1" applyAlignment="1">
      <alignment horizontal="centerContinuous" vertical="center" wrapText="1"/>
    </xf>
    <xf numFmtId="169" fontId="25" fillId="6" borderId="21" xfId="0" applyNumberFormat="1" applyFont="1" applyFill="1" applyBorder="1" applyAlignment="1">
      <alignment horizontal="center"/>
    </xf>
    <xf numFmtId="169" fontId="25" fillId="6" borderId="15" xfId="0" applyNumberFormat="1" applyFont="1" applyFill="1" applyBorder="1" applyAlignment="1">
      <alignment horizontal="center"/>
    </xf>
    <xf numFmtId="40" fontId="25" fillId="6" borderId="1" xfId="0" applyNumberFormat="1" applyFont="1" applyFill="1" applyBorder="1"/>
    <xf numFmtId="40" fontId="25" fillId="6" borderId="17" xfId="0" applyNumberFormat="1" applyFont="1" applyFill="1" applyBorder="1"/>
    <xf numFmtId="169" fontId="25" fillId="6" borderId="18" xfId="0" applyNumberFormat="1" applyFont="1" applyFill="1" applyBorder="1" applyAlignment="1">
      <alignment horizontal="center"/>
    </xf>
    <xf numFmtId="0" fontId="23" fillId="11" borderId="1" xfId="0" applyFont="1" applyFill="1" applyBorder="1" applyAlignment="1">
      <alignment horizontal="centerContinuous" vertical="center" wrapText="1"/>
    </xf>
    <xf numFmtId="0" fontId="23" fillId="11" borderId="1" xfId="0" applyFont="1" applyFill="1" applyBorder="1" applyAlignment="1">
      <alignment horizontal="center" vertical="center" wrapText="1"/>
    </xf>
    <xf numFmtId="0" fontId="8" fillId="0" borderId="0" xfId="0" applyFont="1" applyAlignment="1">
      <alignment horizontal="right" vertical="center"/>
    </xf>
    <xf numFmtId="4" fontId="25" fillId="6" borderId="2" xfId="0" applyNumberFormat="1" applyFont="1" applyFill="1" applyBorder="1"/>
    <xf numFmtId="166" fontId="25" fillId="6" borderId="27" xfId="0" applyNumberFormat="1" applyFont="1" applyFill="1" applyBorder="1" applyAlignment="1">
      <alignment horizontal="center"/>
    </xf>
    <xf numFmtId="17" fontId="31" fillId="6" borderId="23" xfId="0" applyNumberFormat="1" applyFont="1" applyFill="1" applyBorder="1"/>
    <xf numFmtId="2" fontId="31" fillId="6" borderId="2" xfId="0" applyNumberFormat="1" applyFont="1" applyFill="1" applyBorder="1" applyAlignment="1">
      <alignment horizontal="center"/>
    </xf>
    <xf numFmtId="40" fontId="31" fillId="6" borderId="2" xfId="0" applyNumberFormat="1" applyFont="1" applyFill="1" applyBorder="1" applyAlignment="1">
      <alignment horizontal="center"/>
    </xf>
    <xf numFmtId="2" fontId="31" fillId="6" borderId="2" xfId="0" applyNumberFormat="1" applyFont="1" applyFill="1" applyBorder="1"/>
    <xf numFmtId="40" fontId="25" fillId="6" borderId="2" xfId="0" applyNumberFormat="1" applyFont="1" applyFill="1" applyBorder="1"/>
    <xf numFmtId="169" fontId="25" fillId="6" borderId="27" xfId="0" applyNumberFormat="1" applyFont="1" applyFill="1" applyBorder="1" applyAlignment="1">
      <alignment horizontal="center"/>
    </xf>
    <xf numFmtId="170" fontId="25" fillId="6" borderId="21" xfId="0" applyNumberFormat="1" applyFont="1" applyFill="1" applyBorder="1" applyAlignment="1">
      <alignment horizontal="center"/>
    </xf>
    <xf numFmtId="170" fontId="25" fillId="6" borderId="15" xfId="0" applyNumberFormat="1" applyFont="1" applyFill="1" applyBorder="1" applyAlignment="1">
      <alignment horizontal="center"/>
    </xf>
    <xf numFmtId="17" fontId="25" fillId="6" borderId="16" xfId="0" applyNumberFormat="1" applyFont="1" applyFill="1" applyBorder="1" applyAlignment="1">
      <alignment horizontal="right"/>
    </xf>
    <xf numFmtId="170" fontId="25" fillId="6" borderId="18" xfId="0" applyNumberFormat="1" applyFont="1" applyFill="1" applyBorder="1" applyAlignment="1">
      <alignment horizontal="center"/>
    </xf>
    <xf numFmtId="166" fontId="31" fillId="6" borderId="27" xfId="0" applyNumberFormat="1" applyFont="1" applyFill="1" applyBorder="1" applyAlignment="1">
      <alignment horizontal="center"/>
    </xf>
    <xf numFmtId="17" fontId="25" fillId="6" borderId="23" xfId="0" applyNumberFormat="1" applyFont="1" applyFill="1" applyBorder="1" applyAlignment="1">
      <alignment horizontal="right"/>
    </xf>
    <xf numFmtId="170" fontId="25" fillId="6" borderId="27" xfId="0" applyNumberFormat="1" applyFont="1" applyFill="1" applyBorder="1" applyAlignment="1">
      <alignment horizontal="center"/>
    </xf>
    <xf numFmtId="2" fontId="25" fillId="6" borderId="0" xfId="0" applyNumberFormat="1" applyFont="1" applyFill="1" applyAlignment="1">
      <alignment horizontal="center"/>
    </xf>
    <xf numFmtId="40" fontId="25" fillId="6" borderId="0" xfId="0" applyNumberFormat="1" applyFont="1" applyFill="1" applyAlignment="1">
      <alignment horizontal="center"/>
    </xf>
    <xf numFmtId="17" fontId="25" fillId="6" borderId="0" xfId="0" applyNumberFormat="1" applyFont="1" applyFill="1"/>
    <xf numFmtId="4" fontId="25" fillId="6" borderId="0" xfId="0" applyNumberFormat="1" applyFont="1" applyFill="1" applyAlignment="1">
      <alignment horizontal="center"/>
    </xf>
    <xf numFmtId="40" fontId="25" fillId="6" borderId="0" xfId="0" applyNumberFormat="1" applyFont="1" applyFill="1"/>
    <xf numFmtId="169" fontId="25" fillId="6" borderId="0" xfId="0" applyNumberFormat="1" applyFont="1" applyFill="1" applyAlignment="1">
      <alignment horizontal="center"/>
    </xf>
    <xf numFmtId="0" fontId="43" fillId="30" borderId="28" xfId="0" applyFont="1" applyFill="1" applyBorder="1" applyAlignment="1">
      <alignment vertical="center"/>
    </xf>
    <xf numFmtId="0" fontId="43" fillId="30" borderId="29" xfId="0" applyFont="1" applyFill="1" applyBorder="1" applyAlignment="1">
      <alignment vertical="center"/>
    </xf>
    <xf numFmtId="0" fontId="43" fillId="30" borderId="30" xfId="0" applyFont="1" applyFill="1" applyBorder="1" applyAlignment="1">
      <alignment vertical="center"/>
    </xf>
    <xf numFmtId="0" fontId="43" fillId="31" borderId="31" xfId="0" applyFont="1" applyFill="1" applyBorder="1" applyAlignment="1">
      <alignment vertical="center"/>
    </xf>
    <xf numFmtId="0" fontId="43" fillId="31" borderId="32" xfId="0" applyFont="1" applyFill="1" applyBorder="1" applyAlignment="1">
      <alignment vertical="center"/>
    </xf>
    <xf numFmtId="4" fontId="43" fillId="31" borderId="32" xfId="0" applyNumberFormat="1" applyFont="1" applyFill="1" applyBorder="1" applyAlignment="1">
      <alignment vertical="center"/>
    </xf>
    <xf numFmtId="0" fontId="43" fillId="31" borderId="33" xfId="0" applyFont="1" applyFill="1" applyBorder="1" applyAlignment="1">
      <alignment vertical="center"/>
    </xf>
    <xf numFmtId="0" fontId="8" fillId="32" borderId="19" xfId="0" applyFont="1" applyFill="1" applyBorder="1" applyAlignment="1">
      <alignment vertical="center"/>
    </xf>
    <xf numFmtId="4" fontId="8" fillId="32" borderId="20" xfId="0" applyNumberFormat="1" applyFont="1" applyFill="1" applyBorder="1" applyAlignment="1">
      <alignment horizontal="center" vertical="center"/>
    </xf>
    <xf numFmtId="2" fontId="8" fillId="32" borderId="20" xfId="0" applyNumberFormat="1" applyFont="1" applyFill="1" applyBorder="1" applyAlignment="1">
      <alignment horizontal="center" vertical="center"/>
    </xf>
    <xf numFmtId="2" fontId="8" fillId="32" borderId="21" xfId="0" applyNumberFormat="1" applyFont="1" applyFill="1" applyBorder="1" applyAlignment="1">
      <alignment horizontal="center" vertical="center"/>
    </xf>
    <xf numFmtId="0" fontId="8" fillId="32" borderId="14" xfId="0" applyFont="1" applyFill="1" applyBorder="1" applyAlignment="1">
      <alignment vertical="center"/>
    </xf>
    <xf numFmtId="4" fontId="8" fillId="32" borderId="1" xfId="0" applyNumberFormat="1" applyFont="1" applyFill="1" applyBorder="1" applyAlignment="1">
      <alignment horizontal="center" vertical="center"/>
    </xf>
    <xf numFmtId="2" fontId="8" fillId="32" borderId="1" xfId="0" applyNumberFormat="1" applyFont="1" applyFill="1" applyBorder="1" applyAlignment="1">
      <alignment horizontal="center" vertical="center"/>
    </xf>
    <xf numFmtId="2" fontId="8" fillId="32" borderId="15" xfId="0" applyNumberFormat="1" applyFont="1" applyFill="1" applyBorder="1" applyAlignment="1">
      <alignment horizontal="center" vertical="center"/>
    </xf>
    <xf numFmtId="0" fontId="8" fillId="32" borderId="16" xfId="0" applyFont="1" applyFill="1" applyBorder="1" applyAlignment="1">
      <alignment vertical="center"/>
    </xf>
    <xf numFmtId="4" fontId="8" fillId="32" borderId="17" xfId="0" applyNumberFormat="1" applyFont="1" applyFill="1" applyBorder="1" applyAlignment="1">
      <alignment horizontal="center" vertical="center"/>
    </xf>
    <xf numFmtId="2" fontId="8" fillId="32" borderId="17" xfId="0" applyNumberFormat="1" applyFont="1" applyFill="1" applyBorder="1" applyAlignment="1">
      <alignment horizontal="center" vertical="center"/>
    </xf>
    <xf numFmtId="2" fontId="8" fillId="32" borderId="18" xfId="0" applyNumberFormat="1" applyFont="1" applyFill="1" applyBorder="1" applyAlignment="1">
      <alignment horizontal="center" vertical="center"/>
    </xf>
    <xf numFmtId="0" fontId="44" fillId="33" borderId="25" xfId="0" applyFont="1" applyFill="1" applyBorder="1" applyAlignment="1">
      <alignment horizontal="center" vertical="center"/>
    </xf>
    <xf numFmtId="0" fontId="44" fillId="33" borderId="26" xfId="0" applyFont="1" applyFill="1" applyBorder="1" applyAlignment="1">
      <alignment horizontal="center" vertical="center"/>
    </xf>
    <xf numFmtId="0" fontId="8" fillId="32" borderId="1" xfId="0" applyFont="1" applyFill="1" applyBorder="1" applyAlignment="1">
      <alignment vertical="center"/>
    </xf>
    <xf numFmtId="165" fontId="8" fillId="32" borderId="1" xfId="0" applyNumberFormat="1" applyFont="1" applyFill="1" applyBorder="1" applyAlignment="1">
      <alignment horizontal="center" vertical="center"/>
    </xf>
    <xf numFmtId="0" fontId="8" fillId="32" borderId="1" xfId="0" applyFont="1" applyFill="1" applyBorder="1" applyAlignment="1">
      <alignment horizontal="center" vertical="center"/>
    </xf>
    <xf numFmtId="168" fontId="8" fillId="32" borderId="1" xfId="0" applyNumberFormat="1" applyFont="1" applyFill="1" applyBorder="1" applyAlignment="1">
      <alignment vertical="center"/>
    </xf>
    <xf numFmtId="168" fontId="8" fillId="32" borderId="1" xfId="0" applyNumberFormat="1" applyFont="1" applyFill="1" applyBorder="1" applyAlignment="1">
      <alignment horizontal="right" vertical="center"/>
    </xf>
    <xf numFmtId="2" fontId="45" fillId="33" borderId="34" xfId="0" applyNumberFormat="1" applyFont="1" applyFill="1" applyBorder="1" applyAlignment="1">
      <alignment horizontal="center" vertical="center"/>
    </xf>
    <xf numFmtId="165" fontId="8" fillId="32" borderId="20" xfId="0" applyNumberFormat="1" applyFont="1" applyFill="1" applyBorder="1" applyAlignment="1">
      <alignment horizontal="center" vertical="center"/>
    </xf>
    <xf numFmtId="0" fontId="8" fillId="32" borderId="20" xfId="0" applyFont="1" applyFill="1" applyBorder="1" applyAlignment="1">
      <alignment horizontal="center" vertical="center"/>
    </xf>
    <xf numFmtId="168" fontId="8" fillId="32" borderId="20" xfId="0" applyNumberFormat="1" applyFont="1" applyFill="1" applyBorder="1" applyAlignment="1">
      <alignment vertical="center"/>
    </xf>
    <xf numFmtId="168" fontId="8" fillId="32" borderId="20" xfId="0" applyNumberFormat="1" applyFont="1" applyFill="1" applyBorder="1" applyAlignment="1">
      <alignment horizontal="right" vertical="center"/>
    </xf>
    <xf numFmtId="165" fontId="8" fillId="32" borderId="17" xfId="0" applyNumberFormat="1" applyFont="1" applyFill="1" applyBorder="1" applyAlignment="1">
      <alignment horizontal="center" vertical="center"/>
    </xf>
    <xf numFmtId="0" fontId="8" fillId="32" borderId="17" xfId="0" applyFont="1" applyFill="1" applyBorder="1" applyAlignment="1">
      <alignment horizontal="center" vertical="center"/>
    </xf>
    <xf numFmtId="168" fontId="8" fillId="32" borderId="17" xfId="0" applyNumberFormat="1" applyFont="1" applyFill="1" applyBorder="1" applyAlignment="1">
      <alignment vertical="center"/>
    </xf>
    <xf numFmtId="168" fontId="8" fillId="32" borderId="17" xfId="0" applyNumberFormat="1" applyFont="1" applyFill="1" applyBorder="1" applyAlignment="1">
      <alignment horizontal="right" vertical="center"/>
    </xf>
    <xf numFmtId="2" fontId="45" fillId="33" borderId="25" xfId="0" applyNumberFormat="1" applyFont="1" applyFill="1" applyBorder="1" applyAlignment="1">
      <alignment horizontal="center" vertical="center"/>
    </xf>
    <xf numFmtId="1" fontId="45" fillId="33" borderId="25" xfId="0" applyNumberFormat="1" applyFont="1" applyFill="1" applyBorder="1" applyAlignment="1">
      <alignment horizontal="center" vertical="center"/>
    </xf>
    <xf numFmtId="0" fontId="45" fillId="33" borderId="25" xfId="0" applyFont="1" applyFill="1" applyBorder="1" applyAlignment="1">
      <alignment horizontal="center" vertical="center"/>
    </xf>
    <xf numFmtId="3" fontId="45" fillId="33" borderId="25" xfId="0" applyNumberFormat="1" applyFont="1" applyFill="1" applyBorder="1" applyAlignment="1">
      <alignment horizontal="center" vertical="center"/>
    </xf>
    <xf numFmtId="3" fontId="45" fillId="33" borderId="26" xfId="0" applyNumberFormat="1" applyFont="1" applyFill="1" applyBorder="1" applyAlignment="1">
      <alignment horizontal="right" vertical="center"/>
    </xf>
    <xf numFmtId="0" fontId="45" fillId="33" borderId="25" xfId="0" applyFont="1" applyFill="1" applyBorder="1" applyAlignment="1">
      <alignment vertical="center"/>
    </xf>
    <xf numFmtId="3" fontId="45" fillId="33" borderId="25" xfId="0" applyNumberFormat="1" applyFont="1" applyFill="1" applyBorder="1" applyAlignment="1">
      <alignment horizontal="right" vertical="center"/>
    </xf>
    <xf numFmtId="166" fontId="8" fillId="32" borderId="20" xfId="0" applyNumberFormat="1" applyFont="1" applyFill="1" applyBorder="1" applyAlignment="1">
      <alignment horizontal="center" vertical="center"/>
    </xf>
    <xf numFmtId="2" fontId="8" fillId="32" borderId="20" xfId="0" applyNumberFormat="1" applyFont="1" applyFill="1" applyBorder="1" applyAlignment="1">
      <alignment vertical="center"/>
    </xf>
    <xf numFmtId="2" fontId="8" fillId="32" borderId="21" xfId="0" applyNumberFormat="1" applyFont="1" applyFill="1" applyBorder="1" applyAlignment="1">
      <alignment vertical="center"/>
    </xf>
    <xf numFmtId="166" fontId="8" fillId="32" borderId="1" xfId="0" applyNumberFormat="1" applyFont="1" applyFill="1" applyBorder="1" applyAlignment="1">
      <alignment horizontal="center" vertical="center"/>
    </xf>
    <xf numFmtId="2" fontId="8" fillId="32" borderId="1" xfId="0" applyNumberFormat="1" applyFont="1" applyFill="1" applyBorder="1" applyAlignment="1">
      <alignment vertical="center"/>
    </xf>
    <xf numFmtId="2" fontId="8" fillId="32" borderId="15" xfId="0" applyNumberFormat="1" applyFont="1" applyFill="1" applyBorder="1" applyAlignment="1">
      <alignment vertical="center"/>
    </xf>
    <xf numFmtId="166" fontId="8" fillId="32" borderId="17" xfId="0" applyNumberFormat="1" applyFont="1" applyFill="1" applyBorder="1" applyAlignment="1">
      <alignment horizontal="center" vertical="center"/>
    </xf>
    <xf numFmtId="2" fontId="8" fillId="32" borderId="17" xfId="0" applyNumberFormat="1" applyFont="1" applyFill="1" applyBorder="1" applyAlignment="1">
      <alignment vertical="center"/>
    </xf>
    <xf numFmtId="2" fontId="8" fillId="32" borderId="18" xfId="0" applyNumberFormat="1" applyFont="1" applyFill="1" applyBorder="1" applyAlignment="1">
      <alignment vertical="center"/>
    </xf>
    <xf numFmtId="2" fontId="8" fillId="32" borderId="35" xfId="0" applyNumberFormat="1" applyFont="1" applyFill="1" applyBorder="1" applyAlignment="1">
      <alignment horizontal="center" vertical="center"/>
    </xf>
    <xf numFmtId="2" fontId="8" fillId="32" borderId="6" xfId="0" applyNumberFormat="1" applyFont="1" applyFill="1" applyBorder="1" applyAlignment="1">
      <alignment horizontal="center" vertical="center"/>
    </xf>
    <xf numFmtId="2" fontId="8" fillId="32" borderId="36" xfId="0" applyNumberFormat="1" applyFont="1" applyFill="1" applyBorder="1" applyAlignment="1">
      <alignment horizontal="center" vertical="center"/>
    </xf>
    <xf numFmtId="2" fontId="45" fillId="33" borderId="26" xfId="0" applyNumberFormat="1" applyFont="1" applyFill="1" applyBorder="1" applyAlignment="1">
      <alignment horizontal="center" vertical="center"/>
    </xf>
    <xf numFmtId="0" fontId="45" fillId="33" borderId="26" xfId="0" applyFont="1" applyFill="1" applyBorder="1" applyAlignment="1">
      <alignment horizontal="center" vertical="center"/>
    </xf>
    <xf numFmtId="4" fontId="8" fillId="32" borderId="20" xfId="0" applyNumberFormat="1" applyFont="1" applyFill="1" applyBorder="1" applyAlignment="1">
      <alignment horizontal="right" vertical="center"/>
    </xf>
    <xf numFmtId="4" fontId="8" fillId="32" borderId="1" xfId="0" applyNumberFormat="1" applyFont="1" applyFill="1" applyBorder="1" applyAlignment="1">
      <alignment horizontal="right" vertical="center"/>
    </xf>
    <xf numFmtId="4" fontId="8" fillId="32" borderId="17" xfId="0" applyNumberFormat="1" applyFont="1" applyFill="1" applyBorder="1" applyAlignment="1">
      <alignment horizontal="right" vertical="center"/>
    </xf>
    <xf numFmtId="0" fontId="46" fillId="31" borderId="37" xfId="0" applyFont="1" applyFill="1" applyBorder="1" applyAlignment="1">
      <alignment vertical="center"/>
    </xf>
    <xf numFmtId="0" fontId="46" fillId="31" borderId="38" xfId="0" applyFont="1" applyFill="1" applyBorder="1" applyAlignment="1">
      <alignment vertical="center"/>
    </xf>
    <xf numFmtId="0" fontId="46" fillId="34" borderId="0" xfId="0" applyFont="1" applyFill="1" applyAlignment="1">
      <alignment vertical="center"/>
    </xf>
    <xf numFmtId="0" fontId="46" fillId="31" borderId="37" xfId="0" applyFont="1" applyFill="1" applyBorder="1" applyAlignment="1">
      <alignment horizontal="center" vertical="center"/>
    </xf>
    <xf numFmtId="0" fontId="46" fillId="31" borderId="37" xfId="0" applyFont="1" applyFill="1" applyBorder="1" applyAlignment="1">
      <alignment horizontal="left" vertical="center"/>
    </xf>
    <xf numFmtId="0" fontId="43" fillId="31" borderId="37" xfId="0" applyFont="1" applyFill="1" applyBorder="1" applyAlignment="1">
      <alignment vertical="center"/>
    </xf>
    <xf numFmtId="4" fontId="46" fillId="31" borderId="37" xfId="0" applyNumberFormat="1" applyFont="1" applyFill="1" applyBorder="1" applyAlignment="1">
      <alignment vertical="center"/>
    </xf>
    <xf numFmtId="0" fontId="8" fillId="32" borderId="6" xfId="0" applyFont="1" applyFill="1" applyBorder="1" applyAlignment="1">
      <alignment vertical="center"/>
    </xf>
    <xf numFmtId="0" fontId="8" fillId="32" borderId="6" xfId="0" applyFont="1" applyFill="1" applyBorder="1" applyAlignment="1">
      <alignment horizontal="center" vertical="center"/>
    </xf>
    <xf numFmtId="2" fontId="8" fillId="32" borderId="6" xfId="0" applyNumberFormat="1" applyFont="1" applyFill="1" applyBorder="1" applyAlignment="1">
      <alignment vertical="center"/>
    </xf>
    <xf numFmtId="4" fontId="8" fillId="32" borderId="6" xfId="0" applyNumberFormat="1" applyFont="1" applyFill="1" applyBorder="1" applyAlignment="1">
      <alignment horizontal="center" vertical="center"/>
    </xf>
    <xf numFmtId="4" fontId="8" fillId="32" borderId="6" xfId="0" applyNumberFormat="1" applyFont="1" applyFill="1" applyBorder="1" applyAlignment="1">
      <alignment horizontal="right" vertical="center"/>
    </xf>
    <xf numFmtId="2" fontId="8" fillId="32" borderId="1" xfId="0" applyNumberFormat="1" applyFont="1" applyFill="1" applyBorder="1" applyAlignment="1">
      <alignment horizontal="right" vertical="center"/>
    </xf>
    <xf numFmtId="2" fontId="8" fillId="32" borderId="15" xfId="0" applyNumberFormat="1" applyFont="1" applyFill="1" applyBorder="1" applyAlignment="1">
      <alignment horizontal="right" vertical="center"/>
    </xf>
    <xf numFmtId="2" fontId="8" fillId="32" borderId="17" xfId="0" applyNumberFormat="1" applyFont="1" applyFill="1" applyBorder="1" applyAlignment="1">
      <alignment horizontal="right" vertical="center"/>
    </xf>
    <xf numFmtId="2" fontId="8" fillId="32" borderId="18" xfId="0" applyNumberFormat="1" applyFont="1" applyFill="1" applyBorder="1" applyAlignment="1">
      <alignment horizontal="right" vertical="center"/>
    </xf>
    <xf numFmtId="1" fontId="47" fillId="33" borderId="25" xfId="0" applyNumberFormat="1" applyFont="1" applyFill="1" applyBorder="1" applyAlignment="1">
      <alignment horizontal="center" vertical="center"/>
    </xf>
    <xf numFmtId="3" fontId="47" fillId="33" borderId="25" xfId="0" applyNumberFormat="1" applyFont="1" applyFill="1" applyBorder="1" applyAlignment="1">
      <alignment horizontal="center" vertical="center"/>
    </xf>
    <xf numFmtId="2" fontId="47" fillId="33" borderId="26" xfId="0" applyNumberFormat="1" applyFont="1" applyFill="1" applyBorder="1" applyAlignment="1">
      <alignment horizontal="center" vertical="center"/>
    </xf>
    <xf numFmtId="2" fontId="45" fillId="33" borderId="39" xfId="0" applyNumberFormat="1" applyFont="1" applyFill="1" applyBorder="1" applyAlignment="1">
      <alignment horizontal="center" vertical="center"/>
    </xf>
    <xf numFmtId="2" fontId="8" fillId="32" borderId="40" xfId="0" applyNumberFormat="1" applyFont="1" applyFill="1" applyBorder="1" applyAlignment="1">
      <alignment horizontal="center" vertical="center"/>
    </xf>
    <xf numFmtId="2" fontId="8" fillId="32" borderId="3" xfId="0" applyNumberFormat="1" applyFont="1" applyFill="1" applyBorder="1" applyAlignment="1">
      <alignment horizontal="center" vertical="center"/>
    </xf>
    <xf numFmtId="2" fontId="8" fillId="32" borderId="41" xfId="0" applyNumberFormat="1" applyFont="1" applyFill="1" applyBorder="1" applyAlignment="1">
      <alignment horizontal="center" vertical="center"/>
    </xf>
    <xf numFmtId="4" fontId="40" fillId="31" borderId="37" xfId="0" applyNumberFormat="1" applyFont="1" applyFill="1" applyBorder="1" applyAlignment="1">
      <alignment horizontal="center" vertical="center"/>
    </xf>
    <xf numFmtId="4" fontId="41" fillId="31" borderId="37" xfId="0" applyNumberFormat="1" applyFont="1" applyFill="1" applyBorder="1" applyAlignment="1">
      <alignment horizontal="left" vertical="center"/>
    </xf>
    <xf numFmtId="0" fontId="40" fillId="31" borderId="37" xfId="0" applyFont="1" applyFill="1" applyBorder="1" applyAlignment="1">
      <alignment vertical="center"/>
    </xf>
    <xf numFmtId="2" fontId="40" fillId="31" borderId="37" xfId="0" applyNumberFormat="1" applyFont="1" applyFill="1" applyBorder="1" applyAlignment="1">
      <alignment horizontal="center" vertical="center"/>
    </xf>
    <xf numFmtId="4" fontId="8" fillId="32" borderId="1" xfId="0" applyNumberFormat="1" applyFont="1" applyFill="1" applyBorder="1" applyAlignment="1">
      <alignment vertical="center"/>
    </xf>
    <xf numFmtId="4" fontId="8" fillId="32" borderId="17" xfId="0" applyNumberFormat="1" applyFont="1" applyFill="1" applyBorder="1" applyAlignment="1">
      <alignment vertical="center"/>
    </xf>
    <xf numFmtId="0" fontId="45" fillId="33" borderId="24" xfId="0" applyFont="1" applyFill="1" applyBorder="1" applyAlignment="1">
      <alignment vertical="center"/>
    </xf>
    <xf numFmtId="4" fontId="8" fillId="32" borderId="20" xfId="0" applyNumberFormat="1" applyFont="1" applyFill="1" applyBorder="1" applyAlignment="1">
      <alignment vertical="center"/>
    </xf>
    <xf numFmtId="0" fontId="48" fillId="31" borderId="37" xfId="0" applyFont="1" applyFill="1" applyBorder="1" applyAlignment="1">
      <alignment horizontal="left" vertical="center"/>
    </xf>
    <xf numFmtId="0" fontId="48" fillId="31" borderId="42" xfId="0" applyFont="1" applyFill="1" applyBorder="1" applyAlignment="1">
      <alignment vertical="center"/>
    </xf>
    <xf numFmtId="0" fontId="20" fillId="31" borderId="37" xfId="0" applyFont="1" applyFill="1" applyBorder="1" applyAlignment="1">
      <alignment vertical="center"/>
    </xf>
    <xf numFmtId="4" fontId="49" fillId="31" borderId="37" xfId="0" applyNumberFormat="1" applyFont="1" applyFill="1" applyBorder="1" applyAlignment="1">
      <alignment horizontal="center" vertical="center"/>
    </xf>
    <xf numFmtId="4" fontId="50" fillId="31" borderId="37" xfId="0" applyNumberFormat="1" applyFont="1" applyFill="1" applyBorder="1" applyAlignment="1">
      <alignment horizontal="left" vertical="center"/>
    </xf>
    <xf numFmtId="0" fontId="47" fillId="33" borderId="21" xfId="0" applyFont="1" applyFill="1" applyBorder="1" applyAlignment="1">
      <alignment horizontal="center" vertical="center"/>
    </xf>
    <xf numFmtId="0" fontId="48" fillId="31" borderId="37" xfId="0" applyFont="1" applyFill="1" applyBorder="1" applyAlignment="1">
      <alignment vertical="center"/>
    </xf>
    <xf numFmtId="0" fontId="47" fillId="33" borderId="25" xfId="0" applyFont="1" applyFill="1" applyBorder="1" applyAlignment="1">
      <alignment horizontal="center" vertical="center"/>
    </xf>
    <xf numFmtId="0" fontId="47" fillId="33" borderId="26" xfId="0" applyFont="1" applyFill="1" applyBorder="1" applyAlignment="1">
      <alignment horizontal="center" vertical="center"/>
    </xf>
    <xf numFmtId="0" fontId="51" fillId="32" borderId="19" xfId="0" applyFont="1" applyFill="1" applyBorder="1" applyAlignment="1">
      <alignment vertical="center"/>
    </xf>
    <xf numFmtId="4" fontId="51" fillId="32" borderId="20" xfId="0" applyNumberFormat="1" applyFont="1" applyFill="1" applyBorder="1" applyAlignment="1">
      <alignment vertical="center"/>
    </xf>
    <xf numFmtId="2" fontId="51" fillId="32" borderId="20" xfId="0" applyNumberFormat="1" applyFont="1" applyFill="1" applyBorder="1" applyAlignment="1">
      <alignment vertical="center"/>
    </xf>
    <xf numFmtId="4" fontId="51" fillId="32" borderId="20" xfId="0" applyNumberFormat="1" applyFont="1" applyFill="1" applyBorder="1" applyAlignment="1">
      <alignment horizontal="center" vertical="center"/>
    </xf>
    <xf numFmtId="4" fontId="51" fillId="32" borderId="21" xfId="0" applyNumberFormat="1" applyFont="1" applyFill="1" applyBorder="1" applyAlignment="1">
      <alignment vertical="center"/>
    </xf>
    <xf numFmtId="0" fontId="51" fillId="32" borderId="14" xfId="0" applyFont="1" applyFill="1" applyBorder="1" applyAlignment="1">
      <alignment vertical="center"/>
    </xf>
    <xf numFmtId="4" fontId="51" fillId="32" borderId="1" xfId="0" applyNumberFormat="1" applyFont="1" applyFill="1" applyBorder="1" applyAlignment="1">
      <alignment vertical="center"/>
    </xf>
    <xf numFmtId="2" fontId="51" fillId="32" borderId="1" xfId="0" applyNumberFormat="1" applyFont="1" applyFill="1" applyBorder="1" applyAlignment="1">
      <alignment vertical="center"/>
    </xf>
    <xf numFmtId="4" fontId="51" fillId="32" borderId="1" xfId="0" applyNumberFormat="1" applyFont="1" applyFill="1" applyBorder="1" applyAlignment="1">
      <alignment horizontal="center" vertical="center"/>
    </xf>
    <xf numFmtId="4" fontId="51" fillId="32" borderId="1" xfId="0" applyNumberFormat="1" applyFont="1" applyFill="1" applyBorder="1" applyAlignment="1">
      <alignment horizontal="right" vertical="center"/>
    </xf>
    <xf numFmtId="4" fontId="51" fillId="32" borderId="15" xfId="0" applyNumberFormat="1" applyFont="1" applyFill="1" applyBorder="1" applyAlignment="1">
      <alignment horizontal="right" vertical="center"/>
    </xf>
    <xf numFmtId="2" fontId="51" fillId="32" borderId="1" xfId="0" applyNumberFormat="1" applyFont="1" applyFill="1" applyBorder="1" applyAlignment="1">
      <alignment horizontal="right" vertical="center"/>
    </xf>
    <xf numFmtId="2" fontId="51" fillId="32" borderId="15" xfId="0" applyNumberFormat="1" applyFont="1" applyFill="1" applyBorder="1" applyAlignment="1">
      <alignment horizontal="right" vertical="center"/>
    </xf>
    <xf numFmtId="2" fontId="51" fillId="32" borderId="1" xfId="0" applyNumberFormat="1" applyFont="1" applyFill="1" applyBorder="1" applyAlignment="1">
      <alignment horizontal="center" vertical="center"/>
    </xf>
    <xf numFmtId="39" fontId="51" fillId="32" borderId="1" xfId="0" applyNumberFormat="1" applyFont="1" applyFill="1" applyBorder="1" applyAlignment="1">
      <alignment horizontal="right" vertical="center"/>
    </xf>
    <xf numFmtId="0" fontId="51" fillId="32" borderId="16" xfId="0" applyFont="1" applyFill="1" applyBorder="1" applyAlignment="1">
      <alignment vertical="center"/>
    </xf>
    <xf numFmtId="4" fontId="51" fillId="32" borderId="17" xfId="0" applyNumberFormat="1" applyFont="1" applyFill="1" applyBorder="1" applyAlignment="1">
      <alignment vertical="center"/>
    </xf>
    <xf numFmtId="2" fontId="51" fillId="32" borderId="17" xfId="0" applyNumberFormat="1" applyFont="1" applyFill="1" applyBorder="1" applyAlignment="1">
      <alignment vertical="center"/>
    </xf>
    <xf numFmtId="4" fontId="51" fillId="32" borderId="17" xfId="0" applyNumberFormat="1" applyFont="1" applyFill="1" applyBorder="1" applyAlignment="1">
      <alignment horizontal="center" vertical="center"/>
    </xf>
    <xf numFmtId="2" fontId="51" fillId="32" borderId="17" xfId="0" applyNumberFormat="1" applyFont="1" applyFill="1" applyBorder="1" applyAlignment="1">
      <alignment horizontal="center" vertical="center"/>
    </xf>
    <xf numFmtId="2" fontId="51" fillId="32" borderId="17" xfId="0" applyNumberFormat="1" applyFont="1" applyFill="1" applyBorder="1" applyAlignment="1">
      <alignment horizontal="right" vertical="center"/>
    </xf>
    <xf numFmtId="2" fontId="51" fillId="32" borderId="18" xfId="0" applyNumberFormat="1" applyFont="1" applyFill="1" applyBorder="1" applyAlignment="1">
      <alignment horizontal="right" vertical="center"/>
    </xf>
    <xf numFmtId="4" fontId="8" fillId="32" borderId="6" xfId="0" applyNumberFormat="1" applyFont="1" applyFill="1" applyBorder="1" applyAlignment="1">
      <alignment vertical="center"/>
    </xf>
    <xf numFmtId="39" fontId="8" fillId="32" borderId="1" xfId="4" applyNumberFormat="1" applyFont="1" applyFill="1" applyBorder="1" applyAlignment="1">
      <alignment horizontal="right" vertical="center"/>
    </xf>
    <xf numFmtId="39" fontId="8" fillId="32" borderId="1" xfId="0" applyNumberFormat="1" applyFont="1" applyFill="1" applyBorder="1" applyAlignment="1">
      <alignment horizontal="right" vertical="center"/>
    </xf>
    <xf numFmtId="0" fontId="17" fillId="0" borderId="2" xfId="0" applyFont="1" applyBorder="1" applyAlignment="1">
      <alignment vertical="center"/>
    </xf>
    <xf numFmtId="39" fontId="17" fillId="0" borderId="2" xfId="0" applyNumberFormat="1" applyFont="1" applyBorder="1" applyAlignment="1">
      <alignment horizontal="center" vertical="center"/>
    </xf>
    <xf numFmtId="2" fontId="17" fillId="0" borderId="2" xfId="0" applyNumberFormat="1" applyFont="1" applyBorder="1" applyAlignment="1">
      <alignment horizontal="center" vertical="center"/>
    </xf>
    <xf numFmtId="4" fontId="17" fillId="0" borderId="2" xfId="0" applyNumberFormat="1" applyFont="1" applyBorder="1" applyAlignment="1">
      <alignment horizontal="center" vertical="center"/>
    </xf>
    <xf numFmtId="4" fontId="17" fillId="0" borderId="2" xfId="0" applyNumberFormat="1" applyFont="1" applyBorder="1" applyAlignment="1">
      <alignment horizontal="right" vertical="center"/>
    </xf>
    <xf numFmtId="2" fontId="17" fillId="0" borderId="2" xfId="0" applyNumberFormat="1" applyFont="1" applyBorder="1" applyAlignment="1">
      <alignment vertical="center"/>
    </xf>
    <xf numFmtId="4" fontId="48" fillId="31" borderId="37" xfId="0" applyNumberFormat="1" applyFont="1" applyFill="1" applyBorder="1" applyAlignment="1">
      <alignment horizontal="left" vertical="center"/>
    </xf>
    <xf numFmtId="2" fontId="48" fillId="31" borderId="38" xfId="0" applyNumberFormat="1" applyFont="1" applyFill="1" applyBorder="1" applyAlignment="1">
      <alignment horizontal="center" vertical="center"/>
    </xf>
    <xf numFmtId="0" fontId="47" fillId="33" borderId="20" xfId="0" applyFont="1" applyFill="1" applyBorder="1" applyAlignment="1">
      <alignment horizontal="center" vertical="center"/>
    </xf>
    <xf numFmtId="49" fontId="47" fillId="33" borderId="20" xfId="0" applyNumberFormat="1" applyFont="1" applyFill="1" applyBorder="1" applyAlignment="1">
      <alignment horizontal="center" vertical="center"/>
    </xf>
    <xf numFmtId="39" fontId="8" fillId="32" borderId="1" xfId="0" applyNumberFormat="1" applyFont="1" applyFill="1" applyBorder="1" applyAlignment="1">
      <alignment horizontal="center" vertical="center"/>
    </xf>
    <xf numFmtId="39" fontId="8" fillId="32" borderId="17" xfId="0" applyNumberFormat="1" applyFont="1" applyFill="1" applyBorder="1" applyAlignment="1">
      <alignment horizontal="center" vertical="center"/>
    </xf>
    <xf numFmtId="2" fontId="8" fillId="32" borderId="20" xfId="0" applyNumberFormat="1" applyFont="1" applyFill="1" applyBorder="1" applyAlignment="1">
      <alignment horizontal="right" vertical="center"/>
    </xf>
    <xf numFmtId="2" fontId="8" fillId="32" borderId="21" xfId="0" applyNumberFormat="1" applyFont="1" applyFill="1" applyBorder="1" applyAlignment="1">
      <alignment horizontal="right" vertical="center"/>
    </xf>
    <xf numFmtId="166" fontId="43" fillId="31" borderId="29" xfId="0" applyNumberFormat="1" applyFont="1" applyFill="1" applyBorder="1" applyAlignment="1">
      <alignment horizontal="right"/>
    </xf>
    <xf numFmtId="0" fontId="43" fillId="31" borderId="29" xfId="0" applyFont="1" applyFill="1" applyBorder="1" applyAlignment="1">
      <alignment horizontal="left" vertical="center"/>
    </xf>
    <xf numFmtId="2" fontId="43" fillId="31" borderId="29" xfId="0" applyNumberFormat="1" applyFont="1" applyFill="1" applyBorder="1" applyAlignment="1">
      <alignment horizontal="center" vertical="center"/>
    </xf>
    <xf numFmtId="2" fontId="43" fillId="31" borderId="30" xfId="0" applyNumberFormat="1" applyFont="1" applyFill="1" applyBorder="1" applyAlignment="1">
      <alignment horizontal="center" vertical="center"/>
    </xf>
    <xf numFmtId="0" fontId="48" fillId="31" borderId="22" xfId="0" applyFont="1" applyFill="1" applyBorder="1" applyAlignment="1">
      <alignment horizontal="left" vertical="center"/>
    </xf>
    <xf numFmtId="0" fontId="48" fillId="31" borderId="6" xfId="0" applyFont="1" applyFill="1" applyBorder="1" applyAlignment="1">
      <alignment horizontal="center" vertical="center"/>
    </xf>
    <xf numFmtId="49" fontId="48" fillId="31" borderId="6" xfId="0" applyNumberFormat="1" applyFont="1" applyFill="1" applyBorder="1" applyAlignment="1">
      <alignment horizontal="center" vertical="center"/>
    </xf>
    <xf numFmtId="4" fontId="43" fillId="31" borderId="0" xfId="0" applyNumberFormat="1" applyFont="1" applyFill="1" applyAlignment="1">
      <alignment horizontal="center" vertical="center"/>
    </xf>
    <xf numFmtId="2" fontId="43" fillId="31" borderId="0" xfId="0" applyNumberFormat="1" applyFont="1" applyFill="1" applyAlignment="1">
      <alignment horizontal="center" vertical="center"/>
    </xf>
    <xf numFmtId="2" fontId="43" fillId="31" borderId="43" xfId="0" applyNumberFormat="1" applyFont="1" applyFill="1" applyBorder="1" applyAlignment="1">
      <alignment horizontal="center" vertical="center"/>
    </xf>
    <xf numFmtId="0" fontId="48" fillId="31" borderId="14" xfId="0" applyFont="1" applyFill="1" applyBorder="1" applyAlignment="1">
      <alignment vertical="center"/>
    </xf>
    <xf numFmtId="4" fontId="48" fillId="31" borderId="1" xfId="0" applyNumberFormat="1" applyFont="1" applyFill="1" applyBorder="1" applyAlignment="1">
      <alignment horizontal="center" vertical="center"/>
    </xf>
    <xf numFmtId="2" fontId="48" fillId="31" borderId="1" xfId="0" applyNumberFormat="1" applyFont="1" applyFill="1" applyBorder="1" applyAlignment="1">
      <alignment horizontal="center" vertical="center"/>
    </xf>
    <xf numFmtId="0" fontId="48" fillId="31" borderId="1" xfId="2" applyFont="1" applyFill="1" applyBorder="1" applyAlignment="1">
      <alignment vertical="center"/>
    </xf>
    <xf numFmtId="166" fontId="48" fillId="31" borderId="1" xfId="2" applyNumberFormat="1" applyFont="1" applyFill="1" applyBorder="1" applyAlignment="1">
      <alignment vertical="center"/>
    </xf>
    <xf numFmtId="0" fontId="48" fillId="31" borderId="1" xfId="2" applyFont="1" applyFill="1" applyBorder="1" applyAlignment="1">
      <alignment horizontal="right" vertical="center"/>
    </xf>
    <xf numFmtId="166" fontId="48" fillId="31" borderId="1" xfId="2" applyNumberFormat="1" applyFont="1" applyFill="1" applyBorder="1" applyAlignment="1">
      <alignment horizontal="right" vertical="center"/>
    </xf>
    <xf numFmtId="0" fontId="48" fillId="31" borderId="23" xfId="0" applyFont="1" applyFill="1" applyBorder="1" applyAlignment="1">
      <alignment vertical="center"/>
    </xf>
    <xf numFmtId="166" fontId="48" fillId="31" borderId="2" xfId="2" applyNumberFormat="1" applyFont="1" applyFill="1" applyBorder="1" applyAlignment="1">
      <alignment horizontal="right" vertical="center"/>
    </xf>
    <xf numFmtId="2" fontId="48" fillId="31" borderId="2" xfId="0" applyNumberFormat="1" applyFont="1" applyFill="1" applyBorder="1" applyAlignment="1">
      <alignment horizontal="center" vertical="center"/>
    </xf>
    <xf numFmtId="166" fontId="48" fillId="31" borderId="2" xfId="2" applyNumberFormat="1" applyFont="1" applyFill="1" applyBorder="1" applyAlignment="1">
      <alignment vertical="center"/>
    </xf>
    <xf numFmtId="0" fontId="48" fillId="31" borderId="2" xfId="2" applyFont="1" applyFill="1" applyBorder="1" applyAlignment="1">
      <alignment vertical="center"/>
    </xf>
    <xf numFmtId="4" fontId="48" fillId="31" borderId="2" xfId="0" applyNumberFormat="1" applyFont="1" applyFill="1" applyBorder="1" applyAlignment="1">
      <alignment horizontal="center" vertical="center"/>
    </xf>
    <xf numFmtId="2" fontId="43" fillId="31" borderId="32" xfId="0" applyNumberFormat="1" applyFont="1" applyFill="1" applyBorder="1" applyAlignment="1">
      <alignment horizontal="center" vertical="center"/>
    </xf>
    <xf numFmtId="2" fontId="43" fillId="31" borderId="33" xfId="0" applyNumberFormat="1" applyFont="1" applyFill="1" applyBorder="1" applyAlignment="1">
      <alignment horizontal="center" vertical="center"/>
    </xf>
    <xf numFmtId="49" fontId="47" fillId="33" borderId="25" xfId="0" applyNumberFormat="1" applyFont="1" applyFill="1" applyBorder="1" applyAlignment="1">
      <alignment horizontal="center" vertical="center"/>
    </xf>
    <xf numFmtId="49" fontId="47" fillId="33" borderId="26" xfId="0" applyNumberFormat="1" applyFont="1" applyFill="1" applyBorder="1" applyAlignment="1">
      <alignment horizontal="center" vertical="center"/>
    </xf>
    <xf numFmtId="0" fontId="8" fillId="32" borderId="20" xfId="2" applyFont="1" applyFill="1" applyBorder="1" applyAlignment="1">
      <alignment vertical="center"/>
    </xf>
    <xf numFmtId="166" fontId="8" fillId="32" borderId="20" xfId="2" applyNumberFormat="1" applyFont="1" applyFill="1" applyBorder="1" applyAlignment="1">
      <alignment vertical="center"/>
    </xf>
    <xf numFmtId="0" fontId="8" fillId="32" borderId="1" xfId="2" applyFont="1" applyFill="1" applyBorder="1" applyAlignment="1">
      <alignment vertical="center"/>
    </xf>
    <xf numFmtId="166" fontId="8" fillId="32" borderId="1" xfId="2" applyNumberFormat="1" applyFont="1" applyFill="1" applyBorder="1" applyAlignment="1">
      <alignment vertical="center"/>
    </xf>
    <xf numFmtId="0" fontId="8" fillId="32" borderId="1" xfId="2" applyFont="1" applyFill="1" applyBorder="1" applyAlignment="1">
      <alignment horizontal="right" vertical="center"/>
    </xf>
    <xf numFmtId="166" fontId="8" fillId="32" borderId="1" xfId="2" applyNumberFormat="1" applyFont="1" applyFill="1" applyBorder="1" applyAlignment="1">
      <alignment horizontal="right" vertical="center"/>
    </xf>
    <xf numFmtId="166" fontId="8" fillId="32" borderId="17" xfId="2" applyNumberFormat="1" applyFont="1" applyFill="1" applyBorder="1" applyAlignment="1">
      <alignment horizontal="right" vertical="center"/>
    </xf>
    <xf numFmtId="166" fontId="8" fillId="32" borderId="17" xfId="2" applyNumberFormat="1" applyFont="1" applyFill="1" applyBorder="1" applyAlignment="1">
      <alignment vertical="center"/>
    </xf>
    <xf numFmtId="167" fontId="8" fillId="32" borderId="1" xfId="0" applyNumberFormat="1" applyFont="1" applyFill="1" applyBorder="1" applyAlignment="1">
      <alignment horizontal="center" vertical="center"/>
    </xf>
    <xf numFmtId="166" fontId="8" fillId="32" borderId="1" xfId="2" applyNumberFormat="1" applyFont="1" applyFill="1" applyBorder="1" applyAlignment="1">
      <alignment horizontal="center" vertical="center"/>
    </xf>
    <xf numFmtId="166" fontId="8" fillId="32" borderId="17" xfId="2" applyNumberFormat="1" applyFont="1" applyFill="1" applyBorder="1" applyAlignment="1">
      <alignment horizontal="center" vertical="center"/>
    </xf>
    <xf numFmtId="0" fontId="48" fillId="31" borderId="37" xfId="0" applyFont="1" applyFill="1" applyBorder="1" applyAlignment="1">
      <alignment horizontal="right" vertical="center"/>
    </xf>
    <xf numFmtId="4" fontId="48" fillId="31" borderId="37" xfId="0" applyNumberFormat="1" applyFont="1" applyFill="1" applyBorder="1" applyAlignment="1">
      <alignment vertical="center"/>
    </xf>
    <xf numFmtId="0" fontId="52" fillId="31" borderId="37" xfId="0" applyFont="1" applyFill="1" applyBorder="1" applyAlignment="1">
      <alignment vertical="center"/>
    </xf>
    <xf numFmtId="0" fontId="43" fillId="31" borderId="38" xfId="0" applyFont="1" applyFill="1" applyBorder="1" applyAlignment="1">
      <alignment vertical="center"/>
    </xf>
    <xf numFmtId="0" fontId="17" fillId="33" borderId="25" xfId="0" applyFont="1" applyFill="1" applyBorder="1" applyAlignment="1">
      <alignment horizontal="center" vertical="center"/>
    </xf>
    <xf numFmtId="49" fontId="17" fillId="33" borderId="25" xfId="0" applyNumberFormat="1" applyFont="1" applyFill="1" applyBorder="1" applyAlignment="1">
      <alignment horizontal="center" vertical="center"/>
    </xf>
    <xf numFmtId="49" fontId="17" fillId="33" borderId="39" xfId="0" applyNumberFormat="1" applyFont="1" applyFill="1" applyBorder="1" applyAlignment="1">
      <alignment horizontal="center" vertical="center"/>
    </xf>
    <xf numFmtId="49" fontId="17" fillId="33" borderId="26" xfId="0" applyNumberFormat="1" applyFont="1" applyFill="1" applyBorder="1" applyAlignment="1">
      <alignment horizontal="center" vertical="center"/>
    </xf>
    <xf numFmtId="0" fontId="48" fillId="31" borderId="42" xfId="0" quotePrefix="1" applyFont="1" applyFill="1" applyBorder="1" applyAlignment="1">
      <alignment horizontal="left" vertical="center"/>
    </xf>
    <xf numFmtId="4" fontId="48" fillId="31" borderId="37" xfId="0" applyNumberFormat="1" applyFont="1" applyFill="1" applyBorder="1" applyAlignment="1">
      <alignment horizontal="center" vertical="center"/>
    </xf>
    <xf numFmtId="2" fontId="48" fillId="31" borderId="37" xfId="0" applyNumberFormat="1" applyFont="1" applyFill="1" applyBorder="1" applyAlignment="1">
      <alignment horizontal="right" vertical="center"/>
    </xf>
    <xf numFmtId="0" fontId="48" fillId="31" borderId="37" xfId="0" quotePrefix="1" applyFont="1" applyFill="1" applyBorder="1" applyAlignment="1">
      <alignment horizontal="left" vertical="center"/>
    </xf>
    <xf numFmtId="49" fontId="17" fillId="33" borderId="25" xfId="0" applyNumberFormat="1" applyFont="1" applyFill="1" applyBorder="1" applyAlignment="1">
      <alignment horizontal="right" vertical="center"/>
    </xf>
    <xf numFmtId="2" fontId="51" fillId="32" borderId="20" xfId="0" applyNumberFormat="1" applyFont="1" applyFill="1" applyBorder="1" applyAlignment="1">
      <alignment horizontal="center" vertical="center"/>
    </xf>
    <xf numFmtId="4" fontId="51" fillId="32" borderId="20" xfId="0" applyNumberFormat="1" applyFont="1" applyFill="1" applyBorder="1" applyAlignment="1">
      <alignment horizontal="right" vertical="center"/>
    </xf>
    <xf numFmtId="2" fontId="51" fillId="32" borderId="21" xfId="0" applyNumberFormat="1" applyFont="1" applyFill="1" applyBorder="1" applyAlignment="1">
      <alignment horizontal="center" vertical="center"/>
    </xf>
    <xf numFmtId="2" fontId="51" fillId="32" borderId="15" xfId="0" applyNumberFormat="1" applyFont="1" applyFill="1" applyBorder="1" applyAlignment="1">
      <alignment horizontal="center" vertical="center"/>
    </xf>
    <xf numFmtId="0" fontId="51" fillId="32" borderId="1" xfId="0" applyFont="1" applyFill="1" applyBorder="1" applyAlignment="1">
      <alignment horizontal="center" vertical="center"/>
    </xf>
    <xf numFmtId="4" fontId="51" fillId="32" borderId="17" xfId="0" applyNumberFormat="1" applyFont="1" applyFill="1" applyBorder="1" applyAlignment="1">
      <alignment horizontal="right" vertical="center"/>
    </xf>
    <xf numFmtId="2" fontId="51" fillId="32" borderId="18" xfId="0" applyNumberFormat="1" applyFont="1" applyFill="1" applyBorder="1" applyAlignment="1">
      <alignment horizontal="center" vertical="center"/>
    </xf>
    <xf numFmtId="4" fontId="53" fillId="31" borderId="37" xfId="0" applyNumberFormat="1" applyFont="1" applyFill="1" applyBorder="1" applyAlignment="1">
      <alignment horizontal="center" vertical="center"/>
    </xf>
    <xf numFmtId="2" fontId="53" fillId="31" borderId="37" xfId="0" applyNumberFormat="1" applyFont="1" applyFill="1" applyBorder="1" applyAlignment="1">
      <alignment horizontal="center" vertical="center"/>
    </xf>
    <xf numFmtId="2" fontId="53" fillId="31" borderId="37" xfId="0" applyNumberFormat="1" applyFont="1" applyFill="1" applyBorder="1" applyAlignment="1">
      <alignment horizontal="right" vertical="center"/>
    </xf>
    <xf numFmtId="49" fontId="47" fillId="33" borderId="44" xfId="0" applyNumberFormat="1" applyFont="1" applyFill="1" applyBorder="1" applyAlignment="1">
      <alignment horizontal="center" vertical="center"/>
    </xf>
    <xf numFmtId="2" fontId="47" fillId="33" borderId="25" xfId="0" applyNumberFormat="1" applyFont="1" applyFill="1" applyBorder="1" applyAlignment="1">
      <alignment vertical="center"/>
    </xf>
    <xf numFmtId="2" fontId="47" fillId="33" borderId="26" xfId="0" applyNumberFormat="1" applyFont="1" applyFill="1" applyBorder="1" applyAlignment="1">
      <alignment vertical="center"/>
    </xf>
    <xf numFmtId="49" fontId="47" fillId="33" borderId="21" xfId="0" applyNumberFormat="1" applyFont="1" applyFill="1" applyBorder="1" applyAlignment="1">
      <alignment horizontal="center" vertical="center"/>
    </xf>
    <xf numFmtId="0" fontId="43" fillId="31" borderId="37" xfId="0" applyFont="1" applyFill="1" applyBorder="1" applyAlignment="1">
      <alignment horizontal="right" vertical="center"/>
    </xf>
    <xf numFmtId="0" fontId="43" fillId="31" borderId="37" xfId="0" applyFont="1" applyFill="1" applyBorder="1" applyAlignment="1">
      <alignment horizontal="left" vertical="center"/>
    </xf>
    <xf numFmtId="39" fontId="8" fillId="32" borderId="20" xfId="0" applyNumberFormat="1" applyFont="1" applyFill="1" applyBorder="1" applyAlignment="1">
      <alignment horizontal="center" vertical="center"/>
    </xf>
    <xf numFmtId="39" fontId="8" fillId="32" borderId="17" xfId="0" applyNumberFormat="1" applyFont="1" applyFill="1" applyBorder="1" applyAlignment="1">
      <alignment horizontal="left" vertical="center"/>
    </xf>
    <xf numFmtId="0" fontId="43" fillId="31" borderId="42" xfId="0" quotePrefix="1" applyFont="1" applyFill="1" applyBorder="1" applyAlignment="1">
      <alignment horizontal="left" vertical="center"/>
    </xf>
    <xf numFmtId="4" fontId="43" fillId="31" borderId="37" xfId="0" applyNumberFormat="1" applyFont="1" applyFill="1" applyBorder="1" applyAlignment="1">
      <alignment horizontal="center" vertical="center"/>
    </xf>
    <xf numFmtId="4" fontId="43" fillId="31" borderId="37" xfId="0" applyNumberFormat="1" applyFont="1" applyFill="1" applyBorder="1" applyAlignment="1">
      <alignment horizontal="left" vertical="center"/>
    </xf>
    <xf numFmtId="4" fontId="43" fillId="31" borderId="37" xfId="0" applyNumberFormat="1" applyFont="1" applyFill="1" applyBorder="1" applyAlignment="1">
      <alignment vertical="center"/>
    </xf>
    <xf numFmtId="0" fontId="43" fillId="31" borderId="37" xfId="0" applyFont="1" applyFill="1" applyBorder="1" applyAlignment="1">
      <alignment horizontal="center" vertical="center"/>
    </xf>
    <xf numFmtId="0" fontId="17" fillId="33" borderId="25" xfId="0" applyFont="1" applyFill="1" applyBorder="1" applyAlignment="1">
      <alignment horizontal="right" vertical="center"/>
    </xf>
    <xf numFmtId="0" fontId="17" fillId="33" borderId="26" xfId="0" applyFont="1" applyFill="1" applyBorder="1" applyAlignment="1">
      <alignment horizontal="center" vertical="center"/>
    </xf>
    <xf numFmtId="0" fontId="47" fillId="33" borderId="25" xfId="0" applyFont="1" applyFill="1" applyBorder="1" applyAlignment="1">
      <alignment horizontal="right" vertical="center"/>
    </xf>
    <xf numFmtId="39" fontId="17" fillId="33" borderId="25" xfId="0" applyNumberFormat="1" applyFont="1" applyFill="1" applyBorder="1" applyAlignment="1">
      <alignment horizontal="center" vertical="center"/>
    </xf>
    <xf numFmtId="2" fontId="17" fillId="33" borderId="26" xfId="0" applyNumberFormat="1" applyFont="1" applyFill="1" applyBorder="1" applyAlignment="1">
      <alignment horizontal="center" vertical="center"/>
    </xf>
    <xf numFmtId="0" fontId="48" fillId="31" borderId="37" xfId="0" applyFont="1" applyFill="1" applyBorder="1" applyAlignment="1">
      <alignment horizontal="center" vertical="center"/>
    </xf>
    <xf numFmtId="0" fontId="45" fillId="33" borderId="44" xfId="0" applyFont="1" applyFill="1" applyBorder="1" applyAlignment="1">
      <alignment horizontal="center" vertical="center"/>
    </xf>
    <xf numFmtId="0" fontId="48" fillId="31" borderId="42" xfId="0" applyFont="1" applyFill="1" applyBorder="1" applyAlignment="1">
      <alignment horizontal="left" vertical="center"/>
    </xf>
    <xf numFmtId="0" fontId="54" fillId="31" borderId="37" xfId="0" applyFont="1" applyFill="1" applyBorder="1" applyAlignment="1">
      <alignment horizontal="center" vertical="center"/>
    </xf>
    <xf numFmtId="4" fontId="54" fillId="31" borderId="37" xfId="0" applyNumberFormat="1" applyFont="1" applyFill="1" applyBorder="1" applyAlignment="1">
      <alignment horizontal="center" vertical="center"/>
    </xf>
    <xf numFmtId="4" fontId="46" fillId="31" borderId="37" xfId="0" applyNumberFormat="1" applyFont="1" applyFill="1" applyBorder="1" applyAlignment="1">
      <alignment horizontal="center" vertical="center"/>
    </xf>
    <xf numFmtId="0" fontId="20" fillId="0" borderId="0" xfId="0" applyFont="1" applyAlignment="1">
      <alignment vertical="center"/>
    </xf>
    <xf numFmtId="0" fontId="19" fillId="0" borderId="0" xfId="0" applyFont="1" applyAlignment="1">
      <alignment vertical="center"/>
    </xf>
    <xf numFmtId="0" fontId="55" fillId="31" borderId="42" xfId="0" quotePrefix="1" applyFont="1" applyFill="1" applyBorder="1" applyAlignment="1">
      <alignment horizontal="left" vertical="center"/>
    </xf>
    <xf numFmtId="4" fontId="55" fillId="31" borderId="37" xfId="0" applyNumberFormat="1" applyFont="1" applyFill="1" applyBorder="1" applyAlignment="1">
      <alignment horizontal="center" vertical="center"/>
    </xf>
    <xf numFmtId="0" fontId="55" fillId="31" borderId="37" xfId="0" applyFont="1" applyFill="1" applyBorder="1" applyAlignment="1">
      <alignment vertical="center"/>
    </xf>
    <xf numFmtId="4" fontId="55" fillId="31" borderId="37" xfId="0" applyNumberFormat="1" applyFont="1" applyFill="1" applyBorder="1" applyAlignment="1">
      <alignment horizontal="left" vertical="center"/>
    </xf>
    <xf numFmtId="0" fontId="55" fillId="31" borderId="37" xfId="0" applyFont="1" applyFill="1" applyBorder="1" applyAlignment="1">
      <alignment horizontal="center" vertical="center"/>
    </xf>
    <xf numFmtId="0" fontId="55" fillId="31" borderId="37" xfId="0" applyFont="1" applyFill="1" applyBorder="1" applyAlignment="1">
      <alignment horizontal="left" vertical="center"/>
    </xf>
    <xf numFmtId="4" fontId="55" fillId="31" borderId="37" xfId="0" applyNumberFormat="1" applyFont="1" applyFill="1" applyBorder="1" applyAlignment="1">
      <alignment vertical="center"/>
    </xf>
    <xf numFmtId="0" fontId="55" fillId="31" borderId="38" xfId="0" applyFont="1" applyFill="1" applyBorder="1" applyAlignment="1">
      <alignment vertical="center"/>
    </xf>
    <xf numFmtId="39" fontId="18" fillId="32" borderId="1" xfId="0" applyNumberFormat="1" applyFont="1" applyFill="1" applyBorder="1" applyAlignment="1">
      <alignment horizontal="center" vertical="center"/>
    </xf>
    <xf numFmtId="0" fontId="45" fillId="33" borderId="21" xfId="0" applyFont="1" applyFill="1" applyBorder="1" applyAlignment="1">
      <alignment horizontal="center" vertical="center"/>
    </xf>
    <xf numFmtId="0" fontId="56" fillId="31" borderId="42" xfId="0" applyFont="1" applyFill="1" applyBorder="1" applyAlignment="1">
      <alignment horizontal="left" vertical="center"/>
    </xf>
    <xf numFmtId="0" fontId="54" fillId="31" borderId="37" xfId="0" applyFont="1" applyFill="1" applyBorder="1" applyAlignment="1">
      <alignment vertical="center"/>
    </xf>
    <xf numFmtId="0" fontId="54" fillId="31" borderId="37" xfId="0" applyFont="1" applyFill="1" applyBorder="1" applyAlignment="1">
      <alignment horizontal="left" vertical="center"/>
    </xf>
    <xf numFmtId="4" fontId="54" fillId="31" borderId="37" xfId="0" applyNumberFormat="1" applyFont="1" applyFill="1" applyBorder="1" applyAlignment="1">
      <alignment horizontal="left" vertical="center"/>
    </xf>
    <xf numFmtId="4" fontId="54" fillId="31" borderId="37" xfId="0" applyNumberFormat="1" applyFont="1" applyFill="1" applyBorder="1" applyAlignment="1">
      <alignment vertical="center"/>
    </xf>
    <xf numFmtId="0" fontId="54" fillId="31" borderId="38" xfId="0" applyFont="1" applyFill="1" applyBorder="1" applyAlignment="1">
      <alignment vertical="center"/>
    </xf>
    <xf numFmtId="0" fontId="46" fillId="31" borderId="42" xfId="0" quotePrefix="1" applyFont="1" applyFill="1" applyBorder="1" applyAlignment="1">
      <alignment horizontal="left" vertical="center"/>
    </xf>
    <xf numFmtId="4" fontId="46" fillId="31" borderId="37" xfId="0" applyNumberFormat="1" applyFont="1" applyFill="1" applyBorder="1" applyAlignment="1">
      <alignment horizontal="left" vertical="center"/>
    </xf>
    <xf numFmtId="0" fontId="27" fillId="0" borderId="0" xfId="0" applyFont="1" applyAlignment="1">
      <alignment vertical="center"/>
    </xf>
    <xf numFmtId="0" fontId="26" fillId="0" borderId="0" xfId="0" applyFont="1" applyAlignment="1">
      <alignment vertical="center"/>
    </xf>
    <xf numFmtId="0" fontId="57" fillId="31" borderId="42" xfId="0" quotePrefix="1" applyFont="1" applyFill="1" applyBorder="1" applyAlignment="1">
      <alignment horizontal="left" vertical="center"/>
    </xf>
    <xf numFmtId="4" fontId="57" fillId="31" borderId="37" xfId="0" applyNumberFormat="1" applyFont="1" applyFill="1" applyBorder="1" applyAlignment="1">
      <alignment horizontal="center" vertical="center"/>
    </xf>
    <xf numFmtId="0" fontId="57" fillId="31" borderId="37" xfId="0" applyFont="1" applyFill="1" applyBorder="1" applyAlignment="1">
      <alignment vertical="center"/>
    </xf>
    <xf numFmtId="4" fontId="57" fillId="31" borderId="37" xfId="0" applyNumberFormat="1" applyFont="1" applyFill="1" applyBorder="1" applyAlignment="1">
      <alignment horizontal="left" vertical="center"/>
    </xf>
    <xf numFmtId="2" fontId="57" fillId="31" borderId="37" xfId="0" applyNumberFormat="1" applyFont="1" applyFill="1" applyBorder="1" applyAlignment="1">
      <alignment horizontal="center" vertical="center"/>
    </xf>
    <xf numFmtId="0" fontId="57" fillId="31" borderId="37" xfId="0" applyFont="1" applyFill="1" applyBorder="1" applyAlignment="1">
      <alignment horizontal="left" vertical="center"/>
    </xf>
    <xf numFmtId="4" fontId="57" fillId="31" borderId="37" xfId="0" applyNumberFormat="1" applyFont="1" applyFill="1" applyBorder="1" applyAlignment="1">
      <alignment vertical="center"/>
    </xf>
    <xf numFmtId="0" fontId="57" fillId="31" borderId="38" xfId="0" applyFont="1" applyFill="1" applyBorder="1" applyAlignment="1">
      <alignment vertical="center"/>
    </xf>
    <xf numFmtId="49" fontId="45" fillId="33" borderId="25" xfId="0" applyNumberFormat="1" applyFont="1" applyFill="1" applyBorder="1" applyAlignment="1">
      <alignment horizontal="center" vertical="center"/>
    </xf>
    <xf numFmtId="49" fontId="45" fillId="33" borderId="25" xfId="0" quotePrefix="1" applyNumberFormat="1" applyFont="1" applyFill="1" applyBorder="1" applyAlignment="1">
      <alignment horizontal="center" vertical="center"/>
    </xf>
    <xf numFmtId="39" fontId="8" fillId="32" borderId="21" xfId="0" applyNumberFormat="1" applyFont="1" applyFill="1" applyBorder="1" applyAlignment="1">
      <alignment horizontal="center" vertical="center"/>
    </xf>
    <xf numFmtId="39" fontId="8" fillId="32" borderId="15" xfId="0" applyNumberFormat="1" applyFont="1" applyFill="1" applyBorder="1" applyAlignment="1">
      <alignment horizontal="center" vertical="center"/>
    </xf>
    <xf numFmtId="39" fontId="8" fillId="32" borderId="18" xfId="0" applyNumberFormat="1" applyFont="1" applyFill="1" applyBorder="1" applyAlignment="1">
      <alignment horizontal="center" vertical="center"/>
    </xf>
    <xf numFmtId="39" fontId="8" fillId="32" borderId="5" xfId="0" applyNumberFormat="1" applyFont="1" applyFill="1" applyBorder="1" applyAlignment="1">
      <alignment horizontal="left" vertical="center"/>
    </xf>
    <xf numFmtId="2" fontId="8" fillId="32" borderId="27" xfId="0" applyNumberFormat="1" applyFont="1" applyFill="1" applyBorder="1" applyAlignment="1">
      <alignment horizontal="center" vertical="center"/>
    </xf>
    <xf numFmtId="2" fontId="8" fillId="34" borderId="28" xfId="0" applyNumberFormat="1" applyFont="1" applyFill="1" applyBorder="1" applyAlignment="1">
      <alignment horizontal="center" vertical="center"/>
    </xf>
    <xf numFmtId="2" fontId="8" fillId="34" borderId="29" xfId="0" applyNumberFormat="1" applyFont="1" applyFill="1" applyBorder="1" applyAlignment="1">
      <alignment horizontal="center" vertical="center"/>
    </xf>
    <xf numFmtId="2" fontId="8" fillId="34" borderId="22" xfId="0" applyNumberFormat="1" applyFont="1" applyFill="1" applyBorder="1" applyAlignment="1">
      <alignment horizontal="center" vertical="center"/>
    </xf>
    <xf numFmtId="2" fontId="8" fillId="34" borderId="0" xfId="0" applyNumberFormat="1" applyFont="1" applyFill="1" applyAlignment="1">
      <alignment horizontal="center" vertical="center"/>
    </xf>
    <xf numFmtId="0" fontId="48" fillId="31" borderId="38" xfId="0" applyFont="1" applyFill="1" applyBorder="1" applyAlignment="1">
      <alignment vertical="center"/>
    </xf>
    <xf numFmtId="0" fontId="46" fillId="31" borderId="42" xfId="0" applyFont="1" applyFill="1" applyBorder="1" applyAlignment="1">
      <alignment horizontal="left" vertical="center"/>
    </xf>
    <xf numFmtId="0" fontId="58" fillId="31" borderId="42" xfId="0" quotePrefix="1" applyFont="1" applyFill="1" applyBorder="1" applyAlignment="1">
      <alignment horizontal="left" vertical="center"/>
    </xf>
    <xf numFmtId="2" fontId="48" fillId="31" borderId="37" xfId="0" applyNumberFormat="1" applyFont="1" applyFill="1" applyBorder="1" applyAlignment="1">
      <alignment horizontal="center" vertical="center"/>
    </xf>
    <xf numFmtId="2" fontId="48" fillId="31" borderId="38" xfId="0" applyNumberFormat="1" applyFont="1" applyFill="1" applyBorder="1" applyAlignment="1">
      <alignment vertical="center"/>
    </xf>
    <xf numFmtId="0" fontId="56" fillId="31" borderId="42" xfId="0" applyFont="1" applyFill="1" applyBorder="1" applyAlignment="1">
      <alignment vertical="center"/>
    </xf>
    <xf numFmtId="0" fontId="56" fillId="31" borderId="37" xfId="0" applyFont="1" applyFill="1" applyBorder="1" applyAlignment="1">
      <alignment vertical="center"/>
    </xf>
    <xf numFmtId="4" fontId="56" fillId="31" borderId="37" xfId="0" applyNumberFormat="1" applyFont="1" applyFill="1" applyBorder="1" applyAlignment="1">
      <alignment horizontal="center" vertical="center"/>
    </xf>
    <xf numFmtId="0" fontId="56" fillId="31" borderId="37" xfId="0" applyFont="1" applyFill="1" applyBorder="1" applyAlignment="1">
      <alignment horizontal="left" vertical="center"/>
    </xf>
    <xf numFmtId="0" fontId="56" fillId="31" borderId="38" xfId="0" applyFont="1" applyFill="1" applyBorder="1" applyAlignment="1">
      <alignment vertical="center"/>
    </xf>
    <xf numFmtId="4" fontId="8" fillId="32" borderId="21" xfId="0" applyNumberFormat="1" applyFont="1" applyFill="1" applyBorder="1" applyAlignment="1">
      <alignment horizontal="center" vertical="center"/>
    </xf>
    <xf numFmtId="4" fontId="8" fillId="32" borderId="15" xfId="0" applyNumberFormat="1" applyFont="1" applyFill="1" applyBorder="1" applyAlignment="1">
      <alignment horizontal="center" vertical="center"/>
    </xf>
    <xf numFmtId="4" fontId="8" fillId="32" borderId="18" xfId="0" applyNumberFormat="1" applyFont="1" applyFill="1" applyBorder="1" applyAlignment="1">
      <alignment horizontal="center" vertical="center"/>
    </xf>
    <xf numFmtId="0" fontId="8" fillId="35" borderId="42" xfId="0" applyFont="1" applyFill="1" applyBorder="1" applyAlignment="1">
      <alignment vertical="center"/>
    </xf>
    <xf numFmtId="4" fontId="8" fillId="35" borderId="37" xfId="0" applyNumberFormat="1" applyFont="1" applyFill="1" applyBorder="1" applyAlignment="1">
      <alignment horizontal="center" vertical="center"/>
    </xf>
    <xf numFmtId="0" fontId="42" fillId="35" borderId="37" xfId="0" applyFont="1" applyFill="1" applyBorder="1" applyAlignment="1">
      <alignment horizontal="left" vertical="center"/>
    </xf>
    <xf numFmtId="4" fontId="42" fillId="35" borderId="37" xfId="0" applyNumberFormat="1" applyFont="1" applyFill="1" applyBorder="1" applyAlignment="1">
      <alignment horizontal="center" vertical="center"/>
    </xf>
    <xf numFmtId="2" fontId="8" fillId="35" borderId="37" xfId="0" applyNumberFormat="1" applyFont="1" applyFill="1" applyBorder="1" applyAlignment="1">
      <alignment vertical="center"/>
    </xf>
    <xf numFmtId="4" fontId="8" fillId="35" borderId="37" xfId="0" applyNumberFormat="1" applyFont="1" applyFill="1" applyBorder="1" applyAlignment="1">
      <alignment vertical="center"/>
    </xf>
    <xf numFmtId="2" fontId="8" fillId="35" borderId="38" xfId="0" applyNumberFormat="1" applyFont="1" applyFill="1" applyBorder="1" applyAlignment="1">
      <alignment vertical="center"/>
    </xf>
    <xf numFmtId="2" fontId="56" fillId="31" borderId="0" xfId="0" quotePrefix="1" applyNumberFormat="1" applyFont="1" applyFill="1" applyAlignment="1">
      <alignment horizontal="left" vertical="center"/>
    </xf>
    <xf numFmtId="0" fontId="43" fillId="31" borderId="0" xfId="0" applyFont="1" applyFill="1" applyAlignment="1">
      <alignment horizontal="left" vertical="center"/>
    </xf>
    <xf numFmtId="0" fontId="59" fillId="31" borderId="0" xfId="0" applyFont="1" applyFill="1" applyAlignment="1">
      <alignment horizontal="left" vertical="center"/>
    </xf>
    <xf numFmtId="2" fontId="56" fillId="31" borderId="0" xfId="0" applyNumberFormat="1" applyFont="1" applyFill="1" applyAlignment="1">
      <alignment horizontal="left" vertical="center"/>
    </xf>
    <xf numFmtId="0" fontId="57" fillId="31" borderId="42" xfId="0" applyFont="1" applyFill="1" applyBorder="1" applyAlignment="1">
      <alignment horizontal="left" vertical="center"/>
    </xf>
    <xf numFmtId="4" fontId="54" fillId="31" borderId="32" xfId="0" applyNumberFormat="1" applyFont="1" applyFill="1" applyBorder="1" applyAlignment="1">
      <alignment horizontal="center" vertical="center"/>
    </xf>
    <xf numFmtId="0" fontId="8" fillId="0" borderId="32" xfId="0" applyFont="1" applyBorder="1" applyAlignment="1">
      <alignment vertical="center"/>
    </xf>
    <xf numFmtId="0" fontId="45" fillId="33" borderId="34" xfId="0" applyFont="1" applyFill="1" applyBorder="1" applyAlignment="1">
      <alignment horizontal="center" vertical="center"/>
    </xf>
    <xf numFmtId="0" fontId="60" fillId="31" borderId="42" xfId="0" applyFont="1" applyFill="1" applyBorder="1" applyAlignment="1">
      <alignment horizontal="left" vertical="center"/>
    </xf>
    <xf numFmtId="4" fontId="60" fillId="31" borderId="37" xfId="0" applyNumberFormat="1" applyFont="1" applyFill="1" applyBorder="1" applyAlignment="1">
      <alignment horizontal="center" vertical="center"/>
    </xf>
    <xf numFmtId="0" fontId="60" fillId="31" borderId="37" xfId="0" applyFont="1" applyFill="1" applyBorder="1" applyAlignment="1">
      <alignment vertical="center"/>
    </xf>
    <xf numFmtId="4" fontId="60" fillId="31" borderId="37" xfId="0" applyNumberFormat="1" applyFont="1" applyFill="1" applyBorder="1" applyAlignment="1">
      <alignment horizontal="left" vertical="center"/>
    </xf>
    <xf numFmtId="2" fontId="60" fillId="31" borderId="37" xfId="0" applyNumberFormat="1" applyFont="1" applyFill="1" applyBorder="1" applyAlignment="1">
      <alignment horizontal="center" vertical="center"/>
    </xf>
    <xf numFmtId="0" fontId="60" fillId="31" borderId="37" xfId="0" applyFont="1" applyFill="1" applyBorder="1" applyAlignment="1">
      <alignment horizontal="left" vertical="center"/>
    </xf>
    <xf numFmtId="0" fontId="61" fillId="31" borderId="37" xfId="0" applyFont="1" applyFill="1" applyBorder="1" applyAlignment="1">
      <alignment vertical="center"/>
    </xf>
    <xf numFmtId="0" fontId="60" fillId="31" borderId="38" xfId="0" applyFont="1" applyFill="1" applyBorder="1" applyAlignment="1">
      <alignment vertical="center"/>
    </xf>
    <xf numFmtId="49" fontId="45" fillId="33" borderId="26" xfId="0" applyNumberFormat="1" applyFont="1" applyFill="1" applyBorder="1" applyAlignment="1">
      <alignment horizontal="center" vertical="center"/>
    </xf>
    <xf numFmtId="0" fontId="16" fillId="31" borderId="32" xfId="0" applyFont="1" applyFill="1" applyBorder="1" applyAlignment="1">
      <alignment vertical="center"/>
    </xf>
    <xf numFmtId="4" fontId="8" fillId="0" borderId="32" xfId="0" applyNumberFormat="1" applyFont="1" applyBorder="1" applyAlignment="1">
      <alignment horizontal="center" vertical="center"/>
    </xf>
    <xf numFmtId="39" fontId="20" fillId="0" borderId="0" xfId="0" applyNumberFormat="1" applyFont="1" applyAlignment="1">
      <alignment horizontal="center" vertical="center"/>
    </xf>
    <xf numFmtId="2" fontId="20" fillId="0" borderId="0" xfId="0" applyNumberFormat="1" applyFont="1" applyAlignment="1">
      <alignment horizontal="center" vertical="center"/>
    </xf>
    <xf numFmtId="2" fontId="20" fillId="0" borderId="0" xfId="0" applyNumberFormat="1" applyFont="1" applyAlignment="1">
      <alignment vertical="center"/>
    </xf>
    <xf numFmtId="39" fontId="19" fillId="0" borderId="0" xfId="0" applyNumberFormat="1" applyFont="1" applyAlignment="1">
      <alignment horizontal="center" vertical="center"/>
    </xf>
    <xf numFmtId="2" fontId="19" fillId="0" borderId="0" xfId="0" applyNumberFormat="1" applyFont="1" applyAlignment="1">
      <alignment horizontal="center" vertical="center"/>
    </xf>
    <xf numFmtId="2" fontId="19" fillId="0" borderId="0" xfId="0" applyNumberFormat="1" applyFont="1" applyAlignment="1">
      <alignment vertical="center"/>
    </xf>
    <xf numFmtId="39" fontId="27" fillId="0" borderId="0" xfId="0" applyNumberFormat="1" applyFont="1" applyAlignment="1">
      <alignment horizontal="center" vertical="center"/>
    </xf>
    <xf numFmtId="2" fontId="27" fillId="0" borderId="0" xfId="0" applyNumberFormat="1" applyFont="1" applyAlignment="1">
      <alignment horizontal="center" vertical="center"/>
    </xf>
    <xf numFmtId="2" fontId="27" fillId="0" borderId="0" xfId="0" applyNumberFormat="1" applyFont="1" applyAlignment="1">
      <alignment vertical="center"/>
    </xf>
    <xf numFmtId="39" fontId="26" fillId="0" borderId="0" xfId="0" applyNumberFormat="1" applyFont="1" applyAlignment="1">
      <alignment horizontal="center" vertical="center"/>
    </xf>
    <xf numFmtId="2" fontId="26" fillId="0" borderId="0" xfId="0" applyNumberFormat="1" applyFont="1" applyAlignment="1">
      <alignment horizontal="center" vertical="center"/>
    </xf>
    <xf numFmtId="2" fontId="26" fillId="0" borderId="0" xfId="0" applyNumberFormat="1" applyFont="1" applyAlignment="1">
      <alignment vertical="center"/>
    </xf>
    <xf numFmtId="0" fontId="57" fillId="31" borderId="37" xfId="0" applyFont="1" applyFill="1" applyBorder="1" applyAlignment="1">
      <alignment horizontal="center" vertical="center"/>
    </xf>
    <xf numFmtId="167" fontId="8" fillId="32" borderId="20" xfId="0" applyNumberFormat="1" applyFont="1" applyFill="1" applyBorder="1" applyAlignment="1">
      <alignment horizontal="center" vertical="center"/>
    </xf>
    <xf numFmtId="167" fontId="8" fillId="32" borderId="17" xfId="0" applyNumberFormat="1" applyFont="1" applyFill="1" applyBorder="1" applyAlignment="1">
      <alignment horizontal="center" vertical="center"/>
    </xf>
    <xf numFmtId="2" fontId="46" fillId="31" borderId="37" xfId="0" applyNumberFormat="1" applyFont="1" applyFill="1" applyBorder="1" applyAlignment="1">
      <alignment horizontal="center" vertical="center"/>
    </xf>
    <xf numFmtId="0" fontId="62" fillId="31" borderId="42" xfId="0" applyFont="1" applyFill="1" applyBorder="1" applyAlignment="1">
      <alignment horizontal="left" vertical="center"/>
    </xf>
    <xf numFmtId="4" fontId="52" fillId="31" borderId="37" xfId="0" applyNumberFormat="1" applyFont="1" applyFill="1" applyBorder="1" applyAlignment="1">
      <alignment vertical="center"/>
    </xf>
    <xf numFmtId="2" fontId="57" fillId="31" borderId="37" xfId="0" applyNumberFormat="1" applyFont="1" applyFill="1" applyBorder="1" applyAlignment="1">
      <alignment vertical="center"/>
    </xf>
    <xf numFmtId="2" fontId="57" fillId="31" borderId="38" xfId="0" applyNumberFormat="1" applyFont="1" applyFill="1" applyBorder="1" applyAlignment="1">
      <alignment vertical="center"/>
    </xf>
    <xf numFmtId="0" fontId="63" fillId="31" borderId="42" xfId="0" applyFont="1" applyFill="1" applyBorder="1" applyAlignment="1">
      <alignment horizontal="left" vertical="center"/>
    </xf>
    <xf numFmtId="2" fontId="8" fillId="32" borderId="20" xfId="0" quotePrefix="1" applyNumberFormat="1" applyFont="1" applyFill="1" applyBorder="1" applyAlignment="1">
      <alignment vertical="center"/>
    </xf>
    <xf numFmtId="2" fontId="8" fillId="32" borderId="20" xfId="0" quotePrefix="1" applyNumberFormat="1" applyFont="1" applyFill="1" applyBorder="1" applyAlignment="1">
      <alignment horizontal="center" vertical="center"/>
    </xf>
    <xf numFmtId="2" fontId="54" fillId="31" borderId="37" xfId="0" applyNumberFormat="1" applyFont="1" applyFill="1" applyBorder="1" applyAlignment="1">
      <alignment horizontal="center" vertical="center"/>
    </xf>
    <xf numFmtId="2" fontId="8" fillId="32" borderId="3" xfId="0" applyNumberFormat="1" applyFont="1" applyFill="1" applyBorder="1" applyAlignment="1">
      <alignment vertical="center"/>
    </xf>
    <xf numFmtId="2" fontId="8" fillId="32" borderId="41" xfId="0" applyNumberFormat="1" applyFont="1" applyFill="1" applyBorder="1" applyAlignment="1">
      <alignment vertical="center"/>
    </xf>
    <xf numFmtId="4" fontId="8" fillId="32" borderId="2" xfId="0" applyNumberFormat="1" applyFont="1" applyFill="1" applyBorder="1" applyAlignment="1">
      <alignment horizontal="center" vertical="center"/>
    </xf>
    <xf numFmtId="2" fontId="8" fillId="32" borderId="27" xfId="0" applyNumberFormat="1" applyFont="1" applyFill="1" applyBorder="1" applyAlignment="1">
      <alignment vertical="center"/>
    </xf>
    <xf numFmtId="4" fontId="8" fillId="34" borderId="28" xfId="0" applyNumberFormat="1" applyFont="1" applyFill="1" applyBorder="1" applyAlignment="1">
      <alignment horizontal="center" vertical="center"/>
    </xf>
    <xf numFmtId="2" fontId="8" fillId="34" borderId="29" xfId="0" applyNumberFormat="1" applyFont="1" applyFill="1" applyBorder="1" applyAlignment="1">
      <alignment vertical="center"/>
    </xf>
    <xf numFmtId="4" fontId="8" fillId="34" borderId="22" xfId="0" applyNumberFormat="1" applyFont="1" applyFill="1" applyBorder="1" applyAlignment="1">
      <alignment horizontal="center" vertical="center"/>
    </xf>
    <xf numFmtId="2" fontId="8" fillId="34" borderId="0" xfId="0" applyNumberFormat="1" applyFont="1" applyFill="1" applyAlignment="1">
      <alignment vertical="center"/>
    </xf>
    <xf numFmtId="4" fontId="8" fillId="32" borderId="20" xfId="0" quotePrefix="1" applyNumberFormat="1" applyFont="1" applyFill="1" applyBorder="1" applyAlignment="1">
      <alignment horizontal="center" vertical="center"/>
    </xf>
    <xf numFmtId="2" fontId="8" fillId="32" borderId="6" xfId="0" applyNumberFormat="1" applyFont="1" applyFill="1" applyBorder="1" applyAlignment="1">
      <alignment horizontal="right" vertical="center"/>
    </xf>
    <xf numFmtId="4" fontId="51" fillId="32" borderId="20" xfId="0" applyNumberFormat="1" applyFont="1" applyFill="1" applyBorder="1" applyAlignment="1">
      <alignment horizontal="right"/>
    </xf>
    <xf numFmtId="4" fontId="51" fillId="32" borderId="1" xfId="0" applyNumberFormat="1" applyFont="1" applyFill="1" applyBorder="1" applyAlignment="1">
      <alignment horizontal="right"/>
    </xf>
    <xf numFmtId="2" fontId="51" fillId="32" borderId="1" xfId="0" applyNumberFormat="1" applyFont="1" applyFill="1" applyBorder="1" applyAlignment="1">
      <alignment horizontal="right"/>
    </xf>
    <xf numFmtId="2" fontId="51" fillId="32" borderId="17" xfId="0" applyNumberFormat="1" applyFont="1" applyFill="1" applyBorder="1" applyAlignment="1">
      <alignment horizontal="right"/>
    </xf>
    <xf numFmtId="1" fontId="45" fillId="33" borderId="42" xfId="0" applyNumberFormat="1" applyFont="1" applyFill="1" applyBorder="1" applyAlignment="1">
      <alignment horizontal="center" vertical="center"/>
    </xf>
    <xf numFmtId="165" fontId="8" fillId="32" borderId="2" xfId="0" applyNumberFormat="1" applyFont="1" applyFill="1" applyBorder="1" applyAlignment="1">
      <alignment horizontal="center" vertical="center"/>
    </xf>
    <xf numFmtId="0" fontId="48" fillId="34" borderId="0" xfId="0" applyFont="1" applyFill="1" applyAlignment="1">
      <alignment vertical="center"/>
    </xf>
    <xf numFmtId="0" fontId="45" fillId="33" borderId="42" xfId="0" applyFont="1" applyFill="1" applyBorder="1" applyAlignment="1">
      <alignment horizontal="center" vertical="center"/>
    </xf>
    <xf numFmtId="0" fontId="45" fillId="33" borderId="45" xfId="0" applyFont="1" applyFill="1" applyBorder="1" applyAlignment="1">
      <alignment horizontal="center" vertical="center"/>
    </xf>
    <xf numFmtId="0" fontId="47" fillId="33" borderId="45" xfId="0" applyFont="1" applyFill="1" applyBorder="1" applyAlignment="1">
      <alignment horizontal="center" vertical="center"/>
    </xf>
    <xf numFmtId="0" fontId="47" fillId="33" borderId="42" xfId="0" applyFont="1" applyFill="1" applyBorder="1" applyAlignment="1">
      <alignment horizontal="center" vertical="center"/>
    </xf>
    <xf numFmtId="0" fontId="48" fillId="34" borderId="0" xfId="0" quotePrefix="1" applyFont="1" applyFill="1" applyAlignment="1">
      <alignment vertical="center"/>
    </xf>
    <xf numFmtId="2" fontId="45" fillId="33" borderId="10" xfId="0" applyNumberFormat="1" applyFont="1" applyFill="1" applyBorder="1" applyAlignment="1">
      <alignment horizontal="center" vertical="center"/>
    </xf>
    <xf numFmtId="0" fontId="45" fillId="33" borderId="46"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47" xfId="0" applyFont="1" applyFill="1" applyBorder="1" applyAlignment="1">
      <alignment horizontal="center" vertical="center"/>
    </xf>
    <xf numFmtId="2" fontId="45" fillId="33" borderId="48" xfId="0" applyNumberFormat="1" applyFont="1" applyFill="1" applyBorder="1" applyAlignment="1">
      <alignment horizontal="center" vertical="center"/>
    </xf>
    <xf numFmtId="0" fontId="45" fillId="33" borderId="48" xfId="0" applyFont="1" applyFill="1" applyBorder="1" applyAlignment="1">
      <alignment horizontal="center" vertical="center"/>
    </xf>
    <xf numFmtId="2" fontId="45" fillId="33" borderId="46" xfId="0" applyNumberFormat="1" applyFont="1" applyFill="1" applyBorder="1" applyAlignment="1">
      <alignment horizontal="center" vertical="center"/>
    </xf>
    <xf numFmtId="2" fontId="8" fillId="32" borderId="49" xfId="0" applyNumberFormat="1" applyFont="1" applyFill="1" applyBorder="1" applyAlignment="1">
      <alignment horizontal="center" vertical="center"/>
    </xf>
    <xf numFmtId="2" fontId="8" fillId="32" borderId="14" xfId="0" applyNumberFormat="1" applyFont="1" applyFill="1" applyBorder="1" applyAlignment="1">
      <alignment horizontal="center" vertical="center"/>
    </xf>
    <xf numFmtId="4" fontId="8" fillId="32" borderId="35" xfId="0" applyNumberFormat="1" applyFont="1" applyFill="1" applyBorder="1" applyAlignment="1">
      <alignment horizontal="center" vertical="center"/>
    </xf>
    <xf numFmtId="4" fontId="8" fillId="32" borderId="35" xfId="0" applyNumberFormat="1" applyFont="1" applyFill="1" applyBorder="1" applyAlignment="1">
      <alignment vertical="center"/>
    </xf>
    <xf numFmtId="2" fontId="8" fillId="32" borderId="49" xfId="0" applyNumberFormat="1" applyFont="1" applyFill="1" applyBorder="1" applyAlignment="1">
      <alignment vertical="center"/>
    </xf>
    <xf numFmtId="4" fontId="8" fillId="32" borderId="14" xfId="0" applyNumberFormat="1" applyFont="1" applyFill="1" applyBorder="1" applyAlignment="1">
      <alignment vertical="center"/>
    </xf>
    <xf numFmtId="2" fontId="8" fillId="32" borderId="49" xfId="0" applyNumberFormat="1" applyFont="1" applyFill="1" applyBorder="1" applyAlignment="1">
      <alignment horizontal="right" vertical="center"/>
    </xf>
    <xf numFmtId="4" fontId="8" fillId="32" borderId="14" xfId="0" applyNumberFormat="1" applyFont="1" applyFill="1" applyBorder="1" applyAlignment="1">
      <alignment horizontal="center" vertical="center"/>
    </xf>
    <xf numFmtId="167" fontId="8" fillId="32" borderId="14" xfId="0" applyNumberFormat="1" applyFont="1" applyFill="1" applyBorder="1" applyAlignment="1">
      <alignment horizontal="center" vertical="center"/>
    </xf>
    <xf numFmtId="39" fontId="8" fillId="32" borderId="35" xfId="0" applyNumberFormat="1" applyFont="1" applyFill="1" applyBorder="1" applyAlignment="1">
      <alignment horizontal="center" vertical="center"/>
    </xf>
    <xf numFmtId="39" fontId="8" fillId="32" borderId="49" xfId="0" applyNumberFormat="1" applyFont="1" applyFill="1" applyBorder="1" applyAlignment="1">
      <alignment horizontal="center" vertical="center"/>
    </xf>
    <xf numFmtId="39" fontId="8" fillId="32" borderId="14" xfId="0" applyNumberFormat="1" applyFont="1" applyFill="1" applyBorder="1" applyAlignment="1">
      <alignment horizontal="center" vertical="center"/>
    </xf>
    <xf numFmtId="4" fontId="8" fillId="32" borderId="49" xfId="0" applyNumberFormat="1" applyFont="1" applyFill="1" applyBorder="1" applyAlignment="1">
      <alignment horizontal="center" vertical="center"/>
    </xf>
    <xf numFmtId="167" fontId="8" fillId="32" borderId="35" xfId="0" applyNumberFormat="1" applyFont="1" applyFill="1" applyBorder="1" applyAlignment="1">
      <alignment horizontal="center" vertical="center"/>
    </xf>
    <xf numFmtId="0" fontId="64" fillId="36" borderId="0" xfId="0" applyFont="1" applyFill="1" applyAlignment="1">
      <alignment horizontal="centerContinuous" vertical="center" wrapText="1"/>
    </xf>
    <xf numFmtId="0" fontId="64" fillId="36" borderId="0" xfId="0" applyFont="1" applyFill="1" applyAlignment="1">
      <alignment horizontal="center" vertical="center" wrapText="1"/>
    </xf>
    <xf numFmtId="0" fontId="65" fillId="36" borderId="0" xfId="0" applyFont="1" applyFill="1"/>
    <xf numFmtId="0" fontId="24" fillId="37" borderId="24" xfId="0" applyFont="1" applyFill="1" applyBorder="1" applyAlignment="1">
      <alignment horizontal="centerContinuous" vertical="center" wrapText="1"/>
    </xf>
    <xf numFmtId="0" fontId="24" fillId="37" borderId="25" xfId="0" applyFont="1" applyFill="1" applyBorder="1" applyAlignment="1">
      <alignment horizontal="centerContinuous" vertical="center" wrapText="1"/>
    </xf>
    <xf numFmtId="0" fontId="24" fillId="37" borderId="25" xfId="0" applyFont="1" applyFill="1" applyBorder="1" applyAlignment="1">
      <alignment horizontal="center" vertical="center" wrapText="1"/>
    </xf>
    <xf numFmtId="0" fontId="24" fillId="37" borderId="39" xfId="0" applyFont="1" applyFill="1" applyBorder="1" applyAlignment="1">
      <alignment horizontal="center" vertical="center" wrapText="1"/>
    </xf>
    <xf numFmtId="10" fontId="13" fillId="38" borderId="0" xfId="3" applyNumberFormat="1" applyFont="1" applyFill="1" applyAlignment="1">
      <alignment horizontal="center" vertical="center"/>
    </xf>
    <xf numFmtId="180" fontId="15" fillId="0" borderId="0" xfId="0" applyNumberFormat="1" applyFont="1" applyAlignment="1">
      <alignment horizontal="center" vertical="center"/>
    </xf>
    <xf numFmtId="172" fontId="15" fillId="0" borderId="1" xfId="3" applyNumberFormat="1" applyFont="1" applyBorder="1" applyAlignment="1">
      <alignment horizontal="center" vertical="center"/>
    </xf>
    <xf numFmtId="166" fontId="15" fillId="0" borderId="0" xfId="3" applyNumberFormat="1" applyFont="1" applyAlignment="1">
      <alignment vertical="center"/>
    </xf>
    <xf numFmtId="2" fontId="8" fillId="32" borderId="16" xfId="0" applyNumberFormat="1" applyFont="1" applyFill="1" applyBorder="1" applyAlignment="1">
      <alignment horizontal="center" vertical="center"/>
    </xf>
    <xf numFmtId="4" fontId="8" fillId="32" borderId="16" xfId="0" applyNumberFormat="1" applyFont="1" applyFill="1" applyBorder="1" applyAlignment="1">
      <alignment vertical="center"/>
    </xf>
    <xf numFmtId="4" fontId="8" fillId="32" borderId="16" xfId="0" applyNumberFormat="1" applyFont="1" applyFill="1" applyBorder="1" applyAlignment="1">
      <alignment horizontal="center" vertical="center"/>
    </xf>
    <xf numFmtId="167" fontId="8" fillId="32" borderId="16" xfId="0" applyNumberFormat="1" applyFont="1" applyFill="1" applyBorder="1" applyAlignment="1">
      <alignment horizontal="center" vertical="center"/>
    </xf>
    <xf numFmtId="39" fontId="8" fillId="32" borderId="16" xfId="0" applyNumberFormat="1" applyFont="1" applyFill="1" applyBorder="1" applyAlignment="1">
      <alignment horizontal="center" vertical="center"/>
    </xf>
    <xf numFmtId="165" fontId="8" fillId="32" borderId="16" xfId="0" applyNumberFormat="1" applyFont="1" applyFill="1" applyBorder="1" applyAlignment="1">
      <alignment horizontal="center" vertical="center"/>
    </xf>
    <xf numFmtId="0" fontId="16" fillId="34" borderId="0" xfId="0" applyFont="1" applyFill="1" applyAlignment="1">
      <alignment vertical="center"/>
    </xf>
    <xf numFmtId="0" fontId="8" fillId="34" borderId="0" xfId="0" applyFont="1" applyFill="1" applyAlignment="1">
      <alignment vertical="center"/>
    </xf>
    <xf numFmtId="166" fontId="8" fillId="34" borderId="0" xfId="2" applyNumberFormat="1" applyFont="1" applyFill="1" applyAlignment="1">
      <alignment horizontal="center" vertical="center"/>
    </xf>
    <xf numFmtId="167" fontId="8" fillId="34" borderId="0" xfId="0" applyNumberFormat="1" applyFont="1" applyFill="1" applyAlignment="1">
      <alignment horizontal="center" vertical="center"/>
    </xf>
    <xf numFmtId="4" fontId="8" fillId="34" borderId="0" xfId="0" applyNumberFormat="1" applyFont="1" applyFill="1" applyAlignment="1">
      <alignment vertical="center"/>
    </xf>
    <xf numFmtId="39" fontId="8" fillId="34" borderId="0" xfId="0" applyNumberFormat="1" applyFont="1" applyFill="1" applyAlignment="1">
      <alignment horizontal="center" vertical="center"/>
    </xf>
    <xf numFmtId="4" fontId="8" fillId="34" borderId="0" xfId="0" applyNumberFormat="1" applyFont="1" applyFill="1" applyAlignment="1">
      <alignment horizontal="center" vertical="center"/>
    </xf>
    <xf numFmtId="0" fontId="8" fillId="34" borderId="0" xfId="0" applyFont="1" applyFill="1" applyAlignment="1">
      <alignment horizontal="center" vertical="center"/>
    </xf>
    <xf numFmtId="0" fontId="45" fillId="33" borderId="35" xfId="0" applyFont="1" applyFill="1" applyBorder="1" applyAlignment="1">
      <alignment horizontal="center" vertical="center"/>
    </xf>
    <xf numFmtId="4" fontId="8" fillId="32" borderId="4" xfId="0" applyNumberFormat="1" applyFont="1" applyFill="1" applyBorder="1" applyAlignment="1">
      <alignment horizontal="center" vertical="center"/>
    </xf>
    <xf numFmtId="0" fontId="8" fillId="32" borderId="50" xfId="0" applyFont="1" applyFill="1" applyBorder="1" applyAlignment="1">
      <alignment vertical="center"/>
    </xf>
    <xf numFmtId="2" fontId="8" fillId="32" borderId="11" xfId="0" applyNumberFormat="1" applyFont="1" applyFill="1" applyBorder="1" applyAlignment="1">
      <alignment horizontal="center" vertical="center"/>
    </xf>
    <xf numFmtId="4" fontId="8" fillId="32" borderId="34" xfId="0" applyNumberFormat="1" applyFont="1" applyFill="1" applyBorder="1" applyAlignment="1">
      <alignment horizontal="center" vertical="center"/>
    </xf>
    <xf numFmtId="2" fontId="8" fillId="32" borderId="51" xfId="0" applyNumberFormat="1" applyFont="1" applyFill="1" applyBorder="1" applyAlignment="1">
      <alignment horizontal="center" vertical="center"/>
    </xf>
    <xf numFmtId="0" fontId="12" fillId="0" borderId="0" xfId="0" applyFont="1"/>
    <xf numFmtId="2" fontId="8" fillId="32" borderId="23" xfId="0" applyNumberFormat="1" applyFont="1" applyFill="1" applyBorder="1" applyAlignment="1">
      <alignment horizontal="center" vertical="center"/>
    </xf>
    <xf numFmtId="165" fontId="8" fillId="32" borderId="23" xfId="0" applyNumberFormat="1" applyFont="1" applyFill="1" applyBorder="1" applyAlignment="1">
      <alignment horizontal="center" vertical="center"/>
    </xf>
    <xf numFmtId="39" fontId="8" fillId="32" borderId="23" xfId="0" applyNumberFormat="1" applyFont="1" applyFill="1" applyBorder="1" applyAlignment="1">
      <alignment horizontal="center" vertical="center"/>
    </xf>
    <xf numFmtId="39" fontId="8" fillId="32" borderId="27" xfId="0" applyNumberFormat="1" applyFont="1" applyFill="1" applyBorder="1" applyAlignment="1">
      <alignment horizontal="center" vertical="center"/>
    </xf>
    <xf numFmtId="4" fontId="8" fillId="32" borderId="52" xfId="0" applyNumberFormat="1" applyFont="1" applyFill="1" applyBorder="1" applyAlignment="1">
      <alignment horizontal="center" vertical="center"/>
    </xf>
    <xf numFmtId="0" fontId="66" fillId="0" borderId="0" xfId="0" applyFont="1" applyAlignment="1">
      <alignment vertical="center" wrapText="1"/>
    </xf>
    <xf numFmtId="0" fontId="67" fillId="0" borderId="0" xfId="0" applyFont="1"/>
    <xf numFmtId="0" fontId="68" fillId="0" borderId="0" xfId="0" applyFont="1" applyAlignment="1">
      <alignment vertical="center"/>
    </xf>
    <xf numFmtId="0" fontId="69" fillId="0" borderId="0" xfId="0" quotePrefix="1" applyFont="1" applyAlignment="1">
      <alignment vertical="center"/>
    </xf>
    <xf numFmtId="0" fontId="70" fillId="0" borderId="0" xfId="0" applyFont="1" applyAlignment="1">
      <alignment vertical="center"/>
    </xf>
    <xf numFmtId="0" fontId="71" fillId="0" borderId="0" xfId="0" applyFont="1" applyAlignment="1">
      <alignment vertical="center" wrapText="1"/>
    </xf>
    <xf numFmtId="0" fontId="71" fillId="39" borderId="58" xfId="0" quotePrefix="1" applyFont="1" applyFill="1" applyBorder="1" applyAlignment="1">
      <alignment horizontal="center" vertical="center"/>
    </xf>
    <xf numFmtId="0" fontId="71" fillId="39" borderId="59" xfId="0" applyFont="1" applyFill="1" applyBorder="1" applyAlignment="1">
      <alignment horizontal="center" vertical="center"/>
    </xf>
    <xf numFmtId="0" fontId="71" fillId="39" borderId="59" xfId="0" quotePrefix="1" applyFont="1" applyFill="1" applyBorder="1" applyAlignment="1">
      <alignment horizontal="center" vertical="center"/>
    </xf>
    <xf numFmtId="0" fontId="71" fillId="39" borderId="60" xfId="0" applyFont="1" applyFill="1" applyBorder="1" applyAlignment="1">
      <alignment horizontal="center" vertical="center"/>
    </xf>
    <xf numFmtId="0" fontId="72" fillId="0" borderId="0" xfId="0" applyFont="1" applyAlignment="1">
      <alignment horizontal="center" vertical="center"/>
    </xf>
    <xf numFmtId="0" fontId="73" fillId="0" borderId="0" xfId="0" applyFont="1" applyAlignment="1">
      <alignment horizontal="right"/>
    </xf>
    <xf numFmtId="0" fontId="67" fillId="0" borderId="0" xfId="0" applyFont="1" applyAlignment="1">
      <alignment horizontal="right"/>
    </xf>
    <xf numFmtId="14" fontId="74" fillId="0" borderId="58" xfId="0" applyNumberFormat="1" applyFont="1" applyBorder="1"/>
    <xf numFmtId="14" fontId="74" fillId="0" borderId="59" xfId="0" applyNumberFormat="1" applyFont="1" applyBorder="1" applyAlignment="1">
      <alignment horizontal="right"/>
    </xf>
    <xf numFmtId="168" fontId="74" fillId="0" borderId="59" xfId="0" applyNumberFormat="1" applyFont="1" applyBorder="1" applyAlignment="1">
      <alignment horizontal="right"/>
    </xf>
    <xf numFmtId="0" fontId="67" fillId="0" borderId="0" xfId="0" applyFont="1" applyAlignment="1">
      <alignment vertical="center"/>
    </xf>
    <xf numFmtId="10" fontId="67" fillId="0" borderId="0" xfId="3" applyNumberFormat="1" applyFont="1" applyAlignment="1">
      <alignment vertical="center"/>
    </xf>
    <xf numFmtId="2" fontId="67" fillId="0" borderId="0" xfId="3" applyNumberFormat="1" applyFont="1" applyAlignment="1">
      <alignment vertical="center"/>
    </xf>
    <xf numFmtId="17" fontId="75" fillId="0" borderId="59" xfId="0" applyNumberFormat="1" applyFont="1" applyBorder="1"/>
    <xf numFmtId="168" fontId="75" fillId="0" borderId="60" xfId="0" applyNumberFormat="1" applyFont="1" applyBorder="1" applyAlignment="1">
      <alignment horizontal="right"/>
    </xf>
    <xf numFmtId="14" fontId="74" fillId="0" borderId="0" xfId="0" applyNumberFormat="1" applyFont="1"/>
    <xf numFmtId="4" fontId="74" fillId="0" borderId="0" xfId="0" applyNumberFormat="1" applyFont="1" applyAlignment="1">
      <alignment horizontal="right"/>
    </xf>
    <xf numFmtId="164" fontId="74" fillId="0" borderId="0" xfId="4" applyFont="1"/>
    <xf numFmtId="168" fontId="74" fillId="0" borderId="0" xfId="0" applyNumberFormat="1" applyFont="1" applyAlignment="1">
      <alignment horizontal="right"/>
    </xf>
    <xf numFmtId="168" fontId="74" fillId="0" borderId="0" xfId="0" applyNumberFormat="1" applyFont="1" applyAlignment="1">
      <alignment horizontal="center" vertical="center"/>
    </xf>
    <xf numFmtId="168" fontId="74" fillId="0" borderId="0" xfId="0" applyNumberFormat="1" applyFont="1" applyAlignment="1">
      <alignment horizontal="center"/>
    </xf>
    <xf numFmtId="17" fontId="74" fillId="0" borderId="0" xfId="0" applyNumberFormat="1" applyFont="1"/>
    <xf numFmtId="0" fontId="67" fillId="0" borderId="0" xfId="0" applyFont="1" applyAlignment="1">
      <alignment horizontal="center" vertical="center"/>
    </xf>
    <xf numFmtId="0" fontId="77" fillId="0" borderId="0" xfId="0" applyFont="1" applyAlignment="1">
      <alignment vertical="center"/>
    </xf>
    <xf numFmtId="0" fontId="78" fillId="0" borderId="0" xfId="0" applyFont="1" applyAlignment="1">
      <alignment vertical="center"/>
    </xf>
    <xf numFmtId="0" fontId="76" fillId="0" borderId="0" xfId="0" applyFont="1" applyAlignment="1">
      <alignment vertical="center"/>
    </xf>
    <xf numFmtId="0" fontId="76" fillId="0" borderId="0" xfId="0" applyFont="1" applyAlignment="1">
      <alignment horizontal="center" vertical="center"/>
    </xf>
    <xf numFmtId="0" fontId="79" fillId="0" borderId="0" xfId="0" applyFont="1" applyAlignment="1">
      <alignment horizontal="center" vertical="center"/>
    </xf>
    <xf numFmtId="0" fontId="80" fillId="0" borderId="0" xfId="0" applyFont="1" applyAlignment="1">
      <alignment horizontal="center" vertical="center"/>
    </xf>
    <xf numFmtId="164" fontId="75" fillId="0" borderId="59" xfId="4" applyFont="1" applyBorder="1"/>
    <xf numFmtId="168" fontId="75" fillId="0" borderId="60" xfId="0" applyNumberFormat="1" applyFont="1" applyBorder="1" applyAlignment="1">
      <alignment horizontal="center" vertical="center"/>
    </xf>
    <xf numFmtId="168" fontId="75" fillId="0" borderId="60" xfId="0" applyNumberFormat="1" applyFont="1" applyBorder="1" applyAlignment="1">
      <alignment horizontal="center"/>
    </xf>
    <xf numFmtId="0" fontId="81" fillId="0" borderId="0" xfId="0" applyFont="1" applyAlignment="1">
      <alignment vertical="center"/>
    </xf>
    <xf numFmtId="17" fontId="82" fillId="0" borderId="0" xfId="0" applyNumberFormat="1" applyFont="1" applyAlignment="1">
      <alignment vertical="center"/>
    </xf>
    <xf numFmtId="4" fontId="74" fillId="0" borderId="61" xfId="0" applyNumberFormat="1" applyFont="1" applyBorder="1" applyAlignment="1">
      <alignment horizontal="right"/>
    </xf>
    <xf numFmtId="17" fontId="74" fillId="0" borderId="58" xfId="0" applyNumberFormat="1" applyFont="1" applyBorder="1"/>
    <xf numFmtId="4" fontId="74" fillId="0" borderId="59" xfId="0" applyNumberFormat="1" applyFont="1" applyBorder="1" applyAlignment="1">
      <alignment horizontal="right"/>
    </xf>
    <xf numFmtId="2" fontId="74" fillId="0" borderId="59" xfId="0" applyNumberFormat="1" applyFont="1" applyBorder="1"/>
    <xf numFmtId="40" fontId="74" fillId="0" borderId="59" xfId="0" applyNumberFormat="1" applyFont="1" applyBorder="1" applyAlignment="1">
      <alignment horizontal="right"/>
    </xf>
    <xf numFmtId="40" fontId="74" fillId="0" borderId="59" xfId="0" applyNumberFormat="1" applyFont="1" applyBorder="1"/>
    <xf numFmtId="168" fontId="74" fillId="0" borderId="59" xfId="0" applyNumberFormat="1" applyFont="1" applyBorder="1"/>
    <xf numFmtId="2" fontId="67" fillId="0" borderId="0" xfId="0" applyNumberFormat="1" applyFont="1" applyAlignment="1">
      <alignment vertical="center"/>
    </xf>
    <xf numFmtId="0" fontId="83" fillId="0" borderId="0" xfId="0" applyFont="1" applyAlignment="1">
      <alignment vertical="center"/>
    </xf>
    <xf numFmtId="4" fontId="74" fillId="0" borderId="62" xfId="0" applyNumberFormat="1" applyFont="1" applyBorder="1" applyAlignment="1">
      <alignment horizontal="right"/>
    </xf>
    <xf numFmtId="40" fontId="74" fillId="0" borderId="62" xfId="0" applyNumberFormat="1" applyFont="1" applyBorder="1" applyAlignment="1">
      <alignment horizontal="right"/>
    </xf>
    <xf numFmtId="40" fontId="74" fillId="0" borderId="62" xfId="0" applyNumberFormat="1" applyFont="1" applyBorder="1"/>
    <xf numFmtId="17" fontId="82" fillId="0" borderId="0" xfId="0" applyNumberFormat="1" applyFont="1"/>
    <xf numFmtId="4" fontId="67" fillId="0" borderId="0" xfId="0" applyNumberFormat="1" applyFont="1"/>
    <xf numFmtId="0" fontId="84" fillId="0" borderId="0" xfId="0" applyFont="1" applyAlignment="1">
      <alignment vertical="center"/>
    </xf>
    <xf numFmtId="0" fontId="84" fillId="0" borderId="0" xfId="0" applyFont="1" applyAlignment="1">
      <alignment horizontal="center" vertical="center" wrapText="1"/>
    </xf>
    <xf numFmtId="40" fontId="74" fillId="0" borderId="0" xfId="0" applyNumberFormat="1" applyFont="1" applyAlignment="1">
      <alignment horizontal="right"/>
    </xf>
    <xf numFmtId="2" fontId="74" fillId="0" borderId="0" xfId="0" applyNumberFormat="1" applyFont="1"/>
    <xf numFmtId="0" fontId="85" fillId="0" borderId="0" xfId="0" applyFont="1"/>
    <xf numFmtId="11" fontId="67" fillId="0" borderId="0" xfId="0" applyNumberFormat="1" applyFont="1"/>
    <xf numFmtId="0" fontId="73" fillId="0" borderId="0" xfId="0" applyFont="1"/>
    <xf numFmtId="4" fontId="73" fillId="0" borderId="0" xfId="0" applyNumberFormat="1" applyFont="1"/>
    <xf numFmtId="4" fontId="73" fillId="0" borderId="0" xfId="0" applyNumberFormat="1" applyFont="1" applyAlignment="1">
      <alignment horizontal="right"/>
    </xf>
    <xf numFmtId="0" fontId="67" fillId="0" borderId="0" xfId="0" applyFont="1" applyAlignment="1">
      <alignment horizontal="left"/>
    </xf>
    <xf numFmtId="165" fontId="82" fillId="0" borderId="0" xfId="0" applyNumberFormat="1" applyFont="1" applyAlignment="1">
      <alignment horizontal="center"/>
    </xf>
    <xf numFmtId="17" fontId="84" fillId="0" borderId="58" xfId="0" applyNumberFormat="1" applyFont="1" applyBorder="1" applyAlignment="1">
      <alignment horizontal="center" vertical="center"/>
    </xf>
    <xf numFmtId="0" fontId="84" fillId="0" borderId="59" xfId="0" applyFont="1" applyBorder="1" applyAlignment="1">
      <alignment horizontal="center" vertical="center"/>
    </xf>
    <xf numFmtId="166" fontId="74" fillId="0" borderId="59" xfId="0" applyNumberFormat="1" applyFont="1" applyBorder="1" applyAlignment="1">
      <alignment horizontal="right"/>
    </xf>
    <xf numFmtId="165" fontId="86" fillId="0" borderId="0" xfId="0" applyNumberFormat="1" applyFont="1" applyAlignment="1">
      <alignment horizontal="center" vertical="center"/>
    </xf>
    <xf numFmtId="2" fontId="74" fillId="0" borderId="0" xfId="0" applyNumberFormat="1" applyFont="1" applyAlignment="1">
      <alignment horizontal="right"/>
    </xf>
    <xf numFmtId="40" fontId="74" fillId="0" borderId="0" xfId="0" applyNumberFormat="1" applyFont="1"/>
    <xf numFmtId="167" fontId="74" fillId="0" borderId="0" xfId="0" applyNumberFormat="1" applyFont="1" applyAlignment="1">
      <alignment horizontal="right"/>
    </xf>
    <xf numFmtId="0" fontId="76" fillId="0" borderId="0" xfId="0" applyFont="1"/>
    <xf numFmtId="17" fontId="86" fillId="0" borderId="0" xfId="0" applyNumberFormat="1" applyFont="1"/>
    <xf numFmtId="165" fontId="86" fillId="0" borderId="0" xfId="0" applyNumberFormat="1" applyFont="1" applyAlignment="1">
      <alignment horizontal="center"/>
    </xf>
    <xf numFmtId="0" fontId="72" fillId="0" borderId="59" xfId="0" applyFont="1" applyBorder="1" applyAlignment="1">
      <alignment horizontal="center" vertical="center"/>
    </xf>
    <xf numFmtId="0" fontId="87" fillId="0" borderId="0" xfId="0" applyFont="1" applyAlignment="1">
      <alignment vertical="center"/>
    </xf>
    <xf numFmtId="17" fontId="88" fillId="0" borderId="0" xfId="0" applyNumberFormat="1" applyFont="1" applyAlignment="1">
      <alignment vertical="center"/>
    </xf>
    <xf numFmtId="0" fontId="88" fillId="0" borderId="0" xfId="0" applyFont="1" applyAlignment="1">
      <alignment vertical="center"/>
    </xf>
    <xf numFmtId="0" fontId="89" fillId="0" borderId="0" xfId="0" applyFont="1" applyAlignment="1">
      <alignment vertical="center"/>
    </xf>
    <xf numFmtId="2" fontId="67" fillId="0" borderId="0" xfId="0" applyNumberFormat="1" applyFont="1" applyAlignment="1">
      <alignment horizontal="center" vertical="center"/>
    </xf>
    <xf numFmtId="0" fontId="90" fillId="0" borderId="0" xfId="0" applyFont="1"/>
    <xf numFmtId="0" fontId="79" fillId="0" borderId="0" xfId="0" applyFont="1" applyAlignment="1">
      <alignment horizontal="centerContinuous" vertical="center" wrapText="1"/>
    </xf>
    <xf numFmtId="0" fontId="79" fillId="0" borderId="0" xfId="0" applyFont="1" applyAlignment="1">
      <alignment horizontal="centerContinuous" vertical="center"/>
    </xf>
    <xf numFmtId="0" fontId="79" fillId="0" borderId="0" xfId="0" applyFont="1" applyAlignment="1">
      <alignment horizontal="center" vertical="center" wrapText="1"/>
    </xf>
    <xf numFmtId="0" fontId="91" fillId="0" borderId="0" xfId="0" applyFont="1" applyAlignment="1">
      <alignment horizontal="right" vertical="center" wrapText="1"/>
    </xf>
    <xf numFmtId="0" fontId="91" fillId="0" borderId="0" xfId="0" applyFont="1" applyAlignment="1">
      <alignment horizontal="left" vertical="center"/>
    </xf>
    <xf numFmtId="0" fontId="84" fillId="0" borderId="0" xfId="0" applyFont="1" applyAlignment="1">
      <alignment horizontal="centerContinuous" vertical="center" wrapText="1"/>
    </xf>
    <xf numFmtId="0" fontId="92" fillId="0" borderId="0" xfId="0" applyFont="1"/>
    <xf numFmtId="0" fontId="67" fillId="34" borderId="0" xfId="0" applyFont="1" applyFill="1" applyAlignment="1">
      <alignment vertical="center"/>
    </xf>
    <xf numFmtId="0" fontId="91" fillId="0" borderId="0" xfId="0" applyFont="1" applyAlignment="1">
      <alignment horizontal="right" wrapText="1"/>
    </xf>
    <xf numFmtId="0" fontId="91" fillId="0" borderId="0" xfId="0" applyFont="1" applyAlignment="1">
      <alignment horizontal="left"/>
    </xf>
    <xf numFmtId="0" fontId="84" fillId="0" borderId="0" xfId="0" applyFont="1" applyAlignment="1">
      <alignment horizontal="left" vertical="center" wrapText="1"/>
    </xf>
    <xf numFmtId="17" fontId="84" fillId="0" borderId="0" xfId="0" applyNumberFormat="1" applyFont="1" applyAlignment="1">
      <alignment vertical="center"/>
    </xf>
    <xf numFmtId="167" fontId="75" fillId="0" borderId="59" xfId="0" applyNumberFormat="1" applyFont="1" applyBorder="1" applyAlignment="1">
      <alignment horizontal="right"/>
    </xf>
    <xf numFmtId="172" fontId="67" fillId="0" borderId="0" xfId="3" applyNumberFormat="1" applyFont="1" applyAlignment="1">
      <alignment vertical="center"/>
    </xf>
    <xf numFmtId="17" fontId="67" fillId="0" borderId="0" xfId="0" applyNumberFormat="1" applyFont="1" applyAlignment="1">
      <alignment vertical="center"/>
    </xf>
    <xf numFmtId="166" fontId="67" fillId="0" borderId="0" xfId="0" applyNumberFormat="1" applyFont="1" applyAlignment="1">
      <alignment horizontal="center" vertical="center"/>
    </xf>
    <xf numFmtId="2" fontId="93" fillId="0" borderId="0" xfId="0" applyNumberFormat="1" applyFont="1" applyAlignment="1">
      <alignment horizontal="center" vertical="center"/>
    </xf>
    <xf numFmtId="2" fontId="77" fillId="0" borderId="0" xfId="0" applyNumberFormat="1" applyFont="1" applyAlignment="1">
      <alignment horizontal="center" vertical="center"/>
    </xf>
    <xf numFmtId="2" fontId="84" fillId="0" borderId="0" xfId="0" applyNumberFormat="1" applyFont="1" applyAlignment="1">
      <alignment horizontal="center" vertical="center"/>
    </xf>
    <xf numFmtId="0" fontId="93" fillId="0" borderId="0" xfId="0" applyFont="1" applyAlignment="1">
      <alignment horizontal="left" vertical="center"/>
    </xf>
    <xf numFmtId="0" fontId="84" fillId="0" borderId="0" xfId="0" applyFont="1" applyAlignment="1">
      <alignment horizontal="center" vertical="center"/>
    </xf>
    <xf numFmtId="0" fontId="84" fillId="0" borderId="0" xfId="0" applyFont="1" applyAlignment="1">
      <alignment horizontal="left" vertical="center"/>
    </xf>
    <xf numFmtId="166" fontId="84" fillId="0" borderId="0" xfId="0" applyNumberFormat="1" applyFont="1" applyAlignment="1">
      <alignment horizontal="center" vertical="center"/>
    </xf>
    <xf numFmtId="0" fontId="94" fillId="0" borderId="0" xfId="0" applyFont="1"/>
    <xf numFmtId="0" fontId="95" fillId="34" borderId="0" xfId="0" applyFont="1" applyFill="1" applyAlignment="1">
      <alignment vertical="center"/>
    </xf>
    <xf numFmtId="17" fontId="82" fillId="34" borderId="0" xfId="0" applyNumberFormat="1" applyFont="1" applyFill="1" applyAlignment="1">
      <alignment vertical="center"/>
    </xf>
    <xf numFmtId="165" fontId="82" fillId="34" borderId="0" xfId="0" applyNumberFormat="1" applyFont="1" applyFill="1" applyAlignment="1">
      <alignment horizontal="center" vertical="center"/>
    </xf>
    <xf numFmtId="0" fontId="96" fillId="34" borderId="53" xfId="0" applyFont="1" applyFill="1" applyBorder="1" applyAlignment="1">
      <alignment vertical="center"/>
    </xf>
    <xf numFmtId="0" fontId="95" fillId="0" borderId="0" xfId="0" applyFont="1" applyAlignment="1">
      <alignment vertical="center"/>
    </xf>
    <xf numFmtId="0" fontId="97" fillId="34" borderId="0" xfId="0" applyFont="1" applyFill="1" applyAlignment="1">
      <alignment vertical="center"/>
    </xf>
    <xf numFmtId="4" fontId="74" fillId="0" borderId="59" xfId="0" applyNumberFormat="1" applyFont="1" applyBorder="1"/>
    <xf numFmtId="0" fontId="67" fillId="0" borderId="0" xfId="0" applyFont="1" applyAlignment="1">
      <alignment horizontal="center"/>
    </xf>
    <xf numFmtId="17" fontId="86" fillId="3" borderId="4" xfId="0" applyNumberFormat="1" applyFont="1" applyFill="1" applyBorder="1"/>
    <xf numFmtId="165" fontId="86" fillId="3" borderId="1" xfId="0" applyNumberFormat="1" applyFont="1" applyFill="1" applyBorder="1" applyAlignment="1">
      <alignment horizontal="center"/>
    </xf>
    <xf numFmtId="0" fontId="67" fillId="0" borderId="63" xfId="0" applyFont="1" applyBorder="1"/>
    <xf numFmtId="17" fontId="82" fillId="0" borderId="63" xfId="0" applyNumberFormat="1" applyFont="1" applyBorder="1"/>
    <xf numFmtId="0" fontId="95" fillId="0" borderId="0" xfId="0" applyFont="1"/>
    <xf numFmtId="0" fontId="98" fillId="0" borderId="0" xfId="0" applyFont="1"/>
    <xf numFmtId="4" fontId="74" fillId="0" borderId="64" xfId="0" applyNumberFormat="1" applyFont="1" applyBorder="1" applyAlignment="1">
      <alignment horizontal="right"/>
    </xf>
    <xf numFmtId="40" fontId="74" fillId="0" borderId="64" xfId="0" applyNumberFormat="1" applyFont="1" applyBorder="1" applyAlignment="1">
      <alignment horizontal="right"/>
    </xf>
    <xf numFmtId="40" fontId="74" fillId="0" borderId="64" xfId="0" applyNumberFormat="1" applyFont="1" applyBorder="1"/>
    <xf numFmtId="166" fontId="67" fillId="0" borderId="0" xfId="0" applyNumberFormat="1" applyFont="1" applyAlignment="1">
      <alignment horizontal="center"/>
    </xf>
    <xf numFmtId="17" fontId="72" fillId="0" borderId="73" xfId="0" applyNumberFormat="1" applyFont="1" applyBorder="1" applyAlignment="1">
      <alignment horizontal="center" vertical="center"/>
    </xf>
    <xf numFmtId="17" fontId="72" fillId="0" borderId="58" xfId="0" applyNumberFormat="1" applyFont="1" applyBorder="1" applyAlignment="1">
      <alignment horizontal="center" vertical="center"/>
    </xf>
    <xf numFmtId="0" fontId="72" fillId="0" borderId="59" xfId="0" applyFont="1" applyBorder="1" applyAlignment="1">
      <alignment horizontal="center" vertical="center" wrapText="1"/>
    </xf>
    <xf numFmtId="0" fontId="99" fillId="0" borderId="0" xfId="0" applyFont="1" applyAlignment="1">
      <alignment vertical="center"/>
    </xf>
    <xf numFmtId="17" fontId="99" fillId="0" borderId="74" xfId="0" applyNumberFormat="1" applyFont="1" applyBorder="1"/>
    <xf numFmtId="181" fontId="99" fillId="0" borderId="74" xfId="4" applyNumberFormat="1" applyFont="1" applyBorder="1"/>
    <xf numFmtId="0" fontId="69" fillId="0" borderId="0" xfId="0" quotePrefix="1" applyFont="1" applyAlignment="1">
      <alignment vertical="center" wrapText="1"/>
    </xf>
    <xf numFmtId="164" fontId="67" fillId="0" borderId="0" xfId="4" applyFont="1" applyAlignment="1">
      <alignment vertical="center"/>
    </xf>
    <xf numFmtId="4" fontId="74" fillId="0" borderId="75" xfId="0" applyNumberFormat="1" applyFont="1" applyBorder="1" applyAlignment="1">
      <alignment horizontal="right"/>
    </xf>
    <xf numFmtId="4" fontId="74" fillId="0" borderId="76" xfId="0" applyNumberFormat="1" applyFont="1" applyBorder="1" applyAlignment="1">
      <alignment horizontal="right"/>
    </xf>
    <xf numFmtId="2" fontId="74" fillId="0" borderId="76" xfId="0" applyNumberFormat="1" applyFont="1" applyBorder="1"/>
    <xf numFmtId="2" fontId="74" fillId="0" borderId="77" xfId="0" applyNumberFormat="1" applyFont="1" applyBorder="1"/>
    <xf numFmtId="167" fontId="74" fillId="0" borderId="78" xfId="0" applyNumberFormat="1" applyFont="1" applyBorder="1" applyAlignment="1">
      <alignment horizontal="right"/>
    </xf>
    <xf numFmtId="164" fontId="74" fillId="0" borderId="76" xfId="4" applyFont="1" applyBorder="1" applyAlignment="1">
      <alignment horizontal="right"/>
    </xf>
    <xf numFmtId="164" fontId="74" fillId="0" borderId="77" xfId="4" applyFont="1" applyBorder="1" applyAlignment="1">
      <alignment horizontal="right"/>
    </xf>
    <xf numFmtId="181" fontId="74" fillId="0" borderId="79" xfId="4" applyNumberFormat="1" applyFont="1" applyBorder="1"/>
    <xf numFmtId="181" fontId="74" fillId="0" borderId="78" xfId="4" applyNumberFormat="1" applyFont="1" applyBorder="1"/>
    <xf numFmtId="181" fontId="74" fillId="0" borderId="80" xfId="4" applyNumberFormat="1" applyFont="1" applyBorder="1" applyAlignment="1">
      <alignment horizontal="right"/>
    </xf>
    <xf numFmtId="181" fontId="74" fillId="0" borderId="78" xfId="4" applyNumberFormat="1" applyFont="1" applyBorder="1" applyAlignment="1">
      <alignment horizontal="right"/>
    </xf>
    <xf numFmtId="179" fontId="74" fillId="0" borderId="59" xfId="0" applyNumberFormat="1" applyFont="1" applyBorder="1" applyAlignment="1">
      <alignment horizontal="right"/>
    </xf>
    <xf numFmtId="2" fontId="74" fillId="0" borderId="81" xfId="0" applyNumberFormat="1" applyFont="1" applyBorder="1"/>
    <xf numFmtId="167" fontId="74" fillId="0" borderId="82" xfId="0" applyNumberFormat="1" applyFont="1" applyBorder="1" applyAlignment="1">
      <alignment horizontal="right"/>
    </xf>
    <xf numFmtId="4" fontId="74" fillId="0" borderId="84" xfId="0" applyNumberFormat="1" applyFont="1" applyBorder="1" applyAlignment="1">
      <alignment horizontal="right"/>
    </xf>
    <xf numFmtId="40" fontId="74" fillId="0" borderId="84" xfId="0" applyNumberFormat="1" applyFont="1" applyBorder="1" applyAlignment="1">
      <alignment horizontal="right"/>
    </xf>
    <xf numFmtId="40" fontId="74" fillId="0" borderId="84" xfId="0" applyNumberFormat="1" applyFont="1" applyBorder="1"/>
    <xf numFmtId="2" fontId="74" fillId="0" borderId="92" xfId="0" applyNumberFormat="1" applyFont="1" applyBorder="1"/>
    <xf numFmtId="167" fontId="74" fillId="0" borderId="93" xfId="0" applyNumberFormat="1" applyFont="1" applyBorder="1" applyAlignment="1">
      <alignment horizontal="right"/>
    </xf>
    <xf numFmtId="4" fontId="74" fillId="0" borderId="87" xfId="0" applyNumberFormat="1" applyFont="1" applyBorder="1" applyAlignment="1">
      <alignment horizontal="right"/>
    </xf>
    <xf numFmtId="40" fontId="74" fillId="0" borderId="87" xfId="0" applyNumberFormat="1" applyFont="1" applyBorder="1" applyAlignment="1">
      <alignment horizontal="right"/>
    </xf>
    <xf numFmtId="40" fontId="74" fillId="0" borderId="87" xfId="0" applyNumberFormat="1" applyFont="1" applyBorder="1"/>
    <xf numFmtId="2" fontId="74" fillId="0" borderId="94" xfId="0" applyNumberFormat="1" applyFont="1" applyBorder="1"/>
    <xf numFmtId="167" fontId="74" fillId="0" borderId="95" xfId="0" applyNumberFormat="1" applyFont="1" applyBorder="1" applyAlignment="1">
      <alignment horizontal="right"/>
    </xf>
    <xf numFmtId="168" fontId="74" fillId="0" borderId="96" xfId="0" applyNumberFormat="1" applyFont="1" applyBorder="1" applyAlignment="1">
      <alignment horizontal="right"/>
    </xf>
    <xf numFmtId="168" fontId="74" fillId="0" borderId="87" xfId="0" applyNumberFormat="1" applyFont="1" applyBorder="1" applyAlignment="1">
      <alignment horizontal="right"/>
    </xf>
    <xf numFmtId="166" fontId="74" fillId="0" borderId="84" xfId="0" applyNumberFormat="1" applyFont="1" applyBorder="1" applyAlignment="1">
      <alignment horizontal="right"/>
    </xf>
    <xf numFmtId="2" fontId="74" fillId="0" borderId="84" xfId="0" applyNumberFormat="1" applyFont="1" applyBorder="1" applyAlignment="1">
      <alignment horizontal="right"/>
    </xf>
    <xf numFmtId="4" fontId="74" fillId="0" borderId="92" xfId="0" applyNumberFormat="1" applyFont="1" applyBorder="1" applyAlignment="1">
      <alignment horizontal="right"/>
    </xf>
    <xf numFmtId="166" fontId="74" fillId="0" borderId="93" xfId="0" applyNumberFormat="1" applyFont="1" applyBorder="1" applyAlignment="1">
      <alignment horizontal="right"/>
    </xf>
    <xf numFmtId="166" fontId="74" fillId="0" borderId="87" xfId="0" applyNumberFormat="1" applyFont="1" applyBorder="1" applyAlignment="1">
      <alignment horizontal="right"/>
    </xf>
    <xf numFmtId="2" fontId="74" fillId="0" borderId="87" xfId="0" applyNumberFormat="1" applyFont="1" applyBorder="1" applyAlignment="1">
      <alignment horizontal="right"/>
    </xf>
    <xf numFmtId="4" fontId="74" fillId="0" borderId="94" xfId="0" applyNumberFormat="1" applyFont="1" applyBorder="1" applyAlignment="1">
      <alignment horizontal="right"/>
    </xf>
    <xf numFmtId="166" fontId="74" fillId="0" borderId="95" xfId="0" applyNumberFormat="1" applyFont="1" applyBorder="1" applyAlignment="1">
      <alignment horizontal="right"/>
    </xf>
    <xf numFmtId="2" fontId="74" fillId="0" borderId="87" xfId="0" applyNumberFormat="1" applyFont="1" applyBorder="1"/>
    <xf numFmtId="14" fontId="74" fillId="0" borderId="97" xfId="0" applyNumberFormat="1" applyFont="1" applyBorder="1"/>
    <xf numFmtId="14" fontId="74" fillId="0" borderId="98" xfId="0" applyNumberFormat="1" applyFont="1" applyBorder="1" applyAlignment="1">
      <alignment horizontal="right"/>
    </xf>
    <xf numFmtId="168" fontId="74" fillId="0" borderId="98" xfId="0" applyNumberFormat="1" applyFont="1" applyBorder="1" applyAlignment="1">
      <alignment horizontal="right"/>
    </xf>
    <xf numFmtId="17" fontId="75" fillId="0" borderId="98" xfId="0" applyNumberFormat="1" applyFont="1" applyBorder="1"/>
    <xf numFmtId="168" fontId="75" fillId="0" borderId="99" xfId="0" applyNumberFormat="1" applyFont="1" applyBorder="1" applyAlignment="1">
      <alignment horizontal="right"/>
    </xf>
    <xf numFmtId="14" fontId="74" fillId="0" borderId="100" xfId="0" applyNumberFormat="1" applyFont="1" applyBorder="1"/>
    <xf numFmtId="14" fontId="74" fillId="0" borderId="101" xfId="0" applyNumberFormat="1" applyFont="1" applyBorder="1" applyAlignment="1">
      <alignment horizontal="right"/>
    </xf>
    <xf numFmtId="168" fontId="74" fillId="0" borderId="101" xfId="0" applyNumberFormat="1" applyFont="1" applyBorder="1" applyAlignment="1">
      <alignment horizontal="right"/>
    </xf>
    <xf numFmtId="17" fontId="75" fillId="0" borderId="101" xfId="0" applyNumberFormat="1" applyFont="1" applyBorder="1"/>
    <xf numFmtId="168" fontId="75" fillId="0" borderId="102" xfId="0" applyNumberFormat="1" applyFont="1" applyBorder="1" applyAlignment="1">
      <alignment horizontal="right"/>
    </xf>
    <xf numFmtId="14" fontId="74" fillId="0" borderId="100" xfId="0" applyNumberFormat="1" applyFont="1" applyBorder="1" applyAlignment="1">
      <alignment horizontal="right"/>
    </xf>
    <xf numFmtId="14" fontId="74" fillId="0" borderId="103" xfId="0" applyNumberFormat="1" applyFont="1" applyBorder="1"/>
    <xf numFmtId="14" fontId="74" fillId="0" borderId="96" xfId="0" applyNumberFormat="1" applyFont="1" applyBorder="1" applyAlignment="1">
      <alignment horizontal="right"/>
    </xf>
    <xf numFmtId="164" fontId="74" fillId="0" borderId="96" xfId="4" applyFont="1" applyBorder="1"/>
    <xf numFmtId="168" fontId="74" fillId="0" borderId="104" xfId="0" applyNumberFormat="1" applyFont="1" applyBorder="1" applyAlignment="1">
      <alignment horizontal="right"/>
    </xf>
    <xf numFmtId="14" fontId="74" fillId="0" borderId="86" xfId="0" applyNumberFormat="1" applyFont="1" applyBorder="1"/>
    <xf numFmtId="14" fontId="74" fillId="0" borderId="87" xfId="0" applyNumberFormat="1" applyFont="1" applyBorder="1" applyAlignment="1">
      <alignment horizontal="right"/>
    </xf>
    <xf numFmtId="164" fontId="74" fillId="0" borderId="87" xfId="4" applyFont="1" applyBorder="1"/>
    <xf numFmtId="168" fontId="74" fillId="0" borderId="88" xfId="0" applyNumberFormat="1" applyFont="1" applyBorder="1" applyAlignment="1">
      <alignment horizontal="right"/>
    </xf>
    <xf numFmtId="168" fontId="74" fillId="0" borderId="88" xfId="0" applyNumberFormat="1" applyFont="1" applyBorder="1" applyAlignment="1">
      <alignment horizontal="center" vertical="center"/>
    </xf>
    <xf numFmtId="168" fontId="74" fillId="0" borderId="88" xfId="0" applyNumberFormat="1" applyFont="1" applyBorder="1" applyAlignment="1">
      <alignment horizontal="center"/>
    </xf>
    <xf numFmtId="17" fontId="75" fillId="0" borderId="87" xfId="0" applyNumberFormat="1" applyFont="1" applyBorder="1"/>
    <xf numFmtId="168" fontId="75" fillId="0" borderId="88" xfId="0" applyNumberFormat="1" applyFont="1" applyBorder="1" applyAlignment="1">
      <alignment horizontal="right"/>
    </xf>
    <xf numFmtId="14" fontId="74" fillId="0" borderId="86" xfId="0" applyNumberFormat="1" applyFont="1" applyBorder="1" applyAlignment="1">
      <alignment horizontal="right"/>
    </xf>
    <xf numFmtId="164" fontId="74" fillId="0" borderId="94" xfId="4" applyFont="1" applyBorder="1" applyAlignment="1">
      <alignment horizontal="right"/>
    </xf>
    <xf numFmtId="14" fontId="74" fillId="0" borderId="105" xfId="0" applyNumberFormat="1" applyFont="1" applyBorder="1" applyAlignment="1">
      <alignment horizontal="right"/>
    </xf>
    <xf numFmtId="168" fontId="74" fillId="0" borderId="105" xfId="0" applyNumberFormat="1" applyFont="1" applyBorder="1" applyAlignment="1">
      <alignment horizontal="right"/>
    </xf>
    <xf numFmtId="17" fontId="75" fillId="0" borderId="105" xfId="0" applyNumberFormat="1" applyFont="1" applyBorder="1"/>
    <xf numFmtId="168" fontId="75" fillId="0" borderId="106" xfId="0" applyNumberFormat="1" applyFont="1" applyBorder="1" applyAlignment="1">
      <alignment horizontal="right"/>
    </xf>
    <xf numFmtId="14" fontId="74" fillId="0" borderId="107" xfId="0" applyNumberFormat="1" applyFont="1" applyBorder="1" applyAlignment="1">
      <alignment horizontal="right"/>
    </xf>
    <xf numFmtId="14" fontId="74" fillId="0" borderId="108" xfId="0" applyNumberFormat="1" applyFont="1" applyBorder="1" applyAlignment="1">
      <alignment horizontal="right"/>
    </xf>
    <xf numFmtId="168" fontId="74" fillId="0" borderId="108" xfId="0" applyNumberFormat="1" applyFont="1" applyBorder="1" applyAlignment="1">
      <alignment horizontal="right"/>
    </xf>
    <xf numFmtId="17" fontId="75" fillId="0" borderId="108" xfId="0" applyNumberFormat="1" applyFont="1" applyBorder="1"/>
    <xf numFmtId="168" fontId="75" fillId="0" borderId="109" xfId="0" applyNumberFormat="1" applyFont="1" applyBorder="1" applyAlignment="1">
      <alignment horizontal="right"/>
    </xf>
    <xf numFmtId="14" fontId="74" fillId="0" borderId="58" xfId="0" applyNumberFormat="1" applyFont="1" applyBorder="1" applyAlignment="1">
      <alignment horizontal="right"/>
    </xf>
    <xf numFmtId="14" fontId="74" fillId="0" borderId="111" xfId="0" applyNumberFormat="1" applyFont="1" applyBorder="1" applyAlignment="1">
      <alignment horizontal="right"/>
    </xf>
    <xf numFmtId="14" fontId="74" fillId="0" borderId="112" xfId="0" applyNumberFormat="1" applyFont="1" applyBorder="1" applyAlignment="1">
      <alignment horizontal="right"/>
    </xf>
    <xf numFmtId="168" fontId="74" fillId="0" borderId="112" xfId="0" applyNumberFormat="1" applyFont="1" applyBorder="1" applyAlignment="1">
      <alignment horizontal="right"/>
    </xf>
    <xf numFmtId="17" fontId="75" fillId="0" borderId="112" xfId="0" applyNumberFormat="1" applyFont="1" applyBorder="1"/>
    <xf numFmtId="168" fontId="75" fillId="0" borderId="113" xfId="0" applyNumberFormat="1" applyFont="1" applyBorder="1" applyAlignment="1">
      <alignment horizontal="right"/>
    </xf>
    <xf numFmtId="14" fontId="74" fillId="0" borderId="114" xfId="0" applyNumberFormat="1" applyFont="1" applyBorder="1" applyAlignment="1">
      <alignment horizontal="right"/>
    </xf>
    <xf numFmtId="14" fontId="74" fillId="0" borderId="62" xfId="0" applyNumberFormat="1" applyFont="1" applyBorder="1" applyAlignment="1">
      <alignment horizontal="right"/>
    </xf>
    <xf numFmtId="168" fontId="74" fillId="0" borderId="62" xfId="0" applyNumberFormat="1" applyFont="1" applyBorder="1" applyAlignment="1">
      <alignment horizontal="right"/>
    </xf>
    <xf numFmtId="17" fontId="75" fillId="0" borderId="62" xfId="0" applyNumberFormat="1" applyFont="1" applyBorder="1"/>
    <xf numFmtId="168" fontId="75" fillId="0" borderId="115" xfId="0" applyNumberFormat="1" applyFont="1" applyBorder="1" applyAlignment="1">
      <alignment horizontal="right"/>
    </xf>
    <xf numFmtId="4" fontId="74" fillId="0" borderId="112" xfId="0" applyNumberFormat="1" applyFont="1" applyBorder="1" applyAlignment="1">
      <alignment horizontal="right"/>
    </xf>
    <xf numFmtId="40" fontId="74" fillId="0" borderId="112" xfId="0" applyNumberFormat="1" applyFont="1" applyBorder="1" applyAlignment="1">
      <alignment horizontal="right"/>
    </xf>
    <xf numFmtId="40" fontId="74" fillId="0" borderId="112" xfId="0" applyNumberFormat="1" applyFont="1" applyBorder="1"/>
    <xf numFmtId="2" fontId="74" fillId="0" borderId="116" xfId="0" applyNumberFormat="1" applyFont="1" applyBorder="1"/>
    <xf numFmtId="167" fontId="74" fillId="0" borderId="117" xfId="0" applyNumberFormat="1" applyFont="1" applyBorder="1" applyAlignment="1">
      <alignment horizontal="right"/>
    </xf>
    <xf numFmtId="181" fontId="74" fillId="0" borderId="117" xfId="4" applyNumberFormat="1" applyFont="1" applyBorder="1"/>
    <xf numFmtId="181" fontId="74" fillId="0" borderId="117" xfId="4" applyNumberFormat="1" applyFont="1" applyBorder="1" applyAlignment="1">
      <alignment horizontal="right"/>
    </xf>
    <xf numFmtId="179" fontId="74" fillId="0" borderId="76" xfId="0" applyNumberFormat="1" applyFont="1" applyBorder="1" applyAlignment="1">
      <alignment horizontal="right"/>
    </xf>
    <xf numFmtId="167" fontId="74" fillId="0" borderId="118" xfId="0" applyNumberFormat="1" applyFont="1" applyBorder="1" applyAlignment="1">
      <alignment horizontal="right"/>
    </xf>
    <xf numFmtId="14" fontId="74" fillId="0" borderId="119" xfId="0" applyNumberFormat="1" applyFont="1" applyBorder="1" applyAlignment="1">
      <alignment horizontal="right"/>
    </xf>
    <xf numFmtId="14" fontId="74" fillId="0" borderId="120" xfId="0" applyNumberFormat="1" applyFont="1" applyBorder="1" applyAlignment="1">
      <alignment horizontal="right"/>
    </xf>
    <xf numFmtId="17" fontId="75" fillId="0" borderId="120" xfId="0" applyNumberFormat="1" applyFont="1" applyBorder="1"/>
    <xf numFmtId="168" fontId="75" fillId="0" borderId="121" xfId="0" applyNumberFormat="1" applyFont="1" applyBorder="1" applyAlignment="1">
      <alignment horizontal="right"/>
    </xf>
    <xf numFmtId="166" fontId="74" fillId="0" borderId="62" xfId="0" applyNumberFormat="1" applyFont="1" applyBorder="1" applyAlignment="1">
      <alignment horizontal="right"/>
    </xf>
    <xf numFmtId="4" fontId="74" fillId="0" borderId="77" xfId="0" applyNumberFormat="1" applyFont="1" applyBorder="1" applyAlignment="1">
      <alignment horizontal="right"/>
    </xf>
    <xf numFmtId="168" fontId="74" fillId="0" borderId="120" xfId="0" applyNumberFormat="1" applyFont="1" applyBorder="1" applyAlignment="1">
      <alignment horizontal="right"/>
    </xf>
    <xf numFmtId="0" fontId="15" fillId="3" borderId="2" xfId="0" applyFont="1" applyFill="1" applyBorder="1" applyAlignment="1">
      <alignment horizontal="center" vertical="center"/>
    </xf>
    <xf numFmtId="2" fontId="15" fillId="3" borderId="2" xfId="0" applyNumberFormat="1" applyFont="1" applyFill="1" applyBorder="1" applyAlignment="1">
      <alignment horizontal="center" vertical="center"/>
    </xf>
    <xf numFmtId="2" fontId="13" fillId="3" borderId="2" xfId="0" applyNumberFormat="1" applyFont="1" applyFill="1" applyBorder="1" applyAlignment="1">
      <alignment horizontal="center" vertical="center"/>
    </xf>
    <xf numFmtId="2" fontId="14" fillId="0" borderId="2" xfId="0" applyNumberFormat="1" applyFont="1" applyBorder="1" applyAlignment="1">
      <alignment horizontal="center" vertical="center"/>
    </xf>
    <xf numFmtId="14" fontId="15" fillId="0" borderId="125" xfId="0" applyNumberFormat="1" applyFont="1" applyBorder="1" applyAlignment="1">
      <alignment horizontal="center" vertical="center"/>
    </xf>
    <xf numFmtId="10" fontId="15" fillId="0" borderId="61" xfId="3" applyNumberFormat="1" applyFont="1" applyBorder="1" applyAlignment="1">
      <alignment horizontal="center" vertical="center"/>
    </xf>
    <xf numFmtId="2" fontId="15" fillId="0" borderId="61" xfId="0" applyNumberFormat="1" applyFont="1" applyBorder="1" applyAlignment="1">
      <alignment horizontal="center" vertical="center" wrapText="1"/>
    </xf>
    <xf numFmtId="2" fontId="14" fillId="0" borderId="126" xfId="0" applyNumberFormat="1" applyFont="1" applyBorder="1" applyAlignment="1">
      <alignment horizontal="center" vertical="center" wrapText="1"/>
    </xf>
    <xf numFmtId="14" fontId="15" fillId="0" borderId="58" xfId="0" applyNumberFormat="1" applyFont="1" applyBorder="1" applyAlignment="1">
      <alignment horizontal="center" vertical="center"/>
    </xf>
    <xf numFmtId="10" fontId="15" fillId="0" borderId="59" xfId="3" applyNumberFormat="1" applyFont="1" applyBorder="1" applyAlignment="1">
      <alignment horizontal="center" vertical="center"/>
    </xf>
    <xf numFmtId="2" fontId="15" fillId="0" borderId="59" xfId="0" applyNumberFormat="1" applyFont="1" applyBorder="1" applyAlignment="1">
      <alignment horizontal="center" vertical="center"/>
    </xf>
    <xf numFmtId="2" fontId="14" fillId="0" borderId="60" xfId="0" applyNumberFormat="1" applyFont="1" applyBorder="1" applyAlignment="1">
      <alignment horizontal="center" vertical="center" wrapText="1"/>
    </xf>
    <xf numFmtId="14" fontId="15" fillId="0" borderId="127" xfId="0" applyNumberFormat="1" applyFont="1" applyBorder="1" applyAlignment="1">
      <alignment horizontal="center" vertical="center"/>
    </xf>
    <xf numFmtId="10" fontId="15" fillId="0" borderId="110" xfId="3" applyNumberFormat="1" applyFont="1" applyBorder="1" applyAlignment="1">
      <alignment horizontal="center" vertical="center"/>
    </xf>
    <xf numFmtId="2" fontId="15" fillId="0" borderId="110" xfId="0" applyNumberFormat="1" applyFont="1" applyBorder="1" applyAlignment="1">
      <alignment horizontal="center" vertical="center"/>
    </xf>
    <xf numFmtId="2" fontId="14" fillId="0" borderId="128" xfId="0" applyNumberFormat="1" applyFont="1" applyBorder="1" applyAlignment="1">
      <alignment horizontal="center" vertical="center" wrapText="1"/>
    </xf>
    <xf numFmtId="14" fontId="74" fillId="0" borderId="129" xfId="0" applyNumberFormat="1" applyFont="1" applyBorder="1" applyAlignment="1">
      <alignment horizontal="right"/>
    </xf>
    <xf numFmtId="17" fontId="100" fillId="39" borderId="130" xfId="0" applyNumberFormat="1" applyFont="1" applyFill="1" applyBorder="1" applyAlignment="1">
      <alignment horizontal="right" vertical="center"/>
    </xf>
    <xf numFmtId="17" fontId="100" fillId="39" borderId="131" xfId="0" applyNumberFormat="1" applyFont="1" applyFill="1" applyBorder="1" applyAlignment="1">
      <alignment vertical="center"/>
    </xf>
    <xf numFmtId="17" fontId="100" fillId="39" borderId="130" xfId="0" applyNumberFormat="1" applyFont="1" applyFill="1" applyBorder="1" applyAlignment="1">
      <alignment vertical="center"/>
    </xf>
    <xf numFmtId="17" fontId="100" fillId="39" borderId="132" xfId="0" applyNumberFormat="1" applyFont="1" applyFill="1" applyBorder="1" applyAlignment="1">
      <alignment vertical="center"/>
    </xf>
    <xf numFmtId="17" fontId="100" fillId="39" borderId="133" xfId="0" applyNumberFormat="1" applyFont="1" applyFill="1" applyBorder="1" applyAlignment="1">
      <alignment vertical="center"/>
    </xf>
    <xf numFmtId="17" fontId="100" fillId="39" borderId="134" xfId="0" applyNumberFormat="1" applyFont="1" applyFill="1" applyBorder="1" applyAlignment="1">
      <alignment vertical="center"/>
    </xf>
    <xf numFmtId="17" fontId="100" fillId="39" borderId="135" xfId="0" applyNumberFormat="1" applyFont="1" applyFill="1" applyBorder="1" applyAlignment="1">
      <alignment vertical="center"/>
    </xf>
    <xf numFmtId="17" fontId="101" fillId="39" borderId="136" xfId="0" applyNumberFormat="1" applyFont="1" applyFill="1" applyBorder="1" applyAlignment="1">
      <alignment vertical="center"/>
    </xf>
    <xf numFmtId="17" fontId="101" fillId="39" borderId="137" xfId="0" applyNumberFormat="1" applyFont="1" applyFill="1" applyBorder="1" applyAlignment="1">
      <alignment vertical="center"/>
    </xf>
    <xf numFmtId="17" fontId="101" fillId="39" borderId="138" xfId="0" applyNumberFormat="1" applyFont="1" applyFill="1" applyBorder="1" applyAlignment="1">
      <alignment vertical="center"/>
    </xf>
    <xf numFmtId="174" fontId="74" fillId="0" borderId="87" xfId="0" applyNumberFormat="1" applyFont="1" applyBorder="1" applyAlignment="1">
      <alignment horizontal="right"/>
    </xf>
    <xf numFmtId="174" fontId="74" fillId="0" borderId="94" xfId="0" applyNumberFormat="1" applyFont="1" applyBorder="1" applyAlignment="1">
      <alignment horizontal="right"/>
    </xf>
    <xf numFmtId="178" fontId="74" fillId="0" borderId="87" xfId="0" applyNumberFormat="1" applyFont="1" applyBorder="1" applyAlignment="1">
      <alignment horizontal="right"/>
    </xf>
    <xf numFmtId="178" fontId="74" fillId="0" borderId="94" xfId="0" applyNumberFormat="1" applyFont="1" applyBorder="1" applyAlignment="1">
      <alignment horizontal="right"/>
    </xf>
    <xf numFmtId="174" fontId="74" fillId="0" borderId="87" xfId="0" applyNumberFormat="1" applyFont="1" applyBorder="1"/>
    <xf numFmtId="174" fontId="74" fillId="0" borderId="94" xfId="0" applyNumberFormat="1" applyFont="1" applyBorder="1"/>
    <xf numFmtId="174" fontId="74" fillId="0" borderId="84" xfId="0" applyNumberFormat="1" applyFont="1" applyBorder="1" applyAlignment="1">
      <alignment horizontal="right"/>
    </xf>
    <xf numFmtId="174" fontId="74" fillId="0" borderId="84" xfId="0" applyNumberFormat="1" applyFont="1" applyBorder="1"/>
    <xf numFmtId="174" fontId="74" fillId="0" borderId="92" xfId="0" applyNumberFormat="1" applyFont="1" applyBorder="1"/>
    <xf numFmtId="17" fontId="73" fillId="41" borderId="59" xfId="1" applyNumberFormat="1" applyFont="1" applyFill="1" applyBorder="1" applyAlignment="1">
      <alignment horizontal="left"/>
    </xf>
    <xf numFmtId="17" fontId="73" fillId="0" borderId="59" xfId="1" applyNumberFormat="1" applyFont="1" applyBorder="1" applyAlignment="1">
      <alignment horizontal="left"/>
    </xf>
    <xf numFmtId="17" fontId="73" fillId="0" borderId="139" xfId="1" applyNumberFormat="1" applyFont="1" applyBorder="1" applyAlignment="1">
      <alignment horizontal="left" vertical="center"/>
    </xf>
    <xf numFmtId="17" fontId="73" fillId="0" borderId="59" xfId="1" applyNumberFormat="1" applyFont="1" applyBorder="1" applyAlignment="1">
      <alignment horizontal="left" vertical="center"/>
    </xf>
    <xf numFmtId="14" fontId="74" fillId="0" borderId="140" xfId="0" applyNumberFormat="1" applyFont="1" applyBorder="1"/>
    <xf numFmtId="14" fontId="74" fillId="0" borderId="141" xfId="0" applyNumberFormat="1" applyFont="1" applyBorder="1"/>
    <xf numFmtId="14" fontId="74" fillId="0" borderId="142" xfId="0" applyNumberFormat="1" applyFont="1" applyBorder="1" applyAlignment="1">
      <alignment horizontal="right"/>
    </xf>
    <xf numFmtId="168" fontId="74" fillId="0" borderId="142" xfId="0" applyNumberFormat="1" applyFont="1" applyBorder="1" applyAlignment="1">
      <alignment horizontal="right"/>
    </xf>
    <xf numFmtId="17" fontId="75" fillId="0" borderId="142" xfId="0" applyNumberFormat="1" applyFont="1" applyBorder="1"/>
    <xf numFmtId="168" fontId="75" fillId="0" borderId="143" xfId="0" applyNumberFormat="1" applyFont="1" applyBorder="1" applyAlignment="1">
      <alignment horizontal="right"/>
    </xf>
    <xf numFmtId="4" fontId="102" fillId="42" borderId="0" xfId="0" applyNumberFormat="1" applyFont="1" applyFill="1" applyAlignment="1">
      <alignment horizontal="right" vertical="center"/>
    </xf>
    <xf numFmtId="2" fontId="102" fillId="42" borderId="0" xfId="0" applyNumberFormat="1" applyFont="1" applyFill="1" applyAlignment="1">
      <alignment horizontal="center" vertical="center"/>
    </xf>
    <xf numFmtId="168" fontId="75" fillId="0" borderId="144" xfId="0" applyNumberFormat="1" applyFont="1" applyBorder="1" applyAlignment="1">
      <alignment horizontal="center" vertical="center" wrapText="1"/>
    </xf>
    <xf numFmtId="168" fontId="75" fillId="0" borderId="145" xfId="0" applyNumberFormat="1" applyFont="1" applyBorder="1" applyAlignment="1">
      <alignment horizontal="center" vertical="center" wrapText="1"/>
    </xf>
    <xf numFmtId="168" fontId="75" fillId="0" borderId="146" xfId="0" applyNumberFormat="1" applyFont="1" applyBorder="1" applyAlignment="1">
      <alignment horizontal="center" vertical="center" wrapText="1"/>
    </xf>
    <xf numFmtId="17" fontId="84" fillId="0" borderId="114" xfId="0" applyNumberFormat="1" applyFont="1" applyBorder="1" applyAlignment="1">
      <alignment horizontal="center" vertical="center"/>
    </xf>
    <xf numFmtId="0" fontId="84" fillId="0" borderId="62" xfId="0" applyFont="1" applyBorder="1" applyAlignment="1">
      <alignment horizontal="center" vertical="center"/>
    </xf>
    <xf numFmtId="4" fontId="74" fillId="0" borderId="147" xfId="0" applyNumberFormat="1" applyFont="1" applyBorder="1" applyAlignment="1">
      <alignment horizontal="right"/>
    </xf>
    <xf numFmtId="40" fontId="74" fillId="0" borderId="147" xfId="0" applyNumberFormat="1" applyFont="1" applyBorder="1" applyAlignment="1">
      <alignment horizontal="right"/>
    </xf>
    <xf numFmtId="40" fontId="74" fillId="0" borderId="147" xfId="0" applyNumberFormat="1" applyFont="1" applyBorder="1"/>
    <xf numFmtId="2" fontId="74" fillId="0" borderId="148" xfId="0" applyNumberFormat="1" applyFont="1" applyBorder="1"/>
    <xf numFmtId="167" fontId="74" fillId="0" borderId="149" xfId="0" applyNumberFormat="1" applyFont="1" applyBorder="1" applyAlignment="1">
      <alignment horizontal="right"/>
    </xf>
    <xf numFmtId="4" fontId="74" fillId="0" borderId="150" xfId="0" applyNumberFormat="1" applyFont="1" applyBorder="1" applyAlignment="1">
      <alignment horizontal="right"/>
    </xf>
    <xf numFmtId="167" fontId="74" fillId="0" borderId="151" xfId="0" applyNumberFormat="1" applyFont="1" applyBorder="1" applyAlignment="1">
      <alignment horizontal="right"/>
    </xf>
    <xf numFmtId="40" fontId="74" fillId="0" borderId="150" xfId="0" applyNumberFormat="1" applyFont="1" applyBorder="1" applyAlignment="1">
      <alignment horizontal="right"/>
    </xf>
    <xf numFmtId="40" fontId="74" fillId="0" borderId="150" xfId="0" applyNumberFormat="1" applyFont="1" applyBorder="1"/>
    <xf numFmtId="2" fontId="74" fillId="0" borderId="152" xfId="0" applyNumberFormat="1" applyFont="1" applyBorder="1"/>
    <xf numFmtId="4" fontId="74" fillId="0" borderId="139" xfId="0" applyNumberFormat="1" applyFont="1" applyBorder="1" applyAlignment="1">
      <alignment horizontal="right"/>
    </xf>
    <xf numFmtId="40" fontId="74" fillId="0" borderId="139" xfId="0" applyNumberFormat="1" applyFont="1" applyBorder="1" applyAlignment="1">
      <alignment horizontal="right"/>
    </xf>
    <xf numFmtId="40" fontId="74" fillId="0" borderId="139" xfId="0" applyNumberFormat="1" applyFont="1" applyBorder="1"/>
    <xf numFmtId="2" fontId="74" fillId="0" borderId="153" xfId="0" applyNumberFormat="1" applyFont="1" applyBorder="1"/>
    <xf numFmtId="167" fontId="74" fillId="0" borderId="154" xfId="0" applyNumberFormat="1" applyFont="1" applyBorder="1" applyAlignment="1">
      <alignment horizontal="right"/>
    </xf>
    <xf numFmtId="4" fontId="74" fillId="0" borderId="153" xfId="0" applyNumberFormat="1" applyFont="1" applyBorder="1" applyAlignment="1">
      <alignment horizontal="right"/>
    </xf>
    <xf numFmtId="181" fontId="74" fillId="0" borderId="154" xfId="4" applyNumberFormat="1" applyFont="1" applyBorder="1" applyAlignment="1">
      <alignment horizontal="right"/>
    </xf>
    <xf numFmtId="179" fontId="74" fillId="0" borderId="139" xfId="0" applyNumberFormat="1" applyFont="1" applyBorder="1" applyAlignment="1">
      <alignment horizontal="right"/>
    </xf>
    <xf numFmtId="179" fontId="74" fillId="0" borderId="153" xfId="0" applyNumberFormat="1" applyFont="1" applyBorder="1" applyAlignment="1">
      <alignment horizontal="right"/>
    </xf>
    <xf numFmtId="166" fontId="74" fillId="0" borderId="139" xfId="0" applyNumberFormat="1" applyFont="1" applyBorder="1" applyAlignment="1">
      <alignment horizontal="right"/>
    </xf>
    <xf numFmtId="17" fontId="100" fillId="39" borderId="130" xfId="0" applyNumberFormat="1" applyFont="1" applyFill="1" applyBorder="1" applyAlignment="1">
      <alignment vertical="center" readingOrder="1"/>
    </xf>
    <xf numFmtId="17" fontId="73" fillId="0" borderId="139" xfId="1" applyNumberFormat="1" applyFont="1" applyBorder="1" applyAlignment="1">
      <alignment horizontal="left"/>
    </xf>
    <xf numFmtId="17" fontId="100" fillId="39" borderId="131" xfId="0" applyNumberFormat="1" applyFont="1" applyFill="1" applyBorder="1" applyAlignment="1">
      <alignment horizontal="right" vertical="center"/>
    </xf>
    <xf numFmtId="17" fontId="73" fillId="41" borderId="139" xfId="1" applyNumberFormat="1" applyFont="1" applyFill="1" applyBorder="1" applyAlignment="1">
      <alignment horizontal="left"/>
    </xf>
    <xf numFmtId="168" fontId="74" fillId="0" borderId="139" xfId="0" applyNumberFormat="1" applyFont="1" applyBorder="1" applyAlignment="1">
      <alignment horizontal="right"/>
    </xf>
    <xf numFmtId="17" fontId="73" fillId="41" borderId="62" xfId="1" applyNumberFormat="1" applyFont="1" applyFill="1" applyBorder="1" applyAlignment="1">
      <alignment horizontal="left"/>
    </xf>
    <xf numFmtId="17" fontId="73" fillId="0" borderId="83" xfId="1" applyNumberFormat="1" applyFont="1" applyBorder="1" applyAlignment="1">
      <alignment horizontal="left" vertical="center"/>
    </xf>
    <xf numFmtId="17" fontId="73" fillId="0" borderId="86" xfId="1" applyNumberFormat="1" applyFont="1" applyBorder="1" applyAlignment="1">
      <alignment horizontal="left" vertical="center"/>
    </xf>
    <xf numFmtId="17" fontId="73" fillId="0" borderId="62" xfId="1" applyNumberFormat="1" applyFont="1" applyBorder="1" applyAlignment="1">
      <alignment horizontal="left" vertical="center"/>
    </xf>
    <xf numFmtId="17" fontId="73" fillId="0" borderId="62" xfId="1" applyNumberFormat="1" applyFont="1" applyBorder="1" applyAlignment="1">
      <alignment horizontal="left"/>
    </xf>
    <xf numFmtId="17" fontId="73" fillId="0" borderId="83" xfId="1" applyNumberFormat="1" applyFont="1" applyBorder="1" applyAlignment="1">
      <alignment horizontal="left"/>
    </xf>
    <xf numFmtId="17" fontId="73" fillId="0" borderId="86" xfId="1" applyNumberFormat="1" applyFont="1" applyBorder="1" applyAlignment="1">
      <alignment horizontal="left"/>
    </xf>
    <xf numFmtId="164" fontId="74" fillId="0" borderId="92" xfId="4" applyFont="1" applyBorder="1" applyAlignment="1">
      <alignment horizontal="right"/>
    </xf>
    <xf numFmtId="181" fontId="74" fillId="0" borderId="93" xfId="4" applyNumberFormat="1" applyFont="1" applyBorder="1"/>
    <xf numFmtId="181" fontId="74" fillId="0" borderId="95" xfId="4" applyNumberFormat="1" applyFont="1" applyBorder="1"/>
    <xf numFmtId="181" fontId="74" fillId="0" borderId="93" xfId="4" applyNumberFormat="1" applyFont="1" applyBorder="1" applyAlignment="1">
      <alignment horizontal="right"/>
    </xf>
    <xf numFmtId="181" fontId="74" fillId="0" borderId="95" xfId="4" applyNumberFormat="1" applyFont="1" applyBorder="1" applyAlignment="1">
      <alignment horizontal="right"/>
    </xf>
    <xf numFmtId="179" fontId="74" fillId="0" borderId="62" xfId="0" applyNumberFormat="1" applyFont="1" applyBorder="1" applyAlignment="1">
      <alignment horizontal="right"/>
    </xf>
    <xf numFmtId="179" fontId="74" fillId="0" borderId="77" xfId="0" applyNumberFormat="1" applyFont="1" applyBorder="1" applyAlignment="1">
      <alignment horizontal="right"/>
    </xf>
    <xf numFmtId="174" fontId="74" fillId="0" borderId="92" xfId="0" applyNumberFormat="1" applyFont="1" applyBorder="1" applyAlignment="1">
      <alignment horizontal="right"/>
    </xf>
    <xf numFmtId="178" fontId="74" fillId="0" borderId="84" xfId="0" applyNumberFormat="1" applyFont="1" applyBorder="1" applyAlignment="1">
      <alignment horizontal="right"/>
    </xf>
    <xf numFmtId="178" fontId="74" fillId="0" borderId="92" xfId="0" applyNumberFormat="1" applyFont="1" applyBorder="1" applyAlignment="1">
      <alignment horizontal="right"/>
    </xf>
    <xf numFmtId="17" fontId="73" fillId="41" borderId="86" xfId="1" applyNumberFormat="1" applyFont="1" applyFill="1" applyBorder="1" applyAlignment="1">
      <alignment horizontal="left"/>
    </xf>
    <xf numFmtId="39" fontId="8" fillId="32" borderId="52" xfId="0" applyNumberFormat="1" applyFont="1" applyFill="1" applyBorder="1" applyAlignment="1">
      <alignment horizontal="center" vertical="center"/>
    </xf>
    <xf numFmtId="165" fontId="8" fillId="32" borderId="14" xfId="0" applyNumberFormat="1" applyFont="1" applyFill="1" applyBorder="1" applyAlignment="1">
      <alignment horizontal="center" vertical="center"/>
    </xf>
    <xf numFmtId="17" fontId="73" fillId="0" borderId="111" xfId="1" applyNumberFormat="1" applyFont="1" applyBorder="1" applyAlignment="1">
      <alignment horizontal="left" vertical="center"/>
    </xf>
    <xf numFmtId="164" fontId="74" fillId="0" borderId="116" xfId="4" applyFont="1" applyBorder="1" applyAlignment="1">
      <alignment horizontal="right"/>
    </xf>
    <xf numFmtId="181" fontId="74" fillId="0" borderId="118" xfId="4" applyNumberFormat="1" applyFont="1" applyBorder="1"/>
    <xf numFmtId="181" fontId="74" fillId="0" borderId="118" xfId="4" applyNumberFormat="1" applyFont="1" applyBorder="1" applyAlignment="1">
      <alignment horizontal="right"/>
    </xf>
    <xf numFmtId="174" fontId="74" fillId="0" borderId="112" xfId="0" applyNumberFormat="1" applyFont="1" applyBorder="1" applyAlignment="1">
      <alignment horizontal="right"/>
    </xf>
    <xf numFmtId="174" fontId="74" fillId="0" borderId="112" xfId="0" applyNumberFormat="1" applyFont="1" applyBorder="1"/>
    <xf numFmtId="174" fontId="74" fillId="0" borderId="116" xfId="0" applyNumberFormat="1" applyFont="1" applyBorder="1"/>
    <xf numFmtId="168" fontId="75" fillId="0" borderId="155" xfId="0" applyNumberFormat="1" applyFont="1" applyBorder="1" applyAlignment="1">
      <alignment horizontal="center" vertical="center" wrapText="1"/>
    </xf>
    <xf numFmtId="168" fontId="75" fillId="0" borderId="133" xfId="0" applyNumberFormat="1" applyFont="1" applyBorder="1" applyAlignment="1">
      <alignment horizontal="center" vertical="center" wrapText="1"/>
    </xf>
    <xf numFmtId="14" fontId="74" fillId="0" borderId="156" xfId="0" applyNumberFormat="1" applyFont="1" applyBorder="1" applyAlignment="1">
      <alignment horizontal="right"/>
    </xf>
    <xf numFmtId="14" fontId="74" fillId="0" borderId="157" xfId="0" applyNumberFormat="1" applyFont="1" applyBorder="1" applyAlignment="1">
      <alignment horizontal="right"/>
    </xf>
    <xf numFmtId="168" fontId="74" fillId="0" borderId="157" xfId="0" applyNumberFormat="1" applyFont="1" applyBorder="1" applyAlignment="1">
      <alignment horizontal="right"/>
    </xf>
    <xf numFmtId="168" fontId="75" fillId="0" borderId="158" xfId="0" applyNumberFormat="1" applyFont="1" applyBorder="1" applyAlignment="1">
      <alignment horizontal="center" vertical="center" wrapText="1"/>
    </xf>
    <xf numFmtId="168" fontId="75" fillId="0" borderId="159" xfId="0" applyNumberFormat="1" applyFont="1" applyBorder="1" applyAlignment="1">
      <alignment horizontal="center" vertical="center" wrapText="1"/>
    </xf>
    <xf numFmtId="17" fontId="73" fillId="0" borderId="89" xfId="1" applyNumberFormat="1" applyFont="1" applyBorder="1" applyAlignment="1">
      <alignment horizontal="left" vertical="center"/>
    </xf>
    <xf numFmtId="4" fontId="74" fillId="0" borderId="90" xfId="0" applyNumberFormat="1" applyFont="1" applyBorder="1" applyAlignment="1">
      <alignment horizontal="right"/>
    </xf>
    <xf numFmtId="174" fontId="74" fillId="0" borderId="90" xfId="0" applyNumberFormat="1" applyFont="1" applyBorder="1" applyAlignment="1">
      <alignment horizontal="right"/>
    </xf>
    <xf numFmtId="174" fontId="74" fillId="0" borderId="160" xfId="0" applyNumberFormat="1" applyFont="1" applyBorder="1" applyAlignment="1">
      <alignment horizontal="right"/>
    </xf>
    <xf numFmtId="181" fontId="74" fillId="0" borderId="161" xfId="4" applyNumberFormat="1" applyFont="1" applyBorder="1" applyAlignment="1">
      <alignment horizontal="right"/>
    </xf>
    <xf numFmtId="174" fontId="74" fillId="0" borderId="90" xfId="0" applyNumberFormat="1" applyFont="1" applyBorder="1"/>
    <xf numFmtId="174" fontId="74" fillId="0" borderId="160" xfId="0" applyNumberFormat="1" applyFont="1" applyBorder="1"/>
    <xf numFmtId="167" fontId="74" fillId="0" borderId="161" xfId="0" applyNumberFormat="1" applyFont="1" applyBorder="1" applyAlignment="1">
      <alignment horizontal="right"/>
    </xf>
    <xf numFmtId="17" fontId="73" fillId="0" borderId="175" xfId="1" applyNumberFormat="1" applyFont="1" applyBorder="1" applyAlignment="1">
      <alignment horizontal="left" vertical="center"/>
    </xf>
    <xf numFmtId="164" fontId="74" fillId="0" borderId="152" xfId="4" applyFont="1" applyBorder="1" applyAlignment="1">
      <alignment horizontal="right"/>
    </xf>
    <xf numFmtId="164" fontId="74" fillId="0" borderId="160" xfId="4" applyFont="1" applyBorder="1" applyAlignment="1">
      <alignment horizontal="right"/>
    </xf>
    <xf numFmtId="181" fontId="74" fillId="0" borderId="161" xfId="4" applyNumberFormat="1" applyFont="1" applyBorder="1"/>
    <xf numFmtId="4" fontId="74" fillId="0" borderId="160" xfId="0" applyNumberFormat="1" applyFont="1" applyBorder="1" applyAlignment="1">
      <alignment horizontal="right"/>
    </xf>
    <xf numFmtId="178" fontId="74" fillId="0" borderId="112" xfId="0" applyNumberFormat="1" applyFont="1" applyBorder="1" applyAlignment="1">
      <alignment horizontal="right"/>
    </xf>
    <xf numFmtId="178" fontId="74" fillId="0" borderId="116" xfId="0" applyNumberFormat="1" applyFont="1" applyBorder="1" applyAlignment="1">
      <alignment horizontal="right"/>
    </xf>
    <xf numFmtId="166" fontId="74" fillId="0" borderId="90" xfId="0" applyNumberFormat="1" applyFont="1" applyBorder="1" applyAlignment="1">
      <alignment horizontal="right"/>
    </xf>
    <xf numFmtId="40" fontId="74" fillId="0" borderId="90" xfId="0" applyNumberFormat="1" applyFont="1" applyBorder="1" applyAlignment="1">
      <alignment horizontal="right"/>
    </xf>
    <xf numFmtId="40" fontId="74" fillId="0" borderId="90" xfId="0" applyNumberFormat="1" applyFont="1" applyBorder="1"/>
    <xf numFmtId="2" fontId="74" fillId="0" borderId="160" xfId="0" applyNumberFormat="1" applyFont="1" applyBorder="1"/>
    <xf numFmtId="2" fontId="74" fillId="0" borderId="90" xfId="0" applyNumberFormat="1" applyFont="1" applyBorder="1" applyAlignment="1">
      <alignment horizontal="right"/>
    </xf>
    <xf numFmtId="166" fontId="74" fillId="0" borderId="161" xfId="0" applyNumberFormat="1" applyFont="1" applyBorder="1" applyAlignment="1">
      <alignment horizontal="right"/>
    </xf>
    <xf numFmtId="17" fontId="73" fillId="41" borderId="176" xfId="1" applyNumberFormat="1" applyFont="1" applyFill="1" applyBorder="1" applyAlignment="1">
      <alignment horizontal="left"/>
    </xf>
    <xf numFmtId="168" fontId="74" fillId="0" borderId="64" xfId="0" applyNumberFormat="1" applyFont="1" applyBorder="1" applyAlignment="1">
      <alignment horizontal="right"/>
    </xf>
    <xf numFmtId="168" fontId="75" fillId="0" borderId="135" xfId="0" applyNumberFormat="1" applyFont="1" applyBorder="1" applyAlignment="1">
      <alignment horizontal="center" vertical="center" wrapText="1"/>
    </xf>
    <xf numFmtId="2" fontId="14" fillId="0" borderId="128" xfId="0" applyNumberFormat="1" applyFont="1" applyBorder="1" applyAlignment="1">
      <alignment horizontal="left" vertical="center" wrapText="1"/>
    </xf>
    <xf numFmtId="17" fontId="73" fillId="41" borderId="111" xfId="1" applyNumberFormat="1" applyFont="1" applyFill="1" applyBorder="1" applyAlignment="1">
      <alignment horizontal="left"/>
    </xf>
    <xf numFmtId="166" fontId="74" fillId="0" borderId="112" xfId="0" applyNumberFormat="1" applyFont="1" applyBorder="1" applyAlignment="1">
      <alignment horizontal="right"/>
    </xf>
    <xf numFmtId="2" fontId="74" fillId="0" borderId="112" xfId="0" applyNumberFormat="1" applyFont="1" applyBorder="1" applyAlignment="1">
      <alignment horizontal="right"/>
    </xf>
    <xf numFmtId="2" fontId="74" fillId="0" borderId="112" xfId="0" applyNumberFormat="1" applyFont="1" applyBorder="1"/>
    <xf numFmtId="166" fontId="74" fillId="0" borderId="118" xfId="0" applyNumberFormat="1" applyFont="1" applyBorder="1" applyAlignment="1">
      <alignment horizontal="right"/>
    </xf>
    <xf numFmtId="4" fontId="74" fillId="0" borderId="116" xfId="0" applyNumberFormat="1" applyFont="1" applyBorder="1" applyAlignment="1">
      <alignment horizontal="right"/>
    </xf>
    <xf numFmtId="174" fontId="74" fillId="0" borderId="116" xfId="0" applyNumberFormat="1" applyFont="1" applyBorder="1" applyAlignment="1">
      <alignment horizontal="right"/>
    </xf>
    <xf numFmtId="0" fontId="46" fillId="31" borderId="32" xfId="0" applyFont="1" applyFill="1" applyBorder="1" applyAlignment="1">
      <alignment vertical="center"/>
    </xf>
    <xf numFmtId="4" fontId="46" fillId="31" borderId="32" xfId="0" applyNumberFormat="1" applyFont="1" applyFill="1" applyBorder="1" applyAlignment="1">
      <alignment vertical="center"/>
    </xf>
    <xf numFmtId="49" fontId="45" fillId="33" borderId="177" xfId="0" applyNumberFormat="1" applyFont="1" applyFill="1" applyBorder="1" applyAlignment="1">
      <alignment horizontal="center" vertical="center"/>
    </xf>
    <xf numFmtId="39" fontId="8" fillId="32" borderId="56" xfId="0" applyNumberFormat="1" applyFont="1" applyFill="1" applyBorder="1" applyAlignment="1">
      <alignment horizontal="center" vertical="center"/>
    </xf>
    <xf numFmtId="2" fontId="45" fillId="33" borderId="0" xfId="0" applyNumberFormat="1" applyFont="1" applyFill="1" applyAlignment="1">
      <alignment horizontal="center" vertical="center"/>
    </xf>
    <xf numFmtId="49" fontId="45" fillId="33" borderId="1" xfId="0" applyNumberFormat="1" applyFont="1" applyFill="1" applyBorder="1" applyAlignment="1">
      <alignment horizontal="center" vertical="center"/>
    </xf>
    <xf numFmtId="2" fontId="45" fillId="33" borderId="1" xfId="0" applyNumberFormat="1" applyFont="1" applyFill="1" applyBorder="1" applyAlignment="1">
      <alignment horizontal="center" vertical="center"/>
    </xf>
    <xf numFmtId="39" fontId="8" fillId="32" borderId="3" xfId="0" applyNumberFormat="1" applyFont="1" applyFill="1" applyBorder="1" applyAlignment="1">
      <alignment horizontal="center" vertical="center"/>
    </xf>
    <xf numFmtId="14" fontId="74" fillId="0" borderId="178" xfId="0" applyNumberFormat="1" applyFont="1" applyBorder="1" applyAlignment="1">
      <alignment horizontal="right"/>
    </xf>
    <xf numFmtId="14" fontId="74" fillId="0" borderId="179" xfId="0" applyNumberFormat="1" applyFont="1" applyBorder="1" applyAlignment="1">
      <alignment horizontal="right"/>
    </xf>
    <xf numFmtId="168" fontId="74" fillId="0" borderId="179" xfId="0" applyNumberFormat="1" applyFont="1" applyBorder="1" applyAlignment="1">
      <alignment horizontal="right"/>
    </xf>
    <xf numFmtId="168" fontId="75" fillId="0" borderId="180" xfId="0" applyNumberFormat="1" applyFont="1" applyBorder="1" applyAlignment="1">
      <alignment horizontal="center" vertical="center" wrapText="1"/>
    </xf>
    <xf numFmtId="168" fontId="75" fillId="0" borderId="181" xfId="0" applyNumberFormat="1" applyFont="1" applyBorder="1" applyAlignment="1">
      <alignment horizontal="center" vertical="center" wrapText="1"/>
    </xf>
    <xf numFmtId="168" fontId="74" fillId="0" borderId="182" xfId="0" applyNumberFormat="1" applyFont="1" applyBorder="1" applyAlignment="1">
      <alignment horizontal="right"/>
    </xf>
    <xf numFmtId="4" fontId="74" fillId="0" borderId="182" xfId="0" applyNumberFormat="1" applyFont="1" applyBorder="1" applyAlignment="1">
      <alignment horizontal="right"/>
    </xf>
    <xf numFmtId="40" fontId="74" fillId="0" borderId="182" xfId="0" applyNumberFormat="1" applyFont="1" applyBorder="1" applyAlignment="1">
      <alignment horizontal="right"/>
    </xf>
    <xf numFmtId="40" fontId="74" fillId="0" borderId="182" xfId="0" applyNumberFormat="1" applyFont="1" applyBorder="1"/>
    <xf numFmtId="2" fontId="74" fillId="0" borderId="183" xfId="0" applyNumberFormat="1" applyFont="1" applyBorder="1"/>
    <xf numFmtId="4" fontId="74" fillId="0" borderId="101" xfId="0" applyNumberFormat="1" applyFont="1" applyBorder="1" applyAlignment="1">
      <alignment horizontal="right"/>
    </xf>
    <xf numFmtId="40" fontId="74" fillId="0" borderId="101" xfId="0" applyNumberFormat="1" applyFont="1" applyBorder="1" applyAlignment="1">
      <alignment horizontal="right"/>
    </xf>
    <xf numFmtId="40" fontId="74" fillId="0" borderId="101" xfId="0" applyNumberFormat="1" applyFont="1" applyBorder="1"/>
    <xf numFmtId="2" fontId="74" fillId="0" borderId="184" xfId="0" applyNumberFormat="1" applyFont="1" applyBorder="1"/>
    <xf numFmtId="167" fontId="74" fillId="0" borderId="185" xfId="0" applyNumberFormat="1" applyFont="1" applyBorder="1" applyAlignment="1">
      <alignment horizontal="right"/>
    </xf>
    <xf numFmtId="17" fontId="73" fillId="41" borderId="114" xfId="1" applyNumberFormat="1" applyFont="1" applyFill="1" applyBorder="1" applyAlignment="1">
      <alignment horizontal="left"/>
    </xf>
    <xf numFmtId="4" fontId="74" fillId="0" borderId="105" xfId="0" applyNumberFormat="1" applyFont="1" applyBorder="1" applyAlignment="1">
      <alignment horizontal="right"/>
    </xf>
    <xf numFmtId="40" fontId="74" fillId="0" borderId="105" xfId="0" applyNumberFormat="1" applyFont="1" applyBorder="1" applyAlignment="1">
      <alignment horizontal="right"/>
    </xf>
    <xf numFmtId="40" fontId="74" fillId="0" borderId="105" xfId="0" applyNumberFormat="1" applyFont="1" applyBorder="1"/>
    <xf numFmtId="2" fontId="74" fillId="0" borderId="186" xfId="0" applyNumberFormat="1" applyFont="1" applyBorder="1"/>
    <xf numFmtId="17" fontId="73" fillId="41" borderId="89" xfId="1" applyNumberFormat="1" applyFont="1" applyFill="1" applyBorder="1" applyAlignment="1">
      <alignment horizontal="left"/>
    </xf>
    <xf numFmtId="168" fontId="74" fillId="0" borderId="90" xfId="0" applyNumberFormat="1" applyFont="1" applyBorder="1" applyAlignment="1">
      <alignment horizontal="right"/>
    </xf>
    <xf numFmtId="182" fontId="74" fillId="0" borderId="88" xfId="4" applyNumberFormat="1" applyFont="1" applyBorder="1" applyAlignment="1">
      <alignment horizontal="right"/>
    </xf>
    <xf numFmtId="2" fontId="67" fillId="0" borderId="63" xfId="3" applyNumberFormat="1" applyFont="1" applyBorder="1" applyAlignment="1">
      <alignment vertical="center"/>
    </xf>
    <xf numFmtId="14" fontId="74" fillId="0" borderId="187" xfId="0" applyNumberFormat="1" applyFont="1" applyBorder="1" applyAlignment="1">
      <alignment horizontal="right"/>
    </xf>
    <xf numFmtId="14" fontId="74" fillId="0" borderId="139" xfId="0" applyNumberFormat="1" applyFont="1" applyBorder="1" applyAlignment="1">
      <alignment horizontal="right"/>
    </xf>
    <xf numFmtId="168" fontId="75" fillId="0" borderId="188" xfId="0" applyNumberFormat="1" applyFont="1" applyBorder="1" applyAlignment="1">
      <alignment horizontal="center" vertical="center" wrapText="1"/>
    </xf>
    <xf numFmtId="168" fontId="75" fillId="0" borderId="189" xfId="0" applyNumberFormat="1" applyFont="1" applyBorder="1" applyAlignment="1">
      <alignment horizontal="center" vertical="center" wrapText="1"/>
    </xf>
    <xf numFmtId="168" fontId="75" fillId="0" borderId="62" xfId="0" applyNumberFormat="1" applyFont="1" applyBorder="1" applyAlignment="1">
      <alignment horizontal="center" vertical="center" wrapText="1"/>
    </xf>
    <xf numFmtId="168" fontId="75" fillId="0" borderId="115" xfId="0" applyNumberFormat="1" applyFont="1" applyBorder="1" applyAlignment="1">
      <alignment horizontal="center" vertical="center" wrapText="1"/>
    </xf>
    <xf numFmtId="178" fontId="74" fillId="0" borderId="90" xfId="0" applyNumberFormat="1" applyFont="1" applyBorder="1" applyAlignment="1">
      <alignment horizontal="right"/>
    </xf>
    <xf numFmtId="178" fontId="74" fillId="0" borderId="160" xfId="0" applyNumberFormat="1" applyFont="1" applyBorder="1" applyAlignment="1">
      <alignment horizontal="right"/>
    </xf>
    <xf numFmtId="168" fontId="75" fillId="0" borderId="59" xfId="0" applyNumberFormat="1" applyFont="1" applyBorder="1" applyAlignment="1">
      <alignment horizontal="center" vertical="center" wrapText="1"/>
    </xf>
    <xf numFmtId="168" fontId="75" fillId="0" borderId="60" xfId="0" applyNumberFormat="1" applyFont="1" applyBorder="1" applyAlignment="1">
      <alignment horizontal="center" vertical="center" wrapText="1"/>
    </xf>
    <xf numFmtId="167" fontId="8" fillId="32" borderId="23" xfId="0" applyNumberFormat="1" applyFont="1" applyFill="1" applyBorder="1" applyAlignment="1">
      <alignment horizontal="center" vertical="center"/>
    </xf>
    <xf numFmtId="49" fontId="45" fillId="33" borderId="31" xfId="0" applyNumberFormat="1" applyFont="1" applyFill="1" applyBorder="1" applyAlignment="1">
      <alignment horizontal="center" vertical="center"/>
    </xf>
    <xf numFmtId="165" fontId="8" fillId="32" borderId="5" xfId="0" applyNumberFormat="1" applyFont="1" applyFill="1" applyBorder="1" applyAlignment="1">
      <alignment horizontal="center" vertical="center"/>
    </xf>
    <xf numFmtId="165" fontId="8" fillId="32" borderId="4" xfId="0" applyNumberFormat="1" applyFont="1" applyFill="1" applyBorder="1" applyAlignment="1">
      <alignment horizontal="center" vertical="center"/>
    </xf>
    <xf numFmtId="165" fontId="8" fillId="32" borderId="190" xfId="0" applyNumberFormat="1" applyFont="1" applyFill="1" applyBorder="1" applyAlignment="1">
      <alignment horizontal="center" vertical="center"/>
    </xf>
    <xf numFmtId="2" fontId="8" fillId="32" borderId="56" xfId="0" applyNumberFormat="1" applyFont="1" applyFill="1" applyBorder="1" applyAlignment="1">
      <alignment horizontal="center" vertical="center"/>
    </xf>
    <xf numFmtId="165" fontId="8" fillId="32" borderId="52" xfId="0" applyNumberFormat="1" applyFont="1" applyFill="1" applyBorder="1" applyAlignment="1">
      <alignment horizontal="center" vertical="center"/>
    </xf>
    <xf numFmtId="2" fontId="8" fillId="32" borderId="52" xfId="0" applyNumberFormat="1" applyFont="1" applyFill="1" applyBorder="1" applyAlignment="1">
      <alignment horizontal="center" vertical="center"/>
    </xf>
    <xf numFmtId="2" fontId="45" fillId="33" borderId="17" xfId="0" applyNumberFormat="1" applyFont="1" applyFill="1" applyBorder="1" applyAlignment="1">
      <alignment horizontal="center" vertical="center"/>
    </xf>
    <xf numFmtId="3" fontId="45" fillId="33" borderId="41" xfId="0" applyNumberFormat="1" applyFont="1" applyFill="1" applyBorder="1" applyAlignment="1">
      <alignment horizontal="center" vertical="center"/>
    </xf>
    <xf numFmtId="2" fontId="45" fillId="33" borderId="15" xfId="0" applyNumberFormat="1" applyFont="1" applyFill="1" applyBorder="1" applyAlignment="1">
      <alignment horizontal="center" vertical="center"/>
    </xf>
    <xf numFmtId="168" fontId="75" fillId="0" borderId="179" xfId="0" applyNumberFormat="1" applyFont="1" applyBorder="1" applyAlignment="1">
      <alignment horizontal="center" vertical="center" wrapText="1"/>
    </xf>
    <xf numFmtId="168" fontId="75" fillId="0" borderId="191" xfId="0" applyNumberFormat="1" applyFont="1" applyBorder="1" applyAlignment="1">
      <alignment horizontal="center" vertical="center" wrapText="1"/>
    </xf>
    <xf numFmtId="168" fontId="75" fillId="0" borderId="157" xfId="0" applyNumberFormat="1" applyFont="1" applyBorder="1" applyAlignment="1">
      <alignment horizontal="center" vertical="center" wrapText="1"/>
    </xf>
    <xf numFmtId="168" fontId="75" fillId="0" borderId="192" xfId="0" applyNumberFormat="1" applyFont="1" applyBorder="1" applyAlignment="1">
      <alignment horizontal="center" vertical="center" wrapText="1"/>
    </xf>
    <xf numFmtId="168" fontId="75" fillId="0" borderId="120" xfId="0" applyNumberFormat="1" applyFont="1" applyBorder="1" applyAlignment="1">
      <alignment horizontal="center" vertical="center" wrapText="1"/>
    </xf>
    <xf numFmtId="168" fontId="75" fillId="0" borderId="121" xfId="0" applyNumberFormat="1" applyFont="1" applyBorder="1" applyAlignment="1">
      <alignment horizontal="center" vertical="center" wrapText="1"/>
    </xf>
    <xf numFmtId="168" fontId="75" fillId="0" borderId="108" xfId="0" applyNumberFormat="1" applyFont="1" applyBorder="1" applyAlignment="1">
      <alignment horizontal="center" vertical="center" wrapText="1"/>
    </xf>
    <xf numFmtId="168" fontId="75" fillId="0" borderId="109" xfId="0" applyNumberFormat="1" applyFont="1" applyBorder="1" applyAlignment="1">
      <alignment horizontal="center" vertical="center" wrapText="1"/>
    </xf>
    <xf numFmtId="164" fontId="74" fillId="0" borderId="153" xfId="4" applyFont="1" applyBorder="1" applyAlignment="1">
      <alignment horizontal="right"/>
    </xf>
    <xf numFmtId="181" fontId="74" fillId="0" borderId="154" xfId="4" applyNumberFormat="1" applyFont="1" applyBorder="1"/>
    <xf numFmtId="17" fontId="101" fillId="39" borderId="165" xfId="0" applyNumberFormat="1" applyFont="1" applyFill="1" applyBorder="1" applyAlignment="1">
      <alignment vertical="center"/>
    </xf>
    <xf numFmtId="17" fontId="101" fillId="39" borderId="131" xfId="0" applyNumberFormat="1" applyFont="1" applyFill="1" applyBorder="1" applyAlignment="1">
      <alignment vertical="center"/>
    </xf>
    <xf numFmtId="17" fontId="101" fillId="39" borderId="130" xfId="0" applyNumberFormat="1" applyFont="1" applyFill="1" applyBorder="1" applyAlignment="1">
      <alignment vertical="center"/>
    </xf>
    <xf numFmtId="0" fontId="110" fillId="0" borderId="0" xfId="0" applyFont="1" applyAlignment="1">
      <alignment vertical="center"/>
    </xf>
    <xf numFmtId="14" fontId="74" fillId="0" borderId="193" xfId="0" applyNumberFormat="1" applyFont="1" applyBorder="1" applyAlignment="1">
      <alignment horizontal="right"/>
    </xf>
    <xf numFmtId="168" fontId="74" fillId="0" borderId="193" xfId="0" applyNumberFormat="1" applyFont="1" applyBorder="1" applyAlignment="1">
      <alignment horizontal="right"/>
    </xf>
    <xf numFmtId="168" fontId="75" fillId="0" borderId="193" xfId="0" applyNumberFormat="1" applyFont="1" applyBorder="1" applyAlignment="1">
      <alignment horizontal="center" vertical="center" wrapText="1"/>
    </xf>
    <xf numFmtId="14" fontId="74" fillId="0" borderId="194" xfId="0" applyNumberFormat="1" applyFont="1" applyBorder="1" applyAlignment="1">
      <alignment horizontal="right"/>
    </xf>
    <xf numFmtId="168" fontId="75" fillId="0" borderId="195" xfId="0" applyNumberFormat="1" applyFont="1" applyBorder="1" applyAlignment="1">
      <alignment horizontal="center" vertical="center" wrapText="1"/>
    </xf>
    <xf numFmtId="14" fontId="74" fillId="0" borderId="196" xfId="0" applyNumberFormat="1" applyFont="1" applyBorder="1" applyAlignment="1">
      <alignment horizontal="right"/>
    </xf>
    <xf numFmtId="14" fontId="74" fillId="0" borderId="197" xfId="0" applyNumberFormat="1" applyFont="1" applyBorder="1" applyAlignment="1">
      <alignment horizontal="right"/>
    </xf>
    <xf numFmtId="168" fontId="74" fillId="0" borderId="197" xfId="0" applyNumberFormat="1" applyFont="1" applyBorder="1" applyAlignment="1">
      <alignment horizontal="right"/>
    </xf>
    <xf numFmtId="168" fontId="75" fillId="0" borderId="197" xfId="0" applyNumberFormat="1" applyFont="1" applyBorder="1" applyAlignment="1">
      <alignment horizontal="center" vertical="center" wrapText="1"/>
    </xf>
    <xf numFmtId="168" fontId="75" fillId="0" borderId="198" xfId="0" applyNumberFormat="1" applyFont="1" applyBorder="1" applyAlignment="1">
      <alignment horizontal="center" vertical="center" wrapText="1"/>
    </xf>
    <xf numFmtId="0" fontId="111" fillId="0" borderId="0" xfId="0" applyFont="1" applyAlignment="1">
      <alignment vertical="center"/>
    </xf>
    <xf numFmtId="0" fontId="111" fillId="0" borderId="68" xfId="0" applyFont="1" applyBorder="1" applyAlignment="1">
      <alignment vertical="center"/>
    </xf>
    <xf numFmtId="0" fontId="114" fillId="0" borderId="63" xfId="0" applyFont="1" applyBorder="1" applyAlignment="1">
      <alignment vertical="center"/>
    </xf>
    <xf numFmtId="0" fontId="115" fillId="0" borderId="69" xfId="0" applyFont="1" applyBorder="1" applyAlignment="1">
      <alignment horizontal="center" wrapText="1"/>
    </xf>
    <xf numFmtId="0" fontId="116" fillId="40" borderId="66" xfId="0" applyFont="1" applyFill="1" applyBorder="1" applyAlignment="1">
      <alignment horizontal="center" vertical="center" wrapText="1"/>
    </xf>
    <xf numFmtId="17" fontId="116" fillId="40" borderId="67" xfId="0" applyNumberFormat="1" applyFont="1" applyFill="1" applyBorder="1" applyAlignment="1">
      <alignment horizontal="center" vertical="center" wrapText="1"/>
    </xf>
    <xf numFmtId="0" fontId="116" fillId="40" borderId="67" xfId="0" applyFont="1" applyFill="1" applyBorder="1" applyAlignment="1">
      <alignment horizontal="center" vertical="center" wrapText="1"/>
    </xf>
    <xf numFmtId="0" fontId="116" fillId="40" borderId="65" xfId="0" applyFont="1" applyFill="1" applyBorder="1" applyAlignment="1">
      <alignment horizontal="center" vertical="center" wrapText="1"/>
    </xf>
    <xf numFmtId="0" fontId="117" fillId="0" borderId="0" xfId="0" applyFont="1" applyAlignment="1">
      <alignment vertical="center" wrapText="1"/>
    </xf>
    <xf numFmtId="0" fontId="111" fillId="0" borderId="0" xfId="0" applyFont="1" applyAlignment="1">
      <alignment vertical="center" wrapText="1"/>
    </xf>
    <xf numFmtId="0" fontId="111" fillId="0" borderId="83" xfId="0" applyFont="1" applyBorder="1" applyAlignment="1">
      <alignment vertical="center"/>
    </xf>
    <xf numFmtId="0" fontId="111" fillId="0" borderId="84" xfId="0" applyFont="1" applyBorder="1" applyAlignment="1">
      <alignment horizontal="center" vertical="center"/>
    </xf>
    <xf numFmtId="178" fontId="111" fillId="0" borderId="84" xfId="0" applyNumberFormat="1" applyFont="1" applyBorder="1" applyAlignment="1">
      <alignment horizontal="center" vertical="center"/>
    </xf>
    <xf numFmtId="178" fontId="111" fillId="0" borderId="85" xfId="0" applyNumberFormat="1" applyFont="1" applyBorder="1" applyAlignment="1">
      <alignment horizontal="center" vertical="center"/>
    </xf>
    <xf numFmtId="0" fontId="117" fillId="0" borderId="0" xfId="0" applyFont="1" applyAlignment="1">
      <alignment vertical="center"/>
    </xf>
    <xf numFmtId="0" fontId="111" fillId="0" borderId="0" xfId="0" applyFont="1"/>
    <xf numFmtId="0" fontId="111" fillId="0" borderId="86" xfId="0" applyFont="1" applyBorder="1" applyAlignment="1">
      <alignment vertical="center"/>
    </xf>
    <xf numFmtId="0" fontId="111" fillId="0" borderId="87" xfId="0" applyFont="1" applyBorder="1" applyAlignment="1">
      <alignment horizontal="center" vertical="center"/>
    </xf>
    <xf numFmtId="176" fontId="111" fillId="0" borderId="87" xfId="0" applyNumberFormat="1" applyFont="1" applyBorder="1" applyAlignment="1">
      <alignment horizontal="center" vertical="center"/>
    </xf>
    <xf numFmtId="178" fontId="111" fillId="0" borderId="87" xfId="0" applyNumberFormat="1" applyFont="1" applyBorder="1" applyAlignment="1">
      <alignment horizontal="center" vertical="center"/>
    </xf>
    <xf numFmtId="178" fontId="111" fillId="0" borderId="88" xfId="0" applyNumberFormat="1" applyFont="1" applyBorder="1" applyAlignment="1">
      <alignment horizontal="center" vertical="center"/>
    </xf>
    <xf numFmtId="178" fontId="118" fillId="0" borderId="87" xfId="0" applyNumberFormat="1" applyFont="1" applyBorder="1" applyAlignment="1">
      <alignment horizontal="center" vertical="center"/>
    </xf>
    <xf numFmtId="0" fontId="111" fillId="0" borderId="89" xfId="0" applyFont="1" applyBorder="1" applyAlignment="1">
      <alignment vertical="center"/>
    </xf>
    <xf numFmtId="0" fontId="111" fillId="0" borderId="90" xfId="0" applyFont="1" applyBorder="1" applyAlignment="1">
      <alignment horizontal="center" vertical="center"/>
    </xf>
    <xf numFmtId="178" fontId="111" fillId="0" borderId="90" xfId="0" applyNumberFormat="1" applyFont="1" applyBorder="1" applyAlignment="1">
      <alignment horizontal="center" vertical="center"/>
    </xf>
    <xf numFmtId="178" fontId="111" fillId="0" borderId="91" xfId="0" applyNumberFormat="1" applyFont="1" applyBorder="1" applyAlignment="1">
      <alignment horizontal="center" vertical="center"/>
    </xf>
    <xf numFmtId="0" fontId="117" fillId="0" borderId="0" xfId="0" applyFont="1" applyAlignment="1">
      <alignment horizontal="center" vertical="center"/>
    </xf>
    <xf numFmtId="0" fontId="116" fillId="39" borderId="122" xfId="0" applyFont="1" applyFill="1" applyBorder="1" applyAlignment="1">
      <alignment vertical="center"/>
    </xf>
    <xf numFmtId="0" fontId="116" fillId="39" borderId="123" xfId="0" applyFont="1" applyFill="1" applyBorder="1" applyAlignment="1">
      <alignment vertical="center"/>
    </xf>
    <xf numFmtId="0" fontId="116" fillId="39" borderId="124" xfId="0" applyFont="1" applyFill="1" applyBorder="1" applyAlignment="1">
      <alignment vertical="center"/>
    </xf>
    <xf numFmtId="177" fontId="113" fillId="39" borderId="72" xfId="0" applyNumberFormat="1" applyFont="1" applyFill="1" applyBorder="1" applyAlignment="1">
      <alignment horizontal="right" vertical="center"/>
    </xf>
    <xf numFmtId="0" fontId="113" fillId="39" borderId="70" xfId="0" applyFont="1" applyFill="1" applyBorder="1" applyAlignment="1">
      <alignment horizontal="center" vertical="center" wrapText="1"/>
    </xf>
    <xf numFmtId="0" fontId="116" fillId="39" borderId="71" xfId="0" applyFont="1" applyFill="1" applyBorder="1" applyAlignment="1">
      <alignment horizontal="center" vertical="center" wrapText="1"/>
    </xf>
    <xf numFmtId="0" fontId="116" fillId="39" borderId="72" xfId="0" applyFont="1" applyFill="1" applyBorder="1" applyAlignment="1">
      <alignment horizontal="center" vertical="center" wrapText="1"/>
    </xf>
    <xf numFmtId="0" fontId="111" fillId="0" borderId="86" xfId="0" applyFont="1" applyBorder="1" applyAlignment="1">
      <alignment vertical="center" wrapText="1"/>
    </xf>
    <xf numFmtId="0" fontId="119" fillId="0" borderId="0" xfId="0" applyFont="1" applyAlignment="1">
      <alignment vertical="center"/>
    </xf>
    <xf numFmtId="0" fontId="120" fillId="0" borderId="0" xfId="0" quotePrefix="1" applyFont="1" applyAlignment="1">
      <alignment horizontal="left" vertical="center"/>
    </xf>
    <xf numFmtId="0" fontId="117" fillId="12" borderId="0" xfId="0" applyFont="1" applyFill="1" applyAlignment="1">
      <alignment vertical="center"/>
    </xf>
    <xf numFmtId="0" fontId="121" fillId="0" borderId="1" xfId="0" applyFont="1" applyBorder="1" applyAlignment="1">
      <alignment vertical="center"/>
    </xf>
    <xf numFmtId="0" fontId="121" fillId="0" borderId="1" xfId="0" applyFont="1" applyBorder="1" applyAlignment="1">
      <alignment horizontal="center" vertical="center"/>
    </xf>
    <xf numFmtId="0" fontId="117" fillId="0" borderId="1" xfId="0" applyFont="1" applyBorder="1" applyAlignment="1">
      <alignment vertical="center"/>
    </xf>
    <xf numFmtId="0" fontId="117" fillId="0" borderId="1" xfId="0" applyFont="1" applyBorder="1" applyAlignment="1">
      <alignment horizontal="center" vertical="center"/>
    </xf>
    <xf numFmtId="4" fontId="117" fillId="0" borderId="1" xfId="0" applyNumberFormat="1" applyFont="1" applyBorder="1" applyAlignment="1">
      <alignment horizontal="center" vertical="center"/>
    </xf>
    <xf numFmtId="2" fontId="117" fillId="0" borderId="1" xfId="0" applyNumberFormat="1" applyFont="1" applyBorder="1" applyAlignment="1">
      <alignment horizontal="center" vertical="center"/>
    </xf>
    <xf numFmtId="0" fontId="122" fillId="0" borderId="0" xfId="0" applyFont="1" applyAlignment="1">
      <alignment vertical="center"/>
    </xf>
    <xf numFmtId="17" fontId="123" fillId="0" borderId="0" xfId="0" applyNumberFormat="1" applyFont="1"/>
    <xf numFmtId="2" fontId="111" fillId="0" borderId="0" xfId="0" applyNumberFormat="1" applyFont="1" applyAlignment="1">
      <alignment horizontal="center"/>
    </xf>
    <xf numFmtId="0" fontId="124" fillId="0" borderId="0" xfId="0" applyFont="1"/>
    <xf numFmtId="0" fontId="123" fillId="0" borderId="0" xfId="0" applyFont="1"/>
    <xf numFmtId="14" fontId="74" fillId="0" borderId="199" xfId="0" applyNumberFormat="1" applyFont="1" applyBorder="1" applyAlignment="1">
      <alignment horizontal="right"/>
    </xf>
    <xf numFmtId="14" fontId="74" fillId="0" borderId="200" xfId="0" applyNumberFormat="1" applyFont="1" applyBorder="1" applyAlignment="1">
      <alignment horizontal="right"/>
    </xf>
    <xf numFmtId="168" fontId="74" fillId="0" borderId="200" xfId="0" applyNumberFormat="1" applyFont="1" applyBorder="1" applyAlignment="1">
      <alignment horizontal="right"/>
    </xf>
    <xf numFmtId="168" fontId="75" fillId="0" borderId="200" xfId="0" applyNumberFormat="1" applyFont="1" applyBorder="1" applyAlignment="1">
      <alignment horizontal="center" vertical="center" wrapText="1"/>
    </xf>
    <xf numFmtId="168" fontId="75" fillId="0" borderId="201" xfId="0" applyNumberFormat="1" applyFont="1" applyBorder="1" applyAlignment="1">
      <alignment horizontal="center" vertical="center" wrapText="1"/>
    </xf>
    <xf numFmtId="14" fontId="74" fillId="0" borderId="202" xfId="0" applyNumberFormat="1" applyFont="1" applyBorder="1" applyAlignment="1">
      <alignment horizontal="right"/>
    </xf>
    <xf numFmtId="14" fontId="74" fillId="0" borderId="203" xfId="0" applyNumberFormat="1" applyFont="1" applyBorder="1" applyAlignment="1">
      <alignment horizontal="right"/>
    </xf>
    <xf numFmtId="168" fontId="74" fillId="0" borderId="203" xfId="0" applyNumberFormat="1" applyFont="1" applyBorder="1" applyAlignment="1">
      <alignment horizontal="right"/>
    </xf>
    <xf numFmtId="168" fontId="75" fillId="0" borderId="203" xfId="0" applyNumberFormat="1" applyFont="1" applyBorder="1" applyAlignment="1">
      <alignment horizontal="center" vertical="center" wrapText="1"/>
    </xf>
    <xf numFmtId="168" fontId="75" fillId="0" borderId="204" xfId="0" applyNumberFormat="1" applyFont="1" applyBorder="1" applyAlignment="1">
      <alignment horizontal="center" vertical="center" wrapText="1"/>
    </xf>
    <xf numFmtId="10" fontId="67" fillId="0" borderId="0" xfId="3" applyNumberFormat="1" applyFont="1"/>
    <xf numFmtId="174" fontId="74" fillId="0" borderId="88" xfId="0" applyNumberFormat="1" applyFont="1" applyBorder="1"/>
    <xf numFmtId="4" fontId="8" fillId="32" borderId="23" xfId="0" applyNumberFormat="1" applyFont="1" applyFill="1" applyBorder="1" applyAlignment="1">
      <alignment horizontal="center" vertical="center"/>
    </xf>
    <xf numFmtId="4" fontId="8" fillId="32" borderId="57" xfId="0" applyNumberFormat="1" applyFont="1" applyFill="1" applyBorder="1" applyAlignment="1">
      <alignment horizontal="center" vertical="center"/>
    </xf>
    <xf numFmtId="4" fontId="8" fillId="32" borderId="190" xfId="0" applyNumberFormat="1" applyFont="1" applyFill="1" applyBorder="1" applyAlignment="1">
      <alignment horizontal="center" vertical="center"/>
    </xf>
    <xf numFmtId="2" fontId="8" fillId="32" borderId="2" xfId="0" applyNumberFormat="1" applyFont="1" applyFill="1" applyBorder="1" applyAlignment="1">
      <alignment horizontal="center" vertical="center"/>
    </xf>
    <xf numFmtId="14" fontId="74" fillId="0" borderId="166" xfId="0" applyNumberFormat="1" applyFont="1" applyBorder="1" applyAlignment="1">
      <alignment horizontal="right"/>
    </xf>
    <xf numFmtId="0" fontId="67" fillId="0" borderId="132" xfId="0" applyFont="1" applyBorder="1" applyAlignment="1">
      <alignment vertical="center"/>
    </xf>
    <xf numFmtId="168" fontId="74" fillId="0" borderId="206" xfId="0" applyNumberFormat="1" applyFont="1" applyBorder="1" applyAlignment="1">
      <alignment horizontal="right"/>
    </xf>
    <xf numFmtId="0" fontId="67" fillId="0" borderId="59" xfId="0" applyFont="1" applyBorder="1" applyAlignment="1">
      <alignment vertical="center"/>
    </xf>
    <xf numFmtId="165" fontId="67" fillId="0" borderId="59" xfId="0" applyNumberFormat="1" applyFont="1" applyBorder="1" applyAlignment="1">
      <alignment vertical="center"/>
    </xf>
    <xf numFmtId="14" fontId="74" fillId="0" borderId="127" xfId="0" applyNumberFormat="1" applyFont="1" applyBorder="1" applyAlignment="1">
      <alignment horizontal="right"/>
    </xf>
    <xf numFmtId="14" fontId="74" fillId="0" borderId="110" xfId="0" applyNumberFormat="1" applyFont="1" applyBorder="1" applyAlignment="1">
      <alignment horizontal="right"/>
    </xf>
    <xf numFmtId="0" fontId="67" fillId="0" borderId="73" xfId="0" applyFont="1" applyBorder="1" applyAlignment="1">
      <alignment vertical="center"/>
    </xf>
    <xf numFmtId="14" fontId="125" fillId="0" borderId="59" xfId="5" applyNumberFormat="1" applyFont="1" applyBorder="1" applyProtection="1">
      <protection hidden="1"/>
    </xf>
    <xf numFmtId="0" fontId="67" fillId="0" borderId="62" xfId="0" applyFont="1" applyBorder="1" applyAlignment="1">
      <alignment vertical="center"/>
    </xf>
    <xf numFmtId="0" fontId="67" fillId="0" borderId="179" xfId="0" applyFont="1" applyBorder="1" applyAlignment="1">
      <alignment vertical="center"/>
    </xf>
    <xf numFmtId="0" fontId="67" fillId="0" borderId="179" xfId="0" applyFont="1" applyBorder="1" applyAlignment="1">
      <alignment horizontal="right" vertical="center"/>
    </xf>
    <xf numFmtId="165" fontId="67" fillId="0" borderId="179" xfId="0" applyNumberFormat="1" applyFont="1" applyBorder="1" applyAlignment="1">
      <alignment horizontal="right" vertical="center"/>
    </xf>
    <xf numFmtId="14" fontId="67" fillId="0" borderId="107" xfId="0" applyNumberFormat="1" applyFont="1" applyBorder="1" applyAlignment="1">
      <alignment vertical="center"/>
    </xf>
    <xf numFmtId="14" fontId="67" fillId="0" borderId="108" xfId="0" applyNumberFormat="1" applyFont="1" applyBorder="1" applyAlignment="1">
      <alignment vertical="center"/>
    </xf>
    <xf numFmtId="165" fontId="67" fillId="0" borderId="108" xfId="0" applyNumberFormat="1" applyFont="1" applyBorder="1" applyAlignment="1">
      <alignment horizontal="right" vertical="center"/>
    </xf>
    <xf numFmtId="0" fontId="67" fillId="0" borderId="108" xfId="0" applyFont="1" applyBorder="1" applyAlignment="1">
      <alignment vertical="center"/>
    </xf>
    <xf numFmtId="0" fontId="77" fillId="0" borderId="109" xfId="0" applyFont="1" applyBorder="1" applyAlignment="1">
      <alignment vertical="center"/>
    </xf>
    <xf numFmtId="14" fontId="67" fillId="0" borderId="58" xfId="0" applyNumberFormat="1" applyFont="1" applyBorder="1" applyAlignment="1">
      <alignment vertical="center"/>
    </xf>
    <xf numFmtId="14" fontId="67" fillId="0" borderId="59" xfId="0" applyNumberFormat="1" applyFont="1" applyBorder="1" applyAlignment="1">
      <alignment vertical="center"/>
    </xf>
    <xf numFmtId="165" fontId="67" fillId="0" borderId="59" xfId="0" applyNumberFormat="1" applyFont="1" applyBorder="1" applyAlignment="1">
      <alignment horizontal="right" vertical="center"/>
    </xf>
    <xf numFmtId="0" fontId="77" fillId="0" borderId="60" xfId="0" applyFont="1" applyBorder="1" applyAlignment="1">
      <alignment vertical="center"/>
    </xf>
    <xf numFmtId="14" fontId="67" fillId="0" borderId="127" xfId="0" applyNumberFormat="1" applyFont="1" applyBorder="1" applyAlignment="1">
      <alignment vertical="center"/>
    </xf>
    <xf numFmtId="14" fontId="67" fillId="0" borderId="110" xfId="0" applyNumberFormat="1" applyFont="1" applyBorder="1" applyAlignment="1">
      <alignment vertical="center"/>
    </xf>
    <xf numFmtId="165" fontId="67" fillId="0" borderId="110" xfId="0" applyNumberFormat="1" applyFont="1" applyBorder="1" applyAlignment="1">
      <alignment horizontal="right" vertical="center"/>
    </xf>
    <xf numFmtId="0" fontId="67" fillId="0" borderId="110" xfId="0" applyFont="1" applyBorder="1" applyAlignment="1">
      <alignment vertical="center"/>
    </xf>
    <xf numFmtId="0" fontId="77" fillId="0" borderId="128" xfId="0" applyFont="1" applyBorder="1" applyAlignment="1">
      <alignment vertical="center"/>
    </xf>
    <xf numFmtId="0" fontId="74" fillId="0" borderId="132" xfId="0" applyFont="1" applyBorder="1" applyAlignment="1">
      <alignment vertical="center"/>
    </xf>
    <xf numFmtId="0" fontId="74" fillId="0" borderId="59" xfId="0" applyFont="1" applyBorder="1" applyAlignment="1">
      <alignment vertical="center"/>
    </xf>
    <xf numFmtId="165" fontId="74" fillId="0" borderId="59" xfId="0" applyNumberFormat="1" applyFont="1" applyBorder="1" applyAlignment="1">
      <alignment vertical="center"/>
    </xf>
    <xf numFmtId="0" fontId="74" fillId="0" borderId="73" xfId="0" applyFont="1" applyBorder="1" applyAlignment="1">
      <alignment vertical="center"/>
    </xf>
    <xf numFmtId="0" fontId="74" fillId="0" borderId="110" xfId="0" applyFont="1" applyBorder="1" applyAlignment="1">
      <alignment vertical="center"/>
    </xf>
    <xf numFmtId="0" fontId="67" fillId="0" borderId="86" xfId="0" applyFont="1" applyBorder="1" applyAlignment="1">
      <alignment horizontal="left" vertical="center" wrapText="1"/>
    </xf>
    <xf numFmtId="0" fontId="67" fillId="0" borderId="0" xfId="0" applyFont="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xf>
    <xf numFmtId="4" fontId="8" fillId="32" borderId="18" xfId="0" applyNumberFormat="1" applyFont="1" applyFill="1" applyBorder="1" applyAlignment="1">
      <alignment horizontal="center" vertical="center"/>
    </xf>
    <xf numFmtId="0" fontId="67" fillId="0" borderId="0" xfId="0" applyFont="1" applyAlignment="1">
      <alignment horizontal="center" vertical="center"/>
    </xf>
    <xf numFmtId="1" fontId="45" fillId="33" borderId="42" xfId="0" applyNumberFormat="1" applyFont="1" applyFill="1" applyBorder="1" applyAlignment="1">
      <alignment horizontal="center" vertical="center"/>
    </xf>
    <xf numFmtId="0" fontId="45" fillId="33" borderId="42" xfId="0" applyFont="1" applyFill="1" applyBorder="1" applyAlignment="1">
      <alignment horizontal="center" vertical="center"/>
    </xf>
    <xf numFmtId="0" fontId="45" fillId="33" borderId="44" xfId="0" applyFont="1" applyFill="1" applyBorder="1" applyAlignment="1">
      <alignment horizontal="center" vertical="center"/>
    </xf>
    <xf numFmtId="0" fontId="45" fillId="33" borderId="31" xfId="0" applyFont="1" applyFill="1" applyBorder="1" applyAlignment="1">
      <alignment horizontal="center" vertical="center"/>
    </xf>
    <xf numFmtId="0" fontId="47" fillId="33" borderId="42" xfId="0" applyFont="1" applyFill="1" applyBorder="1" applyAlignment="1">
      <alignment horizontal="center" vertical="center"/>
    </xf>
    <xf numFmtId="1" fontId="45" fillId="33" borderId="42" xfId="0" applyNumberFormat="1" applyFont="1" applyFill="1" applyBorder="1" applyAlignment="1">
      <alignment horizontal="center" vertical="center"/>
    </xf>
    <xf numFmtId="0" fontId="47" fillId="33" borderId="45" xfId="0" applyFont="1" applyFill="1" applyBorder="1" applyAlignment="1">
      <alignment horizontal="center" vertical="center"/>
    </xf>
    <xf numFmtId="3" fontId="45" fillId="33" borderId="41" xfId="0" applyNumberFormat="1" applyFont="1" applyFill="1" applyBorder="1" applyAlignment="1">
      <alignment horizontal="center" vertical="center"/>
    </xf>
    <xf numFmtId="4" fontId="8" fillId="32" borderId="17" xfId="0" applyNumberFormat="1" applyFont="1" applyFill="1" applyBorder="1" applyAlignment="1">
      <alignment horizontal="center" vertical="center"/>
    </xf>
    <xf numFmtId="4" fontId="8" fillId="32" borderId="18" xfId="0" applyNumberFormat="1" applyFont="1" applyFill="1" applyBorder="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xf>
    <xf numFmtId="165" fontId="8" fillId="32" borderId="216" xfId="0" applyNumberFormat="1" applyFont="1" applyFill="1" applyBorder="1" applyAlignment="1">
      <alignment horizontal="center" vertical="center"/>
    </xf>
    <xf numFmtId="165" fontId="8" fillId="32" borderId="19" xfId="0" applyNumberFormat="1" applyFont="1" applyFill="1" applyBorder="1" applyAlignment="1">
      <alignment horizontal="center" vertical="center"/>
    </xf>
    <xf numFmtId="2" fontId="8" fillId="32" borderId="34" xfId="0" applyNumberFormat="1" applyFont="1" applyFill="1" applyBorder="1" applyAlignment="1">
      <alignment horizontal="center" vertical="center"/>
    </xf>
    <xf numFmtId="2" fontId="8" fillId="32" borderId="19" xfId="0" applyNumberFormat="1" applyFont="1" applyFill="1" applyBorder="1" applyAlignment="1">
      <alignment horizontal="center" vertical="center"/>
    </xf>
    <xf numFmtId="4" fontId="8" fillId="32" borderId="10" xfId="0" applyNumberFormat="1" applyFont="1" applyFill="1" applyBorder="1" applyAlignment="1">
      <alignment horizontal="center" vertical="center"/>
    </xf>
    <xf numFmtId="4" fontId="8" fillId="32" borderId="19" xfId="0" applyNumberFormat="1" applyFont="1" applyFill="1" applyBorder="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xf>
    <xf numFmtId="164" fontId="82" fillId="0" borderId="0" xfId="4" applyFont="1"/>
    <xf numFmtId="164" fontId="74" fillId="0" borderId="0" xfId="4" applyFont="1" applyAlignment="1">
      <alignment horizontal="right"/>
    </xf>
    <xf numFmtId="164" fontId="67" fillId="0" borderId="0" xfId="4" applyFont="1"/>
    <xf numFmtId="0" fontId="67" fillId="0" borderId="0" xfId="0" applyFont="1" applyAlignment="1">
      <alignment horizontal="center" vertical="center"/>
    </xf>
    <xf numFmtId="4" fontId="8" fillId="32" borderId="17" xfId="0" applyNumberFormat="1" applyFont="1" applyFill="1" applyBorder="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xf>
    <xf numFmtId="0" fontId="54" fillId="31" borderId="22" xfId="0" applyFont="1" applyFill="1" applyBorder="1" applyAlignment="1">
      <alignment horizontal="center" vertical="center"/>
    </xf>
    <xf numFmtId="0" fontId="54" fillId="31" borderId="0" xfId="0" applyFont="1" applyFill="1" applyBorder="1" applyAlignment="1">
      <alignment horizontal="center" vertical="center"/>
    </xf>
    <xf numFmtId="0" fontId="46" fillId="31" borderId="22" xfId="0" applyFont="1" applyFill="1" applyBorder="1" applyAlignment="1">
      <alignment horizontal="center" vertical="center"/>
    </xf>
    <xf numFmtId="0" fontId="46" fillId="31" borderId="0" xfId="0" applyFont="1" applyFill="1" applyBorder="1" applyAlignment="1">
      <alignment horizontal="center" vertical="center"/>
    </xf>
    <xf numFmtId="0" fontId="46" fillId="31" borderId="31" xfId="0" quotePrefix="1" applyFont="1" applyFill="1" applyBorder="1" applyAlignment="1">
      <alignment horizontal="center" vertical="center"/>
    </xf>
    <xf numFmtId="0" fontId="46" fillId="31" borderId="32" xfId="0" quotePrefix="1" applyFont="1" applyFill="1" applyBorder="1" applyAlignment="1">
      <alignment horizontal="center" vertical="center"/>
    </xf>
    <xf numFmtId="0" fontId="104" fillId="31" borderId="31" xfId="0" applyFont="1" applyFill="1" applyBorder="1" applyAlignment="1">
      <alignment horizontal="center" vertical="center"/>
    </xf>
    <xf numFmtId="0" fontId="104" fillId="31" borderId="32" xfId="0" applyFont="1" applyFill="1" applyBorder="1" applyAlignment="1">
      <alignment horizontal="center" vertical="center"/>
    </xf>
    <xf numFmtId="0" fontId="48" fillId="31" borderId="31" xfId="0" quotePrefix="1" applyFont="1" applyFill="1" applyBorder="1" applyAlignment="1">
      <alignment horizontal="center" vertical="center"/>
    </xf>
    <xf numFmtId="0" fontId="48" fillId="31" borderId="32" xfId="0" quotePrefix="1" applyFont="1" applyFill="1" applyBorder="1" applyAlignment="1">
      <alignment horizontal="center" vertical="center"/>
    </xf>
    <xf numFmtId="0" fontId="54" fillId="31" borderId="31" xfId="0" quotePrefix="1" applyFont="1" applyFill="1" applyBorder="1" applyAlignment="1">
      <alignment horizontal="center" vertical="center"/>
    </xf>
    <xf numFmtId="0" fontId="54" fillId="31" borderId="32" xfId="0" quotePrefix="1" applyFont="1" applyFill="1" applyBorder="1" applyAlignment="1">
      <alignment horizontal="center" vertical="center"/>
    </xf>
    <xf numFmtId="0" fontId="48" fillId="31" borderId="22" xfId="0" applyFont="1" applyFill="1" applyBorder="1" applyAlignment="1">
      <alignment horizontal="center" vertical="center"/>
    </xf>
    <xf numFmtId="0" fontId="48" fillId="31" borderId="0" xfId="0" applyFont="1" applyFill="1" applyBorder="1" applyAlignment="1">
      <alignment horizontal="center" vertical="center"/>
    </xf>
    <xf numFmtId="0" fontId="45" fillId="33" borderId="42" xfId="0" applyFont="1" applyFill="1" applyBorder="1" applyAlignment="1">
      <alignment horizontal="center" vertical="center"/>
    </xf>
    <xf numFmtId="0" fontId="45" fillId="33" borderId="44" xfId="0" applyFont="1" applyFill="1" applyBorder="1" applyAlignment="1">
      <alignment horizontal="center" vertical="center"/>
    </xf>
    <xf numFmtId="0" fontId="47" fillId="33" borderId="42" xfId="0" applyFont="1" applyFill="1" applyBorder="1" applyAlignment="1">
      <alignment horizontal="center" vertical="center"/>
    </xf>
    <xf numFmtId="0" fontId="47" fillId="33" borderId="44" xfId="0" applyFont="1" applyFill="1" applyBorder="1" applyAlignment="1">
      <alignment horizontal="center" vertical="center"/>
    </xf>
    <xf numFmtId="49" fontId="45" fillId="33" borderId="42" xfId="0" applyNumberFormat="1" applyFont="1" applyFill="1" applyBorder="1" applyAlignment="1">
      <alignment horizontal="center" vertical="center"/>
    </xf>
    <xf numFmtId="49" fontId="45" fillId="33" borderId="44" xfId="0" applyNumberFormat="1" applyFont="1" applyFill="1" applyBorder="1" applyAlignment="1">
      <alignment horizontal="center" vertical="center"/>
    </xf>
    <xf numFmtId="0" fontId="17" fillId="33" borderId="42" xfId="0" applyFont="1" applyFill="1" applyBorder="1" applyAlignment="1">
      <alignment horizontal="center" vertical="center"/>
    </xf>
    <xf numFmtId="0" fontId="17" fillId="33" borderId="44"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5" xfId="0" applyFont="1" applyFill="1" applyBorder="1" applyAlignment="1">
      <alignment horizontal="center" vertical="center"/>
    </xf>
    <xf numFmtId="49" fontId="45" fillId="33" borderId="22" xfId="0" applyNumberFormat="1" applyFont="1" applyFill="1" applyBorder="1" applyAlignment="1">
      <alignment horizontal="center" vertical="center"/>
    </xf>
    <xf numFmtId="49" fontId="45" fillId="33" borderId="43" xfId="0" applyNumberFormat="1" applyFont="1" applyFill="1" applyBorder="1" applyAlignment="1">
      <alignment horizontal="center" vertical="center"/>
    </xf>
    <xf numFmtId="0" fontId="60" fillId="31" borderId="42" xfId="0" applyFont="1" applyFill="1" applyBorder="1" applyAlignment="1">
      <alignment horizontal="center" vertical="center"/>
    </xf>
    <xf numFmtId="0" fontId="60" fillId="31" borderId="37" xfId="0" applyFont="1" applyFill="1" applyBorder="1" applyAlignment="1">
      <alignment horizontal="center" vertical="center"/>
    </xf>
    <xf numFmtId="0" fontId="46" fillId="31" borderId="42" xfId="0" applyFont="1" applyFill="1" applyBorder="1" applyAlignment="1">
      <alignment horizontal="center" vertical="center"/>
    </xf>
    <xf numFmtId="0" fontId="46" fillId="31" borderId="37" xfId="0" applyFont="1" applyFill="1" applyBorder="1" applyAlignment="1">
      <alignment horizontal="center" vertical="center"/>
    </xf>
    <xf numFmtId="0" fontId="46" fillId="31" borderId="38" xfId="0" applyFont="1" applyFill="1" applyBorder="1" applyAlignment="1">
      <alignment horizontal="center" vertical="center"/>
    </xf>
    <xf numFmtId="0" fontId="46" fillId="31" borderId="42" xfId="0" quotePrefix="1" applyFont="1" applyFill="1" applyBorder="1" applyAlignment="1">
      <alignment horizontal="center" vertical="center"/>
    </xf>
    <xf numFmtId="0" fontId="46" fillId="31" borderId="37" xfId="0" quotePrefix="1" applyFont="1" applyFill="1" applyBorder="1" applyAlignment="1">
      <alignment horizontal="center" vertical="center"/>
    </xf>
    <xf numFmtId="0" fontId="56" fillId="31" borderId="22" xfId="0" applyFont="1" applyFill="1" applyBorder="1" applyAlignment="1">
      <alignment horizontal="center" vertical="center"/>
    </xf>
    <xf numFmtId="0" fontId="56" fillId="31" borderId="0" xfId="0" applyFont="1" applyFill="1" applyBorder="1" applyAlignment="1">
      <alignment horizontal="center" vertical="center"/>
    </xf>
    <xf numFmtId="0" fontId="43" fillId="31" borderId="22" xfId="0" applyFont="1" applyFill="1" applyBorder="1" applyAlignment="1">
      <alignment horizontal="center" vertical="center"/>
    </xf>
    <xf numFmtId="0" fontId="43" fillId="31" borderId="0" xfId="0" applyFont="1" applyFill="1" applyBorder="1" applyAlignment="1">
      <alignment horizontal="center" vertical="center"/>
    </xf>
    <xf numFmtId="3" fontId="45" fillId="33" borderId="42" xfId="0" applyNumberFormat="1" applyFont="1" applyFill="1" applyBorder="1" applyAlignment="1">
      <alignment horizontal="center" vertical="center"/>
    </xf>
    <xf numFmtId="3" fontId="45" fillId="33" borderId="44" xfId="0" applyNumberFormat="1" applyFont="1" applyFill="1" applyBorder="1" applyAlignment="1">
      <alignment horizontal="center" vertical="center"/>
    </xf>
    <xf numFmtId="1" fontId="45" fillId="33" borderId="42" xfId="0" applyNumberFormat="1" applyFont="1" applyFill="1" applyBorder="1" applyAlignment="1">
      <alignment horizontal="center" vertical="center"/>
    </xf>
    <xf numFmtId="1" fontId="45" fillId="33" borderId="44" xfId="0" applyNumberFormat="1" applyFont="1" applyFill="1" applyBorder="1" applyAlignment="1">
      <alignment horizontal="center" vertical="center"/>
    </xf>
    <xf numFmtId="4" fontId="52" fillId="31" borderId="37" xfId="0" applyNumberFormat="1" applyFont="1" applyFill="1" applyBorder="1" applyAlignment="1">
      <alignment horizontal="center" vertical="center"/>
    </xf>
    <xf numFmtId="4" fontId="52" fillId="31" borderId="38" xfId="0" applyNumberFormat="1" applyFont="1" applyFill="1" applyBorder="1" applyAlignment="1">
      <alignment horizontal="center" vertical="center"/>
    </xf>
    <xf numFmtId="4" fontId="52" fillId="31" borderId="37" xfId="0" applyNumberFormat="1" applyFont="1" applyFill="1" applyBorder="1" applyAlignment="1">
      <alignment horizontal="center"/>
    </xf>
    <xf numFmtId="4" fontId="52" fillId="31" borderId="38" xfId="0" applyNumberFormat="1" applyFont="1" applyFill="1" applyBorder="1" applyAlignment="1">
      <alignment horizontal="center"/>
    </xf>
    <xf numFmtId="0" fontId="47" fillId="33" borderId="45" xfId="0" applyFont="1" applyFill="1" applyBorder="1" applyAlignment="1">
      <alignment horizontal="center" vertical="center"/>
    </xf>
    <xf numFmtId="0" fontId="47" fillId="33" borderId="54" xfId="0" applyFont="1" applyFill="1" applyBorder="1" applyAlignment="1">
      <alignment horizontal="center" vertical="center"/>
    </xf>
    <xf numFmtId="4" fontId="48" fillId="31" borderId="37" xfId="0" applyNumberFormat="1" applyFont="1" applyFill="1" applyBorder="1" applyAlignment="1">
      <alignment horizontal="center" vertical="center"/>
    </xf>
    <xf numFmtId="4" fontId="48" fillId="31" borderId="38" xfId="0" applyNumberFormat="1" applyFont="1" applyFill="1" applyBorder="1" applyAlignment="1">
      <alignment horizontal="center" vertical="center"/>
    </xf>
    <xf numFmtId="3" fontId="45" fillId="33" borderId="41" xfId="0" applyNumberFormat="1" applyFont="1" applyFill="1" applyBorder="1" applyAlignment="1">
      <alignment horizontal="center" vertical="center"/>
    </xf>
    <xf numFmtId="3" fontId="45" fillId="33" borderId="190" xfId="0" applyNumberFormat="1" applyFont="1" applyFill="1" applyBorder="1" applyAlignment="1">
      <alignment horizontal="center" vertical="center"/>
    </xf>
    <xf numFmtId="49" fontId="47" fillId="33" borderId="45" xfId="0" applyNumberFormat="1" applyFont="1" applyFill="1" applyBorder="1" applyAlignment="1">
      <alignment horizontal="center" vertical="center"/>
    </xf>
    <xf numFmtId="49" fontId="47" fillId="33" borderId="54" xfId="0" applyNumberFormat="1" applyFont="1" applyFill="1" applyBorder="1" applyAlignment="1">
      <alignment horizontal="center" vertical="center"/>
    </xf>
    <xf numFmtId="0" fontId="45" fillId="33" borderId="9" xfId="0" applyFont="1" applyFill="1" applyBorder="1" applyAlignment="1">
      <alignment horizontal="center" vertical="center"/>
    </xf>
    <xf numFmtId="0" fontId="45" fillId="33" borderId="10" xfId="0" applyFont="1" applyFill="1" applyBorder="1" applyAlignment="1">
      <alignment horizontal="center" vertical="center"/>
    </xf>
    <xf numFmtId="0" fontId="46" fillId="31" borderId="31" xfId="0" applyFont="1" applyFill="1" applyBorder="1" applyAlignment="1">
      <alignment horizontal="center" vertical="center"/>
    </xf>
    <xf numFmtId="0" fontId="46" fillId="31" borderId="32" xfId="0" applyFont="1" applyFill="1" applyBorder="1" applyAlignment="1">
      <alignment horizontal="center" vertical="center"/>
    </xf>
    <xf numFmtId="0" fontId="48" fillId="31" borderId="205" xfId="0" applyFont="1" applyFill="1" applyBorder="1" applyAlignment="1">
      <alignment horizontal="center" vertical="center"/>
    </xf>
    <xf numFmtId="0" fontId="48" fillId="31" borderId="12" xfId="0" applyFont="1" applyFill="1" applyBorder="1" applyAlignment="1">
      <alignment horizontal="center" vertical="center"/>
    </xf>
    <xf numFmtId="49" fontId="44" fillId="33" borderId="42" xfId="0" applyNumberFormat="1" applyFont="1" applyFill="1" applyBorder="1" applyAlignment="1">
      <alignment horizontal="center" vertical="center"/>
    </xf>
    <xf numFmtId="49" fontId="44" fillId="33" borderId="44" xfId="0" applyNumberFormat="1" applyFont="1" applyFill="1" applyBorder="1" applyAlignment="1">
      <alignment horizontal="center" vertical="center"/>
    </xf>
    <xf numFmtId="0" fontId="45" fillId="33" borderId="45" xfId="0" applyFont="1" applyFill="1" applyBorder="1" applyAlignment="1">
      <alignment horizontal="center" vertical="center"/>
    </xf>
    <xf numFmtId="0" fontId="45" fillId="33" borderId="54" xfId="0" applyFont="1" applyFill="1" applyBorder="1" applyAlignment="1">
      <alignment horizontal="center" vertical="center"/>
    </xf>
    <xf numFmtId="0" fontId="45" fillId="33" borderId="38" xfId="0" applyFont="1" applyFill="1" applyBorder="1" applyAlignment="1">
      <alignment horizontal="center" vertical="center"/>
    </xf>
    <xf numFmtId="0" fontId="48" fillId="31" borderId="42" xfId="0" quotePrefix="1" applyFont="1" applyFill="1" applyBorder="1" applyAlignment="1">
      <alignment horizontal="center" vertical="center"/>
    </xf>
    <xf numFmtId="0" fontId="48" fillId="31" borderId="37" xfId="0" quotePrefix="1" applyFont="1" applyFill="1" applyBorder="1" applyAlignment="1">
      <alignment horizontal="center" vertical="center"/>
    </xf>
    <xf numFmtId="0" fontId="48" fillId="31" borderId="38" xfId="0" quotePrefix="1" applyFont="1" applyFill="1" applyBorder="1" applyAlignment="1">
      <alignment horizontal="center" vertical="center"/>
    </xf>
    <xf numFmtId="4" fontId="8" fillId="32" borderId="17" xfId="0" applyNumberFormat="1" applyFont="1" applyFill="1" applyBorder="1" applyAlignment="1">
      <alignment horizontal="center" vertical="center"/>
    </xf>
    <xf numFmtId="4" fontId="8" fillId="32" borderId="18" xfId="0" applyNumberFormat="1" applyFont="1" applyFill="1" applyBorder="1" applyAlignment="1">
      <alignment horizontal="center" vertical="center"/>
    </xf>
    <xf numFmtId="0" fontId="103" fillId="43" borderId="42" xfId="0" applyFont="1" applyFill="1" applyBorder="1" applyAlignment="1">
      <alignment horizontal="center" vertical="center"/>
    </xf>
    <xf numFmtId="0" fontId="103" fillId="43" borderId="37" xfId="0" applyFont="1" applyFill="1" applyBorder="1" applyAlignment="1">
      <alignment horizontal="center" vertical="center"/>
    </xf>
    <xf numFmtId="0" fontId="103" fillId="43" borderId="38" xfId="0" applyFont="1" applyFill="1" applyBorder="1" applyAlignment="1">
      <alignment horizontal="center" vertical="center"/>
    </xf>
    <xf numFmtId="0" fontId="37" fillId="44" borderId="0" xfId="0" applyFont="1" applyFill="1" applyAlignment="1">
      <alignment horizontal="center" vertical="center"/>
    </xf>
    <xf numFmtId="0" fontId="60" fillId="43" borderId="42" xfId="0" applyFont="1" applyFill="1" applyBorder="1" applyAlignment="1">
      <alignment horizontal="center" vertical="center"/>
    </xf>
    <xf numFmtId="0" fontId="60" fillId="43" borderId="37" xfId="0" applyFont="1" applyFill="1" applyBorder="1" applyAlignment="1">
      <alignment horizontal="center" vertical="center"/>
    </xf>
    <xf numFmtId="0" fontId="60" fillId="43" borderId="38" xfId="0" applyFont="1" applyFill="1" applyBorder="1" applyAlignment="1">
      <alignment horizontal="center" vertical="center"/>
    </xf>
    <xf numFmtId="0" fontId="48" fillId="43" borderId="28" xfId="0" applyFont="1" applyFill="1" applyBorder="1" applyAlignment="1">
      <alignment horizontal="center" vertical="center"/>
    </xf>
    <xf numFmtId="0" fontId="48" fillId="43" borderId="29" xfId="0" applyFont="1" applyFill="1" applyBorder="1" applyAlignment="1">
      <alignment horizontal="center" vertical="center"/>
    </xf>
    <xf numFmtId="0" fontId="48" fillId="43" borderId="30" xfId="0" applyFont="1" applyFill="1" applyBorder="1" applyAlignment="1">
      <alignment horizontal="center" vertical="center"/>
    </xf>
    <xf numFmtId="0" fontId="48" fillId="43" borderId="31" xfId="0" applyFont="1" applyFill="1" applyBorder="1" applyAlignment="1">
      <alignment horizontal="center" vertical="center"/>
    </xf>
    <xf numFmtId="0" fontId="48" fillId="43" borderId="32" xfId="0" applyFont="1" applyFill="1" applyBorder="1" applyAlignment="1">
      <alignment horizontal="center" vertical="center"/>
    </xf>
    <xf numFmtId="0" fontId="48" fillId="43" borderId="33" xfId="0" applyFont="1" applyFill="1" applyBorder="1" applyAlignment="1">
      <alignment horizontal="center" vertical="center"/>
    </xf>
    <xf numFmtId="0" fontId="64" fillId="43" borderId="28" xfId="0" quotePrefix="1" applyFont="1" applyFill="1" applyBorder="1" applyAlignment="1">
      <alignment horizontal="center" vertical="center"/>
    </xf>
    <xf numFmtId="0" fontId="64" fillId="43" borderId="29" xfId="0" quotePrefix="1" applyFont="1" applyFill="1" applyBorder="1" applyAlignment="1">
      <alignment horizontal="center" vertical="center"/>
    </xf>
    <xf numFmtId="0" fontId="64" fillId="43" borderId="30" xfId="0" quotePrefix="1" applyFont="1" applyFill="1" applyBorder="1" applyAlignment="1">
      <alignment horizontal="center" vertical="center"/>
    </xf>
    <xf numFmtId="0" fontId="64" fillId="43" borderId="31" xfId="0" quotePrefix="1" applyFont="1" applyFill="1" applyBorder="1" applyAlignment="1">
      <alignment horizontal="center" vertical="center"/>
    </xf>
    <xf numFmtId="0" fontId="64" fillId="43" borderId="32" xfId="0" quotePrefix="1" applyFont="1" applyFill="1" applyBorder="1" applyAlignment="1">
      <alignment horizontal="center" vertical="center"/>
    </xf>
    <xf numFmtId="0" fontId="64" fillId="43" borderId="33" xfId="0" quotePrefix="1" applyFont="1" applyFill="1" applyBorder="1" applyAlignment="1">
      <alignment horizontal="center" vertical="center"/>
    </xf>
    <xf numFmtId="49" fontId="47" fillId="33" borderId="42" xfId="0" applyNumberFormat="1" applyFont="1" applyFill="1" applyBorder="1" applyAlignment="1">
      <alignment horizontal="center" vertical="center"/>
    </xf>
    <xf numFmtId="49" fontId="47" fillId="33" borderId="38" xfId="0" applyNumberFormat="1" applyFont="1" applyFill="1" applyBorder="1" applyAlignment="1">
      <alignment horizontal="center" vertical="center"/>
    </xf>
    <xf numFmtId="0" fontId="46" fillId="45" borderId="42" xfId="0" applyFont="1" applyFill="1" applyBorder="1" applyAlignment="1">
      <alignment horizontal="center" vertical="center"/>
    </xf>
    <xf numFmtId="0" fontId="46" fillId="45" borderId="37" xfId="0" applyFont="1" applyFill="1" applyBorder="1" applyAlignment="1">
      <alignment horizontal="center" vertical="center"/>
    </xf>
    <xf numFmtId="0" fontId="46" fillId="45" borderId="38" xfId="0" applyFont="1" applyFill="1" applyBorder="1" applyAlignment="1">
      <alignment horizontal="center" vertical="center"/>
    </xf>
    <xf numFmtId="4" fontId="46" fillId="31" borderId="42" xfId="0" applyNumberFormat="1" applyFont="1" applyFill="1" applyBorder="1" applyAlignment="1">
      <alignment horizontal="center" vertical="center"/>
    </xf>
    <xf numFmtId="4" fontId="46" fillId="31" borderId="37" xfId="0" applyNumberFormat="1" applyFont="1" applyFill="1" applyBorder="1" applyAlignment="1">
      <alignment horizontal="center" vertical="center"/>
    </xf>
    <xf numFmtId="4" fontId="46" fillId="31" borderId="38" xfId="0" applyNumberFormat="1" applyFont="1" applyFill="1" applyBorder="1" applyAlignment="1">
      <alignment horizontal="center" vertical="center"/>
    </xf>
    <xf numFmtId="0" fontId="48" fillId="31" borderId="42"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38" xfId="0" applyFont="1" applyFill="1" applyBorder="1" applyAlignment="1">
      <alignment horizontal="center" vertical="center"/>
    </xf>
    <xf numFmtId="49" fontId="45" fillId="33" borderId="31" xfId="0" applyNumberFormat="1" applyFont="1" applyFill="1" applyBorder="1" applyAlignment="1">
      <alignment horizontal="center" vertical="center"/>
    </xf>
    <xf numFmtId="49" fontId="45" fillId="33" borderId="55" xfId="0" applyNumberFormat="1" applyFont="1" applyFill="1" applyBorder="1" applyAlignment="1">
      <alignment horizontal="center" vertical="center"/>
    </xf>
    <xf numFmtId="0" fontId="60" fillId="31" borderId="0" xfId="0" applyFont="1" applyFill="1" applyAlignment="1">
      <alignment horizontal="center" vertical="center"/>
    </xf>
    <xf numFmtId="0" fontId="48" fillId="31" borderId="31" xfId="0" applyFont="1" applyFill="1" applyBorder="1" applyAlignment="1">
      <alignment horizontal="center" vertical="center"/>
    </xf>
    <xf numFmtId="0" fontId="48" fillId="31" borderId="32" xfId="0" applyFont="1" applyFill="1" applyBorder="1" applyAlignment="1">
      <alignment horizontal="center" vertical="center"/>
    </xf>
    <xf numFmtId="0" fontId="53" fillId="31" borderId="37" xfId="0" applyFont="1" applyFill="1" applyBorder="1" applyAlignment="1">
      <alignment horizontal="center" vertical="center"/>
    </xf>
    <xf numFmtId="0" fontId="53" fillId="31" borderId="38" xfId="0" applyFont="1" applyFill="1" applyBorder="1" applyAlignment="1">
      <alignment horizontal="center" vertical="center"/>
    </xf>
    <xf numFmtId="0" fontId="53" fillId="31" borderId="37" xfId="0" quotePrefix="1" applyFont="1" applyFill="1" applyBorder="1" applyAlignment="1">
      <alignment horizontal="left" vertical="center"/>
    </xf>
    <xf numFmtId="0" fontId="48" fillId="31" borderId="28" xfId="0" applyFont="1" applyFill="1" applyBorder="1" applyAlignment="1">
      <alignment horizontal="center" vertical="center"/>
    </xf>
    <xf numFmtId="0" fontId="48" fillId="31" borderId="29" xfId="0" applyFont="1" applyFill="1" applyBorder="1" applyAlignment="1">
      <alignment horizontal="center" vertical="center"/>
    </xf>
    <xf numFmtId="0" fontId="48" fillId="31" borderId="42" xfId="0" applyFont="1" applyFill="1" applyBorder="1" applyAlignment="1">
      <alignment horizontal="left" vertical="center"/>
    </xf>
    <xf numFmtId="0" fontId="48" fillId="31" borderId="37" xfId="0" applyFont="1" applyFill="1" applyBorder="1" applyAlignment="1">
      <alignment horizontal="left" vertical="center"/>
    </xf>
    <xf numFmtId="0" fontId="46" fillId="31" borderId="38" xfId="0" quotePrefix="1" applyFont="1" applyFill="1" applyBorder="1" applyAlignment="1">
      <alignment horizontal="center" vertical="center"/>
    </xf>
    <xf numFmtId="4" fontId="46" fillId="31" borderId="31" xfId="0" applyNumberFormat="1" applyFont="1" applyFill="1" applyBorder="1" applyAlignment="1">
      <alignment horizontal="center" vertical="center"/>
    </xf>
    <xf numFmtId="4" fontId="46" fillId="31" borderId="32" xfId="0" applyNumberFormat="1" applyFont="1" applyFill="1" applyBorder="1" applyAlignment="1">
      <alignment horizontal="center" vertical="center"/>
    </xf>
    <xf numFmtId="49" fontId="45" fillId="33" borderId="9" xfId="0" applyNumberFormat="1" applyFont="1" applyFill="1" applyBorder="1" applyAlignment="1">
      <alignment horizontal="center" vertical="center"/>
    </xf>
    <xf numFmtId="49" fontId="45" fillId="33" borderId="10" xfId="0" applyNumberFormat="1" applyFont="1" applyFill="1" applyBorder="1" applyAlignment="1">
      <alignment horizontal="center" vertical="center"/>
    </xf>
    <xf numFmtId="2" fontId="56" fillId="31" borderId="0" xfId="0" applyNumberFormat="1" applyFont="1" applyFill="1" applyAlignment="1">
      <alignment horizontal="center" vertical="center"/>
    </xf>
    <xf numFmtId="177" fontId="113" fillId="39" borderId="74" xfId="0" applyNumberFormat="1" applyFont="1" applyFill="1" applyBorder="1" applyAlignment="1">
      <alignment horizontal="right" vertical="center"/>
    </xf>
    <xf numFmtId="177" fontId="113" fillId="39" borderId="162" xfId="0" applyNumberFormat="1" applyFont="1" applyFill="1" applyBorder="1" applyAlignment="1">
      <alignment horizontal="right" vertical="center"/>
    </xf>
    <xf numFmtId="177" fontId="113" fillId="39" borderId="163" xfId="0" applyNumberFormat="1" applyFont="1" applyFill="1" applyBorder="1" applyAlignment="1">
      <alignment horizontal="right" vertical="center"/>
    </xf>
    <xf numFmtId="177" fontId="113" fillId="39" borderId="164" xfId="0" applyNumberFormat="1" applyFont="1" applyFill="1" applyBorder="1" applyAlignment="1">
      <alignment horizontal="right" vertical="center"/>
    </xf>
    <xf numFmtId="0" fontId="112" fillId="39" borderId="68" xfId="0" applyFont="1" applyFill="1" applyBorder="1" applyAlignment="1">
      <alignment horizontal="center" vertical="center"/>
    </xf>
    <xf numFmtId="0" fontId="112" fillId="39" borderId="74" xfId="0" applyFont="1" applyFill="1" applyBorder="1" applyAlignment="1">
      <alignment horizontal="center" vertical="center"/>
    </xf>
    <xf numFmtId="0" fontId="112" fillId="39" borderId="69" xfId="0" applyFont="1" applyFill="1" applyBorder="1" applyAlignment="1">
      <alignment horizontal="center" vertical="center"/>
    </xf>
    <xf numFmtId="0" fontId="112" fillId="39" borderId="163" xfId="0" applyFont="1" applyFill="1" applyBorder="1" applyAlignment="1">
      <alignment horizontal="center" vertical="center"/>
    </xf>
    <xf numFmtId="0" fontId="66" fillId="0" borderId="0" xfId="0" applyFont="1" applyAlignment="1">
      <alignment horizontal="center" vertical="center" wrapText="1"/>
    </xf>
    <xf numFmtId="0" fontId="66" fillId="0" borderId="163" xfId="0" applyFont="1" applyBorder="1" applyAlignment="1">
      <alignment horizontal="center" vertical="center" wrapText="1"/>
    </xf>
    <xf numFmtId="17" fontId="101" fillId="39" borderId="165" xfId="0" applyNumberFormat="1" applyFont="1" applyFill="1" applyBorder="1" applyAlignment="1">
      <alignment horizontal="left" vertical="center"/>
    </xf>
    <xf numFmtId="17" fontId="101" fillId="39" borderId="131" xfId="0" applyNumberFormat="1" applyFont="1" applyFill="1" applyBorder="1" applyAlignment="1">
      <alignment horizontal="left" vertical="center"/>
    </xf>
    <xf numFmtId="0" fontId="71" fillId="40" borderId="166" xfId="0" applyFont="1" applyFill="1" applyBorder="1" applyAlignment="1">
      <alignment horizontal="center" vertical="center"/>
    </xf>
    <xf numFmtId="0" fontId="71" fillId="40" borderId="132" xfId="0" applyFont="1" applyFill="1" applyBorder="1" applyAlignment="1">
      <alignment horizontal="center" vertical="center"/>
    </xf>
    <xf numFmtId="0" fontId="71" fillId="40" borderId="73" xfId="0" applyFont="1" applyFill="1" applyBorder="1" applyAlignment="1">
      <alignment horizontal="center" vertical="center"/>
    </xf>
    <xf numFmtId="0" fontId="70" fillId="40" borderId="76" xfId="0" applyFont="1" applyFill="1" applyBorder="1" applyAlignment="1">
      <alignment horizontal="center" vertical="center"/>
    </xf>
    <xf numFmtId="0" fontId="70" fillId="40" borderId="132" xfId="0" applyFont="1" applyFill="1" applyBorder="1" applyAlignment="1">
      <alignment horizontal="center" vertical="center"/>
    </xf>
    <xf numFmtId="0" fontId="70" fillId="40" borderId="73" xfId="0" applyFont="1" applyFill="1" applyBorder="1" applyAlignment="1">
      <alignment horizontal="center" vertical="center"/>
    </xf>
    <xf numFmtId="0" fontId="71" fillId="40" borderId="115" xfId="0" applyFont="1" applyFill="1" applyBorder="1" applyAlignment="1">
      <alignment horizontal="center" vertical="center" wrapText="1"/>
    </xf>
    <xf numFmtId="0" fontId="71" fillId="40" borderId="167" xfId="0" applyFont="1" applyFill="1" applyBorder="1" applyAlignment="1">
      <alignment horizontal="center" vertical="center" wrapText="1"/>
    </xf>
    <xf numFmtId="0" fontId="105" fillId="39" borderId="125" xfId="0" applyFont="1" applyFill="1" applyBorder="1" applyAlignment="1">
      <alignment horizontal="center" vertical="center"/>
    </xf>
    <xf numFmtId="0" fontId="105" fillId="39" borderId="168" xfId="0" applyFont="1" applyFill="1" applyBorder="1" applyAlignment="1">
      <alignment horizontal="center" vertical="center"/>
    </xf>
    <xf numFmtId="0" fontId="105" fillId="39" borderId="169" xfId="0" applyFont="1" applyFill="1" applyBorder="1" applyAlignment="1">
      <alignment horizontal="center" vertical="center"/>
    </xf>
    <xf numFmtId="0" fontId="69" fillId="39" borderId="75" xfId="0" quotePrefix="1" applyFont="1" applyFill="1" applyBorder="1" applyAlignment="1">
      <alignment horizontal="center" vertical="center"/>
    </xf>
    <xf numFmtId="0" fontId="69" fillId="39" borderId="168" xfId="0" quotePrefix="1" applyFont="1" applyFill="1" applyBorder="1" applyAlignment="1">
      <alignment horizontal="center" vertical="center"/>
    </xf>
    <xf numFmtId="0" fontId="69" fillId="39" borderId="170" xfId="0" quotePrefix="1" applyFont="1" applyFill="1" applyBorder="1" applyAlignment="1">
      <alignment horizontal="center" vertical="center"/>
    </xf>
    <xf numFmtId="17" fontId="101" fillId="39" borderId="171" xfId="0" applyNumberFormat="1" applyFont="1" applyFill="1" applyBorder="1" applyAlignment="1">
      <alignment horizontal="left" vertical="center"/>
    </xf>
    <xf numFmtId="17" fontId="101" fillId="39" borderId="134" xfId="0" applyNumberFormat="1" applyFont="1" applyFill="1" applyBorder="1" applyAlignment="1">
      <alignment horizontal="left" vertical="center"/>
    </xf>
    <xf numFmtId="0" fontId="70" fillId="40" borderId="59" xfId="0" applyFont="1" applyFill="1" applyBorder="1" applyAlignment="1">
      <alignment horizontal="center" vertical="center"/>
    </xf>
    <xf numFmtId="0" fontId="70" fillId="40" borderId="60" xfId="0" applyFont="1" applyFill="1" applyBorder="1" applyAlignment="1">
      <alignment horizontal="center" vertical="center"/>
    </xf>
    <xf numFmtId="168" fontId="75" fillId="0" borderId="76" xfId="0" applyNumberFormat="1" applyFont="1" applyBorder="1" applyAlignment="1">
      <alignment horizontal="center" vertical="center" wrapText="1"/>
    </xf>
    <xf numFmtId="168" fontId="75" fillId="0" borderId="133" xfId="0" applyNumberFormat="1" applyFont="1" applyBorder="1" applyAlignment="1">
      <alignment horizontal="center" vertical="center" wrapText="1"/>
    </xf>
    <xf numFmtId="0" fontId="106" fillId="39" borderId="173" xfId="0" applyFont="1" applyFill="1" applyBorder="1" applyAlignment="1">
      <alignment horizontal="center" vertical="center"/>
    </xf>
    <xf numFmtId="0" fontId="106" fillId="39" borderId="168" xfId="0" applyFont="1" applyFill="1" applyBorder="1" applyAlignment="1">
      <alignment horizontal="center" vertical="center"/>
    </xf>
    <xf numFmtId="0" fontId="106" fillId="39" borderId="170" xfId="0" applyFont="1" applyFill="1" applyBorder="1" applyAlignment="1">
      <alignment horizontal="center" vertical="center"/>
    </xf>
    <xf numFmtId="168" fontId="75" fillId="0" borderId="59" xfId="0" applyNumberFormat="1" applyFont="1" applyBorder="1" applyAlignment="1">
      <alignment horizontal="center"/>
    </xf>
    <xf numFmtId="168" fontId="75" fillId="0" borderId="60" xfId="0" applyNumberFormat="1" applyFont="1" applyBorder="1" applyAlignment="1">
      <alignment horizontal="center"/>
    </xf>
    <xf numFmtId="0" fontId="71" fillId="40" borderId="58" xfId="0" quotePrefix="1" applyFont="1" applyFill="1" applyBorder="1" applyAlignment="1">
      <alignment horizontal="center" vertical="center"/>
    </xf>
    <xf numFmtId="0" fontId="71" fillId="40" borderId="59" xfId="0" applyFont="1" applyFill="1" applyBorder="1" applyAlignment="1">
      <alignment horizontal="center" vertical="center"/>
    </xf>
    <xf numFmtId="168" fontId="75" fillId="0" borderId="59" xfId="0" applyNumberFormat="1" applyFont="1" applyBorder="1" applyAlignment="1">
      <alignment horizontal="center" vertical="center" wrapText="1"/>
    </xf>
    <xf numFmtId="168" fontId="75" fillId="0" borderId="60" xfId="0" applyNumberFormat="1" applyFont="1" applyBorder="1" applyAlignment="1">
      <alignment horizontal="center" vertical="center" wrapText="1"/>
    </xf>
    <xf numFmtId="0" fontId="73" fillId="0" borderId="0" xfId="0" applyFont="1" applyAlignment="1">
      <alignment horizontal="center" vertical="center"/>
    </xf>
    <xf numFmtId="0" fontId="106" fillId="0" borderId="0" xfId="0" applyFont="1" applyAlignment="1">
      <alignment horizontal="left" vertical="center"/>
    </xf>
    <xf numFmtId="0" fontId="84" fillId="0" borderId="0" xfId="0" quotePrefix="1" applyFont="1" applyAlignment="1">
      <alignment horizontal="center" vertical="center"/>
    </xf>
    <xf numFmtId="0" fontId="84" fillId="0" borderId="0" xfId="0" applyFont="1" applyAlignment="1">
      <alignment horizontal="center" vertical="center"/>
    </xf>
    <xf numFmtId="0" fontId="67" fillId="0" borderId="0" xfId="0" applyFont="1" applyAlignment="1">
      <alignment horizontal="center" vertical="center"/>
    </xf>
    <xf numFmtId="0" fontId="107" fillId="0" borderId="0" xfId="0" applyFont="1" applyAlignment="1">
      <alignment horizontal="center" vertical="center"/>
    </xf>
    <xf numFmtId="168" fontId="74" fillId="0" borderId="0" xfId="0" applyNumberFormat="1" applyFont="1" applyAlignment="1">
      <alignment horizontal="center"/>
    </xf>
    <xf numFmtId="168" fontId="74" fillId="0" borderId="0" xfId="0" applyNumberFormat="1" applyFont="1" applyAlignment="1">
      <alignment horizontal="center" vertical="center" wrapText="1"/>
    </xf>
    <xf numFmtId="168" fontId="75" fillId="0" borderId="77" xfId="0" applyNumberFormat="1" applyFont="1" applyBorder="1" applyAlignment="1">
      <alignment horizontal="center" vertical="center" wrapText="1"/>
    </xf>
    <xf numFmtId="168" fontId="75" fillId="0" borderId="135" xfId="0" applyNumberFormat="1" applyFont="1" applyBorder="1" applyAlignment="1">
      <alignment horizontal="center" vertical="center" wrapText="1"/>
    </xf>
    <xf numFmtId="168" fontId="75" fillId="0" borderId="148" xfId="0" applyNumberFormat="1" applyFont="1" applyBorder="1" applyAlignment="1">
      <alignment horizontal="center" vertical="center" wrapText="1"/>
    </xf>
    <xf numFmtId="168" fontId="75" fillId="0" borderId="172" xfId="0" applyNumberFormat="1" applyFont="1" applyBorder="1" applyAlignment="1">
      <alignment horizontal="center" vertical="center" wrapText="1"/>
    </xf>
    <xf numFmtId="17" fontId="101" fillId="39" borderId="166" xfId="0" applyNumberFormat="1" applyFont="1" applyFill="1" applyBorder="1" applyAlignment="1">
      <alignment horizontal="left" vertical="center"/>
    </xf>
    <xf numFmtId="17" fontId="101" fillId="39" borderId="132" xfId="0" applyNumberFormat="1" applyFont="1" applyFill="1" applyBorder="1" applyAlignment="1">
      <alignment horizontal="left" vertical="center"/>
    </xf>
    <xf numFmtId="17" fontId="100" fillId="39" borderId="131" xfId="0" applyNumberFormat="1" applyFont="1" applyFill="1" applyBorder="1" applyAlignment="1">
      <alignment horizontal="right" vertical="center"/>
    </xf>
    <xf numFmtId="0" fontId="107" fillId="39" borderId="173" xfId="0" applyFont="1" applyFill="1" applyBorder="1" applyAlignment="1">
      <alignment horizontal="center" vertical="center"/>
    </xf>
    <xf numFmtId="0" fontId="107" fillId="39" borderId="168" xfId="0" applyFont="1" applyFill="1" applyBorder="1" applyAlignment="1">
      <alignment horizontal="center" vertical="center"/>
    </xf>
    <xf numFmtId="0" fontId="107" fillId="39" borderId="169" xfId="0" applyFont="1" applyFill="1" applyBorder="1" applyAlignment="1">
      <alignment horizontal="center" vertical="center"/>
    </xf>
    <xf numFmtId="0" fontId="108" fillId="0" borderId="0" xfId="0" quotePrefix="1" applyFont="1" applyAlignment="1">
      <alignment horizontal="center" vertical="center"/>
    </xf>
    <xf numFmtId="0" fontId="106" fillId="0" borderId="0" xfId="0" applyFont="1" applyAlignment="1">
      <alignment horizontal="center" vertical="center"/>
    </xf>
    <xf numFmtId="0" fontId="69" fillId="0" borderId="0" xfId="0" quotePrefix="1" applyFont="1" applyAlignment="1">
      <alignment horizontal="left"/>
    </xf>
    <xf numFmtId="0" fontId="79" fillId="0" borderId="0" xfId="0" applyFont="1" applyAlignment="1">
      <alignment horizontal="center"/>
    </xf>
    <xf numFmtId="0" fontId="107" fillId="39" borderId="125" xfId="0" applyFont="1" applyFill="1" applyBorder="1" applyAlignment="1">
      <alignment horizontal="center" vertical="center"/>
    </xf>
    <xf numFmtId="0" fontId="107" fillId="39" borderId="61" xfId="0" applyFont="1" applyFill="1" applyBorder="1" applyAlignment="1">
      <alignment horizontal="center" vertical="center"/>
    </xf>
    <xf numFmtId="0" fontId="71" fillId="40" borderId="58" xfId="0" applyFont="1" applyFill="1" applyBorder="1" applyAlignment="1">
      <alignment horizontal="center" vertical="center"/>
    </xf>
    <xf numFmtId="0" fontId="71" fillId="40" borderId="60" xfId="0" applyFont="1" applyFill="1" applyBorder="1" applyAlignment="1">
      <alignment horizontal="center" vertical="center" wrapText="1"/>
    </xf>
    <xf numFmtId="0" fontId="69" fillId="39" borderId="61" xfId="0" quotePrefix="1" applyFont="1" applyFill="1" applyBorder="1" applyAlignment="1">
      <alignment horizontal="center" vertical="center"/>
    </xf>
    <xf numFmtId="0" fontId="69" fillId="39" borderId="126" xfId="0" quotePrefix="1" applyFont="1" applyFill="1" applyBorder="1" applyAlignment="1">
      <alignment horizontal="center" vertical="center"/>
    </xf>
    <xf numFmtId="4" fontId="75" fillId="0" borderId="76" xfId="0" applyNumberFormat="1" applyFont="1" applyBorder="1" applyAlignment="1">
      <alignment horizontal="center"/>
    </xf>
    <xf numFmtId="4" fontId="75" fillId="0" borderId="73" xfId="0" applyNumberFormat="1" applyFont="1" applyBorder="1" applyAlignment="1">
      <alignment horizontal="center"/>
    </xf>
    <xf numFmtId="0" fontId="109" fillId="39" borderId="173" xfId="0" applyFont="1" applyFill="1" applyBorder="1" applyAlignment="1">
      <alignment horizontal="center" vertical="center"/>
    </xf>
    <xf numFmtId="0" fontId="109" fillId="39" borderId="168" xfId="0" applyFont="1" applyFill="1" applyBorder="1" applyAlignment="1">
      <alignment horizontal="center" vertical="center"/>
    </xf>
    <xf numFmtId="0" fontId="109" fillId="39" borderId="169" xfId="0" applyFont="1" applyFill="1" applyBorder="1" applyAlignment="1">
      <alignment horizontal="center" vertical="center"/>
    </xf>
    <xf numFmtId="0" fontId="12" fillId="3" borderId="56" xfId="0" quotePrefix="1" applyFont="1" applyFill="1" applyBorder="1" applyAlignment="1">
      <alignment horizontal="left" vertical="center" wrapText="1"/>
    </xf>
    <xf numFmtId="0" fontId="12" fillId="3" borderId="29" xfId="0" quotePrefix="1" applyFont="1" applyFill="1" applyBorder="1" applyAlignment="1">
      <alignment horizontal="left" vertical="center" wrapText="1"/>
    </xf>
    <xf numFmtId="0" fontId="12" fillId="3" borderId="57" xfId="0" quotePrefix="1" applyFont="1" applyFill="1" applyBorder="1" applyAlignment="1">
      <alignment horizontal="left" vertical="center" wrapText="1"/>
    </xf>
    <xf numFmtId="0" fontId="27" fillId="15" borderId="42" xfId="0" quotePrefix="1" applyFont="1" applyFill="1" applyBorder="1" applyAlignment="1">
      <alignment horizontal="center"/>
    </xf>
    <xf numFmtId="0" fontId="27" fillId="15" borderId="37" xfId="0" quotePrefix="1" applyFont="1" applyFill="1" applyBorder="1" applyAlignment="1">
      <alignment horizontal="center"/>
    </xf>
    <xf numFmtId="0" fontId="27" fillId="15" borderId="38" xfId="0" quotePrefix="1" applyFont="1" applyFill="1" applyBorder="1" applyAlignment="1">
      <alignment horizontal="center"/>
    </xf>
    <xf numFmtId="0" fontId="29" fillId="13" borderId="42" xfId="0" applyFont="1" applyFill="1" applyBorder="1" applyAlignment="1">
      <alignment horizontal="center"/>
    </xf>
    <xf numFmtId="0" fontId="29" fillId="13" borderId="37" xfId="0" applyFont="1" applyFill="1" applyBorder="1" applyAlignment="1">
      <alignment horizontal="center"/>
    </xf>
    <xf numFmtId="0" fontId="29" fillId="13" borderId="38" xfId="0" applyFont="1" applyFill="1" applyBorder="1" applyAlignment="1">
      <alignment horizontal="center"/>
    </xf>
    <xf numFmtId="0" fontId="6" fillId="15" borderId="28" xfId="0" applyFont="1" applyFill="1" applyBorder="1" applyAlignment="1">
      <alignment horizontal="center" vertical="center"/>
    </xf>
    <xf numFmtId="0" fontId="6" fillId="15" borderId="29" xfId="0" applyFont="1" applyFill="1" applyBorder="1" applyAlignment="1">
      <alignment horizontal="center" vertical="center"/>
    </xf>
    <xf numFmtId="0" fontId="6" fillId="15" borderId="30" xfId="0" applyFont="1" applyFill="1" applyBorder="1" applyAlignment="1">
      <alignment horizontal="center" vertical="center"/>
    </xf>
    <xf numFmtId="0" fontId="6" fillId="15" borderId="31" xfId="0" applyFont="1" applyFill="1" applyBorder="1" applyAlignment="1">
      <alignment horizontal="center" vertical="center"/>
    </xf>
    <xf numFmtId="0" fontId="6" fillId="15" borderId="32" xfId="0" applyFont="1" applyFill="1" applyBorder="1" applyAlignment="1">
      <alignment horizontal="center" vertical="center"/>
    </xf>
    <xf numFmtId="0" fontId="6" fillId="15" borderId="33" xfId="0" applyFont="1" applyFill="1" applyBorder="1" applyAlignment="1">
      <alignment horizontal="center" vertical="center"/>
    </xf>
    <xf numFmtId="0" fontId="21" fillId="16" borderId="42" xfId="0" quotePrefix="1" applyFont="1" applyFill="1" applyBorder="1" applyAlignment="1">
      <alignment horizontal="left" vertical="center"/>
    </xf>
    <xf numFmtId="0" fontId="21" fillId="16" borderId="37" xfId="0" quotePrefix="1" applyFont="1" applyFill="1" applyBorder="1" applyAlignment="1">
      <alignment horizontal="left" vertical="center"/>
    </xf>
    <xf numFmtId="0" fontId="21" fillId="16" borderId="38" xfId="0" quotePrefix="1" applyFont="1" applyFill="1" applyBorder="1" applyAlignment="1">
      <alignment horizontal="left" vertical="center"/>
    </xf>
    <xf numFmtId="0" fontId="24" fillId="46" borderId="42" xfId="0" applyFont="1" applyFill="1" applyBorder="1" applyAlignment="1">
      <alignment horizontal="center" vertical="center"/>
    </xf>
    <xf numFmtId="0" fontId="24" fillId="46" borderId="37" xfId="0" applyFont="1" applyFill="1" applyBorder="1" applyAlignment="1">
      <alignment horizontal="center" vertical="center"/>
    </xf>
    <xf numFmtId="0" fontId="24" fillId="46" borderId="38" xfId="0" applyFont="1" applyFill="1" applyBorder="1" applyAlignment="1">
      <alignment horizontal="center" vertical="center"/>
    </xf>
    <xf numFmtId="0" fontId="12" fillId="3" borderId="7" xfId="0" quotePrefix="1" applyFont="1" applyFill="1" applyBorder="1" applyAlignment="1">
      <alignment horizontal="left" vertical="center" wrapText="1"/>
    </xf>
    <xf numFmtId="0" fontId="12" fillId="3" borderId="8" xfId="0" quotePrefix="1" applyFont="1" applyFill="1" applyBorder="1" applyAlignment="1">
      <alignment horizontal="left" vertical="center" wrapText="1"/>
    </xf>
    <xf numFmtId="0" fontId="12" fillId="3" borderId="5" xfId="0" quotePrefix="1" applyFont="1" applyFill="1" applyBorder="1" applyAlignment="1">
      <alignment horizontal="left" vertical="center" wrapText="1"/>
    </xf>
    <xf numFmtId="0" fontId="27" fillId="17" borderId="0" xfId="0" quotePrefix="1" applyFont="1" applyFill="1" applyAlignment="1">
      <alignment horizontal="center"/>
    </xf>
    <xf numFmtId="0" fontId="30" fillId="7" borderId="42" xfId="0" applyFont="1" applyFill="1" applyBorder="1" applyAlignment="1">
      <alignment horizontal="center"/>
    </xf>
    <xf numFmtId="0" fontId="30" fillId="7" borderId="37" xfId="0" applyFont="1" applyFill="1" applyBorder="1" applyAlignment="1">
      <alignment horizontal="center"/>
    </xf>
    <xf numFmtId="0" fontId="30" fillId="7" borderId="38" xfId="0" applyFont="1" applyFill="1" applyBorder="1" applyAlignment="1">
      <alignment horizontal="center"/>
    </xf>
    <xf numFmtId="0" fontId="6" fillId="17" borderId="28" xfId="0" applyFont="1" applyFill="1" applyBorder="1" applyAlignment="1">
      <alignment horizontal="center" vertical="center"/>
    </xf>
    <xf numFmtId="0" fontId="6" fillId="17" borderId="29" xfId="0" applyFont="1" applyFill="1" applyBorder="1" applyAlignment="1">
      <alignment horizontal="center" vertical="center"/>
    </xf>
    <xf numFmtId="0" fontId="6" fillId="17" borderId="30" xfId="0" applyFont="1" applyFill="1" applyBorder="1" applyAlignment="1">
      <alignment horizontal="center" vertical="center"/>
    </xf>
    <xf numFmtId="0" fontId="6" fillId="17" borderId="31" xfId="0" applyFont="1" applyFill="1" applyBorder="1" applyAlignment="1">
      <alignment horizontal="center" vertical="center"/>
    </xf>
    <xf numFmtId="0" fontId="6" fillId="17" borderId="32" xfId="0" applyFont="1" applyFill="1" applyBorder="1" applyAlignment="1">
      <alignment horizontal="center" vertical="center"/>
    </xf>
    <xf numFmtId="0" fontId="6" fillId="17" borderId="33" xfId="0" applyFont="1" applyFill="1" applyBorder="1" applyAlignment="1">
      <alignment horizontal="center" vertical="center"/>
    </xf>
    <xf numFmtId="0" fontId="21" fillId="18" borderId="42" xfId="0" quotePrefix="1" applyFont="1" applyFill="1" applyBorder="1" applyAlignment="1">
      <alignment horizontal="left" vertical="center"/>
    </xf>
    <xf numFmtId="0" fontId="21" fillId="18" borderId="37" xfId="0" quotePrefix="1" applyFont="1" applyFill="1" applyBorder="1" applyAlignment="1">
      <alignment horizontal="left" vertical="center"/>
    </xf>
    <xf numFmtId="0" fontId="21" fillId="18" borderId="38" xfId="0" quotePrefix="1" applyFont="1" applyFill="1" applyBorder="1" applyAlignment="1">
      <alignment horizontal="left" vertical="center"/>
    </xf>
    <xf numFmtId="0" fontId="24" fillId="7" borderId="42" xfId="0" applyFont="1" applyFill="1" applyBorder="1" applyAlignment="1">
      <alignment horizontal="center" vertical="center"/>
    </xf>
    <xf numFmtId="0" fontId="24" fillId="7" borderId="37" xfId="0" applyFont="1" applyFill="1" applyBorder="1" applyAlignment="1">
      <alignment horizontal="center" vertical="center"/>
    </xf>
    <xf numFmtId="0" fontId="24" fillId="7" borderId="38" xfId="0" applyFont="1" applyFill="1" applyBorder="1" applyAlignment="1">
      <alignment horizontal="center" vertical="center"/>
    </xf>
    <xf numFmtId="0" fontId="12" fillId="3" borderId="9" xfId="0" quotePrefix="1" applyFont="1" applyFill="1" applyBorder="1" applyAlignment="1">
      <alignment horizontal="left" vertical="center" wrapText="1"/>
    </xf>
    <xf numFmtId="0" fontId="12" fillId="3" borderId="0" xfId="0" quotePrefix="1" applyFont="1" applyFill="1" applyAlignment="1">
      <alignment horizontal="left" vertical="center" wrapText="1"/>
    </xf>
    <xf numFmtId="0" fontId="12" fillId="3" borderId="10" xfId="0" quotePrefix="1" applyFont="1" applyFill="1" applyBorder="1" applyAlignment="1">
      <alignment horizontal="left" vertical="center" wrapText="1"/>
    </xf>
    <xf numFmtId="0" fontId="27" fillId="14" borderId="42" xfId="0" quotePrefix="1" applyFont="1" applyFill="1" applyBorder="1" applyAlignment="1">
      <alignment horizontal="center"/>
    </xf>
    <xf numFmtId="0" fontId="27" fillId="14" borderId="37" xfId="0" quotePrefix="1" applyFont="1" applyFill="1" applyBorder="1" applyAlignment="1">
      <alignment horizontal="center"/>
    </xf>
    <xf numFmtId="0" fontId="27" fillId="14" borderId="38" xfId="0" quotePrefix="1" applyFont="1" applyFill="1" applyBorder="1" applyAlignment="1">
      <alignment horizontal="center"/>
    </xf>
    <xf numFmtId="0" fontId="29" fillId="19" borderId="42" xfId="0" applyFont="1" applyFill="1" applyBorder="1" applyAlignment="1">
      <alignment horizontal="center"/>
    </xf>
    <xf numFmtId="0" fontId="29" fillId="19" borderId="37" xfId="0" applyFont="1" applyFill="1" applyBorder="1" applyAlignment="1">
      <alignment horizontal="center"/>
    </xf>
    <xf numFmtId="0" fontId="29" fillId="19" borderId="38" xfId="0" applyFont="1" applyFill="1" applyBorder="1" applyAlignment="1">
      <alignment horizontal="center"/>
    </xf>
    <xf numFmtId="0" fontId="32" fillId="14" borderId="28" xfId="0" applyFont="1" applyFill="1" applyBorder="1" applyAlignment="1">
      <alignment horizontal="center" vertical="center"/>
    </xf>
    <xf numFmtId="0" fontId="32" fillId="14" borderId="29" xfId="0" applyFont="1" applyFill="1" applyBorder="1" applyAlignment="1">
      <alignment horizontal="center" vertical="center"/>
    </xf>
    <xf numFmtId="0" fontId="32" fillId="14" borderId="30" xfId="0" applyFont="1" applyFill="1" applyBorder="1" applyAlignment="1">
      <alignment horizontal="center" vertical="center"/>
    </xf>
    <xf numFmtId="0" fontId="32" fillId="14" borderId="31" xfId="0" applyFont="1" applyFill="1" applyBorder="1" applyAlignment="1">
      <alignment horizontal="center" vertical="center"/>
    </xf>
    <xf numFmtId="0" fontId="32" fillId="14" borderId="32" xfId="0" applyFont="1" applyFill="1" applyBorder="1" applyAlignment="1">
      <alignment horizontal="center" vertical="center"/>
    </xf>
    <xf numFmtId="0" fontId="32" fillId="14" borderId="33" xfId="0" applyFont="1" applyFill="1" applyBorder="1" applyAlignment="1">
      <alignment horizontal="center" vertical="center"/>
    </xf>
    <xf numFmtId="0" fontId="21" fillId="20" borderId="42" xfId="0" quotePrefix="1" applyFont="1" applyFill="1" applyBorder="1" applyAlignment="1">
      <alignment horizontal="left" vertical="center"/>
    </xf>
    <xf numFmtId="0" fontId="21" fillId="20" borderId="37" xfId="0" quotePrefix="1" applyFont="1" applyFill="1" applyBorder="1" applyAlignment="1">
      <alignment horizontal="left" vertical="center"/>
    </xf>
    <xf numFmtId="0" fontId="21" fillId="20" borderId="38" xfId="0" quotePrefix="1" applyFont="1" applyFill="1" applyBorder="1" applyAlignment="1">
      <alignment horizontal="left" vertical="center"/>
    </xf>
    <xf numFmtId="0" fontId="24" fillId="8" borderId="42" xfId="0" applyFont="1" applyFill="1" applyBorder="1" applyAlignment="1">
      <alignment horizontal="center" vertical="center"/>
    </xf>
    <xf numFmtId="0" fontId="24" fillId="8" borderId="37" xfId="0" applyFont="1" applyFill="1" applyBorder="1" applyAlignment="1">
      <alignment horizontal="center" vertical="center"/>
    </xf>
    <xf numFmtId="0" fontId="24" fillId="8" borderId="38" xfId="0" applyFont="1" applyFill="1" applyBorder="1" applyAlignment="1">
      <alignment horizontal="center" vertical="center"/>
    </xf>
    <xf numFmtId="0" fontId="27" fillId="21" borderId="42" xfId="0" quotePrefix="1" applyFont="1" applyFill="1" applyBorder="1" applyAlignment="1">
      <alignment horizontal="center"/>
    </xf>
    <xf numFmtId="0" fontId="27" fillId="21" borderId="37" xfId="0" quotePrefix="1" applyFont="1" applyFill="1" applyBorder="1" applyAlignment="1">
      <alignment horizontal="center"/>
    </xf>
    <xf numFmtId="0" fontId="27" fillId="21" borderId="38" xfId="0" quotePrefix="1" applyFont="1" applyFill="1" applyBorder="1" applyAlignment="1">
      <alignment horizontal="center"/>
    </xf>
    <xf numFmtId="0" fontId="29" fillId="9" borderId="42" xfId="0" applyFont="1" applyFill="1" applyBorder="1" applyAlignment="1">
      <alignment horizontal="center"/>
    </xf>
    <xf numFmtId="0" fontId="29" fillId="9" borderId="37" xfId="0" applyFont="1" applyFill="1" applyBorder="1" applyAlignment="1">
      <alignment horizontal="center"/>
    </xf>
    <xf numFmtId="0" fontId="29" fillId="9" borderId="38" xfId="0" applyFont="1" applyFill="1" applyBorder="1" applyAlignment="1">
      <alignment horizontal="center"/>
    </xf>
    <xf numFmtId="0" fontId="32" fillId="21" borderId="28" xfId="0" applyFont="1" applyFill="1" applyBorder="1" applyAlignment="1">
      <alignment horizontal="center" vertical="center"/>
    </xf>
    <xf numFmtId="0" fontId="32" fillId="21" borderId="29" xfId="0" applyFont="1" applyFill="1" applyBorder="1" applyAlignment="1">
      <alignment horizontal="center" vertical="center"/>
    </xf>
    <xf numFmtId="0" fontId="32" fillId="21" borderId="30" xfId="0" applyFont="1" applyFill="1" applyBorder="1" applyAlignment="1">
      <alignment horizontal="center" vertical="center"/>
    </xf>
    <xf numFmtId="0" fontId="32" fillId="21" borderId="31" xfId="0" applyFont="1" applyFill="1" applyBorder="1" applyAlignment="1">
      <alignment horizontal="center" vertical="center"/>
    </xf>
    <xf numFmtId="0" fontId="32" fillId="21" borderId="32" xfId="0" applyFont="1" applyFill="1" applyBorder="1" applyAlignment="1">
      <alignment horizontal="center" vertical="center"/>
    </xf>
    <xf numFmtId="0" fontId="32" fillId="21" borderId="33" xfId="0" applyFont="1" applyFill="1" applyBorder="1" applyAlignment="1">
      <alignment horizontal="center" vertical="center"/>
    </xf>
    <xf numFmtId="0" fontId="21" fillId="22" borderId="42" xfId="0" quotePrefix="1" applyFont="1" applyFill="1" applyBorder="1" applyAlignment="1">
      <alignment horizontal="left" vertical="center"/>
    </xf>
    <xf numFmtId="0" fontId="21" fillId="22" borderId="37" xfId="0" quotePrefix="1" applyFont="1" applyFill="1" applyBorder="1" applyAlignment="1">
      <alignment horizontal="left" vertical="center"/>
    </xf>
    <xf numFmtId="0" fontId="21" fillId="22" borderId="38" xfId="0" quotePrefix="1" applyFont="1" applyFill="1" applyBorder="1" applyAlignment="1">
      <alignment horizontal="left" vertical="center"/>
    </xf>
    <xf numFmtId="0" fontId="24" fillId="9" borderId="42" xfId="0" applyFont="1" applyFill="1" applyBorder="1" applyAlignment="1">
      <alignment horizontal="center" vertical="center"/>
    </xf>
    <xf numFmtId="0" fontId="24" fillId="9" borderId="37" xfId="0" applyFont="1" applyFill="1" applyBorder="1" applyAlignment="1">
      <alignment horizontal="center" vertical="center"/>
    </xf>
    <xf numFmtId="0" fontId="24" fillId="9" borderId="38" xfId="0" applyFont="1" applyFill="1" applyBorder="1" applyAlignment="1">
      <alignment horizontal="center" vertical="center"/>
    </xf>
    <xf numFmtId="0" fontId="12" fillId="3" borderId="39" xfId="0" quotePrefix="1" applyFont="1" applyFill="1" applyBorder="1" applyAlignment="1">
      <alignment horizontal="left" vertical="center" wrapText="1"/>
    </xf>
    <xf numFmtId="0" fontId="12" fillId="3" borderId="37" xfId="0" quotePrefix="1" applyFont="1" applyFill="1" applyBorder="1" applyAlignment="1">
      <alignment horizontal="left" vertical="center" wrapText="1"/>
    </xf>
    <xf numFmtId="0" fontId="12" fillId="3" borderId="38" xfId="0" quotePrefix="1" applyFont="1" applyFill="1" applyBorder="1" applyAlignment="1">
      <alignment horizontal="left" vertical="center" wrapText="1"/>
    </xf>
    <xf numFmtId="0" fontId="28" fillId="23" borderId="42" xfId="0" quotePrefix="1" applyFont="1" applyFill="1" applyBorder="1" applyAlignment="1">
      <alignment horizontal="center"/>
    </xf>
    <xf numFmtId="0" fontId="28" fillId="23" borderId="37" xfId="0" quotePrefix="1" applyFont="1" applyFill="1" applyBorder="1" applyAlignment="1">
      <alignment horizontal="center"/>
    </xf>
    <xf numFmtId="0" fontId="28" fillId="23" borderId="38" xfId="0" quotePrefix="1" applyFont="1" applyFill="1" applyBorder="1" applyAlignment="1">
      <alignment horizontal="center"/>
    </xf>
    <xf numFmtId="0" fontId="3" fillId="10" borderId="42" xfId="0" applyFont="1" applyFill="1" applyBorder="1" applyAlignment="1">
      <alignment horizontal="center"/>
    </xf>
    <xf numFmtId="0" fontId="3" fillId="10" borderId="37" xfId="0" applyFont="1" applyFill="1" applyBorder="1" applyAlignment="1">
      <alignment horizontal="center"/>
    </xf>
    <xf numFmtId="0" fontId="3" fillId="10" borderId="38" xfId="0" applyFont="1" applyFill="1" applyBorder="1" applyAlignment="1">
      <alignment horizontal="center"/>
    </xf>
    <xf numFmtId="0" fontId="33" fillId="24" borderId="28" xfId="0" applyFont="1" applyFill="1" applyBorder="1" applyAlignment="1">
      <alignment horizontal="center" vertical="center"/>
    </xf>
    <xf numFmtId="0" fontId="33" fillId="24" borderId="29" xfId="0" applyFont="1" applyFill="1" applyBorder="1" applyAlignment="1">
      <alignment horizontal="center" vertical="center"/>
    </xf>
    <xf numFmtId="0" fontId="33" fillId="24" borderId="30" xfId="0" applyFont="1" applyFill="1" applyBorder="1" applyAlignment="1">
      <alignment horizontal="center" vertical="center"/>
    </xf>
    <xf numFmtId="0" fontId="33" fillId="24" borderId="31" xfId="0" applyFont="1" applyFill="1" applyBorder="1" applyAlignment="1">
      <alignment horizontal="center" vertical="center"/>
    </xf>
    <xf numFmtId="0" fontId="33" fillId="24" borderId="32" xfId="0" applyFont="1" applyFill="1" applyBorder="1" applyAlignment="1">
      <alignment horizontal="center" vertical="center"/>
    </xf>
    <xf numFmtId="0" fontId="33" fillId="24" borderId="33" xfId="0" applyFont="1" applyFill="1" applyBorder="1" applyAlignment="1">
      <alignment horizontal="center" vertical="center"/>
    </xf>
    <xf numFmtId="0" fontId="22" fillId="25" borderId="42" xfId="0" quotePrefix="1" applyFont="1" applyFill="1" applyBorder="1" applyAlignment="1">
      <alignment horizontal="left" vertical="center"/>
    </xf>
    <xf numFmtId="0" fontId="22" fillId="25" borderId="37" xfId="0" quotePrefix="1" applyFont="1" applyFill="1" applyBorder="1" applyAlignment="1">
      <alignment horizontal="left" vertical="center"/>
    </xf>
    <xf numFmtId="0" fontId="22" fillId="25" borderId="38" xfId="0" quotePrefix="1" applyFont="1" applyFill="1" applyBorder="1" applyAlignment="1">
      <alignment horizontal="left" vertical="center"/>
    </xf>
    <xf numFmtId="0" fontId="23" fillId="26" borderId="42" xfId="0" applyFont="1" applyFill="1" applyBorder="1" applyAlignment="1">
      <alignment horizontal="center" vertical="center"/>
    </xf>
    <xf numFmtId="0" fontId="23" fillId="26" borderId="37" xfId="0" applyFont="1" applyFill="1" applyBorder="1" applyAlignment="1">
      <alignment horizontal="center" vertical="center"/>
    </xf>
    <xf numFmtId="0" fontId="23" fillId="26" borderId="38" xfId="0" applyFont="1" applyFill="1" applyBorder="1" applyAlignment="1">
      <alignment horizontal="center" vertical="center"/>
    </xf>
    <xf numFmtId="0" fontId="28" fillId="27" borderId="42" xfId="0" quotePrefix="1" applyFont="1" applyFill="1" applyBorder="1" applyAlignment="1">
      <alignment horizontal="center"/>
    </xf>
    <xf numFmtId="0" fontId="28" fillId="27" borderId="37" xfId="0" quotePrefix="1" applyFont="1" applyFill="1" applyBorder="1" applyAlignment="1">
      <alignment horizontal="center"/>
    </xf>
    <xf numFmtId="0" fontId="28" fillId="27" borderId="38" xfId="0" quotePrefix="1" applyFont="1" applyFill="1" applyBorder="1" applyAlignment="1">
      <alignment horizontal="center"/>
    </xf>
    <xf numFmtId="0" fontId="3" fillId="11" borderId="42" xfId="0" applyFont="1" applyFill="1" applyBorder="1" applyAlignment="1">
      <alignment horizontal="center"/>
    </xf>
    <xf numFmtId="0" fontId="3" fillId="11" borderId="37" xfId="0" applyFont="1" applyFill="1" applyBorder="1" applyAlignment="1">
      <alignment horizontal="center"/>
    </xf>
    <xf numFmtId="0" fontId="3" fillId="11" borderId="38" xfId="0" applyFont="1" applyFill="1" applyBorder="1" applyAlignment="1">
      <alignment horizontal="center"/>
    </xf>
    <xf numFmtId="0" fontId="23" fillId="28" borderId="42" xfId="0" applyFont="1" applyFill="1" applyBorder="1" applyAlignment="1">
      <alignment horizontal="center" vertical="center"/>
    </xf>
    <xf numFmtId="0" fontId="23" fillId="28" borderId="37" xfId="0" applyFont="1" applyFill="1" applyBorder="1" applyAlignment="1">
      <alignment horizontal="center" vertical="center"/>
    </xf>
    <xf numFmtId="0" fontId="23" fillId="28" borderId="38" xfId="0" applyFont="1" applyFill="1" applyBorder="1" applyAlignment="1">
      <alignment horizontal="center" vertical="center"/>
    </xf>
    <xf numFmtId="0" fontId="33" fillId="27" borderId="28" xfId="0" applyFont="1" applyFill="1" applyBorder="1" applyAlignment="1">
      <alignment horizontal="center" vertical="center"/>
    </xf>
    <xf numFmtId="0" fontId="33" fillId="27" borderId="29" xfId="0" applyFont="1" applyFill="1" applyBorder="1" applyAlignment="1">
      <alignment horizontal="center" vertical="center"/>
    </xf>
    <xf numFmtId="0" fontId="33" fillId="27" borderId="30" xfId="0" applyFont="1" applyFill="1" applyBorder="1" applyAlignment="1">
      <alignment horizontal="center" vertical="center"/>
    </xf>
    <xf numFmtId="0" fontId="33" fillId="27" borderId="31" xfId="0" applyFont="1" applyFill="1" applyBorder="1" applyAlignment="1">
      <alignment horizontal="center" vertical="center"/>
    </xf>
    <xf numFmtId="0" fontId="33" fillId="27" borderId="32" xfId="0" applyFont="1" applyFill="1" applyBorder="1" applyAlignment="1">
      <alignment horizontal="center" vertical="center"/>
    </xf>
    <xf numFmtId="0" fontId="33" fillId="27" borderId="33" xfId="0" applyFont="1" applyFill="1" applyBorder="1" applyAlignment="1">
      <alignment horizontal="center" vertical="center"/>
    </xf>
    <xf numFmtId="0" fontId="22" fillId="29" borderId="42" xfId="0" quotePrefix="1" applyFont="1" applyFill="1" applyBorder="1" applyAlignment="1">
      <alignment horizontal="left" vertical="center"/>
    </xf>
    <xf numFmtId="0" fontId="22" fillId="29" borderId="37" xfId="0" quotePrefix="1" applyFont="1" applyFill="1" applyBorder="1" applyAlignment="1">
      <alignment horizontal="left" vertical="center"/>
    </xf>
    <xf numFmtId="0" fontId="22" fillId="29" borderId="38" xfId="0" quotePrefix="1" applyFont="1" applyFill="1" applyBorder="1" applyAlignment="1">
      <alignment horizontal="left" vertical="center"/>
    </xf>
    <xf numFmtId="0" fontId="106" fillId="39" borderId="125" xfId="0" applyFont="1" applyFill="1" applyBorder="1" applyAlignment="1">
      <alignment horizontal="center" vertical="center"/>
    </xf>
    <xf numFmtId="0" fontId="106" fillId="39" borderId="169" xfId="0" applyFont="1" applyFill="1" applyBorder="1" applyAlignment="1">
      <alignment horizontal="center" vertical="center"/>
    </xf>
    <xf numFmtId="0" fontId="71" fillId="40" borderId="174" xfId="0" applyFont="1" applyFill="1" applyBorder="1" applyAlignment="1">
      <alignment horizontal="center" vertical="center" wrapText="1"/>
    </xf>
    <xf numFmtId="17" fontId="101" fillId="39" borderId="130" xfId="0" applyNumberFormat="1" applyFont="1" applyFill="1" applyBorder="1" applyAlignment="1">
      <alignment horizontal="left" vertical="center"/>
    </xf>
    <xf numFmtId="17" fontId="73" fillId="0" borderId="217" xfId="1" applyNumberFormat="1" applyFont="1" applyBorder="1" applyAlignment="1">
      <alignment horizontal="left" vertical="center"/>
    </xf>
    <xf numFmtId="166" fontId="74" fillId="0" borderId="218" xfId="0" applyNumberFormat="1" applyFont="1" applyBorder="1" applyAlignment="1">
      <alignment horizontal="right"/>
    </xf>
    <xf numFmtId="2" fontId="74" fillId="0" borderId="218" xfId="0" applyNumberFormat="1" applyFont="1" applyBorder="1" applyAlignment="1">
      <alignment horizontal="right"/>
    </xf>
    <xf numFmtId="40" fontId="74" fillId="0" borderId="218" xfId="0" applyNumberFormat="1" applyFont="1" applyBorder="1" applyAlignment="1">
      <alignment horizontal="right"/>
    </xf>
    <xf numFmtId="2" fontId="74" fillId="0" borderId="218" xfId="0" applyNumberFormat="1" applyFont="1" applyBorder="1"/>
    <xf numFmtId="2" fontId="74" fillId="0" borderId="219" xfId="0" applyNumberFormat="1" applyFont="1" applyBorder="1"/>
    <xf numFmtId="2" fontId="74" fillId="0" borderId="90" xfId="0" applyNumberFormat="1" applyFont="1" applyBorder="1"/>
  </cellXfs>
  <cellStyles count="48">
    <cellStyle name="20% - Ênfase1" xfId="23" builtinId="30" customBuiltin="1"/>
    <cellStyle name="20% - Ênfase2" xfId="27" builtinId="34" customBuiltin="1"/>
    <cellStyle name="20% - Ênfase3" xfId="31" builtinId="38" customBuiltin="1"/>
    <cellStyle name="20% - Ênfase4" xfId="35" builtinId="42" customBuiltin="1"/>
    <cellStyle name="20% - Ênfase5" xfId="39" builtinId="46" customBuiltin="1"/>
    <cellStyle name="20% - Ênfase6" xfId="43" builtinId="50" customBuiltin="1"/>
    <cellStyle name="40% - Ênfase1" xfId="24" builtinId="31" customBuiltin="1"/>
    <cellStyle name="40% - Ênfase2" xfId="28" builtinId="35" customBuiltin="1"/>
    <cellStyle name="40% - Ênfase3" xfId="32" builtinId="39" customBuiltin="1"/>
    <cellStyle name="40% - Ênfase4" xfId="36" builtinId="43" customBuiltin="1"/>
    <cellStyle name="40% - Ênfase5" xfId="40" builtinId="47" customBuiltin="1"/>
    <cellStyle name="40% - Ênfase6" xfId="44" builtinId="51" customBuiltin="1"/>
    <cellStyle name="60% - Ênfase1" xfId="25" builtinId="32" customBuiltin="1"/>
    <cellStyle name="60% - Ênfase2" xfId="29" builtinId="36" customBuiltin="1"/>
    <cellStyle name="60% - Ênfase3" xfId="33" builtinId="40" customBuiltin="1"/>
    <cellStyle name="60% - Ênfase4" xfId="37" builtinId="44" customBuiltin="1"/>
    <cellStyle name="60% - Ênfase5" xfId="41" builtinId="48" customBuiltin="1"/>
    <cellStyle name="60% - Ênfase6" xfId="45" builtinId="52" customBuiltin="1"/>
    <cellStyle name="Bom" xfId="11" builtinId="26" customBuiltin="1"/>
    <cellStyle name="Cálculo" xfId="16" builtinId="22" customBuiltin="1"/>
    <cellStyle name="Célula de Verificação" xfId="18" builtinId="23" customBuiltin="1"/>
    <cellStyle name="Célula Vinculada" xfId="17" builtinId="24" customBuiltin="1"/>
    <cellStyle name="Ênfase1" xfId="22" builtinId="29" customBuiltin="1"/>
    <cellStyle name="Ênfase2" xfId="26" builtinId="33" customBuiltin="1"/>
    <cellStyle name="Ênfase3" xfId="30" builtinId="37" customBuiltin="1"/>
    <cellStyle name="Ênfase4" xfId="34" builtinId="41" customBuiltin="1"/>
    <cellStyle name="Ênfase5" xfId="38" builtinId="45" customBuiltin="1"/>
    <cellStyle name="Ênfase6" xfId="42" builtinId="49" customBuiltin="1"/>
    <cellStyle name="Entrada" xfId="14" builtinId="20" customBuiltin="1"/>
    <cellStyle name="Neutro" xfId="13" builtinId="28" customBuiltin="1"/>
    <cellStyle name="Normal" xfId="0" builtinId="0"/>
    <cellStyle name="Normal 2" xfId="46" xr:uid="{FEC06B45-1628-4EBF-AEC3-30BAAD1EF4B2}"/>
    <cellStyle name="Normal 3" xfId="1" xr:uid="{00000000-0005-0000-0000-000001000000}"/>
    <cellStyle name="Normal_cub_geral" xfId="5" xr:uid="{1221E036-7C57-4AA9-9748-4A720C90453A}"/>
    <cellStyle name="Normal_geral" xfId="2" xr:uid="{00000000-0005-0000-0000-000002000000}"/>
    <cellStyle name="Nota 2" xfId="47" xr:uid="{04EC2792-3634-4E12-A668-94E9A1A40790}"/>
    <cellStyle name="Porcentagem" xfId="3" builtinId="5"/>
    <cellStyle name="Ruim" xfId="12" builtinId="27" customBuiltin="1"/>
    <cellStyle name="Saída" xfId="15" builtinId="21" customBuiltin="1"/>
    <cellStyle name="Texto de Aviso"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ítulo 4" xfId="10" builtinId="19" customBuiltin="1"/>
    <cellStyle name="Total" xfId="21" builtinId="25" customBuiltin="1"/>
    <cellStyle name="Vírgula" xfId="4" builtinId="3"/>
  </cellStyles>
  <dxfs count="0"/>
  <tableStyles count="0" defaultTableStyle="TableStyleMedium2" defaultPivotStyle="PivotStyleLight16"/>
  <colors>
    <mruColors>
      <color rgb="FF184782"/>
      <color rgb="FFCF9E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8.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4.xml"/><Relationship Id="rId84" Type="http://schemas.openxmlformats.org/officeDocument/2006/relationships/externalLink" Target="externalLinks/externalLink35.xml"/><Relationship Id="rId138" Type="http://schemas.openxmlformats.org/officeDocument/2006/relationships/externalLink" Target="externalLinks/externalLink89.xml"/><Relationship Id="rId159" Type="http://schemas.openxmlformats.org/officeDocument/2006/relationships/externalLink" Target="externalLinks/externalLink110.xml"/><Relationship Id="rId170" Type="http://schemas.openxmlformats.org/officeDocument/2006/relationships/externalLink" Target="externalLinks/externalLink121.xml"/><Relationship Id="rId107" Type="http://schemas.openxmlformats.org/officeDocument/2006/relationships/externalLink" Target="externalLinks/externalLink5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4.xml"/><Relationship Id="rId74" Type="http://schemas.openxmlformats.org/officeDocument/2006/relationships/externalLink" Target="externalLinks/externalLink25.xml"/><Relationship Id="rId128" Type="http://schemas.openxmlformats.org/officeDocument/2006/relationships/externalLink" Target="externalLinks/externalLink79.xml"/><Relationship Id="rId149" Type="http://schemas.openxmlformats.org/officeDocument/2006/relationships/externalLink" Target="externalLinks/externalLink100.xml"/><Relationship Id="rId5" Type="http://schemas.openxmlformats.org/officeDocument/2006/relationships/worksheet" Target="worksheets/sheet5.xml"/><Relationship Id="rId95" Type="http://schemas.openxmlformats.org/officeDocument/2006/relationships/externalLink" Target="externalLinks/externalLink46.xml"/><Relationship Id="rId160" Type="http://schemas.openxmlformats.org/officeDocument/2006/relationships/externalLink" Target="externalLinks/externalLink11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5.xml"/><Relationship Id="rId118" Type="http://schemas.openxmlformats.org/officeDocument/2006/relationships/externalLink" Target="externalLinks/externalLink69.xml"/><Relationship Id="rId139" Type="http://schemas.openxmlformats.org/officeDocument/2006/relationships/externalLink" Target="externalLinks/externalLink90.xml"/><Relationship Id="rId85" Type="http://schemas.openxmlformats.org/officeDocument/2006/relationships/externalLink" Target="externalLinks/externalLink36.xml"/><Relationship Id="rId150" Type="http://schemas.openxmlformats.org/officeDocument/2006/relationships/externalLink" Target="externalLinks/externalLink101.xml"/><Relationship Id="rId171" Type="http://schemas.openxmlformats.org/officeDocument/2006/relationships/externalLink" Target="externalLinks/externalLink12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9.xml"/><Relationship Id="rId129" Type="http://schemas.openxmlformats.org/officeDocument/2006/relationships/externalLink" Target="externalLinks/externalLink80.xml"/><Relationship Id="rId54" Type="http://schemas.openxmlformats.org/officeDocument/2006/relationships/externalLink" Target="externalLinks/externalLink5.xml"/><Relationship Id="rId75" Type="http://schemas.openxmlformats.org/officeDocument/2006/relationships/externalLink" Target="externalLinks/externalLink26.xml"/><Relationship Id="rId96" Type="http://schemas.openxmlformats.org/officeDocument/2006/relationships/externalLink" Target="externalLinks/externalLink47.xml"/><Relationship Id="rId140" Type="http://schemas.openxmlformats.org/officeDocument/2006/relationships/externalLink" Target="externalLinks/externalLink91.xml"/><Relationship Id="rId161" Type="http://schemas.openxmlformats.org/officeDocument/2006/relationships/externalLink" Target="externalLinks/externalLink11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5.xml"/><Relationship Id="rId119" Type="http://schemas.openxmlformats.org/officeDocument/2006/relationships/externalLink" Target="externalLinks/externalLink70.xml"/><Relationship Id="rId44" Type="http://schemas.openxmlformats.org/officeDocument/2006/relationships/worksheet" Target="worksheets/sheet44.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81" Type="http://schemas.openxmlformats.org/officeDocument/2006/relationships/externalLink" Target="externalLinks/externalLink32.xml"/><Relationship Id="rId86" Type="http://schemas.openxmlformats.org/officeDocument/2006/relationships/externalLink" Target="externalLinks/externalLink37.xml"/><Relationship Id="rId130" Type="http://schemas.openxmlformats.org/officeDocument/2006/relationships/externalLink" Target="externalLinks/externalLink81.xml"/><Relationship Id="rId135" Type="http://schemas.openxmlformats.org/officeDocument/2006/relationships/externalLink" Target="externalLinks/externalLink86.xml"/><Relationship Id="rId151" Type="http://schemas.openxmlformats.org/officeDocument/2006/relationships/externalLink" Target="externalLinks/externalLink102.xml"/><Relationship Id="rId156" Type="http://schemas.openxmlformats.org/officeDocument/2006/relationships/externalLink" Target="externalLinks/externalLink107.xml"/><Relationship Id="rId172" Type="http://schemas.openxmlformats.org/officeDocument/2006/relationships/externalLink" Target="externalLinks/externalLink12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0.xml"/><Relationship Id="rId34" Type="http://schemas.openxmlformats.org/officeDocument/2006/relationships/worksheet" Target="worksheets/sheet34.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6" Type="http://schemas.openxmlformats.org/officeDocument/2006/relationships/externalLink" Target="externalLinks/externalLink27.xml"/><Relationship Id="rId97" Type="http://schemas.openxmlformats.org/officeDocument/2006/relationships/externalLink" Target="externalLinks/externalLink48.xml"/><Relationship Id="rId104" Type="http://schemas.openxmlformats.org/officeDocument/2006/relationships/externalLink" Target="externalLinks/externalLink55.xml"/><Relationship Id="rId120" Type="http://schemas.openxmlformats.org/officeDocument/2006/relationships/externalLink" Target="externalLinks/externalLink71.xml"/><Relationship Id="rId125" Type="http://schemas.openxmlformats.org/officeDocument/2006/relationships/externalLink" Target="externalLinks/externalLink76.xml"/><Relationship Id="rId141" Type="http://schemas.openxmlformats.org/officeDocument/2006/relationships/externalLink" Target="externalLinks/externalLink92.xml"/><Relationship Id="rId146" Type="http://schemas.openxmlformats.org/officeDocument/2006/relationships/externalLink" Target="externalLinks/externalLink97.xml"/><Relationship Id="rId167" Type="http://schemas.openxmlformats.org/officeDocument/2006/relationships/externalLink" Target="externalLinks/externalLink118.xml"/><Relationship Id="rId7" Type="http://schemas.openxmlformats.org/officeDocument/2006/relationships/worksheet" Target="worksheets/sheet7.xml"/><Relationship Id="rId71" Type="http://schemas.openxmlformats.org/officeDocument/2006/relationships/externalLink" Target="externalLinks/externalLink22.xml"/><Relationship Id="rId92" Type="http://schemas.openxmlformats.org/officeDocument/2006/relationships/externalLink" Target="externalLinks/externalLink43.xml"/><Relationship Id="rId162" Type="http://schemas.openxmlformats.org/officeDocument/2006/relationships/externalLink" Target="externalLinks/externalLink11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7.xml"/><Relationship Id="rId87" Type="http://schemas.openxmlformats.org/officeDocument/2006/relationships/externalLink" Target="externalLinks/externalLink38.xml"/><Relationship Id="rId110" Type="http://schemas.openxmlformats.org/officeDocument/2006/relationships/externalLink" Target="externalLinks/externalLink61.xml"/><Relationship Id="rId115" Type="http://schemas.openxmlformats.org/officeDocument/2006/relationships/externalLink" Target="externalLinks/externalLink66.xml"/><Relationship Id="rId131" Type="http://schemas.openxmlformats.org/officeDocument/2006/relationships/externalLink" Target="externalLinks/externalLink82.xml"/><Relationship Id="rId136" Type="http://schemas.openxmlformats.org/officeDocument/2006/relationships/externalLink" Target="externalLinks/externalLink87.xml"/><Relationship Id="rId157" Type="http://schemas.openxmlformats.org/officeDocument/2006/relationships/externalLink" Target="externalLinks/externalLink108.xml"/><Relationship Id="rId61" Type="http://schemas.openxmlformats.org/officeDocument/2006/relationships/externalLink" Target="externalLinks/externalLink12.xml"/><Relationship Id="rId82" Type="http://schemas.openxmlformats.org/officeDocument/2006/relationships/externalLink" Target="externalLinks/externalLink33.xml"/><Relationship Id="rId152" Type="http://schemas.openxmlformats.org/officeDocument/2006/relationships/externalLink" Target="externalLinks/externalLink103.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7.xml"/><Relationship Id="rId77" Type="http://schemas.openxmlformats.org/officeDocument/2006/relationships/externalLink" Target="externalLinks/externalLink28.xml"/><Relationship Id="rId100" Type="http://schemas.openxmlformats.org/officeDocument/2006/relationships/externalLink" Target="externalLinks/externalLink51.xml"/><Relationship Id="rId105" Type="http://schemas.openxmlformats.org/officeDocument/2006/relationships/externalLink" Target="externalLinks/externalLink56.xml"/><Relationship Id="rId126" Type="http://schemas.openxmlformats.org/officeDocument/2006/relationships/externalLink" Target="externalLinks/externalLink77.xml"/><Relationship Id="rId147" Type="http://schemas.openxmlformats.org/officeDocument/2006/relationships/externalLink" Target="externalLinks/externalLink98.xml"/><Relationship Id="rId168" Type="http://schemas.openxmlformats.org/officeDocument/2006/relationships/externalLink" Target="externalLinks/externalLink119.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93" Type="http://schemas.openxmlformats.org/officeDocument/2006/relationships/externalLink" Target="externalLinks/externalLink44.xml"/><Relationship Id="rId98" Type="http://schemas.openxmlformats.org/officeDocument/2006/relationships/externalLink" Target="externalLinks/externalLink49.xml"/><Relationship Id="rId121" Type="http://schemas.openxmlformats.org/officeDocument/2006/relationships/externalLink" Target="externalLinks/externalLink72.xml"/><Relationship Id="rId142" Type="http://schemas.openxmlformats.org/officeDocument/2006/relationships/externalLink" Target="externalLinks/externalLink93.xml"/><Relationship Id="rId163" Type="http://schemas.openxmlformats.org/officeDocument/2006/relationships/externalLink" Target="externalLinks/externalLink1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8.xml"/><Relationship Id="rId116" Type="http://schemas.openxmlformats.org/officeDocument/2006/relationships/externalLink" Target="externalLinks/externalLink67.xml"/><Relationship Id="rId137" Type="http://schemas.openxmlformats.org/officeDocument/2006/relationships/externalLink" Target="externalLinks/externalLink88.xml"/><Relationship Id="rId158" Type="http://schemas.openxmlformats.org/officeDocument/2006/relationships/externalLink" Target="externalLinks/externalLink10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3.xml"/><Relationship Id="rId83" Type="http://schemas.openxmlformats.org/officeDocument/2006/relationships/externalLink" Target="externalLinks/externalLink34.xml"/><Relationship Id="rId88" Type="http://schemas.openxmlformats.org/officeDocument/2006/relationships/externalLink" Target="externalLinks/externalLink39.xml"/><Relationship Id="rId111" Type="http://schemas.openxmlformats.org/officeDocument/2006/relationships/externalLink" Target="externalLinks/externalLink62.xml"/><Relationship Id="rId132" Type="http://schemas.openxmlformats.org/officeDocument/2006/relationships/externalLink" Target="externalLinks/externalLink83.xml"/><Relationship Id="rId153" Type="http://schemas.openxmlformats.org/officeDocument/2006/relationships/externalLink" Target="externalLinks/externalLink104.xml"/><Relationship Id="rId17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8.xml"/><Relationship Id="rId106" Type="http://schemas.openxmlformats.org/officeDocument/2006/relationships/externalLink" Target="externalLinks/externalLink57.xml"/><Relationship Id="rId127" Type="http://schemas.openxmlformats.org/officeDocument/2006/relationships/externalLink" Target="externalLinks/externalLink7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3.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94" Type="http://schemas.openxmlformats.org/officeDocument/2006/relationships/externalLink" Target="externalLinks/externalLink45.xml"/><Relationship Id="rId99" Type="http://schemas.openxmlformats.org/officeDocument/2006/relationships/externalLink" Target="externalLinks/externalLink50.xml"/><Relationship Id="rId101" Type="http://schemas.openxmlformats.org/officeDocument/2006/relationships/externalLink" Target="externalLinks/externalLink52.xml"/><Relationship Id="rId122" Type="http://schemas.openxmlformats.org/officeDocument/2006/relationships/externalLink" Target="externalLinks/externalLink73.xml"/><Relationship Id="rId143" Type="http://schemas.openxmlformats.org/officeDocument/2006/relationships/externalLink" Target="externalLinks/externalLink94.xml"/><Relationship Id="rId148" Type="http://schemas.openxmlformats.org/officeDocument/2006/relationships/externalLink" Target="externalLinks/externalLink99.xml"/><Relationship Id="rId164" Type="http://schemas.openxmlformats.org/officeDocument/2006/relationships/externalLink" Target="externalLinks/externalLink115.xml"/><Relationship Id="rId169" Type="http://schemas.openxmlformats.org/officeDocument/2006/relationships/externalLink" Target="externalLinks/externalLink12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9.xml"/><Relationship Id="rId89" Type="http://schemas.openxmlformats.org/officeDocument/2006/relationships/externalLink" Target="externalLinks/externalLink40.xml"/><Relationship Id="rId112" Type="http://schemas.openxmlformats.org/officeDocument/2006/relationships/externalLink" Target="externalLinks/externalLink63.xml"/><Relationship Id="rId133" Type="http://schemas.openxmlformats.org/officeDocument/2006/relationships/externalLink" Target="externalLinks/externalLink84.xml"/><Relationship Id="rId154" Type="http://schemas.openxmlformats.org/officeDocument/2006/relationships/externalLink" Target="externalLinks/externalLink105.xml"/><Relationship Id="rId175"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9.xml"/><Relationship Id="rId79" Type="http://schemas.openxmlformats.org/officeDocument/2006/relationships/externalLink" Target="externalLinks/externalLink30.xml"/><Relationship Id="rId102" Type="http://schemas.openxmlformats.org/officeDocument/2006/relationships/externalLink" Target="externalLinks/externalLink53.xml"/><Relationship Id="rId123" Type="http://schemas.openxmlformats.org/officeDocument/2006/relationships/externalLink" Target="externalLinks/externalLink74.xml"/><Relationship Id="rId144" Type="http://schemas.openxmlformats.org/officeDocument/2006/relationships/externalLink" Target="externalLinks/externalLink95.xml"/><Relationship Id="rId90" Type="http://schemas.openxmlformats.org/officeDocument/2006/relationships/externalLink" Target="externalLinks/externalLink41.xml"/><Relationship Id="rId165" Type="http://schemas.openxmlformats.org/officeDocument/2006/relationships/externalLink" Target="externalLinks/externalLink11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20.xml"/><Relationship Id="rId113" Type="http://schemas.openxmlformats.org/officeDocument/2006/relationships/externalLink" Target="externalLinks/externalLink64.xml"/><Relationship Id="rId134" Type="http://schemas.openxmlformats.org/officeDocument/2006/relationships/externalLink" Target="externalLinks/externalLink85.xml"/><Relationship Id="rId80" Type="http://schemas.openxmlformats.org/officeDocument/2006/relationships/externalLink" Target="externalLinks/externalLink31.xml"/><Relationship Id="rId155" Type="http://schemas.openxmlformats.org/officeDocument/2006/relationships/externalLink" Target="externalLinks/externalLink106.xml"/><Relationship Id="rId176"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10.xml"/><Relationship Id="rId103" Type="http://schemas.openxmlformats.org/officeDocument/2006/relationships/externalLink" Target="externalLinks/externalLink54.xml"/><Relationship Id="rId124" Type="http://schemas.openxmlformats.org/officeDocument/2006/relationships/externalLink" Target="externalLinks/externalLink75.xml"/><Relationship Id="rId70" Type="http://schemas.openxmlformats.org/officeDocument/2006/relationships/externalLink" Target="externalLinks/externalLink21.xml"/><Relationship Id="rId91" Type="http://schemas.openxmlformats.org/officeDocument/2006/relationships/externalLink" Target="externalLinks/externalLink42.xml"/><Relationship Id="rId145" Type="http://schemas.openxmlformats.org/officeDocument/2006/relationships/externalLink" Target="externalLinks/externalLink96.xml"/><Relationship Id="rId166" Type="http://schemas.openxmlformats.org/officeDocument/2006/relationships/externalLink" Target="externalLinks/externalLink117.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2.jpeg"/></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openxmlformats.org/officeDocument/2006/relationships/image" Target="../media/image4.jpeg"/><Relationship Id="rId1" Type="http://schemas.openxmlformats.org/officeDocument/2006/relationships/image" Target="../media/image3.jpeg"/></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openxmlformats.org/officeDocument/2006/relationships/image" Target="../media/image4.jpeg"/><Relationship Id="rId1" Type="http://schemas.openxmlformats.org/officeDocument/2006/relationships/image" Target="../media/image3.jpeg"/></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image" Target="../media/image5.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pt-BR"/>
              <a:t>PREÇO DO LITRO DO ÓLEO DIESEL NA BOMBA 
(EM REAIS)</a:t>
            </a:r>
          </a:p>
        </c:rich>
      </c:tx>
      <c:layout>
        <c:manualLayout>
          <c:xMode val="edge"/>
          <c:yMode val="edge"/>
          <c:x val="0.36354289522654176"/>
          <c:y val="1.6118031435447013E-2"/>
        </c:manualLayout>
      </c:layout>
      <c:overlay val="0"/>
      <c:spPr>
        <a:noFill/>
        <a:ln w="25400">
          <a:noFill/>
        </a:ln>
      </c:spPr>
    </c:title>
    <c:autoTitleDeleted val="0"/>
    <c:plotArea>
      <c:layout>
        <c:manualLayout>
          <c:layoutTarget val="inner"/>
          <c:xMode val="edge"/>
          <c:yMode val="edge"/>
          <c:x val="8.6502184358237033E-2"/>
          <c:y val="0.14736595939880734"/>
          <c:w val="0.87904922482965198"/>
          <c:h val="0.60788458252008026"/>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dLbls>
            <c:dLbl>
              <c:idx val="28"/>
              <c:layout>
                <c:manualLayout>
                  <c:x val="-1.8717313785448983E-2"/>
                  <c:y val="-3.6851374104075151E-2"/>
                </c:manualLayout>
              </c:layout>
              <c:spPr/>
              <c:txPr>
                <a:bodyPr/>
                <a:lstStyle/>
                <a:p>
                  <a:pPr>
                    <a:defRPr sz="1125" b="1" i="0" u="none" strike="noStrike" baseline="0">
                      <a:solidFill>
                        <a:srgbClr val="000000"/>
                      </a:solidFill>
                      <a:latin typeface="Arial"/>
                      <a:ea typeface="Arial"/>
                      <a:cs typeface="Arial"/>
                    </a:defRPr>
                  </a:pPr>
                  <a:endParaRPr lang="pt-B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89-4E95-A890-155BCE4B56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Diesel_S500!$B$205:$B$238</c:f>
              <c:strCache>
                <c:ptCount val="33"/>
                <c:pt idx="0">
                  <c:v>JANEIRO|11</c:v>
                </c:pt>
                <c:pt idx="1">
                  <c:v>FEVEREIRO|11</c:v>
                </c:pt>
                <c:pt idx="2">
                  <c:v>MARÇO|11</c:v>
                </c:pt>
                <c:pt idx="3">
                  <c:v>ABRIL|11</c:v>
                </c:pt>
                <c:pt idx="4">
                  <c:v>MAIO|11</c:v>
                </c:pt>
                <c:pt idx="5">
                  <c:v>JUNHO|11</c:v>
                </c:pt>
                <c:pt idx="6">
                  <c:v>JULHO|11</c:v>
                </c:pt>
                <c:pt idx="7">
                  <c:v>AGOSTO|11</c:v>
                </c:pt>
                <c:pt idx="8">
                  <c:v>SETEMBRO|11</c:v>
                </c:pt>
                <c:pt idx="9">
                  <c:v>OUTUBRO|11</c:v>
                </c:pt>
                <c:pt idx="10">
                  <c:v>NOVEMBRO|11</c:v>
                </c:pt>
                <c:pt idx="11">
                  <c:v>DEZEMBRO|11</c:v>
                </c:pt>
                <c:pt idx="12">
                  <c:v>JANEIRO|12</c:v>
                </c:pt>
                <c:pt idx="13">
                  <c:v>FEVEREIRO|12</c:v>
                </c:pt>
                <c:pt idx="14">
                  <c:v>MARÇO|12</c:v>
                </c:pt>
                <c:pt idx="15">
                  <c:v>ABRIL|12</c:v>
                </c:pt>
                <c:pt idx="16">
                  <c:v>MAIO|12</c:v>
                </c:pt>
                <c:pt idx="17">
                  <c:v>JUNHO|12</c:v>
                </c:pt>
                <c:pt idx="18">
                  <c:v>JULHO|12</c:v>
                </c:pt>
                <c:pt idx="19">
                  <c:v>AGOSTO|12</c:v>
                </c:pt>
                <c:pt idx="20">
                  <c:v>SETEMBRO|12</c:v>
                </c:pt>
                <c:pt idx="21">
                  <c:v>OUTUBRO|12</c:v>
                </c:pt>
                <c:pt idx="22">
                  <c:v>NOVEMBRO|12</c:v>
                </c:pt>
                <c:pt idx="23">
                  <c:v>DEZEMBRO|12</c:v>
                </c:pt>
                <c:pt idx="24">
                  <c:v>JANEIRO|13</c:v>
                </c:pt>
                <c:pt idx="25">
                  <c:v>FEVEREIRO|13</c:v>
                </c:pt>
                <c:pt idx="26">
                  <c:v>MARÇO|13</c:v>
                </c:pt>
                <c:pt idx="27">
                  <c:v>ABRIL|13</c:v>
                </c:pt>
                <c:pt idx="28">
                  <c:v>MAIO|13</c:v>
                </c:pt>
                <c:pt idx="29">
                  <c:v>JUNHO|13</c:v>
                </c:pt>
                <c:pt idx="30">
                  <c:v>JULHO|13</c:v>
                </c:pt>
                <c:pt idx="31">
                  <c:v>AGOSTO|13</c:v>
                </c:pt>
                <c:pt idx="32">
                  <c:v>SETEMBRO|13</c:v>
                </c:pt>
              </c:strCache>
            </c:strRef>
          </c:cat>
          <c:val>
            <c:numRef>
              <c:f>Diesel_S500!$C$205:$C$238</c:f>
              <c:numCache>
                <c:formatCode>#,##0.000</c:formatCode>
                <c:ptCount val="33"/>
                <c:pt idx="0">
                  <c:v>1.9950000000000001</c:v>
                </c:pt>
                <c:pt idx="1">
                  <c:v>2</c:v>
                </c:pt>
                <c:pt idx="2">
                  <c:v>2.008</c:v>
                </c:pt>
                <c:pt idx="3">
                  <c:v>2.012</c:v>
                </c:pt>
                <c:pt idx="4">
                  <c:v>2.0099999999999998</c:v>
                </c:pt>
                <c:pt idx="5">
                  <c:v>2.008</c:v>
                </c:pt>
                <c:pt idx="6">
                  <c:v>2.0089999999999999</c:v>
                </c:pt>
                <c:pt idx="7">
                  <c:v>2.0089999999999999</c:v>
                </c:pt>
                <c:pt idx="8">
                  <c:v>2.0259999999999998</c:v>
                </c:pt>
                <c:pt idx="9">
                  <c:v>2.0299999999999998</c:v>
                </c:pt>
                <c:pt idx="10">
                  <c:v>2.0310000000000001</c:v>
                </c:pt>
                <c:pt idx="11">
                  <c:v>2.0329999999999999</c:v>
                </c:pt>
                <c:pt idx="12">
                  <c:v>2.04</c:v>
                </c:pt>
                <c:pt idx="13">
                  <c:v>2.0409999999999999</c:v>
                </c:pt>
                <c:pt idx="14">
                  <c:v>2.0430000000000001</c:v>
                </c:pt>
                <c:pt idx="15">
                  <c:v>2.0459999999999998</c:v>
                </c:pt>
                <c:pt idx="16">
                  <c:v>2.0470000000000002</c:v>
                </c:pt>
                <c:pt idx="17">
                  <c:v>2.0430000000000001</c:v>
                </c:pt>
                <c:pt idx="18">
                  <c:v>2.1039999999999996</c:v>
                </c:pt>
                <c:pt idx="19">
                  <c:v>2.1320000000000001</c:v>
                </c:pt>
                <c:pt idx="20">
                  <c:v>2.1379999999999999</c:v>
                </c:pt>
                <c:pt idx="21">
                  <c:v>2.1460000000000004</c:v>
                </c:pt>
                <c:pt idx="22">
                  <c:v>2.15</c:v>
                </c:pt>
                <c:pt idx="23">
                  <c:v>2.1520000000000006</c:v>
                </c:pt>
                <c:pt idx="24">
                  <c:v>2.1640000000000001</c:v>
                </c:pt>
                <c:pt idx="25">
                  <c:v>2.2549999999999994</c:v>
                </c:pt>
                <c:pt idx="26">
                  <c:v>2.3210000000000002</c:v>
                </c:pt>
                <c:pt idx="27">
                  <c:v>2.3340000000000001</c:v>
                </c:pt>
                <c:pt idx="28">
                  <c:v>2.3340000000000001</c:v>
                </c:pt>
                <c:pt idx="29">
                  <c:v>2.3340000000000001</c:v>
                </c:pt>
                <c:pt idx="30">
                  <c:v>2.3330000000000006</c:v>
                </c:pt>
                <c:pt idx="31">
                  <c:v>2.331</c:v>
                </c:pt>
                <c:pt idx="32">
                  <c:v>2.3300000000000005</c:v>
                </c:pt>
              </c:numCache>
            </c:numRef>
          </c:val>
          <c:smooth val="1"/>
          <c:extLst>
            <c:ext xmlns:c16="http://schemas.microsoft.com/office/drawing/2014/chart" uri="{C3380CC4-5D6E-409C-BE32-E72D297353CC}">
              <c16:uniqueId val="{00000001-6B89-4E95-A890-155BCE4B56B1}"/>
            </c:ext>
          </c:extLst>
        </c:ser>
        <c:dLbls>
          <c:showLegendKey val="0"/>
          <c:showVal val="0"/>
          <c:showCatName val="0"/>
          <c:showSerName val="0"/>
          <c:showPercent val="0"/>
          <c:showBubbleSize val="0"/>
        </c:dLbls>
        <c:marker val="1"/>
        <c:smooth val="0"/>
        <c:axId val="183018624"/>
        <c:axId val="183020160"/>
      </c:lineChart>
      <c:catAx>
        <c:axId val="183018624"/>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75" b="1" i="0" u="none" strike="noStrike" baseline="0">
                <a:solidFill>
                  <a:srgbClr val="000000"/>
                </a:solidFill>
                <a:latin typeface="Arial"/>
                <a:ea typeface="Arial"/>
                <a:cs typeface="Arial"/>
              </a:defRPr>
            </a:pPr>
            <a:endParaRPr lang="pt-BR"/>
          </a:p>
        </c:txPr>
        <c:crossAx val="183020160"/>
        <c:crosses val="autoZero"/>
        <c:auto val="1"/>
        <c:lblAlgn val="ctr"/>
        <c:lblOffset val="100"/>
        <c:tickLblSkip val="5"/>
        <c:tickMarkSkip val="1"/>
        <c:noMultiLvlLbl val="0"/>
      </c:catAx>
      <c:valAx>
        <c:axId val="183020160"/>
        <c:scaling>
          <c:orientation val="minMax"/>
        </c:scaling>
        <c:delete val="0"/>
        <c:axPos val="l"/>
        <c:title>
          <c:tx>
            <c:rich>
              <a:bodyPr/>
              <a:lstStyle/>
              <a:p>
                <a:pPr>
                  <a:defRPr sz="1125" b="1" i="0" u="none" strike="noStrike" baseline="0">
                    <a:solidFill>
                      <a:srgbClr val="FF0000"/>
                    </a:solidFill>
                    <a:latin typeface="Arial"/>
                    <a:ea typeface="Arial"/>
                    <a:cs typeface="Arial"/>
                  </a:defRPr>
                </a:pPr>
                <a:r>
                  <a:rPr lang="pt-BR"/>
                  <a:t>R$/LITRO</a:t>
                </a:r>
              </a:p>
            </c:rich>
          </c:tx>
          <c:layout>
            <c:manualLayout>
              <c:xMode val="edge"/>
              <c:yMode val="edge"/>
              <c:x val="5.844668845780868E-3"/>
              <c:y val="0.36841495274984387"/>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950" b="1" i="0" u="none" strike="noStrike" baseline="0">
                <a:solidFill>
                  <a:srgbClr val="000000"/>
                </a:solidFill>
                <a:latin typeface="Arial"/>
                <a:ea typeface="Arial"/>
                <a:cs typeface="Arial"/>
              </a:defRPr>
            </a:pPr>
            <a:endParaRPr lang="pt-BR"/>
          </a:p>
        </c:txPr>
        <c:crossAx val="183018624"/>
        <c:crosses val="autoZero"/>
        <c:crossBetween val="between"/>
      </c:valAx>
      <c:spPr>
        <a:blipFill dpi="0" rotWithShape="0">
          <a:blip xmlns:r="http://schemas.openxmlformats.org/officeDocument/2006/relationships" r:embed="rId1"/>
          <a:srcRect/>
          <a:tile tx="0" ty="0" sx="100000" sy="100000" flip="none" algn="tl"/>
        </a:blip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125" b="1"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paperSize="9" orientation="landscape" horizontalDpi="300" verticalDpi="300"/>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0" i="0" u="none" strike="noStrike" baseline="0">
                <a:solidFill>
                  <a:srgbClr val="000000"/>
                </a:solidFill>
                <a:latin typeface="Arial"/>
                <a:ea typeface="Arial"/>
                <a:cs typeface="Arial"/>
              </a:defRPr>
            </a:pPr>
            <a:r>
              <a:rPr lang="pt-BR" sz="1200" b="1" i="0" u="none" strike="noStrike" baseline="0">
                <a:solidFill>
                  <a:srgbClr val="000000"/>
                </a:solidFill>
                <a:latin typeface="Arial"/>
                <a:cs typeface="Arial"/>
              </a:rPr>
              <a:t>EVOLUÇÃO DO PREÇO DO PNEU 750/20 R - VEÍCULO 3/4 DISTRIBUIÇÃO E COLETA</a:t>
            </a:r>
          </a:p>
          <a:p>
            <a:pPr>
              <a:defRPr sz="1550" b="0" i="0" u="none" strike="noStrike" baseline="0">
                <a:solidFill>
                  <a:srgbClr val="000000"/>
                </a:solidFill>
                <a:latin typeface="Arial"/>
                <a:ea typeface="Arial"/>
                <a:cs typeface="Arial"/>
              </a:defRPr>
            </a:pPr>
            <a:r>
              <a:rPr lang="pt-BR" sz="1050" b="1" i="0" u="none" strike="noStrike" baseline="0">
                <a:solidFill>
                  <a:srgbClr val="000000"/>
                </a:solidFill>
                <a:latin typeface="Arial"/>
                <a:cs typeface="Arial"/>
              </a:rPr>
              <a:t>VALORES EM (R$)</a:t>
            </a:r>
          </a:p>
        </c:rich>
      </c:tx>
      <c:layout>
        <c:manualLayout>
          <c:xMode val="edge"/>
          <c:yMode val="edge"/>
          <c:x val="0.1718907987866532"/>
          <c:y val="3.0567685589519649E-2"/>
        </c:manualLayout>
      </c:layout>
      <c:overlay val="0"/>
      <c:spPr>
        <a:noFill/>
        <a:ln w="25400">
          <a:noFill/>
        </a:ln>
      </c:spPr>
    </c:title>
    <c:autoTitleDeleted val="0"/>
    <c:plotArea>
      <c:layout>
        <c:manualLayout>
          <c:layoutTarget val="inner"/>
          <c:xMode val="edge"/>
          <c:yMode val="edge"/>
          <c:x val="0.10616784630940344"/>
          <c:y val="0.20524017467248909"/>
          <c:w val="0.87967644084934282"/>
          <c:h val="0.52838427947598254"/>
        </c:manualLayout>
      </c:layout>
      <c:lineChart>
        <c:grouping val="standard"/>
        <c:varyColors val="0"/>
        <c:ser>
          <c:idx val="0"/>
          <c:order val="0"/>
          <c:spPr>
            <a:ln w="12700">
              <a:solidFill>
                <a:srgbClr val="000080"/>
              </a:solidFill>
              <a:prstDash val="solid"/>
            </a:ln>
          </c:spPr>
          <c:marker>
            <c:symbol val="diamond"/>
            <c:size val="6"/>
            <c:spPr>
              <a:solidFill>
                <a:srgbClr val="000080"/>
              </a:solidFill>
              <a:ln>
                <a:solidFill>
                  <a:srgbClr val="000080"/>
                </a:solidFill>
                <a:prstDash val="solid"/>
              </a:ln>
            </c:spPr>
          </c:marker>
          <c:trendline>
            <c:spPr>
              <a:ln w="38100">
                <a:solidFill>
                  <a:srgbClr val="FF0000"/>
                </a:solidFill>
                <a:prstDash val="solid"/>
              </a:ln>
            </c:spPr>
            <c:trendlineType val="linear"/>
            <c:dispRSqr val="0"/>
            <c:dispEq val="0"/>
          </c:trendline>
          <c:cat>
            <c:numRef>
              <c:f>'Pn750'!$A$64:$A$147</c:f>
              <c:numCache>
                <c:formatCode>mmm\-yy</c:formatCode>
                <c:ptCount val="8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38596</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numCache>
            </c:numRef>
          </c:cat>
          <c:val>
            <c:numRef>
              <c:f>'Pn750'!$B$64:$B$147</c:f>
              <c:numCache>
                <c:formatCode>#,##0.00</c:formatCode>
                <c:ptCount val="84"/>
                <c:pt idx="0">
                  <c:v>334.15</c:v>
                </c:pt>
                <c:pt idx="1">
                  <c:v>333.31</c:v>
                </c:pt>
                <c:pt idx="2">
                  <c:v>341.6</c:v>
                </c:pt>
                <c:pt idx="3">
                  <c:v>351.13</c:v>
                </c:pt>
                <c:pt idx="4">
                  <c:v>351.67</c:v>
                </c:pt>
                <c:pt idx="5">
                  <c:v>351.33</c:v>
                </c:pt>
                <c:pt idx="6">
                  <c:v>349.43</c:v>
                </c:pt>
                <c:pt idx="7">
                  <c:v>332.29</c:v>
                </c:pt>
                <c:pt idx="8">
                  <c:v>387.86</c:v>
                </c:pt>
                <c:pt idx="9">
                  <c:v>328</c:v>
                </c:pt>
                <c:pt idx="10">
                  <c:v>343.69</c:v>
                </c:pt>
                <c:pt idx="11">
                  <c:v>341.4</c:v>
                </c:pt>
                <c:pt idx="12">
                  <c:v>335.11</c:v>
                </c:pt>
                <c:pt idx="13">
                  <c:v>336.6</c:v>
                </c:pt>
                <c:pt idx="14">
                  <c:v>336.6</c:v>
                </c:pt>
                <c:pt idx="15">
                  <c:v>340.34</c:v>
                </c:pt>
                <c:pt idx="16">
                  <c:v>337.75</c:v>
                </c:pt>
                <c:pt idx="17">
                  <c:v>333.38</c:v>
                </c:pt>
                <c:pt idx="18">
                  <c:v>332</c:v>
                </c:pt>
                <c:pt idx="19">
                  <c:v>335.67</c:v>
                </c:pt>
                <c:pt idx="20">
                  <c:v>320.5</c:v>
                </c:pt>
                <c:pt idx="21">
                  <c:v>327</c:v>
                </c:pt>
                <c:pt idx="22">
                  <c:v>329.24</c:v>
                </c:pt>
                <c:pt idx="23">
                  <c:v>329.62</c:v>
                </c:pt>
                <c:pt idx="24">
                  <c:v>334.57</c:v>
                </c:pt>
                <c:pt idx="25">
                  <c:v>317.13</c:v>
                </c:pt>
                <c:pt idx="26">
                  <c:v>313.70999999999998</c:v>
                </c:pt>
                <c:pt idx="27">
                  <c:v>325.60000000000002</c:v>
                </c:pt>
                <c:pt idx="28">
                  <c:v>315</c:v>
                </c:pt>
                <c:pt idx="29">
                  <c:v>317.28571428571428</c:v>
                </c:pt>
                <c:pt idx="30">
                  <c:v>445.57142857142856</c:v>
                </c:pt>
                <c:pt idx="31">
                  <c:v>447.5</c:v>
                </c:pt>
                <c:pt idx="32">
                  <c:v>436.2</c:v>
                </c:pt>
                <c:pt idx="33">
                  <c:v>439.42857142857144</c:v>
                </c:pt>
                <c:pt idx="34">
                  <c:v>437</c:v>
                </c:pt>
                <c:pt idx="35">
                  <c:v>440</c:v>
                </c:pt>
                <c:pt idx="36">
                  <c:v>438.92</c:v>
                </c:pt>
                <c:pt idx="37">
                  <c:v>441.66666666666669</c:v>
                </c:pt>
                <c:pt idx="38">
                  <c:v>440.83333333333331</c:v>
                </c:pt>
                <c:pt idx="39">
                  <c:v>444.85714285714283</c:v>
                </c:pt>
                <c:pt idx="40">
                  <c:v>459</c:v>
                </c:pt>
                <c:pt idx="41">
                  <c:v>444.6</c:v>
                </c:pt>
                <c:pt idx="42">
                  <c:v>451</c:v>
                </c:pt>
                <c:pt idx="43">
                  <c:v>454.57142857142856</c:v>
                </c:pt>
                <c:pt idx="44">
                  <c:v>459.8</c:v>
                </c:pt>
                <c:pt idx="45">
                  <c:v>482.57142857142856</c:v>
                </c:pt>
                <c:pt idx="46">
                  <c:v>477.6</c:v>
                </c:pt>
                <c:pt idx="47">
                  <c:v>489.71428571428572</c:v>
                </c:pt>
                <c:pt idx="48">
                  <c:v>489.71428571428572</c:v>
                </c:pt>
                <c:pt idx="49">
                  <c:v>490</c:v>
                </c:pt>
                <c:pt idx="50">
                  <c:v>496.6</c:v>
                </c:pt>
                <c:pt idx="51">
                  <c:v>496.6</c:v>
                </c:pt>
                <c:pt idx="52">
                  <c:v>497.42857142857144</c:v>
                </c:pt>
                <c:pt idx="53">
                  <c:v>500.85714285714283</c:v>
                </c:pt>
                <c:pt idx="54">
                  <c:v>508</c:v>
                </c:pt>
                <c:pt idx="55">
                  <c:v>510.28571428571428</c:v>
                </c:pt>
                <c:pt idx="56">
                  <c:v>513.14285714285711</c:v>
                </c:pt>
                <c:pt idx="57">
                  <c:v>518.85714285714289</c:v>
                </c:pt>
                <c:pt idx="58">
                  <c:v>525.5</c:v>
                </c:pt>
                <c:pt idx="59">
                  <c:v>532.85714285714289</c:v>
                </c:pt>
                <c:pt idx="60">
                  <c:v>532.85714285714289</c:v>
                </c:pt>
                <c:pt idx="61">
                  <c:v>519.14166666666665</c:v>
                </c:pt>
                <c:pt idx="62">
                  <c:v>528.17333333333329</c:v>
                </c:pt>
                <c:pt idx="63">
                  <c:v>508.5</c:v>
                </c:pt>
                <c:pt idx="64">
                  <c:v>540</c:v>
                </c:pt>
                <c:pt idx="65">
                  <c:v>491.1825</c:v>
                </c:pt>
                <c:pt idx="66">
                  <c:v>552.11</c:v>
                </c:pt>
                <c:pt idx="67">
                  <c:v>530.49199999999996</c:v>
                </c:pt>
                <c:pt idx="68">
                  <c:v>551.06500000000005</c:v>
                </c:pt>
                <c:pt idx="69">
                  <c:v>531.58500000000004</c:v>
                </c:pt>
                <c:pt idx="70">
                  <c:v>493.73333333333335</c:v>
                </c:pt>
                <c:pt idx="71">
                  <c:v>477.05500000000001</c:v>
                </c:pt>
                <c:pt idx="72">
                  <c:v>533.72199999999998</c:v>
                </c:pt>
                <c:pt idx="73">
                  <c:v>492.72200000000004</c:v>
                </c:pt>
                <c:pt idx="74">
                  <c:v>502.1</c:v>
                </c:pt>
                <c:pt idx="75">
                  <c:v>502.1</c:v>
                </c:pt>
                <c:pt idx="76">
                  <c:v>512.16</c:v>
                </c:pt>
                <c:pt idx="77">
                  <c:v>512.16</c:v>
                </c:pt>
                <c:pt idx="78">
                  <c:v>509.4</c:v>
                </c:pt>
                <c:pt idx="79">
                  <c:v>510.13</c:v>
                </c:pt>
                <c:pt idx="80">
                  <c:v>510.13</c:v>
                </c:pt>
                <c:pt idx="81">
                  <c:v>510.69200000000001</c:v>
                </c:pt>
                <c:pt idx="82">
                  <c:v>510.69200000000001</c:v>
                </c:pt>
                <c:pt idx="83">
                  <c:v>500.69200000000001</c:v>
                </c:pt>
              </c:numCache>
            </c:numRef>
          </c:val>
          <c:smooth val="0"/>
          <c:extLst>
            <c:ext xmlns:c16="http://schemas.microsoft.com/office/drawing/2014/chart" uri="{C3380CC4-5D6E-409C-BE32-E72D297353CC}">
              <c16:uniqueId val="{00000000-B94C-4897-89D3-910E06760A3B}"/>
            </c:ext>
          </c:extLst>
        </c:ser>
        <c:dLbls>
          <c:showLegendKey val="0"/>
          <c:showVal val="0"/>
          <c:showCatName val="0"/>
          <c:showSerName val="0"/>
          <c:showPercent val="0"/>
          <c:showBubbleSize val="0"/>
        </c:dLbls>
        <c:marker val="1"/>
        <c:smooth val="0"/>
        <c:axId val="195429888"/>
        <c:axId val="195431424"/>
      </c:lineChart>
      <c:dateAx>
        <c:axId val="195429888"/>
        <c:scaling>
          <c:orientation val="minMax"/>
          <c:min val="38443"/>
        </c:scaling>
        <c:delete val="0"/>
        <c:axPos val="b"/>
        <c:majorGridlines>
          <c:spPr>
            <a:ln w="3175">
              <a:solidFill>
                <a:srgbClr val="000000"/>
              </a:solidFill>
              <a:prstDash val="solid"/>
            </a:ln>
          </c:spPr>
        </c:majorGridlines>
        <c:title>
          <c:tx>
            <c:rich>
              <a:bodyPr/>
              <a:lstStyle/>
              <a:p>
                <a:pPr>
                  <a:defRPr sz="1550" b="1" i="0" u="none" strike="noStrike" baseline="0">
                    <a:solidFill>
                      <a:srgbClr val="000000"/>
                    </a:solidFill>
                    <a:latin typeface="Arial"/>
                    <a:ea typeface="Arial"/>
                    <a:cs typeface="Arial"/>
                  </a:defRPr>
                </a:pPr>
                <a:r>
                  <a:rPr lang="pt-BR"/>
                  <a:t>Período</a:t>
                </a:r>
              </a:p>
            </c:rich>
          </c:tx>
          <c:layout>
            <c:manualLayout>
              <c:xMode val="edge"/>
              <c:yMode val="edge"/>
              <c:x val="0.50353892821031343"/>
              <c:y val="0.886462882096069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Arial"/>
                <a:ea typeface="Arial"/>
                <a:cs typeface="Arial"/>
              </a:defRPr>
            </a:pPr>
            <a:endParaRPr lang="pt-BR"/>
          </a:p>
        </c:txPr>
        <c:crossAx val="195431424"/>
        <c:crosses val="autoZero"/>
        <c:auto val="1"/>
        <c:lblOffset val="100"/>
        <c:baseTimeUnit val="months"/>
        <c:majorUnit val="3"/>
        <c:majorTimeUnit val="months"/>
        <c:minorUnit val="1"/>
        <c:minorTimeUnit val="months"/>
      </c:dateAx>
      <c:valAx>
        <c:axId val="195431424"/>
        <c:scaling>
          <c:orientation val="minMax"/>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pt-BR"/>
                  <a:t>Valores em (R$/l)</a:t>
                </a:r>
              </a:p>
            </c:rich>
          </c:tx>
          <c:layout>
            <c:manualLayout>
              <c:xMode val="edge"/>
              <c:yMode val="edge"/>
              <c:x val="1.6177957532861477E-2"/>
              <c:y val="0.3362445414847161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pt-BR"/>
          </a:p>
        </c:txPr>
        <c:crossAx val="1954298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0" i="0" u="none" strike="noStrike" baseline="0">
                <a:solidFill>
                  <a:srgbClr val="000000"/>
                </a:solidFill>
                <a:latin typeface="Arial"/>
                <a:ea typeface="Arial"/>
                <a:cs typeface="Arial"/>
              </a:defRPr>
            </a:pPr>
            <a:r>
              <a:rPr lang="pt-BR" sz="1200" b="1" i="0" u="none" strike="noStrike" baseline="0">
                <a:solidFill>
                  <a:srgbClr val="000000"/>
                </a:solidFill>
                <a:latin typeface="Arial"/>
                <a:cs typeface="Arial"/>
              </a:rPr>
              <a:t>EVOLUÇÃO DO PREÇO DA CÂMARA 1000/20 R - VEÍCULO TRANSFERÊNCIA</a:t>
            </a:r>
          </a:p>
          <a:p>
            <a:pPr>
              <a:defRPr sz="1450" b="0" i="0" u="none" strike="noStrike" baseline="0">
                <a:solidFill>
                  <a:srgbClr val="000000"/>
                </a:solidFill>
                <a:latin typeface="Arial"/>
                <a:ea typeface="Arial"/>
                <a:cs typeface="Arial"/>
              </a:defRPr>
            </a:pPr>
            <a:r>
              <a:rPr lang="pt-BR" sz="1000" b="1" i="0" u="none" strike="noStrike" baseline="0">
                <a:solidFill>
                  <a:srgbClr val="000000"/>
                </a:solidFill>
                <a:latin typeface="Arial"/>
                <a:cs typeface="Arial"/>
              </a:rPr>
              <a:t>VALORES EM (R$)</a:t>
            </a:r>
          </a:p>
        </c:rich>
      </c:tx>
      <c:layout>
        <c:manualLayout>
          <c:xMode val="edge"/>
          <c:yMode val="edge"/>
          <c:x val="0.1785716558157503"/>
          <c:y val="3.1890660592255128E-2"/>
        </c:manualLayout>
      </c:layout>
      <c:overlay val="0"/>
      <c:spPr>
        <a:noFill/>
        <a:ln w="25400">
          <a:noFill/>
        </a:ln>
      </c:spPr>
    </c:title>
    <c:autoTitleDeleted val="0"/>
    <c:plotArea>
      <c:layout>
        <c:manualLayout>
          <c:layoutTarget val="inner"/>
          <c:xMode val="edge"/>
          <c:yMode val="edge"/>
          <c:x val="0.1125542315110841"/>
          <c:y val="0.20956743127072278"/>
          <c:w val="0.87229529421090179"/>
          <c:h val="0.52391857817680698"/>
        </c:manualLayout>
      </c:layout>
      <c:lineChart>
        <c:grouping val="standard"/>
        <c:varyColors val="0"/>
        <c:ser>
          <c:idx val="0"/>
          <c:order val="0"/>
          <c:spPr>
            <a:ln w="12700">
              <a:solidFill>
                <a:srgbClr val="000080"/>
              </a:solidFill>
              <a:prstDash val="solid"/>
            </a:ln>
          </c:spPr>
          <c:marker>
            <c:symbol val="diamond"/>
            <c:size val="6"/>
            <c:spPr>
              <a:solidFill>
                <a:srgbClr val="000080"/>
              </a:solidFill>
              <a:ln>
                <a:solidFill>
                  <a:srgbClr val="000080"/>
                </a:solidFill>
                <a:prstDash val="solid"/>
              </a:ln>
            </c:spPr>
          </c:marker>
          <c:trendline>
            <c:spPr>
              <a:ln w="38100">
                <a:solidFill>
                  <a:srgbClr val="FF0000"/>
                </a:solidFill>
                <a:prstDash val="solid"/>
              </a:ln>
            </c:spPr>
            <c:trendlineType val="linear"/>
            <c:dispRSqr val="0"/>
            <c:dispEq val="0"/>
          </c:trendline>
          <c:cat>
            <c:numRef>
              <c:f>camara1000!$A$67:$A$147</c:f>
              <c:numCache>
                <c:formatCode>mmm\-yy</c:formatCode>
                <c:ptCount val="81"/>
                <c:pt idx="0">
                  <c:v>38443</c:v>
                </c:pt>
                <c:pt idx="1">
                  <c:v>38473</c:v>
                </c:pt>
                <c:pt idx="2">
                  <c:v>38504</c:v>
                </c:pt>
                <c:pt idx="3">
                  <c:v>38534</c:v>
                </c:pt>
                <c:pt idx="4">
                  <c:v>38565</c:v>
                </c:pt>
                <c:pt idx="5">
                  <c:v>38596</c:v>
                </c:pt>
                <c:pt idx="6">
                  <c:v>38626</c:v>
                </c:pt>
                <c:pt idx="7">
                  <c:v>38657</c:v>
                </c:pt>
                <c:pt idx="8">
                  <c:v>38687</c:v>
                </c:pt>
                <c:pt idx="9">
                  <c:v>38718</c:v>
                </c:pt>
                <c:pt idx="10">
                  <c:v>38749</c:v>
                </c:pt>
                <c:pt idx="11">
                  <c:v>38777</c:v>
                </c:pt>
                <c:pt idx="12">
                  <c:v>38808</c:v>
                </c:pt>
                <c:pt idx="13">
                  <c:v>38838</c:v>
                </c:pt>
                <c:pt idx="14">
                  <c:v>38869</c:v>
                </c:pt>
                <c:pt idx="15">
                  <c:v>38899</c:v>
                </c:pt>
                <c:pt idx="16">
                  <c:v>38930</c:v>
                </c:pt>
                <c:pt idx="17">
                  <c:v>38961</c:v>
                </c:pt>
                <c:pt idx="18">
                  <c:v>38991</c:v>
                </c:pt>
                <c:pt idx="19">
                  <c:v>39022</c:v>
                </c:pt>
                <c:pt idx="20">
                  <c:v>39052</c:v>
                </c:pt>
                <c:pt idx="21">
                  <c:v>39083</c:v>
                </c:pt>
                <c:pt idx="22">
                  <c:v>39114</c:v>
                </c:pt>
                <c:pt idx="23">
                  <c:v>39142</c:v>
                </c:pt>
                <c:pt idx="24">
                  <c:v>39173</c:v>
                </c:pt>
                <c:pt idx="25">
                  <c:v>39203</c:v>
                </c:pt>
                <c:pt idx="26">
                  <c:v>39234</c:v>
                </c:pt>
                <c:pt idx="27">
                  <c:v>39264</c:v>
                </c:pt>
                <c:pt idx="28">
                  <c:v>39295</c:v>
                </c:pt>
                <c:pt idx="29">
                  <c:v>39326</c:v>
                </c:pt>
                <c:pt idx="30">
                  <c:v>39356</c:v>
                </c:pt>
                <c:pt idx="31">
                  <c:v>39387</c:v>
                </c:pt>
                <c:pt idx="32">
                  <c:v>39417</c:v>
                </c:pt>
                <c:pt idx="33">
                  <c:v>39448</c:v>
                </c:pt>
                <c:pt idx="34">
                  <c:v>39479</c:v>
                </c:pt>
                <c:pt idx="35">
                  <c:v>39508</c:v>
                </c:pt>
                <c:pt idx="36">
                  <c:v>39539</c:v>
                </c:pt>
                <c:pt idx="37">
                  <c:v>39569</c:v>
                </c:pt>
                <c:pt idx="38">
                  <c:v>39600</c:v>
                </c:pt>
                <c:pt idx="39">
                  <c:v>39630</c:v>
                </c:pt>
                <c:pt idx="40">
                  <c:v>39661</c:v>
                </c:pt>
                <c:pt idx="41">
                  <c:v>39692</c:v>
                </c:pt>
                <c:pt idx="42">
                  <c:v>39722</c:v>
                </c:pt>
                <c:pt idx="43">
                  <c:v>39753</c:v>
                </c:pt>
                <c:pt idx="44">
                  <c:v>39783</c:v>
                </c:pt>
                <c:pt idx="45">
                  <c:v>39814</c:v>
                </c:pt>
                <c:pt idx="46">
                  <c:v>39845</c:v>
                </c:pt>
                <c:pt idx="47">
                  <c:v>39873</c:v>
                </c:pt>
                <c:pt idx="48">
                  <c:v>39904</c:v>
                </c:pt>
                <c:pt idx="49">
                  <c:v>39934</c:v>
                </c:pt>
                <c:pt idx="50">
                  <c:v>39965</c:v>
                </c:pt>
                <c:pt idx="51">
                  <c:v>39995</c:v>
                </c:pt>
                <c:pt idx="52">
                  <c:v>40026</c:v>
                </c:pt>
                <c:pt idx="53">
                  <c:v>40057</c:v>
                </c:pt>
                <c:pt idx="54">
                  <c:v>40087</c:v>
                </c:pt>
                <c:pt idx="55">
                  <c:v>40118</c:v>
                </c:pt>
                <c:pt idx="56">
                  <c:v>40148</c:v>
                </c:pt>
                <c:pt idx="57">
                  <c:v>40179</c:v>
                </c:pt>
                <c:pt idx="58">
                  <c:v>40210</c:v>
                </c:pt>
                <c:pt idx="59">
                  <c:v>40238</c:v>
                </c:pt>
                <c:pt idx="60">
                  <c:v>40269</c:v>
                </c:pt>
                <c:pt idx="61">
                  <c:v>40299</c:v>
                </c:pt>
                <c:pt idx="62">
                  <c:v>40330</c:v>
                </c:pt>
                <c:pt idx="63">
                  <c:v>40360</c:v>
                </c:pt>
                <c:pt idx="64">
                  <c:v>40391</c:v>
                </c:pt>
                <c:pt idx="65">
                  <c:v>40422</c:v>
                </c:pt>
                <c:pt idx="66">
                  <c:v>40452</c:v>
                </c:pt>
                <c:pt idx="67">
                  <c:v>40483</c:v>
                </c:pt>
                <c:pt idx="68">
                  <c:v>40513</c:v>
                </c:pt>
                <c:pt idx="69">
                  <c:v>40544</c:v>
                </c:pt>
                <c:pt idx="70">
                  <c:v>40575</c:v>
                </c:pt>
                <c:pt idx="71">
                  <c:v>40603</c:v>
                </c:pt>
                <c:pt idx="72">
                  <c:v>40634</c:v>
                </c:pt>
                <c:pt idx="73">
                  <c:v>40664</c:v>
                </c:pt>
                <c:pt idx="74">
                  <c:v>40695</c:v>
                </c:pt>
                <c:pt idx="75">
                  <c:v>40725</c:v>
                </c:pt>
                <c:pt idx="76">
                  <c:v>40756</c:v>
                </c:pt>
                <c:pt idx="77">
                  <c:v>40787</c:v>
                </c:pt>
                <c:pt idx="78">
                  <c:v>40817</c:v>
                </c:pt>
                <c:pt idx="79">
                  <c:v>40848</c:v>
                </c:pt>
                <c:pt idx="80">
                  <c:v>40878</c:v>
                </c:pt>
              </c:numCache>
            </c:numRef>
          </c:cat>
          <c:val>
            <c:numRef>
              <c:f>camara1000!$B$67:$B$147</c:f>
              <c:numCache>
                <c:formatCode>#,##0.00</c:formatCode>
                <c:ptCount val="81"/>
                <c:pt idx="0">
                  <c:v>79.180000000000007</c:v>
                </c:pt>
                <c:pt idx="1">
                  <c:v>75.34</c:v>
                </c:pt>
                <c:pt idx="2">
                  <c:v>75.680000000000007</c:v>
                </c:pt>
                <c:pt idx="3">
                  <c:v>78.569999999999993</c:v>
                </c:pt>
                <c:pt idx="4">
                  <c:v>74.400000000000006</c:v>
                </c:pt>
                <c:pt idx="5">
                  <c:v>69.459999999999994</c:v>
                </c:pt>
                <c:pt idx="6">
                  <c:v>75.86</c:v>
                </c:pt>
                <c:pt idx="7">
                  <c:v>75.81</c:v>
                </c:pt>
                <c:pt idx="8">
                  <c:v>75.64</c:v>
                </c:pt>
                <c:pt idx="9" formatCode="0.00">
                  <c:v>74</c:v>
                </c:pt>
                <c:pt idx="10" formatCode="0.00">
                  <c:v>56.16</c:v>
                </c:pt>
                <c:pt idx="11" formatCode="0.00">
                  <c:v>57</c:v>
                </c:pt>
                <c:pt idx="12" formatCode="0.00">
                  <c:v>50.67</c:v>
                </c:pt>
                <c:pt idx="13" formatCode="0.00">
                  <c:v>51.38</c:v>
                </c:pt>
                <c:pt idx="14" formatCode="0.00">
                  <c:v>49.4</c:v>
                </c:pt>
                <c:pt idx="15" formatCode="0.00">
                  <c:v>57.33</c:v>
                </c:pt>
                <c:pt idx="16" formatCode="0.00">
                  <c:v>53.18</c:v>
                </c:pt>
                <c:pt idx="17" formatCode="0.00">
                  <c:v>54.15</c:v>
                </c:pt>
                <c:pt idx="18" formatCode="0.00">
                  <c:v>55.5</c:v>
                </c:pt>
                <c:pt idx="19" formatCode="0.00">
                  <c:v>57.64</c:v>
                </c:pt>
                <c:pt idx="20" formatCode="0.00">
                  <c:v>54.6</c:v>
                </c:pt>
                <c:pt idx="21" formatCode="0.00">
                  <c:v>57.33</c:v>
                </c:pt>
                <c:pt idx="22" formatCode="0.00">
                  <c:v>54.64</c:v>
                </c:pt>
                <c:pt idx="23" formatCode="0.00">
                  <c:v>55.37</c:v>
                </c:pt>
                <c:pt idx="24" formatCode="0.00">
                  <c:v>57.6</c:v>
                </c:pt>
                <c:pt idx="25" formatCode="0.00">
                  <c:v>55.67</c:v>
                </c:pt>
                <c:pt idx="26" formatCode="0.00">
                  <c:v>59.4</c:v>
                </c:pt>
                <c:pt idx="27" formatCode="0.00">
                  <c:v>62</c:v>
                </c:pt>
                <c:pt idx="28" formatCode="0.00">
                  <c:v>63</c:v>
                </c:pt>
                <c:pt idx="29" formatCode="0.00">
                  <c:v>64</c:v>
                </c:pt>
                <c:pt idx="30" formatCode="0.00">
                  <c:v>63.428571428571431</c:v>
                </c:pt>
                <c:pt idx="31" formatCode="0.00">
                  <c:v>61.142857142857146</c:v>
                </c:pt>
                <c:pt idx="32" formatCode="0.00">
                  <c:v>61</c:v>
                </c:pt>
                <c:pt idx="33" formatCode="0.00">
                  <c:v>59.08</c:v>
                </c:pt>
                <c:pt idx="34" formatCode="0.00">
                  <c:v>59.566666666666663</c:v>
                </c:pt>
                <c:pt idx="35" formatCode="0.00">
                  <c:v>61.233333333333327</c:v>
                </c:pt>
                <c:pt idx="36" formatCode="0.00">
                  <c:v>60.571428571428569</c:v>
                </c:pt>
                <c:pt idx="37" formatCode="0.00">
                  <c:v>63.2</c:v>
                </c:pt>
                <c:pt idx="38" formatCode="0.00">
                  <c:v>60</c:v>
                </c:pt>
                <c:pt idx="39" formatCode="0.00">
                  <c:v>61.142857142857146</c:v>
                </c:pt>
                <c:pt idx="40" formatCode="0.00">
                  <c:v>62.057142857142857</c:v>
                </c:pt>
                <c:pt idx="41" formatCode="0.00">
                  <c:v>63.36</c:v>
                </c:pt>
                <c:pt idx="42" formatCode="0.00">
                  <c:v>64.542857142857144</c:v>
                </c:pt>
                <c:pt idx="43" formatCode="0.00">
                  <c:v>65.2</c:v>
                </c:pt>
                <c:pt idx="44" formatCode="0.00">
                  <c:v>65.785714285714292</c:v>
                </c:pt>
                <c:pt idx="45" formatCode="0.00">
                  <c:v>65.2</c:v>
                </c:pt>
                <c:pt idx="46" formatCode="0.00">
                  <c:v>66</c:v>
                </c:pt>
                <c:pt idx="47" formatCode="0.00">
                  <c:v>65.400000000000006</c:v>
                </c:pt>
                <c:pt idx="48" formatCode="0.00">
                  <c:v>66</c:v>
                </c:pt>
                <c:pt idx="49" formatCode="0.00">
                  <c:v>66</c:v>
                </c:pt>
                <c:pt idx="50" formatCode="0.00">
                  <c:v>66.142857142857139</c:v>
                </c:pt>
                <c:pt idx="51" formatCode="0.00">
                  <c:v>65.7</c:v>
                </c:pt>
                <c:pt idx="52" formatCode="0.00">
                  <c:v>67</c:v>
                </c:pt>
                <c:pt idx="53" formatCode="0.00">
                  <c:v>67</c:v>
                </c:pt>
                <c:pt idx="54" formatCode="0.00">
                  <c:v>67.16</c:v>
                </c:pt>
                <c:pt idx="55" formatCode="0.00">
                  <c:v>67</c:v>
                </c:pt>
                <c:pt idx="56" formatCode="0.00">
                  <c:v>67.14</c:v>
                </c:pt>
                <c:pt idx="57" formatCode="0.00">
                  <c:v>67.14</c:v>
                </c:pt>
                <c:pt idx="58" formatCode="0.00">
                  <c:v>68.516666666666666</c:v>
                </c:pt>
                <c:pt idx="59" formatCode="0.00">
                  <c:v>68.516666666666666</c:v>
                </c:pt>
                <c:pt idx="60" formatCode="0.00">
                  <c:v>67.180000000000007</c:v>
                </c:pt>
                <c:pt idx="61" formatCode="0.00">
                  <c:v>71.78</c:v>
                </c:pt>
                <c:pt idx="62" formatCode="0.00">
                  <c:v>65.183333333333337</c:v>
                </c:pt>
                <c:pt idx="63" formatCode="0.00">
                  <c:v>78.209999999999994</c:v>
                </c:pt>
                <c:pt idx="64" formatCode="0.00">
                  <c:v>79.981666666666669</c:v>
                </c:pt>
                <c:pt idx="65" formatCode="0.00">
                  <c:v>83.378</c:v>
                </c:pt>
                <c:pt idx="66" formatCode="0.00">
                  <c:v>83.28</c:v>
                </c:pt>
                <c:pt idx="67" formatCode="0.00">
                  <c:v>79.481999999999999</c:v>
                </c:pt>
                <c:pt idx="68" formatCode="0.00">
                  <c:v>83.478333333333339</c:v>
                </c:pt>
                <c:pt idx="69" formatCode="0.00">
                  <c:v>87.174000000000007</c:v>
                </c:pt>
                <c:pt idx="70" formatCode="0.00">
                  <c:v>87.174000000000007</c:v>
                </c:pt>
                <c:pt idx="71" formatCode="0.00">
                  <c:v>87.174000000000007</c:v>
                </c:pt>
                <c:pt idx="72" formatCode="0.00">
                  <c:v>87.174000000000007</c:v>
                </c:pt>
                <c:pt idx="73" formatCode="0.00">
                  <c:v>85.17</c:v>
                </c:pt>
                <c:pt idx="74" formatCode="0.00">
                  <c:v>90.238333333333344</c:v>
                </c:pt>
                <c:pt idx="75" formatCode="0.00">
                  <c:v>90.238333333333344</c:v>
                </c:pt>
                <c:pt idx="76" formatCode="0.00">
                  <c:v>82.698000000000008</c:v>
                </c:pt>
                <c:pt idx="77" formatCode="0.00">
                  <c:v>82.698000000000008</c:v>
                </c:pt>
                <c:pt idx="78" formatCode="0.00">
                  <c:v>82.698000000000008</c:v>
                </c:pt>
                <c:pt idx="79" formatCode="0.00">
                  <c:v>82.698000000000008</c:v>
                </c:pt>
                <c:pt idx="80" formatCode="0.00">
                  <c:v>82.698000000000008</c:v>
                </c:pt>
              </c:numCache>
            </c:numRef>
          </c:val>
          <c:smooth val="0"/>
          <c:extLst>
            <c:ext xmlns:c16="http://schemas.microsoft.com/office/drawing/2014/chart" uri="{C3380CC4-5D6E-409C-BE32-E72D297353CC}">
              <c16:uniqueId val="{00000000-4310-4E5F-B049-2F03680C6370}"/>
            </c:ext>
          </c:extLst>
        </c:ser>
        <c:dLbls>
          <c:showLegendKey val="0"/>
          <c:showVal val="0"/>
          <c:showCatName val="0"/>
          <c:showSerName val="0"/>
          <c:showPercent val="0"/>
          <c:showBubbleSize val="0"/>
        </c:dLbls>
        <c:marker val="1"/>
        <c:smooth val="0"/>
        <c:axId val="193988480"/>
        <c:axId val="193990016"/>
      </c:lineChart>
      <c:dateAx>
        <c:axId val="193988480"/>
        <c:scaling>
          <c:orientation val="minMax"/>
        </c:scaling>
        <c:delete val="0"/>
        <c:axPos val="b"/>
        <c:majorGridlines>
          <c:spPr>
            <a:ln w="3175">
              <a:solidFill>
                <a:srgbClr val="000000"/>
              </a:solidFill>
              <a:prstDash val="solid"/>
            </a:ln>
          </c:spPr>
        </c:majorGridlines>
        <c:title>
          <c:tx>
            <c:rich>
              <a:bodyPr/>
              <a:lstStyle/>
              <a:p>
                <a:pPr>
                  <a:defRPr sz="1450" b="1" i="0" u="none" strike="noStrike" baseline="0">
                    <a:solidFill>
                      <a:srgbClr val="000000"/>
                    </a:solidFill>
                    <a:latin typeface="Arial"/>
                    <a:ea typeface="Arial"/>
                    <a:cs typeface="Arial"/>
                  </a:defRPr>
                </a:pPr>
                <a:r>
                  <a:rPr lang="pt-BR"/>
                  <a:t>Período</a:t>
                </a:r>
              </a:p>
            </c:rich>
          </c:tx>
          <c:layout>
            <c:manualLayout>
              <c:xMode val="edge"/>
              <c:yMode val="edge"/>
              <c:x val="0.50649407460431084"/>
              <c:y val="0.89293945318338619"/>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2700000" vert="horz"/>
          <a:lstStyle/>
          <a:p>
            <a:pPr>
              <a:defRPr sz="1175" b="1" i="0" u="none" strike="noStrike" baseline="0">
                <a:solidFill>
                  <a:srgbClr val="000000"/>
                </a:solidFill>
                <a:latin typeface="Arial"/>
                <a:ea typeface="Arial"/>
                <a:cs typeface="Arial"/>
              </a:defRPr>
            </a:pPr>
            <a:endParaRPr lang="pt-BR"/>
          </a:p>
        </c:txPr>
        <c:crossAx val="193990016"/>
        <c:crosses val="autoZero"/>
        <c:auto val="1"/>
        <c:lblOffset val="100"/>
        <c:baseTimeUnit val="months"/>
        <c:majorUnit val="4"/>
        <c:majorTimeUnit val="months"/>
        <c:minorUnit val="2"/>
        <c:minorTimeUnit val="months"/>
      </c:dateAx>
      <c:valAx>
        <c:axId val="193990016"/>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a:ea typeface="Arial"/>
                    <a:cs typeface="Arial"/>
                  </a:defRPr>
                </a:pPr>
                <a:r>
                  <a:rPr lang="pt-BR"/>
                  <a:t>Valores em (R$/l)</a:t>
                </a:r>
              </a:p>
            </c:rich>
          </c:tx>
          <c:layout>
            <c:manualLayout>
              <c:xMode val="edge"/>
              <c:yMode val="edge"/>
              <c:x val="1.7316017316017316E-2"/>
              <c:y val="0.3439640318308730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pt-BR"/>
          </a:p>
        </c:txPr>
        <c:crossAx val="19398848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0" i="0" u="none" strike="noStrike" baseline="0">
                <a:solidFill>
                  <a:srgbClr val="000000"/>
                </a:solidFill>
                <a:latin typeface="Arial"/>
                <a:ea typeface="Arial"/>
                <a:cs typeface="Arial"/>
              </a:defRPr>
            </a:pPr>
            <a:r>
              <a:rPr lang="pt-BR" sz="1200" b="1" i="0" u="none" strike="noStrike" baseline="0">
                <a:solidFill>
                  <a:srgbClr val="000000"/>
                </a:solidFill>
                <a:latin typeface="Arial"/>
                <a:cs typeface="Arial"/>
              </a:rPr>
              <a:t>EVOLUÇÃO DO PREÇO DA CÂMARA 750/20 R - VEÍCULO DISTRIBUIÇÃO E COLETA</a:t>
            </a:r>
          </a:p>
          <a:p>
            <a:pPr>
              <a:defRPr sz="1475" b="0" i="0" u="none" strike="noStrike" baseline="0">
                <a:solidFill>
                  <a:srgbClr val="000000"/>
                </a:solidFill>
                <a:latin typeface="Arial"/>
                <a:ea typeface="Arial"/>
                <a:cs typeface="Arial"/>
              </a:defRPr>
            </a:pPr>
            <a:r>
              <a:rPr lang="pt-BR" sz="950" b="1" i="0" u="none" strike="noStrike" baseline="0">
                <a:solidFill>
                  <a:srgbClr val="000000"/>
                </a:solidFill>
                <a:latin typeface="Arial"/>
                <a:cs typeface="Arial"/>
              </a:rPr>
              <a:t>VALORES EM (R$)</a:t>
            </a:r>
          </a:p>
        </c:rich>
      </c:tx>
      <c:layout>
        <c:manualLayout>
          <c:xMode val="edge"/>
          <c:yMode val="edge"/>
          <c:x val="0.16493786824364795"/>
          <c:y val="3.140096618357488E-2"/>
        </c:manualLayout>
      </c:layout>
      <c:overlay val="0"/>
      <c:spPr>
        <a:noFill/>
        <a:ln w="25400">
          <a:noFill/>
        </a:ln>
      </c:spPr>
    </c:title>
    <c:autoTitleDeleted val="0"/>
    <c:plotArea>
      <c:layout>
        <c:manualLayout>
          <c:layoutTarget val="inner"/>
          <c:xMode val="edge"/>
          <c:yMode val="edge"/>
          <c:x val="9.3361043139467678E-2"/>
          <c:y val="0.21980728177668746"/>
          <c:w val="0.89211663444380229"/>
          <c:h val="0.49758571479118263"/>
        </c:manualLayout>
      </c:layout>
      <c:lineChart>
        <c:grouping val="standard"/>
        <c:varyColors val="0"/>
        <c:ser>
          <c:idx val="0"/>
          <c:order val="0"/>
          <c:spPr>
            <a:ln w="12700">
              <a:solidFill>
                <a:srgbClr val="000080"/>
              </a:solidFill>
              <a:prstDash val="solid"/>
            </a:ln>
          </c:spPr>
          <c:marker>
            <c:symbol val="diamond"/>
            <c:size val="6"/>
            <c:spPr>
              <a:solidFill>
                <a:srgbClr val="000080"/>
              </a:solidFill>
              <a:ln>
                <a:solidFill>
                  <a:srgbClr val="000080"/>
                </a:solidFill>
                <a:prstDash val="solid"/>
              </a:ln>
            </c:spPr>
          </c:marker>
          <c:trendline>
            <c:spPr>
              <a:ln w="38100">
                <a:solidFill>
                  <a:srgbClr val="FF0000"/>
                </a:solidFill>
                <a:prstDash val="solid"/>
              </a:ln>
            </c:spPr>
            <c:trendlineType val="linear"/>
            <c:dispRSqr val="0"/>
            <c:dispEq val="0"/>
          </c:trendline>
          <c:cat>
            <c:numRef>
              <c:f>camara750!$A$64:$A$147</c:f>
              <c:numCache>
                <c:formatCode>mmm\-yy</c:formatCode>
                <c:ptCount val="8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numCache>
            </c:numRef>
          </c:cat>
          <c:val>
            <c:numRef>
              <c:f>camara750!$B$64:$B$147</c:f>
              <c:numCache>
                <c:formatCode>#,##0.00</c:formatCode>
                <c:ptCount val="84"/>
                <c:pt idx="0">
                  <c:v>36.5</c:v>
                </c:pt>
                <c:pt idx="1">
                  <c:v>35.93</c:v>
                </c:pt>
                <c:pt idx="2">
                  <c:v>37.049999999999997</c:v>
                </c:pt>
                <c:pt idx="3">
                  <c:v>38.880000000000003</c:v>
                </c:pt>
                <c:pt idx="4">
                  <c:v>36.5</c:v>
                </c:pt>
                <c:pt idx="5">
                  <c:v>36.799999999999997</c:v>
                </c:pt>
                <c:pt idx="6">
                  <c:v>39.29</c:v>
                </c:pt>
                <c:pt idx="7">
                  <c:v>35.82</c:v>
                </c:pt>
                <c:pt idx="8">
                  <c:v>35.25</c:v>
                </c:pt>
                <c:pt idx="9">
                  <c:v>37.1</c:v>
                </c:pt>
                <c:pt idx="10">
                  <c:v>38.49</c:v>
                </c:pt>
                <c:pt idx="11">
                  <c:v>37.86</c:v>
                </c:pt>
                <c:pt idx="12" formatCode="0.00">
                  <c:v>36.130000000000003</c:v>
                </c:pt>
                <c:pt idx="13" formatCode="0.00">
                  <c:v>34.520000000000003</c:v>
                </c:pt>
                <c:pt idx="14" formatCode="0.00">
                  <c:v>33.380000000000003</c:v>
                </c:pt>
                <c:pt idx="15" formatCode="0.00">
                  <c:v>31.29</c:v>
                </c:pt>
                <c:pt idx="16" formatCode="0.00">
                  <c:v>33.81</c:v>
                </c:pt>
                <c:pt idx="17" formatCode="0.00">
                  <c:v>31.88</c:v>
                </c:pt>
                <c:pt idx="18" formatCode="0.00">
                  <c:v>34.86</c:v>
                </c:pt>
                <c:pt idx="19" formatCode="0.00">
                  <c:v>31.33</c:v>
                </c:pt>
                <c:pt idx="20" formatCode="0.00">
                  <c:v>34.840000000000003</c:v>
                </c:pt>
                <c:pt idx="21" formatCode="0.00">
                  <c:v>34.130000000000003</c:v>
                </c:pt>
                <c:pt idx="22" formatCode="0.00">
                  <c:v>36.33</c:v>
                </c:pt>
                <c:pt idx="23" formatCode="0.00">
                  <c:v>34.9</c:v>
                </c:pt>
                <c:pt idx="24" formatCode="0.00">
                  <c:v>33.14</c:v>
                </c:pt>
                <c:pt idx="25" formatCode="0.00">
                  <c:v>31</c:v>
                </c:pt>
                <c:pt idx="26" formatCode="0.00">
                  <c:v>31.2</c:v>
                </c:pt>
                <c:pt idx="27" formatCode="0.00">
                  <c:v>33.200000000000003</c:v>
                </c:pt>
                <c:pt idx="28" formatCode="0.00">
                  <c:v>33.17</c:v>
                </c:pt>
                <c:pt idx="29" formatCode="0.00">
                  <c:v>34.25</c:v>
                </c:pt>
                <c:pt idx="30" formatCode="0.00">
                  <c:v>36.700000000000003</c:v>
                </c:pt>
                <c:pt idx="31" formatCode="0.00">
                  <c:v>36.983333333333334</c:v>
                </c:pt>
                <c:pt idx="32" formatCode="0.00">
                  <c:v>37.78</c:v>
                </c:pt>
                <c:pt idx="33" formatCode="0.00">
                  <c:v>37.128571428571426</c:v>
                </c:pt>
                <c:pt idx="34" formatCode="0.00">
                  <c:v>36.557142857142857</c:v>
                </c:pt>
                <c:pt idx="35" formatCode="0.00">
                  <c:v>37</c:v>
                </c:pt>
                <c:pt idx="36" formatCode="0.00">
                  <c:v>34.68</c:v>
                </c:pt>
                <c:pt idx="37" formatCode="0.00">
                  <c:v>36.9</c:v>
                </c:pt>
                <c:pt idx="38" formatCode="0.00">
                  <c:v>37.06666666666667</c:v>
                </c:pt>
                <c:pt idx="39" formatCode="0.00">
                  <c:v>37.1</c:v>
                </c:pt>
                <c:pt idx="40" formatCode="0.00">
                  <c:v>38.4</c:v>
                </c:pt>
                <c:pt idx="41" formatCode="0.00">
                  <c:v>38.94</c:v>
                </c:pt>
                <c:pt idx="42" formatCode="0.00">
                  <c:v>37.81428571428571</c:v>
                </c:pt>
                <c:pt idx="43" formatCode="0.00">
                  <c:v>38.771428571428565</c:v>
                </c:pt>
                <c:pt idx="44" formatCode="0.00">
                  <c:v>39.4</c:v>
                </c:pt>
                <c:pt idx="45" formatCode="0.00">
                  <c:v>40.928571428571431</c:v>
                </c:pt>
                <c:pt idx="46" formatCode="0.00">
                  <c:v>42</c:v>
                </c:pt>
                <c:pt idx="47" formatCode="0.00">
                  <c:v>40.428571428571431</c:v>
                </c:pt>
                <c:pt idx="48" formatCode="0.00">
                  <c:v>40.428571428571431</c:v>
                </c:pt>
                <c:pt idx="49" formatCode="0.00">
                  <c:v>41</c:v>
                </c:pt>
                <c:pt idx="50" formatCode="0.00">
                  <c:v>39.799999999999997</c:v>
                </c:pt>
                <c:pt idx="51" formatCode="0.00">
                  <c:v>39.799999999999997</c:v>
                </c:pt>
                <c:pt idx="52" formatCode="0.00">
                  <c:v>41</c:v>
                </c:pt>
                <c:pt idx="53" formatCode="0.00">
                  <c:v>41.285714285714285</c:v>
                </c:pt>
                <c:pt idx="54" formatCode="0.00">
                  <c:v>40</c:v>
                </c:pt>
                <c:pt idx="55" formatCode="0.00">
                  <c:v>42</c:v>
                </c:pt>
                <c:pt idx="56" formatCode="0.00">
                  <c:v>42</c:v>
                </c:pt>
                <c:pt idx="57" formatCode="0.00">
                  <c:v>42.428571428571431</c:v>
                </c:pt>
                <c:pt idx="58" formatCode="0.00">
                  <c:v>42.5</c:v>
                </c:pt>
                <c:pt idx="59" formatCode="0.00">
                  <c:v>42.428571428571431</c:v>
                </c:pt>
                <c:pt idx="60" formatCode="0.00">
                  <c:v>42.428571428571431</c:v>
                </c:pt>
                <c:pt idx="61" formatCode="0.00">
                  <c:v>44.166666666666664</c:v>
                </c:pt>
                <c:pt idx="62" formatCode="0.00">
                  <c:v>44.166666666666664</c:v>
                </c:pt>
                <c:pt idx="63" formatCode="0.00">
                  <c:v>39.17</c:v>
                </c:pt>
                <c:pt idx="64" formatCode="0.00">
                  <c:v>43</c:v>
                </c:pt>
                <c:pt idx="65" formatCode="0.00">
                  <c:v>43</c:v>
                </c:pt>
                <c:pt idx="66" formatCode="0.00">
                  <c:v>42.984000000000002</c:v>
                </c:pt>
                <c:pt idx="67" formatCode="0.00">
                  <c:v>45.844000000000001</c:v>
                </c:pt>
                <c:pt idx="68" formatCode="0.00">
                  <c:v>45.844000000000001</c:v>
                </c:pt>
                <c:pt idx="69" formatCode="0.00">
                  <c:v>46.18</c:v>
                </c:pt>
                <c:pt idx="70" formatCode="0.00">
                  <c:v>46.25</c:v>
                </c:pt>
                <c:pt idx="71" formatCode="0.00">
                  <c:v>46.073333333333331</c:v>
                </c:pt>
                <c:pt idx="72" formatCode="0.00">
                  <c:v>46.287999999999997</c:v>
                </c:pt>
                <c:pt idx="73" formatCode="0.00">
                  <c:v>46.287999999999997</c:v>
                </c:pt>
                <c:pt idx="74" formatCode="0.00">
                  <c:v>46.287999999999997</c:v>
                </c:pt>
                <c:pt idx="75" formatCode="0.00">
                  <c:v>46.287999999999997</c:v>
                </c:pt>
                <c:pt idx="76" formatCode="0.00">
                  <c:v>46.38</c:v>
                </c:pt>
                <c:pt idx="77" formatCode="0.00">
                  <c:v>46.38</c:v>
                </c:pt>
                <c:pt idx="78" formatCode="0.00">
                  <c:v>46.38</c:v>
                </c:pt>
                <c:pt idx="79" formatCode="0.00">
                  <c:v>46.38</c:v>
                </c:pt>
                <c:pt idx="80" formatCode="0.00">
                  <c:v>46.38</c:v>
                </c:pt>
                <c:pt idx="81" formatCode="0.00">
                  <c:v>46.38</c:v>
                </c:pt>
                <c:pt idx="82" formatCode="0.00">
                  <c:v>46.38</c:v>
                </c:pt>
                <c:pt idx="83" formatCode="0.00">
                  <c:v>46.38</c:v>
                </c:pt>
              </c:numCache>
            </c:numRef>
          </c:val>
          <c:smooth val="0"/>
          <c:extLst>
            <c:ext xmlns:c16="http://schemas.microsoft.com/office/drawing/2014/chart" uri="{C3380CC4-5D6E-409C-BE32-E72D297353CC}">
              <c16:uniqueId val="{00000000-EF4A-4117-B356-A3A5E6812231}"/>
            </c:ext>
          </c:extLst>
        </c:ser>
        <c:dLbls>
          <c:showLegendKey val="0"/>
          <c:showVal val="0"/>
          <c:showCatName val="0"/>
          <c:showSerName val="0"/>
          <c:showPercent val="0"/>
          <c:showBubbleSize val="0"/>
        </c:dLbls>
        <c:marker val="1"/>
        <c:smooth val="0"/>
        <c:axId val="196073728"/>
        <c:axId val="196071424"/>
      </c:lineChart>
      <c:dateAx>
        <c:axId val="196073728"/>
        <c:scaling>
          <c:orientation val="minMax"/>
          <c:min val="38443"/>
        </c:scaling>
        <c:delete val="0"/>
        <c:axPos val="b"/>
        <c:majorGridlines>
          <c:spPr>
            <a:ln w="3175">
              <a:solidFill>
                <a:srgbClr val="000000"/>
              </a:solidFill>
              <a:prstDash val="solid"/>
            </a:ln>
          </c:spPr>
        </c:majorGridlines>
        <c:title>
          <c:tx>
            <c:rich>
              <a:bodyPr/>
              <a:lstStyle/>
              <a:p>
                <a:pPr>
                  <a:defRPr sz="1475" b="1" i="0" u="none" strike="noStrike" baseline="0">
                    <a:solidFill>
                      <a:srgbClr val="000000"/>
                    </a:solidFill>
                    <a:latin typeface="Arial"/>
                    <a:ea typeface="Arial"/>
                    <a:cs typeface="Arial"/>
                  </a:defRPr>
                </a:pPr>
                <a:r>
                  <a:rPr lang="pt-BR"/>
                  <a:t>Período</a:t>
                </a:r>
              </a:p>
            </c:rich>
          </c:tx>
          <c:layout>
            <c:manualLayout>
              <c:xMode val="edge"/>
              <c:yMode val="edge"/>
              <c:x val="0.49792552901841625"/>
              <c:y val="0.8768136229348142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2700000" vert="horz"/>
          <a:lstStyle/>
          <a:p>
            <a:pPr>
              <a:defRPr sz="1125" b="1" i="0" u="none" strike="noStrike" baseline="0">
                <a:solidFill>
                  <a:srgbClr val="000000"/>
                </a:solidFill>
                <a:latin typeface="Arial"/>
                <a:ea typeface="Arial"/>
                <a:cs typeface="Arial"/>
              </a:defRPr>
            </a:pPr>
            <a:endParaRPr lang="pt-BR"/>
          </a:p>
        </c:txPr>
        <c:crossAx val="196071424"/>
        <c:crosses val="autoZero"/>
        <c:auto val="1"/>
        <c:lblOffset val="100"/>
        <c:baseTimeUnit val="months"/>
        <c:majorUnit val="3"/>
        <c:majorTimeUnit val="months"/>
        <c:minorUnit val="1"/>
        <c:minorTimeUnit val="months"/>
      </c:dateAx>
      <c:valAx>
        <c:axId val="196071424"/>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pt-BR"/>
                  <a:t>Valores em (R$/l)</a:t>
                </a:r>
              </a:p>
            </c:rich>
          </c:tx>
          <c:layout>
            <c:manualLayout>
              <c:xMode val="edge"/>
              <c:yMode val="edge"/>
              <c:x val="1.6597510373443983E-2"/>
              <c:y val="0.3478268477309901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125" b="1" i="0" u="none" strike="noStrike" baseline="0">
                <a:solidFill>
                  <a:srgbClr val="000000"/>
                </a:solidFill>
                <a:latin typeface="Arial"/>
                <a:ea typeface="Arial"/>
                <a:cs typeface="Arial"/>
              </a:defRPr>
            </a:pPr>
            <a:endParaRPr lang="pt-BR"/>
          </a:p>
        </c:txPr>
        <c:crossAx val="19607372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pt-BR" sz="1150" b="1" i="0" u="none" strike="noStrike" baseline="0">
                <a:solidFill>
                  <a:srgbClr val="000000"/>
                </a:solidFill>
                <a:latin typeface="Arial"/>
                <a:cs typeface="Arial"/>
              </a:rPr>
              <a:t>EVOLUÇÃO DO PREÇO DO PROTETOR 1000/20 R - VEÍCULO TRANSFERÊNCIA</a:t>
            </a:r>
          </a:p>
          <a:p>
            <a:pPr>
              <a:defRPr sz="1200" b="0" i="0" u="none" strike="noStrike" baseline="0">
                <a:solidFill>
                  <a:srgbClr val="000000"/>
                </a:solidFill>
                <a:latin typeface="Arial"/>
                <a:ea typeface="Arial"/>
                <a:cs typeface="Arial"/>
              </a:defRPr>
            </a:pPr>
            <a:r>
              <a:rPr lang="pt-BR" sz="875" b="1" i="0" u="none" strike="noStrike" baseline="0">
                <a:solidFill>
                  <a:srgbClr val="000000"/>
                </a:solidFill>
                <a:latin typeface="Arial"/>
                <a:cs typeface="Arial"/>
              </a:rPr>
              <a:t>VALORES EM (R$)</a:t>
            </a:r>
          </a:p>
        </c:rich>
      </c:tx>
      <c:layout>
        <c:manualLayout>
          <c:xMode val="edge"/>
          <c:yMode val="edge"/>
          <c:x val="0.19351362701283961"/>
          <c:y val="3.3505154639175257E-2"/>
        </c:manualLayout>
      </c:layout>
      <c:overlay val="0"/>
      <c:spPr>
        <a:noFill/>
        <a:ln w="25400">
          <a:noFill/>
        </a:ln>
      </c:spPr>
    </c:title>
    <c:autoTitleDeleted val="0"/>
    <c:plotArea>
      <c:layout>
        <c:manualLayout>
          <c:layoutTarget val="inner"/>
          <c:xMode val="edge"/>
          <c:yMode val="edge"/>
          <c:x val="9.5135185354299698E-2"/>
          <c:y val="0.22164976347274115"/>
          <c:w val="0.88973019939305287"/>
          <c:h val="0.50773259772244195"/>
        </c:manualLayout>
      </c:layout>
      <c:lineChart>
        <c:grouping val="standard"/>
        <c:varyColors val="0"/>
        <c:ser>
          <c:idx val="0"/>
          <c:order val="0"/>
          <c:spPr>
            <a:ln w="12700">
              <a:solidFill>
                <a:srgbClr val="000080"/>
              </a:solidFill>
              <a:prstDash val="solid"/>
            </a:ln>
          </c:spPr>
          <c:marker>
            <c:symbol val="diamond"/>
            <c:size val="6"/>
            <c:spPr>
              <a:solidFill>
                <a:srgbClr val="000080"/>
              </a:solidFill>
              <a:ln>
                <a:solidFill>
                  <a:srgbClr val="000080"/>
                </a:solidFill>
                <a:prstDash val="solid"/>
              </a:ln>
            </c:spPr>
          </c:marker>
          <c:trendline>
            <c:spPr>
              <a:ln w="38100">
                <a:solidFill>
                  <a:srgbClr val="FF0000"/>
                </a:solidFill>
                <a:prstDash val="solid"/>
              </a:ln>
            </c:spPr>
            <c:trendlineType val="linear"/>
            <c:dispRSqr val="0"/>
            <c:dispEq val="0"/>
          </c:trendline>
          <c:cat>
            <c:numRef>
              <c:f>Prot1000!$A$67:$A$147</c:f>
              <c:numCache>
                <c:formatCode>mmm\-yy</c:formatCode>
                <c:ptCount val="81"/>
                <c:pt idx="0">
                  <c:v>38443</c:v>
                </c:pt>
                <c:pt idx="1">
                  <c:v>38473</c:v>
                </c:pt>
                <c:pt idx="2">
                  <c:v>38504</c:v>
                </c:pt>
                <c:pt idx="3">
                  <c:v>38534</c:v>
                </c:pt>
                <c:pt idx="4">
                  <c:v>38565</c:v>
                </c:pt>
                <c:pt idx="5">
                  <c:v>38596</c:v>
                </c:pt>
                <c:pt idx="6">
                  <c:v>38626</c:v>
                </c:pt>
                <c:pt idx="7">
                  <c:v>38657</c:v>
                </c:pt>
                <c:pt idx="8">
                  <c:v>38687</c:v>
                </c:pt>
                <c:pt idx="9">
                  <c:v>38718</c:v>
                </c:pt>
                <c:pt idx="10">
                  <c:v>38749</c:v>
                </c:pt>
                <c:pt idx="11">
                  <c:v>38777</c:v>
                </c:pt>
                <c:pt idx="12">
                  <c:v>38808</c:v>
                </c:pt>
                <c:pt idx="13">
                  <c:v>38838</c:v>
                </c:pt>
                <c:pt idx="14">
                  <c:v>38869</c:v>
                </c:pt>
                <c:pt idx="15">
                  <c:v>38899</c:v>
                </c:pt>
                <c:pt idx="16">
                  <c:v>38930</c:v>
                </c:pt>
                <c:pt idx="17">
                  <c:v>38961</c:v>
                </c:pt>
                <c:pt idx="18">
                  <c:v>38991</c:v>
                </c:pt>
                <c:pt idx="19">
                  <c:v>39022</c:v>
                </c:pt>
                <c:pt idx="20">
                  <c:v>39052</c:v>
                </c:pt>
                <c:pt idx="21">
                  <c:v>39083</c:v>
                </c:pt>
                <c:pt idx="22">
                  <c:v>39114</c:v>
                </c:pt>
                <c:pt idx="23">
                  <c:v>39142</c:v>
                </c:pt>
                <c:pt idx="24">
                  <c:v>39173</c:v>
                </c:pt>
                <c:pt idx="25">
                  <c:v>39203</c:v>
                </c:pt>
                <c:pt idx="26">
                  <c:v>39234</c:v>
                </c:pt>
                <c:pt idx="27">
                  <c:v>39264</c:v>
                </c:pt>
                <c:pt idx="28">
                  <c:v>39295</c:v>
                </c:pt>
                <c:pt idx="29">
                  <c:v>39326</c:v>
                </c:pt>
                <c:pt idx="30">
                  <c:v>39356</c:v>
                </c:pt>
                <c:pt idx="31">
                  <c:v>39387</c:v>
                </c:pt>
                <c:pt idx="32">
                  <c:v>39417</c:v>
                </c:pt>
                <c:pt idx="33">
                  <c:v>39448</c:v>
                </c:pt>
                <c:pt idx="34">
                  <c:v>39479</c:v>
                </c:pt>
                <c:pt idx="35">
                  <c:v>39508</c:v>
                </c:pt>
                <c:pt idx="36">
                  <c:v>39539</c:v>
                </c:pt>
                <c:pt idx="37">
                  <c:v>39569</c:v>
                </c:pt>
                <c:pt idx="38">
                  <c:v>39600</c:v>
                </c:pt>
                <c:pt idx="39">
                  <c:v>39630</c:v>
                </c:pt>
                <c:pt idx="40">
                  <c:v>39661</c:v>
                </c:pt>
                <c:pt idx="41">
                  <c:v>39692</c:v>
                </c:pt>
                <c:pt idx="42">
                  <c:v>39722</c:v>
                </c:pt>
                <c:pt idx="43">
                  <c:v>39753</c:v>
                </c:pt>
                <c:pt idx="44">
                  <c:v>39783</c:v>
                </c:pt>
                <c:pt idx="45">
                  <c:v>39814</c:v>
                </c:pt>
                <c:pt idx="46">
                  <c:v>39845</c:v>
                </c:pt>
                <c:pt idx="47">
                  <c:v>39873</c:v>
                </c:pt>
                <c:pt idx="48">
                  <c:v>39904</c:v>
                </c:pt>
                <c:pt idx="49">
                  <c:v>39934</c:v>
                </c:pt>
                <c:pt idx="50">
                  <c:v>39965</c:v>
                </c:pt>
                <c:pt idx="51">
                  <c:v>39995</c:v>
                </c:pt>
                <c:pt idx="52">
                  <c:v>40026</c:v>
                </c:pt>
                <c:pt idx="53">
                  <c:v>40057</c:v>
                </c:pt>
                <c:pt idx="54">
                  <c:v>40087</c:v>
                </c:pt>
                <c:pt idx="55">
                  <c:v>40118</c:v>
                </c:pt>
                <c:pt idx="56">
                  <c:v>40148</c:v>
                </c:pt>
                <c:pt idx="57">
                  <c:v>40179</c:v>
                </c:pt>
                <c:pt idx="58">
                  <c:v>40210</c:v>
                </c:pt>
                <c:pt idx="59">
                  <c:v>40238</c:v>
                </c:pt>
                <c:pt idx="60">
                  <c:v>40269</c:v>
                </c:pt>
                <c:pt idx="61">
                  <c:v>40299</c:v>
                </c:pt>
                <c:pt idx="62">
                  <c:v>40330</c:v>
                </c:pt>
                <c:pt idx="63">
                  <c:v>40360</c:v>
                </c:pt>
                <c:pt idx="64">
                  <c:v>40391</c:v>
                </c:pt>
                <c:pt idx="65">
                  <c:v>40422</c:v>
                </c:pt>
                <c:pt idx="66">
                  <c:v>40452</c:v>
                </c:pt>
                <c:pt idx="67">
                  <c:v>40483</c:v>
                </c:pt>
                <c:pt idx="68">
                  <c:v>40513</c:v>
                </c:pt>
                <c:pt idx="69">
                  <c:v>40544</c:v>
                </c:pt>
                <c:pt idx="70">
                  <c:v>40575</c:v>
                </c:pt>
                <c:pt idx="71">
                  <c:v>40603</c:v>
                </c:pt>
                <c:pt idx="72">
                  <c:v>40634</c:v>
                </c:pt>
                <c:pt idx="73">
                  <c:v>40664</c:v>
                </c:pt>
                <c:pt idx="74">
                  <c:v>40695</c:v>
                </c:pt>
                <c:pt idx="75">
                  <c:v>40725</c:v>
                </c:pt>
                <c:pt idx="76">
                  <c:v>40756</c:v>
                </c:pt>
                <c:pt idx="77">
                  <c:v>40787</c:v>
                </c:pt>
                <c:pt idx="78">
                  <c:v>40817</c:v>
                </c:pt>
                <c:pt idx="79">
                  <c:v>40848</c:v>
                </c:pt>
                <c:pt idx="80">
                  <c:v>40878</c:v>
                </c:pt>
              </c:numCache>
            </c:numRef>
          </c:cat>
          <c:val>
            <c:numRef>
              <c:f>Prot1000!$B$67:$B$147</c:f>
              <c:numCache>
                <c:formatCode>#,##0.00</c:formatCode>
                <c:ptCount val="81"/>
                <c:pt idx="0">
                  <c:v>44.05</c:v>
                </c:pt>
                <c:pt idx="1">
                  <c:v>40.86</c:v>
                </c:pt>
                <c:pt idx="2">
                  <c:v>41.93</c:v>
                </c:pt>
                <c:pt idx="3">
                  <c:v>21.29</c:v>
                </c:pt>
                <c:pt idx="4">
                  <c:v>22.01</c:v>
                </c:pt>
                <c:pt idx="5">
                  <c:v>24.24</c:v>
                </c:pt>
                <c:pt idx="6">
                  <c:v>23.17</c:v>
                </c:pt>
                <c:pt idx="7">
                  <c:v>23.21</c:v>
                </c:pt>
                <c:pt idx="8">
                  <c:v>24.85</c:v>
                </c:pt>
                <c:pt idx="9">
                  <c:v>23.66</c:v>
                </c:pt>
                <c:pt idx="10">
                  <c:v>23.36</c:v>
                </c:pt>
                <c:pt idx="11">
                  <c:v>23.11</c:v>
                </c:pt>
                <c:pt idx="12">
                  <c:v>23.15</c:v>
                </c:pt>
                <c:pt idx="13">
                  <c:v>22.5</c:v>
                </c:pt>
                <c:pt idx="14">
                  <c:v>21.73</c:v>
                </c:pt>
                <c:pt idx="15">
                  <c:v>24.1</c:v>
                </c:pt>
                <c:pt idx="16">
                  <c:v>23</c:v>
                </c:pt>
                <c:pt idx="17">
                  <c:v>24.56</c:v>
                </c:pt>
                <c:pt idx="18">
                  <c:v>23.71</c:v>
                </c:pt>
                <c:pt idx="19">
                  <c:v>23.29</c:v>
                </c:pt>
                <c:pt idx="20">
                  <c:v>24.58</c:v>
                </c:pt>
                <c:pt idx="21">
                  <c:v>25.58</c:v>
                </c:pt>
                <c:pt idx="22">
                  <c:v>25.5</c:v>
                </c:pt>
                <c:pt idx="23">
                  <c:v>25.5</c:v>
                </c:pt>
                <c:pt idx="24">
                  <c:v>25.79</c:v>
                </c:pt>
                <c:pt idx="25">
                  <c:v>25</c:v>
                </c:pt>
                <c:pt idx="26">
                  <c:v>26.071428571428573</c:v>
                </c:pt>
                <c:pt idx="27">
                  <c:v>20.65</c:v>
                </c:pt>
                <c:pt idx="28">
                  <c:v>24</c:v>
                </c:pt>
                <c:pt idx="29">
                  <c:v>25.1</c:v>
                </c:pt>
                <c:pt idx="30">
                  <c:v>24.214285714285715</c:v>
                </c:pt>
                <c:pt idx="31">
                  <c:v>24.7</c:v>
                </c:pt>
                <c:pt idx="32">
                  <c:v>24.67</c:v>
                </c:pt>
                <c:pt idx="33">
                  <c:v>22.96</c:v>
                </c:pt>
                <c:pt idx="34">
                  <c:v>25.916666666666668</c:v>
                </c:pt>
                <c:pt idx="35">
                  <c:v>26</c:v>
                </c:pt>
                <c:pt idx="36">
                  <c:v>25.085714285714289</c:v>
                </c:pt>
                <c:pt idx="37">
                  <c:v>25.52</c:v>
                </c:pt>
                <c:pt idx="38">
                  <c:v>27.1</c:v>
                </c:pt>
                <c:pt idx="39">
                  <c:v>26.057142857142853</c:v>
                </c:pt>
                <c:pt idx="40">
                  <c:v>27.25714285714286</c:v>
                </c:pt>
                <c:pt idx="41">
                  <c:v>31.18</c:v>
                </c:pt>
                <c:pt idx="42">
                  <c:v>27.571428571428573</c:v>
                </c:pt>
                <c:pt idx="43">
                  <c:v>29</c:v>
                </c:pt>
                <c:pt idx="44">
                  <c:v>27.285714285714285</c:v>
                </c:pt>
                <c:pt idx="45">
                  <c:v>29</c:v>
                </c:pt>
                <c:pt idx="46">
                  <c:v>28</c:v>
                </c:pt>
                <c:pt idx="47">
                  <c:v>28.4</c:v>
                </c:pt>
                <c:pt idx="48">
                  <c:v>28.67</c:v>
                </c:pt>
                <c:pt idx="49">
                  <c:v>28</c:v>
                </c:pt>
                <c:pt idx="50">
                  <c:v>28.12857142857143</c:v>
                </c:pt>
                <c:pt idx="51">
                  <c:v>28</c:v>
                </c:pt>
                <c:pt idx="52">
                  <c:v>28.3</c:v>
                </c:pt>
                <c:pt idx="53">
                  <c:v>28.3</c:v>
                </c:pt>
                <c:pt idx="54">
                  <c:v>28.87</c:v>
                </c:pt>
                <c:pt idx="55">
                  <c:v>29</c:v>
                </c:pt>
                <c:pt idx="56">
                  <c:v>29</c:v>
                </c:pt>
                <c:pt idx="57">
                  <c:v>29</c:v>
                </c:pt>
                <c:pt idx="58">
                  <c:v>29</c:v>
                </c:pt>
                <c:pt idx="59">
                  <c:v>29</c:v>
                </c:pt>
                <c:pt idx="60">
                  <c:v>30</c:v>
                </c:pt>
                <c:pt idx="61">
                  <c:v>32.5</c:v>
                </c:pt>
                <c:pt idx="62">
                  <c:v>31.25</c:v>
                </c:pt>
                <c:pt idx="63">
                  <c:v>29.21</c:v>
                </c:pt>
                <c:pt idx="64">
                  <c:v>29.21</c:v>
                </c:pt>
                <c:pt idx="65">
                  <c:v>31.157499999999999</c:v>
                </c:pt>
                <c:pt idx="66">
                  <c:v>28.876666666666665</c:v>
                </c:pt>
                <c:pt idx="67">
                  <c:v>32.775999999999996</c:v>
                </c:pt>
                <c:pt idx="68">
                  <c:v>32.158333333333331</c:v>
                </c:pt>
                <c:pt idx="69">
                  <c:v>32.491666666666667</c:v>
                </c:pt>
                <c:pt idx="70">
                  <c:v>38.487499999999997</c:v>
                </c:pt>
                <c:pt idx="71">
                  <c:v>38.487499999999997</c:v>
                </c:pt>
                <c:pt idx="72">
                  <c:v>38.487499999999997</c:v>
                </c:pt>
                <c:pt idx="73">
                  <c:v>38.130000000000003</c:v>
                </c:pt>
                <c:pt idx="74">
                  <c:v>41.85</c:v>
                </c:pt>
                <c:pt idx="75">
                  <c:v>41.85</c:v>
                </c:pt>
                <c:pt idx="76">
                  <c:v>37.305</c:v>
                </c:pt>
                <c:pt idx="77">
                  <c:v>37.305</c:v>
                </c:pt>
                <c:pt idx="78">
                  <c:v>37.305</c:v>
                </c:pt>
                <c:pt idx="79">
                  <c:v>37.305</c:v>
                </c:pt>
                <c:pt idx="80">
                  <c:v>37.305</c:v>
                </c:pt>
              </c:numCache>
            </c:numRef>
          </c:val>
          <c:smooth val="0"/>
          <c:extLst>
            <c:ext xmlns:c16="http://schemas.microsoft.com/office/drawing/2014/chart" uri="{C3380CC4-5D6E-409C-BE32-E72D297353CC}">
              <c16:uniqueId val="{00000000-A75D-40FB-B97C-53F5944E5ED6}"/>
            </c:ext>
          </c:extLst>
        </c:ser>
        <c:dLbls>
          <c:showLegendKey val="0"/>
          <c:showVal val="0"/>
          <c:showCatName val="0"/>
          <c:showSerName val="0"/>
          <c:showPercent val="0"/>
          <c:showBubbleSize val="0"/>
        </c:dLbls>
        <c:marker val="1"/>
        <c:smooth val="0"/>
        <c:axId val="195521152"/>
        <c:axId val="195523328"/>
      </c:lineChart>
      <c:dateAx>
        <c:axId val="195521152"/>
        <c:scaling>
          <c:orientation val="minMax"/>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pt-BR"/>
                  <a:t>Período</a:t>
                </a:r>
              </a:p>
            </c:rich>
          </c:tx>
          <c:layout>
            <c:manualLayout>
              <c:xMode val="edge"/>
              <c:yMode val="edge"/>
              <c:x val="0.50378401078243595"/>
              <c:y val="0.8865990204832643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2700000" vert="horz"/>
          <a:lstStyle/>
          <a:p>
            <a:pPr>
              <a:defRPr sz="1050" b="1" i="0" u="none" strike="noStrike" baseline="0">
                <a:solidFill>
                  <a:srgbClr val="000000"/>
                </a:solidFill>
                <a:latin typeface="Arial"/>
                <a:ea typeface="Arial"/>
                <a:cs typeface="Arial"/>
              </a:defRPr>
            </a:pPr>
            <a:endParaRPr lang="pt-BR"/>
          </a:p>
        </c:txPr>
        <c:crossAx val="195523328"/>
        <c:crosses val="autoZero"/>
        <c:auto val="1"/>
        <c:lblOffset val="100"/>
        <c:baseTimeUnit val="months"/>
        <c:majorUnit val="3"/>
        <c:majorTimeUnit val="months"/>
        <c:minorUnit val="1"/>
        <c:minorTimeUnit val="months"/>
      </c:dateAx>
      <c:valAx>
        <c:axId val="195523328"/>
        <c:scaling>
          <c:orientation val="minMax"/>
        </c:scaling>
        <c:delete val="0"/>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rPr lang="pt-BR"/>
                  <a:t>Valores em (R$/l)</a:t>
                </a:r>
              </a:p>
            </c:rich>
          </c:tx>
          <c:layout>
            <c:manualLayout>
              <c:xMode val="edge"/>
              <c:yMode val="edge"/>
              <c:x val="1.7297297297297298E-2"/>
              <c:y val="0.34793868549936408"/>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pt-BR"/>
          </a:p>
        </c:txPr>
        <c:crossAx val="19552115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0" i="0" u="none" strike="noStrike" baseline="0">
                <a:solidFill>
                  <a:srgbClr val="000000"/>
                </a:solidFill>
                <a:latin typeface="Arial"/>
                <a:ea typeface="Arial"/>
                <a:cs typeface="Arial"/>
              </a:defRPr>
            </a:pPr>
            <a:r>
              <a:rPr lang="pt-BR" sz="1175" b="1" i="0" u="none" strike="noStrike" baseline="0">
                <a:solidFill>
                  <a:srgbClr val="000000"/>
                </a:solidFill>
                <a:latin typeface="Arial"/>
                <a:cs typeface="Arial"/>
              </a:rPr>
              <a:t>EVOLUÇÃO DO PREÇO DO PROTETOR 750/20 R - VEÍCULO DISTRIBUIÇÃO E COLETA</a:t>
            </a:r>
          </a:p>
          <a:p>
            <a:pPr>
              <a:defRPr sz="1425" b="0" i="0" u="none" strike="noStrike" baseline="0">
                <a:solidFill>
                  <a:srgbClr val="000000"/>
                </a:solidFill>
                <a:latin typeface="Arial"/>
                <a:ea typeface="Arial"/>
                <a:cs typeface="Arial"/>
              </a:defRPr>
            </a:pPr>
            <a:r>
              <a:rPr lang="pt-BR" sz="900" b="1" i="0" u="none" strike="noStrike" baseline="0">
                <a:solidFill>
                  <a:srgbClr val="000000"/>
                </a:solidFill>
                <a:latin typeface="Arial"/>
                <a:cs typeface="Arial"/>
              </a:rPr>
              <a:t>VALORES EM (R$)</a:t>
            </a:r>
          </a:p>
        </c:rich>
      </c:tx>
      <c:layout>
        <c:manualLayout>
          <c:xMode val="edge"/>
          <c:yMode val="edge"/>
          <c:x val="0.13616574070373183"/>
          <c:y val="3.2500000000000001E-2"/>
        </c:manualLayout>
      </c:layout>
      <c:overlay val="0"/>
      <c:spPr>
        <a:noFill/>
        <a:ln w="25400">
          <a:noFill/>
        </a:ln>
      </c:spPr>
    </c:title>
    <c:autoTitleDeleted val="0"/>
    <c:plotArea>
      <c:layout>
        <c:manualLayout>
          <c:layoutTarget val="inner"/>
          <c:xMode val="edge"/>
          <c:yMode val="edge"/>
          <c:x val="9.6949994202318854E-2"/>
          <c:y val="0.22000026855501534"/>
          <c:w val="0.88780050870662774"/>
          <c:h val="0.51000062255935374"/>
        </c:manualLayout>
      </c:layout>
      <c:lineChart>
        <c:grouping val="standard"/>
        <c:varyColors val="0"/>
        <c:ser>
          <c:idx val="0"/>
          <c:order val="0"/>
          <c:spPr>
            <a:ln w="12700">
              <a:solidFill>
                <a:srgbClr val="000080"/>
              </a:solidFill>
              <a:prstDash val="solid"/>
            </a:ln>
          </c:spPr>
          <c:marker>
            <c:symbol val="diamond"/>
            <c:size val="6"/>
            <c:spPr>
              <a:solidFill>
                <a:srgbClr val="000080"/>
              </a:solidFill>
              <a:ln>
                <a:solidFill>
                  <a:srgbClr val="000080"/>
                </a:solidFill>
                <a:prstDash val="solid"/>
              </a:ln>
            </c:spPr>
          </c:marker>
          <c:trendline>
            <c:spPr>
              <a:ln w="38100">
                <a:solidFill>
                  <a:srgbClr val="FF0000"/>
                </a:solidFill>
                <a:prstDash val="solid"/>
              </a:ln>
            </c:spPr>
            <c:trendlineType val="linear"/>
            <c:dispRSqr val="0"/>
            <c:dispEq val="0"/>
          </c:trendline>
          <c:cat>
            <c:numRef>
              <c:f>Prot750!$A$64:$A$147</c:f>
              <c:numCache>
                <c:formatCode>mmm\-yy</c:formatCode>
                <c:ptCount val="8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38718</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numCache>
            </c:numRef>
          </c:cat>
          <c:val>
            <c:numRef>
              <c:f>Prot750!$B$64:$B$147</c:f>
              <c:numCache>
                <c:formatCode>#,##0.00</c:formatCode>
                <c:ptCount val="84"/>
                <c:pt idx="0">
                  <c:v>19.53</c:v>
                </c:pt>
                <c:pt idx="1">
                  <c:v>20.13</c:v>
                </c:pt>
                <c:pt idx="2">
                  <c:v>20.94</c:v>
                </c:pt>
                <c:pt idx="3">
                  <c:v>22.1</c:v>
                </c:pt>
                <c:pt idx="4">
                  <c:v>19.579999999999998</c:v>
                </c:pt>
                <c:pt idx="5">
                  <c:v>20.38</c:v>
                </c:pt>
                <c:pt idx="6">
                  <c:v>16.329999999999998</c:v>
                </c:pt>
                <c:pt idx="7">
                  <c:v>16.54</c:v>
                </c:pt>
                <c:pt idx="8">
                  <c:v>16.829999999999998</c:v>
                </c:pt>
                <c:pt idx="9">
                  <c:v>14.86</c:v>
                </c:pt>
                <c:pt idx="10">
                  <c:v>14.43</c:v>
                </c:pt>
                <c:pt idx="11">
                  <c:v>15.77</c:v>
                </c:pt>
                <c:pt idx="12">
                  <c:v>14.89</c:v>
                </c:pt>
                <c:pt idx="13">
                  <c:v>15.17</c:v>
                </c:pt>
                <c:pt idx="14">
                  <c:v>14.72</c:v>
                </c:pt>
                <c:pt idx="15">
                  <c:v>14.26</c:v>
                </c:pt>
                <c:pt idx="16">
                  <c:v>14.21</c:v>
                </c:pt>
                <c:pt idx="17">
                  <c:v>13.8</c:v>
                </c:pt>
                <c:pt idx="18">
                  <c:v>15.71</c:v>
                </c:pt>
                <c:pt idx="19">
                  <c:v>14.5</c:v>
                </c:pt>
                <c:pt idx="20">
                  <c:v>16.37</c:v>
                </c:pt>
                <c:pt idx="21">
                  <c:v>17.79</c:v>
                </c:pt>
                <c:pt idx="22">
                  <c:v>15.86</c:v>
                </c:pt>
                <c:pt idx="23">
                  <c:v>15.53</c:v>
                </c:pt>
                <c:pt idx="24">
                  <c:v>16.71</c:v>
                </c:pt>
                <c:pt idx="25">
                  <c:v>15.41</c:v>
                </c:pt>
                <c:pt idx="26">
                  <c:v>16</c:v>
                </c:pt>
                <c:pt idx="27">
                  <c:v>17.399999999999999</c:v>
                </c:pt>
                <c:pt idx="28">
                  <c:v>16.8</c:v>
                </c:pt>
                <c:pt idx="29">
                  <c:v>17.142857142857142</c:v>
                </c:pt>
                <c:pt idx="30">
                  <c:v>15.842857142857143</c:v>
                </c:pt>
                <c:pt idx="31">
                  <c:v>16.25</c:v>
                </c:pt>
                <c:pt idx="32">
                  <c:v>16.8</c:v>
                </c:pt>
                <c:pt idx="33">
                  <c:v>16.571428571428573</c:v>
                </c:pt>
                <c:pt idx="34">
                  <c:v>15.928571428571429</c:v>
                </c:pt>
                <c:pt idx="35">
                  <c:v>16</c:v>
                </c:pt>
                <c:pt idx="36">
                  <c:v>15.2</c:v>
                </c:pt>
                <c:pt idx="37">
                  <c:v>16.333333333333332</c:v>
                </c:pt>
                <c:pt idx="38">
                  <c:v>16.25</c:v>
                </c:pt>
                <c:pt idx="39">
                  <c:v>16.342857142857145</c:v>
                </c:pt>
                <c:pt idx="40">
                  <c:v>17</c:v>
                </c:pt>
                <c:pt idx="41">
                  <c:v>17.16</c:v>
                </c:pt>
                <c:pt idx="42">
                  <c:v>17.114285714285714</c:v>
                </c:pt>
                <c:pt idx="43">
                  <c:v>17.757142857142856</c:v>
                </c:pt>
                <c:pt idx="44">
                  <c:v>17.78</c:v>
                </c:pt>
                <c:pt idx="45">
                  <c:v>18.2</c:v>
                </c:pt>
                <c:pt idx="46">
                  <c:v>18.7</c:v>
                </c:pt>
                <c:pt idx="47">
                  <c:v>18.071428571428573</c:v>
                </c:pt>
                <c:pt idx="48">
                  <c:v>18.071428571428573</c:v>
                </c:pt>
                <c:pt idx="49">
                  <c:v>18.100000000000001</c:v>
                </c:pt>
                <c:pt idx="50">
                  <c:v>18.04</c:v>
                </c:pt>
                <c:pt idx="51">
                  <c:v>18.04</c:v>
                </c:pt>
                <c:pt idx="52">
                  <c:v>18.100000000000001</c:v>
                </c:pt>
                <c:pt idx="53">
                  <c:v>18.314285714285713</c:v>
                </c:pt>
                <c:pt idx="54">
                  <c:v>18.989999999999998</c:v>
                </c:pt>
                <c:pt idx="55">
                  <c:v>18.399999999999999</c:v>
                </c:pt>
                <c:pt idx="56">
                  <c:v>18.399999999999999</c:v>
                </c:pt>
                <c:pt idx="57">
                  <c:v>18.885714285714283</c:v>
                </c:pt>
                <c:pt idx="58">
                  <c:v>19</c:v>
                </c:pt>
                <c:pt idx="59">
                  <c:v>19</c:v>
                </c:pt>
                <c:pt idx="60">
                  <c:v>19</c:v>
                </c:pt>
                <c:pt idx="61">
                  <c:v>19.833333333333332</c:v>
                </c:pt>
                <c:pt idx="62">
                  <c:v>19.833333333333332</c:v>
                </c:pt>
                <c:pt idx="63">
                  <c:v>18.829999999999998</c:v>
                </c:pt>
                <c:pt idx="64">
                  <c:v>19.100000000000001</c:v>
                </c:pt>
                <c:pt idx="65">
                  <c:v>19.72</c:v>
                </c:pt>
                <c:pt idx="66">
                  <c:v>19.727999999999998</c:v>
                </c:pt>
                <c:pt idx="67">
                  <c:v>19.727999999999998</c:v>
                </c:pt>
                <c:pt idx="68">
                  <c:v>19.727999999999998</c:v>
                </c:pt>
                <c:pt idx="69">
                  <c:v>19.9725</c:v>
                </c:pt>
                <c:pt idx="70">
                  <c:v>21.48</c:v>
                </c:pt>
                <c:pt idx="71">
                  <c:v>21.561666666666667</c:v>
                </c:pt>
                <c:pt idx="72">
                  <c:v>23.094000000000001</c:v>
                </c:pt>
                <c:pt idx="73">
                  <c:v>23.094000000000001</c:v>
                </c:pt>
                <c:pt idx="74">
                  <c:v>23.094000000000001</c:v>
                </c:pt>
                <c:pt idx="75">
                  <c:v>23.094000000000001</c:v>
                </c:pt>
                <c:pt idx="76">
                  <c:v>23.22</c:v>
                </c:pt>
                <c:pt idx="77">
                  <c:v>23.22</c:v>
                </c:pt>
                <c:pt idx="78">
                  <c:v>23.22</c:v>
                </c:pt>
                <c:pt idx="79">
                  <c:v>22.52</c:v>
                </c:pt>
                <c:pt idx="80">
                  <c:v>22.52</c:v>
                </c:pt>
                <c:pt idx="81">
                  <c:v>22.52</c:v>
                </c:pt>
                <c:pt idx="82">
                  <c:v>22.52</c:v>
                </c:pt>
                <c:pt idx="83">
                  <c:v>22.52</c:v>
                </c:pt>
              </c:numCache>
            </c:numRef>
          </c:val>
          <c:smooth val="0"/>
          <c:extLst>
            <c:ext xmlns:c16="http://schemas.microsoft.com/office/drawing/2014/chart" uri="{C3380CC4-5D6E-409C-BE32-E72D297353CC}">
              <c16:uniqueId val="{00000000-38F2-4B4A-BFEB-A8C810869501}"/>
            </c:ext>
          </c:extLst>
        </c:ser>
        <c:dLbls>
          <c:showLegendKey val="0"/>
          <c:showVal val="0"/>
          <c:showCatName val="0"/>
          <c:showSerName val="0"/>
          <c:showPercent val="0"/>
          <c:showBubbleSize val="0"/>
        </c:dLbls>
        <c:marker val="1"/>
        <c:smooth val="0"/>
        <c:axId val="197118976"/>
        <c:axId val="195953792"/>
      </c:lineChart>
      <c:dateAx>
        <c:axId val="197118976"/>
        <c:scaling>
          <c:orientation val="minMax"/>
          <c:min val="38443"/>
        </c:scaling>
        <c:delete val="0"/>
        <c:axPos val="b"/>
        <c:majorGridlines>
          <c:spPr>
            <a:ln w="3175">
              <a:solidFill>
                <a:srgbClr val="000000"/>
              </a:solidFill>
              <a:prstDash val="solid"/>
            </a:ln>
          </c:spPr>
        </c:majorGridlines>
        <c:title>
          <c:tx>
            <c:rich>
              <a:bodyPr/>
              <a:lstStyle/>
              <a:p>
                <a:pPr>
                  <a:defRPr sz="1425" b="1" i="0" u="none" strike="noStrike" baseline="0">
                    <a:solidFill>
                      <a:srgbClr val="000000"/>
                    </a:solidFill>
                    <a:latin typeface="Arial"/>
                    <a:ea typeface="Arial"/>
                    <a:cs typeface="Arial"/>
                  </a:defRPr>
                </a:pPr>
                <a:r>
                  <a:rPr lang="pt-BR"/>
                  <a:t>Período</a:t>
                </a:r>
              </a:p>
            </c:rich>
          </c:tx>
          <c:layout>
            <c:manualLayout>
              <c:xMode val="edge"/>
              <c:yMode val="edge"/>
              <c:x val="0.49782197529877298"/>
              <c:y val="0.8825010498687663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2700000" vert="horz"/>
          <a:lstStyle/>
          <a:p>
            <a:pPr>
              <a:defRPr sz="1075" b="1" i="0" u="none" strike="noStrike" baseline="0">
                <a:solidFill>
                  <a:srgbClr val="000000"/>
                </a:solidFill>
                <a:latin typeface="Arial"/>
                <a:ea typeface="Arial"/>
                <a:cs typeface="Arial"/>
              </a:defRPr>
            </a:pPr>
            <a:endParaRPr lang="pt-BR"/>
          </a:p>
        </c:txPr>
        <c:crossAx val="195953792"/>
        <c:crosses val="autoZero"/>
        <c:auto val="1"/>
        <c:lblOffset val="100"/>
        <c:baseTimeUnit val="months"/>
        <c:majorUnit val="4"/>
        <c:majorTimeUnit val="months"/>
        <c:minorUnit val="2"/>
        <c:minorTimeUnit val="months"/>
      </c:dateAx>
      <c:valAx>
        <c:axId val="19595379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pt-BR"/>
                  <a:t>Valores em (R$/l)</a:t>
                </a:r>
              </a:p>
            </c:rich>
          </c:tx>
          <c:layout>
            <c:manualLayout>
              <c:xMode val="edge"/>
              <c:yMode val="edge"/>
              <c:x val="1.7429207135910042E-2"/>
              <c:y val="0.3500005249343831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075" b="1" i="0" u="none" strike="noStrike" baseline="0">
                <a:solidFill>
                  <a:srgbClr val="000000"/>
                </a:solidFill>
                <a:latin typeface="Arial"/>
                <a:ea typeface="Arial"/>
                <a:cs typeface="Arial"/>
              </a:defRPr>
            </a:pPr>
            <a:endParaRPr lang="pt-BR"/>
          </a:p>
        </c:txPr>
        <c:crossAx val="19711897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pt-BR"/>
              <a:t>VARIAÇÃO ACUMULADA DOS PREÇOS DO ÓLEO DIESEL
DE 2001 À 2010</a:t>
            </a:r>
          </a:p>
        </c:rich>
      </c:tx>
      <c:layout>
        <c:manualLayout>
          <c:xMode val="edge"/>
          <c:yMode val="edge"/>
          <c:x val="0.22986995943688859"/>
          <c:y val="1.2690355329949238E-2"/>
        </c:manualLayout>
      </c:layout>
      <c:overlay val="0"/>
      <c:spPr>
        <a:noFill/>
        <a:ln w="25400">
          <a:noFill/>
        </a:ln>
      </c:spPr>
    </c:title>
    <c:autoTitleDeleted val="0"/>
    <c:plotArea>
      <c:layout>
        <c:manualLayout>
          <c:layoutTarget val="inner"/>
          <c:xMode val="edge"/>
          <c:yMode val="edge"/>
          <c:x val="0.14805194805194805"/>
          <c:y val="0.24365512429499661"/>
          <c:w val="0.83116883116883122"/>
          <c:h val="0.4365487643618689"/>
        </c:manualLayout>
      </c:layout>
      <c:lineChart>
        <c:grouping val="standard"/>
        <c:varyColors val="0"/>
        <c:ser>
          <c:idx val="0"/>
          <c:order val="0"/>
          <c:tx>
            <c:strRef>
              <c:f>Diesel_S500!$E$399</c:f>
              <c:strCache>
                <c:ptCount val="1"/>
                <c:pt idx="0">
                  <c:v>ÓLEO DIESEL  (%) ACUM.</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Diesel_S500!$B$400:$B$410</c:f>
              <c:numCache>
                <c:formatCode>General</c:formatCode>
                <c:ptCount val="11"/>
                <c:pt idx="0">
                  <c:v>37226</c:v>
                </c:pt>
                <c:pt idx="1">
                  <c:v>37591</c:v>
                </c:pt>
                <c:pt idx="2">
                  <c:v>37956</c:v>
                </c:pt>
                <c:pt idx="3">
                  <c:v>38322</c:v>
                </c:pt>
                <c:pt idx="4">
                  <c:v>38687</c:v>
                </c:pt>
                <c:pt idx="5">
                  <c:v>39052</c:v>
                </c:pt>
                <c:pt idx="6">
                  <c:v>39417</c:v>
                </c:pt>
                <c:pt idx="7">
                  <c:v>39783</c:v>
                </c:pt>
                <c:pt idx="8">
                  <c:v>40148</c:v>
                </c:pt>
                <c:pt idx="9">
                  <c:v>40513</c:v>
                </c:pt>
                <c:pt idx="10">
                  <c:v>40878</c:v>
                </c:pt>
              </c:numCache>
            </c:numRef>
          </c:cat>
          <c:val>
            <c:numRef>
              <c:f>Diesel_S500!$E$400:$E$410</c:f>
              <c:numCache>
                <c:formatCode>#,##0.00</c:formatCode>
                <c:ptCount val="11"/>
                <c:pt idx="0">
                  <c:v>0</c:v>
                </c:pt>
                <c:pt idx="1">
                  <c:v>51.773835920177362</c:v>
                </c:pt>
                <c:pt idx="2">
                  <c:v>49.268292682926841</c:v>
                </c:pt>
                <c:pt idx="3">
                  <c:v>81.441241685144121</c:v>
                </c:pt>
                <c:pt idx="4">
                  <c:v>103.18736141906874</c:v>
                </c:pt>
                <c:pt idx="5">
                  <c:v>101.55210643015522</c:v>
                </c:pt>
                <c:pt idx="6">
                  <c:v>103.53381374722841</c:v>
                </c:pt>
                <c:pt idx="7">
                  <c:v>133.70288248337027</c:v>
                </c:pt>
                <c:pt idx="8">
                  <c:v>120.9534368070953</c:v>
                </c:pt>
                <c:pt idx="9">
                  <c:v>119.84478935698451</c:v>
                </c:pt>
                <c:pt idx="10">
                  <c:v>125.38802660753879</c:v>
                </c:pt>
              </c:numCache>
            </c:numRef>
          </c:val>
          <c:smooth val="0"/>
          <c:extLst>
            <c:ext xmlns:c16="http://schemas.microsoft.com/office/drawing/2014/chart" uri="{C3380CC4-5D6E-409C-BE32-E72D297353CC}">
              <c16:uniqueId val="{00000000-F174-4956-8283-9B6F794C230D}"/>
            </c:ext>
          </c:extLst>
        </c:ser>
        <c:dLbls>
          <c:showLegendKey val="0"/>
          <c:showVal val="0"/>
          <c:showCatName val="0"/>
          <c:showSerName val="0"/>
          <c:showPercent val="0"/>
          <c:showBubbleSize val="0"/>
        </c:dLbls>
        <c:marker val="1"/>
        <c:smooth val="0"/>
        <c:axId val="183032448"/>
        <c:axId val="191849600"/>
      </c:lineChart>
      <c:catAx>
        <c:axId val="183032448"/>
        <c:scaling>
          <c:orientation val="minMax"/>
        </c:scaling>
        <c:delete val="0"/>
        <c:axPos val="b"/>
        <c:title>
          <c:tx>
            <c:rich>
              <a:bodyPr/>
              <a:lstStyle/>
              <a:p>
                <a:pPr>
                  <a:defRPr sz="1200" b="1" i="0" u="none" strike="noStrike" baseline="0">
                    <a:solidFill>
                      <a:srgbClr val="FF0000"/>
                    </a:solidFill>
                    <a:latin typeface="Arial"/>
                    <a:ea typeface="Arial"/>
                    <a:cs typeface="Arial"/>
                  </a:defRPr>
                </a:pPr>
                <a:r>
                  <a:rPr lang="pt-BR"/>
                  <a:t>período</a:t>
                </a:r>
              </a:p>
            </c:rich>
          </c:tx>
          <c:layout>
            <c:manualLayout>
              <c:xMode val="edge"/>
              <c:yMode val="edge"/>
              <c:x val="0.52207809251116344"/>
              <c:y val="0.8096457359073769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840000" vert="horz"/>
          <a:lstStyle/>
          <a:p>
            <a:pPr>
              <a:defRPr sz="1200" b="1" i="0" u="none" strike="noStrike" baseline="0">
                <a:solidFill>
                  <a:srgbClr val="000000"/>
                </a:solidFill>
                <a:latin typeface="Arial"/>
                <a:ea typeface="Arial"/>
                <a:cs typeface="Arial"/>
              </a:defRPr>
            </a:pPr>
            <a:endParaRPr lang="pt-BR"/>
          </a:p>
        </c:txPr>
        <c:crossAx val="191849600"/>
        <c:crosses val="autoZero"/>
        <c:auto val="1"/>
        <c:lblAlgn val="ctr"/>
        <c:lblOffset val="100"/>
        <c:tickLblSkip val="2"/>
        <c:tickMarkSkip val="1"/>
        <c:noMultiLvlLbl val="0"/>
      </c:catAx>
      <c:valAx>
        <c:axId val="19184960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FF0000"/>
                    </a:solidFill>
                    <a:latin typeface="Arial"/>
                    <a:ea typeface="Arial"/>
                    <a:cs typeface="Arial"/>
                  </a:defRPr>
                </a:pPr>
                <a:r>
                  <a:rPr lang="pt-BR"/>
                  <a:t>Variação Acumulado</a:t>
                </a:r>
              </a:p>
            </c:rich>
          </c:tx>
          <c:layout>
            <c:manualLayout>
              <c:xMode val="edge"/>
              <c:yMode val="edge"/>
              <c:x val="2.5974025974025976E-2"/>
              <c:y val="0.2538073730631386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pt-BR"/>
          </a:p>
        </c:txPr>
        <c:crossAx val="183032448"/>
        <c:crosses val="autoZero"/>
        <c:crossBetween val="between"/>
      </c:valAx>
      <c:spPr>
        <a:blipFill dpi="0" rotWithShape="0">
          <a:blip xmlns:r="http://schemas.openxmlformats.org/officeDocument/2006/relationships" r:embed="rId1"/>
          <a:srcRect/>
          <a:tile tx="0" ty="0" sx="100000" sy="100000" flip="none" algn="tl"/>
        </a:blipFill>
        <a:ln w="12700">
          <a:solidFill>
            <a:srgbClr val="808080"/>
          </a:solidFill>
          <a:prstDash val="solid"/>
        </a:ln>
      </c:spPr>
    </c:plotArea>
    <c:legend>
      <c:legendPos val="b"/>
      <c:layout>
        <c:manualLayout>
          <c:xMode val="edge"/>
          <c:yMode val="edge"/>
          <c:x val="0.46883116883116882"/>
          <c:y val="0.91878279174494049"/>
          <c:w val="0.46883116883116882"/>
          <c:h val="5.5837563451776595E-2"/>
        </c:manualLayout>
      </c:layout>
      <c:overlay val="0"/>
      <c:spPr>
        <a:blipFill dpi="0" rotWithShape="0">
          <a:blip xmlns:r="http://schemas.openxmlformats.org/officeDocument/2006/relationships" r:embed="rId2"/>
          <a:srcRect/>
          <a:tile tx="0" ty="0" sx="100000" sy="100000" flip="none" algn="tl"/>
        </a:blipFill>
        <a:ln w="3175">
          <a:solidFill>
            <a:srgbClr val="000000"/>
          </a:solidFill>
          <a:prstDash val="solid"/>
        </a:ln>
      </c:spPr>
      <c:txPr>
        <a:bodyPr/>
        <a:lstStyle/>
        <a:p>
          <a:pPr>
            <a:defRPr sz="105" b="1" i="0" u="none" strike="noStrike" baseline="0">
              <a:solidFill>
                <a:srgbClr val="000000"/>
              </a:solidFill>
              <a:latin typeface="Arial"/>
              <a:ea typeface="Arial"/>
              <a:cs typeface="Arial"/>
            </a:defRPr>
          </a:pPr>
          <a:endParaRPr lang="pt-BR"/>
        </a:p>
      </c:txPr>
    </c:legend>
    <c:plotVisOnly val="1"/>
    <c:dispBlanksAs val="gap"/>
    <c:showDLblsOverMax val="0"/>
  </c:chart>
  <c:spPr>
    <a:blipFill dpi="0" rotWithShape="0">
      <a:blip xmlns:r="http://schemas.openxmlformats.org/officeDocument/2006/relationships" r:embed="rId2"/>
      <a:srcRect/>
      <a:tile tx="0" ty="0" sx="100000" sy="100000" flip="none" algn="tl"/>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pt-BR"/>
              <a:t>EVOLUÇÃO ACUMULADA NOS ÚLTIMOS 12 MESES DO PREÇO DO LITRO DO ÓLEO DIESEL NA BOMBA </a:t>
            </a:r>
          </a:p>
        </c:rich>
      </c:tx>
      <c:layout>
        <c:manualLayout>
          <c:xMode val="edge"/>
          <c:yMode val="edge"/>
          <c:x val="0.10389593346286261"/>
          <c:y val="1.2690355329949238E-2"/>
        </c:manualLayout>
      </c:layout>
      <c:overlay val="0"/>
      <c:spPr>
        <a:noFill/>
        <a:ln w="25400">
          <a:noFill/>
        </a:ln>
      </c:spPr>
    </c:title>
    <c:autoTitleDeleted val="0"/>
    <c:plotArea>
      <c:layout>
        <c:manualLayout>
          <c:layoutTarget val="inner"/>
          <c:xMode val="edge"/>
          <c:yMode val="edge"/>
          <c:x val="0.15454545454545454"/>
          <c:y val="0.20558401112390337"/>
          <c:w val="0.79870129870129869"/>
          <c:h val="0.50761484228124287"/>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dLbls>
            <c:numFmt formatCode="#,##0.00" sourceLinked="0"/>
            <c:spPr>
              <a:noFill/>
              <a:ln>
                <a:noFill/>
              </a:ln>
              <a:effectLst/>
            </c:spPr>
            <c:txPr>
              <a:bodyPr/>
              <a:lstStyle/>
              <a:p>
                <a:pPr>
                  <a:defRPr sz="1100" b="1" i="0" u="none" strike="noStrike" baseline="0">
                    <a:solidFill>
                      <a:srgbClr val="000000"/>
                    </a:solidFill>
                    <a:latin typeface="Arial"/>
                    <a:ea typeface="Arial"/>
                    <a:cs typeface="Aria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Diesel_S500!$B$220:$B$232</c:f>
              <c:strCache>
                <c:ptCount val="13"/>
                <c:pt idx="0">
                  <c:v>MARÇO|12</c:v>
                </c:pt>
                <c:pt idx="1">
                  <c:v>ABRIL|12</c:v>
                </c:pt>
                <c:pt idx="2">
                  <c:v>MAIO|12</c:v>
                </c:pt>
                <c:pt idx="3">
                  <c:v>JUNHO|12</c:v>
                </c:pt>
                <c:pt idx="4">
                  <c:v>JULHO|12</c:v>
                </c:pt>
                <c:pt idx="5">
                  <c:v>AGOSTO|12</c:v>
                </c:pt>
                <c:pt idx="6">
                  <c:v>SETEMBRO|12</c:v>
                </c:pt>
                <c:pt idx="7">
                  <c:v>OUTUBRO|12</c:v>
                </c:pt>
                <c:pt idx="8">
                  <c:v>NOVEMBRO|12</c:v>
                </c:pt>
                <c:pt idx="9">
                  <c:v>DEZEMBRO|12</c:v>
                </c:pt>
                <c:pt idx="10">
                  <c:v>JANEIRO|13</c:v>
                </c:pt>
                <c:pt idx="11">
                  <c:v>FEVEREIRO|13</c:v>
                </c:pt>
                <c:pt idx="12">
                  <c:v>MARÇO|13</c:v>
                </c:pt>
              </c:strCache>
            </c:strRef>
          </c:cat>
          <c:val>
            <c:numRef>
              <c:f>Diesel_S500!$G$220:$G$232</c:f>
              <c:numCache>
                <c:formatCode>#,##0.00_);[Red]\(#,##0.00\)</c:formatCode>
                <c:ptCount val="13"/>
                <c:pt idx="0">
                  <c:v>1.7430278884462247</c:v>
                </c:pt>
                <c:pt idx="1">
                  <c:v>1.6898608349900535</c:v>
                </c:pt>
                <c:pt idx="2">
                  <c:v>1.8407960199005258</c:v>
                </c:pt>
                <c:pt idx="3">
                  <c:v>1.7430278884462247</c:v>
                </c:pt>
                <c:pt idx="4">
                  <c:v>4.7287207565953171</c:v>
                </c:pt>
                <c:pt idx="5">
                  <c:v>6.1224489795918435</c:v>
                </c:pt>
                <c:pt idx="6">
                  <c:v>5.5281342546890544</c:v>
                </c:pt>
                <c:pt idx="7">
                  <c:v>5.7142857142857384</c:v>
                </c:pt>
                <c:pt idx="8">
                  <c:v>5.8591826686361204</c:v>
                </c:pt>
                <c:pt idx="9">
                  <c:v>5.8534185932120453</c:v>
                </c:pt>
                <c:pt idx="10">
                  <c:v>6.0784313725490202</c:v>
                </c:pt>
                <c:pt idx="11">
                  <c:v>10.485056344928934</c:v>
                </c:pt>
                <c:pt idx="12">
                  <c:v>13.607440039158103</c:v>
                </c:pt>
              </c:numCache>
            </c:numRef>
          </c:val>
          <c:smooth val="0"/>
          <c:extLst>
            <c:ext xmlns:c16="http://schemas.microsoft.com/office/drawing/2014/chart" uri="{C3380CC4-5D6E-409C-BE32-E72D297353CC}">
              <c16:uniqueId val="{00000000-4A41-4CD6-B219-2C681247B9D2}"/>
            </c:ext>
          </c:extLst>
        </c:ser>
        <c:dLbls>
          <c:showLegendKey val="0"/>
          <c:showVal val="0"/>
          <c:showCatName val="0"/>
          <c:showSerName val="0"/>
          <c:showPercent val="0"/>
          <c:showBubbleSize val="0"/>
        </c:dLbls>
        <c:marker val="1"/>
        <c:smooth val="0"/>
        <c:axId val="192354560"/>
        <c:axId val="192356352"/>
      </c:lineChart>
      <c:catAx>
        <c:axId val="192354560"/>
        <c:scaling>
          <c:orientation val="minMax"/>
        </c:scaling>
        <c:delete val="0"/>
        <c:axPos val="b"/>
        <c:numFmt formatCode="mmm/yy" sourceLinked="0"/>
        <c:majorTickMark val="out"/>
        <c:minorTickMark val="none"/>
        <c:tickLblPos val="low"/>
        <c:spPr>
          <a:ln w="25400">
            <a:solidFill>
              <a:srgbClr val="FF0000"/>
            </a:solidFill>
            <a:prstDash val="solid"/>
          </a:ln>
        </c:spPr>
        <c:txPr>
          <a:bodyPr rot="-2220000" vert="horz"/>
          <a:lstStyle/>
          <a:p>
            <a:pPr>
              <a:defRPr sz="1200" b="1" i="0" u="none" strike="noStrike" baseline="0">
                <a:solidFill>
                  <a:srgbClr val="000000"/>
                </a:solidFill>
                <a:latin typeface="Arial"/>
                <a:ea typeface="Arial"/>
                <a:cs typeface="Arial"/>
              </a:defRPr>
            </a:pPr>
            <a:endParaRPr lang="pt-BR"/>
          </a:p>
        </c:txPr>
        <c:crossAx val="192356352"/>
        <c:crosses val="autoZero"/>
        <c:auto val="1"/>
        <c:lblAlgn val="ctr"/>
        <c:lblOffset val="100"/>
        <c:tickLblSkip val="1"/>
        <c:tickMarkSkip val="1"/>
        <c:noMultiLvlLbl val="0"/>
      </c:catAx>
      <c:valAx>
        <c:axId val="192356352"/>
        <c:scaling>
          <c:logBase val="10"/>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pt-BR"/>
                  <a:t>Variação (%) Mensal</a:t>
                </a:r>
              </a:p>
            </c:rich>
          </c:tx>
          <c:layout>
            <c:manualLayout>
              <c:xMode val="edge"/>
              <c:yMode val="edge"/>
              <c:x val="5.7138085012100756E-2"/>
              <c:y val="0.2529613493744754"/>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pt-BR"/>
          </a:p>
        </c:txPr>
        <c:crossAx val="192354560"/>
        <c:crosses val="autoZero"/>
        <c:crossBetween val="between"/>
      </c:valAx>
      <c:spPr>
        <a:blipFill dpi="0" rotWithShape="0">
          <a:blip xmlns:r="http://schemas.openxmlformats.org/officeDocument/2006/relationships" r:embed="rId1"/>
          <a:srcRect/>
          <a:tile tx="0" ty="0" sx="100000" sy="100000" flip="none" algn="tl"/>
        </a:blipFill>
        <a:ln w="12700">
          <a:solidFill>
            <a:srgbClr val="808080"/>
          </a:solidFill>
          <a:prstDash val="solid"/>
        </a:ln>
      </c:spPr>
    </c:plotArea>
    <c:plotVisOnly val="1"/>
    <c:dispBlanksAs val="gap"/>
    <c:showDLblsOverMax val="0"/>
  </c:chart>
  <c:spPr>
    <a:blipFill dpi="0" rotWithShape="0">
      <a:blip xmlns:r="http://schemas.openxmlformats.org/officeDocument/2006/relationships" r:embed="rId2"/>
      <a:srcRect/>
      <a:tile tx="0" ty="0" sx="100000" sy="100000" flip="none" algn="tl"/>
    </a:blip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pt-BR"/>
              <a:t>GRÁFICO - EVOLUÇÃO DO PREÇO DO DIESEL NA BOMBA</a:t>
            </a:r>
          </a:p>
        </c:rich>
      </c:tx>
      <c:layout>
        <c:manualLayout>
          <c:xMode val="edge"/>
          <c:yMode val="edge"/>
          <c:x val="0.22677369779403445"/>
          <c:y val="2.9233012540099152E-2"/>
        </c:manualLayout>
      </c:layout>
      <c:overlay val="0"/>
      <c:spPr>
        <a:noFill/>
        <a:ln w="25400">
          <a:noFill/>
        </a:ln>
      </c:spPr>
    </c:title>
    <c:autoTitleDeleted val="0"/>
    <c:plotArea>
      <c:layout>
        <c:manualLayout>
          <c:layoutTarget val="inner"/>
          <c:xMode val="edge"/>
          <c:yMode val="edge"/>
          <c:x val="9.3916391132628979E-2"/>
          <c:y val="0.24166027245525981"/>
          <c:w val="0.86929927889835845"/>
          <c:h val="0.47552505225067254"/>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dPt>
            <c:idx val="43"/>
            <c:marker>
              <c:symbol val="diamond"/>
              <c:size val="7"/>
            </c:marker>
            <c:bubble3D val="0"/>
            <c:spPr>
              <a:ln w="25400">
                <a:solidFill>
                  <a:srgbClr val="000080"/>
                </a:solidFill>
                <a:prstDash val="solid"/>
              </a:ln>
            </c:spPr>
            <c:extLst>
              <c:ext xmlns:c16="http://schemas.microsoft.com/office/drawing/2014/chart" uri="{C3380CC4-5D6E-409C-BE32-E72D297353CC}">
                <c16:uniqueId val="{00000001-5EC7-4B98-80C2-964DD252E617}"/>
              </c:ext>
            </c:extLst>
          </c:dPt>
          <c:dLbls>
            <c:dLbl>
              <c:idx val="19"/>
              <c:spPr/>
              <c:txPr>
                <a:bodyPr/>
                <a:lstStyle/>
                <a:p>
                  <a:pPr>
                    <a:defRPr sz="1000" b="1" i="0" u="none" strike="noStrike" baseline="0">
                      <a:solidFill>
                        <a:srgbClr val="000000"/>
                      </a:solidFill>
                      <a:latin typeface="Arial"/>
                      <a:ea typeface="Arial"/>
                      <a:cs typeface="Arial"/>
                    </a:defRPr>
                  </a:pPr>
                  <a:endParaRPr lang="pt-BR"/>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C7-4B98-80C2-964DD252E6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25400">
                <a:solidFill>
                  <a:srgbClr val="FF0000"/>
                </a:solidFill>
                <a:prstDash val="solid"/>
              </a:ln>
            </c:spPr>
            <c:trendlineType val="linear"/>
            <c:dispRSqr val="0"/>
            <c:dispEq val="0"/>
          </c:trendline>
          <c:cat>
            <c:strRef>
              <c:f>Diesel_S500!$B$123:$B$238</c:f>
              <c:strCache>
                <c:ptCount val="33"/>
                <c:pt idx="0">
                  <c:v>JANEIRO|11</c:v>
                </c:pt>
                <c:pt idx="1">
                  <c:v>FEVEREIRO|11</c:v>
                </c:pt>
                <c:pt idx="2">
                  <c:v>MARÇO|11</c:v>
                </c:pt>
                <c:pt idx="3">
                  <c:v>ABRIL|11</c:v>
                </c:pt>
                <c:pt idx="4">
                  <c:v>MAIO|11</c:v>
                </c:pt>
                <c:pt idx="5">
                  <c:v>JUNHO|11</c:v>
                </c:pt>
                <c:pt idx="6">
                  <c:v>JULHO|11</c:v>
                </c:pt>
                <c:pt idx="7">
                  <c:v>AGOSTO|11</c:v>
                </c:pt>
                <c:pt idx="8">
                  <c:v>SETEMBRO|11</c:v>
                </c:pt>
                <c:pt idx="9">
                  <c:v>OUTUBRO|11</c:v>
                </c:pt>
                <c:pt idx="10">
                  <c:v>NOVEMBRO|11</c:v>
                </c:pt>
                <c:pt idx="11">
                  <c:v>DEZEMBRO|11</c:v>
                </c:pt>
                <c:pt idx="12">
                  <c:v>JANEIRO|12</c:v>
                </c:pt>
                <c:pt idx="13">
                  <c:v>FEVEREIRO|12</c:v>
                </c:pt>
                <c:pt idx="14">
                  <c:v>MARÇO|12</c:v>
                </c:pt>
                <c:pt idx="15">
                  <c:v>ABRIL|12</c:v>
                </c:pt>
                <c:pt idx="16">
                  <c:v>MAIO|12</c:v>
                </c:pt>
                <c:pt idx="17">
                  <c:v>JUNHO|12</c:v>
                </c:pt>
                <c:pt idx="18">
                  <c:v>JULHO|12</c:v>
                </c:pt>
                <c:pt idx="19">
                  <c:v>AGOSTO|12</c:v>
                </c:pt>
                <c:pt idx="20">
                  <c:v>SETEMBRO|12</c:v>
                </c:pt>
                <c:pt idx="21">
                  <c:v>OUTUBRO|12</c:v>
                </c:pt>
                <c:pt idx="22">
                  <c:v>NOVEMBRO|12</c:v>
                </c:pt>
                <c:pt idx="23">
                  <c:v>DEZEMBRO|12</c:v>
                </c:pt>
                <c:pt idx="24">
                  <c:v>JANEIRO|13</c:v>
                </c:pt>
                <c:pt idx="25">
                  <c:v>FEVEREIRO|13</c:v>
                </c:pt>
                <c:pt idx="26">
                  <c:v>MARÇO|13</c:v>
                </c:pt>
                <c:pt idx="27">
                  <c:v>ABRIL|13</c:v>
                </c:pt>
                <c:pt idx="28">
                  <c:v>MAIO|13</c:v>
                </c:pt>
                <c:pt idx="29">
                  <c:v>JUNHO|13</c:v>
                </c:pt>
                <c:pt idx="30">
                  <c:v>JULHO|13</c:v>
                </c:pt>
                <c:pt idx="31">
                  <c:v>AGOSTO|13</c:v>
                </c:pt>
                <c:pt idx="32">
                  <c:v>SETEMBRO|13</c:v>
                </c:pt>
              </c:strCache>
            </c:strRef>
          </c:cat>
          <c:val>
            <c:numRef>
              <c:f>Diesel_S500!$C$123:$C$238</c:f>
              <c:numCache>
                <c:formatCode>#,##0.000</c:formatCode>
                <c:ptCount val="33"/>
                <c:pt idx="0">
                  <c:v>1.9950000000000001</c:v>
                </c:pt>
                <c:pt idx="1">
                  <c:v>2</c:v>
                </c:pt>
                <c:pt idx="2">
                  <c:v>2.008</c:v>
                </c:pt>
                <c:pt idx="3">
                  <c:v>2.012</c:v>
                </c:pt>
                <c:pt idx="4">
                  <c:v>2.0099999999999998</c:v>
                </c:pt>
                <c:pt idx="5">
                  <c:v>2.008</c:v>
                </c:pt>
                <c:pt idx="6">
                  <c:v>2.0089999999999999</c:v>
                </c:pt>
                <c:pt idx="7">
                  <c:v>2.0089999999999999</c:v>
                </c:pt>
                <c:pt idx="8">
                  <c:v>2.0259999999999998</c:v>
                </c:pt>
                <c:pt idx="9">
                  <c:v>2.0299999999999998</c:v>
                </c:pt>
                <c:pt idx="10">
                  <c:v>2.0310000000000001</c:v>
                </c:pt>
                <c:pt idx="11">
                  <c:v>2.0329999999999999</c:v>
                </c:pt>
                <c:pt idx="12">
                  <c:v>2.04</c:v>
                </c:pt>
                <c:pt idx="13">
                  <c:v>2.0409999999999999</c:v>
                </c:pt>
                <c:pt idx="14">
                  <c:v>2.0430000000000001</c:v>
                </c:pt>
                <c:pt idx="15">
                  <c:v>2.0459999999999998</c:v>
                </c:pt>
                <c:pt idx="16">
                  <c:v>2.0470000000000002</c:v>
                </c:pt>
                <c:pt idx="17">
                  <c:v>2.0430000000000001</c:v>
                </c:pt>
                <c:pt idx="18">
                  <c:v>2.1039999999999996</c:v>
                </c:pt>
                <c:pt idx="19">
                  <c:v>2.1320000000000001</c:v>
                </c:pt>
                <c:pt idx="20">
                  <c:v>2.1379999999999999</c:v>
                </c:pt>
                <c:pt idx="21">
                  <c:v>2.1460000000000004</c:v>
                </c:pt>
                <c:pt idx="22">
                  <c:v>2.15</c:v>
                </c:pt>
                <c:pt idx="23">
                  <c:v>2.1520000000000006</c:v>
                </c:pt>
                <c:pt idx="24">
                  <c:v>2.1640000000000001</c:v>
                </c:pt>
                <c:pt idx="25">
                  <c:v>2.2549999999999994</c:v>
                </c:pt>
                <c:pt idx="26">
                  <c:v>2.3210000000000002</c:v>
                </c:pt>
                <c:pt idx="27">
                  <c:v>2.3340000000000001</c:v>
                </c:pt>
                <c:pt idx="28">
                  <c:v>2.3340000000000001</c:v>
                </c:pt>
                <c:pt idx="29">
                  <c:v>2.3340000000000001</c:v>
                </c:pt>
                <c:pt idx="30">
                  <c:v>2.3330000000000006</c:v>
                </c:pt>
                <c:pt idx="31">
                  <c:v>2.331</c:v>
                </c:pt>
                <c:pt idx="32">
                  <c:v>2.3300000000000005</c:v>
                </c:pt>
              </c:numCache>
            </c:numRef>
          </c:val>
          <c:smooth val="0"/>
          <c:extLst>
            <c:ext xmlns:c16="http://schemas.microsoft.com/office/drawing/2014/chart" uri="{C3380CC4-5D6E-409C-BE32-E72D297353CC}">
              <c16:uniqueId val="{00000003-5EC7-4B98-80C2-964DD252E617}"/>
            </c:ext>
          </c:extLst>
        </c:ser>
        <c:dLbls>
          <c:showLegendKey val="0"/>
          <c:showVal val="0"/>
          <c:showCatName val="0"/>
          <c:showSerName val="0"/>
          <c:showPercent val="0"/>
          <c:showBubbleSize val="0"/>
        </c:dLbls>
        <c:marker val="1"/>
        <c:smooth val="0"/>
        <c:axId val="192391808"/>
        <c:axId val="192414464"/>
      </c:lineChart>
      <c:catAx>
        <c:axId val="192391808"/>
        <c:scaling>
          <c:orientation val="minMax"/>
        </c:scaling>
        <c:delete val="0"/>
        <c:axPos val="b"/>
        <c:title>
          <c:tx>
            <c:rich>
              <a:bodyPr/>
              <a:lstStyle/>
              <a:p>
                <a:pPr>
                  <a:defRPr sz="1200" b="1" i="1" u="none" strike="noStrike" baseline="0">
                    <a:solidFill>
                      <a:srgbClr val="FF0000"/>
                    </a:solidFill>
                    <a:latin typeface="Arial"/>
                    <a:ea typeface="Arial"/>
                    <a:cs typeface="Arial"/>
                  </a:defRPr>
                </a:pPr>
                <a:r>
                  <a:rPr lang="pt-BR"/>
                  <a:t>Mês</a:t>
                </a:r>
              </a:p>
            </c:rich>
          </c:tx>
          <c:layout>
            <c:manualLayout>
              <c:xMode val="edge"/>
              <c:yMode val="edge"/>
              <c:x val="0.50508689890815106"/>
              <c:y val="0.822424419169826"/>
            </c:manualLayout>
          </c:layout>
          <c:overlay val="0"/>
          <c:spPr>
            <a:noFill/>
            <a:ln w="25400">
              <a:noFill/>
            </a:ln>
          </c:spPr>
        </c:title>
        <c:numFmt formatCode="mmm/yy" sourceLinked="0"/>
        <c:majorTickMark val="out"/>
        <c:minorTickMark val="none"/>
        <c:tickLblPos val="nextTo"/>
        <c:txPr>
          <a:bodyPr rot="-2340000" vert="horz"/>
          <a:lstStyle/>
          <a:p>
            <a:pPr>
              <a:defRPr sz="1050" b="1" i="0" u="none" strike="noStrike" baseline="0">
                <a:solidFill>
                  <a:srgbClr val="000000"/>
                </a:solidFill>
                <a:latin typeface="Arial"/>
                <a:ea typeface="Arial"/>
                <a:cs typeface="Arial"/>
              </a:defRPr>
            </a:pPr>
            <a:endParaRPr lang="pt-BR"/>
          </a:p>
        </c:txPr>
        <c:crossAx val="192414464"/>
        <c:crosses val="autoZero"/>
        <c:auto val="1"/>
        <c:lblAlgn val="ctr"/>
        <c:lblOffset val="100"/>
        <c:tickLblSkip val="6"/>
        <c:tickMarkSkip val="1"/>
        <c:noMultiLvlLbl val="0"/>
      </c:catAx>
      <c:valAx>
        <c:axId val="192414464"/>
        <c:scaling>
          <c:orientation val="minMax"/>
          <c:max val="2.5"/>
          <c:min val="1.2"/>
        </c:scaling>
        <c:delete val="0"/>
        <c:axPos val="l"/>
        <c:majorGridlines>
          <c:spPr>
            <a:ln w="3175">
              <a:solidFill>
                <a:srgbClr val="000000"/>
              </a:solidFill>
              <a:prstDash val="solid"/>
            </a:ln>
          </c:spPr>
        </c:majorGridlines>
        <c:title>
          <c:tx>
            <c:rich>
              <a:bodyPr/>
              <a:lstStyle/>
              <a:p>
                <a:pPr>
                  <a:defRPr sz="1200" b="1" i="1" u="none" strike="noStrike" baseline="0">
                    <a:solidFill>
                      <a:srgbClr val="FF0000"/>
                    </a:solidFill>
                    <a:latin typeface="Arial"/>
                    <a:ea typeface="Arial"/>
                    <a:cs typeface="Arial"/>
                  </a:defRPr>
                </a:pPr>
                <a:r>
                  <a:rPr lang="pt-BR"/>
                  <a:t>R$/itro </a:t>
                </a:r>
              </a:p>
            </c:rich>
          </c:tx>
          <c:layout>
            <c:manualLayout>
              <c:xMode val="edge"/>
              <c:yMode val="edge"/>
              <c:x val="1.9470466052661357E-2"/>
              <c:y val="0.42290555785789935"/>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pt-BR"/>
          </a:p>
        </c:txPr>
        <c:crossAx val="1923918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333399"/>
                </a:solidFill>
                <a:latin typeface="Calibri"/>
                <a:ea typeface="Calibri"/>
                <a:cs typeface="Calibri"/>
              </a:defRPr>
            </a:pPr>
            <a:r>
              <a:rPr lang="pt-BR"/>
              <a:t>AUMENTO DE PREÇO DO ÓLEO DIESEL NAS REFINARIAS</a:t>
            </a:r>
          </a:p>
        </c:rich>
      </c:tx>
      <c:layout>
        <c:manualLayout>
          <c:xMode val="edge"/>
          <c:yMode val="edge"/>
          <c:x val="0.22965674057451518"/>
          <c:y val="3.6912619965057562E-2"/>
        </c:manualLayout>
      </c:layout>
      <c:overlay val="0"/>
      <c:spPr>
        <a:noFill/>
        <a:ln w="25400">
          <a:noFill/>
        </a:ln>
      </c:spPr>
    </c:title>
    <c:autoTitleDeleted val="0"/>
    <c:plotArea>
      <c:layout>
        <c:manualLayout>
          <c:layoutTarget val="inner"/>
          <c:xMode val="edge"/>
          <c:yMode val="edge"/>
          <c:x val="0.14104894913482313"/>
          <c:y val="0.16107408942771051"/>
          <c:w val="0.83363545578401876"/>
          <c:h val="0.52684650083646978"/>
        </c:manualLayout>
      </c:layout>
      <c:lineChart>
        <c:grouping val="standard"/>
        <c:varyColors val="0"/>
        <c:ser>
          <c:idx val="0"/>
          <c:order val="0"/>
          <c:tx>
            <c:strRef>
              <c:f>'aumentos comb'!$B$57</c:f>
              <c:strCache>
                <c:ptCount val="1"/>
                <c:pt idx="0">
                  <c:v>VAR. (%)</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'aumentos comb'!$A$59:$A$81</c:f>
              <c:numCache>
                <c:formatCode>[$-416]d\-mmm\-yy;@</c:formatCode>
                <c:ptCount val="23"/>
                <c:pt idx="0">
                  <c:v>37293</c:v>
                </c:pt>
                <c:pt idx="1">
                  <c:v>37323</c:v>
                </c:pt>
                <c:pt idx="2">
                  <c:v>37341</c:v>
                </c:pt>
                <c:pt idx="3">
                  <c:v>37391</c:v>
                </c:pt>
                <c:pt idx="4">
                  <c:v>37437</c:v>
                </c:pt>
                <c:pt idx="5">
                  <c:v>37564</c:v>
                </c:pt>
                <c:pt idx="6">
                  <c:v>37591</c:v>
                </c:pt>
                <c:pt idx="7">
                  <c:v>37619</c:v>
                </c:pt>
                <c:pt idx="8">
                  <c:v>37741</c:v>
                </c:pt>
                <c:pt idx="9">
                  <c:v>38153</c:v>
                </c:pt>
                <c:pt idx="10">
                  <c:v>38275</c:v>
                </c:pt>
                <c:pt idx="11">
                  <c:v>38317</c:v>
                </c:pt>
                <c:pt idx="12">
                  <c:v>38472</c:v>
                </c:pt>
                <c:pt idx="13">
                  <c:v>38605</c:v>
                </c:pt>
                <c:pt idx="14">
                  <c:v>39630</c:v>
                </c:pt>
                <c:pt idx="15">
                  <c:v>39972</c:v>
                </c:pt>
                <c:pt idx="16">
                  <c:v>41082</c:v>
                </c:pt>
                <c:pt idx="17">
                  <c:v>41106</c:v>
                </c:pt>
                <c:pt idx="18">
                  <c:v>41304</c:v>
                </c:pt>
                <c:pt idx="19">
                  <c:v>41339</c:v>
                </c:pt>
                <c:pt idx="20">
                  <c:v>41608</c:v>
                </c:pt>
                <c:pt idx="21">
                  <c:v>41950</c:v>
                </c:pt>
                <c:pt idx="22">
                  <c:v>42036</c:v>
                </c:pt>
              </c:numCache>
            </c:numRef>
          </c:cat>
          <c:val>
            <c:numRef>
              <c:f>'aumentos comb'!$B$59:$B$81</c:f>
              <c:numCache>
                <c:formatCode>0.00</c:formatCode>
                <c:ptCount val="23"/>
                <c:pt idx="0">
                  <c:v>2.2000000000000002</c:v>
                </c:pt>
                <c:pt idx="1">
                  <c:v>2.8</c:v>
                </c:pt>
                <c:pt idx="2">
                  <c:v>8.25</c:v>
                </c:pt>
                <c:pt idx="3">
                  <c:v>4.3499999999999996</c:v>
                </c:pt>
                <c:pt idx="4">
                  <c:v>9.5</c:v>
                </c:pt>
                <c:pt idx="5">
                  <c:v>20.5</c:v>
                </c:pt>
                <c:pt idx="6">
                  <c:v>9.5</c:v>
                </c:pt>
                <c:pt idx="7">
                  <c:v>11.3</c:v>
                </c:pt>
                <c:pt idx="8">
                  <c:v>-10</c:v>
                </c:pt>
                <c:pt idx="9">
                  <c:v>10.6</c:v>
                </c:pt>
                <c:pt idx="10">
                  <c:v>4.8</c:v>
                </c:pt>
                <c:pt idx="11">
                  <c:v>8</c:v>
                </c:pt>
                <c:pt idx="12">
                  <c:v>3.04</c:v>
                </c:pt>
                <c:pt idx="13">
                  <c:v>12</c:v>
                </c:pt>
                <c:pt idx="14" formatCode="0.0000">
                  <c:v>1.8</c:v>
                </c:pt>
                <c:pt idx="15" formatCode="0.0000">
                  <c:v>-15</c:v>
                </c:pt>
                <c:pt idx="16" formatCode="0.0000">
                  <c:v>3.94</c:v>
                </c:pt>
                <c:pt idx="17" formatCode="0.0000">
                  <c:v>6</c:v>
                </c:pt>
                <c:pt idx="18" formatCode="0.0000">
                  <c:v>5.4</c:v>
                </c:pt>
                <c:pt idx="19" formatCode="0.0000">
                  <c:v>5</c:v>
                </c:pt>
                <c:pt idx="20" formatCode="0.0000">
                  <c:v>8</c:v>
                </c:pt>
                <c:pt idx="21" formatCode="0.0000">
                  <c:v>5</c:v>
                </c:pt>
                <c:pt idx="22" formatCode="0.0000">
                  <c:v>8.0810999999999993</c:v>
                </c:pt>
              </c:numCache>
            </c:numRef>
          </c:val>
          <c:smooth val="0"/>
          <c:extLst>
            <c:ext xmlns:c16="http://schemas.microsoft.com/office/drawing/2014/chart" uri="{C3380CC4-5D6E-409C-BE32-E72D297353CC}">
              <c16:uniqueId val="{00000000-ACDC-4444-BDEB-DB762E9E5654}"/>
            </c:ext>
          </c:extLst>
        </c:ser>
        <c:dLbls>
          <c:showLegendKey val="0"/>
          <c:showVal val="0"/>
          <c:showCatName val="0"/>
          <c:showSerName val="0"/>
          <c:showPercent val="0"/>
          <c:showBubbleSize val="0"/>
        </c:dLbls>
        <c:marker val="1"/>
        <c:smooth val="0"/>
        <c:axId val="192239104"/>
        <c:axId val="192249856"/>
      </c:lineChart>
      <c:dateAx>
        <c:axId val="192239104"/>
        <c:scaling>
          <c:orientation val="minMax"/>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pt-BR"/>
                  <a:t>PERÍODO</a:t>
                </a:r>
              </a:p>
            </c:rich>
          </c:tx>
          <c:layout>
            <c:manualLayout>
              <c:xMode val="edge"/>
              <c:yMode val="edge"/>
              <c:x val="0.5171795202774937"/>
              <c:y val="0.90268610040766173"/>
            </c:manualLayout>
          </c:layout>
          <c:overlay val="0"/>
          <c:spPr>
            <a:noFill/>
            <a:ln w="25400">
              <a:noFill/>
            </a:ln>
          </c:spPr>
        </c:title>
        <c:numFmt formatCode="[$-416]d\-mmm\-yy;@" sourceLinked="1"/>
        <c:majorTickMark val="none"/>
        <c:minorTickMark val="none"/>
        <c:tickLblPos val="none"/>
        <c:spPr>
          <a:ln w="25400">
            <a:solidFill>
              <a:srgbClr val="FF0000"/>
            </a:solidFill>
            <a:prstDash val="solid"/>
          </a:ln>
        </c:spPr>
        <c:crossAx val="192249856"/>
        <c:crosses val="autoZero"/>
        <c:auto val="0"/>
        <c:lblOffset val="100"/>
        <c:baseTimeUnit val="days"/>
        <c:majorUnit val="6"/>
        <c:majorTimeUnit val="months"/>
      </c:dateAx>
      <c:valAx>
        <c:axId val="1922498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pt-BR"/>
                  <a:t>VARIAÇÃO (%)</a:t>
                </a:r>
              </a:p>
            </c:rich>
          </c:tx>
          <c:layout>
            <c:manualLayout>
              <c:xMode val="edge"/>
              <c:yMode val="edge"/>
              <c:x val="4.6074013762151103E-2"/>
              <c:y val="0.32158022800341446"/>
            </c:manualLayout>
          </c:layout>
          <c:overlay val="0"/>
          <c:spPr>
            <a:noFill/>
            <a:ln w="25400">
              <a:noFill/>
            </a:ln>
          </c:spPr>
        </c:title>
        <c:numFmt formatCode="0.0_);[Red]\(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Calibri"/>
                <a:ea typeface="Calibri"/>
                <a:cs typeface="Calibri"/>
              </a:defRPr>
            </a:pPr>
            <a:endParaRPr lang="pt-BR"/>
          </a:p>
        </c:txPr>
        <c:crossAx val="192239104"/>
        <c:crosses val="autoZero"/>
        <c:crossBetween val="between"/>
      </c:valAx>
      <c:dTable>
        <c:showHorzBorder val="1"/>
        <c:showVertBorder val="1"/>
        <c:showOutline val="1"/>
        <c:showKeys val="1"/>
        <c:spPr>
          <a:ln w="9525"/>
        </c:spPr>
        <c:txPr>
          <a:bodyPr/>
          <a:lstStyle/>
          <a:p>
            <a:pPr rtl="0">
              <a:defRPr sz="800" b="1" i="0" u="none" strike="noStrike" baseline="0">
                <a:solidFill>
                  <a:srgbClr val="000000"/>
                </a:solidFill>
                <a:latin typeface="Arial"/>
                <a:ea typeface="Arial"/>
                <a:cs typeface="Arial"/>
              </a:defRPr>
            </a:pPr>
            <a:endParaRPr lang="pt-BR"/>
          </a:p>
        </c:txPr>
      </c:dTable>
      <c:spPr>
        <a:noFill/>
        <a:ln w="25400">
          <a:noFill/>
        </a:ln>
      </c:spPr>
    </c:plotArea>
    <c:plotVisOnly val="1"/>
    <c:dispBlanksAs val="gap"/>
    <c:showDLblsOverMax val="0"/>
  </c:chart>
  <c:spPr>
    <a:noFill/>
    <a:ln w="9525">
      <a:noFill/>
    </a:ln>
  </c:spPr>
  <c:txPr>
    <a:bodyPr/>
    <a:lstStyle/>
    <a:p>
      <a:pPr>
        <a:defRPr sz="800" b="1"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paperSize="9" orientation="landscape" horizontalDpi="300" verticalDpi="3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pt-BR"/>
              <a:t>AUMENTO ACUMULADO DE PREÇO DO ÓLEO DIESEL NAS REFINARIAS
DE 2002 À 2015</a:t>
            </a:r>
          </a:p>
        </c:rich>
      </c:tx>
      <c:layout>
        <c:manualLayout>
          <c:xMode val="edge"/>
          <c:yMode val="edge"/>
          <c:x val="0.24525428439092173"/>
          <c:y val="3.6912663853981002E-2"/>
        </c:manualLayout>
      </c:layout>
      <c:overlay val="0"/>
      <c:spPr>
        <a:noFill/>
        <a:ln w="25400">
          <a:noFill/>
        </a:ln>
      </c:spPr>
    </c:title>
    <c:autoTitleDeleted val="0"/>
    <c:plotArea>
      <c:layout>
        <c:manualLayout>
          <c:layoutTarget val="inner"/>
          <c:xMode val="edge"/>
          <c:yMode val="edge"/>
          <c:x val="0.142857268995526"/>
          <c:y val="0.17785264040976367"/>
          <c:w val="0.83363545578401876"/>
          <c:h val="0.5234907906400591"/>
        </c:manualLayout>
      </c:layout>
      <c:lineChart>
        <c:grouping val="standard"/>
        <c:varyColors val="0"/>
        <c:ser>
          <c:idx val="1"/>
          <c:order val="0"/>
          <c:tx>
            <c:strRef>
              <c:f>'aumentos comb'!$L$106</c:f>
              <c:strCache>
                <c:ptCount val="1"/>
                <c:pt idx="0">
                  <c:v>VARIAÇÃO ACUMULADA DO IPCA (PERÍODO)</c:v>
                </c:pt>
              </c:strCache>
            </c:strRef>
          </c:tx>
          <c:cat>
            <c:numRef>
              <c:f>'aumentos comb'!$G$107:$G$119</c:f>
              <c:numCache>
                <c:formatCode>mmm\-yy</c:formatCode>
                <c:ptCount val="13"/>
                <c:pt idx="0">
                  <c:v>37226</c:v>
                </c:pt>
                <c:pt idx="1">
                  <c:v>37619</c:v>
                </c:pt>
                <c:pt idx="2">
                  <c:v>37741</c:v>
                </c:pt>
                <c:pt idx="3">
                  <c:v>38317</c:v>
                </c:pt>
                <c:pt idx="4">
                  <c:v>38605</c:v>
                </c:pt>
                <c:pt idx="5">
                  <c:v>39972</c:v>
                </c:pt>
                <c:pt idx="6">
                  <c:v>41082</c:v>
                </c:pt>
                <c:pt idx="7">
                  <c:v>41106</c:v>
                </c:pt>
                <c:pt idx="8">
                  <c:v>41304</c:v>
                </c:pt>
                <c:pt idx="9">
                  <c:v>41339</c:v>
                </c:pt>
                <c:pt idx="10">
                  <c:v>41608</c:v>
                </c:pt>
                <c:pt idx="11">
                  <c:v>41950</c:v>
                </c:pt>
                <c:pt idx="12">
                  <c:v>42036</c:v>
                </c:pt>
              </c:numCache>
            </c:numRef>
          </c:cat>
          <c:val>
            <c:numRef>
              <c:f>'aumentos comb'!$L$108:$L$119</c:f>
              <c:numCache>
                <c:formatCode>0.00</c:formatCode>
                <c:ptCount val="12"/>
                <c:pt idx="0">
                  <c:v>12.530299999999997</c:v>
                </c:pt>
                <c:pt idx="1">
                  <c:v>19.453726707499982</c:v>
                </c:pt>
                <c:pt idx="2">
                  <c:v>31.220719128157668</c:v>
                </c:pt>
                <c:pt idx="3">
                  <c:v>37.593059690459256</c:v>
                </c:pt>
                <c:pt idx="4">
                  <c:v>63.706432626759977</c:v>
                </c:pt>
                <c:pt idx="5">
                  <c:v>92.158610617290861</c:v>
                </c:pt>
                <c:pt idx="6">
                  <c:v>92.984892642945198</c:v>
                </c:pt>
                <c:pt idx="7">
                  <c:v>100.47270647749147</c:v>
                </c:pt>
                <c:pt idx="8">
                  <c:v>102.61776443680063</c:v>
                </c:pt>
                <c:pt idx="9">
                  <c:v>108.59498848768627</c:v>
                </c:pt>
                <c:pt idx="10">
                  <c:v>122.27881973247844</c:v>
                </c:pt>
                <c:pt idx="11">
                  <c:v>124.56829157572301</c:v>
                </c:pt>
              </c:numCache>
            </c:numRef>
          </c:val>
          <c:smooth val="0"/>
          <c:extLst>
            <c:ext xmlns:c16="http://schemas.microsoft.com/office/drawing/2014/chart" uri="{C3380CC4-5D6E-409C-BE32-E72D297353CC}">
              <c16:uniqueId val="{00000000-A292-4DBB-A970-7264F46658C9}"/>
            </c:ext>
          </c:extLst>
        </c:ser>
        <c:ser>
          <c:idx val="2"/>
          <c:order val="1"/>
          <c:tx>
            <c:strRef>
              <c:f>'aumentos comb'!$H$106</c:f>
              <c:strCache>
                <c:ptCount val="1"/>
                <c:pt idx="0">
                  <c:v>REAJUSTE ACUMULADO DIESEL</c:v>
                </c:pt>
              </c:strCache>
            </c:strRef>
          </c:tx>
          <c:val>
            <c:numRef>
              <c:f>'aumentos comb'!$H$107:$H$119</c:f>
              <c:numCache>
                <c:formatCode>#,##0.00</c:formatCode>
                <c:ptCount val="13"/>
                <c:pt idx="0">
                  <c:v>0</c:v>
                </c:pt>
                <c:pt idx="1">
                  <c:v>90.84237756770824</c:v>
                </c:pt>
                <c:pt idx="2">
                  <c:v>71.758139810937422</c:v>
                </c:pt>
                <c:pt idx="3">
                  <c:v>115.00942265775427</c:v>
                </c:pt>
                <c:pt idx="4">
                  <c:v>148.13119419933602</c:v>
                </c:pt>
                <c:pt idx="5">
                  <c:v>114.70792234068546</c:v>
                </c:pt>
                <c:pt idx="6">
                  <c:v>123.16741448090849</c:v>
                </c:pt>
                <c:pt idx="7">
                  <c:v>136.55745934976301</c:v>
                </c:pt>
                <c:pt idx="8">
                  <c:v>149.33156215465021</c:v>
                </c:pt>
                <c:pt idx="9">
                  <c:v>161.79814026238273</c:v>
                </c:pt>
                <c:pt idx="10">
                  <c:v>182.74199148337334</c:v>
                </c:pt>
                <c:pt idx="11">
                  <c:v>196.87909105754204</c:v>
                </c:pt>
                <c:pt idx="12">
                  <c:v>220.87018728499305</c:v>
                </c:pt>
              </c:numCache>
            </c:numRef>
          </c:val>
          <c:smooth val="0"/>
          <c:extLst>
            <c:ext xmlns:c16="http://schemas.microsoft.com/office/drawing/2014/chart" uri="{C3380CC4-5D6E-409C-BE32-E72D297353CC}">
              <c16:uniqueId val="{00000001-A292-4DBB-A970-7264F46658C9}"/>
            </c:ext>
          </c:extLst>
        </c:ser>
        <c:dLbls>
          <c:showLegendKey val="0"/>
          <c:showVal val="0"/>
          <c:showCatName val="0"/>
          <c:showSerName val="0"/>
          <c:showPercent val="0"/>
          <c:showBubbleSize val="0"/>
        </c:dLbls>
        <c:marker val="1"/>
        <c:smooth val="0"/>
        <c:axId val="192284160"/>
        <c:axId val="192286080"/>
      </c:lineChart>
      <c:dateAx>
        <c:axId val="192284160"/>
        <c:scaling>
          <c:orientation val="minMax"/>
          <c:max val="42036"/>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Calibri"/>
                    <a:ea typeface="Calibri"/>
                    <a:cs typeface="Calibri"/>
                  </a:defRPr>
                </a:pPr>
                <a:r>
                  <a:rPr lang="pt-BR"/>
                  <a:t>PERÍODO</a:t>
                </a:r>
              </a:p>
            </c:rich>
          </c:tx>
          <c:layout>
            <c:manualLayout>
              <c:xMode val="edge"/>
              <c:yMode val="edge"/>
              <c:x val="0.49741902115176778"/>
              <c:y val="0.82441832306778273"/>
            </c:manualLayout>
          </c:layout>
          <c:overlay val="0"/>
          <c:spPr>
            <a:noFill/>
            <a:ln w="25400">
              <a:noFill/>
            </a:ln>
          </c:spPr>
        </c:title>
        <c:numFmt formatCode="mmm\-yy" sourceLinked="0"/>
        <c:majorTickMark val="out"/>
        <c:minorTickMark val="none"/>
        <c:tickLblPos val="low"/>
        <c:spPr>
          <a:ln w="25400">
            <a:solidFill>
              <a:srgbClr val="FF0000"/>
            </a:solidFill>
            <a:prstDash val="solid"/>
          </a:ln>
        </c:spPr>
        <c:txPr>
          <a:bodyPr rot="-2640000" vert="horz"/>
          <a:lstStyle/>
          <a:p>
            <a:pPr>
              <a:defRPr sz="800" b="1" i="0" u="none" strike="noStrike" baseline="0">
                <a:solidFill>
                  <a:srgbClr val="000000"/>
                </a:solidFill>
                <a:latin typeface="Arial"/>
                <a:ea typeface="Arial"/>
                <a:cs typeface="Arial"/>
              </a:defRPr>
            </a:pPr>
            <a:endParaRPr lang="pt-BR"/>
          </a:p>
        </c:txPr>
        <c:crossAx val="192286080"/>
        <c:crosses val="autoZero"/>
        <c:auto val="1"/>
        <c:lblOffset val="100"/>
        <c:baseTimeUnit val="months"/>
        <c:majorUnit val="6"/>
        <c:majorTimeUnit val="months"/>
        <c:minorUnit val="3"/>
        <c:minorTimeUnit val="months"/>
      </c:dateAx>
      <c:valAx>
        <c:axId val="19228608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Calibri"/>
                    <a:ea typeface="Calibri"/>
                    <a:cs typeface="Calibri"/>
                  </a:defRPr>
                </a:pPr>
                <a:r>
                  <a:rPr lang="pt-BR"/>
                  <a:t>VARIAÇÃO (%)</a:t>
                </a:r>
              </a:p>
            </c:rich>
          </c:tx>
          <c:layout>
            <c:manualLayout>
              <c:xMode val="edge"/>
              <c:yMode val="edge"/>
              <c:x val="3.6776285317276516E-2"/>
              <c:y val="0.3266222954222413"/>
            </c:manualLayout>
          </c:layout>
          <c:overlay val="0"/>
          <c:spPr>
            <a:noFill/>
            <a:ln w="25400">
              <a:noFill/>
            </a:ln>
          </c:spPr>
        </c:title>
        <c:numFmt formatCode="0.0_);[Red]\(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Calibri"/>
                <a:ea typeface="Calibri"/>
                <a:cs typeface="Calibri"/>
              </a:defRPr>
            </a:pPr>
            <a:endParaRPr lang="pt-BR"/>
          </a:p>
        </c:txPr>
        <c:crossAx val="192284160"/>
        <c:crosses val="autoZero"/>
        <c:crossBetween val="between"/>
      </c:valAx>
      <c:spPr>
        <a:noFill/>
        <a:ln w="25400">
          <a:noFill/>
        </a:ln>
      </c:spPr>
    </c:plotArea>
    <c:legend>
      <c:legendPos val="b"/>
      <c:layout>
        <c:manualLayout>
          <c:xMode val="edge"/>
          <c:yMode val="edge"/>
          <c:x val="0.37776872008645979"/>
          <c:y val="0.92800156427437974"/>
          <c:w val="0.62223127991354021"/>
          <c:h val="5.671667832351901E-2"/>
        </c:manualLayout>
      </c:layout>
      <c:overlay val="0"/>
      <c:txPr>
        <a:bodyPr/>
        <a:lstStyle/>
        <a:p>
          <a:pPr>
            <a:defRPr sz="735" b="1" i="0" u="none" strike="noStrike" baseline="0">
              <a:solidFill>
                <a:srgbClr val="000000"/>
              </a:solidFill>
              <a:latin typeface="Arial"/>
              <a:ea typeface="Arial"/>
              <a:cs typeface="Arial"/>
            </a:defRPr>
          </a:pPr>
          <a:endParaRPr lang="pt-BR"/>
        </a:p>
      </c:txPr>
    </c:legend>
    <c:plotVisOnly val="1"/>
    <c:dispBlanksAs val="gap"/>
    <c:showDLblsOverMax val="0"/>
  </c:chart>
  <c:spPr>
    <a:blipFill dpi="0" rotWithShape="0">
      <a:blip xmlns:r="http://schemas.openxmlformats.org/officeDocument/2006/relationships" r:embed="rId1"/>
      <a:srcRect/>
      <a:tile tx="0" ty="0" sx="100000" sy="100000" flip="none" algn="tl"/>
    </a:blipFill>
    <a:ln w="9525">
      <a:noFill/>
    </a:ln>
  </c:spPr>
  <c:txPr>
    <a:bodyPr/>
    <a:lstStyle/>
    <a:p>
      <a:pPr>
        <a:defRPr sz="800" b="1"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pt-BR" sz="1150" b="1" i="0" u="none" strike="noStrike" baseline="0">
                <a:solidFill>
                  <a:srgbClr val="000000"/>
                </a:solidFill>
                <a:latin typeface="Arial"/>
                <a:cs typeface="Arial"/>
              </a:rPr>
              <a:t>EVOLUÇÃO ACUMULADA DO PREÇO DO MB 1620 - TRANSFERÊNCIA </a:t>
            </a:r>
          </a:p>
          <a:p>
            <a:pPr>
              <a:defRPr sz="1200" b="0" i="0" u="none" strike="noStrike" baseline="0">
                <a:solidFill>
                  <a:srgbClr val="000000"/>
                </a:solidFill>
                <a:latin typeface="Arial"/>
                <a:ea typeface="Arial"/>
                <a:cs typeface="Arial"/>
              </a:defRPr>
            </a:pPr>
            <a:r>
              <a:rPr lang="pt-BR" sz="900" b="1" i="0" u="none" strike="noStrike" baseline="0">
                <a:solidFill>
                  <a:srgbClr val="000000"/>
                </a:solidFill>
                <a:latin typeface="Arial"/>
                <a:cs typeface="Arial"/>
              </a:rPr>
              <a:t>EM (%)</a:t>
            </a:r>
          </a:p>
        </c:rich>
      </c:tx>
      <c:layout>
        <c:manualLayout>
          <c:xMode val="edge"/>
          <c:yMode val="edge"/>
          <c:x val="0.22959748248523199"/>
          <c:y val="3.0732780024118604E-2"/>
        </c:manualLayout>
      </c:layout>
      <c:overlay val="0"/>
      <c:spPr>
        <a:noFill/>
        <a:ln w="25400">
          <a:noFill/>
        </a:ln>
      </c:spPr>
    </c:title>
    <c:autoTitleDeleted val="0"/>
    <c:plotArea>
      <c:layout>
        <c:manualLayout>
          <c:layoutTarget val="inner"/>
          <c:xMode val="edge"/>
          <c:yMode val="edge"/>
          <c:x val="9.9020727257850355E-2"/>
          <c:y val="0.21276644865185582"/>
          <c:w val="0.88574584602077133"/>
          <c:h val="0.52718797832626496"/>
        </c:manualLayout>
      </c:layout>
      <c:lineChart>
        <c:grouping val="standard"/>
        <c:varyColors val="0"/>
        <c:ser>
          <c:idx val="0"/>
          <c:order val="0"/>
          <c:trendline>
            <c:spPr>
              <a:ln w="25400">
                <a:solidFill>
                  <a:srgbClr val="FF0000"/>
                </a:solidFill>
                <a:prstDash val="solid"/>
              </a:ln>
            </c:spPr>
            <c:trendlineType val="linear"/>
            <c:dispRSqr val="0"/>
            <c:dispEq val="0"/>
          </c:trendline>
          <c:cat>
            <c:multiLvlStrRef>
              <c:f>'MB ATEGO 2426'!$A$124:$A$136</c:f>
            </c:multiLvlStrRef>
          </c:cat>
          <c:val>
            <c:numRef>
              <c:f>'MB ATEGO 2426'!$F$124:$F$136</c:f>
            </c:numRef>
          </c:val>
          <c:smooth val="0"/>
          <c:extLst>
            <c:ext xmlns:c16="http://schemas.microsoft.com/office/drawing/2014/chart" uri="{C3380CC4-5D6E-409C-BE32-E72D297353CC}">
              <c16:uniqueId val="{00000000-62F7-4E48-AFC3-9DC87045BE3E}"/>
            </c:ext>
          </c:extLst>
        </c:ser>
        <c:dLbls>
          <c:showLegendKey val="0"/>
          <c:showVal val="0"/>
          <c:showCatName val="0"/>
          <c:showSerName val="0"/>
          <c:showPercent val="0"/>
          <c:showBubbleSize val="0"/>
        </c:dLbls>
        <c:marker val="1"/>
        <c:smooth val="0"/>
        <c:axId val="194955904"/>
        <c:axId val="194466560"/>
      </c:lineChart>
      <c:catAx>
        <c:axId val="194955904"/>
        <c:scaling>
          <c:orientation val="minMax"/>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pt-BR"/>
                  <a:t>Período</a:t>
                </a:r>
              </a:p>
            </c:rich>
          </c:tx>
          <c:layout>
            <c:manualLayout>
              <c:xMode val="edge"/>
              <c:yMode val="edge"/>
              <c:x val="0.50598506582026082"/>
              <c:y val="0.89598306968385721"/>
            </c:manualLayout>
          </c:layout>
          <c:overlay val="0"/>
          <c:spPr>
            <a:noFill/>
            <a:ln w="25400">
              <a:noFill/>
            </a:ln>
          </c:spPr>
        </c:title>
        <c:numFmt formatCode="mmm/yy" sourceLinked="0"/>
        <c:majorTickMark val="out"/>
        <c:minorTickMark val="none"/>
        <c:tickLblPos val="low"/>
        <c:spPr>
          <a:ln w="3175">
            <a:solidFill>
              <a:srgbClr val="000000"/>
            </a:solidFill>
            <a:prstDash val="solid"/>
          </a:ln>
        </c:spPr>
        <c:txPr>
          <a:bodyPr rot="-2700000" vert="horz"/>
          <a:lstStyle/>
          <a:p>
            <a:pPr>
              <a:defRPr sz="1150" b="1" i="0" u="none" strike="noStrike" baseline="0">
                <a:solidFill>
                  <a:srgbClr val="000000"/>
                </a:solidFill>
                <a:latin typeface="Arial"/>
                <a:ea typeface="Arial"/>
                <a:cs typeface="Arial"/>
              </a:defRPr>
            </a:pPr>
            <a:endParaRPr lang="pt-BR"/>
          </a:p>
        </c:txPr>
        <c:crossAx val="194466560"/>
        <c:crosses val="autoZero"/>
        <c:auto val="1"/>
        <c:lblAlgn val="ctr"/>
        <c:lblOffset val="100"/>
        <c:tickMarkSkip val="1"/>
        <c:noMultiLvlLbl val="0"/>
      </c:catAx>
      <c:valAx>
        <c:axId val="194466560"/>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pt-BR"/>
                  <a:t>Valores em (R$/l)</a:t>
                </a:r>
              </a:p>
            </c:rich>
          </c:tx>
          <c:layout>
            <c:manualLayout>
              <c:xMode val="edge"/>
              <c:yMode val="edge"/>
              <c:x val="1.7410188067576823E-2"/>
              <c:y val="0.342790428223499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Arial"/>
                <a:ea typeface="Arial"/>
                <a:cs typeface="Arial"/>
              </a:defRPr>
            </a:pPr>
            <a:endParaRPr lang="pt-BR"/>
          </a:p>
        </c:txPr>
        <c:crossAx val="1949559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a:ea typeface="Arial"/>
                <a:cs typeface="Arial"/>
              </a:defRPr>
            </a:pPr>
            <a:r>
              <a:rPr lang="pt-BR" sz="200" b="1" i="0" u="none" strike="noStrike" baseline="0">
                <a:solidFill>
                  <a:srgbClr val="000000"/>
                </a:solidFill>
                <a:latin typeface="Arial"/>
                <a:cs typeface="Arial"/>
              </a:rPr>
              <a:t>EVOLUÇÃO DO PREÇO DO MB 710 - DISTRIBUIÇÃO E COLETA</a:t>
            </a:r>
          </a:p>
          <a:p>
            <a:pPr>
              <a:defRPr sz="250" b="0" i="0" u="none" strike="noStrike" baseline="0">
                <a:solidFill>
                  <a:srgbClr val="000000"/>
                </a:solidFill>
                <a:latin typeface="Arial"/>
                <a:ea typeface="Arial"/>
                <a:cs typeface="Arial"/>
              </a:defRPr>
            </a:pPr>
            <a:r>
              <a:rPr lang="pt-BR" sz="150" b="1" i="0" u="none" strike="noStrike" baseline="0">
                <a:solidFill>
                  <a:srgbClr val="000000"/>
                </a:solidFill>
                <a:latin typeface="Arial"/>
                <a:cs typeface="Arial"/>
              </a:rPr>
              <a:t>VALORES EM (R$)</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6"/>
            <c:spPr>
              <a:solidFill>
                <a:srgbClr val="000080"/>
              </a:solidFill>
              <a:ln>
                <a:solidFill>
                  <a:srgbClr val="000080"/>
                </a:solidFill>
                <a:prstDash val="solid"/>
              </a:ln>
            </c:spPr>
          </c:marker>
          <c:trendline>
            <c:spPr>
              <a:ln w="25400">
                <a:solidFill>
                  <a:srgbClr val="FF0000"/>
                </a:solidFill>
                <a:prstDash val="solid"/>
              </a:ln>
            </c:spPr>
            <c:trendlineType val="linear"/>
            <c:dispRSqr val="0"/>
            <c:dispEq val="0"/>
          </c:trendline>
          <c:cat>
            <c:numLit>
              <c:formatCode>General</c:formatCode>
              <c:ptCount val="46"/>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numLit>
          </c:cat>
          <c:val>
            <c:numLit>
              <c:formatCode>General</c:formatCode>
              <c:ptCount val="46"/>
              <c:pt idx="0">
                <c:v>80025</c:v>
              </c:pt>
              <c:pt idx="1">
                <c:v>82387.960000000006</c:v>
              </c:pt>
              <c:pt idx="2">
                <c:v>82343</c:v>
              </c:pt>
              <c:pt idx="3">
                <c:v>82629.5</c:v>
              </c:pt>
              <c:pt idx="4">
                <c:v>82146.17</c:v>
              </c:pt>
              <c:pt idx="5">
                <c:v>82028.570000000007</c:v>
              </c:pt>
              <c:pt idx="6">
                <c:v>84450</c:v>
              </c:pt>
              <c:pt idx="7">
                <c:v>85116.67</c:v>
              </c:pt>
              <c:pt idx="8">
                <c:v>84069.57</c:v>
              </c:pt>
              <c:pt idx="9">
                <c:v>84265.2</c:v>
              </c:pt>
              <c:pt idx="10">
                <c:v>85062.5</c:v>
              </c:pt>
              <c:pt idx="11">
                <c:v>87728.57</c:v>
              </c:pt>
              <c:pt idx="12">
                <c:v>87300</c:v>
              </c:pt>
              <c:pt idx="13">
                <c:v>86671.43</c:v>
              </c:pt>
              <c:pt idx="14">
                <c:v>87916.67</c:v>
              </c:pt>
              <c:pt idx="15">
                <c:v>88638.333333333328</c:v>
              </c:pt>
              <c:pt idx="16">
                <c:v>88775</c:v>
              </c:pt>
              <c:pt idx="17">
                <c:v>89296</c:v>
              </c:pt>
              <c:pt idx="18">
                <c:v>89248.333333333328</c:v>
              </c:pt>
              <c:pt idx="19">
                <c:v>89365</c:v>
              </c:pt>
              <c:pt idx="20">
                <c:v>89665</c:v>
              </c:pt>
              <c:pt idx="21">
                <c:v>89878</c:v>
              </c:pt>
              <c:pt idx="22">
                <c:v>90683.333333333328</c:v>
              </c:pt>
              <c:pt idx="23">
                <c:v>91166.666666666672</c:v>
              </c:pt>
              <c:pt idx="24">
                <c:v>91573.333333333328</c:v>
              </c:pt>
              <c:pt idx="25">
                <c:v>91848.333333333328</c:v>
              </c:pt>
              <c:pt idx="26">
                <c:v>92230</c:v>
              </c:pt>
              <c:pt idx="27">
                <c:v>92730</c:v>
              </c:pt>
              <c:pt idx="28">
                <c:v>93055</c:v>
              </c:pt>
              <c:pt idx="29">
                <c:v>93725</c:v>
              </c:pt>
              <c:pt idx="30">
                <c:v>94100</c:v>
              </c:pt>
              <c:pt idx="31">
                <c:v>95025</c:v>
              </c:pt>
              <c:pt idx="32">
                <c:v>95300</c:v>
              </c:pt>
              <c:pt idx="33">
                <c:v>95125</c:v>
              </c:pt>
              <c:pt idx="34">
                <c:v>94450</c:v>
              </c:pt>
              <c:pt idx="35">
                <c:v>94366.666666666672</c:v>
              </c:pt>
              <c:pt idx="36">
                <c:v>94225</c:v>
              </c:pt>
              <c:pt idx="37">
                <c:v>94475</c:v>
              </c:pt>
              <c:pt idx="38">
                <c:v>94666.666666666672</c:v>
              </c:pt>
              <c:pt idx="39">
                <c:v>94458.333333333328</c:v>
              </c:pt>
              <c:pt idx="40">
                <c:v>94391.666666666672</c:v>
              </c:pt>
              <c:pt idx="41">
                <c:v>94550</c:v>
              </c:pt>
              <c:pt idx="42">
                <c:v>94775</c:v>
              </c:pt>
              <c:pt idx="43">
                <c:v>95291.666666666672</c:v>
              </c:pt>
              <c:pt idx="44">
                <c:v>95581.666666666672</c:v>
              </c:pt>
              <c:pt idx="45">
                <c:v>95748.333333333328</c:v>
              </c:pt>
            </c:numLit>
          </c:val>
          <c:smooth val="0"/>
          <c:extLst>
            <c:ext xmlns:c16="http://schemas.microsoft.com/office/drawing/2014/chart" uri="{C3380CC4-5D6E-409C-BE32-E72D297353CC}">
              <c16:uniqueId val="{00000000-ABC1-43CB-8C50-B4B9DE31EEAE}"/>
            </c:ext>
          </c:extLst>
        </c:ser>
        <c:dLbls>
          <c:showLegendKey val="0"/>
          <c:showVal val="0"/>
          <c:showCatName val="0"/>
          <c:showSerName val="0"/>
          <c:showPercent val="0"/>
          <c:showBubbleSize val="0"/>
        </c:dLbls>
        <c:marker val="1"/>
        <c:smooth val="0"/>
        <c:axId val="194702336"/>
        <c:axId val="194704512"/>
      </c:lineChart>
      <c:catAx>
        <c:axId val="194702336"/>
        <c:scaling>
          <c:orientation val="minMax"/>
        </c:scaling>
        <c:delete val="0"/>
        <c:axPos val="b"/>
        <c:majorGridlines>
          <c:spPr>
            <a:ln w="3175">
              <a:solidFill>
                <a:srgbClr val="000000"/>
              </a:solidFill>
              <a:prstDash val="solid"/>
            </a:ln>
          </c:spPr>
        </c:majorGridlines>
        <c:title>
          <c:tx>
            <c:rich>
              <a:bodyPr/>
              <a:lstStyle/>
              <a:p>
                <a:pPr>
                  <a:defRPr sz="250" b="1" i="0" u="none" strike="noStrike" baseline="0">
                    <a:solidFill>
                      <a:srgbClr val="000000"/>
                    </a:solidFill>
                    <a:latin typeface="Arial"/>
                    <a:ea typeface="Arial"/>
                    <a:cs typeface="Arial"/>
                  </a:defRPr>
                </a:pPr>
                <a:r>
                  <a:rPr lang="pt-BR"/>
                  <a:t>Período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75" b="1" i="0" u="none" strike="noStrike" baseline="0">
                <a:solidFill>
                  <a:srgbClr val="000000"/>
                </a:solidFill>
                <a:latin typeface="Arial"/>
                <a:ea typeface="Arial"/>
                <a:cs typeface="Arial"/>
              </a:defRPr>
            </a:pPr>
            <a:endParaRPr lang="pt-BR"/>
          </a:p>
        </c:txPr>
        <c:crossAx val="194704512"/>
        <c:crosses val="autoZero"/>
        <c:auto val="1"/>
        <c:lblAlgn val="ctr"/>
        <c:lblOffset val="100"/>
        <c:tickLblSkip val="1"/>
        <c:tickMarkSkip val="1"/>
        <c:noMultiLvlLbl val="0"/>
      </c:catAx>
      <c:valAx>
        <c:axId val="194704512"/>
        <c:scaling>
          <c:orientation val="minMax"/>
        </c:scaling>
        <c:delete val="0"/>
        <c:axPos val="l"/>
        <c:majorGridlines>
          <c:spPr>
            <a:ln w="3175">
              <a:solidFill>
                <a:srgbClr val="000000"/>
              </a:solidFill>
              <a:prstDash val="solid"/>
            </a:ln>
          </c:spPr>
        </c:majorGridlines>
        <c:title>
          <c:tx>
            <c:rich>
              <a:bodyPr/>
              <a:lstStyle/>
              <a:p>
                <a:pPr>
                  <a:defRPr sz="150" b="1" i="0" u="none" strike="noStrike" baseline="0">
                    <a:solidFill>
                      <a:srgbClr val="000000"/>
                    </a:solidFill>
                    <a:latin typeface="Arial"/>
                    <a:ea typeface="Arial"/>
                    <a:cs typeface="Arial"/>
                  </a:defRPr>
                </a:pPr>
                <a:r>
                  <a:rPr lang="pt-BR"/>
                  <a:t>Valores em (R$/l)</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1" i="0" u="none" strike="noStrike" baseline="0">
                <a:solidFill>
                  <a:srgbClr val="000000"/>
                </a:solidFill>
                <a:latin typeface="Arial"/>
                <a:ea typeface="Arial"/>
                <a:cs typeface="Arial"/>
              </a:defRPr>
            </a:pPr>
            <a:endParaRPr lang="pt-BR"/>
          </a:p>
        </c:txPr>
        <c:crossAx val="1947023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pt-BR" sz="1125" b="1" i="0" u="none" strike="noStrike" baseline="0">
                <a:solidFill>
                  <a:srgbClr val="000000"/>
                </a:solidFill>
                <a:latin typeface="Arial"/>
                <a:cs typeface="Arial"/>
              </a:rPr>
              <a:t>EVOLUÇÃO DO PREÇO DO PNEU 1000/20 R - VEÍCULO TRANSFÊRENCIA</a:t>
            </a:r>
          </a:p>
          <a:p>
            <a:pPr>
              <a:defRPr sz="1200" b="0" i="0" u="none" strike="noStrike" baseline="0">
                <a:solidFill>
                  <a:srgbClr val="000000"/>
                </a:solidFill>
                <a:latin typeface="Arial"/>
                <a:ea typeface="Arial"/>
                <a:cs typeface="Arial"/>
              </a:defRPr>
            </a:pPr>
            <a:r>
              <a:rPr lang="pt-BR" sz="875" b="1" i="0" u="none" strike="noStrike" baseline="0">
                <a:solidFill>
                  <a:srgbClr val="000000"/>
                </a:solidFill>
                <a:latin typeface="Arial"/>
                <a:cs typeface="Arial"/>
              </a:rPr>
              <a:t>VALORES EM (R$)</a:t>
            </a:r>
          </a:p>
        </c:rich>
      </c:tx>
      <c:layout>
        <c:manualLayout>
          <c:xMode val="edge"/>
          <c:yMode val="edge"/>
          <c:x val="0.17189465619259492"/>
          <c:y val="3.1963470319634701E-2"/>
        </c:manualLayout>
      </c:layout>
      <c:overlay val="0"/>
      <c:spPr>
        <a:noFill/>
        <a:ln w="25400">
          <a:noFill/>
        </a:ln>
      </c:spPr>
    </c:title>
    <c:autoTitleDeleted val="0"/>
    <c:plotArea>
      <c:layout>
        <c:manualLayout>
          <c:layoutTarget val="inner"/>
          <c:xMode val="edge"/>
          <c:yMode val="edge"/>
          <c:x val="0.1468005018820577"/>
          <c:y val="0.20547991019172329"/>
          <c:w val="0.83563362609786696"/>
          <c:h val="0.53424776649848049"/>
        </c:manualLayout>
      </c:layout>
      <c:lineChart>
        <c:grouping val="standard"/>
        <c:varyColors val="0"/>
        <c:ser>
          <c:idx val="0"/>
          <c:order val="0"/>
          <c:spPr>
            <a:ln w="12700">
              <a:solidFill>
                <a:srgbClr val="000080"/>
              </a:solidFill>
              <a:prstDash val="solid"/>
            </a:ln>
          </c:spPr>
          <c:marker>
            <c:symbol val="diamond"/>
            <c:size val="6"/>
            <c:spPr>
              <a:solidFill>
                <a:srgbClr val="000080"/>
              </a:solidFill>
              <a:ln>
                <a:solidFill>
                  <a:srgbClr val="000080"/>
                </a:solidFill>
                <a:prstDash val="solid"/>
              </a:ln>
            </c:spPr>
          </c:marker>
          <c:trendline>
            <c:spPr>
              <a:ln w="25400">
                <a:solidFill>
                  <a:srgbClr val="FF0000"/>
                </a:solidFill>
                <a:prstDash val="solid"/>
              </a:ln>
            </c:spPr>
            <c:trendlineType val="linear"/>
            <c:dispRSqr val="0"/>
            <c:dispEq val="0"/>
          </c:trendline>
          <c:cat>
            <c:numRef>
              <c:f>'Pn1000'!$A$68:$A$147</c:f>
              <c:numCache>
                <c:formatCode>mmm\-yy</c:formatCode>
                <c:ptCount val="80"/>
                <c:pt idx="0">
                  <c:v>38473</c:v>
                </c:pt>
                <c:pt idx="1">
                  <c:v>38504</c:v>
                </c:pt>
                <c:pt idx="2">
                  <c:v>38534</c:v>
                </c:pt>
                <c:pt idx="3">
                  <c:v>38565</c:v>
                </c:pt>
                <c:pt idx="4">
                  <c:v>38596</c:v>
                </c:pt>
                <c:pt idx="5">
                  <c:v>38626</c:v>
                </c:pt>
                <c:pt idx="6">
                  <c:v>38657</c:v>
                </c:pt>
                <c:pt idx="7">
                  <c:v>38687</c:v>
                </c:pt>
                <c:pt idx="8">
                  <c:v>38718</c:v>
                </c:pt>
                <c:pt idx="9">
                  <c:v>38749</c:v>
                </c:pt>
                <c:pt idx="10">
                  <c:v>38777</c:v>
                </c:pt>
                <c:pt idx="11">
                  <c:v>38808</c:v>
                </c:pt>
                <c:pt idx="12">
                  <c:v>38838</c:v>
                </c:pt>
                <c:pt idx="13">
                  <c:v>38869</c:v>
                </c:pt>
                <c:pt idx="14">
                  <c:v>38899</c:v>
                </c:pt>
                <c:pt idx="15">
                  <c:v>38930</c:v>
                </c:pt>
                <c:pt idx="16">
                  <c:v>38961</c:v>
                </c:pt>
                <c:pt idx="17">
                  <c:v>38991</c:v>
                </c:pt>
                <c:pt idx="18">
                  <c:v>39022</c:v>
                </c:pt>
                <c:pt idx="19">
                  <c:v>39052</c:v>
                </c:pt>
                <c:pt idx="20">
                  <c:v>39083</c:v>
                </c:pt>
                <c:pt idx="21">
                  <c:v>39114</c:v>
                </c:pt>
                <c:pt idx="22">
                  <c:v>39142</c:v>
                </c:pt>
                <c:pt idx="23">
                  <c:v>39173</c:v>
                </c:pt>
                <c:pt idx="24">
                  <c:v>39203</c:v>
                </c:pt>
                <c:pt idx="25">
                  <c:v>39234</c:v>
                </c:pt>
                <c:pt idx="26">
                  <c:v>39264</c:v>
                </c:pt>
                <c:pt idx="27">
                  <c:v>39295</c:v>
                </c:pt>
                <c:pt idx="28">
                  <c:v>39326</c:v>
                </c:pt>
                <c:pt idx="29">
                  <c:v>39356</c:v>
                </c:pt>
                <c:pt idx="30">
                  <c:v>39387</c:v>
                </c:pt>
                <c:pt idx="31">
                  <c:v>39417</c:v>
                </c:pt>
                <c:pt idx="32">
                  <c:v>39448</c:v>
                </c:pt>
                <c:pt idx="33">
                  <c:v>39479</c:v>
                </c:pt>
                <c:pt idx="34">
                  <c:v>39508</c:v>
                </c:pt>
                <c:pt idx="35">
                  <c:v>39539</c:v>
                </c:pt>
                <c:pt idx="36">
                  <c:v>39569</c:v>
                </c:pt>
                <c:pt idx="37">
                  <c:v>39600</c:v>
                </c:pt>
                <c:pt idx="38">
                  <c:v>39630</c:v>
                </c:pt>
                <c:pt idx="39">
                  <c:v>39661</c:v>
                </c:pt>
                <c:pt idx="40">
                  <c:v>39692</c:v>
                </c:pt>
                <c:pt idx="41">
                  <c:v>39722</c:v>
                </c:pt>
                <c:pt idx="42">
                  <c:v>39753</c:v>
                </c:pt>
                <c:pt idx="43">
                  <c:v>39783</c:v>
                </c:pt>
                <c:pt idx="44">
                  <c:v>39814</c:v>
                </c:pt>
                <c:pt idx="45">
                  <c:v>39845</c:v>
                </c:pt>
                <c:pt idx="46">
                  <c:v>39873</c:v>
                </c:pt>
                <c:pt idx="47">
                  <c:v>39904</c:v>
                </c:pt>
                <c:pt idx="48">
                  <c:v>39934</c:v>
                </c:pt>
                <c:pt idx="49">
                  <c:v>39965</c:v>
                </c:pt>
                <c:pt idx="50">
                  <c:v>39995</c:v>
                </c:pt>
                <c:pt idx="51">
                  <c:v>40026</c:v>
                </c:pt>
                <c:pt idx="52">
                  <c:v>40057</c:v>
                </c:pt>
                <c:pt idx="53">
                  <c:v>40087</c:v>
                </c:pt>
                <c:pt idx="54">
                  <c:v>40118</c:v>
                </c:pt>
                <c:pt idx="55">
                  <c:v>40148</c:v>
                </c:pt>
                <c:pt idx="56">
                  <c:v>40179</c:v>
                </c:pt>
                <c:pt idx="57">
                  <c:v>40210</c:v>
                </c:pt>
                <c:pt idx="58">
                  <c:v>40238</c:v>
                </c:pt>
                <c:pt idx="59">
                  <c:v>40269</c:v>
                </c:pt>
                <c:pt idx="60">
                  <c:v>40299</c:v>
                </c:pt>
                <c:pt idx="61">
                  <c:v>40330</c:v>
                </c:pt>
                <c:pt idx="62">
                  <c:v>40360</c:v>
                </c:pt>
                <c:pt idx="63">
                  <c:v>40391</c:v>
                </c:pt>
                <c:pt idx="64">
                  <c:v>40422</c:v>
                </c:pt>
                <c:pt idx="65">
                  <c:v>40452</c:v>
                </c:pt>
                <c:pt idx="66">
                  <c:v>40483</c:v>
                </c:pt>
                <c:pt idx="67">
                  <c:v>40513</c:v>
                </c:pt>
                <c:pt idx="68">
                  <c:v>40544</c:v>
                </c:pt>
                <c:pt idx="69">
                  <c:v>40575</c:v>
                </c:pt>
                <c:pt idx="70">
                  <c:v>40603</c:v>
                </c:pt>
                <c:pt idx="71">
                  <c:v>40634</c:v>
                </c:pt>
                <c:pt idx="72">
                  <c:v>40664</c:v>
                </c:pt>
                <c:pt idx="73">
                  <c:v>40695</c:v>
                </c:pt>
                <c:pt idx="74">
                  <c:v>40725</c:v>
                </c:pt>
                <c:pt idx="75">
                  <c:v>40756</c:v>
                </c:pt>
                <c:pt idx="76">
                  <c:v>40787</c:v>
                </c:pt>
                <c:pt idx="77">
                  <c:v>40817</c:v>
                </c:pt>
                <c:pt idx="78">
                  <c:v>40848</c:v>
                </c:pt>
                <c:pt idx="79">
                  <c:v>40878</c:v>
                </c:pt>
              </c:numCache>
            </c:numRef>
          </c:cat>
          <c:val>
            <c:numRef>
              <c:f>'Pn1000'!$B$68:$B$147</c:f>
              <c:numCache>
                <c:formatCode>#,##0.00</c:formatCode>
                <c:ptCount val="80"/>
                <c:pt idx="0">
                  <c:v>1053.67</c:v>
                </c:pt>
                <c:pt idx="1">
                  <c:v>1055.67</c:v>
                </c:pt>
                <c:pt idx="2">
                  <c:v>1080.29</c:v>
                </c:pt>
                <c:pt idx="3">
                  <c:v>1003.59</c:v>
                </c:pt>
                <c:pt idx="4">
                  <c:v>1011.18</c:v>
                </c:pt>
                <c:pt idx="5">
                  <c:v>1050.22</c:v>
                </c:pt>
                <c:pt idx="6">
                  <c:v>1036.76</c:v>
                </c:pt>
                <c:pt idx="7">
                  <c:v>1025.5</c:v>
                </c:pt>
                <c:pt idx="8">
                  <c:v>975.14</c:v>
                </c:pt>
                <c:pt idx="9">
                  <c:v>1003</c:v>
                </c:pt>
                <c:pt idx="10">
                  <c:v>1003.97</c:v>
                </c:pt>
                <c:pt idx="11">
                  <c:v>999.21</c:v>
                </c:pt>
                <c:pt idx="12">
                  <c:v>994.88</c:v>
                </c:pt>
                <c:pt idx="13">
                  <c:v>978.75</c:v>
                </c:pt>
                <c:pt idx="14">
                  <c:v>992.33</c:v>
                </c:pt>
                <c:pt idx="15">
                  <c:v>982.43</c:v>
                </c:pt>
                <c:pt idx="16">
                  <c:v>945.5</c:v>
                </c:pt>
                <c:pt idx="17">
                  <c:v>950.53</c:v>
                </c:pt>
                <c:pt idx="18">
                  <c:v>969.38</c:v>
                </c:pt>
                <c:pt idx="19">
                  <c:v>921</c:v>
                </c:pt>
                <c:pt idx="20">
                  <c:v>942.83</c:v>
                </c:pt>
                <c:pt idx="21">
                  <c:v>921.29</c:v>
                </c:pt>
                <c:pt idx="22">
                  <c:v>896</c:v>
                </c:pt>
                <c:pt idx="23">
                  <c:v>962.8</c:v>
                </c:pt>
                <c:pt idx="24">
                  <c:v>948.7</c:v>
                </c:pt>
                <c:pt idx="25">
                  <c:v>933.22222222222217</c:v>
                </c:pt>
                <c:pt idx="26">
                  <c:v>995</c:v>
                </c:pt>
                <c:pt idx="27">
                  <c:v>1004</c:v>
                </c:pt>
                <c:pt idx="28">
                  <c:v>989.8</c:v>
                </c:pt>
                <c:pt idx="29">
                  <c:v>991.14285714285711</c:v>
                </c:pt>
                <c:pt idx="30">
                  <c:v>989</c:v>
                </c:pt>
                <c:pt idx="31">
                  <c:v>997</c:v>
                </c:pt>
                <c:pt idx="32">
                  <c:v>971.06</c:v>
                </c:pt>
                <c:pt idx="33">
                  <c:v>992.33333333333337</c:v>
                </c:pt>
                <c:pt idx="34">
                  <c:v>1003.8333333333334</c:v>
                </c:pt>
                <c:pt idx="35">
                  <c:v>998.42857142857144</c:v>
                </c:pt>
                <c:pt idx="36">
                  <c:v>1028</c:v>
                </c:pt>
                <c:pt idx="37">
                  <c:v>1015.8</c:v>
                </c:pt>
                <c:pt idx="38">
                  <c:v>1020.43</c:v>
                </c:pt>
                <c:pt idx="39">
                  <c:v>1026.5714285714287</c:v>
                </c:pt>
                <c:pt idx="40">
                  <c:v>1025.5999999999999</c:v>
                </c:pt>
                <c:pt idx="41">
                  <c:v>1078.8571428571429</c:v>
                </c:pt>
                <c:pt idx="42">
                  <c:v>1095.5999999999999</c:v>
                </c:pt>
                <c:pt idx="43">
                  <c:v>1097.5714285714287</c:v>
                </c:pt>
                <c:pt idx="44">
                  <c:v>1095.5999999999999</c:v>
                </c:pt>
                <c:pt idx="45">
                  <c:v>1099</c:v>
                </c:pt>
                <c:pt idx="46">
                  <c:v>1108.5999999999999</c:v>
                </c:pt>
                <c:pt idx="47">
                  <c:v>1115.5</c:v>
                </c:pt>
                <c:pt idx="48">
                  <c:v>1128.2857142857142</c:v>
                </c:pt>
                <c:pt idx="49">
                  <c:v>1134.1428571428571</c:v>
                </c:pt>
                <c:pt idx="50">
                  <c:v>1129</c:v>
                </c:pt>
                <c:pt idx="51">
                  <c:v>1142</c:v>
                </c:pt>
                <c:pt idx="52">
                  <c:v>1147.7142857142858</c:v>
                </c:pt>
                <c:pt idx="53">
                  <c:v>1153.4285714285713</c:v>
                </c:pt>
                <c:pt idx="54">
                  <c:v>1156.5</c:v>
                </c:pt>
                <c:pt idx="55">
                  <c:v>1170</c:v>
                </c:pt>
                <c:pt idx="56">
                  <c:v>1170</c:v>
                </c:pt>
                <c:pt idx="57">
                  <c:v>1116.24</c:v>
                </c:pt>
                <c:pt idx="58">
                  <c:v>1193.0266666666666</c:v>
                </c:pt>
                <c:pt idx="59">
                  <c:v>1170</c:v>
                </c:pt>
                <c:pt idx="60">
                  <c:v>1188</c:v>
                </c:pt>
                <c:pt idx="61">
                  <c:v>1060.6666666666667</c:v>
                </c:pt>
                <c:pt idx="62">
                  <c:v>1202.5899999999999</c:v>
                </c:pt>
                <c:pt idx="63">
                  <c:v>1265.1866666666665</c:v>
                </c:pt>
                <c:pt idx="64">
                  <c:v>1394.1179999999999</c:v>
                </c:pt>
                <c:pt idx="65">
                  <c:v>1361.9683333333332</c:v>
                </c:pt>
                <c:pt idx="66">
                  <c:v>1384.355</c:v>
                </c:pt>
                <c:pt idx="67">
                  <c:v>1361.2566666666669</c:v>
                </c:pt>
                <c:pt idx="68">
                  <c:v>1389.152</c:v>
                </c:pt>
                <c:pt idx="69">
                  <c:v>1387.69</c:v>
                </c:pt>
                <c:pt idx="70">
                  <c:v>1448.25</c:v>
                </c:pt>
                <c:pt idx="71">
                  <c:v>1420.6860000000001</c:v>
                </c:pt>
                <c:pt idx="72">
                  <c:v>1493.43</c:v>
                </c:pt>
                <c:pt idx="73">
                  <c:v>1656.27</c:v>
                </c:pt>
                <c:pt idx="74">
                  <c:v>1444.8740000000003</c:v>
                </c:pt>
                <c:pt idx="75">
                  <c:v>1564.8770000000004</c:v>
                </c:pt>
                <c:pt idx="76">
                  <c:v>1564.8770000000004</c:v>
                </c:pt>
                <c:pt idx="77">
                  <c:v>1474.5139999999999</c:v>
                </c:pt>
                <c:pt idx="78">
                  <c:v>1387.5139999999999</c:v>
                </c:pt>
                <c:pt idx="79">
                  <c:v>1348.1760000000002</c:v>
                </c:pt>
              </c:numCache>
            </c:numRef>
          </c:val>
          <c:smooth val="0"/>
          <c:extLst>
            <c:ext xmlns:c16="http://schemas.microsoft.com/office/drawing/2014/chart" uri="{C3380CC4-5D6E-409C-BE32-E72D297353CC}">
              <c16:uniqueId val="{00000000-4B35-4835-9C27-887C81B4988E}"/>
            </c:ext>
          </c:extLst>
        </c:ser>
        <c:dLbls>
          <c:showLegendKey val="0"/>
          <c:showVal val="0"/>
          <c:showCatName val="0"/>
          <c:showSerName val="0"/>
          <c:showPercent val="0"/>
          <c:showBubbleSize val="0"/>
        </c:dLbls>
        <c:marker val="1"/>
        <c:smooth val="0"/>
        <c:axId val="195826816"/>
        <c:axId val="195828352"/>
      </c:lineChart>
      <c:dateAx>
        <c:axId val="195826816"/>
        <c:scaling>
          <c:orientation val="minMax"/>
          <c:min val="38443"/>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pt-BR"/>
                  <a:t>Período</a:t>
                </a:r>
              </a:p>
            </c:rich>
          </c:tx>
          <c:layout>
            <c:manualLayout>
              <c:xMode val="edge"/>
              <c:yMode val="edge"/>
              <c:x val="0.52321200764324149"/>
              <c:y val="0.8995452965639567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2700000" vert="horz"/>
          <a:lstStyle/>
          <a:p>
            <a:pPr>
              <a:defRPr sz="1175" b="1" i="0" u="none" strike="noStrike" baseline="0">
                <a:solidFill>
                  <a:srgbClr val="000000"/>
                </a:solidFill>
                <a:latin typeface="Arial"/>
                <a:ea typeface="Arial"/>
                <a:cs typeface="Arial"/>
              </a:defRPr>
            </a:pPr>
            <a:endParaRPr lang="pt-BR"/>
          </a:p>
        </c:txPr>
        <c:crossAx val="195828352"/>
        <c:crosses val="autoZero"/>
        <c:auto val="1"/>
        <c:lblOffset val="100"/>
        <c:baseTimeUnit val="months"/>
        <c:majorUnit val="4"/>
        <c:majorTimeUnit val="months"/>
        <c:minorUnit val="2"/>
        <c:minorTimeUnit val="months"/>
      </c:dateAx>
      <c:valAx>
        <c:axId val="195828352"/>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a:ea typeface="Arial"/>
                    <a:cs typeface="Arial"/>
                  </a:defRPr>
                </a:pPr>
                <a:r>
                  <a:rPr lang="pt-BR"/>
                  <a:t>Valores em (R$/l)</a:t>
                </a:r>
              </a:p>
            </c:rich>
          </c:tx>
          <c:layout>
            <c:manualLayout>
              <c:xMode val="edge"/>
              <c:yMode val="edge"/>
              <c:x val="2.0075263159514203E-2"/>
              <c:y val="0.3447495775356847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pt-BR"/>
          </a:p>
        </c:txPr>
        <c:crossAx val="19582681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9.xml"/></Relationships>
</file>

<file path=xl/drawings/_rels/drawing2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0.xml"/></Relationships>
</file>

<file path=xl/drawings/_rels/drawing2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1.xml"/></Relationships>
</file>

<file path=xl/drawings/_rels/drawing3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3.xml"/></Relationships>
</file>

<file path=xl/drawings/_rels/drawing3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4.xml"/></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110490</xdr:colOff>
      <xdr:row>1</xdr:row>
      <xdr:rowOff>200375</xdr:rowOff>
    </xdr:from>
    <xdr:to>
      <xdr:col>1</xdr:col>
      <xdr:colOff>3037978</xdr:colOff>
      <xdr:row>3</xdr:row>
      <xdr:rowOff>624267</xdr:rowOff>
    </xdr:to>
    <xdr:pic>
      <xdr:nvPicPr>
        <xdr:cNvPr id="118493" name="Picture 20">
          <a:extLst>
            <a:ext uri="{FF2B5EF4-FFF2-40B4-BE49-F238E27FC236}">
              <a16:creationId xmlns:a16="http://schemas.microsoft.com/office/drawing/2014/main" id="{00000000-0008-0000-0100-0000DDC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17646" y="319438"/>
          <a:ext cx="2927488" cy="959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333375</xdr:colOff>
      <xdr:row>81</xdr:row>
      <xdr:rowOff>123825</xdr:rowOff>
    </xdr:from>
    <xdr:to>
      <xdr:col>6</xdr:col>
      <xdr:colOff>638175</xdr:colOff>
      <xdr:row>101</xdr:row>
      <xdr:rowOff>19050</xdr:rowOff>
    </xdr:to>
    <xdr:graphicFrame macro="">
      <xdr:nvGraphicFramePr>
        <xdr:cNvPr id="17665459" name="Gráfico 3">
          <a:extLst>
            <a:ext uri="{FF2B5EF4-FFF2-40B4-BE49-F238E27FC236}">
              <a16:creationId xmlns:a16="http://schemas.microsoft.com/office/drawing/2014/main" id="{00000000-0008-0000-0700-0000B38D0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103</xdr:row>
      <xdr:rowOff>19050</xdr:rowOff>
    </xdr:from>
    <xdr:to>
      <xdr:col>5</xdr:col>
      <xdr:colOff>495300</xdr:colOff>
      <xdr:row>120</xdr:row>
      <xdr:rowOff>104775</xdr:rowOff>
    </xdr:to>
    <xdr:graphicFrame macro="">
      <xdr:nvGraphicFramePr>
        <xdr:cNvPr id="17665460" name="Gráfico 4">
          <a:extLst>
            <a:ext uri="{FF2B5EF4-FFF2-40B4-BE49-F238E27FC236}">
              <a16:creationId xmlns:a16="http://schemas.microsoft.com/office/drawing/2014/main" id="{00000000-0008-0000-0700-0000B48D0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0.01786</cdr:x>
      <cdr:y>0.91707</cdr:y>
    </cdr:from>
    <cdr:to>
      <cdr:x>0.28471</cdr:x>
      <cdr:y>0.96322</cdr:y>
    </cdr:to>
    <cdr:sp macro="" textlink="">
      <cdr:nvSpPr>
        <cdr:cNvPr id="88065" name="Text Box 1">
          <a:extLst xmlns:a="http://schemas.openxmlformats.org/drawingml/2006/main">
            <a:ext uri="{FF2B5EF4-FFF2-40B4-BE49-F238E27FC236}">
              <a16:creationId xmlns:a16="http://schemas.microsoft.com/office/drawing/2014/main" id="{9856FFCB-886A-4A01-8F9A-73756FC9A425}"/>
            </a:ext>
          </a:extLst>
        </cdr:cNvPr>
        <cdr:cNvSpPr txBox="1">
          <a:spLocks xmlns:a="http://schemas.openxmlformats.org/drawingml/2006/main" noChangeArrowheads="1"/>
        </cdr:cNvSpPr>
      </cdr:nvSpPr>
      <cdr:spPr bwMode="auto">
        <a:xfrm xmlns:a="http://schemas.openxmlformats.org/drawingml/2006/main">
          <a:off x="97434" y="2614963"/>
          <a:ext cx="1408100" cy="1314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pt-BR" sz="800" b="1" i="1" u="none" strike="noStrike" baseline="0">
              <a:solidFill>
                <a:srgbClr val="000000"/>
              </a:solidFill>
              <a:latin typeface="Calibri"/>
              <a:cs typeface="Calibri"/>
            </a:rPr>
            <a:t>FONTE: PETROBRÁS</a:t>
          </a:r>
          <a:endParaRPr lang="pt-BR"/>
        </a:p>
      </cdr:txBody>
    </cdr:sp>
  </cdr:relSizeAnchor>
</c:userShapes>
</file>

<file path=xl/drawings/drawing12.xml><?xml version="1.0" encoding="utf-8"?>
<c:userShapes xmlns:c="http://schemas.openxmlformats.org/drawingml/2006/chart">
  <cdr:relSizeAnchor xmlns:cdr="http://schemas.openxmlformats.org/drawingml/2006/chartDrawing">
    <cdr:from>
      <cdr:x>0.02056</cdr:x>
      <cdr:y>0.91489</cdr:y>
    </cdr:from>
    <cdr:to>
      <cdr:x>0.3041</cdr:x>
      <cdr:y>0.9625</cdr:y>
    </cdr:to>
    <cdr:sp macro="" textlink="">
      <cdr:nvSpPr>
        <cdr:cNvPr id="90113" name="Text Box 1">
          <a:extLst xmlns:a="http://schemas.openxmlformats.org/drawingml/2006/main">
            <a:ext uri="{FF2B5EF4-FFF2-40B4-BE49-F238E27FC236}">
              <a16:creationId xmlns:a16="http://schemas.microsoft.com/office/drawing/2014/main" id="{4883A355-8224-4673-90F4-3CFD94983E61}"/>
            </a:ext>
          </a:extLst>
        </cdr:cNvPr>
        <cdr:cNvSpPr txBox="1">
          <a:spLocks xmlns:a="http://schemas.openxmlformats.org/drawingml/2006/main" noChangeArrowheads="1"/>
        </cdr:cNvSpPr>
      </cdr:nvSpPr>
      <cdr:spPr bwMode="auto">
        <a:xfrm xmlns:a="http://schemas.openxmlformats.org/drawingml/2006/main">
          <a:off x="111684" y="2608770"/>
          <a:ext cx="1496187" cy="135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pt-BR" sz="800" b="1" i="1" u="none" strike="noStrike" baseline="0">
              <a:solidFill>
                <a:srgbClr val="000000"/>
              </a:solidFill>
              <a:latin typeface="Calibri"/>
              <a:cs typeface="Calibri"/>
            </a:rPr>
            <a:t>FONTE: PETROBRÁS</a:t>
          </a:r>
          <a:endParaRPr lang="pt-B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4913</xdr:colOff>
      <xdr:row>0</xdr:row>
      <xdr:rowOff>15533</xdr:rowOff>
    </xdr:from>
    <xdr:to>
      <xdr:col>1</xdr:col>
      <xdr:colOff>748767</xdr:colOff>
      <xdr:row>2</xdr:row>
      <xdr:rowOff>101933</xdr:rowOff>
    </xdr:to>
    <xdr:pic>
      <xdr:nvPicPr>
        <xdr:cNvPr id="21792927" name="Picture 20">
          <a:extLst>
            <a:ext uri="{FF2B5EF4-FFF2-40B4-BE49-F238E27FC236}">
              <a16:creationId xmlns:a16="http://schemas.microsoft.com/office/drawing/2014/main" id="{00000000-0008-0000-0800-00009F884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913" y="15533"/>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14438</xdr:colOff>
      <xdr:row>0</xdr:row>
      <xdr:rowOff>25057</xdr:rowOff>
    </xdr:from>
    <xdr:to>
      <xdr:col>1</xdr:col>
      <xdr:colOff>758292</xdr:colOff>
      <xdr:row>2</xdr:row>
      <xdr:rowOff>111457</xdr:rowOff>
    </xdr:to>
    <xdr:pic>
      <xdr:nvPicPr>
        <xdr:cNvPr id="21794975" name="Picture 20">
          <a:extLst>
            <a:ext uri="{FF2B5EF4-FFF2-40B4-BE49-F238E27FC236}">
              <a16:creationId xmlns:a16="http://schemas.microsoft.com/office/drawing/2014/main" id="{00000000-0008-0000-0900-00009F904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438"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14438</xdr:colOff>
      <xdr:row>0</xdr:row>
      <xdr:rowOff>25057</xdr:rowOff>
    </xdr:from>
    <xdr:to>
      <xdr:col>1</xdr:col>
      <xdr:colOff>758292</xdr:colOff>
      <xdr:row>2</xdr:row>
      <xdr:rowOff>111457</xdr:rowOff>
    </xdr:to>
    <xdr:pic>
      <xdr:nvPicPr>
        <xdr:cNvPr id="21797023" name="Picture 20">
          <a:extLst>
            <a:ext uri="{FF2B5EF4-FFF2-40B4-BE49-F238E27FC236}">
              <a16:creationId xmlns:a16="http://schemas.microsoft.com/office/drawing/2014/main" id="{00000000-0008-0000-0A00-00009F984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438"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33488</xdr:colOff>
      <xdr:row>0</xdr:row>
      <xdr:rowOff>25057</xdr:rowOff>
    </xdr:from>
    <xdr:to>
      <xdr:col>1</xdr:col>
      <xdr:colOff>777342</xdr:colOff>
      <xdr:row>2</xdr:row>
      <xdr:rowOff>111457</xdr:rowOff>
    </xdr:to>
    <xdr:pic>
      <xdr:nvPicPr>
        <xdr:cNvPr id="21799071" name="Picture 20">
          <a:extLst>
            <a:ext uri="{FF2B5EF4-FFF2-40B4-BE49-F238E27FC236}">
              <a16:creationId xmlns:a16="http://schemas.microsoft.com/office/drawing/2014/main" id="{00000000-0008-0000-0B00-00009FA04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33488"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14438</xdr:colOff>
      <xdr:row>0</xdr:row>
      <xdr:rowOff>44107</xdr:rowOff>
    </xdr:from>
    <xdr:to>
      <xdr:col>2</xdr:col>
      <xdr:colOff>129642</xdr:colOff>
      <xdr:row>2</xdr:row>
      <xdr:rowOff>111457</xdr:rowOff>
    </xdr:to>
    <xdr:pic>
      <xdr:nvPicPr>
        <xdr:cNvPr id="21801039" name="Picture 20">
          <a:extLst>
            <a:ext uri="{FF2B5EF4-FFF2-40B4-BE49-F238E27FC236}">
              <a16:creationId xmlns:a16="http://schemas.microsoft.com/office/drawing/2014/main" id="{00000000-0008-0000-0C00-00004FA84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438" y="4410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4913</xdr:colOff>
      <xdr:row>0</xdr:row>
      <xdr:rowOff>25057</xdr:rowOff>
    </xdr:from>
    <xdr:to>
      <xdr:col>2</xdr:col>
      <xdr:colOff>91542</xdr:colOff>
      <xdr:row>2</xdr:row>
      <xdr:rowOff>92407</xdr:rowOff>
    </xdr:to>
    <xdr:pic>
      <xdr:nvPicPr>
        <xdr:cNvPr id="21802143" name="Picture 20">
          <a:extLst>
            <a:ext uri="{FF2B5EF4-FFF2-40B4-BE49-F238E27FC236}">
              <a16:creationId xmlns:a16="http://schemas.microsoft.com/office/drawing/2014/main" id="{00000000-0008-0000-0D00-00009FAC4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913"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14438</xdr:colOff>
      <xdr:row>0</xdr:row>
      <xdr:rowOff>53632</xdr:rowOff>
    </xdr:from>
    <xdr:to>
      <xdr:col>2</xdr:col>
      <xdr:colOff>158217</xdr:colOff>
      <xdr:row>2</xdr:row>
      <xdr:rowOff>120982</xdr:rowOff>
    </xdr:to>
    <xdr:pic>
      <xdr:nvPicPr>
        <xdr:cNvPr id="21804111" name="Picture 20">
          <a:extLst>
            <a:ext uri="{FF2B5EF4-FFF2-40B4-BE49-F238E27FC236}">
              <a16:creationId xmlns:a16="http://schemas.microsoft.com/office/drawing/2014/main" id="{00000000-0008-0000-0E00-00004FB44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438" y="53632"/>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361950</xdr:colOff>
      <xdr:row>375</xdr:row>
      <xdr:rowOff>47625</xdr:rowOff>
    </xdr:from>
    <xdr:to>
      <xdr:col>10</xdr:col>
      <xdr:colOff>133350</xdr:colOff>
      <xdr:row>396</xdr:row>
      <xdr:rowOff>171450</xdr:rowOff>
    </xdr:to>
    <xdr:graphicFrame macro="">
      <xdr:nvGraphicFramePr>
        <xdr:cNvPr id="21783003" name="Gráfico 15">
          <a:extLst>
            <a:ext uri="{FF2B5EF4-FFF2-40B4-BE49-F238E27FC236}">
              <a16:creationId xmlns:a16="http://schemas.microsoft.com/office/drawing/2014/main" id="{00000000-0008-0000-0200-0000DB614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415</xdr:row>
      <xdr:rowOff>38100</xdr:rowOff>
    </xdr:from>
    <xdr:to>
      <xdr:col>9</xdr:col>
      <xdr:colOff>19050</xdr:colOff>
      <xdr:row>434</xdr:row>
      <xdr:rowOff>171450</xdr:rowOff>
    </xdr:to>
    <xdr:graphicFrame macro="">
      <xdr:nvGraphicFramePr>
        <xdr:cNvPr id="21783004" name="Gráfico 17">
          <a:extLst>
            <a:ext uri="{FF2B5EF4-FFF2-40B4-BE49-F238E27FC236}">
              <a16:creationId xmlns:a16="http://schemas.microsoft.com/office/drawing/2014/main" id="{00000000-0008-0000-0200-0000DC614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66675</xdr:colOff>
      <xdr:row>437</xdr:row>
      <xdr:rowOff>85725</xdr:rowOff>
    </xdr:from>
    <xdr:to>
      <xdr:col>9</xdr:col>
      <xdr:colOff>28575</xdr:colOff>
      <xdr:row>457</xdr:row>
      <xdr:rowOff>28575</xdr:rowOff>
    </xdr:to>
    <xdr:graphicFrame macro="">
      <xdr:nvGraphicFramePr>
        <xdr:cNvPr id="21783005" name="Gráfico 19">
          <a:extLst>
            <a:ext uri="{FF2B5EF4-FFF2-40B4-BE49-F238E27FC236}">
              <a16:creationId xmlns:a16="http://schemas.microsoft.com/office/drawing/2014/main" id="{00000000-0008-0000-0200-0000DD614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180975</xdr:colOff>
      <xdr:row>347</xdr:row>
      <xdr:rowOff>171450</xdr:rowOff>
    </xdr:from>
    <xdr:to>
      <xdr:col>10</xdr:col>
      <xdr:colOff>123825</xdr:colOff>
      <xdr:row>373</xdr:row>
      <xdr:rowOff>104775</xdr:rowOff>
    </xdr:to>
    <xdr:graphicFrame macro="">
      <xdr:nvGraphicFramePr>
        <xdr:cNvPr id="21783006" name="Gráfico 12">
          <a:extLst>
            <a:ext uri="{FF2B5EF4-FFF2-40B4-BE49-F238E27FC236}">
              <a16:creationId xmlns:a16="http://schemas.microsoft.com/office/drawing/2014/main" id="{00000000-0008-0000-0200-0000DE614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4913</xdr:colOff>
      <xdr:row>0</xdr:row>
      <xdr:rowOff>25057</xdr:rowOff>
    </xdr:from>
    <xdr:to>
      <xdr:col>2</xdr:col>
      <xdr:colOff>748767</xdr:colOff>
      <xdr:row>2</xdr:row>
      <xdr:rowOff>111457</xdr:rowOff>
    </xdr:to>
    <xdr:pic>
      <xdr:nvPicPr>
        <xdr:cNvPr id="21783007" name="Picture 20">
          <a:extLst>
            <a:ext uri="{FF2B5EF4-FFF2-40B4-BE49-F238E27FC236}">
              <a16:creationId xmlns:a16="http://schemas.microsoft.com/office/drawing/2014/main" id="{00000000-0008-0000-0200-0000DF614C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90638"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4914</xdr:colOff>
      <xdr:row>0</xdr:row>
      <xdr:rowOff>47871</xdr:rowOff>
    </xdr:from>
    <xdr:to>
      <xdr:col>1</xdr:col>
      <xdr:colOff>833285</xdr:colOff>
      <xdr:row>2</xdr:row>
      <xdr:rowOff>134271</xdr:rowOff>
    </xdr:to>
    <xdr:pic>
      <xdr:nvPicPr>
        <xdr:cNvPr id="21805215" name="Picture 20">
          <a:extLst>
            <a:ext uri="{FF2B5EF4-FFF2-40B4-BE49-F238E27FC236}">
              <a16:creationId xmlns:a16="http://schemas.microsoft.com/office/drawing/2014/main" id="{00000000-0008-0000-0F00-00009FB84C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914" y="47871"/>
          <a:ext cx="1742771"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272</xdr:row>
      <xdr:rowOff>0</xdr:rowOff>
    </xdr:from>
    <xdr:to>
      <xdr:col>9</xdr:col>
      <xdr:colOff>466725</xdr:colOff>
      <xdr:row>293</xdr:row>
      <xdr:rowOff>28575</xdr:rowOff>
    </xdr:to>
    <xdr:graphicFrame macro="">
      <xdr:nvGraphicFramePr>
        <xdr:cNvPr id="21807342" name="Gráfico 2">
          <a:extLst>
            <a:ext uri="{FF2B5EF4-FFF2-40B4-BE49-F238E27FC236}">
              <a16:creationId xmlns:a16="http://schemas.microsoft.com/office/drawing/2014/main" id="{00000000-0008-0000-1000-0000EEC04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23963</xdr:colOff>
      <xdr:row>0</xdr:row>
      <xdr:rowOff>25057</xdr:rowOff>
    </xdr:from>
    <xdr:to>
      <xdr:col>1</xdr:col>
      <xdr:colOff>767817</xdr:colOff>
      <xdr:row>2</xdr:row>
      <xdr:rowOff>111457</xdr:rowOff>
    </xdr:to>
    <xdr:pic>
      <xdr:nvPicPr>
        <xdr:cNvPr id="21807343" name="Picture 20">
          <a:extLst>
            <a:ext uri="{FF2B5EF4-FFF2-40B4-BE49-F238E27FC236}">
              <a16:creationId xmlns:a16="http://schemas.microsoft.com/office/drawing/2014/main" id="{00000000-0008-0000-1000-0000EFC04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23963"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130</xdr:row>
      <xdr:rowOff>0</xdr:rowOff>
    </xdr:from>
    <xdr:to>
      <xdr:col>10</xdr:col>
      <xdr:colOff>409575</xdr:colOff>
      <xdr:row>130</xdr:row>
      <xdr:rowOff>0</xdr:rowOff>
    </xdr:to>
    <xdr:graphicFrame macro="">
      <xdr:nvGraphicFramePr>
        <xdr:cNvPr id="21810334" name="Gráfico 1">
          <a:extLst>
            <a:ext uri="{FF2B5EF4-FFF2-40B4-BE49-F238E27FC236}">
              <a16:creationId xmlns:a16="http://schemas.microsoft.com/office/drawing/2014/main" id="{00000000-0008-0000-1100-00009ECC4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4914</xdr:colOff>
      <xdr:row>0</xdr:row>
      <xdr:rowOff>47871</xdr:rowOff>
    </xdr:from>
    <xdr:to>
      <xdr:col>1</xdr:col>
      <xdr:colOff>833285</xdr:colOff>
      <xdr:row>2</xdr:row>
      <xdr:rowOff>134271</xdr:rowOff>
    </xdr:to>
    <xdr:pic>
      <xdr:nvPicPr>
        <xdr:cNvPr id="21810335" name="Picture 20">
          <a:extLst>
            <a:ext uri="{FF2B5EF4-FFF2-40B4-BE49-F238E27FC236}">
              <a16:creationId xmlns:a16="http://schemas.microsoft.com/office/drawing/2014/main" id="{00000000-0008-0000-1100-00009FCC4C0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4914" y="47871"/>
          <a:ext cx="1742771"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23964</xdr:colOff>
      <xdr:row>0</xdr:row>
      <xdr:rowOff>47871</xdr:rowOff>
    </xdr:from>
    <xdr:to>
      <xdr:col>1</xdr:col>
      <xdr:colOff>852335</xdr:colOff>
      <xdr:row>2</xdr:row>
      <xdr:rowOff>134271</xdr:rowOff>
    </xdr:to>
    <xdr:pic>
      <xdr:nvPicPr>
        <xdr:cNvPr id="21812303" name="Picture 20">
          <a:extLst>
            <a:ext uri="{FF2B5EF4-FFF2-40B4-BE49-F238E27FC236}">
              <a16:creationId xmlns:a16="http://schemas.microsoft.com/office/drawing/2014/main" id="{00000000-0008-0000-1200-00004FD44C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3964" y="47871"/>
          <a:ext cx="1742771"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14439</xdr:colOff>
      <xdr:row>0</xdr:row>
      <xdr:rowOff>47871</xdr:rowOff>
    </xdr:from>
    <xdr:to>
      <xdr:col>1</xdr:col>
      <xdr:colOff>842810</xdr:colOff>
      <xdr:row>2</xdr:row>
      <xdr:rowOff>134271</xdr:rowOff>
    </xdr:to>
    <xdr:pic>
      <xdr:nvPicPr>
        <xdr:cNvPr id="21813327" name="Picture 20">
          <a:extLst>
            <a:ext uri="{FF2B5EF4-FFF2-40B4-BE49-F238E27FC236}">
              <a16:creationId xmlns:a16="http://schemas.microsoft.com/office/drawing/2014/main" id="{00000000-0008-0000-1300-00004FD84C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439" y="47871"/>
          <a:ext cx="1742771"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4914</xdr:colOff>
      <xdr:row>0</xdr:row>
      <xdr:rowOff>47871</xdr:rowOff>
    </xdr:from>
    <xdr:to>
      <xdr:col>1</xdr:col>
      <xdr:colOff>833285</xdr:colOff>
      <xdr:row>2</xdr:row>
      <xdr:rowOff>134271</xdr:rowOff>
    </xdr:to>
    <xdr:pic>
      <xdr:nvPicPr>
        <xdr:cNvPr id="21814351" name="Picture 20">
          <a:extLst>
            <a:ext uri="{FF2B5EF4-FFF2-40B4-BE49-F238E27FC236}">
              <a16:creationId xmlns:a16="http://schemas.microsoft.com/office/drawing/2014/main" id="{00000000-0008-0000-1400-00004FDC4C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914" y="47871"/>
          <a:ext cx="1742771"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4914</xdr:colOff>
      <xdr:row>0</xdr:row>
      <xdr:rowOff>47871</xdr:rowOff>
    </xdr:from>
    <xdr:to>
      <xdr:col>1</xdr:col>
      <xdr:colOff>833285</xdr:colOff>
      <xdr:row>2</xdr:row>
      <xdr:rowOff>134271</xdr:rowOff>
    </xdr:to>
    <xdr:pic>
      <xdr:nvPicPr>
        <xdr:cNvPr id="21815455" name="Picture 20">
          <a:extLst>
            <a:ext uri="{FF2B5EF4-FFF2-40B4-BE49-F238E27FC236}">
              <a16:creationId xmlns:a16="http://schemas.microsoft.com/office/drawing/2014/main" id="{00000000-0008-0000-1500-00009FE04C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914" y="47871"/>
          <a:ext cx="1742771"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176</xdr:row>
      <xdr:rowOff>0</xdr:rowOff>
    </xdr:from>
    <xdr:to>
      <xdr:col>9</xdr:col>
      <xdr:colOff>561975</xdr:colOff>
      <xdr:row>197</xdr:row>
      <xdr:rowOff>171450</xdr:rowOff>
    </xdr:to>
    <xdr:graphicFrame macro="">
      <xdr:nvGraphicFramePr>
        <xdr:cNvPr id="21817502" name="Gráfico 1">
          <a:extLst>
            <a:ext uri="{FF2B5EF4-FFF2-40B4-BE49-F238E27FC236}">
              <a16:creationId xmlns:a16="http://schemas.microsoft.com/office/drawing/2014/main" id="{00000000-0008-0000-1600-00009EE84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85725</xdr:colOff>
      <xdr:row>0</xdr:row>
      <xdr:rowOff>19050</xdr:rowOff>
    </xdr:from>
    <xdr:to>
      <xdr:col>2</xdr:col>
      <xdr:colOff>476250</xdr:colOff>
      <xdr:row>1</xdr:row>
      <xdr:rowOff>171450</xdr:rowOff>
    </xdr:to>
    <xdr:pic>
      <xdr:nvPicPr>
        <xdr:cNvPr id="21817503" name="Picture 2" descr="C:\Users\Fernando\Pictures\ntc.jpg">
          <a:extLst>
            <a:ext uri="{FF2B5EF4-FFF2-40B4-BE49-F238E27FC236}">
              <a16:creationId xmlns:a16="http://schemas.microsoft.com/office/drawing/2014/main" id="{00000000-0008-0000-1600-00009FE84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9050"/>
          <a:ext cx="18002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176</xdr:row>
      <xdr:rowOff>0</xdr:rowOff>
    </xdr:from>
    <xdr:to>
      <xdr:col>10</xdr:col>
      <xdr:colOff>742950</xdr:colOff>
      <xdr:row>198</xdr:row>
      <xdr:rowOff>171450</xdr:rowOff>
    </xdr:to>
    <xdr:graphicFrame macro="">
      <xdr:nvGraphicFramePr>
        <xdr:cNvPr id="21819550" name="Gráfico 1">
          <a:extLst>
            <a:ext uri="{FF2B5EF4-FFF2-40B4-BE49-F238E27FC236}">
              <a16:creationId xmlns:a16="http://schemas.microsoft.com/office/drawing/2014/main" id="{00000000-0008-0000-1700-00009EF04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38100</xdr:rowOff>
    </xdr:from>
    <xdr:to>
      <xdr:col>2</xdr:col>
      <xdr:colOff>371475</xdr:colOff>
      <xdr:row>1</xdr:row>
      <xdr:rowOff>190500</xdr:rowOff>
    </xdr:to>
    <xdr:pic>
      <xdr:nvPicPr>
        <xdr:cNvPr id="21819551" name="Picture 2" descr="C:\Users\Fernando\Pictures\ntc.jpg">
          <a:extLst>
            <a:ext uri="{FF2B5EF4-FFF2-40B4-BE49-F238E27FC236}">
              <a16:creationId xmlns:a16="http://schemas.microsoft.com/office/drawing/2014/main" id="{00000000-0008-0000-1700-00009FF04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38100"/>
          <a:ext cx="17621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176</xdr:row>
      <xdr:rowOff>0</xdr:rowOff>
    </xdr:from>
    <xdr:to>
      <xdr:col>10</xdr:col>
      <xdr:colOff>333375</xdr:colOff>
      <xdr:row>197</xdr:row>
      <xdr:rowOff>180975</xdr:rowOff>
    </xdr:to>
    <xdr:graphicFrame macro="">
      <xdr:nvGraphicFramePr>
        <xdr:cNvPr id="21821598" name="Gráfico 1">
          <a:extLst>
            <a:ext uri="{FF2B5EF4-FFF2-40B4-BE49-F238E27FC236}">
              <a16:creationId xmlns:a16="http://schemas.microsoft.com/office/drawing/2014/main" id="{00000000-0008-0000-1800-00009EF84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0</xdr:row>
      <xdr:rowOff>28575</xdr:rowOff>
    </xdr:from>
    <xdr:to>
      <xdr:col>2</xdr:col>
      <xdr:colOff>390525</xdr:colOff>
      <xdr:row>1</xdr:row>
      <xdr:rowOff>180975</xdr:rowOff>
    </xdr:to>
    <xdr:pic>
      <xdr:nvPicPr>
        <xdr:cNvPr id="21821599" name="Picture 2" descr="C:\Users\Fernando\Pictures\ntc.jpg">
          <a:extLst>
            <a:ext uri="{FF2B5EF4-FFF2-40B4-BE49-F238E27FC236}">
              <a16:creationId xmlns:a16="http://schemas.microsoft.com/office/drawing/2014/main" id="{00000000-0008-0000-1800-00009FF84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28575"/>
          <a:ext cx="17621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0.03695</cdr:x>
      <cdr:y>0.14929</cdr:y>
    </cdr:from>
    <cdr:to>
      <cdr:x>0.70218</cdr:x>
      <cdr:y>0.15785</cdr:y>
    </cdr:to>
    <cdr:sp macro="" textlink="">
      <cdr:nvSpPr>
        <cdr:cNvPr id="86017" name="Text Box 1">
          <a:extLst xmlns:a="http://schemas.openxmlformats.org/drawingml/2006/main">
            <a:ext uri="{FF2B5EF4-FFF2-40B4-BE49-F238E27FC236}">
              <a16:creationId xmlns:a16="http://schemas.microsoft.com/office/drawing/2014/main" id="{A2F7C5B6-ACC7-49A7-83F7-43E5A4E8F05C}"/>
            </a:ext>
          </a:extLst>
        </cdr:cNvPr>
        <cdr:cNvSpPr txBox="1">
          <a:spLocks xmlns:a="http://schemas.openxmlformats.org/drawingml/2006/main" noChangeArrowheads="1"/>
        </cdr:cNvSpPr>
      </cdr:nvSpPr>
      <cdr:spPr bwMode="auto">
        <a:xfrm xmlns:a="http://schemas.openxmlformats.org/drawingml/2006/main">
          <a:off x="304632" y="3823653"/>
          <a:ext cx="3219231" cy="2621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BR" sz="725" b="1" i="1" u="none" strike="noStrike" baseline="0">
              <a:solidFill>
                <a:srgbClr val="000000"/>
              </a:solidFill>
              <a:latin typeface="Arial"/>
              <a:cs typeface="Arial"/>
            </a:rPr>
            <a:t>FONTE: ANP, DECOPE/NTC&amp;LOGÍSTICA</a:t>
          </a:r>
          <a:endParaRPr lang="pt-B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176</xdr:row>
      <xdr:rowOff>0</xdr:rowOff>
    </xdr:from>
    <xdr:to>
      <xdr:col>11</xdr:col>
      <xdr:colOff>38100</xdr:colOff>
      <xdr:row>196</xdr:row>
      <xdr:rowOff>133350</xdr:rowOff>
    </xdr:to>
    <xdr:graphicFrame macro="">
      <xdr:nvGraphicFramePr>
        <xdr:cNvPr id="21823646" name="Gráfico 1">
          <a:extLst>
            <a:ext uri="{FF2B5EF4-FFF2-40B4-BE49-F238E27FC236}">
              <a16:creationId xmlns:a16="http://schemas.microsoft.com/office/drawing/2014/main" id="{00000000-0008-0000-1900-00009E004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142875</xdr:colOff>
      <xdr:row>0</xdr:row>
      <xdr:rowOff>28575</xdr:rowOff>
    </xdr:from>
    <xdr:to>
      <xdr:col>2</xdr:col>
      <xdr:colOff>209550</xdr:colOff>
      <xdr:row>1</xdr:row>
      <xdr:rowOff>180975</xdr:rowOff>
    </xdr:to>
    <xdr:pic>
      <xdr:nvPicPr>
        <xdr:cNvPr id="21823647" name="Picture 2">
          <a:extLst>
            <a:ext uri="{FF2B5EF4-FFF2-40B4-BE49-F238E27FC236}">
              <a16:creationId xmlns:a16="http://schemas.microsoft.com/office/drawing/2014/main" id="{00000000-0008-0000-1900-00009F004D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28575"/>
          <a:ext cx="17621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xdr:colOff>
      <xdr:row>176</xdr:row>
      <xdr:rowOff>38100</xdr:rowOff>
    </xdr:from>
    <xdr:to>
      <xdr:col>10</xdr:col>
      <xdr:colOff>209550</xdr:colOff>
      <xdr:row>194</xdr:row>
      <xdr:rowOff>133350</xdr:rowOff>
    </xdr:to>
    <xdr:graphicFrame macro="">
      <xdr:nvGraphicFramePr>
        <xdr:cNvPr id="21825694" name="Gráfico 1">
          <a:extLst>
            <a:ext uri="{FF2B5EF4-FFF2-40B4-BE49-F238E27FC236}">
              <a16:creationId xmlns:a16="http://schemas.microsoft.com/office/drawing/2014/main" id="{00000000-0008-0000-1A00-00009E084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0</xdr:row>
      <xdr:rowOff>47625</xdr:rowOff>
    </xdr:from>
    <xdr:to>
      <xdr:col>2</xdr:col>
      <xdr:colOff>190500</xdr:colOff>
      <xdr:row>2</xdr:row>
      <xdr:rowOff>47625</xdr:rowOff>
    </xdr:to>
    <xdr:pic>
      <xdr:nvPicPr>
        <xdr:cNvPr id="21825695" name="Picture 2">
          <a:extLst>
            <a:ext uri="{FF2B5EF4-FFF2-40B4-BE49-F238E27FC236}">
              <a16:creationId xmlns:a16="http://schemas.microsoft.com/office/drawing/2014/main" id="{00000000-0008-0000-1A00-00009F084D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47625"/>
          <a:ext cx="17621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176</xdr:row>
      <xdr:rowOff>0</xdr:rowOff>
    </xdr:from>
    <xdr:to>
      <xdr:col>10</xdr:col>
      <xdr:colOff>542925</xdr:colOff>
      <xdr:row>195</xdr:row>
      <xdr:rowOff>9525</xdr:rowOff>
    </xdr:to>
    <xdr:graphicFrame macro="">
      <xdr:nvGraphicFramePr>
        <xdr:cNvPr id="21827742" name="Gráfico 1">
          <a:extLst>
            <a:ext uri="{FF2B5EF4-FFF2-40B4-BE49-F238E27FC236}">
              <a16:creationId xmlns:a16="http://schemas.microsoft.com/office/drawing/2014/main" id="{00000000-0008-0000-1B00-00009E104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0</xdr:row>
      <xdr:rowOff>47625</xdr:rowOff>
    </xdr:from>
    <xdr:to>
      <xdr:col>2</xdr:col>
      <xdr:colOff>200025</xdr:colOff>
      <xdr:row>2</xdr:row>
      <xdr:rowOff>47625</xdr:rowOff>
    </xdr:to>
    <xdr:pic>
      <xdr:nvPicPr>
        <xdr:cNvPr id="21827743" name="Picture 2">
          <a:extLst>
            <a:ext uri="{FF2B5EF4-FFF2-40B4-BE49-F238E27FC236}">
              <a16:creationId xmlns:a16="http://schemas.microsoft.com/office/drawing/2014/main" id="{00000000-0008-0000-1B00-00009F104D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47625"/>
          <a:ext cx="17621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14438</xdr:colOff>
      <xdr:row>0</xdr:row>
      <xdr:rowOff>25057</xdr:rowOff>
    </xdr:from>
    <xdr:to>
      <xdr:col>1</xdr:col>
      <xdr:colOff>758292</xdr:colOff>
      <xdr:row>2</xdr:row>
      <xdr:rowOff>111457</xdr:rowOff>
    </xdr:to>
    <xdr:pic>
      <xdr:nvPicPr>
        <xdr:cNvPr id="11617678" name="Picture 20">
          <a:extLst>
            <a:ext uri="{FF2B5EF4-FFF2-40B4-BE49-F238E27FC236}">
              <a16:creationId xmlns:a16="http://schemas.microsoft.com/office/drawing/2014/main" id="{00000000-0008-0000-1C00-00008E45B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438"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4913</xdr:colOff>
      <xdr:row>0</xdr:row>
      <xdr:rowOff>25057</xdr:rowOff>
    </xdr:from>
    <xdr:to>
      <xdr:col>1</xdr:col>
      <xdr:colOff>748767</xdr:colOff>
      <xdr:row>2</xdr:row>
      <xdr:rowOff>111457</xdr:rowOff>
    </xdr:to>
    <xdr:pic>
      <xdr:nvPicPr>
        <xdr:cNvPr id="11618702" name="Picture 20">
          <a:extLst>
            <a:ext uri="{FF2B5EF4-FFF2-40B4-BE49-F238E27FC236}">
              <a16:creationId xmlns:a16="http://schemas.microsoft.com/office/drawing/2014/main" id="{00000000-0008-0000-1D00-00008E49B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913"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4913</xdr:colOff>
      <xdr:row>0</xdr:row>
      <xdr:rowOff>15533</xdr:rowOff>
    </xdr:from>
    <xdr:to>
      <xdr:col>1</xdr:col>
      <xdr:colOff>748767</xdr:colOff>
      <xdr:row>2</xdr:row>
      <xdr:rowOff>101933</xdr:rowOff>
    </xdr:to>
    <xdr:pic>
      <xdr:nvPicPr>
        <xdr:cNvPr id="11619726" name="Picture 20">
          <a:extLst>
            <a:ext uri="{FF2B5EF4-FFF2-40B4-BE49-F238E27FC236}">
              <a16:creationId xmlns:a16="http://schemas.microsoft.com/office/drawing/2014/main" id="{00000000-0008-0000-1E00-00008E4DB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913" y="15533"/>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6431</xdr:colOff>
      <xdr:row>0</xdr:row>
      <xdr:rowOff>25057</xdr:rowOff>
    </xdr:from>
    <xdr:to>
      <xdr:col>1</xdr:col>
      <xdr:colOff>750285</xdr:colOff>
      <xdr:row>2</xdr:row>
      <xdr:rowOff>111457</xdr:rowOff>
    </xdr:to>
    <xdr:pic>
      <xdr:nvPicPr>
        <xdr:cNvPr id="21829791" name="Picture 20">
          <a:extLst>
            <a:ext uri="{FF2B5EF4-FFF2-40B4-BE49-F238E27FC236}">
              <a16:creationId xmlns:a16="http://schemas.microsoft.com/office/drawing/2014/main" id="{00000000-0008-0000-1F00-00009F184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6431"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33488</xdr:colOff>
      <xdr:row>0</xdr:row>
      <xdr:rowOff>25057</xdr:rowOff>
    </xdr:from>
    <xdr:to>
      <xdr:col>1</xdr:col>
      <xdr:colOff>777342</xdr:colOff>
      <xdr:row>2</xdr:row>
      <xdr:rowOff>111457</xdr:rowOff>
    </xdr:to>
    <xdr:pic>
      <xdr:nvPicPr>
        <xdr:cNvPr id="21831839" name="Picture 20">
          <a:extLst>
            <a:ext uri="{FF2B5EF4-FFF2-40B4-BE49-F238E27FC236}">
              <a16:creationId xmlns:a16="http://schemas.microsoft.com/office/drawing/2014/main" id="{00000000-0008-0000-2000-00009F204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33488"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23963</xdr:colOff>
      <xdr:row>0</xdr:row>
      <xdr:rowOff>25057</xdr:rowOff>
    </xdr:from>
    <xdr:to>
      <xdr:col>1</xdr:col>
      <xdr:colOff>767817</xdr:colOff>
      <xdr:row>2</xdr:row>
      <xdr:rowOff>111457</xdr:rowOff>
    </xdr:to>
    <xdr:pic>
      <xdr:nvPicPr>
        <xdr:cNvPr id="21833807" name="Picture 20">
          <a:extLst>
            <a:ext uri="{FF2B5EF4-FFF2-40B4-BE49-F238E27FC236}">
              <a16:creationId xmlns:a16="http://schemas.microsoft.com/office/drawing/2014/main" id="{00000000-0008-0000-2100-00004F284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3963"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14438</xdr:colOff>
      <xdr:row>0</xdr:row>
      <xdr:rowOff>25057</xdr:rowOff>
    </xdr:from>
    <xdr:to>
      <xdr:col>1</xdr:col>
      <xdr:colOff>758292</xdr:colOff>
      <xdr:row>2</xdr:row>
      <xdr:rowOff>111457</xdr:rowOff>
    </xdr:to>
    <xdr:pic>
      <xdr:nvPicPr>
        <xdr:cNvPr id="21834911" name="Picture 20">
          <a:extLst>
            <a:ext uri="{FF2B5EF4-FFF2-40B4-BE49-F238E27FC236}">
              <a16:creationId xmlns:a16="http://schemas.microsoft.com/office/drawing/2014/main" id="{00000000-0008-0000-2200-00009F2C4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438"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0.03388</cdr:x>
      <cdr:y>0.8906</cdr:y>
    </cdr:from>
    <cdr:to>
      <cdr:x>0.30728</cdr:x>
      <cdr:y>0.98466</cdr:y>
    </cdr:to>
    <cdr:sp macro="" textlink="">
      <cdr:nvSpPr>
        <cdr:cNvPr id="87041" name="Text Box 1">
          <a:extLst xmlns:a="http://schemas.openxmlformats.org/drawingml/2006/main">
            <a:ext uri="{FF2B5EF4-FFF2-40B4-BE49-F238E27FC236}">
              <a16:creationId xmlns:a16="http://schemas.microsoft.com/office/drawing/2014/main" id="{EB5A0DFD-9218-41FA-9DD5-78A98512F932}"/>
            </a:ext>
          </a:extLst>
        </cdr:cNvPr>
        <cdr:cNvSpPr txBox="1">
          <a:spLocks xmlns:a="http://schemas.openxmlformats.org/drawingml/2006/main" noChangeArrowheads="1"/>
        </cdr:cNvSpPr>
      </cdr:nvSpPr>
      <cdr:spPr bwMode="auto">
        <a:xfrm xmlns:a="http://schemas.openxmlformats.org/drawingml/2006/main">
          <a:off x="251947" y="3353963"/>
          <a:ext cx="2007841" cy="3538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pt-BR" sz="800" b="0" i="1" u="none" strike="noStrike" baseline="0">
              <a:solidFill>
                <a:srgbClr val="000000"/>
              </a:solidFill>
              <a:latin typeface="Arial"/>
              <a:cs typeface="Arial"/>
            </a:rPr>
            <a:t>FONTE:  DECOPE/NTC&amp;LOGÍSTICA</a:t>
          </a:r>
          <a:endParaRPr lang="pt-BR"/>
        </a:p>
      </cdr:txBody>
    </cdr:sp>
  </cdr:relSizeAnchor>
</c:userShapes>
</file>

<file path=xl/drawings/drawing40.xml><?xml version="1.0" encoding="utf-8"?>
<xdr:wsDr xmlns:xdr="http://schemas.openxmlformats.org/drawingml/2006/spreadsheetDrawing" xmlns:a="http://schemas.openxmlformats.org/drawingml/2006/main">
  <xdr:twoCellAnchor editAs="oneCell">
    <xdr:from>
      <xdr:col>0</xdr:col>
      <xdr:colOff>4913</xdr:colOff>
      <xdr:row>0</xdr:row>
      <xdr:rowOff>25057</xdr:rowOff>
    </xdr:from>
    <xdr:to>
      <xdr:col>1</xdr:col>
      <xdr:colOff>748767</xdr:colOff>
      <xdr:row>2</xdr:row>
      <xdr:rowOff>111457</xdr:rowOff>
    </xdr:to>
    <xdr:pic>
      <xdr:nvPicPr>
        <xdr:cNvPr id="21836879" name="Picture 20">
          <a:extLst>
            <a:ext uri="{FF2B5EF4-FFF2-40B4-BE49-F238E27FC236}">
              <a16:creationId xmlns:a16="http://schemas.microsoft.com/office/drawing/2014/main" id="{00000000-0008-0000-2300-00004F344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913"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23963</xdr:colOff>
      <xdr:row>0</xdr:row>
      <xdr:rowOff>25057</xdr:rowOff>
    </xdr:from>
    <xdr:to>
      <xdr:col>1</xdr:col>
      <xdr:colOff>767817</xdr:colOff>
      <xdr:row>2</xdr:row>
      <xdr:rowOff>111457</xdr:rowOff>
    </xdr:to>
    <xdr:pic>
      <xdr:nvPicPr>
        <xdr:cNvPr id="21837983" name="Picture 20">
          <a:extLst>
            <a:ext uri="{FF2B5EF4-FFF2-40B4-BE49-F238E27FC236}">
              <a16:creationId xmlns:a16="http://schemas.microsoft.com/office/drawing/2014/main" id="{00000000-0008-0000-2400-00009F384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3963"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0.54886</cdr:x>
      <cdr:y>0.9211</cdr:y>
    </cdr:from>
    <cdr:to>
      <cdr:x>0.90269</cdr:x>
      <cdr:y>0.97029</cdr:y>
    </cdr:to>
    <cdr:sp macro="" textlink="">
      <cdr:nvSpPr>
        <cdr:cNvPr id="112641" name="Text Box 1">
          <a:extLst xmlns:a="http://schemas.openxmlformats.org/drawingml/2006/main">
            <a:ext uri="{FF2B5EF4-FFF2-40B4-BE49-F238E27FC236}">
              <a16:creationId xmlns:a16="http://schemas.microsoft.com/office/drawing/2014/main" id="{0D336931-DC1E-49A1-B562-376538403888}"/>
            </a:ext>
          </a:extLst>
        </cdr:cNvPr>
        <cdr:cNvSpPr txBox="1">
          <a:spLocks xmlns:a="http://schemas.openxmlformats.org/drawingml/2006/main" noChangeArrowheads="1"/>
        </cdr:cNvSpPr>
      </cdr:nvSpPr>
      <cdr:spPr bwMode="auto">
        <a:xfrm xmlns:a="http://schemas.openxmlformats.org/drawingml/2006/main">
          <a:off x="3995810" y="3537319"/>
          <a:ext cx="2565978" cy="1338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pt-BR" sz="800" b="0" i="1" u="none" strike="noStrike" baseline="0">
              <a:solidFill>
                <a:srgbClr val="000000"/>
              </a:solidFill>
              <a:latin typeface="Arial"/>
              <a:cs typeface="Arial"/>
            </a:rPr>
            <a:t>FONTE:  DECOPE/NTC&amp;LOGÍSTICA</a:t>
          </a:r>
          <a:endParaRPr lang="pt-B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4913</xdr:colOff>
      <xdr:row>0</xdr:row>
      <xdr:rowOff>25057</xdr:rowOff>
    </xdr:from>
    <xdr:to>
      <xdr:col>1</xdr:col>
      <xdr:colOff>748767</xdr:colOff>
      <xdr:row>2</xdr:row>
      <xdr:rowOff>111457</xdr:rowOff>
    </xdr:to>
    <xdr:pic>
      <xdr:nvPicPr>
        <xdr:cNvPr id="11761427" name="Picture 20">
          <a:extLst>
            <a:ext uri="{FF2B5EF4-FFF2-40B4-BE49-F238E27FC236}">
              <a16:creationId xmlns:a16="http://schemas.microsoft.com/office/drawing/2014/main" id="{00000000-0008-0000-0300-00001377B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913"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14438</xdr:colOff>
      <xdr:row>0</xdr:row>
      <xdr:rowOff>25057</xdr:rowOff>
    </xdr:from>
    <xdr:to>
      <xdr:col>1</xdr:col>
      <xdr:colOff>758292</xdr:colOff>
      <xdr:row>2</xdr:row>
      <xdr:rowOff>111457</xdr:rowOff>
    </xdr:to>
    <xdr:pic>
      <xdr:nvPicPr>
        <xdr:cNvPr id="11760373" name="Picture 20">
          <a:extLst>
            <a:ext uri="{FF2B5EF4-FFF2-40B4-BE49-F238E27FC236}">
              <a16:creationId xmlns:a16="http://schemas.microsoft.com/office/drawing/2014/main" id="{00000000-0008-0000-0400-0000F572B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438"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7284</xdr:colOff>
      <xdr:row>0</xdr:row>
      <xdr:rowOff>18513</xdr:rowOff>
    </xdr:from>
    <xdr:to>
      <xdr:col>1</xdr:col>
      <xdr:colOff>765955</xdr:colOff>
      <xdr:row>2</xdr:row>
      <xdr:rowOff>128196</xdr:rowOff>
    </xdr:to>
    <xdr:pic>
      <xdr:nvPicPr>
        <xdr:cNvPr id="117503" name="Picture 20">
          <a:extLst>
            <a:ext uri="{FF2B5EF4-FFF2-40B4-BE49-F238E27FC236}">
              <a16:creationId xmlns:a16="http://schemas.microsoft.com/office/drawing/2014/main" id="{00000000-0008-0000-0500-0000FFC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284" y="18513"/>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14438</xdr:colOff>
      <xdr:row>0</xdr:row>
      <xdr:rowOff>25057</xdr:rowOff>
    </xdr:from>
    <xdr:to>
      <xdr:col>1</xdr:col>
      <xdr:colOff>777342</xdr:colOff>
      <xdr:row>2</xdr:row>
      <xdr:rowOff>140032</xdr:rowOff>
    </xdr:to>
    <xdr:pic>
      <xdr:nvPicPr>
        <xdr:cNvPr id="5962291" name="Picture 20">
          <a:extLst>
            <a:ext uri="{FF2B5EF4-FFF2-40B4-BE49-F238E27FC236}">
              <a16:creationId xmlns:a16="http://schemas.microsoft.com/office/drawing/2014/main" id="{00000000-0008-0000-0600-000033FA5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438" y="25057"/>
          <a:ext cx="1658254" cy="5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B201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XC_DECO/INCTNOVO/INCTF0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EXC_DECO/INCTNOVO/INCTF121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EXC_DECO/INCTNOVO/INCTF121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EXC_DECO/INCTNOVO/INCTF121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EXC_DECO/INCTNOVO/INCTF1216.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EXC_DECO/INCTNOVO/INCTF1217.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EXC_DECO/INCTNOVO/INCTF1218.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EXC_DECO/INCTNOVO/INCTF1219.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PNEU201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PNEU201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PNEU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XC_DECO/INCTNOVO/INCTF011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PNEU201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PNEU2017.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PNEU2018.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PNEU2019.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PNEU2020.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PNEU2016.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PNEU201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EXC_DECO/INCTNOVO/INCTF031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EXC_DECO/INCTNOVO/INCTF041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EXC_DECO/INCTNOVO/INCTF05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EXC_DECO/INCTNOVO/INCTF011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EXC_DECO/INCTNOVO/INCTF061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PNEU/PNEU201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PNEU/PNEU201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EXC_DECO/INCTNOVO/INCTF09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XC_DECO/INCTNOVO/INCTF01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EXC_DECO/INCTNOVO/INCTF01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EXC_DECO/INCTNOVO/INCTF01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XC_DECO/INCTNOVO/INCTF01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XC_DECO/INCTNOVO/INCTF021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EXC_DECO/INCTNOVO/INCTF02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EXC_DECO/INCTNOVO/INCTF02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B201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XC_DECO/INCTNOVO/INCTF021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XC_DECO/INCTNOVO/INCTF02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XC_DECO/INCTNOVO/INCTF0218.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XC_DECO/INCTNOVO/INCTF021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EXC_DECO/INCTNOVO/INCTF02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EXC_DECO/INCTNOVO/INCTF031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EXC_DECO/INCTNOVO/INCTF031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EXC_DECO/INCTNOVO/INCTF03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EXC_DECO/INCTNOVO/INCTF03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EXC_DECO/INCTNOVO/INCTF03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MB201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EXC_DECO/INCTNOVO/INCTF03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EXC_DECO/INCTNOVO/INCTF0319.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EXC_DECO/INCTNOVO/INCTF032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EXC_DECO/INCTNOVO/INCTF041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EXC_DECO/INCTNOVO/INCTF04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EXC_DECO/INCTNOVO/INCTF041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EXC_DECO/INCTNOVO/INCTF041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EXC_DECO/INCTNOVO/INCTF04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EXC_DECO/INCTNOVO/INCTF041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EXC_DECO/INCTNOVO/INCTF04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B2016.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EXC_DECO/INCTNOVO/INCTF04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EXC_DECO/INCTNOVO/INCTF051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EXC_DECO/INCTNOVO/INCTF051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EXC_DECO/INCTNOVO/INCTF05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EXC_DECO/INCTNOVO/INCTF0516.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EXC_DECO/INCTNOVO/INCTF0517.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EXC_DECO/INCTNOVO/INCTF0518.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EXC_DECO/INCTNOVO/INCTF0519.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EXC_DECO/INCTNOVO/INCTF052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EXC_DECO/INCTNOVO/INCTF06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MB2017.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EXC_DECO/INCTNOVO/INCTF061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EXC_DECO/INCTNOVO/INCTF061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EXC_DECO/INCTNOVO/INCTF0616.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EXC_DECO/INCTNOVO/INCTF061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EXC_DECO/INCTNOVO/INCTF06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EXC_DECO/INCTNOVO/INCTF061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EXC_DECO/INCTNOVO/INCTF06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EXC_DECO/INCTNOVO/INCTF07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EXC_DECO/INCTNOVO/INCTF071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EXC_DECO/INCTNOVO/INCTF07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MB2018.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EXC_DECO/INCTNOVO/INCTF071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EXC_DECO/INCTNOVO/INCTF0716.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EXC_DECO/INCTNOVO/INCTF0717.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EXC_DECO/INCTNOVO/INCTF0718.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EXC_DECO/INCTNOVO/INCTF071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EXC_DECO/INCTNOVO/INCTF072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EXC_DECO/INCTNOVO/INCTF081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EXC_DECO/INCTNOVO/INCTF081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EXC_DECO/INCTNOVO/INCTF081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EXC_DECO/INCTNOVO/INCTF08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B2019.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EXC_DECO/INCTNOVO/INCTF0816.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EXC_DECO/INCTNOVO/INCTF0817.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EXC_DECO/INCTNOVO/INCTF0818.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EXC_DECO/INCTNOVO/INCTF0819.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EXC_DECO/INCTNOVO/INCTF0820.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EXC_DECO/INCTNOVO/INCTF091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EXC_DECO/INCTNOVO/INCTF091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EXC_DECO/INCTNOVO/INCTF09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EXC_DECO/INCTNOVO/INCTF091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EXC_DECO/INCTNOVO/INCTF09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B2020.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EXC_DECO/INCTNOVO/INCTF0917.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EXC_DECO/INCTNOVO/INCTF0918.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EXC_DECO/INCTNOVO/INCTF0919.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EXC_DECO/INCTNOVO/INCTF10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EXC_DECO/INCTNOVO/INCTF101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EXC_DECO/INCTNOVO/INCTF101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EXC_DECO/INCTNOVO/INCTF101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EXC_DECO/INCTNOVO/INCTF1016.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EXC_DECO/INCTNOVO/INCTF1017.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EXC_DECO/INCTNOVO/INCTF1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XC_DECO/INCTNOVO/INCTF011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EXC_DECO/INCTNOVO/INCTF1019.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EXC_DECO/INCTNOVO/INCTF111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EXC_DECO/INCTNOVO/INCTF111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EXC_DECO/INCTNOVO/INCTF111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EXC_DECO/INCTNOVO/INCTF111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EXC_DECO/INCTNOVO/INCTF1116.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EXC_DECO/INCTNOVO/INCTF1117.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EXC_DECO/INCTNOVO/INCTF1118.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EXC_DECO/INCTNOVO/INCTF1119.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EXC_DECO/INCTNOVO/INCTF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
      <sheetName val="Fevereiro"/>
      <sheetName val="Março"/>
      <sheetName val="Abril"/>
      <sheetName val="Maio"/>
      <sheetName val="Junho"/>
      <sheetName val="Julho"/>
      <sheetName val="Agosto"/>
      <sheetName val="Setembro"/>
      <sheetName val="Outubro"/>
      <sheetName val="Novembro"/>
      <sheetName val="Dezembro"/>
      <sheetName val="jan"/>
    </sheetNames>
    <sheetDataSet>
      <sheetData sheetId="0">
        <row r="9">
          <cell r="B9">
            <v>2.1640000000000001</v>
          </cell>
        </row>
      </sheetData>
      <sheetData sheetId="1">
        <row r="9">
          <cell r="B9">
            <v>2.2549999999999994</v>
          </cell>
        </row>
      </sheetData>
      <sheetData sheetId="2">
        <row r="9">
          <cell r="B9">
            <v>2.3210000000000002</v>
          </cell>
        </row>
      </sheetData>
      <sheetData sheetId="3">
        <row r="9">
          <cell r="B9">
            <v>2.3340000000000001</v>
          </cell>
        </row>
      </sheetData>
      <sheetData sheetId="4">
        <row r="9">
          <cell r="B9">
            <v>2.3340000000000001</v>
          </cell>
        </row>
      </sheetData>
      <sheetData sheetId="5">
        <row r="9">
          <cell r="B9">
            <v>2.3340000000000001</v>
          </cell>
        </row>
      </sheetData>
      <sheetData sheetId="6">
        <row r="9">
          <cell r="B9">
            <v>2.3330000000000006</v>
          </cell>
        </row>
      </sheetData>
      <sheetData sheetId="7">
        <row r="9">
          <cell r="B9">
            <v>2.331</v>
          </cell>
        </row>
      </sheetData>
      <sheetData sheetId="8">
        <row r="9">
          <cell r="B9">
            <v>2.3300000000000005</v>
          </cell>
        </row>
      </sheetData>
      <sheetData sheetId="9">
        <row r="9">
          <cell r="B9">
            <v>2.3330000000000006</v>
          </cell>
        </row>
      </sheetData>
      <sheetData sheetId="10">
        <row r="9">
          <cell r="B9">
            <v>2.3320000000000003</v>
          </cell>
        </row>
      </sheetData>
      <sheetData sheetId="11">
        <row r="9">
          <cell r="B9">
            <v>2.4750000000000001</v>
          </cell>
        </row>
      </sheetData>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743.18411379548127</v>
          </cell>
        </row>
      </sheetData>
      <sheetData sheetId="3">
        <row r="8">
          <cell r="E8">
            <v>588.33217050533392</v>
          </cell>
        </row>
      </sheetData>
      <sheetData sheetId="4"/>
      <sheetData sheetId="5">
        <row r="8">
          <cell r="E8">
            <v>154.85194329014732</v>
          </cell>
        </row>
      </sheetData>
      <sheetData sheetId="6"/>
      <sheetData sheetId="7">
        <row r="27">
          <cell r="H27">
            <v>210202.5</v>
          </cell>
        </row>
        <row r="28">
          <cell r="H28">
            <v>22801.5</v>
          </cell>
        </row>
        <row r="29">
          <cell r="H29">
            <v>770</v>
          </cell>
        </row>
        <row r="33">
          <cell r="H33">
            <v>493</v>
          </cell>
        </row>
        <row r="38">
          <cell r="H38">
            <v>20.228571428571431</v>
          </cell>
        </row>
        <row r="39">
          <cell r="H39">
            <v>238</v>
          </cell>
        </row>
        <row r="159">
          <cell r="H159">
            <v>2207.359592010012</v>
          </cell>
        </row>
        <row r="176">
          <cell r="H176">
            <v>0.21459048304155379</v>
          </cell>
        </row>
      </sheetData>
      <sheetData sheetId="8">
        <row r="28">
          <cell r="H28">
            <v>122235.07666666666</v>
          </cell>
        </row>
        <row r="29">
          <cell r="H29">
            <v>12405.125</v>
          </cell>
        </row>
        <row r="30">
          <cell r="H30">
            <v>680</v>
          </cell>
        </row>
        <row r="34">
          <cell r="H34">
            <v>315.96666666666664</v>
          </cell>
        </row>
        <row r="38">
          <cell r="H38">
            <v>16.585714285714285</v>
          </cell>
        </row>
        <row r="40">
          <cell r="H40">
            <v>168</v>
          </cell>
        </row>
        <row r="166">
          <cell r="H166">
            <v>780.28363661871856</v>
          </cell>
        </row>
        <row r="183">
          <cell r="H183">
            <v>0.18226340315087125</v>
          </cell>
        </row>
      </sheetData>
      <sheetData sheetId="9">
        <row r="5">
          <cell r="I5">
            <v>438.82903140408024</v>
          </cell>
        </row>
      </sheetData>
      <sheetData sheetId="10"/>
      <sheetData sheetId="11"/>
      <sheetData sheetId="12"/>
      <sheetData sheetId="13"/>
      <sheetData sheetId="14"/>
      <sheetData sheetId="15"/>
      <sheetData sheetId="16"/>
      <sheetData sheetId="17"/>
      <sheetData sheetId="18"/>
      <sheetData sheetId="19"/>
      <sheetData sheetId="20">
        <row r="18">
          <cell r="F18">
            <v>2.59</v>
          </cell>
        </row>
      </sheetData>
      <sheetData sheetId="21"/>
      <sheetData sheetId="22"/>
      <sheetData sheetId="23">
        <row r="8">
          <cell r="D8">
            <v>4.0589999999999993</v>
          </cell>
        </row>
      </sheetData>
      <sheetData sheetId="24"/>
      <sheetData sheetId="25"/>
      <sheetData sheetId="26"/>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741.46661165059857</v>
          </cell>
        </row>
      </sheetData>
      <sheetData sheetId="3">
        <row r="8">
          <cell r="E8">
            <v>587.64869408458253</v>
          </cell>
        </row>
      </sheetData>
      <sheetData sheetId="4"/>
      <sheetData sheetId="5">
        <row r="8">
          <cell r="E8">
            <v>153.81791756601604</v>
          </cell>
        </row>
      </sheetData>
      <sheetData sheetId="6"/>
      <sheetData sheetId="7">
        <row r="27">
          <cell r="H27">
            <v>211125</v>
          </cell>
        </row>
        <row r="28">
          <cell r="H28">
            <v>22801.5</v>
          </cell>
        </row>
        <row r="29">
          <cell r="H29">
            <v>806.66666666666663</v>
          </cell>
        </row>
        <row r="33">
          <cell r="H33">
            <v>493</v>
          </cell>
        </row>
        <row r="38">
          <cell r="H38">
            <v>20.228571428571431</v>
          </cell>
        </row>
        <row r="39">
          <cell r="H39">
            <v>238</v>
          </cell>
        </row>
        <row r="159">
          <cell r="H159">
            <v>2215.9900065109218</v>
          </cell>
        </row>
        <row r="176">
          <cell r="H176">
            <v>0.21305647641139175</v>
          </cell>
        </row>
      </sheetData>
      <sheetData sheetId="8">
        <row r="28">
          <cell r="H28">
            <v>119687.5</v>
          </cell>
        </row>
        <row r="29">
          <cell r="H29">
            <v>12405.125</v>
          </cell>
        </row>
        <row r="30">
          <cell r="H30">
            <v>690</v>
          </cell>
        </row>
        <row r="34">
          <cell r="H34">
            <v>315.96666666666664</v>
          </cell>
        </row>
        <row r="38">
          <cell r="H38">
            <v>16.585714285714285</v>
          </cell>
        </row>
        <row r="166">
          <cell r="H166">
            <v>765.76632796451679</v>
          </cell>
        </row>
        <row r="183">
          <cell r="H183">
            <v>0.18096048763986422</v>
          </cell>
        </row>
      </sheetData>
      <sheetData sheetId="9">
        <row r="5">
          <cell r="I5">
            <v>438.82517104898903</v>
          </cell>
        </row>
      </sheetData>
      <sheetData sheetId="10"/>
      <sheetData sheetId="11"/>
      <sheetData sheetId="12"/>
      <sheetData sheetId="13"/>
      <sheetData sheetId="14"/>
      <sheetData sheetId="15"/>
      <sheetData sheetId="16"/>
      <sheetData sheetId="17"/>
      <sheetData sheetId="18"/>
      <sheetData sheetId="19"/>
      <sheetData sheetId="20">
        <row r="18">
          <cell r="F18">
            <v>2.5790000000000002</v>
          </cell>
        </row>
      </sheetData>
      <sheetData sheetId="21"/>
      <sheetData sheetId="22"/>
      <sheetData sheetId="23">
        <row r="8">
          <cell r="D8">
            <v>3.8880000000000003</v>
          </cell>
        </row>
      </sheetData>
      <sheetData sheetId="24"/>
      <sheetData sheetId="25"/>
      <sheetData sheetId="2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769.48390606798569</v>
          </cell>
        </row>
      </sheetData>
      <sheetData sheetId="3">
        <row r="8">
          <cell r="E8">
            <v>603.6965964558475</v>
          </cell>
        </row>
      </sheetData>
      <sheetData sheetId="4"/>
      <sheetData sheetId="5">
        <row r="8">
          <cell r="E8">
            <v>165.78730961213816</v>
          </cell>
        </row>
      </sheetData>
      <sheetData sheetId="6"/>
      <sheetData sheetId="7">
        <row r="27">
          <cell r="H27">
            <v>197266</v>
          </cell>
        </row>
        <row r="28">
          <cell r="H28">
            <v>22696</v>
          </cell>
        </row>
        <row r="29">
          <cell r="H29">
            <v>777.5</v>
          </cell>
        </row>
        <row r="33">
          <cell r="H33">
            <v>489.66666666666669</v>
          </cell>
        </row>
        <row r="38">
          <cell r="H38">
            <v>20.228571428571431</v>
          </cell>
        </row>
        <row r="39">
          <cell r="H39">
            <v>247.958</v>
          </cell>
        </row>
        <row r="40">
          <cell r="H40">
            <v>2640.631596660091</v>
          </cell>
        </row>
        <row r="166">
          <cell r="H166">
            <v>2092.5171230688384</v>
          </cell>
        </row>
        <row r="183">
          <cell r="H183">
            <v>0.22655113897408211</v>
          </cell>
        </row>
      </sheetData>
      <sheetData sheetId="8">
        <row r="28">
          <cell r="H28">
            <v>125663</v>
          </cell>
        </row>
        <row r="29">
          <cell r="H29">
            <v>12434.875</v>
          </cell>
        </row>
        <row r="30">
          <cell r="H30">
            <v>690</v>
          </cell>
        </row>
        <row r="34">
          <cell r="H34">
            <v>297.96666666666664</v>
          </cell>
        </row>
        <row r="38">
          <cell r="H38">
            <v>16.585714285714285</v>
          </cell>
        </row>
        <row r="40">
          <cell r="H40">
            <v>178.97800000000001</v>
          </cell>
        </row>
        <row r="41">
          <cell r="H41">
            <v>2611.1222108316679</v>
          </cell>
        </row>
        <row r="42">
          <cell r="H42">
            <v>1779.6157254864452</v>
          </cell>
        </row>
        <row r="174">
          <cell r="H174">
            <v>803.93745565163351</v>
          </cell>
        </row>
        <row r="191">
          <cell r="H191">
            <v>0.19242224068774896</v>
          </cell>
        </row>
      </sheetData>
      <sheetData sheetId="9">
        <row r="5">
          <cell r="I5">
            <v>445.22676507607042</v>
          </cell>
        </row>
      </sheetData>
      <sheetData sheetId="10"/>
      <sheetData sheetId="11"/>
      <sheetData sheetId="12"/>
      <sheetData sheetId="13"/>
      <sheetData sheetId="14"/>
      <sheetData sheetId="15"/>
      <sheetData sheetId="16"/>
      <sheetData sheetId="17"/>
      <sheetData sheetId="18"/>
      <sheetData sheetId="19"/>
      <sheetData sheetId="20">
        <row r="18">
          <cell r="F18">
            <v>2.7570000000000006</v>
          </cell>
        </row>
      </sheetData>
      <sheetData sheetId="21"/>
      <sheetData sheetId="22"/>
      <sheetData sheetId="23">
        <row r="8">
          <cell r="D8">
            <v>2.94</v>
          </cell>
        </row>
      </sheetData>
      <sheetData sheetId="24"/>
      <sheetData sheetId="25"/>
      <sheetData sheetId="2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842.90505617830547</v>
          </cell>
        </row>
      </sheetData>
      <sheetData sheetId="3">
        <row r="8">
          <cell r="E8">
            <v>659.34841922332475</v>
          </cell>
        </row>
      </sheetData>
      <sheetData sheetId="4"/>
      <sheetData sheetId="5">
        <row r="8">
          <cell r="E8">
            <v>183.55663695498072</v>
          </cell>
        </row>
      </sheetData>
      <sheetData sheetId="6"/>
      <sheetData sheetId="7">
        <row r="27">
          <cell r="H27">
            <v>190710</v>
          </cell>
        </row>
        <row r="28">
          <cell r="H28">
            <v>22696</v>
          </cell>
        </row>
        <row r="29">
          <cell r="H29">
            <v>829.5</v>
          </cell>
        </row>
        <row r="33">
          <cell r="H33">
            <v>469.22500000000002</v>
          </cell>
        </row>
        <row r="38">
          <cell r="H38">
            <v>20.75714285714286</v>
          </cell>
        </row>
        <row r="39">
          <cell r="H39">
            <v>262.93799999999999</v>
          </cell>
        </row>
        <row r="166">
          <cell r="H166">
            <v>2031.6691925388484</v>
          </cell>
        </row>
      </sheetData>
      <sheetData sheetId="8">
        <row r="28">
          <cell r="H28">
            <v>126159</v>
          </cell>
        </row>
        <row r="29">
          <cell r="H29">
            <v>12472.375</v>
          </cell>
        </row>
        <row r="30">
          <cell r="H30">
            <v>670</v>
          </cell>
        </row>
        <row r="34">
          <cell r="H34">
            <v>293.45</v>
          </cell>
        </row>
        <row r="38">
          <cell r="H38">
            <v>17.185714285714283</v>
          </cell>
        </row>
        <row r="40">
          <cell r="H40">
            <v>190.97800000000001</v>
          </cell>
        </row>
        <row r="174">
          <cell r="H174">
            <v>806.88681128510018</v>
          </cell>
        </row>
        <row r="191">
          <cell r="H191">
            <v>0.2135259037886911</v>
          </cell>
        </row>
      </sheetData>
      <sheetData sheetId="9">
        <row r="5">
          <cell r="I5">
            <v>486.52804434037193</v>
          </cell>
        </row>
      </sheetData>
      <sheetData sheetId="10"/>
      <sheetData sheetId="11"/>
      <sheetData sheetId="12"/>
      <sheetData sheetId="13"/>
      <sheetData sheetId="14"/>
      <sheetData sheetId="15"/>
      <sheetData sheetId="16"/>
      <sheetData sheetId="17"/>
      <sheetData sheetId="18"/>
      <sheetData sheetId="19"/>
      <sheetData sheetId="20">
        <row r="18">
          <cell r="F18">
            <v>3.1290000000000004</v>
          </cell>
        </row>
      </sheetData>
      <sheetData sheetId="21"/>
      <sheetData sheetId="22"/>
      <sheetData sheetId="23">
        <row r="8">
          <cell r="D8">
            <v>3.0741666666666667</v>
          </cell>
        </row>
      </sheetData>
      <sheetData sheetId="24"/>
      <sheetData sheetId="25"/>
      <sheetData sheetId="2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910.36135828146871</v>
          </cell>
        </row>
      </sheetData>
      <sheetData sheetId="3">
        <row r="8">
          <cell r="E8">
            <v>712.54729324534219</v>
          </cell>
        </row>
      </sheetData>
      <sheetData sheetId="4"/>
      <sheetData sheetId="5">
        <row r="8">
          <cell r="E8">
            <v>197.81406503612655</v>
          </cell>
        </row>
      </sheetData>
      <sheetData sheetId="6"/>
      <sheetData sheetId="7">
        <row r="27">
          <cell r="H27">
            <v>204399</v>
          </cell>
        </row>
        <row r="28">
          <cell r="H28">
            <v>23141.3</v>
          </cell>
        </row>
        <row r="29">
          <cell r="H29">
            <v>839.95</v>
          </cell>
        </row>
        <row r="33">
          <cell r="H33">
            <v>474.20000000000005</v>
          </cell>
        </row>
        <row r="38">
          <cell r="H38">
            <v>21.142857142857146</v>
          </cell>
        </row>
        <row r="39">
          <cell r="H39">
            <v>285.02479199999999</v>
          </cell>
        </row>
        <row r="167">
          <cell r="H167">
            <v>2164.432068278199</v>
          </cell>
        </row>
        <row r="184">
          <cell r="H184">
            <v>0.2699732271556553</v>
          </cell>
        </row>
      </sheetData>
      <sheetData sheetId="8">
        <row r="28">
          <cell r="H28">
            <v>138751</v>
          </cell>
        </row>
        <row r="29">
          <cell r="H29">
            <v>12782.648046875</v>
          </cell>
        </row>
        <row r="30">
          <cell r="H30">
            <v>690</v>
          </cell>
        </row>
        <row r="34">
          <cell r="H34">
            <v>303.42499999999995</v>
          </cell>
        </row>
        <row r="38">
          <cell r="H38">
            <v>17.442857142857143</v>
          </cell>
        </row>
        <row r="40">
          <cell r="H40">
            <v>207.020152</v>
          </cell>
        </row>
        <row r="175">
          <cell r="H175">
            <v>880.71594629590561</v>
          </cell>
        </row>
        <row r="192">
          <cell r="H192">
            <v>0.22930298885381847</v>
          </cell>
        </row>
      </sheetData>
      <sheetData sheetId="9">
        <row r="5">
          <cell r="I5">
            <v>528.35129702397796</v>
          </cell>
        </row>
      </sheetData>
      <sheetData sheetId="10"/>
      <sheetData sheetId="11"/>
      <sheetData sheetId="12"/>
      <sheetData sheetId="13"/>
      <sheetData sheetId="14"/>
      <sheetData sheetId="15"/>
      <sheetData sheetId="16"/>
      <sheetData sheetId="17"/>
      <sheetData sheetId="18"/>
      <sheetData sheetId="19"/>
      <sheetData sheetId="20">
        <row r="18">
          <cell r="F18">
            <v>3.1900000000000004</v>
          </cell>
        </row>
      </sheetData>
      <sheetData sheetId="21"/>
      <sheetData sheetId="22"/>
      <sheetData sheetId="23">
        <row r="8">
          <cell r="D8">
            <v>2.3911666666666673</v>
          </cell>
        </row>
      </sheetData>
      <sheetData sheetId="24"/>
      <sheetData sheetId="25"/>
      <sheetData sheetId="2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936.77496514217603</v>
          </cell>
        </row>
      </sheetData>
      <sheetData sheetId="3">
        <row r="8">
          <cell r="E8">
            <v>736.12799134768613</v>
          </cell>
        </row>
      </sheetData>
      <sheetData sheetId="4"/>
      <sheetData sheetId="5">
        <row r="8">
          <cell r="E8">
            <v>200.64697379448987</v>
          </cell>
        </row>
      </sheetData>
      <sheetData sheetId="6"/>
      <sheetData sheetId="7">
        <row r="27">
          <cell r="H27">
            <v>242360</v>
          </cell>
        </row>
        <row r="28">
          <cell r="H28">
            <v>23540.05</v>
          </cell>
        </row>
        <row r="29">
          <cell r="H29">
            <v>894.9</v>
          </cell>
        </row>
        <row r="33">
          <cell r="H33">
            <v>501.15</v>
          </cell>
        </row>
        <row r="38">
          <cell r="H38">
            <v>22.157142857142862</v>
          </cell>
        </row>
        <row r="39">
          <cell r="H39">
            <v>296.9388283056</v>
          </cell>
        </row>
        <row r="167">
          <cell r="H167">
            <v>2524.2063804214827</v>
          </cell>
        </row>
        <row r="184">
          <cell r="H184">
            <v>0.27522358081539328</v>
          </cell>
        </row>
      </sheetData>
      <sheetData sheetId="8">
        <row r="28">
          <cell r="H28">
            <v>146411</v>
          </cell>
        </row>
        <row r="29">
          <cell r="H29">
            <v>13032.748046875</v>
          </cell>
        </row>
        <row r="30">
          <cell r="H30">
            <v>710.4</v>
          </cell>
        </row>
        <row r="34">
          <cell r="H34">
            <v>313.39999999999998</v>
          </cell>
        </row>
        <row r="38">
          <cell r="H38">
            <v>18.271428571428572</v>
          </cell>
        </row>
        <row r="40">
          <cell r="H40">
            <v>215.67047199999996</v>
          </cell>
        </row>
        <row r="175">
          <cell r="H175">
            <v>926.06236745837225</v>
          </cell>
        </row>
        <row r="192">
          <cell r="H192">
            <v>0.23376240062365067</v>
          </cell>
        </row>
      </sheetData>
      <sheetData sheetId="9">
        <row r="5">
          <cell r="I5">
            <v>545.8244011260316</v>
          </cell>
        </row>
      </sheetData>
      <sheetData sheetId="10"/>
      <sheetData sheetId="11"/>
      <sheetData sheetId="12"/>
      <sheetData sheetId="13"/>
      <sheetData sheetId="14"/>
      <sheetData sheetId="15"/>
      <sheetData sheetId="16"/>
      <sheetData sheetId="17"/>
      <sheetData sheetId="18"/>
      <sheetData sheetId="19"/>
      <sheetData sheetId="20">
        <row r="18">
          <cell r="F18">
            <v>3.4639999999999995</v>
          </cell>
        </row>
      </sheetData>
      <sheetData sheetId="21"/>
      <sheetData sheetId="22"/>
      <sheetData sheetId="23">
        <row r="8">
          <cell r="D8">
            <v>1.823666666666667</v>
          </cell>
        </row>
      </sheetData>
      <sheetData sheetId="24"/>
      <sheetData sheetId="25"/>
      <sheetData sheetId="2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983.92803492783423</v>
          </cell>
        </row>
      </sheetData>
      <sheetData sheetId="3">
        <row r="8">
          <cell r="E8">
            <v>768.3632413531875</v>
          </cell>
        </row>
      </sheetData>
      <sheetData sheetId="4"/>
      <sheetData sheetId="5">
        <row r="8">
          <cell r="E8">
            <v>215.5647935746467</v>
          </cell>
        </row>
      </sheetData>
      <sheetData sheetId="6"/>
      <sheetData sheetId="7">
        <row r="27">
          <cell r="H27">
            <v>247456</v>
          </cell>
        </row>
        <row r="28">
          <cell r="H28">
            <v>24226.524999999998</v>
          </cell>
        </row>
        <row r="29">
          <cell r="H29">
            <v>899.9</v>
          </cell>
        </row>
        <row r="33">
          <cell r="H33">
            <v>512.4</v>
          </cell>
        </row>
        <row r="38">
          <cell r="H38">
            <v>22.642857142857146</v>
          </cell>
        </row>
        <row r="39">
          <cell r="H39">
            <v>310.30107557935202</v>
          </cell>
        </row>
        <row r="167">
          <cell r="H167">
            <v>2579.0171560052577</v>
          </cell>
        </row>
        <row r="184">
          <cell r="H184">
            <v>0.28501576358719111</v>
          </cell>
        </row>
      </sheetData>
      <sheetData sheetId="8">
        <row r="28">
          <cell r="I28">
            <v>154556</v>
          </cell>
        </row>
        <row r="29">
          <cell r="I29">
            <v>13384.748046875</v>
          </cell>
        </row>
        <row r="30">
          <cell r="I30">
            <v>718.9</v>
          </cell>
        </row>
        <row r="34">
          <cell r="I34">
            <v>330.4</v>
          </cell>
        </row>
        <row r="38">
          <cell r="H38">
            <v>18.642857142857142</v>
          </cell>
        </row>
        <row r="40">
          <cell r="I40">
            <v>225.37564323999999</v>
          </cell>
        </row>
        <row r="177">
          <cell r="I177">
            <v>974.74842107002223</v>
          </cell>
        </row>
        <row r="194">
          <cell r="I194">
            <v>0.24207943561498166</v>
          </cell>
        </row>
      </sheetData>
      <sheetData sheetId="9">
        <row r="5">
          <cell r="I5">
            <v>562.97175904167386</v>
          </cell>
        </row>
      </sheetData>
      <sheetData sheetId="10"/>
      <sheetData sheetId="11"/>
      <sheetData sheetId="12"/>
      <sheetData sheetId="13"/>
      <sheetData sheetId="14"/>
      <sheetData sheetId="15"/>
      <sheetData sheetId="16"/>
      <sheetData sheetId="17"/>
      <sheetData sheetId="18"/>
      <sheetData sheetId="19"/>
      <sheetData sheetId="20">
        <row r="18">
          <cell r="F18">
            <v>3.5629999999999997</v>
          </cell>
        </row>
      </sheetData>
      <sheetData sheetId="21"/>
      <sheetData sheetId="22"/>
      <sheetData sheetId="23">
        <row r="8">
          <cell r="D8">
            <v>1.7903333333333336</v>
          </cell>
        </row>
      </sheetData>
      <sheetData sheetId="24"/>
      <sheetData sheetId="25"/>
      <sheetData sheetId="2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row r="5">
          <cell r="E5">
            <v>28.618425581812613</v>
          </cell>
        </row>
      </sheetData>
      <sheetData sheetId="1">
        <row r="2">
          <cell r="K2" t="str">
            <v>DEZEMBRO|19</v>
          </cell>
        </row>
      </sheetData>
      <sheetData sheetId="2">
        <row r="20">
          <cell r="D20">
            <v>1042.0744345682983</v>
          </cell>
        </row>
      </sheetData>
      <sheetData sheetId="3">
        <row r="8">
          <cell r="E8">
            <v>814.46416500735575</v>
          </cell>
        </row>
      </sheetData>
      <sheetData sheetId="4"/>
      <sheetData sheetId="5">
        <row r="8">
          <cell r="E8">
            <v>227.61026956094264</v>
          </cell>
        </row>
      </sheetData>
      <sheetData sheetId="6"/>
      <sheetData sheetId="7">
        <row r="27">
          <cell r="H27">
            <v>290121</v>
          </cell>
        </row>
        <row r="28">
          <cell r="H28">
            <v>24693.587499999998</v>
          </cell>
        </row>
        <row r="29">
          <cell r="H29">
            <v>912.9</v>
          </cell>
        </row>
        <row r="33">
          <cell r="H33">
            <v>524.9</v>
          </cell>
        </row>
        <row r="38">
          <cell r="H38">
            <v>23.214285714285719</v>
          </cell>
        </row>
        <row r="39">
          <cell r="H39">
            <v>324.96031899187176</v>
          </cell>
        </row>
        <row r="167">
          <cell r="H167">
            <v>2983.1125005659392</v>
          </cell>
        </row>
        <row r="184">
          <cell r="H184">
            <v>0.29461082669630362</v>
          </cell>
        </row>
      </sheetData>
      <sheetData sheetId="8">
        <row r="28">
          <cell r="I28">
            <v>167102</v>
          </cell>
        </row>
        <row r="29">
          <cell r="I29">
            <v>13712.223046874999</v>
          </cell>
        </row>
        <row r="30">
          <cell r="I30">
            <v>729.4</v>
          </cell>
        </row>
        <row r="34">
          <cell r="I34">
            <v>340.4</v>
          </cell>
        </row>
        <row r="38">
          <cell r="I38">
            <v>19.071428571428573</v>
          </cell>
        </row>
        <row r="40">
          <cell r="I40">
            <v>236.02283937794408</v>
          </cell>
        </row>
        <row r="177">
          <cell r="I177">
            <v>1048.3699519981189</v>
          </cell>
        </row>
        <row r="194">
          <cell r="I194">
            <v>0.2494377999184185</v>
          </cell>
        </row>
      </sheetData>
      <sheetData sheetId="9">
        <row r="5">
          <cell r="I5">
            <v>589.99864813865463</v>
          </cell>
        </row>
      </sheetData>
      <sheetData sheetId="10"/>
      <sheetData sheetId="11"/>
      <sheetData sheetId="12"/>
      <sheetData sheetId="13"/>
      <sheetData sheetId="14"/>
      <sheetData sheetId="15"/>
      <sheetData sheetId="16"/>
      <sheetData sheetId="17"/>
      <sheetData sheetId="18">
        <row r="37">
          <cell r="D37">
            <v>340.4</v>
          </cell>
        </row>
      </sheetData>
      <sheetData sheetId="19"/>
      <sheetData sheetId="20">
        <row r="18">
          <cell r="F18">
            <v>3.8219999999999996</v>
          </cell>
        </row>
      </sheetData>
      <sheetData sheetId="21">
        <row r="7">
          <cell r="D7">
            <v>3.7510000000000003</v>
          </cell>
        </row>
      </sheetData>
      <sheetData sheetId="22">
        <row r="7">
          <cell r="D7">
            <v>3.7510000000000003</v>
          </cell>
        </row>
      </sheetData>
      <sheetData sheetId="23">
        <row r="8">
          <cell r="D8">
            <v>1.7903333333333336</v>
          </cell>
        </row>
      </sheetData>
      <sheetData sheetId="24"/>
      <sheetData sheetId="25"/>
      <sheetData sheetId="26">
        <row r="6">
          <cell r="A6" t="str">
            <v>DEZEMBRO|19</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
      <sheetName val="Fevereiro"/>
      <sheetName val="Março"/>
      <sheetName val="Abril"/>
      <sheetName val="Maio"/>
      <sheetName val="Junho"/>
      <sheetName val="Julho"/>
      <sheetName val="Agosto"/>
      <sheetName val="Setembro"/>
      <sheetName val="Outubro"/>
      <sheetName val="Novembro"/>
      <sheetName val="Dezembro"/>
    </sheetNames>
    <sheetDataSet>
      <sheetData sheetId="0">
        <row r="10">
          <cell r="I10">
            <v>472.76333333333338</v>
          </cell>
        </row>
        <row r="11">
          <cell r="I11">
            <v>48.633333333333333</v>
          </cell>
        </row>
        <row r="12">
          <cell r="I12">
            <v>25.13</v>
          </cell>
        </row>
        <row r="19">
          <cell r="I19">
            <v>80.412000000000006</v>
          </cell>
        </row>
        <row r="20">
          <cell r="I20">
            <v>37.381666666666668</v>
          </cell>
        </row>
        <row r="28">
          <cell r="J28">
            <v>1409.1533333333334</v>
          </cell>
        </row>
        <row r="30">
          <cell r="J30">
            <v>886.03833333333341</v>
          </cell>
        </row>
        <row r="32">
          <cell r="J32">
            <v>588.07799999999997</v>
          </cell>
        </row>
      </sheetData>
      <sheetData sheetId="1">
        <row r="10">
          <cell r="I10">
            <v>477.76333333333338</v>
          </cell>
        </row>
        <row r="11">
          <cell r="I11">
            <v>48.633333333333333</v>
          </cell>
        </row>
        <row r="12">
          <cell r="I12">
            <v>25.13</v>
          </cell>
        </row>
        <row r="19">
          <cell r="I19">
            <v>80.412000000000006</v>
          </cell>
        </row>
        <row r="20">
          <cell r="I20">
            <v>37.381666666666668</v>
          </cell>
        </row>
        <row r="28">
          <cell r="J28">
            <v>1411.8333333333333</v>
          </cell>
        </row>
        <row r="30">
          <cell r="J30">
            <v>845.64333333333343</v>
          </cell>
        </row>
        <row r="32">
          <cell r="J32">
            <v>597.51599999999996</v>
          </cell>
        </row>
      </sheetData>
      <sheetData sheetId="2">
        <row r="10">
          <cell r="I10">
            <v>484.02500000000003</v>
          </cell>
        </row>
        <row r="11">
          <cell r="I11">
            <v>52.586666666666673</v>
          </cell>
        </row>
        <row r="12">
          <cell r="I12">
            <v>25.13</v>
          </cell>
        </row>
        <row r="19">
          <cell r="I19">
            <v>80.412000000000006</v>
          </cell>
        </row>
        <row r="20">
          <cell r="I20">
            <v>37.381666666666668</v>
          </cell>
        </row>
        <row r="28">
          <cell r="J28">
            <v>1431</v>
          </cell>
        </row>
        <row r="30">
          <cell r="J30">
            <v>876.84500000000014</v>
          </cell>
        </row>
        <row r="32">
          <cell r="J32">
            <v>607.28800000000001</v>
          </cell>
        </row>
      </sheetData>
      <sheetData sheetId="3">
        <row r="10">
          <cell r="I10">
            <v>488.56333333333333</v>
          </cell>
        </row>
        <row r="11">
          <cell r="I11">
            <v>52.586666666666673</v>
          </cell>
        </row>
        <row r="12">
          <cell r="I12">
            <v>25.13</v>
          </cell>
        </row>
        <row r="19">
          <cell r="I19">
            <v>80.412000000000006</v>
          </cell>
        </row>
        <row r="20">
          <cell r="I20">
            <v>37.381666666666668</v>
          </cell>
        </row>
        <row r="28">
          <cell r="J28">
            <v>1472.4433333333334</v>
          </cell>
        </row>
        <row r="30">
          <cell r="J30">
            <v>882.64166666666677</v>
          </cell>
        </row>
        <row r="32">
          <cell r="J32">
            <v>607.54200000000003</v>
          </cell>
        </row>
      </sheetData>
      <sheetData sheetId="4">
        <row r="10">
          <cell r="I10">
            <v>496.59333333333331</v>
          </cell>
        </row>
        <row r="11">
          <cell r="I11">
            <v>52.586666666666673</v>
          </cell>
        </row>
        <row r="12">
          <cell r="I12">
            <v>25.13</v>
          </cell>
        </row>
        <row r="19">
          <cell r="I19">
            <v>80.412000000000006</v>
          </cell>
        </row>
        <row r="20">
          <cell r="I20">
            <v>37.381666666666668</v>
          </cell>
        </row>
        <row r="28">
          <cell r="J28">
            <v>1476.1133333333335</v>
          </cell>
        </row>
        <row r="30">
          <cell r="J30">
            <v>903.62999999999988</v>
          </cell>
        </row>
        <row r="32">
          <cell r="J32">
            <v>615.08000000000004</v>
          </cell>
        </row>
      </sheetData>
      <sheetData sheetId="5">
        <row r="10">
          <cell r="I10">
            <v>504.44333333333333</v>
          </cell>
        </row>
        <row r="11">
          <cell r="I11">
            <v>52.586666666666673</v>
          </cell>
        </row>
        <row r="12">
          <cell r="I12">
            <v>25.13</v>
          </cell>
        </row>
        <row r="19">
          <cell r="I19">
            <v>80.412000000000006</v>
          </cell>
        </row>
        <row r="20">
          <cell r="I20">
            <v>37.381666666666668</v>
          </cell>
        </row>
        <row r="28">
          <cell r="J28">
            <v>1476.1133333333335</v>
          </cell>
        </row>
        <row r="30">
          <cell r="J30">
            <v>913.62999999999988</v>
          </cell>
        </row>
        <row r="32">
          <cell r="J32">
            <v>609.85</v>
          </cell>
        </row>
      </sheetData>
      <sheetData sheetId="6">
        <row r="10">
          <cell r="I10">
            <v>505.32666666666665</v>
          </cell>
        </row>
        <row r="11">
          <cell r="I11">
            <v>52.586666666666673</v>
          </cell>
        </row>
        <row r="12">
          <cell r="I12">
            <v>25.13</v>
          </cell>
        </row>
        <row r="19">
          <cell r="I19">
            <v>80.412000000000006</v>
          </cell>
        </row>
        <row r="20">
          <cell r="I20">
            <v>37.831666666666671</v>
          </cell>
        </row>
        <row r="28">
          <cell r="J28">
            <v>1476.9716666666664</v>
          </cell>
        </row>
        <row r="30">
          <cell r="J30">
            <v>922.26800000000003</v>
          </cell>
        </row>
        <row r="32">
          <cell r="J32">
            <v>612.61800000000005</v>
          </cell>
        </row>
      </sheetData>
      <sheetData sheetId="7">
        <row r="10">
          <cell r="I10">
            <v>527.76166666666666</v>
          </cell>
        </row>
        <row r="11">
          <cell r="I11">
            <v>52.753333333333337</v>
          </cell>
        </row>
        <row r="12">
          <cell r="I12">
            <v>25.13</v>
          </cell>
        </row>
        <row r="19">
          <cell r="I19">
            <v>80.412000000000006</v>
          </cell>
        </row>
        <row r="20">
          <cell r="I20">
            <v>37.831666666666671</v>
          </cell>
        </row>
        <row r="28">
          <cell r="J28">
            <v>1482.0266666666666</v>
          </cell>
        </row>
        <row r="30">
          <cell r="J30">
            <v>917.77200000000016</v>
          </cell>
        </row>
        <row r="32">
          <cell r="J32">
            <v>590.21800000000007</v>
          </cell>
        </row>
      </sheetData>
      <sheetData sheetId="8">
        <row r="10">
          <cell r="I10">
            <v>529.27833333333331</v>
          </cell>
        </row>
        <row r="11">
          <cell r="I11">
            <v>53.253333333333337</v>
          </cell>
        </row>
        <row r="12">
          <cell r="I12">
            <v>24.63</v>
          </cell>
        </row>
        <row r="19">
          <cell r="I19">
            <v>81.412000000000006</v>
          </cell>
        </row>
        <row r="20">
          <cell r="I20">
            <v>36.498333333333335</v>
          </cell>
        </row>
        <row r="28">
          <cell r="J28">
            <v>1525.8433333333335</v>
          </cell>
        </row>
        <row r="30">
          <cell r="J30">
            <v>929.952</v>
          </cell>
        </row>
        <row r="32">
          <cell r="J32">
            <v>584.85799999999995</v>
          </cell>
        </row>
      </sheetData>
      <sheetData sheetId="9">
        <row r="10">
          <cell r="I10">
            <v>543.73333333333335</v>
          </cell>
        </row>
        <row r="11">
          <cell r="I11">
            <v>53.253333333333337</v>
          </cell>
        </row>
        <row r="12">
          <cell r="I12">
            <v>24.63</v>
          </cell>
        </row>
        <row r="19">
          <cell r="I19">
            <v>86.652000000000015</v>
          </cell>
        </row>
        <row r="20">
          <cell r="I20">
            <v>36.498333333333335</v>
          </cell>
        </row>
        <row r="28">
          <cell r="J28">
            <v>1557.3516666666667</v>
          </cell>
        </row>
        <row r="30">
          <cell r="J30">
            <v>945.21800000000007</v>
          </cell>
        </row>
        <row r="32">
          <cell r="J32">
            <v>577.86</v>
          </cell>
        </row>
      </sheetData>
      <sheetData sheetId="10">
        <row r="10">
          <cell r="I10">
            <v>543.73333333333335</v>
          </cell>
        </row>
        <row r="11">
          <cell r="I11">
            <v>53.253333333333337</v>
          </cell>
        </row>
        <row r="12">
          <cell r="I12">
            <v>24.63</v>
          </cell>
        </row>
        <row r="19">
          <cell r="I19">
            <v>86.652000000000015</v>
          </cell>
        </row>
        <row r="20">
          <cell r="I20">
            <v>36.498333333333335</v>
          </cell>
        </row>
        <row r="28">
          <cell r="J28">
            <v>1580.8116666666665</v>
          </cell>
        </row>
        <row r="30">
          <cell r="J30">
            <v>947.04</v>
          </cell>
        </row>
        <row r="32">
          <cell r="J32">
            <v>585.58600000000001</v>
          </cell>
        </row>
      </sheetData>
      <sheetData sheetId="11">
        <row r="10">
          <cell r="I10">
            <v>543.73333333333335</v>
          </cell>
        </row>
        <row r="11">
          <cell r="I11">
            <v>53.253333333333337</v>
          </cell>
        </row>
        <row r="12">
          <cell r="I12">
            <v>24.63</v>
          </cell>
        </row>
        <row r="19">
          <cell r="I19">
            <v>86.652000000000015</v>
          </cell>
        </row>
        <row r="20">
          <cell r="I20">
            <v>36.498333333333335</v>
          </cell>
        </row>
        <row r="28">
          <cell r="J28">
            <v>1590.8116666666665</v>
          </cell>
        </row>
        <row r="30">
          <cell r="J30">
            <v>947.04</v>
          </cell>
        </row>
        <row r="32">
          <cell r="J32">
            <v>586.31600000000003</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4"/>
      <sheetName val="fev-14"/>
      <sheetName val="mar-14"/>
      <sheetName val="abr-14"/>
      <sheetName val="mai-14"/>
      <sheetName val="jun-14"/>
      <sheetName val="jul-14"/>
      <sheetName val="ago-14"/>
      <sheetName val="set-14"/>
      <sheetName val="out-14"/>
      <sheetName val="nov-14"/>
      <sheetName val="dez-14"/>
    </sheetNames>
    <sheetDataSet>
      <sheetData sheetId="0">
        <row r="33">
          <cell r="I33">
            <v>1669.53</v>
          </cell>
        </row>
        <row r="36">
          <cell r="I36">
            <v>935.04</v>
          </cell>
        </row>
        <row r="39">
          <cell r="I39">
            <v>591.78399999999999</v>
          </cell>
        </row>
      </sheetData>
      <sheetData sheetId="1">
        <row r="33">
          <cell r="I33">
            <v>1692.6133333333335</v>
          </cell>
        </row>
        <row r="36">
          <cell r="I36">
            <v>935.97200000000009</v>
          </cell>
        </row>
        <row r="39">
          <cell r="I39">
            <v>595.45600000000002</v>
          </cell>
        </row>
      </sheetData>
      <sheetData sheetId="2">
        <row r="33">
          <cell r="I33">
            <v>1699.47</v>
          </cell>
        </row>
        <row r="36">
          <cell r="I36">
            <v>940.47799999999984</v>
          </cell>
        </row>
        <row r="39">
          <cell r="I39">
            <v>616.21600000000001</v>
          </cell>
        </row>
      </sheetData>
      <sheetData sheetId="3">
        <row r="33">
          <cell r="I33">
            <v>1556.4099999999999</v>
          </cell>
        </row>
        <row r="36">
          <cell r="I36">
            <v>940.47799999999984</v>
          </cell>
        </row>
        <row r="39">
          <cell r="I39">
            <v>595.77199999999993</v>
          </cell>
        </row>
      </sheetData>
      <sheetData sheetId="4">
        <row r="33">
          <cell r="I33">
            <v>1556.4099999999999</v>
          </cell>
        </row>
        <row r="36">
          <cell r="I36">
            <v>920.81600000000003</v>
          </cell>
        </row>
        <row r="39">
          <cell r="I39">
            <v>585.77199999999993</v>
          </cell>
        </row>
      </sheetData>
      <sheetData sheetId="5">
        <row r="33">
          <cell r="I33">
            <v>1511.2333333333336</v>
          </cell>
        </row>
        <row r="36">
          <cell r="I36">
            <v>924.13199999999995</v>
          </cell>
        </row>
        <row r="39">
          <cell r="I39">
            <v>585.77199999999993</v>
          </cell>
        </row>
      </sheetData>
      <sheetData sheetId="6">
        <row r="33">
          <cell r="I33">
            <v>1511.2333333333336</v>
          </cell>
        </row>
        <row r="36">
          <cell r="I36">
            <v>923.00800000000004</v>
          </cell>
        </row>
        <row r="39">
          <cell r="I39">
            <v>582.50599999999997</v>
          </cell>
        </row>
      </sheetData>
      <sheetData sheetId="7">
        <row r="33">
          <cell r="I33">
            <v>1511.2333333333336</v>
          </cell>
        </row>
        <row r="36">
          <cell r="I36">
            <v>923.00800000000004</v>
          </cell>
        </row>
        <row r="39">
          <cell r="I39">
            <v>584.50599999999997</v>
          </cell>
        </row>
      </sheetData>
      <sheetData sheetId="8">
        <row r="33">
          <cell r="I33">
            <v>1511.2333333333336</v>
          </cell>
        </row>
        <row r="36">
          <cell r="I36">
            <v>923.00800000000004</v>
          </cell>
        </row>
        <row r="39">
          <cell r="I39">
            <v>581.24</v>
          </cell>
        </row>
      </sheetData>
      <sheetData sheetId="9">
        <row r="33">
          <cell r="I33">
            <v>1511.2333333333336</v>
          </cell>
        </row>
        <row r="36">
          <cell r="I36">
            <v>923.00800000000004</v>
          </cell>
        </row>
        <row r="39">
          <cell r="I39">
            <v>581.04</v>
          </cell>
        </row>
      </sheetData>
      <sheetData sheetId="10">
        <row r="33">
          <cell r="I33">
            <v>1453.6333333333332</v>
          </cell>
        </row>
        <row r="36">
          <cell r="I36">
            <v>903.50800000000004</v>
          </cell>
        </row>
        <row r="39">
          <cell r="I39">
            <v>585.7059999999999</v>
          </cell>
        </row>
      </sheetData>
      <sheetData sheetId="11">
        <row r="33">
          <cell r="I33">
            <v>1453.6333333333332</v>
          </cell>
        </row>
        <row r="36">
          <cell r="I36">
            <v>886.77799999999991</v>
          </cell>
        </row>
        <row r="39">
          <cell r="I39">
            <v>589.10400000000004</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5"/>
      <sheetName val="fev-15"/>
      <sheetName val="mar-15"/>
      <sheetName val="abr-15"/>
      <sheetName val="mai-15"/>
      <sheetName val="jun-15"/>
      <sheetName val="jul-15"/>
      <sheetName val="ago-15"/>
      <sheetName val="set-15"/>
      <sheetName val="out-15"/>
      <sheetName val="nov-15"/>
      <sheetName val="dez-15"/>
      <sheetName val="dez-14"/>
      <sheetName val="nov-14"/>
      <sheetName val="out-14"/>
      <sheetName val="set-14"/>
      <sheetName val="ago-14"/>
      <sheetName val="jul-14"/>
      <sheetName val="jun-14"/>
      <sheetName val="mai-14"/>
    </sheetNames>
    <sheetDataSet>
      <sheetData sheetId="0">
        <row r="33">
          <cell r="I33">
            <v>1536.0400000000002</v>
          </cell>
        </row>
        <row r="36">
          <cell r="I36">
            <v>883.09399999999982</v>
          </cell>
        </row>
        <row r="39">
          <cell r="I39">
            <v>600.024</v>
          </cell>
        </row>
      </sheetData>
      <sheetData sheetId="1">
        <row r="33">
          <cell r="I33">
            <v>1607.04</v>
          </cell>
        </row>
        <row r="36">
          <cell r="I36">
            <v>907.15399999999988</v>
          </cell>
        </row>
        <row r="39">
          <cell r="I39">
            <v>618.03399999999999</v>
          </cell>
        </row>
      </sheetData>
      <sheetData sheetId="2">
        <row r="33">
          <cell r="I33">
            <v>1627.7533333333333</v>
          </cell>
        </row>
        <row r="36">
          <cell r="I36">
            <v>915.36199999999985</v>
          </cell>
        </row>
        <row r="39">
          <cell r="I39">
            <v>626.73400000000004</v>
          </cell>
        </row>
      </sheetData>
      <sheetData sheetId="3">
        <row r="33">
          <cell r="I33">
            <v>1584.29</v>
          </cell>
        </row>
        <row r="36">
          <cell r="I36">
            <v>870.41199999999992</v>
          </cell>
        </row>
        <row r="39">
          <cell r="I39">
            <v>610.73400000000004</v>
          </cell>
        </row>
      </sheetData>
      <sheetData sheetId="4">
        <row r="33">
          <cell r="I33">
            <v>1614.6233333333332</v>
          </cell>
        </row>
        <row r="36">
          <cell r="I36">
            <v>888.41199999999992</v>
          </cell>
        </row>
        <row r="39">
          <cell r="I39">
            <v>616.73400000000004</v>
          </cell>
        </row>
      </sheetData>
      <sheetData sheetId="5">
        <row r="33">
          <cell r="I33">
            <v>1634.3866666666665</v>
          </cell>
        </row>
        <row r="36">
          <cell r="I36">
            <v>890.80200000000002</v>
          </cell>
        </row>
        <row r="39">
          <cell r="I39">
            <v>604.93399999999997</v>
          </cell>
        </row>
      </sheetData>
      <sheetData sheetId="6">
        <row r="33">
          <cell r="I33">
            <v>1679.5433333333333</v>
          </cell>
        </row>
        <row r="36">
          <cell r="I36">
            <v>902.07399999999996</v>
          </cell>
        </row>
        <row r="39">
          <cell r="I39">
            <v>619.93399999999997</v>
          </cell>
        </row>
      </sheetData>
      <sheetData sheetId="7">
        <row r="33">
          <cell r="I33">
            <v>1678.1933333333334</v>
          </cell>
        </row>
        <row r="36">
          <cell r="I36">
            <v>907.79599999999994</v>
          </cell>
        </row>
        <row r="39">
          <cell r="I39">
            <v>625.904</v>
          </cell>
        </row>
      </sheetData>
      <sheetData sheetId="8">
        <row r="33">
          <cell r="I33">
            <v>1682.7166666666665</v>
          </cell>
        </row>
        <row r="36">
          <cell r="I36">
            <v>901.87800000000004</v>
          </cell>
        </row>
        <row r="39">
          <cell r="I39">
            <v>612.904</v>
          </cell>
        </row>
      </sheetData>
      <sheetData sheetId="9">
        <row r="33">
          <cell r="I33">
            <v>1755.6366666666665</v>
          </cell>
        </row>
        <row r="36">
          <cell r="I36">
            <v>945.12400000000002</v>
          </cell>
        </row>
        <row r="39">
          <cell r="I39">
            <v>592.70000000000005</v>
          </cell>
        </row>
      </sheetData>
      <sheetData sheetId="10">
        <row r="33">
          <cell r="I33">
            <v>1717.5100000000002</v>
          </cell>
        </row>
        <row r="36">
          <cell r="I36">
            <v>931.45999999999981</v>
          </cell>
        </row>
        <row r="39">
          <cell r="I39">
            <v>593.96600000000001</v>
          </cell>
        </row>
      </sheetData>
      <sheetData sheetId="11">
        <row r="33">
          <cell r="I33">
            <v>1711.7300000000002</v>
          </cell>
        </row>
        <row r="36">
          <cell r="I36">
            <v>915.48400000000004</v>
          </cell>
        </row>
        <row r="39">
          <cell r="I39">
            <v>607.96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772.33446303142148</v>
          </cell>
        </row>
      </sheetData>
      <sheetData sheetId="3">
        <row r="8">
          <cell r="E8">
            <v>604.22199993844004</v>
          </cell>
        </row>
      </sheetData>
      <sheetData sheetId="4"/>
      <sheetData sheetId="5">
        <row r="8">
          <cell r="E8">
            <v>168.11246309298144</v>
          </cell>
        </row>
      </sheetData>
      <sheetData sheetId="6"/>
      <sheetData sheetId="7">
        <row r="27">
          <cell r="H27">
            <v>195600</v>
          </cell>
        </row>
        <row r="28">
          <cell r="H28">
            <v>22696</v>
          </cell>
        </row>
        <row r="29">
          <cell r="H29">
            <v>829.5</v>
          </cell>
        </row>
        <row r="33">
          <cell r="H33">
            <v>489.66666666666669</v>
          </cell>
        </row>
        <row r="38">
          <cell r="H38">
            <v>20.6</v>
          </cell>
        </row>
        <row r="39">
          <cell r="H39">
            <v>247.958</v>
          </cell>
        </row>
        <row r="40">
          <cell r="H40">
            <v>2640.631596660091</v>
          </cell>
        </row>
        <row r="166">
          <cell r="H166">
            <v>2077.4174059908241</v>
          </cell>
        </row>
        <row r="183">
          <cell r="H183">
            <v>0.22795575603572141</v>
          </cell>
        </row>
      </sheetData>
      <sheetData sheetId="8">
        <row r="28">
          <cell r="H28">
            <v>125867</v>
          </cell>
        </row>
        <row r="29">
          <cell r="H29">
            <v>12472.375</v>
          </cell>
        </row>
        <row r="30">
          <cell r="H30">
            <v>670</v>
          </cell>
        </row>
        <row r="34">
          <cell r="H34">
            <v>297.96666666666664</v>
          </cell>
        </row>
        <row r="38">
          <cell r="H38">
            <v>16.942857142857143</v>
          </cell>
        </row>
        <row r="40">
          <cell r="H40">
            <v>178.97800000000001</v>
          </cell>
        </row>
        <row r="41">
          <cell r="H41">
            <v>2611.1222108316679</v>
          </cell>
        </row>
        <row r="42">
          <cell r="H42">
            <v>1779.6157254864452</v>
          </cell>
        </row>
        <row r="174">
          <cell r="H174">
            <v>805.22285581616677</v>
          </cell>
        </row>
        <row r="191">
          <cell r="H191">
            <v>0.19361525858001299</v>
          </cell>
        </row>
      </sheetData>
      <sheetData sheetId="9">
        <row r="5">
          <cell r="I5">
            <v>445.81565019322875</v>
          </cell>
        </row>
      </sheetData>
      <sheetData sheetId="10"/>
      <sheetData sheetId="11"/>
      <sheetData sheetId="12"/>
      <sheetData sheetId="13"/>
      <sheetData sheetId="14"/>
      <sheetData sheetId="15"/>
      <sheetData sheetId="16"/>
      <sheetData sheetId="17"/>
      <sheetData sheetId="18"/>
      <sheetData sheetId="19"/>
      <sheetData sheetId="20">
        <row r="18">
          <cell r="F18">
            <v>2.7669999999999999</v>
          </cell>
        </row>
      </sheetData>
      <sheetData sheetId="21"/>
      <sheetData sheetId="22"/>
      <sheetData sheetId="23">
        <row r="8">
          <cell r="D8">
            <v>2.9408333333333334</v>
          </cell>
        </row>
      </sheetData>
      <sheetData sheetId="24"/>
      <sheetData sheetId="25"/>
      <sheetData sheetId="2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6"/>
      <sheetName val="fev-16"/>
      <sheetName val="mar-16"/>
      <sheetName val="abr-16"/>
      <sheetName val="mai-16"/>
      <sheetName val="abr-15"/>
      <sheetName val="mai-15"/>
      <sheetName val="jun-15"/>
      <sheetName val="jul-15"/>
      <sheetName val="ago-15"/>
      <sheetName val="set-15"/>
      <sheetName val="out-15"/>
      <sheetName val="nov-15"/>
      <sheetName val="dez-15"/>
      <sheetName val="mar-15"/>
      <sheetName val="fev-15"/>
    </sheetNames>
    <sheetDataSet>
      <sheetData sheetId="0" refreshError="1">
        <row r="5">
          <cell r="I5">
            <v>476.67500000000001</v>
          </cell>
        </row>
        <row r="33">
          <cell r="I33">
            <v>1727.54</v>
          </cell>
        </row>
        <row r="36">
          <cell r="I36">
            <v>928.88800000000015</v>
          </cell>
        </row>
        <row r="39">
          <cell r="I39">
            <v>607.96</v>
          </cell>
        </row>
      </sheetData>
      <sheetData sheetId="1" refreshError="1">
        <row r="5">
          <cell r="I5">
            <v>451.7475</v>
          </cell>
        </row>
        <row r="33">
          <cell r="I33">
            <v>1686.5800000000002</v>
          </cell>
        </row>
        <row r="36">
          <cell r="I36">
            <v>944.81600000000003</v>
          </cell>
        </row>
        <row r="39">
          <cell r="I39">
            <v>613.14200000000005</v>
          </cell>
        </row>
      </sheetData>
      <sheetData sheetId="2" refreshError="1">
        <row r="5">
          <cell r="I5">
            <v>469.86499999999995</v>
          </cell>
        </row>
        <row r="33">
          <cell r="I33">
            <v>1666.95</v>
          </cell>
        </row>
        <row r="36">
          <cell r="I36">
            <v>933.32999999999993</v>
          </cell>
        </row>
        <row r="39">
          <cell r="I39">
            <v>641.26200000000006</v>
          </cell>
        </row>
      </sheetData>
      <sheetData sheetId="3" refreshError="1">
        <row r="5">
          <cell r="I5">
            <v>470.31249999999994</v>
          </cell>
        </row>
        <row r="33">
          <cell r="I33">
            <v>1682.7560000000001</v>
          </cell>
        </row>
        <row r="36">
          <cell r="I36">
            <v>940.14399999999989</v>
          </cell>
        </row>
        <row r="39">
          <cell r="I39">
            <v>631.86200000000008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7"/>
      <sheetName val="fev-17"/>
      <sheetName val="mar-17"/>
      <sheetName val="abr-17"/>
      <sheetName val="mai-17"/>
      <sheetName val="jun-17"/>
      <sheetName val="jul-17"/>
      <sheetName val="ago-17"/>
      <sheetName val="set-17"/>
      <sheetName val="out-17"/>
      <sheetName val="nov-17"/>
      <sheetName val="dez-17"/>
    </sheetNames>
    <sheetDataSet>
      <sheetData sheetId="0">
        <row r="33">
          <cell r="I33">
            <v>1723.6079999999997</v>
          </cell>
        </row>
        <row r="36">
          <cell r="I36">
            <v>952.08400000000006</v>
          </cell>
        </row>
        <row r="39">
          <cell r="I39">
            <v>678.89400000000001</v>
          </cell>
        </row>
      </sheetData>
      <sheetData sheetId="1">
        <row r="33">
          <cell r="I33">
            <v>1691.732</v>
          </cell>
        </row>
        <row r="36">
          <cell r="I36">
            <v>958.41199999999992</v>
          </cell>
        </row>
        <row r="39">
          <cell r="I39">
            <v>646.524</v>
          </cell>
        </row>
      </sheetData>
      <sheetData sheetId="2">
        <row r="33">
          <cell r="I33">
            <v>1690.3879999999997</v>
          </cell>
        </row>
        <row r="36">
          <cell r="I36">
            <v>958.41199999999992</v>
          </cell>
        </row>
        <row r="39">
          <cell r="I39">
            <v>621.56200000000013</v>
          </cell>
        </row>
      </sheetData>
      <sheetData sheetId="3">
        <row r="33">
          <cell r="I33">
            <v>1690.3879999999997</v>
          </cell>
        </row>
        <row r="36">
          <cell r="I36">
            <v>993.79200000000003</v>
          </cell>
        </row>
        <row r="39">
          <cell r="I39">
            <v>646.80200000000002</v>
          </cell>
        </row>
      </sheetData>
      <sheetData sheetId="4">
        <row r="33">
          <cell r="I33">
            <v>1697.9920000000002</v>
          </cell>
        </row>
        <row r="36">
          <cell r="I36">
            <v>992.69400000000007</v>
          </cell>
        </row>
        <row r="39">
          <cell r="I39">
            <v>658.06200000000001</v>
          </cell>
        </row>
      </sheetData>
      <sheetData sheetId="5">
        <row r="33">
          <cell r="I33">
            <v>1682.7860000000001</v>
          </cell>
        </row>
        <row r="36">
          <cell r="I36">
            <v>991.94599999999991</v>
          </cell>
        </row>
        <row r="39">
          <cell r="I39">
            <v>658.06200000000001</v>
          </cell>
        </row>
      </sheetData>
      <sheetData sheetId="6">
        <row r="33">
          <cell r="I33">
            <v>1676.0060000000001</v>
          </cell>
        </row>
        <row r="36">
          <cell r="I36">
            <v>996.26999999999987</v>
          </cell>
        </row>
        <row r="39">
          <cell r="I39">
            <v>650.38599999999997</v>
          </cell>
        </row>
      </sheetData>
      <sheetData sheetId="7">
        <row r="33">
          <cell r="I33">
            <v>1706.2040000000002</v>
          </cell>
        </row>
        <row r="36">
          <cell r="I36">
            <v>991.89599999999996</v>
          </cell>
        </row>
        <row r="39">
          <cell r="I39">
            <v>641.99800000000005</v>
          </cell>
        </row>
      </sheetData>
      <sheetData sheetId="8">
        <row r="33">
          <cell r="I33">
            <v>1706.2040000000002</v>
          </cell>
        </row>
        <row r="36">
          <cell r="I36">
            <v>991.89599999999996</v>
          </cell>
        </row>
        <row r="39">
          <cell r="I39">
            <v>641.99800000000005</v>
          </cell>
        </row>
      </sheetData>
      <sheetData sheetId="9">
        <row r="33">
          <cell r="I33">
            <v>1872.3920000000003</v>
          </cell>
        </row>
        <row r="36">
          <cell r="I36">
            <v>1083.46</v>
          </cell>
        </row>
        <row r="39">
          <cell r="I39">
            <v>581.98</v>
          </cell>
        </row>
      </sheetData>
      <sheetData sheetId="10">
        <row r="33">
          <cell r="I33">
            <v>1871.7819999999999</v>
          </cell>
        </row>
        <row r="36">
          <cell r="I36">
            <v>1083.46</v>
          </cell>
        </row>
        <row r="39">
          <cell r="I39">
            <v>581.98</v>
          </cell>
        </row>
      </sheetData>
      <sheetData sheetId="11">
        <row r="33">
          <cell r="I33">
            <v>1874.3420000000001</v>
          </cell>
        </row>
        <row r="36">
          <cell r="I36">
            <v>1087.136</v>
          </cell>
        </row>
        <row r="39">
          <cell r="I39">
            <v>574.52800000000002</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8"/>
      <sheetName val="fev-18"/>
      <sheetName val="mar-18"/>
      <sheetName val="abr-18"/>
      <sheetName val="mai-18"/>
      <sheetName val="jun-18"/>
      <sheetName val="jul-18"/>
      <sheetName val="ago-18"/>
      <sheetName val="set-18"/>
      <sheetName val="out-18"/>
      <sheetName val="nov-18"/>
      <sheetName val="dez-18"/>
      <sheetName val="dez.18"/>
    </sheetNames>
    <sheetDataSet>
      <sheetData sheetId="0">
        <row r="33">
          <cell r="I33">
            <v>1874.3420000000001</v>
          </cell>
        </row>
        <row r="36">
          <cell r="I36">
            <v>1084.336</v>
          </cell>
        </row>
        <row r="39">
          <cell r="I39">
            <v>573.3420000000001</v>
          </cell>
        </row>
      </sheetData>
      <sheetData sheetId="1">
        <row r="33">
          <cell r="I33">
            <v>1891.1880000000001</v>
          </cell>
        </row>
        <row r="36">
          <cell r="I36">
            <v>1084.336</v>
          </cell>
        </row>
        <row r="39">
          <cell r="I39">
            <v>559.74</v>
          </cell>
        </row>
      </sheetData>
      <sheetData sheetId="2">
        <row r="33">
          <cell r="I33">
            <v>1875.9480000000003</v>
          </cell>
        </row>
        <row r="36">
          <cell r="I36">
            <v>1094.4939999999999</v>
          </cell>
        </row>
        <row r="39">
          <cell r="I39">
            <v>580.37</v>
          </cell>
        </row>
      </sheetData>
      <sheetData sheetId="3">
        <row r="33">
          <cell r="I33">
            <v>1889.0060000000001</v>
          </cell>
        </row>
        <row r="36">
          <cell r="I36">
            <v>1094.4939999999999</v>
          </cell>
        </row>
        <row r="39">
          <cell r="I39">
            <v>582.33000000000004</v>
          </cell>
        </row>
      </sheetData>
      <sheetData sheetId="4">
        <row r="33">
          <cell r="I33">
            <v>1917.9879999999998</v>
          </cell>
        </row>
        <row r="36">
          <cell r="I36">
            <v>1112.4459999999999</v>
          </cell>
        </row>
        <row r="39">
          <cell r="I39">
            <v>575.28200000000004</v>
          </cell>
        </row>
      </sheetData>
      <sheetData sheetId="5">
        <row r="33">
          <cell r="I33">
            <v>1917.9879999999998</v>
          </cell>
        </row>
        <row r="36">
          <cell r="I36">
            <v>1127.2459999999999</v>
          </cell>
        </row>
        <row r="39">
          <cell r="I39">
            <v>593.08200000000011</v>
          </cell>
        </row>
      </sheetData>
      <sheetData sheetId="6">
        <row r="33">
          <cell r="I33">
            <v>1935.816</v>
          </cell>
        </row>
        <row r="36">
          <cell r="I36">
            <v>1126.9759999999999</v>
          </cell>
        </row>
        <row r="39">
          <cell r="I39">
            <v>589.66000000000008</v>
          </cell>
        </row>
      </sheetData>
      <sheetData sheetId="7">
        <row r="33">
          <cell r="I33">
            <v>1985.248</v>
          </cell>
        </row>
        <row r="36">
          <cell r="I36">
            <v>1133.3420000000001</v>
          </cell>
        </row>
        <row r="39">
          <cell r="I39">
            <v>586.23800000000006</v>
          </cell>
        </row>
      </sheetData>
      <sheetData sheetId="8">
        <row r="33">
          <cell r="I33">
            <v>1985.248</v>
          </cell>
        </row>
        <row r="36">
          <cell r="I36">
            <v>1050.028</v>
          </cell>
        </row>
        <row r="39">
          <cell r="I39">
            <v>580.12800000000004</v>
          </cell>
        </row>
      </sheetData>
      <sheetData sheetId="9">
        <row r="33">
          <cell r="I33">
            <v>2000.3759999999997</v>
          </cell>
        </row>
        <row r="36">
          <cell r="I36">
            <v>1059.0999999999999</v>
          </cell>
        </row>
        <row r="39">
          <cell r="I39">
            <v>582.19400000000007</v>
          </cell>
        </row>
      </sheetData>
      <sheetData sheetId="10">
        <row r="33">
          <cell r="I33">
            <v>2000.3759999999997</v>
          </cell>
        </row>
        <row r="36">
          <cell r="I36">
            <v>1051.4280000000001</v>
          </cell>
        </row>
        <row r="39">
          <cell r="I39">
            <v>594.50199999999995</v>
          </cell>
        </row>
      </sheetData>
      <sheetData sheetId="11">
        <row r="33">
          <cell r="I33">
            <v>1960.4580000000001</v>
          </cell>
        </row>
        <row r="36">
          <cell r="I36">
            <v>1023.2280000000001</v>
          </cell>
        </row>
        <row r="39">
          <cell r="I39">
            <v>609.26800000000003</v>
          </cell>
        </row>
      </sheetData>
      <sheetData sheetId="1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9"/>
      <sheetName val="fev-19"/>
      <sheetName val="mar-19"/>
      <sheetName val="abr-19"/>
      <sheetName val="mai-19"/>
      <sheetName val="jun-19"/>
      <sheetName val="jul-19"/>
      <sheetName val="ago-19"/>
      <sheetName val="set-19"/>
      <sheetName val="out-19"/>
      <sheetName val="nov-19"/>
      <sheetName val="dez-19"/>
    </sheetNames>
    <sheetDataSet>
      <sheetData sheetId="0">
        <row r="33">
          <cell r="I33">
            <v>2011.4159999999999</v>
          </cell>
        </row>
        <row r="36">
          <cell r="I36">
            <v>1054.0059999999999</v>
          </cell>
        </row>
        <row r="39">
          <cell r="I39">
            <v>616.9</v>
          </cell>
        </row>
      </sheetData>
      <sheetData sheetId="1">
        <row r="33">
          <cell r="I33">
            <v>2048.02</v>
          </cell>
        </row>
        <row r="36">
          <cell r="I36">
            <v>1075.8820000000001</v>
          </cell>
        </row>
        <row r="39">
          <cell r="I39">
            <v>625.18799999999987</v>
          </cell>
        </row>
      </sheetData>
      <sheetData sheetId="2">
        <row r="33">
          <cell r="I33">
            <v>2036.0400000000002</v>
          </cell>
        </row>
        <row r="36">
          <cell r="I36">
            <v>1075.8820000000001</v>
          </cell>
        </row>
        <row r="39">
          <cell r="I39">
            <v>597.12999999999988</v>
          </cell>
        </row>
      </sheetData>
      <sheetData sheetId="3">
        <row r="33">
          <cell r="I33">
            <v>2036.0400000000002</v>
          </cell>
        </row>
        <row r="36">
          <cell r="I36">
            <v>1075.8820000000001</v>
          </cell>
        </row>
        <row r="39">
          <cell r="I39">
            <v>604.34599999999989</v>
          </cell>
        </row>
      </sheetData>
      <sheetData sheetId="4">
        <row r="33">
          <cell r="I33">
            <v>2037.3200000000002</v>
          </cell>
        </row>
        <row r="36">
          <cell r="I36">
            <v>1069.5520000000001</v>
          </cell>
        </row>
        <row r="39">
          <cell r="I39">
            <v>604.34599999999989</v>
          </cell>
        </row>
      </sheetData>
      <sheetData sheetId="5">
        <row r="33">
          <cell r="I33">
            <v>2012.4299999999998</v>
          </cell>
        </row>
        <row r="36">
          <cell r="I36">
            <v>1053.5319999999999</v>
          </cell>
        </row>
        <row r="39">
          <cell r="I39">
            <v>598.12800000000004</v>
          </cell>
        </row>
      </sheetData>
      <sheetData sheetId="6">
        <row r="33">
          <cell r="I33">
            <v>2012.4299999999998</v>
          </cell>
        </row>
        <row r="36">
          <cell r="I36">
            <v>1027.5520000000001</v>
          </cell>
        </row>
        <row r="39">
          <cell r="I39">
            <v>598.12800000000004</v>
          </cell>
        </row>
      </sheetData>
      <sheetData sheetId="7">
        <row r="33">
          <cell r="I33">
            <v>2015.1419999999998</v>
          </cell>
        </row>
        <row r="36">
          <cell r="I36">
            <v>1028.5639999999999</v>
          </cell>
        </row>
        <row r="39">
          <cell r="I39">
            <v>598.12800000000004</v>
          </cell>
        </row>
      </sheetData>
      <sheetData sheetId="8">
        <row r="33">
          <cell r="I33">
            <v>2006.8380000000002</v>
          </cell>
        </row>
        <row r="36">
          <cell r="I36">
            <v>1037.2459999999999</v>
          </cell>
        </row>
        <row r="39">
          <cell r="I39">
            <v>591.47399999999993</v>
          </cell>
        </row>
      </sheetData>
      <sheetData sheetId="9">
        <row r="33">
          <cell r="I33">
            <v>2037.9</v>
          </cell>
        </row>
        <row r="36">
          <cell r="I36">
            <v>1107.1380000000001</v>
          </cell>
        </row>
        <row r="39">
          <cell r="I39">
            <v>611.05599999999993</v>
          </cell>
        </row>
      </sheetData>
      <sheetData sheetId="10">
        <row r="33">
          <cell r="I33">
            <v>2023.3559999999998</v>
          </cell>
        </row>
        <row r="36">
          <cell r="I36">
            <v>1089.828</v>
          </cell>
        </row>
        <row r="39">
          <cell r="I39">
            <v>606.14599999999996</v>
          </cell>
        </row>
      </sheetData>
      <sheetData sheetId="11">
        <row r="33">
          <cell r="I33">
            <v>2012.8759999999997</v>
          </cell>
        </row>
        <row r="36">
          <cell r="I36">
            <v>1075.828</v>
          </cell>
        </row>
        <row r="39">
          <cell r="I39">
            <v>606.14599999999996</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0"/>
      <sheetName val="fev-20"/>
      <sheetName val="mar-20"/>
      <sheetName val="abr-20"/>
      <sheetName val="mai-20"/>
      <sheetName val="jun-20"/>
      <sheetName val="jul-20"/>
      <sheetName val="ago-20"/>
      <sheetName val="set-20"/>
      <sheetName val="out-19"/>
      <sheetName val="nov-19"/>
      <sheetName val="dez-19"/>
      <sheetName val="set-19"/>
    </sheetNames>
    <sheetDataSet>
      <sheetData sheetId="0">
        <row r="33">
          <cell r="I33">
            <v>2020.4659999999999</v>
          </cell>
        </row>
        <row r="36">
          <cell r="I36">
            <v>1070.7180000000001</v>
          </cell>
        </row>
        <row r="39">
          <cell r="I39">
            <v>606.14599999999996</v>
          </cell>
        </row>
      </sheetData>
      <sheetData sheetId="1">
        <row r="33">
          <cell r="I33">
            <v>2044.33</v>
          </cell>
        </row>
        <row r="36">
          <cell r="I36">
            <v>1070.7180000000001</v>
          </cell>
        </row>
        <row r="39">
          <cell r="I39">
            <v>606.03</v>
          </cell>
        </row>
      </sheetData>
      <sheetData sheetId="2">
        <row r="33">
          <cell r="I33">
            <v>2044.5319999999999</v>
          </cell>
        </row>
        <row r="36">
          <cell r="I36">
            <v>1097.48</v>
          </cell>
        </row>
        <row r="39">
          <cell r="I39">
            <v>607.66599999999994</v>
          </cell>
        </row>
      </sheetData>
      <sheetData sheetId="3">
        <row r="33">
          <cell r="I33">
            <v>2022.15</v>
          </cell>
        </row>
        <row r="36">
          <cell r="I36">
            <v>1064.03</v>
          </cell>
        </row>
        <row r="39">
          <cell r="I39">
            <v>631.37200000000007</v>
          </cell>
        </row>
      </sheetData>
      <sheetData sheetId="4">
        <row r="33">
          <cell r="I33">
            <v>2033.4240000000002</v>
          </cell>
        </row>
        <row r="36">
          <cell r="I36">
            <v>1079.8399999999999</v>
          </cell>
        </row>
        <row r="39">
          <cell r="I39">
            <v>627.67200000000014</v>
          </cell>
        </row>
      </sheetData>
      <sheetData sheetId="5">
        <row r="33">
          <cell r="I33">
            <v>2067.7159999999999</v>
          </cell>
        </row>
        <row r="36">
          <cell r="I36">
            <v>1076.306</v>
          </cell>
        </row>
        <row r="39">
          <cell r="I39">
            <v>647.71399999999994</v>
          </cell>
        </row>
      </sheetData>
      <sheetData sheetId="6">
        <row r="33">
          <cell r="I33">
            <v>2112.3020000000001</v>
          </cell>
        </row>
        <row r="36">
          <cell r="I36">
            <v>1092.6299999999999</v>
          </cell>
        </row>
        <row r="39">
          <cell r="I39">
            <v>649.71399999999994</v>
          </cell>
        </row>
      </sheetData>
      <sheetData sheetId="7">
        <row r="33">
          <cell r="I33">
            <v>2121.4360000000001</v>
          </cell>
        </row>
        <row r="36">
          <cell r="I36">
            <v>1117.402</v>
          </cell>
        </row>
        <row r="39">
          <cell r="I39">
            <v>662.63400000000001</v>
          </cell>
        </row>
      </sheetData>
      <sheetData sheetId="8">
        <row r="33">
          <cell r="I33">
            <v>2194.8460000000005</v>
          </cell>
        </row>
        <row r="36">
          <cell r="I36">
            <v>1087.2360000000001</v>
          </cell>
        </row>
        <row r="39">
          <cell r="I39">
            <v>670.92000000000007</v>
          </cell>
        </row>
      </sheetData>
      <sheetData sheetId="9"/>
      <sheetData sheetId="10"/>
      <sheetData sheetId="1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6"/>
      <sheetName val="fev-16"/>
      <sheetName val="mar-16"/>
      <sheetName val="abr-16"/>
      <sheetName val="mai-16"/>
      <sheetName val="jun-16"/>
      <sheetName val="jul-16"/>
      <sheetName val="ago-16"/>
      <sheetName val="set-16"/>
      <sheetName val="out-16"/>
      <sheetName val="nov-16"/>
      <sheetName val="dez-16"/>
    </sheetNames>
    <sheetDataSet>
      <sheetData sheetId="0">
        <row r="33">
          <cell r="I33">
            <v>1727.54</v>
          </cell>
        </row>
        <row r="36">
          <cell r="I36">
            <v>928.88800000000015</v>
          </cell>
        </row>
        <row r="39">
          <cell r="I39">
            <v>607.96</v>
          </cell>
        </row>
      </sheetData>
      <sheetData sheetId="1">
        <row r="33">
          <cell r="I33">
            <v>1686.5800000000002</v>
          </cell>
        </row>
        <row r="36">
          <cell r="I36">
            <v>944.81600000000003</v>
          </cell>
        </row>
        <row r="39">
          <cell r="I39">
            <v>613.14200000000005</v>
          </cell>
        </row>
      </sheetData>
      <sheetData sheetId="2">
        <row r="33">
          <cell r="I33">
            <v>1666.95</v>
          </cell>
        </row>
        <row r="36">
          <cell r="I36">
            <v>933.32999999999993</v>
          </cell>
        </row>
        <row r="39">
          <cell r="I39">
            <v>641.26200000000006</v>
          </cell>
        </row>
      </sheetData>
      <sheetData sheetId="3">
        <row r="33">
          <cell r="I33">
            <v>1682.7560000000001</v>
          </cell>
        </row>
        <row r="36">
          <cell r="I36">
            <v>940.14399999999989</v>
          </cell>
        </row>
        <row r="39">
          <cell r="I39">
            <v>631.86200000000008</v>
          </cell>
        </row>
      </sheetData>
      <sheetData sheetId="4">
        <row r="33">
          <cell r="I33">
            <v>1682.7560000000001</v>
          </cell>
        </row>
        <row r="36">
          <cell r="I36">
            <v>958.61</v>
          </cell>
        </row>
        <row r="39">
          <cell r="I39">
            <v>640.39800000000002</v>
          </cell>
        </row>
      </sheetData>
      <sheetData sheetId="5">
        <row r="33">
          <cell r="I33">
            <v>1682.7560000000001</v>
          </cell>
        </row>
        <row r="36">
          <cell r="I36">
            <v>962.87000000000012</v>
          </cell>
        </row>
        <row r="39">
          <cell r="I39">
            <v>633.54600000000005</v>
          </cell>
        </row>
      </sheetData>
      <sheetData sheetId="6">
        <row r="33">
          <cell r="I33">
            <v>1685.0360000000001</v>
          </cell>
        </row>
        <row r="36">
          <cell r="I36">
            <v>957.24199999999996</v>
          </cell>
        </row>
        <row r="39">
          <cell r="I39">
            <v>644.18399999999997</v>
          </cell>
        </row>
      </sheetData>
      <sheetData sheetId="7">
        <row r="33">
          <cell r="I33">
            <v>1691.8340000000001</v>
          </cell>
        </row>
        <row r="36">
          <cell r="I36">
            <v>961.02600000000007</v>
          </cell>
        </row>
        <row r="39">
          <cell r="I39">
            <v>639.24199999999996</v>
          </cell>
        </row>
      </sheetData>
      <sheetData sheetId="8">
        <row r="33">
          <cell r="I33">
            <v>1693.6560000000002</v>
          </cell>
        </row>
        <row r="36">
          <cell r="I36">
            <v>963.06600000000003</v>
          </cell>
        </row>
        <row r="39">
          <cell r="I39">
            <v>641.00400000000002</v>
          </cell>
        </row>
      </sheetData>
      <sheetData sheetId="9">
        <row r="33">
          <cell r="I33">
            <v>1687.818</v>
          </cell>
        </row>
        <row r="36">
          <cell r="I36">
            <v>963.048</v>
          </cell>
        </row>
        <row r="39">
          <cell r="I39">
            <v>627.67600000000004</v>
          </cell>
        </row>
      </sheetData>
      <sheetData sheetId="10">
        <row r="33">
          <cell r="I33">
            <v>1719.9899999999998</v>
          </cell>
        </row>
        <row r="36">
          <cell r="I36">
            <v>964.73800000000006</v>
          </cell>
        </row>
        <row r="39">
          <cell r="I39">
            <v>606.98799999999994</v>
          </cell>
        </row>
      </sheetData>
      <sheetData sheetId="11">
        <row r="33">
          <cell r="I33">
            <v>1723.6079999999997</v>
          </cell>
        </row>
        <row r="36">
          <cell r="I36">
            <v>964.73800000000006</v>
          </cell>
        </row>
        <row r="39">
          <cell r="I39">
            <v>634.16800000000001</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
      <sheetName val="Fevereiro"/>
      <sheetName val="Março"/>
      <sheetName val="Abril"/>
      <sheetName val="Maio"/>
      <sheetName val="Junho"/>
      <sheetName val="Julho"/>
      <sheetName val="Agosto"/>
      <sheetName val="Setembro"/>
      <sheetName val="Outubro"/>
      <sheetName val="Novembro"/>
      <sheetName val="Dezembro"/>
    </sheetNames>
    <sheetDataSet>
      <sheetData sheetId="0">
        <row r="28">
          <cell r="J28">
            <v>1468.8720000000001</v>
          </cell>
        </row>
        <row r="30">
          <cell r="J30">
            <v>818.70399999999995</v>
          </cell>
        </row>
        <row r="32">
          <cell r="J32">
            <v>490.38499999999999</v>
          </cell>
        </row>
      </sheetData>
      <sheetData sheetId="1">
        <row r="19">
          <cell r="I19">
            <v>79.412000000000006</v>
          </cell>
        </row>
        <row r="20">
          <cell r="I20">
            <v>34.036666666666669</v>
          </cell>
        </row>
        <row r="28">
          <cell r="J28">
            <v>1364.7540000000001</v>
          </cell>
        </row>
        <row r="30">
          <cell r="J30">
            <v>811.25599999999997</v>
          </cell>
        </row>
        <row r="32">
          <cell r="J32">
            <v>542.74</v>
          </cell>
        </row>
      </sheetData>
      <sheetData sheetId="2">
        <row r="10">
          <cell r="I10">
            <v>534.02</v>
          </cell>
        </row>
        <row r="11">
          <cell r="I11">
            <v>51.133333333333333</v>
          </cell>
        </row>
        <row r="12">
          <cell r="I12">
            <v>26.621666666666666</v>
          </cell>
        </row>
        <row r="19">
          <cell r="I19">
            <v>83.412000000000006</v>
          </cell>
        </row>
        <row r="20">
          <cell r="I20">
            <v>34.036666666666669</v>
          </cell>
        </row>
        <row r="28">
          <cell r="J28">
            <v>1332.268</v>
          </cell>
        </row>
        <row r="30">
          <cell r="J30">
            <v>833.19400000000007</v>
          </cell>
        </row>
        <row r="32">
          <cell r="J32">
            <v>581.57799999999997</v>
          </cell>
        </row>
      </sheetData>
      <sheetData sheetId="3">
        <row r="10">
          <cell r="I10">
            <v>493.18666666666667</v>
          </cell>
        </row>
        <row r="11">
          <cell r="I11">
            <v>51.133333333333333</v>
          </cell>
        </row>
        <row r="12">
          <cell r="I12">
            <v>26.621666666666666</v>
          </cell>
        </row>
        <row r="19">
          <cell r="I19">
            <v>83.412000000000006</v>
          </cell>
        </row>
        <row r="20">
          <cell r="I20">
            <v>34.036666666666669</v>
          </cell>
        </row>
        <row r="28">
          <cell r="J28">
            <v>1332.268</v>
          </cell>
        </row>
        <row r="30">
          <cell r="J30">
            <v>833.19400000000007</v>
          </cell>
        </row>
        <row r="32">
          <cell r="J32">
            <v>578.11599999999999</v>
          </cell>
        </row>
      </sheetData>
      <sheetData sheetId="4">
        <row r="10">
          <cell r="I10">
            <v>493.18666666666667</v>
          </cell>
        </row>
        <row r="11">
          <cell r="I11">
            <v>51.133333333333333</v>
          </cell>
        </row>
        <row r="12">
          <cell r="I12">
            <v>26.621666666666666</v>
          </cell>
        </row>
        <row r="19">
          <cell r="I19">
            <v>83.412000000000006</v>
          </cell>
        </row>
        <row r="20">
          <cell r="I20">
            <v>34.186666666666667</v>
          </cell>
        </row>
        <row r="28">
          <cell r="J28">
            <v>1355.1279999999999</v>
          </cell>
        </row>
        <row r="30">
          <cell r="J30">
            <v>833.19400000000007</v>
          </cell>
        </row>
        <row r="32">
          <cell r="J32">
            <v>577.94800000000009</v>
          </cell>
        </row>
      </sheetData>
      <sheetData sheetId="5">
        <row r="10">
          <cell r="I10">
            <v>489.45833333333326</v>
          </cell>
        </row>
        <row r="11">
          <cell r="I11">
            <v>51.133333333333333</v>
          </cell>
        </row>
        <row r="12">
          <cell r="I12">
            <v>26.621666666666666</v>
          </cell>
        </row>
        <row r="19">
          <cell r="I19">
            <v>83.412000000000006</v>
          </cell>
        </row>
        <row r="20">
          <cell r="I20">
            <v>34.186666666666667</v>
          </cell>
        </row>
        <row r="28">
          <cell r="J28">
            <v>1331.8</v>
          </cell>
        </row>
        <row r="30">
          <cell r="J30">
            <v>840.40599999999995</v>
          </cell>
        </row>
        <row r="32">
          <cell r="J32">
            <v>598.27600000000007</v>
          </cell>
        </row>
      </sheetData>
      <sheetData sheetId="6">
        <row r="10">
          <cell r="I10">
            <v>495.065</v>
          </cell>
        </row>
        <row r="11">
          <cell r="I11">
            <v>47.800000000000004</v>
          </cell>
        </row>
        <row r="12">
          <cell r="I12">
            <v>24.713333333333335</v>
          </cell>
        </row>
        <row r="19">
          <cell r="I19">
            <v>79.412000000000006</v>
          </cell>
        </row>
        <row r="20">
          <cell r="I20">
            <v>36.580000000000005</v>
          </cell>
        </row>
        <row r="28">
          <cell r="J28">
            <v>1366.4666666666669</v>
          </cell>
        </row>
        <row r="30">
          <cell r="J30">
            <v>841.62666666666655</v>
          </cell>
        </row>
        <row r="32">
          <cell r="J32">
            <v>591.57399999999996</v>
          </cell>
        </row>
      </sheetData>
      <sheetData sheetId="7">
        <row r="10">
          <cell r="I10">
            <v>503.69333333333333</v>
          </cell>
        </row>
        <row r="11">
          <cell r="I11">
            <v>47.800000000000004</v>
          </cell>
        </row>
        <row r="12">
          <cell r="I12">
            <v>25.3</v>
          </cell>
        </row>
        <row r="19">
          <cell r="I19">
            <v>79.412000000000006</v>
          </cell>
        </row>
        <row r="20">
          <cell r="I20">
            <v>37.708333333333336</v>
          </cell>
        </row>
        <row r="28">
          <cell r="J28">
            <v>1393.5716666666667</v>
          </cell>
        </row>
        <row r="30">
          <cell r="J30">
            <v>853.98333333333346</v>
          </cell>
        </row>
        <row r="32">
          <cell r="J32">
            <v>577.24</v>
          </cell>
        </row>
      </sheetData>
      <sheetData sheetId="8">
        <row r="10">
          <cell r="I10">
            <v>503.69333333333333</v>
          </cell>
        </row>
        <row r="11">
          <cell r="I11">
            <v>47.800000000000004</v>
          </cell>
        </row>
        <row r="12">
          <cell r="I12">
            <v>25.3</v>
          </cell>
        </row>
        <row r="19">
          <cell r="I19">
            <v>79.412000000000006</v>
          </cell>
        </row>
        <row r="20">
          <cell r="I20">
            <v>37.708333333333336</v>
          </cell>
        </row>
        <row r="28">
          <cell r="J28">
            <v>1393.5716666666667</v>
          </cell>
        </row>
        <row r="30">
          <cell r="J30">
            <v>847.31666666666672</v>
          </cell>
        </row>
        <row r="32">
          <cell r="J32">
            <v>579.24</v>
          </cell>
        </row>
      </sheetData>
      <sheetData sheetId="9">
        <row r="10">
          <cell r="I10">
            <v>510.18166666666662</v>
          </cell>
        </row>
        <row r="11">
          <cell r="I11">
            <v>48.633333333333333</v>
          </cell>
        </row>
        <row r="12">
          <cell r="I12">
            <v>25.3</v>
          </cell>
        </row>
        <row r="19">
          <cell r="I19">
            <v>80.412000000000006</v>
          </cell>
        </row>
        <row r="20">
          <cell r="I20">
            <v>37.143333333333338</v>
          </cell>
        </row>
        <row r="28">
          <cell r="J28">
            <v>1416.25</v>
          </cell>
        </row>
        <row r="30">
          <cell r="J30">
            <v>858.44999999999993</v>
          </cell>
        </row>
        <row r="32">
          <cell r="J32">
            <v>568.9</v>
          </cell>
        </row>
      </sheetData>
      <sheetData sheetId="10">
        <row r="10">
          <cell r="I10">
            <v>500.58666666666664</v>
          </cell>
        </row>
        <row r="11">
          <cell r="I11">
            <v>48.633333333333333</v>
          </cell>
        </row>
        <row r="12">
          <cell r="I12">
            <v>25.006666666666664</v>
          </cell>
        </row>
        <row r="19">
          <cell r="I19">
            <v>80.412000000000006</v>
          </cell>
        </row>
        <row r="20">
          <cell r="I20">
            <v>37.143333333333338</v>
          </cell>
        </row>
        <row r="28">
          <cell r="J28">
            <v>1423.57</v>
          </cell>
        </row>
        <row r="30">
          <cell r="J30">
            <v>862.80000000000007</v>
          </cell>
        </row>
        <row r="32">
          <cell r="J32">
            <v>571.55199999999991</v>
          </cell>
        </row>
      </sheetData>
      <sheetData sheetId="11">
        <row r="10">
          <cell r="I10">
            <v>494.43000000000006</v>
          </cell>
        </row>
        <row r="11">
          <cell r="I11">
            <v>48.633333333333333</v>
          </cell>
        </row>
        <row r="12">
          <cell r="I12">
            <v>25.13</v>
          </cell>
        </row>
        <row r="19">
          <cell r="I19">
            <v>80.412000000000006</v>
          </cell>
        </row>
        <row r="20">
          <cell r="I20">
            <v>37.381666666666668</v>
          </cell>
        </row>
        <row r="28">
          <cell r="J28">
            <v>1411.4866666666667</v>
          </cell>
        </row>
        <row r="30">
          <cell r="J30">
            <v>886.03833333333341</v>
          </cell>
        </row>
        <row r="32">
          <cell r="J32">
            <v>578.34400000000005</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PESOSa"/>
      <sheetName val="PESOSr"/>
      <sheetName val="PESOSdat"/>
      <sheetName val="PESOSou"/>
      <sheetName val="DAT"/>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643.36300294883176</v>
          </cell>
        </row>
      </sheetData>
      <sheetData sheetId="3">
        <row r="8">
          <cell r="E8">
            <v>510.77768714764647</v>
          </cell>
        </row>
      </sheetData>
      <sheetData sheetId="4"/>
      <sheetData sheetId="5">
        <row r="8">
          <cell r="E8">
            <v>132.58531580118523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8">
          <cell r="F18">
            <v>2.0892000000000004</v>
          </cell>
        </row>
      </sheetData>
      <sheetData sheetId="21"/>
      <sheetData sheetId="22"/>
      <sheetData sheetId="23">
        <row r="9">
          <cell r="D9">
            <v>4.0679999999999996</v>
          </cell>
        </row>
      </sheetData>
      <sheetData sheetId="24"/>
      <sheetData sheetId="25"/>
      <sheetData sheetId="26"/>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PESOSa"/>
      <sheetName val="PESOSr"/>
      <sheetName val="PESOSdat"/>
      <sheetName val="PESOSou"/>
      <sheetName val="DAT"/>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643.84421843655889</v>
          </cell>
        </row>
      </sheetData>
      <sheetData sheetId="3">
        <row r="8">
          <cell r="E8">
            <v>511.18622226519227</v>
          </cell>
        </row>
      </sheetData>
      <sheetData sheetId="4"/>
      <sheetData sheetId="5">
        <row r="8">
          <cell r="E8">
            <v>132.65799617136665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8">
          <cell r="F18">
            <v>2.0456000000000003</v>
          </cell>
        </row>
      </sheetData>
      <sheetData sheetId="21"/>
      <sheetData sheetId="22"/>
      <sheetData sheetId="23">
        <row r="9">
          <cell r="D9">
            <v>4.0980000000000008</v>
          </cell>
        </row>
      </sheetData>
      <sheetData sheetId="24"/>
      <sheetData sheetId="25"/>
      <sheetData sheetId="2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PESOSa"/>
      <sheetName val="PESOSr"/>
      <sheetName val="PESOSdat"/>
      <sheetName val="PESOSou"/>
      <sheetName val="DAT"/>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669.76716308423829</v>
          </cell>
        </row>
      </sheetData>
      <sheetData sheetId="3">
        <row r="8">
          <cell r="E8">
            <v>532.52347500327835</v>
          </cell>
        </row>
      </sheetData>
      <sheetData sheetId="4"/>
      <sheetData sheetId="5">
        <row r="8">
          <cell r="E8">
            <v>137.24368808095991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8">
          <cell r="F18">
            <v>2.069</v>
          </cell>
        </row>
      </sheetData>
      <sheetData sheetId="21"/>
      <sheetData sheetId="22"/>
      <sheetData sheetId="23">
        <row r="9">
          <cell r="D9">
            <v>4.1070000000000002</v>
          </cell>
        </row>
      </sheetData>
      <sheetData sheetId="24"/>
      <sheetData sheetId="25"/>
      <sheetData sheetId="2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844.62743366269717</v>
          </cell>
        </row>
      </sheetData>
      <sheetData sheetId="3">
        <row r="8">
          <cell r="E8">
            <v>660.72211202042649</v>
          </cell>
        </row>
      </sheetData>
      <sheetData sheetId="4"/>
      <sheetData sheetId="5">
        <row r="8">
          <cell r="E8">
            <v>183.90532164227071</v>
          </cell>
        </row>
      </sheetData>
      <sheetData sheetId="6"/>
      <sheetData sheetId="7">
        <row r="27">
          <cell r="H27">
            <v>194120</v>
          </cell>
        </row>
        <row r="28">
          <cell r="H28">
            <v>23053.924999999999</v>
          </cell>
        </row>
        <row r="29">
          <cell r="H29">
            <v>829.5</v>
          </cell>
        </row>
        <row r="33">
          <cell r="H33">
            <v>469.22500000000002</v>
          </cell>
        </row>
        <row r="38">
          <cell r="H38">
            <v>20.75714285714286</v>
          </cell>
        </row>
        <row r="39">
          <cell r="H39">
            <v>262.93799999999999</v>
          </cell>
        </row>
        <row r="167">
          <cell r="H167">
            <v>2067.2672641938957</v>
          </cell>
        </row>
        <row r="184">
          <cell r="H184">
            <v>0.25366042594493093</v>
          </cell>
        </row>
      </sheetData>
      <sheetData sheetId="8">
        <row r="28">
          <cell r="H28">
            <v>125916</v>
          </cell>
        </row>
        <row r="29">
          <cell r="H29">
            <v>12757.898046875</v>
          </cell>
        </row>
        <row r="30">
          <cell r="H30">
            <v>670</v>
          </cell>
        </row>
        <row r="34">
          <cell r="H34">
            <v>293.45</v>
          </cell>
        </row>
        <row r="38">
          <cell r="H38">
            <v>17.185714285714283</v>
          </cell>
        </row>
        <row r="40">
          <cell r="H40">
            <v>190.97800000000001</v>
          </cell>
        </row>
        <row r="175">
          <cell r="H175">
            <v>807.30567533460544</v>
          </cell>
        </row>
        <row r="192">
          <cell r="H192">
            <v>0.21544763692278929</v>
          </cell>
        </row>
      </sheetData>
      <sheetData sheetId="9">
        <row r="5">
          <cell r="I5">
            <v>486.6152425271348</v>
          </cell>
        </row>
      </sheetData>
      <sheetData sheetId="10"/>
      <sheetData sheetId="11"/>
      <sheetData sheetId="12"/>
      <sheetData sheetId="13"/>
      <sheetData sheetId="14"/>
      <sheetData sheetId="15"/>
      <sheetData sheetId="16"/>
      <sheetData sheetId="17"/>
      <sheetData sheetId="18"/>
      <sheetData sheetId="19"/>
      <sheetData sheetId="20">
        <row r="18">
          <cell r="F18">
            <v>3.1559999999999997</v>
          </cell>
        </row>
      </sheetData>
      <sheetData sheetId="21"/>
      <sheetData sheetId="22"/>
      <sheetData sheetId="23">
        <row r="8">
          <cell r="D8">
            <v>2.9408333333333334</v>
          </cell>
        </row>
      </sheetData>
      <sheetData sheetId="24"/>
      <sheetData sheetId="25"/>
      <sheetData sheetId="2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PESOSa"/>
      <sheetName val="PESOSr"/>
      <sheetName val="PESOSdat"/>
      <sheetName val="PESOSou"/>
      <sheetName val="DAT"/>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671.28313065880684</v>
          </cell>
        </row>
      </sheetData>
      <sheetData sheetId="3">
        <row r="8">
          <cell r="E8">
            <v>533.39524448890916</v>
          </cell>
        </row>
      </sheetData>
      <sheetData sheetId="4"/>
      <sheetData sheetId="5">
        <row r="8">
          <cell r="E8">
            <v>137.88788616989771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8">
          <cell r="F18">
            <v>2.0751999999999997</v>
          </cell>
        </row>
      </sheetData>
      <sheetData sheetId="21"/>
      <sheetData sheetId="22"/>
      <sheetData sheetId="23">
        <row r="9">
          <cell r="D9">
            <v>4.1020000000000003</v>
          </cell>
        </row>
      </sheetData>
      <sheetData sheetId="24"/>
      <sheetData sheetId="25"/>
      <sheetData sheetId="26"/>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
      <sheetName val="Fevereiro"/>
      <sheetName val="Março"/>
      <sheetName val="Abril"/>
      <sheetName val="Maio"/>
      <sheetName val="Junho"/>
      <sheetName val="Julho"/>
      <sheetName val="Agosto"/>
      <sheetName val="Setembro"/>
      <sheetName val="Outubro"/>
      <sheetName val="Novembro"/>
      <sheetName val="Dezembro"/>
    </sheetNames>
    <sheetDataSet>
      <sheetData sheetId="0"/>
      <sheetData sheetId="1"/>
      <sheetData sheetId="2"/>
      <sheetData sheetId="3"/>
      <sheetData sheetId="4"/>
      <sheetData sheetId="5"/>
      <sheetData sheetId="6"/>
      <sheetData sheetId="7"/>
      <sheetData sheetId="8">
        <row r="28">
          <cell r="J28">
            <v>942.25600000000009</v>
          </cell>
        </row>
      </sheetData>
      <sheetData sheetId="9">
        <row r="28">
          <cell r="J28">
            <v>1026.0360000000001</v>
          </cell>
        </row>
        <row r="30">
          <cell r="I30">
            <v>1404.03</v>
          </cell>
        </row>
      </sheetData>
      <sheetData sheetId="10">
        <row r="28">
          <cell r="J28">
            <v>938.476</v>
          </cell>
        </row>
        <row r="30">
          <cell r="I30">
            <v>1277.2349999999999</v>
          </cell>
        </row>
      </sheetData>
      <sheetData sheetId="11">
        <row r="28">
          <cell r="J28">
            <v>1357.4649999999999</v>
          </cell>
        </row>
        <row r="30">
          <cell r="J30">
            <v>813.24399999999991</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
      <sheetName val="Fevereiro"/>
      <sheetName val="Março"/>
      <sheetName val="Abril"/>
      <sheetName val="Maio"/>
      <sheetName val="Junho"/>
      <sheetName val="Julho"/>
      <sheetName val="Agosto"/>
      <sheetName val="Setembro"/>
      <sheetName val="Outubro"/>
      <sheetName val="Novembro"/>
      <sheetName val="Dezembro"/>
    </sheetNames>
    <sheetDataSet>
      <sheetData sheetId="0">
        <row r="28">
          <cell r="J28">
            <v>1394.4739999999999</v>
          </cell>
        </row>
        <row r="30">
          <cell r="J30">
            <v>825.11399999999992</v>
          </cell>
        </row>
        <row r="32">
          <cell r="J32">
            <v>583.41</v>
          </cell>
        </row>
      </sheetData>
      <sheetData sheetId="1">
        <row r="28">
          <cell r="J28">
            <v>1385.086</v>
          </cell>
        </row>
        <row r="30">
          <cell r="J30">
            <v>824.7120000000001</v>
          </cell>
        </row>
        <row r="32">
          <cell r="J32">
            <v>643.03</v>
          </cell>
        </row>
      </sheetData>
      <sheetData sheetId="2">
        <row r="28">
          <cell r="J28">
            <v>1448.2540000000001</v>
          </cell>
        </row>
        <row r="30">
          <cell r="J30">
            <v>852.31200000000013</v>
          </cell>
        </row>
        <row r="32">
          <cell r="J32">
            <v>493.90499999999997</v>
          </cell>
        </row>
      </sheetData>
      <sheetData sheetId="3">
        <row r="28">
          <cell r="J28">
            <v>1459.2540000000001</v>
          </cell>
        </row>
        <row r="30">
          <cell r="J30">
            <v>862.31200000000013</v>
          </cell>
        </row>
        <row r="32">
          <cell r="J32">
            <v>520.38</v>
          </cell>
        </row>
      </sheetData>
      <sheetData sheetId="4">
        <row r="28">
          <cell r="J28">
            <v>1493.434</v>
          </cell>
        </row>
        <row r="30">
          <cell r="J30">
            <v>882.27800000000002</v>
          </cell>
        </row>
        <row r="32">
          <cell r="J32">
            <v>546.98500000000001</v>
          </cell>
        </row>
      </sheetData>
      <sheetData sheetId="5">
        <row r="28">
          <cell r="J28">
            <v>1473.434</v>
          </cell>
        </row>
        <row r="30">
          <cell r="J30">
            <v>860.25800000000004</v>
          </cell>
        </row>
        <row r="32">
          <cell r="J32">
            <v>505.37</v>
          </cell>
        </row>
      </sheetData>
      <sheetData sheetId="6">
        <row r="28">
          <cell r="J28">
            <v>1483.288</v>
          </cell>
        </row>
        <row r="30">
          <cell r="J30">
            <v>853.41800000000001</v>
          </cell>
        </row>
        <row r="32">
          <cell r="J32">
            <v>537.68499999999995</v>
          </cell>
        </row>
      </sheetData>
      <sheetData sheetId="7">
        <row r="28">
          <cell r="J28">
            <v>1475.7580000000003</v>
          </cell>
        </row>
        <row r="30">
          <cell r="J30">
            <v>848.09600000000012</v>
          </cell>
        </row>
        <row r="32">
          <cell r="J32">
            <v>496.48749999999995</v>
          </cell>
        </row>
      </sheetData>
      <sheetData sheetId="8">
        <row r="28">
          <cell r="J28">
            <v>1475.7580000000003</v>
          </cell>
        </row>
        <row r="30">
          <cell r="J30">
            <v>848.09600000000012</v>
          </cell>
        </row>
        <row r="32">
          <cell r="J32">
            <v>496.48749999999995</v>
          </cell>
        </row>
      </sheetData>
      <sheetData sheetId="9">
        <row r="28">
          <cell r="J28">
            <v>1538.6725000000001</v>
          </cell>
        </row>
        <row r="30">
          <cell r="J30">
            <v>842.87599999999998</v>
          </cell>
        </row>
        <row r="32">
          <cell r="J32">
            <v>477.92250000000001</v>
          </cell>
        </row>
      </sheetData>
      <sheetData sheetId="10">
        <row r="28">
          <cell r="J28">
            <v>1461.9380000000001</v>
          </cell>
        </row>
        <row r="30">
          <cell r="J30">
            <v>814.87599999999998</v>
          </cell>
        </row>
        <row r="32">
          <cell r="J32">
            <v>487.73</v>
          </cell>
        </row>
      </sheetData>
      <sheetData sheetId="11">
        <row r="28">
          <cell r="J28">
            <v>1468.8720000000001</v>
          </cell>
        </row>
        <row r="30">
          <cell r="J30">
            <v>818.70399999999995</v>
          </cell>
        </row>
        <row r="32">
          <cell r="J32">
            <v>490.38499999999999</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sheetData sheetId="3"/>
      <sheetData sheetId="4"/>
      <sheetData sheetId="5"/>
      <sheetData sheetId="6"/>
      <sheetData sheetId="7">
        <row r="27">
          <cell r="H27">
            <v>303834</v>
          </cell>
        </row>
        <row r="28">
          <cell r="H28">
            <v>25428.587499999998</v>
          </cell>
        </row>
        <row r="29">
          <cell r="H29">
            <v>950.78535000000011</v>
          </cell>
        </row>
        <row r="33">
          <cell r="H33">
            <v>554.92427999999984</v>
          </cell>
        </row>
        <row r="38">
          <cell r="H38">
            <v>24.985714285714288</v>
          </cell>
        </row>
        <row r="39">
          <cell r="H39">
            <v>324.96031899187176</v>
          </cell>
        </row>
        <row r="167">
          <cell r="H167">
            <v>3119.3480278685379</v>
          </cell>
        </row>
        <row r="184">
          <cell r="H184">
            <v>0.30243174582180021</v>
          </cell>
        </row>
      </sheetData>
      <sheetData sheetId="8">
        <row r="28">
          <cell r="I28">
            <v>183436</v>
          </cell>
        </row>
        <row r="29">
          <cell r="I29">
            <v>14299.742708333331</v>
          </cell>
        </row>
        <row r="30">
          <cell r="I30">
            <v>759.67010000000005</v>
          </cell>
        </row>
        <row r="34">
          <cell r="I34">
            <v>359.87087999999994</v>
          </cell>
        </row>
        <row r="38">
          <cell r="I38">
            <v>19.38571428571429</v>
          </cell>
        </row>
        <row r="40">
          <cell r="I40">
            <v>236.02283937794408</v>
          </cell>
        </row>
        <row r="177">
          <cell r="I177">
            <v>1145.3326277331078</v>
          </cell>
        </row>
        <row r="194">
          <cell r="I194">
            <v>0.25541922954936919</v>
          </cell>
        </row>
      </sheetData>
      <sheetData sheetId="9">
        <row r="5">
          <cell r="I5">
            <v>597.33567866732938</v>
          </cell>
        </row>
      </sheetData>
      <sheetData sheetId="10"/>
      <sheetData sheetId="11"/>
      <sheetData sheetId="12"/>
      <sheetData sheetId="13"/>
      <sheetData sheetId="14"/>
      <sheetData sheetId="15"/>
      <sheetData sheetId="16"/>
      <sheetData sheetId="17"/>
      <sheetData sheetId="18"/>
      <sheetData sheetId="19"/>
      <sheetData sheetId="20">
        <row r="18">
          <cell r="F18">
            <v>3.4430000000000005</v>
          </cell>
        </row>
      </sheetData>
      <sheetData sheetId="21"/>
      <sheetData sheetId="22"/>
      <sheetData sheetId="23">
        <row r="8">
          <cell r="D8">
            <v>1.823666666666667</v>
          </cell>
        </row>
      </sheetData>
      <sheetData sheetId="24"/>
      <sheetData sheetId="25"/>
      <sheetData sheetId="2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913.7442639515308</v>
          </cell>
        </row>
      </sheetData>
      <sheetData sheetId="3">
        <row r="8">
          <cell r="E8">
            <v>714.66993772261355</v>
          </cell>
        </row>
      </sheetData>
      <sheetData sheetId="4"/>
      <sheetData sheetId="5">
        <row r="8">
          <cell r="E8">
            <v>199.07432622891724</v>
          </cell>
        </row>
      </sheetData>
      <sheetData sheetId="6"/>
      <sheetData sheetId="7">
        <row r="27">
          <cell r="H27">
            <v>203666</v>
          </cell>
        </row>
        <row r="28">
          <cell r="H28">
            <v>23165.05</v>
          </cell>
        </row>
        <row r="29">
          <cell r="H29">
            <v>839.95</v>
          </cell>
        </row>
        <row r="33">
          <cell r="H33">
            <v>484.70000000000005</v>
          </cell>
        </row>
        <row r="38">
          <cell r="H38">
            <v>21.142857142857146</v>
          </cell>
        </row>
        <row r="39">
          <cell r="H39">
            <v>285.02479199999999</v>
          </cell>
        </row>
        <row r="167">
          <cell r="H167">
            <v>2157.8197571358792</v>
          </cell>
        </row>
        <row r="184">
          <cell r="H184">
            <v>0.27035118967367322</v>
          </cell>
        </row>
      </sheetData>
      <sheetData sheetId="8">
        <row r="28">
          <cell r="H28">
            <v>139426</v>
          </cell>
        </row>
        <row r="29">
          <cell r="H29">
            <v>12832.648046875</v>
          </cell>
        </row>
        <row r="30">
          <cell r="H30">
            <v>690</v>
          </cell>
        </row>
        <row r="34">
          <cell r="H34">
            <v>309.39999999999998</v>
          </cell>
        </row>
        <row r="38">
          <cell r="H38">
            <v>17.442857142857143</v>
          </cell>
        </row>
        <row r="40">
          <cell r="H40">
            <v>207.020152</v>
          </cell>
        </row>
        <row r="175">
          <cell r="H175">
            <v>884.87825907173885</v>
          </cell>
        </row>
        <row r="192">
          <cell r="H192">
            <v>0.22962401303821384</v>
          </cell>
        </row>
      </sheetData>
      <sheetData sheetId="9">
        <row r="5">
          <cell r="I5">
            <v>529.09548711075286</v>
          </cell>
        </row>
      </sheetData>
      <sheetData sheetId="10"/>
      <sheetData sheetId="11"/>
      <sheetData sheetId="12"/>
      <sheetData sheetId="13"/>
      <sheetData sheetId="14"/>
      <sheetData sheetId="15"/>
      <sheetData sheetId="16"/>
      <sheetData sheetId="17"/>
      <sheetData sheetId="18"/>
      <sheetData sheetId="19"/>
      <sheetData sheetId="20">
        <row r="18">
          <cell r="F18">
            <v>3.262</v>
          </cell>
        </row>
      </sheetData>
      <sheetData sheetId="21"/>
      <sheetData sheetId="22"/>
      <sheetData sheetId="23">
        <row r="8">
          <cell r="D8">
            <v>2.3911666666666673</v>
          </cell>
        </row>
      </sheetData>
      <sheetData sheetId="24"/>
      <sheetData sheetId="25"/>
      <sheetData sheetId="2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940.74334003568822</v>
          </cell>
        </row>
      </sheetData>
      <sheetData sheetId="3">
        <row r="8">
          <cell r="E8">
            <v>739.13243783509631</v>
          </cell>
        </row>
      </sheetData>
      <sheetData sheetId="4"/>
      <sheetData sheetId="5">
        <row r="8">
          <cell r="E8">
            <v>201.61090220059191</v>
          </cell>
        </row>
      </sheetData>
      <sheetData sheetId="6"/>
      <sheetData sheetId="7">
        <row r="27">
          <cell r="H27">
            <v>245168</v>
          </cell>
        </row>
        <row r="28">
          <cell r="H28">
            <v>23540.05</v>
          </cell>
        </row>
        <row r="29">
          <cell r="H29">
            <v>894.9</v>
          </cell>
        </row>
        <row r="33">
          <cell r="H33">
            <v>501.15</v>
          </cell>
        </row>
        <row r="38">
          <cell r="H38">
            <v>22.157142857142862</v>
          </cell>
        </row>
        <row r="39">
          <cell r="H39">
            <v>296.9388283056</v>
          </cell>
        </row>
        <row r="167">
          <cell r="H167">
            <v>2550.4765201705927</v>
          </cell>
        </row>
        <row r="184">
          <cell r="H184">
            <v>0.27593916212551328</v>
          </cell>
        </row>
      </sheetData>
      <sheetData sheetId="8">
        <row r="28">
          <cell r="H28">
            <v>145993</v>
          </cell>
        </row>
        <row r="29">
          <cell r="H29">
            <v>13032.748046875</v>
          </cell>
        </row>
        <row r="30">
          <cell r="H30">
            <v>710.4</v>
          </cell>
        </row>
        <row r="34">
          <cell r="H34">
            <v>313.39999999999998</v>
          </cell>
        </row>
        <row r="38">
          <cell r="H38">
            <v>18.271428571428572</v>
          </cell>
        </row>
        <row r="40">
          <cell r="H40">
            <v>215.67047199999996</v>
          </cell>
        </row>
        <row r="175">
          <cell r="H175">
            <v>923.68040380763887</v>
          </cell>
        </row>
        <row r="192">
          <cell r="H192">
            <v>0.23437018286527214</v>
          </cell>
        </row>
      </sheetData>
      <sheetData sheetId="9">
        <row r="5">
          <cell r="I5">
            <v>546.91931948942249</v>
          </cell>
        </row>
      </sheetData>
      <sheetData sheetId="10"/>
      <sheetData sheetId="11"/>
      <sheetData sheetId="12"/>
      <sheetData sheetId="13"/>
      <sheetData sheetId="14"/>
      <sheetData sheetId="15"/>
      <sheetData sheetId="16"/>
      <sheetData sheetId="17"/>
      <sheetData sheetId="18"/>
      <sheetData sheetId="19"/>
      <sheetData sheetId="20">
        <row r="18">
          <cell r="F18">
            <v>3.5010000000000003</v>
          </cell>
        </row>
      </sheetData>
      <sheetData sheetId="21"/>
      <sheetData sheetId="22"/>
      <sheetData sheetId="23">
        <row r="8">
          <cell r="D8">
            <v>1.823666666666667</v>
          </cell>
        </row>
      </sheetData>
      <sheetData sheetId="24"/>
      <sheetData sheetId="25"/>
      <sheetData sheetId="2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983.12185917908414</v>
          </cell>
        </row>
      </sheetData>
      <sheetData sheetId="3">
        <row r="8">
          <cell r="E8">
            <v>768.27779795255753</v>
          </cell>
        </row>
      </sheetData>
      <sheetData sheetId="4"/>
      <sheetData sheetId="5">
        <row r="8">
          <cell r="E8">
            <v>214.84406122652655</v>
          </cell>
        </row>
      </sheetData>
      <sheetData sheetId="6"/>
      <sheetData sheetId="7">
        <row r="27">
          <cell r="H27">
            <v>252060</v>
          </cell>
        </row>
        <row r="28">
          <cell r="H28">
            <v>24226.524999999998</v>
          </cell>
        </row>
        <row r="29">
          <cell r="H29">
            <v>899.9</v>
          </cell>
        </row>
        <row r="33">
          <cell r="H33">
            <v>512.4</v>
          </cell>
        </row>
        <row r="38">
          <cell r="H38">
            <v>22.642857142857146</v>
          </cell>
        </row>
        <row r="39">
          <cell r="H39">
            <v>310.30107557935202</v>
          </cell>
        </row>
        <row r="167">
          <cell r="H167">
            <v>2622.0897070753799</v>
          </cell>
        </row>
        <row r="184">
          <cell r="H184">
            <v>0.28541465947597811</v>
          </cell>
        </row>
      </sheetData>
      <sheetData sheetId="8">
        <row r="28">
          <cell r="I28">
            <v>155948</v>
          </cell>
        </row>
        <row r="29">
          <cell r="I29">
            <v>13384.748046875</v>
          </cell>
        </row>
        <row r="30">
          <cell r="I30">
            <v>718.9</v>
          </cell>
        </row>
        <row r="34">
          <cell r="I34">
            <v>330.4</v>
          </cell>
        </row>
        <row r="38">
          <cell r="I38">
            <v>18.642857142857142</v>
          </cell>
        </row>
        <row r="40">
          <cell r="I40">
            <v>225.37564323999999</v>
          </cell>
        </row>
        <row r="177">
          <cell r="I177">
            <v>982.6807019356221</v>
          </cell>
        </row>
        <row r="194">
          <cell r="I194">
            <v>0.24241823965308587</v>
          </cell>
        </row>
      </sheetData>
      <sheetData sheetId="9">
        <row r="5">
          <cell r="I5">
            <v>563.12750954627609</v>
          </cell>
        </row>
      </sheetData>
      <sheetData sheetId="10"/>
      <sheetData sheetId="11"/>
      <sheetData sheetId="12"/>
      <sheetData sheetId="13"/>
      <sheetData sheetId="14"/>
      <sheetData sheetId="15"/>
      <sheetData sheetId="16"/>
      <sheetData sheetId="17"/>
      <sheetData sheetId="18"/>
      <sheetData sheetId="19"/>
      <sheetData sheetId="20">
        <row r="18">
          <cell r="F18">
            <v>3.5399999999999996</v>
          </cell>
        </row>
      </sheetData>
      <sheetData sheetId="21"/>
      <sheetData sheetId="22"/>
      <sheetData sheetId="23">
        <row r="8">
          <cell r="D8">
            <v>1.7903333333333336</v>
          </cell>
        </row>
      </sheetData>
      <sheetData sheetId="24"/>
      <sheetData sheetId="25"/>
      <sheetData sheetId="2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row r="4">
          <cell r="E4" t="str">
            <v>Sugestão</v>
          </cell>
        </row>
      </sheetData>
      <sheetData sheetId="1">
        <row r="2">
          <cell r="K2" t="str">
            <v>JANEIRO|20</v>
          </cell>
        </row>
      </sheetData>
      <sheetData sheetId="2">
        <row r="20">
          <cell r="D20">
            <v>1049.5552856031477</v>
          </cell>
        </row>
      </sheetData>
      <sheetData sheetId="3">
        <row r="8">
          <cell r="E8">
            <v>819.60891625500517</v>
          </cell>
        </row>
      </sheetData>
      <sheetData sheetId="4">
        <row r="10">
          <cell r="I10">
            <v>1.4999999999999999E-2</v>
          </cell>
        </row>
      </sheetData>
      <sheetData sheetId="5">
        <row r="8">
          <cell r="E8">
            <v>229.94636934814258</v>
          </cell>
        </row>
      </sheetData>
      <sheetData sheetId="6"/>
      <sheetData sheetId="7">
        <row r="27">
          <cell r="H27">
            <v>292609</v>
          </cell>
        </row>
        <row r="28">
          <cell r="H28">
            <v>24693.587499999998</v>
          </cell>
        </row>
        <row r="29">
          <cell r="H29">
            <v>912.9</v>
          </cell>
        </row>
        <row r="33">
          <cell r="H33">
            <v>524.9</v>
          </cell>
        </row>
        <row r="38">
          <cell r="H38">
            <v>23.214285714285719</v>
          </cell>
        </row>
        <row r="39">
          <cell r="H39">
            <v>324.96031899187176</v>
          </cell>
        </row>
        <row r="167">
          <cell r="H167">
            <v>3006.3888921954926</v>
          </cell>
        </row>
        <row r="184">
          <cell r="H184">
            <v>0.29820526318222634</v>
          </cell>
        </row>
      </sheetData>
      <sheetData sheetId="8">
        <row r="28">
          <cell r="I28">
            <v>164006</v>
          </cell>
        </row>
        <row r="29">
          <cell r="I29">
            <v>13712.223046874999</v>
          </cell>
        </row>
        <row r="30">
          <cell r="I30">
            <v>729.4</v>
          </cell>
        </row>
        <row r="34">
          <cell r="I34">
            <v>340.4</v>
          </cell>
        </row>
        <row r="38">
          <cell r="I38">
            <v>19.071428571428573</v>
          </cell>
        </row>
        <row r="40">
          <cell r="I40">
            <v>236.02283937794408</v>
          </cell>
        </row>
        <row r="177">
          <cell r="I177">
            <v>1030.7274652453186</v>
          </cell>
        </row>
        <row r="194">
          <cell r="I194">
            <v>0.25248109720334583</v>
          </cell>
        </row>
      </sheetData>
      <sheetData sheetId="9">
        <row r="5">
          <cell r="I5">
            <v>591.04541961299822</v>
          </cell>
        </row>
      </sheetData>
      <sheetData sheetId="10"/>
      <sheetData sheetId="11"/>
      <sheetData sheetId="12"/>
      <sheetData sheetId="13"/>
      <sheetData sheetId="14"/>
      <sheetData sheetId="15"/>
      <sheetData sheetId="16"/>
      <sheetData sheetId="17"/>
      <sheetData sheetId="18">
        <row r="17">
          <cell r="D17">
            <v>524.9</v>
          </cell>
        </row>
      </sheetData>
      <sheetData sheetId="19"/>
      <sheetData sheetId="20">
        <row r="18">
          <cell r="F18">
            <v>3.8660000000000001</v>
          </cell>
        </row>
      </sheetData>
      <sheetData sheetId="21">
        <row r="7">
          <cell r="D7">
            <v>3.8000000000000003</v>
          </cell>
        </row>
      </sheetData>
      <sheetData sheetId="22"/>
      <sheetData sheetId="23">
        <row r="8">
          <cell r="D8">
            <v>1.7903333333333336</v>
          </cell>
        </row>
      </sheetData>
      <sheetData sheetId="24"/>
      <sheetData sheetId="25"/>
      <sheetData sheetId="26">
        <row r="6">
          <cell r="A6" t="str">
            <v>JANEIRO|20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692.33625303259248</v>
          </cell>
        </row>
      </sheetData>
      <sheetData sheetId="3">
        <row r="8">
          <cell r="E8">
            <v>547.91167316132442</v>
          </cell>
        </row>
      </sheetData>
      <sheetData sheetId="4"/>
      <sheetData sheetId="5">
        <row r="8">
          <cell r="E8">
            <v>144.42457987126807</v>
          </cell>
        </row>
      </sheetData>
      <sheetData sheetId="6"/>
      <sheetData sheetId="7">
        <row r="27">
          <cell r="H27">
            <v>209507.75</v>
          </cell>
        </row>
        <row r="28">
          <cell r="H28">
            <v>22801.5</v>
          </cell>
        </row>
        <row r="29">
          <cell r="H29">
            <v>800</v>
          </cell>
        </row>
        <row r="33">
          <cell r="H33">
            <v>484.98333333333335</v>
          </cell>
        </row>
        <row r="38">
          <cell r="H38">
            <v>20.100000000000001</v>
          </cell>
        </row>
        <row r="39">
          <cell r="H39">
            <v>230</v>
          </cell>
        </row>
        <row r="159">
          <cell r="H159">
            <v>2200.8598841785683</v>
          </cell>
        </row>
        <row r="176">
          <cell r="H176">
            <v>0.20515275750067671</v>
          </cell>
        </row>
      </sheetData>
      <sheetData sheetId="8">
        <row r="28">
          <cell r="H28">
            <v>113453.2</v>
          </cell>
        </row>
        <row r="29">
          <cell r="H29">
            <v>12405.125</v>
          </cell>
        </row>
        <row r="30">
          <cell r="H30">
            <v>690</v>
          </cell>
        </row>
        <row r="34">
          <cell r="H34">
            <v>308.31666666666666</v>
          </cell>
        </row>
        <row r="38">
          <cell r="H38">
            <v>16.3</v>
          </cell>
        </row>
        <row r="40">
          <cell r="H40">
            <v>171</v>
          </cell>
        </row>
        <row r="166">
          <cell r="H166">
            <v>730.24030885502668</v>
          </cell>
        </row>
        <row r="183">
          <cell r="H183">
            <v>0.1742474280213914</v>
          </cell>
        </row>
      </sheetData>
      <sheetData sheetId="9">
        <row r="5">
          <cell r="I5">
            <v>403.96287303972281</v>
          </cell>
        </row>
      </sheetData>
      <sheetData sheetId="10"/>
      <sheetData sheetId="11"/>
      <sheetData sheetId="12"/>
      <sheetData sheetId="13"/>
      <sheetData sheetId="14"/>
      <sheetData sheetId="15"/>
      <sheetData sheetId="16"/>
      <sheetData sheetId="17"/>
      <sheetData sheetId="18"/>
      <sheetData sheetId="19"/>
      <sheetData sheetId="20">
        <row r="18">
          <cell r="F18">
            <v>2.3359999999999999</v>
          </cell>
        </row>
      </sheetData>
      <sheetData sheetId="21"/>
      <sheetData sheetId="22"/>
      <sheetData sheetId="23">
        <row r="9">
          <cell r="D9">
            <v>4.0980000000000008</v>
          </cell>
        </row>
      </sheetData>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721.94427403632312</v>
          </cell>
        </row>
      </sheetData>
      <sheetData sheetId="3">
        <row r="8">
          <cell r="E8">
            <v>570.38510976098473</v>
          </cell>
        </row>
      </sheetData>
      <sheetData sheetId="4"/>
      <sheetData sheetId="5">
        <row r="8">
          <cell r="E8">
            <v>151.55916427533842</v>
          </cell>
        </row>
      </sheetData>
      <sheetData sheetId="6"/>
      <sheetData sheetId="7">
        <row r="27">
          <cell r="H27">
            <v>210202.5</v>
          </cell>
        </row>
        <row r="28">
          <cell r="H28">
            <v>22801.5</v>
          </cell>
        </row>
        <row r="29">
          <cell r="H29">
            <v>770</v>
          </cell>
        </row>
        <row r="33">
          <cell r="H33">
            <v>493</v>
          </cell>
        </row>
        <row r="38">
          <cell r="H38">
            <v>20.228571428571431</v>
          </cell>
        </row>
        <row r="39">
          <cell r="H39">
            <v>233.8</v>
          </cell>
        </row>
        <row r="159">
          <cell r="H159">
            <v>2207.359592010012</v>
          </cell>
        </row>
        <row r="176">
          <cell r="H176">
            <v>0.21594240308471557</v>
          </cell>
        </row>
      </sheetData>
      <sheetData sheetId="8">
        <row r="28">
          <cell r="H28">
            <v>123200</v>
          </cell>
        </row>
        <row r="29">
          <cell r="H29">
            <v>12405.125</v>
          </cell>
        </row>
        <row r="30">
          <cell r="H30">
            <v>680</v>
          </cell>
        </row>
        <row r="34">
          <cell r="H34">
            <v>315.96666666666664</v>
          </cell>
        </row>
        <row r="38">
          <cell r="H38">
            <v>16.585714285714285</v>
          </cell>
        </row>
        <row r="40">
          <cell r="H40">
            <v>167.99799999999999</v>
          </cell>
        </row>
        <row r="166">
          <cell r="H166">
            <v>785.7822306516</v>
          </cell>
        </row>
        <row r="183">
          <cell r="H183">
            <v>0.18341166259072172</v>
          </cell>
        </row>
      </sheetData>
      <sheetData sheetId="9">
        <row r="5">
          <cell r="I5">
            <v>416.11304866851987</v>
          </cell>
        </row>
      </sheetData>
      <sheetData sheetId="10"/>
      <sheetData sheetId="11"/>
      <sheetData sheetId="12"/>
      <sheetData sheetId="13"/>
      <sheetData sheetId="14"/>
      <sheetData sheetId="15"/>
      <sheetData sheetId="16"/>
      <sheetData sheetId="17"/>
      <sheetData sheetId="18"/>
      <sheetData sheetId="19"/>
      <sheetData sheetId="20">
        <row r="18">
          <cell r="F18">
            <v>2.593</v>
          </cell>
        </row>
      </sheetData>
      <sheetData sheetId="21"/>
      <sheetData sheetId="22"/>
      <sheetData sheetId="23">
        <row r="8">
          <cell r="D8">
            <v>4.0589999999999993</v>
          </cell>
        </row>
      </sheetData>
      <sheetData sheetId="24"/>
      <sheetData sheetId="25"/>
      <sheetData sheetId="2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776.08036051673764</v>
          </cell>
        </row>
      </sheetData>
      <sheetData sheetId="3">
        <row r="8">
          <cell r="E8">
            <v>606.81402454703482</v>
          </cell>
        </row>
      </sheetData>
      <sheetData sheetId="4"/>
      <sheetData sheetId="5">
        <row r="8">
          <cell r="E8">
            <v>169.26633596970285</v>
          </cell>
        </row>
      </sheetData>
      <sheetData sheetId="6"/>
      <sheetData sheetId="7">
        <row r="27">
          <cell r="H27">
            <v>200250</v>
          </cell>
        </row>
        <row r="28">
          <cell r="H28">
            <v>22696</v>
          </cell>
        </row>
        <row r="29">
          <cell r="H29">
            <v>829.5</v>
          </cell>
        </row>
        <row r="33">
          <cell r="H33">
            <v>492.3</v>
          </cell>
        </row>
        <row r="38">
          <cell r="H38">
            <v>20.628571428571433</v>
          </cell>
        </row>
        <row r="39">
          <cell r="H39">
            <v>247.958</v>
          </cell>
        </row>
        <row r="40">
          <cell r="H40">
            <v>2640.631596660091</v>
          </cell>
        </row>
        <row r="166">
          <cell r="H166">
            <v>2120.9203083531324</v>
          </cell>
        </row>
        <row r="183">
          <cell r="H183">
            <v>0.23132950122505005</v>
          </cell>
        </row>
      </sheetData>
      <sheetData sheetId="8">
        <row r="28">
          <cell r="H28">
            <v>130940</v>
          </cell>
        </row>
        <row r="29">
          <cell r="H29">
            <v>12472.375</v>
          </cell>
        </row>
        <row r="30">
          <cell r="H30">
            <v>670</v>
          </cell>
        </row>
        <row r="34">
          <cell r="H34">
            <v>311.26666666666665</v>
          </cell>
        </row>
        <row r="38">
          <cell r="H38">
            <v>17.057142857142857</v>
          </cell>
        </row>
        <row r="40">
          <cell r="H40">
            <v>178.97800000000001</v>
          </cell>
        </row>
        <row r="41">
          <cell r="H41">
            <v>2611.1222108316679</v>
          </cell>
        </row>
        <row r="42">
          <cell r="H42">
            <v>1779.6157254864452</v>
          </cell>
        </row>
        <row r="174">
          <cell r="H174">
            <v>834.13123285006668</v>
          </cell>
        </row>
        <row r="191">
          <cell r="H191">
            <v>0.19648076440699716</v>
          </cell>
        </row>
      </sheetData>
      <sheetData sheetId="9">
        <row r="5">
          <cell r="I5">
            <v>446.84037179766915</v>
          </cell>
        </row>
      </sheetData>
      <sheetData sheetId="10"/>
      <sheetData sheetId="11"/>
      <sheetData sheetId="12"/>
      <sheetData sheetId="13"/>
      <sheetData sheetId="14"/>
      <sheetData sheetId="15"/>
      <sheetData sheetId="16"/>
      <sheetData sheetId="17"/>
      <sheetData sheetId="18"/>
      <sheetData sheetId="19"/>
      <sheetData sheetId="20">
        <row r="18">
          <cell r="F18">
            <v>2.9550000000000005</v>
          </cell>
        </row>
      </sheetData>
      <sheetData sheetId="21"/>
      <sheetData sheetId="22"/>
      <sheetData sheetId="23">
        <row r="8">
          <cell r="D8">
            <v>3.0574999999999997</v>
          </cell>
        </row>
      </sheetData>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4"/>
      <sheetName val="fev-14"/>
      <sheetName val="mar-14"/>
      <sheetName val="abr-14"/>
      <sheetName val="mai-14"/>
      <sheetName val="jun-14"/>
      <sheetName val="jul-14"/>
      <sheetName val="ago-14"/>
      <sheetName val="set-14"/>
      <sheetName val="out-14"/>
      <sheetName val="nov-14"/>
      <sheetName val="dez-14"/>
    </sheetNames>
    <sheetDataSet>
      <sheetData sheetId="0">
        <row r="9">
          <cell r="B9">
            <v>2.4869999999999997</v>
          </cell>
        </row>
      </sheetData>
      <sheetData sheetId="1">
        <row r="9">
          <cell r="B9">
            <v>2.4929999999999999</v>
          </cell>
        </row>
      </sheetData>
      <sheetData sheetId="2">
        <row r="9">
          <cell r="B9">
            <v>2.4990000000000001</v>
          </cell>
        </row>
      </sheetData>
      <sheetData sheetId="3">
        <row r="9">
          <cell r="B9">
            <v>2.5009999999999999</v>
          </cell>
        </row>
      </sheetData>
      <sheetData sheetId="4">
        <row r="9">
          <cell r="B9">
            <v>2.5</v>
          </cell>
        </row>
      </sheetData>
      <sheetData sheetId="5">
        <row r="9">
          <cell r="B9">
            <v>2.5</v>
          </cell>
        </row>
      </sheetData>
      <sheetData sheetId="6">
        <row r="9">
          <cell r="B9">
            <v>2.4990000000000001</v>
          </cell>
        </row>
      </sheetData>
      <sheetData sheetId="7">
        <row r="9">
          <cell r="B9">
            <v>2.4990000000000001</v>
          </cell>
        </row>
      </sheetData>
      <sheetData sheetId="8">
        <row r="9">
          <cell r="B9">
            <v>2.5009999999999999</v>
          </cell>
        </row>
      </sheetData>
      <sheetData sheetId="9">
        <row r="9">
          <cell r="B9">
            <v>2.5</v>
          </cell>
        </row>
      </sheetData>
      <sheetData sheetId="10">
        <row r="9">
          <cell r="B9">
            <v>2.6</v>
          </cell>
        </row>
      </sheetData>
      <sheetData sheetId="11">
        <row r="9">
          <cell r="B9">
            <v>2.6069999999999998</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848.61778115195625</v>
          </cell>
        </row>
      </sheetData>
      <sheetData sheetId="3">
        <row r="8">
          <cell r="E8">
            <v>662.81777896367794</v>
          </cell>
        </row>
      </sheetData>
      <sheetData sheetId="4"/>
      <sheetData sheetId="5">
        <row r="8">
          <cell r="E8">
            <v>185.80000218827828</v>
          </cell>
        </row>
      </sheetData>
      <sheetData sheetId="6"/>
      <sheetData sheetId="7">
        <row r="27">
          <cell r="H27">
            <v>192650</v>
          </cell>
        </row>
        <row r="28">
          <cell r="H28">
            <v>23053.924999999999</v>
          </cell>
        </row>
        <row r="29">
          <cell r="H29">
            <v>829.5</v>
          </cell>
        </row>
        <row r="33">
          <cell r="H33">
            <v>469.22500000000002</v>
          </cell>
        </row>
        <row r="38">
          <cell r="H38">
            <v>20.75714285714286</v>
          </cell>
        </row>
        <row r="39">
          <cell r="H39">
            <v>262.93799999999999</v>
          </cell>
        </row>
        <row r="167">
          <cell r="H167">
            <v>2053.5147337696817</v>
          </cell>
        </row>
        <row r="184">
          <cell r="H184">
            <v>0.25749069837669936</v>
          </cell>
        </row>
      </sheetData>
      <sheetData sheetId="8">
        <row r="28">
          <cell r="H28">
            <v>128322</v>
          </cell>
        </row>
        <row r="29">
          <cell r="H29">
            <v>12757.898046875</v>
          </cell>
        </row>
        <row r="30">
          <cell r="H30">
            <v>670</v>
          </cell>
        </row>
        <row r="34">
          <cell r="H34">
            <v>293.45</v>
          </cell>
        </row>
        <row r="38">
          <cell r="H38">
            <v>17.185714285714283</v>
          </cell>
        </row>
        <row r="40">
          <cell r="H40">
            <v>190.97800000000001</v>
          </cell>
        </row>
        <row r="175">
          <cell r="H175">
            <v>821.01621252040559</v>
          </cell>
        </row>
        <row r="192">
          <cell r="H192">
            <v>0.21870089624032338</v>
          </cell>
        </row>
      </sheetData>
      <sheetData sheetId="9">
        <row r="5">
          <cell r="I5">
            <v>487.04984998552271</v>
          </cell>
        </row>
      </sheetData>
      <sheetData sheetId="10"/>
      <sheetData sheetId="11"/>
      <sheetData sheetId="12"/>
      <sheetData sheetId="13"/>
      <sheetData sheetId="14"/>
      <sheetData sheetId="15"/>
      <sheetData sheetId="16"/>
      <sheetData sheetId="17"/>
      <sheetData sheetId="18"/>
      <sheetData sheetId="19"/>
      <sheetData sheetId="20">
        <row r="18">
          <cell r="F18">
            <v>3.16</v>
          </cell>
        </row>
      </sheetData>
      <sheetData sheetId="21"/>
      <sheetData sheetId="22"/>
      <sheetData sheetId="23">
        <row r="8">
          <cell r="D8">
            <v>2.5245000000000002</v>
          </cell>
        </row>
      </sheetData>
      <sheetData sheetId="24"/>
      <sheetData sheetId="25"/>
      <sheetData sheetId="2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915.18692787517114</v>
          </cell>
        </row>
      </sheetData>
      <sheetData sheetId="3">
        <row r="8">
          <cell r="E8">
            <v>715.60013927988598</v>
          </cell>
        </row>
      </sheetData>
      <sheetData sheetId="4"/>
      <sheetData sheetId="5">
        <row r="8">
          <cell r="E8">
            <v>199.58678859528516</v>
          </cell>
        </row>
      </sheetData>
      <sheetData sheetId="6"/>
      <sheetData sheetId="7">
        <row r="27">
          <cell r="H27">
            <v>204390</v>
          </cell>
        </row>
        <row r="28">
          <cell r="H28">
            <v>23165.05</v>
          </cell>
        </row>
        <row r="29">
          <cell r="H29">
            <v>839.95</v>
          </cell>
        </row>
        <row r="33">
          <cell r="H33">
            <v>484.70000000000005</v>
          </cell>
        </row>
        <row r="38">
          <cell r="H38">
            <v>21.142857142857146</v>
          </cell>
        </row>
        <row r="39">
          <cell r="H39">
            <v>285.02479199999999</v>
          </cell>
        </row>
        <row r="167">
          <cell r="H167">
            <v>2164.5931122563766</v>
          </cell>
        </row>
        <row r="184">
          <cell r="H184">
            <v>0.27148666467030264</v>
          </cell>
        </row>
      </sheetData>
      <sheetData sheetId="8">
        <row r="28">
          <cell r="H28">
            <v>140631</v>
          </cell>
        </row>
        <row r="29">
          <cell r="H29">
            <v>12832.648046875</v>
          </cell>
        </row>
        <row r="30">
          <cell r="H30">
            <v>690</v>
          </cell>
        </row>
        <row r="34">
          <cell r="H34">
            <v>309.39999999999998</v>
          </cell>
        </row>
        <row r="38">
          <cell r="H38">
            <v>17.442857142857143</v>
          </cell>
        </row>
        <row r="40">
          <cell r="H40">
            <v>207.020152</v>
          </cell>
        </row>
        <row r="175">
          <cell r="H175">
            <v>891.74492461990542</v>
          </cell>
        </row>
        <row r="192">
          <cell r="H192">
            <v>0.23058843389297434</v>
          </cell>
        </row>
      </sheetData>
      <sheetData sheetId="9">
        <row r="5">
          <cell r="I5">
            <v>529.49642417440168</v>
          </cell>
        </row>
      </sheetData>
      <sheetData sheetId="10"/>
      <sheetData sheetId="11"/>
      <sheetData sheetId="12"/>
      <sheetData sheetId="13"/>
      <sheetData sheetId="14"/>
      <sheetData sheetId="15"/>
      <sheetData sheetId="16"/>
      <sheetData sheetId="17"/>
      <sheetData sheetId="18"/>
      <sheetData sheetId="19"/>
      <sheetData sheetId="20">
        <row r="18">
          <cell r="F18">
            <v>3.238</v>
          </cell>
        </row>
      </sheetData>
      <sheetData sheetId="21"/>
      <sheetData sheetId="22"/>
      <sheetData sheetId="23">
        <row r="8">
          <cell r="D8">
            <v>2.3911666666666673</v>
          </cell>
        </row>
      </sheetData>
      <sheetData sheetId="24"/>
      <sheetData sheetId="25"/>
      <sheetData sheetId="2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942.75951961054284</v>
          </cell>
        </row>
      </sheetData>
      <sheetData sheetId="3">
        <row r="8">
          <cell r="E8">
            <v>740.36203297983616</v>
          </cell>
        </row>
      </sheetData>
      <sheetData sheetId="4"/>
      <sheetData sheetId="5">
        <row r="8">
          <cell r="E8">
            <v>202.39748663070662</v>
          </cell>
        </row>
      </sheetData>
      <sheetData sheetId="6"/>
      <sheetData sheetId="7">
        <row r="27">
          <cell r="H27">
            <v>244260</v>
          </cell>
        </row>
        <row r="28">
          <cell r="H28">
            <v>23540.05</v>
          </cell>
        </row>
        <row r="29">
          <cell r="H29">
            <v>894.9</v>
          </cell>
        </row>
        <row r="33">
          <cell r="H33">
            <v>501.15</v>
          </cell>
        </row>
        <row r="38">
          <cell r="H38">
            <v>22.157142857142862</v>
          </cell>
        </row>
        <row r="39">
          <cell r="H39">
            <v>296.9388283056</v>
          </cell>
        </row>
        <row r="167">
          <cell r="H167">
            <v>2541.9817598813506</v>
          </cell>
        </row>
        <row r="184">
          <cell r="H184">
            <v>0.27657382219840193</v>
          </cell>
        </row>
      </sheetData>
      <sheetData sheetId="8">
        <row r="28">
          <cell r="H28">
            <v>147366</v>
          </cell>
        </row>
        <row r="29">
          <cell r="H29">
            <v>13032.748046875</v>
          </cell>
        </row>
        <row r="30">
          <cell r="H30">
            <v>710.4</v>
          </cell>
        </row>
        <row r="34">
          <cell r="H34">
            <v>313.39999999999998</v>
          </cell>
        </row>
        <row r="38">
          <cell r="H38">
            <v>18.271428571428572</v>
          </cell>
        </row>
        <row r="40">
          <cell r="H40">
            <v>215.67047199999996</v>
          </cell>
        </row>
        <row r="175">
          <cell r="H175">
            <v>931.50441359820536</v>
          </cell>
        </row>
        <row r="192">
          <cell r="H192">
            <v>0.23490923428586227</v>
          </cell>
        </row>
      </sheetData>
      <sheetData sheetId="9">
        <row r="5">
          <cell r="I5">
            <v>547.65555464488511</v>
          </cell>
        </row>
      </sheetData>
      <sheetData sheetId="10"/>
      <sheetData sheetId="11"/>
      <sheetData sheetId="12"/>
      <sheetData sheetId="13"/>
      <sheetData sheetId="14"/>
      <sheetData sheetId="15"/>
      <sheetData sheetId="16"/>
      <sheetData sheetId="17"/>
      <sheetData sheetId="18"/>
      <sheetData sheetId="19"/>
      <sheetData sheetId="20">
        <row r="18">
          <cell r="F18">
            <v>3.5079999999999996</v>
          </cell>
        </row>
      </sheetData>
      <sheetData sheetId="21"/>
      <sheetData sheetId="22"/>
      <sheetData sheetId="23">
        <row r="8">
          <cell r="D8">
            <v>1.823666666666667</v>
          </cell>
        </row>
      </sheetData>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985.40200642675859</v>
          </cell>
        </row>
      </sheetData>
      <sheetData sheetId="3">
        <row r="8">
          <cell r="E8">
            <v>770.02727167816329</v>
          </cell>
        </row>
      </sheetData>
      <sheetData sheetId="4"/>
      <sheetData sheetId="5">
        <row r="8">
          <cell r="E8">
            <v>215.37473474859536</v>
          </cell>
        </row>
      </sheetData>
      <sheetData sheetId="6"/>
      <sheetData sheetId="7">
        <row r="27">
          <cell r="H27">
            <v>255792</v>
          </cell>
        </row>
        <row r="28">
          <cell r="H28">
            <v>24693.587499999998</v>
          </cell>
        </row>
        <row r="29">
          <cell r="H29">
            <v>912.9</v>
          </cell>
        </row>
        <row r="33">
          <cell r="H33">
            <v>524.9</v>
          </cell>
        </row>
        <row r="38">
          <cell r="H38">
            <v>23.214285714285719</v>
          </cell>
        </row>
        <row r="39">
          <cell r="H39">
            <v>310.30107557935202</v>
          </cell>
        </row>
        <row r="167">
          <cell r="H167">
            <v>2661.9488155776207</v>
          </cell>
        </row>
        <row r="184">
          <cell r="H184">
            <v>0.28644215225009162</v>
          </cell>
        </row>
      </sheetData>
      <sheetData sheetId="8">
        <row r="28">
          <cell r="I28">
            <v>158026</v>
          </cell>
        </row>
        <row r="29">
          <cell r="I29">
            <v>13712.223046874999</v>
          </cell>
        </row>
        <row r="30">
          <cell r="I30">
            <v>729.4</v>
          </cell>
        </row>
        <row r="34">
          <cell r="I34">
            <v>340.4</v>
          </cell>
        </row>
        <row r="38">
          <cell r="I38">
            <v>19.071428571428573</v>
          </cell>
        </row>
        <row r="40">
          <cell r="I40">
            <v>225.37564323999999</v>
          </cell>
        </row>
        <row r="177">
          <cell r="I177">
            <v>996.65056899798526</v>
          </cell>
        </row>
        <row r="194">
          <cell r="I194">
            <v>0.243290945315837</v>
          </cell>
        </row>
      </sheetData>
      <sheetData sheetId="9">
        <row r="5">
          <cell r="I5">
            <v>563.77706786389922</v>
          </cell>
        </row>
      </sheetData>
      <sheetData sheetId="10"/>
      <sheetData sheetId="11"/>
      <sheetData sheetId="12"/>
      <sheetData sheetId="13"/>
      <sheetData sheetId="14"/>
      <sheetData sheetId="15"/>
      <sheetData sheetId="16"/>
      <sheetData sheetId="17"/>
      <sheetData sheetId="18"/>
      <sheetData sheetId="19"/>
      <sheetData sheetId="20">
        <row r="18">
          <cell r="F18">
            <v>3.5459999999999998</v>
          </cell>
        </row>
      </sheetData>
      <sheetData sheetId="21"/>
      <sheetData sheetId="22"/>
      <sheetData sheetId="23">
        <row r="6">
          <cell r="D6">
            <v>3.4439999999999995</v>
          </cell>
        </row>
        <row r="8">
          <cell r="D8">
            <v>1.7653333333333334</v>
          </cell>
        </row>
      </sheetData>
      <sheetData sheetId="24"/>
      <sheetData sheetId="25"/>
      <sheetData sheetId="2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row r="5">
          <cell r="E5">
            <v>28.823957750744157</v>
          </cell>
        </row>
      </sheetData>
      <sheetData sheetId="1">
        <row r="2">
          <cell r="K2" t="str">
            <v>FEVEREIRO|20</v>
          </cell>
        </row>
      </sheetData>
      <sheetData sheetId="2">
        <row r="20">
          <cell r="D20">
            <v>1049.4219007046736</v>
          </cell>
        </row>
      </sheetData>
      <sheetData sheetId="3">
        <row r="8">
          <cell r="E8">
            <v>819.34365468721398</v>
          </cell>
        </row>
      </sheetData>
      <sheetData sheetId="4">
        <row r="10">
          <cell r="I10">
            <v>1.4999999999999999E-2</v>
          </cell>
        </row>
      </sheetData>
      <sheetData sheetId="5">
        <row r="8">
          <cell r="E8">
            <v>230.07824601745966</v>
          </cell>
        </row>
      </sheetData>
      <sheetData sheetId="6"/>
      <sheetData sheetId="7">
        <row r="27">
          <cell r="H27">
            <v>289856</v>
          </cell>
        </row>
        <row r="28">
          <cell r="H28">
            <v>24693.587499999998</v>
          </cell>
        </row>
        <row r="29">
          <cell r="H29">
            <v>950.78535000000011</v>
          </cell>
        </row>
        <row r="33">
          <cell r="H33">
            <v>554.92427999999984</v>
          </cell>
        </row>
        <row r="38">
          <cell r="H38">
            <v>24.985714285714288</v>
          </cell>
        </row>
        <row r="39">
          <cell r="H39">
            <v>324.96031899187176</v>
          </cell>
        </row>
        <row r="167">
          <cell r="H167">
            <v>2980.9877378898095</v>
          </cell>
        </row>
        <row r="184">
          <cell r="H184">
            <v>0.29877159622575444</v>
          </cell>
        </row>
      </sheetData>
      <sheetData sheetId="8">
        <row r="28">
          <cell r="I28">
            <v>166792</v>
          </cell>
        </row>
        <row r="29">
          <cell r="I29">
            <v>13712.223046874999</v>
          </cell>
        </row>
        <row r="30">
          <cell r="I30">
            <v>759.67010000000005</v>
          </cell>
        </row>
        <row r="34">
          <cell r="I34">
            <v>359.87087999999994</v>
          </cell>
        </row>
        <row r="38">
          <cell r="I38">
            <v>19.38571428571429</v>
          </cell>
        </row>
        <row r="40">
          <cell r="I40">
            <v>236.02283937794408</v>
          </cell>
        </row>
        <row r="177">
          <cell r="I177">
            <v>1046.7759174195942</v>
          </cell>
        </row>
        <row r="194">
          <cell r="I194">
            <v>0.25296059373096108</v>
          </cell>
        </row>
      </sheetData>
      <sheetData sheetId="9">
        <row r="5">
          <cell r="I5">
            <v>591.83559797994815</v>
          </cell>
        </row>
      </sheetData>
      <sheetData sheetId="10"/>
      <sheetData sheetId="11"/>
      <sheetData sheetId="12"/>
      <sheetData sheetId="13"/>
      <sheetData sheetId="14"/>
      <sheetData sheetId="15"/>
      <sheetData sheetId="16"/>
      <sheetData sheetId="17"/>
      <sheetData sheetId="18"/>
      <sheetData sheetId="19"/>
      <sheetData sheetId="20">
        <row r="18">
          <cell r="F18">
            <v>3.762999999999999</v>
          </cell>
        </row>
      </sheetData>
      <sheetData sheetId="21">
        <row r="7">
          <cell r="D7">
            <v>3.677</v>
          </cell>
        </row>
      </sheetData>
      <sheetData sheetId="22"/>
      <sheetData sheetId="23">
        <row r="8">
          <cell r="D8">
            <v>1.9070000000000003</v>
          </cell>
        </row>
      </sheetData>
      <sheetData sheetId="24"/>
      <sheetData sheetId="25"/>
      <sheetData sheetId="26">
        <row r="6">
          <cell r="A6" t="str">
            <v>FEVEREIRO|20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692.91463909471281</v>
          </cell>
        </row>
      </sheetData>
      <sheetData sheetId="3">
        <row r="8">
          <cell r="E8">
            <v>548.16748194605748</v>
          </cell>
        </row>
      </sheetData>
      <sheetData sheetId="4"/>
      <sheetData sheetId="5">
        <row r="8">
          <cell r="E8">
            <v>144.74715714865539</v>
          </cell>
        </row>
      </sheetData>
      <sheetData sheetId="6"/>
      <sheetData sheetId="7">
        <row r="27">
          <cell r="H27">
            <v>209507.75</v>
          </cell>
        </row>
        <row r="28">
          <cell r="H28">
            <v>22801.5</v>
          </cell>
        </row>
        <row r="29">
          <cell r="H29">
            <v>800</v>
          </cell>
        </row>
        <row r="33">
          <cell r="H33">
            <v>484.98333333333335</v>
          </cell>
        </row>
        <row r="38">
          <cell r="H38">
            <v>20.100000000000001</v>
          </cell>
        </row>
        <row r="39">
          <cell r="H39">
            <v>230</v>
          </cell>
        </row>
        <row r="159">
          <cell r="H159">
            <v>2200.8598841785683</v>
          </cell>
        </row>
        <row r="176">
          <cell r="H176">
            <v>0.20621955183968024</v>
          </cell>
        </row>
      </sheetData>
      <sheetData sheetId="8">
        <row r="28">
          <cell r="H28">
            <v>114691.5</v>
          </cell>
        </row>
        <row r="29">
          <cell r="H29">
            <v>12405.125</v>
          </cell>
        </row>
        <row r="30">
          <cell r="H30">
            <v>690</v>
          </cell>
        </row>
        <row r="34">
          <cell r="H34">
            <v>308.31666666666666</v>
          </cell>
        </row>
        <row r="38">
          <cell r="H38">
            <v>16.3</v>
          </cell>
        </row>
        <row r="40">
          <cell r="H40">
            <v>171</v>
          </cell>
        </row>
        <row r="166">
          <cell r="H166">
            <v>737.29673370838339</v>
          </cell>
        </row>
        <row r="183">
          <cell r="H183">
            <v>0.17515351464710266</v>
          </cell>
        </row>
      </sheetData>
      <sheetData sheetId="9">
        <row r="5">
          <cell r="I5">
            <v>403.96287303972281</v>
          </cell>
        </row>
      </sheetData>
      <sheetData sheetId="10"/>
      <sheetData sheetId="11"/>
      <sheetData sheetId="12"/>
      <sheetData sheetId="13"/>
      <sheetData sheetId="14"/>
      <sheetData sheetId="15"/>
      <sheetData sheetId="16"/>
      <sheetData sheetId="17"/>
      <sheetData sheetId="18"/>
      <sheetData sheetId="19"/>
      <sheetData sheetId="20">
        <row r="18">
          <cell r="F18">
            <v>2.4119999999999999</v>
          </cell>
        </row>
      </sheetData>
      <sheetData sheetId="21"/>
      <sheetData sheetId="22"/>
      <sheetData sheetId="23">
        <row r="9">
          <cell r="D9">
            <v>4.0980000000000008</v>
          </cell>
        </row>
      </sheetData>
      <sheetData sheetId="24"/>
      <sheetData sheetId="25"/>
      <sheetData sheetId="2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724.25693716510568</v>
          </cell>
        </row>
      </sheetData>
      <sheetData sheetId="3">
        <row r="8">
          <cell r="E8">
            <v>571.50393801503719</v>
          </cell>
        </row>
      </sheetData>
      <sheetData sheetId="4"/>
      <sheetData sheetId="5">
        <row r="8">
          <cell r="E8">
            <v>152.75299915006852</v>
          </cell>
        </row>
      </sheetData>
      <sheetData sheetId="6"/>
      <sheetData sheetId="7">
        <row r="27">
          <cell r="H27">
            <v>210202.5</v>
          </cell>
        </row>
        <row r="28">
          <cell r="H28">
            <v>22926.5</v>
          </cell>
        </row>
        <row r="29">
          <cell r="H29">
            <v>770</v>
          </cell>
        </row>
        <row r="33">
          <cell r="H33">
            <v>493</v>
          </cell>
        </row>
        <row r="38">
          <cell r="H38">
            <v>20.228571428571431</v>
          </cell>
        </row>
        <row r="39">
          <cell r="H39">
            <v>233.8</v>
          </cell>
        </row>
        <row r="159">
          <cell r="H159">
            <v>2208.6503453996961</v>
          </cell>
        </row>
        <row r="176">
          <cell r="H176">
            <v>0.21732443446445773</v>
          </cell>
        </row>
      </sheetData>
      <sheetData sheetId="8">
        <row r="28">
          <cell r="H28">
            <v>125536</v>
          </cell>
        </row>
        <row r="29">
          <cell r="H29">
            <v>12598.737499999999</v>
          </cell>
        </row>
        <row r="30">
          <cell r="H30">
            <v>680</v>
          </cell>
        </row>
        <row r="34">
          <cell r="H34">
            <v>315.96666666666664</v>
          </cell>
        </row>
        <row r="38">
          <cell r="H38">
            <v>16.585714285714285</v>
          </cell>
        </row>
        <row r="40">
          <cell r="H40">
            <v>167.99799999999999</v>
          </cell>
        </row>
        <row r="166">
          <cell r="H166">
            <v>800.31688728870677</v>
          </cell>
        </row>
        <row r="183">
          <cell r="H183">
            <v>0.18458549723130233</v>
          </cell>
        </row>
      </sheetData>
      <sheetData sheetId="9">
        <row r="5">
          <cell r="I5">
            <v>416.16566613476874</v>
          </cell>
        </row>
      </sheetData>
      <sheetData sheetId="10"/>
      <sheetData sheetId="11"/>
      <sheetData sheetId="12"/>
      <sheetData sheetId="13"/>
      <sheetData sheetId="14"/>
      <sheetData sheetId="15"/>
      <sheetData sheetId="16"/>
      <sheetData sheetId="17"/>
      <sheetData sheetId="18"/>
      <sheetData sheetId="19"/>
      <sheetData sheetId="20">
        <row r="18">
          <cell r="F18">
            <v>2.6</v>
          </cell>
        </row>
      </sheetData>
      <sheetData sheetId="21"/>
      <sheetData sheetId="22"/>
      <sheetData sheetId="23">
        <row r="8">
          <cell r="D8">
            <v>3.3914285714285719</v>
          </cell>
        </row>
      </sheetData>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779.32999844387473</v>
          </cell>
        </row>
      </sheetData>
      <sheetData sheetId="3">
        <row r="8">
          <cell r="E8">
            <v>609.3780593138722</v>
          </cell>
        </row>
      </sheetData>
      <sheetData sheetId="4"/>
      <sheetData sheetId="5">
        <row r="8">
          <cell r="E8">
            <v>169.95193913000259</v>
          </cell>
        </row>
      </sheetData>
      <sheetData sheetId="6"/>
      <sheetData sheetId="7">
        <row r="27">
          <cell r="H27">
            <v>202463</v>
          </cell>
        </row>
        <row r="28">
          <cell r="H28">
            <v>22696</v>
          </cell>
        </row>
        <row r="29">
          <cell r="H29">
            <v>829.5</v>
          </cell>
        </row>
        <row r="33">
          <cell r="H33">
            <v>469.22500000000002</v>
          </cell>
        </row>
        <row r="38">
          <cell r="H38">
            <v>20.628571428571433</v>
          </cell>
        </row>
        <row r="39">
          <cell r="H39">
            <v>247.958</v>
          </cell>
        </row>
        <row r="40">
          <cell r="H40">
            <v>2640.631596660091</v>
          </cell>
        </row>
        <row r="166">
          <cell r="H166">
            <v>2141.6239476924416</v>
          </cell>
        </row>
        <row r="183">
          <cell r="H183">
            <v>0.23401292343926064</v>
          </cell>
        </row>
      </sheetData>
      <sheetData sheetId="8">
        <row r="28">
          <cell r="H28">
            <v>133151</v>
          </cell>
        </row>
        <row r="29">
          <cell r="H29">
            <v>12472.375</v>
          </cell>
        </row>
        <row r="30">
          <cell r="H30">
            <v>670</v>
          </cell>
        </row>
        <row r="34">
          <cell r="H34">
            <v>293.45</v>
          </cell>
        </row>
        <row r="38">
          <cell r="H38">
            <v>17.057142857142857</v>
          </cell>
        </row>
        <row r="40">
          <cell r="H40">
            <v>178.97800000000001</v>
          </cell>
        </row>
        <row r="41">
          <cell r="H41">
            <v>2611.1222108316679</v>
          </cell>
        </row>
        <row r="42">
          <cell r="H42">
            <v>1779.6157254864452</v>
          </cell>
        </row>
        <row r="174">
          <cell r="H174">
            <v>846.73056689736677</v>
          </cell>
        </row>
        <row r="191">
          <cell r="H191">
            <v>0.19875994127411833</v>
          </cell>
        </row>
      </sheetData>
      <sheetData sheetId="9">
        <row r="5">
          <cell r="I5">
            <v>448.6787626182624</v>
          </cell>
        </row>
      </sheetData>
      <sheetData sheetId="10"/>
      <sheetData sheetId="11"/>
      <sheetData sheetId="12"/>
      <sheetData sheetId="13"/>
      <sheetData sheetId="14"/>
      <sheetData sheetId="15"/>
      <sheetData sheetId="16"/>
      <sheetData sheetId="17"/>
      <sheetData sheetId="18"/>
      <sheetData sheetId="19"/>
      <sheetData sheetId="20">
        <row r="18">
          <cell r="F18">
            <v>2.9570000000000003</v>
          </cell>
        </row>
      </sheetData>
      <sheetData sheetId="21"/>
      <sheetData sheetId="22"/>
      <sheetData sheetId="23">
        <row r="8">
          <cell r="D8">
            <v>2.9816666666666669</v>
          </cell>
        </row>
      </sheetData>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851.45918456091692</v>
          </cell>
        </row>
      </sheetData>
      <sheetData sheetId="3">
        <row r="8">
          <cell r="E8">
            <v>664.38532255948803</v>
          </cell>
        </row>
      </sheetData>
      <sheetData sheetId="4"/>
      <sheetData sheetId="5">
        <row r="8">
          <cell r="E8">
            <v>187.07386200142892</v>
          </cell>
        </row>
      </sheetData>
      <sheetData sheetId="6"/>
      <sheetData sheetId="7">
        <row r="27">
          <cell r="H27">
            <v>194510</v>
          </cell>
        </row>
        <row r="28">
          <cell r="H28">
            <v>23053.924999999999</v>
          </cell>
        </row>
        <row r="29">
          <cell r="H29">
            <v>829.5</v>
          </cell>
        </row>
        <row r="33">
          <cell r="H33">
            <v>469.22500000000002</v>
          </cell>
        </row>
        <row r="38">
          <cell r="H38">
            <v>20.75714285714286</v>
          </cell>
        </row>
        <row r="39">
          <cell r="H39">
            <v>262.93799999999999</v>
          </cell>
        </row>
        <row r="167">
          <cell r="H167">
            <v>2070.9158947146047</v>
          </cell>
        </row>
        <row r="184">
          <cell r="H184">
            <v>0.25993686001127803</v>
          </cell>
        </row>
      </sheetData>
      <sheetData sheetId="8">
        <row r="28">
          <cell r="H28">
            <v>131335</v>
          </cell>
        </row>
        <row r="29">
          <cell r="H29">
            <v>12757.898046875</v>
          </cell>
        </row>
        <row r="30">
          <cell r="H30">
            <v>670</v>
          </cell>
        </row>
        <row r="34">
          <cell r="H34">
            <v>293.45</v>
          </cell>
        </row>
        <row r="38">
          <cell r="H38">
            <v>17.185714285714283</v>
          </cell>
        </row>
        <row r="40">
          <cell r="H40">
            <v>190.97800000000001</v>
          </cell>
        </row>
        <row r="175">
          <cell r="H175">
            <v>838.1857256296388</v>
          </cell>
        </row>
        <row r="192">
          <cell r="H192">
            <v>0.22077855475460648</v>
          </cell>
        </row>
      </sheetData>
      <sheetData sheetId="9">
        <row r="5">
          <cell r="I5">
            <v>487.1441232495589</v>
          </cell>
        </row>
      </sheetData>
      <sheetData sheetId="10"/>
      <sheetData sheetId="11"/>
      <sheetData sheetId="12"/>
      <sheetData sheetId="13"/>
      <sheetData sheetId="14"/>
      <sheetData sheetId="15"/>
      <sheetData sheetId="16"/>
      <sheetData sheetId="17"/>
      <sheetData sheetId="18"/>
      <sheetData sheetId="19"/>
      <sheetData sheetId="20">
        <row r="18">
          <cell r="F18">
            <v>3.1629999999999998</v>
          </cell>
        </row>
      </sheetData>
      <sheetData sheetId="21"/>
      <sheetData sheetId="22"/>
      <sheetData sheetId="23">
        <row r="8">
          <cell r="D8">
            <v>2.5245000000000002</v>
          </cell>
        </row>
      </sheetData>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914.94856933049095</v>
          </cell>
        </row>
      </sheetData>
      <sheetData sheetId="3">
        <row r="8">
          <cell r="E8">
            <v>715.19028105722009</v>
          </cell>
        </row>
      </sheetData>
      <sheetData sheetId="4"/>
      <sheetData sheetId="5">
        <row r="8">
          <cell r="E8">
            <v>199.75828827327081</v>
          </cell>
        </row>
      </sheetData>
      <sheetData sheetId="6"/>
      <sheetData sheetId="7">
        <row r="27">
          <cell r="H27">
            <v>203666</v>
          </cell>
        </row>
        <row r="28">
          <cell r="H28">
            <v>23165.05</v>
          </cell>
        </row>
        <row r="29">
          <cell r="H29">
            <v>862.4</v>
          </cell>
        </row>
        <row r="33">
          <cell r="H33">
            <v>484.70000000000005</v>
          </cell>
        </row>
        <row r="38">
          <cell r="H38">
            <v>21.485714285714288</v>
          </cell>
        </row>
        <row r="39">
          <cell r="H39">
            <v>285.02479199999999</v>
          </cell>
        </row>
        <row r="167">
          <cell r="H167">
            <v>2158.0297872773922</v>
          </cell>
        </row>
        <row r="184">
          <cell r="H184">
            <v>0.27213823266551135</v>
          </cell>
        </row>
      </sheetData>
      <sheetData sheetId="8">
        <row r="28">
          <cell r="H28">
            <v>142776</v>
          </cell>
        </row>
        <row r="29">
          <cell r="H29">
            <v>12832.648046875</v>
          </cell>
        </row>
        <row r="30">
          <cell r="H30">
            <v>699.9</v>
          </cell>
        </row>
        <row r="34">
          <cell r="H34">
            <v>309.39999999999998</v>
          </cell>
        </row>
        <row r="38">
          <cell r="H38">
            <v>17.642857142857142</v>
          </cell>
        </row>
        <row r="40">
          <cell r="H40">
            <v>207.020152</v>
          </cell>
        </row>
        <row r="175">
          <cell r="H175">
            <v>904.02457407197551</v>
          </cell>
        </row>
        <row r="192">
          <cell r="H192">
            <v>0.23114184613431746</v>
          </cell>
        </row>
      </sheetData>
      <sheetData sheetId="9">
        <row r="5">
          <cell r="I5">
            <v>529.52968183998325</v>
          </cell>
        </row>
      </sheetData>
      <sheetData sheetId="10"/>
      <sheetData sheetId="11"/>
      <sheetData sheetId="12"/>
      <sheetData sheetId="13"/>
      <sheetData sheetId="14"/>
      <sheetData sheetId="15"/>
      <sheetData sheetId="16"/>
      <sheetData sheetId="17"/>
      <sheetData sheetId="18"/>
      <sheetData sheetId="19"/>
      <sheetData sheetId="20">
        <row r="18">
          <cell r="F18">
            <v>3.1750000000000003</v>
          </cell>
        </row>
      </sheetData>
      <sheetData sheetId="21"/>
      <sheetData sheetId="22"/>
      <sheetData sheetId="23">
        <row r="8">
          <cell r="D8">
            <v>2.3911666666666673</v>
          </cell>
        </row>
      </sheetData>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5"/>
      <sheetName val="fev-15"/>
      <sheetName val="mar-15"/>
      <sheetName val="abr-15"/>
      <sheetName val="mai-15"/>
      <sheetName val="jun-15"/>
      <sheetName val="jul-15"/>
      <sheetName val="ago-15"/>
      <sheetName val="set-15"/>
      <sheetName val="out-15"/>
      <sheetName val="nov-15"/>
      <sheetName val="dez-15"/>
      <sheetName val="jul-14"/>
      <sheetName val="ago-14"/>
      <sheetName val="set-14"/>
      <sheetName val="out-14"/>
      <sheetName val="nov-14"/>
      <sheetName val="dez-14"/>
      <sheetName val="jun-14"/>
      <sheetName val="mai-14"/>
      <sheetName val="abr-14"/>
      <sheetName val="mar-14"/>
      <sheetName val="fev-14"/>
    </sheetNames>
    <sheetDataSet>
      <sheetData sheetId="0">
        <row r="9">
          <cell r="B9">
            <v>2.613</v>
          </cell>
        </row>
      </sheetData>
      <sheetData sheetId="1">
        <row r="9">
          <cell r="B9">
            <v>2.8079999999999998</v>
          </cell>
        </row>
      </sheetData>
      <sheetData sheetId="2">
        <row r="9">
          <cell r="B9">
            <v>2.8099999999999996</v>
          </cell>
        </row>
      </sheetData>
      <sheetData sheetId="3">
        <row r="9">
          <cell r="B9">
            <v>2.8090000000000006</v>
          </cell>
        </row>
      </sheetData>
      <sheetData sheetId="4">
        <row r="9">
          <cell r="B9">
            <v>2.8069999999999995</v>
          </cell>
        </row>
      </sheetData>
      <sheetData sheetId="5">
        <row r="9">
          <cell r="B9">
            <v>2.8069999999999995</v>
          </cell>
        </row>
      </sheetData>
      <sheetData sheetId="6">
        <row r="9">
          <cell r="B9">
            <v>2.8050000000000002</v>
          </cell>
        </row>
      </sheetData>
      <sheetData sheetId="7">
        <row r="9">
          <cell r="B9">
            <v>2.7989999999999999</v>
          </cell>
        </row>
      </sheetData>
      <sheetData sheetId="8">
        <row r="9">
          <cell r="B9">
            <v>2.8129999999999997</v>
          </cell>
        </row>
      </sheetData>
      <sheetData sheetId="9">
        <row r="9">
          <cell r="B9">
            <v>2.93</v>
          </cell>
        </row>
      </sheetData>
      <sheetData sheetId="10">
        <row r="9">
          <cell r="B9">
            <v>2.9769999999999999</v>
          </cell>
        </row>
      </sheetData>
      <sheetData sheetId="11">
        <row r="9">
          <cell r="B9">
            <v>2.9860000000000002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942.59932710578494</v>
          </cell>
        </row>
      </sheetData>
      <sheetData sheetId="3">
        <row r="8">
          <cell r="E8">
            <v>740.19904066817833</v>
          </cell>
        </row>
      </sheetData>
      <sheetData sheetId="4"/>
      <sheetData sheetId="5">
        <row r="8">
          <cell r="E8">
            <v>202.40028643760664</v>
          </cell>
        </row>
      </sheetData>
      <sheetData sheetId="6"/>
      <sheetData sheetId="7">
        <row r="27">
          <cell r="H27">
            <v>242384</v>
          </cell>
        </row>
        <row r="28">
          <cell r="H28">
            <v>23540.05</v>
          </cell>
        </row>
        <row r="29">
          <cell r="H29">
            <v>894.9</v>
          </cell>
        </row>
        <row r="33">
          <cell r="H33">
            <v>501.15</v>
          </cell>
        </row>
        <row r="38">
          <cell r="H38">
            <v>22.157142857142862</v>
          </cell>
        </row>
        <row r="39">
          <cell r="H39">
            <v>296.9388283056</v>
          </cell>
        </row>
        <row r="167">
          <cell r="H167">
            <v>2524.4309115304491</v>
          </cell>
        </row>
        <row r="184">
          <cell r="H184">
            <v>0.27707165507835907</v>
          </cell>
        </row>
      </sheetData>
      <sheetData sheetId="8">
        <row r="28">
          <cell r="H28">
            <v>146459</v>
          </cell>
        </row>
        <row r="29">
          <cell r="H29">
            <v>13032.748046875</v>
          </cell>
        </row>
        <row r="30">
          <cell r="H30">
            <v>710.4</v>
          </cell>
        </row>
        <row r="34">
          <cell r="H34">
            <v>313.39999999999998</v>
          </cell>
        </row>
        <row r="38">
          <cell r="H38">
            <v>18.271428571428572</v>
          </cell>
        </row>
        <row r="40">
          <cell r="H40">
            <v>215.67047199999996</v>
          </cell>
        </row>
        <row r="175">
          <cell r="H175">
            <v>926.33589438477236</v>
          </cell>
        </row>
        <row r="192">
          <cell r="H192">
            <v>0.23533207090757682</v>
          </cell>
        </row>
      </sheetData>
      <sheetData sheetId="9">
        <row r="5">
          <cell r="I5">
            <v>547.71073476643357</v>
          </cell>
        </row>
      </sheetData>
      <sheetData sheetId="10"/>
      <sheetData sheetId="11"/>
      <sheetData sheetId="12"/>
      <sheetData sheetId="13"/>
      <sheetData sheetId="14"/>
      <sheetData sheetId="15">
        <row r="21">
          <cell r="D21">
            <v>23540.05</v>
          </cell>
        </row>
      </sheetData>
      <sheetData sheetId="16"/>
      <sheetData sheetId="17"/>
      <sheetData sheetId="18">
        <row r="17">
          <cell r="D17">
            <v>501.15</v>
          </cell>
        </row>
      </sheetData>
      <sheetData sheetId="19">
        <row r="24">
          <cell r="D24">
            <v>894.9</v>
          </cell>
        </row>
      </sheetData>
      <sheetData sheetId="20">
        <row r="18">
          <cell r="F18">
            <v>3.5040000000000004</v>
          </cell>
        </row>
      </sheetData>
      <sheetData sheetId="21"/>
      <sheetData sheetId="22"/>
      <sheetData sheetId="23">
        <row r="8">
          <cell r="D8">
            <v>1.823666666666667</v>
          </cell>
        </row>
      </sheetData>
      <sheetData sheetId="24"/>
      <sheetData sheetId="25"/>
      <sheetData sheetId="2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992.62648353700729</v>
          </cell>
        </row>
      </sheetData>
      <sheetData sheetId="3">
        <row r="8">
          <cell r="E8">
            <v>774.8807716779653</v>
          </cell>
        </row>
      </sheetData>
      <sheetData sheetId="4"/>
      <sheetData sheetId="5">
        <row r="8">
          <cell r="E8">
            <v>217.74571185904196</v>
          </cell>
        </row>
      </sheetData>
      <sheetData sheetId="6"/>
      <sheetData sheetId="7">
        <row r="27">
          <cell r="H27">
            <v>262368</v>
          </cell>
        </row>
        <row r="28">
          <cell r="H28">
            <v>24693.587499999998</v>
          </cell>
        </row>
        <row r="29">
          <cell r="H29">
            <v>912.9</v>
          </cell>
        </row>
        <row r="33">
          <cell r="H33">
            <v>524.9</v>
          </cell>
        </row>
        <row r="38">
          <cell r="H38">
            <v>23.214285714285719</v>
          </cell>
        </row>
        <row r="39">
          <cell r="H39">
            <v>310.30107557935202</v>
          </cell>
        </row>
        <row r="167">
          <cell r="H167">
            <v>2723.4703394345102</v>
          </cell>
        </row>
        <row r="184">
          <cell r="H184">
            <v>0.28798893987224211</v>
          </cell>
        </row>
      </sheetData>
      <sheetData sheetId="8">
        <row r="28">
          <cell r="I28">
            <v>161420</v>
          </cell>
        </row>
        <row r="29">
          <cell r="I29">
            <v>13712.223046874999</v>
          </cell>
        </row>
        <row r="30">
          <cell r="I30">
            <v>729.4</v>
          </cell>
        </row>
        <row r="34">
          <cell r="I34">
            <v>340.4</v>
          </cell>
        </row>
        <row r="38">
          <cell r="I38">
            <v>19.071428571428573</v>
          </cell>
        </row>
        <row r="40">
          <cell r="I40">
            <v>225.37564323999999</v>
          </cell>
        </row>
        <row r="177">
          <cell r="I177">
            <v>1015.9912020855187</v>
          </cell>
        </row>
        <row r="194">
          <cell r="I194">
            <v>0.24460471642054255</v>
          </cell>
        </row>
      </sheetData>
      <sheetData sheetId="9">
        <row r="5">
          <cell r="I5">
            <v>564.55642226315695</v>
          </cell>
        </row>
      </sheetData>
      <sheetData sheetId="10"/>
      <sheetData sheetId="11"/>
      <sheetData sheetId="12"/>
      <sheetData sheetId="13"/>
      <sheetData sheetId="14"/>
      <sheetData sheetId="15"/>
      <sheetData sheetId="16"/>
      <sheetData sheetId="17"/>
      <sheetData sheetId="18"/>
      <sheetData sheetId="19"/>
      <sheetData sheetId="20">
        <row r="18">
          <cell r="E18">
            <v>3.5539999999999994</v>
          </cell>
          <cell r="F18">
            <v>3.637999999999999</v>
          </cell>
        </row>
      </sheetData>
      <sheetData sheetId="21"/>
      <sheetData sheetId="22"/>
      <sheetData sheetId="23">
        <row r="6">
          <cell r="D6">
            <v>3.5539999999999994</v>
          </cell>
        </row>
        <row r="8">
          <cell r="D8">
            <v>1.7653333333333334</v>
          </cell>
        </row>
      </sheetData>
      <sheetData sheetId="24"/>
      <sheetData sheetId="25"/>
      <sheetData sheetId="2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row r="5">
          <cell r="E5">
            <v>28.766119608877052</v>
          </cell>
        </row>
      </sheetData>
      <sheetData sheetId="1">
        <row r="61">
          <cell r="H61">
            <v>7.2421707680632652</v>
          </cell>
        </row>
      </sheetData>
      <sheetData sheetId="2">
        <row r="20">
          <cell r="D20">
            <v>1048.6909552972907</v>
          </cell>
        </row>
      </sheetData>
      <sheetData sheetId="3">
        <row r="8">
          <cell r="E8">
            <v>818.44883441776551</v>
          </cell>
        </row>
      </sheetData>
      <sheetData sheetId="4"/>
      <sheetData sheetId="5">
        <row r="8">
          <cell r="E8">
            <v>230.24212087952523</v>
          </cell>
        </row>
      </sheetData>
      <sheetData sheetId="6"/>
      <sheetData sheetId="7">
        <row r="27">
          <cell r="H27">
            <v>290481</v>
          </cell>
        </row>
        <row r="28">
          <cell r="H28">
            <v>24693.587499999998</v>
          </cell>
        </row>
        <row r="29">
          <cell r="H29">
            <v>950.78535000000011</v>
          </cell>
        </row>
        <row r="33">
          <cell r="H33">
            <v>554.92427999999984</v>
          </cell>
        </row>
        <row r="38">
          <cell r="H38">
            <v>24.985714285714288</v>
          </cell>
        </row>
        <row r="39">
          <cell r="H39">
            <v>324.96031899187176</v>
          </cell>
        </row>
        <row r="167">
          <cell r="H167">
            <v>2986.8349021858194</v>
          </cell>
        </row>
        <row r="184">
          <cell r="H184">
            <v>0.2992793808290331</v>
          </cell>
        </row>
      </sheetData>
      <sheetData sheetId="8">
        <row r="28">
          <cell r="I28">
            <v>169490</v>
          </cell>
        </row>
        <row r="29">
          <cell r="I29">
            <v>13712.223046874999</v>
          </cell>
        </row>
        <row r="30">
          <cell r="I30">
            <v>759.67010000000005</v>
          </cell>
        </row>
        <row r="34">
          <cell r="I34">
            <v>359.87087999999994</v>
          </cell>
        </row>
        <row r="38">
          <cell r="I38">
            <v>19.38571428571429</v>
          </cell>
        </row>
        <row r="40">
          <cell r="I40">
            <v>236.02283937794408</v>
          </cell>
        </row>
        <row r="177">
          <cell r="I177">
            <v>1062.1504100743275</v>
          </cell>
        </row>
        <row r="194">
          <cell r="I194">
            <v>0.25339051911997212</v>
          </cell>
        </row>
      </sheetData>
      <sheetData sheetId="9">
        <row r="5">
          <cell r="I5">
            <v>591.15061080931355</v>
          </cell>
        </row>
      </sheetData>
      <sheetData sheetId="10"/>
      <sheetData sheetId="11"/>
      <sheetData sheetId="12"/>
      <sheetData sheetId="13"/>
      <sheetData sheetId="14"/>
      <sheetData sheetId="15"/>
      <sheetData sheetId="16"/>
      <sheetData sheetId="17"/>
      <sheetData sheetId="18"/>
      <sheetData sheetId="19"/>
      <sheetData sheetId="20">
        <row r="18">
          <cell r="F18">
            <v>3.59</v>
          </cell>
        </row>
      </sheetData>
      <sheetData sheetId="21">
        <row r="7">
          <cell r="D7">
            <v>3.4920000000000004</v>
          </cell>
        </row>
      </sheetData>
      <sheetData sheetId="22"/>
      <sheetData sheetId="23">
        <row r="8">
          <cell r="D8">
            <v>1.9070000000000003</v>
          </cell>
        </row>
      </sheetData>
      <sheetData sheetId="24"/>
      <sheetData sheetId="25"/>
      <sheetData sheetId="2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693.36373148504572</v>
          </cell>
        </row>
      </sheetData>
      <sheetData sheetId="3">
        <row r="8">
          <cell r="E8">
            <v>548.49498102339317</v>
          </cell>
        </row>
      </sheetData>
      <sheetData sheetId="4"/>
      <sheetData sheetId="5">
        <row r="8">
          <cell r="E8">
            <v>144.8687504616525</v>
          </cell>
        </row>
      </sheetData>
      <sheetData sheetId="6"/>
      <sheetData sheetId="7">
        <row r="27">
          <cell r="H27">
            <v>210282.75</v>
          </cell>
        </row>
        <row r="28">
          <cell r="H28">
            <v>22801.5</v>
          </cell>
        </row>
        <row r="29">
          <cell r="H29">
            <v>800</v>
          </cell>
        </row>
        <row r="33">
          <cell r="H33">
            <v>484.98333333333335</v>
          </cell>
        </row>
        <row r="38">
          <cell r="H38">
            <v>20.100000000000001</v>
          </cell>
        </row>
        <row r="39">
          <cell r="H39">
            <v>238</v>
          </cell>
        </row>
        <row r="159">
          <cell r="H159">
            <v>2208.11036790562</v>
          </cell>
        </row>
        <row r="176">
          <cell r="H176">
            <v>0.20745686915071831</v>
          </cell>
        </row>
      </sheetData>
      <sheetData sheetId="8">
        <row r="28">
          <cell r="H28">
            <v>114753.2</v>
          </cell>
        </row>
        <row r="29">
          <cell r="H29">
            <v>12405.125</v>
          </cell>
        </row>
        <row r="30">
          <cell r="H30">
            <v>690</v>
          </cell>
        </row>
        <row r="34">
          <cell r="H34">
            <v>308.31666666666666</v>
          </cell>
        </row>
        <row r="38">
          <cell r="H38">
            <v>16.3</v>
          </cell>
        </row>
        <row r="40">
          <cell r="H40">
            <v>176</v>
          </cell>
        </row>
        <row r="166">
          <cell r="H166">
            <v>737.64832977835988</v>
          </cell>
        </row>
        <row r="183">
          <cell r="H183">
            <v>0.17620443573498529</v>
          </cell>
        </row>
      </sheetData>
      <sheetData sheetId="9">
        <row r="5">
          <cell r="I5">
            <v>403.96287303972281</v>
          </cell>
        </row>
      </sheetData>
      <sheetData sheetId="10"/>
      <sheetData sheetId="11"/>
      <sheetData sheetId="12"/>
      <sheetData sheetId="13"/>
      <sheetData sheetId="14"/>
      <sheetData sheetId="15"/>
      <sheetData sheetId="16"/>
      <sheetData sheetId="17"/>
      <sheetData sheetId="18"/>
      <sheetData sheetId="19"/>
      <sheetData sheetId="20">
        <row r="18">
          <cell r="F18">
            <v>2.423</v>
          </cell>
        </row>
      </sheetData>
      <sheetData sheetId="21"/>
      <sheetData sheetId="22"/>
      <sheetData sheetId="23">
        <row r="9">
          <cell r="D9">
            <v>4.0980000000000008</v>
          </cell>
        </row>
      </sheetData>
      <sheetData sheetId="24"/>
      <sheetData sheetId="25"/>
      <sheetData sheetId="2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727.45183071579208</v>
          </cell>
        </row>
      </sheetData>
      <sheetData sheetId="3">
        <row r="8">
          <cell r="E8">
            <v>572.93608123309298</v>
          </cell>
        </row>
      </sheetData>
      <sheetData sheetId="4"/>
      <sheetData sheetId="5">
        <row r="8">
          <cell r="E8">
            <v>154.51574948269916</v>
          </cell>
        </row>
      </sheetData>
      <sheetData sheetId="6"/>
      <sheetData sheetId="7">
        <row r="27">
          <cell r="H27">
            <v>206433</v>
          </cell>
        </row>
        <row r="28">
          <cell r="H28">
            <v>23126.5</v>
          </cell>
        </row>
        <row r="29">
          <cell r="H29">
            <v>770</v>
          </cell>
        </row>
        <row r="33">
          <cell r="H33">
            <v>493</v>
          </cell>
        </row>
        <row r="38">
          <cell r="H38">
            <v>20.228571428571431</v>
          </cell>
        </row>
        <row r="39">
          <cell r="H39">
            <v>233.99799999999999</v>
          </cell>
        </row>
        <row r="159">
          <cell r="H159">
            <v>2175.4501335211003</v>
          </cell>
        </row>
        <row r="176">
          <cell r="H176">
            <v>0.21910649482706629</v>
          </cell>
        </row>
      </sheetData>
      <sheetData sheetId="8">
        <row r="28">
          <cell r="H28">
            <v>126682</v>
          </cell>
        </row>
        <row r="29">
          <cell r="H29">
            <v>12661.25</v>
          </cell>
        </row>
        <row r="30">
          <cell r="H30">
            <v>680</v>
          </cell>
        </row>
        <row r="34">
          <cell r="H34">
            <v>315.96666666666664</v>
          </cell>
        </row>
        <row r="38">
          <cell r="H38">
            <v>16.585714285714285</v>
          </cell>
        </row>
        <row r="40">
          <cell r="H40">
            <v>167.99799999999999</v>
          </cell>
        </row>
        <row r="166">
          <cell r="H166">
            <v>807.24222208326671</v>
          </cell>
        </row>
        <row r="183">
          <cell r="H183">
            <v>0.186099098308599</v>
          </cell>
        </row>
      </sheetData>
      <sheetData sheetId="9">
        <row r="5">
          <cell r="I5">
            <v>416.23458382390339</v>
          </cell>
        </row>
      </sheetData>
      <sheetData sheetId="10"/>
      <sheetData sheetId="11"/>
      <sheetData sheetId="12"/>
      <sheetData sheetId="13"/>
      <sheetData sheetId="14"/>
      <sheetData sheetId="15"/>
      <sheetData sheetId="16"/>
      <sheetData sheetId="17"/>
      <sheetData sheetId="18"/>
      <sheetData sheetId="19"/>
      <sheetData sheetId="20">
        <row r="18">
          <cell r="F18">
            <v>2.6059999999999994</v>
          </cell>
        </row>
      </sheetData>
      <sheetData sheetId="21"/>
      <sheetData sheetId="22"/>
      <sheetData sheetId="23">
        <row r="8">
          <cell r="D8">
            <v>3.3914285714285719</v>
          </cell>
        </row>
      </sheetData>
      <sheetData sheetId="24"/>
      <sheetData sheetId="25"/>
      <sheetData sheetId="2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781.57273611267362</v>
          </cell>
        </row>
      </sheetData>
      <sheetData sheetId="3">
        <row r="8">
          <cell r="E8">
            <v>611.12801490032371</v>
          </cell>
        </row>
      </sheetData>
      <sheetData sheetId="4"/>
      <sheetData sheetId="5">
        <row r="8">
          <cell r="E8">
            <v>170.44472121234995</v>
          </cell>
        </row>
      </sheetData>
      <sheetData sheetId="6"/>
      <sheetData sheetId="7">
        <row r="27">
          <cell r="H27">
            <v>203470</v>
          </cell>
        </row>
        <row r="28">
          <cell r="H28">
            <v>22696</v>
          </cell>
        </row>
        <row r="29">
          <cell r="H29">
            <v>829.5</v>
          </cell>
        </row>
        <row r="33">
          <cell r="H33">
            <v>469.22500000000002</v>
          </cell>
        </row>
        <row r="38">
          <cell r="H38">
            <v>20.628571428571433</v>
          </cell>
        </row>
        <row r="39">
          <cell r="H39">
            <v>247.958</v>
          </cell>
        </row>
        <row r="40">
          <cell r="H40">
            <v>2640.631596660091</v>
          </cell>
        </row>
        <row r="166">
          <cell r="H166">
            <v>2151.0448988061717</v>
          </cell>
        </row>
        <row r="183">
          <cell r="H183">
            <v>0.23754651858319345</v>
          </cell>
        </row>
      </sheetData>
      <sheetData sheetId="8">
        <row r="28">
          <cell r="H28">
            <v>129592</v>
          </cell>
        </row>
        <row r="29">
          <cell r="H29">
            <v>12472.375</v>
          </cell>
        </row>
        <row r="30">
          <cell r="H30">
            <v>670</v>
          </cell>
        </row>
        <row r="34">
          <cell r="H34">
            <v>293.45</v>
          </cell>
        </row>
        <row r="38">
          <cell r="H38">
            <v>17.057142857142857</v>
          </cell>
        </row>
        <row r="40">
          <cell r="H40">
            <v>178.97800000000001</v>
          </cell>
        </row>
        <row r="41">
          <cell r="H41">
            <v>2611.1222108316679</v>
          </cell>
        </row>
        <row r="42">
          <cell r="H42">
            <v>1779.6157254864452</v>
          </cell>
        </row>
        <row r="174">
          <cell r="H174">
            <v>826.44968500033337</v>
          </cell>
        </row>
        <row r="191">
          <cell r="H191">
            <v>0.2017612163873575</v>
          </cell>
        </row>
      </sheetData>
      <sheetData sheetId="9">
        <row r="5">
          <cell r="I5">
            <v>448.81494476718171</v>
          </cell>
        </row>
      </sheetData>
      <sheetData sheetId="10"/>
      <sheetData sheetId="11"/>
      <sheetData sheetId="12"/>
      <sheetData sheetId="13"/>
      <sheetData sheetId="14"/>
      <sheetData sheetId="15"/>
      <sheetData sheetId="16"/>
      <sheetData sheetId="17"/>
      <sheetData sheetId="18"/>
      <sheetData sheetId="19"/>
      <sheetData sheetId="20">
        <row r="18">
          <cell r="F18">
            <v>2.9580000000000006</v>
          </cell>
        </row>
      </sheetData>
      <sheetData sheetId="21"/>
      <sheetData sheetId="22"/>
      <sheetData sheetId="23">
        <row r="8">
          <cell r="D8">
            <v>2.9816666666666669</v>
          </cell>
        </row>
      </sheetData>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852.8412811692624</v>
          </cell>
        </row>
      </sheetData>
      <sheetData sheetId="3">
        <row r="8">
          <cell r="E8">
            <v>665.23073904891885</v>
          </cell>
        </row>
      </sheetData>
      <sheetData sheetId="4"/>
      <sheetData sheetId="5">
        <row r="8">
          <cell r="E8">
            <v>187.61054212034355</v>
          </cell>
        </row>
      </sheetData>
      <sheetData sheetId="6"/>
      <sheetData sheetId="7">
        <row r="27">
          <cell r="H27">
            <v>196014</v>
          </cell>
        </row>
        <row r="28">
          <cell r="H28">
            <v>23053.924999999999</v>
          </cell>
        </row>
        <row r="29">
          <cell r="H29">
            <v>839.95</v>
          </cell>
        </row>
        <row r="33">
          <cell r="H33">
            <v>469.22500000000002</v>
          </cell>
        </row>
        <row r="38">
          <cell r="H38">
            <v>21.142857142857146</v>
          </cell>
        </row>
        <row r="39">
          <cell r="H39">
            <v>262.93799999999999</v>
          </cell>
        </row>
        <row r="167">
          <cell r="H167">
            <v>2085.084275463551</v>
          </cell>
        </row>
        <row r="184">
          <cell r="H184">
            <v>0.26108058219532765</v>
          </cell>
        </row>
      </sheetData>
      <sheetData sheetId="8">
        <row r="28">
          <cell r="H28">
            <v>132455</v>
          </cell>
        </row>
        <row r="29">
          <cell r="H29">
            <v>12757.898046875</v>
          </cell>
        </row>
        <row r="30">
          <cell r="H30">
            <v>690</v>
          </cell>
        </row>
        <row r="34">
          <cell r="H34">
            <v>293.45</v>
          </cell>
        </row>
        <row r="38">
          <cell r="H38">
            <v>17.442857142857143</v>
          </cell>
        </row>
        <row r="40">
          <cell r="H40">
            <v>190.97800000000001</v>
          </cell>
        </row>
        <row r="175">
          <cell r="H175">
            <v>844.68199013163894</v>
          </cell>
        </row>
        <row r="192">
          <cell r="H192">
            <v>0.22174998039552674</v>
          </cell>
        </row>
      </sheetData>
      <sheetData sheetId="9">
        <row r="5">
          <cell r="I5">
            <v>487.18820145842159</v>
          </cell>
        </row>
      </sheetData>
      <sheetData sheetId="10"/>
      <sheetData sheetId="11"/>
      <sheetData sheetId="12"/>
      <sheetData sheetId="13"/>
      <sheetData sheetId="14"/>
      <sheetData sheetId="15"/>
      <sheetData sheetId="16"/>
      <sheetData sheetId="17"/>
      <sheetData sheetId="18"/>
      <sheetData sheetId="19"/>
      <sheetData sheetId="20">
        <row r="18">
          <cell r="F18">
            <v>3.1640000000000006</v>
          </cell>
        </row>
      </sheetData>
      <sheetData sheetId="21"/>
      <sheetData sheetId="22"/>
      <sheetData sheetId="23">
        <row r="8">
          <cell r="D8">
            <v>2.5245000000000002</v>
          </cell>
        </row>
      </sheetData>
      <sheetData sheetId="24"/>
      <sheetData sheetId="25"/>
      <sheetData sheetId="2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913.03068017067494</v>
          </cell>
        </row>
      </sheetData>
      <sheetData sheetId="3">
        <row r="8">
          <cell r="E8">
            <v>714.07064319512824</v>
          </cell>
        </row>
      </sheetData>
      <sheetData sheetId="4"/>
      <sheetData sheetId="5">
        <row r="8">
          <cell r="E8">
            <v>198.96003697554673</v>
          </cell>
        </row>
      </sheetData>
      <sheetData sheetId="6"/>
      <sheetData sheetId="7">
        <row r="27">
          <cell r="H27">
            <v>202944</v>
          </cell>
        </row>
        <row r="28">
          <cell r="H28">
            <v>23165.05</v>
          </cell>
        </row>
        <row r="29">
          <cell r="H29">
            <v>862.4</v>
          </cell>
        </row>
        <row r="33">
          <cell r="H33">
            <v>484.70000000000005</v>
          </cell>
        </row>
        <row r="38">
          <cell r="H38">
            <v>21.485714285714288</v>
          </cell>
        </row>
        <row r="39">
          <cell r="H39">
            <v>285.02479199999999</v>
          </cell>
        </row>
        <row r="167">
          <cell r="H167">
            <v>2151.2751430826424</v>
          </cell>
        </row>
        <row r="184">
          <cell r="H184">
            <v>0.27300907501004101</v>
          </cell>
        </row>
      </sheetData>
      <sheetData sheetId="8">
        <row r="28">
          <cell r="H28">
            <v>142747</v>
          </cell>
        </row>
        <row r="29">
          <cell r="H29">
            <v>12832.648046875</v>
          </cell>
        </row>
        <row r="30">
          <cell r="H30">
            <v>699.9</v>
          </cell>
        </row>
        <row r="34">
          <cell r="H34">
            <v>309.39999999999998</v>
          </cell>
        </row>
        <row r="38">
          <cell r="H38">
            <v>17.642857142857142</v>
          </cell>
        </row>
        <row r="40">
          <cell r="H40">
            <v>207.020152</v>
          </cell>
        </row>
        <row r="175">
          <cell r="H175">
            <v>903.859318220609</v>
          </cell>
        </row>
        <row r="192">
          <cell r="H192">
            <v>0.2318815000419473</v>
          </cell>
        </row>
      </sheetData>
      <sheetData sheetId="9">
        <row r="5">
          <cell r="I5">
            <v>529.65729700825625</v>
          </cell>
        </row>
      </sheetData>
      <sheetData sheetId="10"/>
      <sheetData sheetId="11"/>
      <sheetData sheetId="12"/>
      <sheetData sheetId="13"/>
      <sheetData sheetId="14"/>
      <sheetData sheetId="15"/>
      <sheetData sheetId="16"/>
      <sheetData sheetId="17"/>
      <sheetData sheetId="18"/>
      <sheetData sheetId="19"/>
      <sheetData sheetId="20">
        <row r="18">
          <cell r="F18">
            <v>3.1539999999999999</v>
          </cell>
        </row>
      </sheetData>
      <sheetData sheetId="21"/>
      <sheetData sheetId="22"/>
      <sheetData sheetId="23">
        <row r="8">
          <cell r="D8">
            <v>2.3911666666666673</v>
          </cell>
        </row>
      </sheetData>
      <sheetData sheetId="24"/>
      <sheetData sheetId="25"/>
      <sheetData sheetId="2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944.43319894475439</v>
          </cell>
        </row>
      </sheetData>
      <sheetData sheetId="3">
        <row r="8">
          <cell r="E8">
            <v>741.05006577706149</v>
          </cell>
        </row>
      </sheetData>
      <sheetData sheetId="4"/>
      <sheetData sheetId="5">
        <row r="8">
          <cell r="E8">
            <v>203.38313316769296</v>
          </cell>
        </row>
      </sheetData>
      <sheetData sheetId="6"/>
      <sheetData sheetId="7">
        <row r="27">
          <cell r="H27">
            <v>240599</v>
          </cell>
        </row>
        <row r="28">
          <cell r="H28">
            <v>23910.05</v>
          </cell>
        </row>
        <row r="29">
          <cell r="H29">
            <v>899.9</v>
          </cell>
        </row>
        <row r="33">
          <cell r="H33">
            <v>504.9</v>
          </cell>
        </row>
        <row r="38">
          <cell r="H38">
            <v>22.157142857142862</v>
          </cell>
        </row>
        <row r="39">
          <cell r="H39">
            <v>296.9388283056</v>
          </cell>
        </row>
        <row r="167">
          <cell r="H167">
            <v>2511.59881764888</v>
          </cell>
        </row>
        <row r="184">
          <cell r="H184">
            <v>0.2772656052369139</v>
          </cell>
        </row>
      </sheetData>
      <sheetData sheetId="8">
        <row r="28">
          <cell r="H28">
            <v>147294</v>
          </cell>
        </row>
        <row r="29">
          <cell r="H29">
            <v>13384.748046875</v>
          </cell>
        </row>
        <row r="30">
          <cell r="H30">
            <v>718.9</v>
          </cell>
        </row>
        <row r="34">
          <cell r="H34">
            <v>318.14999999999998</v>
          </cell>
        </row>
        <row r="38">
          <cell r="H38">
            <v>18.271428571428572</v>
          </cell>
        </row>
        <row r="40">
          <cell r="H40">
            <v>215.67047199999996</v>
          </cell>
        </row>
        <row r="175">
          <cell r="H175">
            <v>933.36607649675568</v>
          </cell>
        </row>
        <row r="192">
          <cell r="H192">
            <v>0.2354968033572121</v>
          </cell>
        </row>
      </sheetData>
      <sheetData sheetId="9">
        <row r="5">
          <cell r="I5">
            <v>547.75705093816964</v>
          </cell>
        </row>
      </sheetData>
      <sheetData sheetId="10"/>
      <sheetData sheetId="11"/>
      <sheetData sheetId="12"/>
      <sheetData sheetId="13"/>
      <sheetData sheetId="14"/>
      <sheetData sheetId="15"/>
      <sheetData sheetId="16"/>
      <sheetData sheetId="17"/>
      <sheetData sheetId="18"/>
      <sheetData sheetId="19"/>
      <sheetData sheetId="20">
        <row r="18">
          <cell r="F18">
            <v>3.5550000000000002</v>
          </cell>
        </row>
      </sheetData>
      <sheetData sheetId="21"/>
      <sheetData sheetId="22"/>
      <sheetData sheetId="23">
        <row r="8">
          <cell r="D8">
            <v>1.823666666666667</v>
          </cell>
        </row>
      </sheetData>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996.37688352170198</v>
          </cell>
        </row>
      </sheetData>
      <sheetData sheetId="3">
        <row r="8">
          <cell r="E8">
            <v>777.47325385714112</v>
          </cell>
        </row>
      </sheetData>
      <sheetData sheetId="4"/>
      <sheetData sheetId="5">
        <row r="8">
          <cell r="E8">
            <v>218.90362966456087</v>
          </cell>
        </row>
      </sheetData>
      <sheetData sheetId="6"/>
      <sheetData sheetId="7">
        <row r="27">
          <cell r="H27">
            <v>261344</v>
          </cell>
        </row>
        <row r="28">
          <cell r="H28">
            <v>24693.587499999998</v>
          </cell>
        </row>
        <row r="29">
          <cell r="H29">
            <v>912.9</v>
          </cell>
        </row>
        <row r="33">
          <cell r="H33">
            <v>524.9</v>
          </cell>
        </row>
        <row r="38">
          <cell r="H38">
            <v>23.214285714285719</v>
          </cell>
        </row>
        <row r="39">
          <cell r="H39">
            <v>310.30107557935202</v>
          </cell>
        </row>
        <row r="167">
          <cell r="H167">
            <v>2713.8903454519291</v>
          </cell>
        </row>
        <row r="184">
          <cell r="H184">
            <v>0.29020645470925838</v>
          </cell>
        </row>
      </sheetData>
      <sheetData sheetId="8">
        <row r="28">
          <cell r="I28">
            <v>158502</v>
          </cell>
        </row>
        <row r="29">
          <cell r="I29">
            <v>13712.223046874999</v>
          </cell>
        </row>
        <row r="30">
          <cell r="I30">
            <v>729.4</v>
          </cell>
        </row>
        <row r="34">
          <cell r="I34">
            <v>340.4</v>
          </cell>
        </row>
        <row r="38">
          <cell r="I38">
            <v>19.071428571428573</v>
          </cell>
        </row>
        <row r="40">
          <cell r="I40">
            <v>225.37564323999999</v>
          </cell>
        </row>
        <row r="177">
          <cell r="I177">
            <v>999.363044351452</v>
          </cell>
        </row>
        <row r="194">
          <cell r="I194">
            <v>0.24648817273698073</v>
          </cell>
        </row>
      </sheetData>
      <sheetData sheetId="9">
        <row r="5">
          <cell r="I5">
            <v>565.37243515485034</v>
          </cell>
        </row>
      </sheetData>
      <sheetData sheetId="10"/>
      <sheetData sheetId="11"/>
      <sheetData sheetId="12"/>
      <sheetData sheetId="13"/>
      <sheetData sheetId="14"/>
      <sheetData sheetId="15"/>
      <sheetData sheetId="16"/>
      <sheetData sheetId="17"/>
      <sheetData sheetId="18"/>
      <sheetData sheetId="19"/>
      <sheetData sheetId="20">
        <row r="18">
          <cell r="F18">
            <v>3.6949999999999998</v>
          </cell>
        </row>
      </sheetData>
      <sheetData sheetId="21"/>
      <sheetData sheetId="22"/>
      <sheetData sheetId="23">
        <row r="6">
          <cell r="D6">
            <v>3.6140000000000003</v>
          </cell>
        </row>
        <row r="8">
          <cell r="D8">
            <v>1.7653333333333334</v>
          </cell>
        </row>
      </sheetData>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6"/>
      <sheetName val="fev-16"/>
      <sheetName val="mar-16"/>
      <sheetName val="abr-16"/>
      <sheetName val="mai-16"/>
      <sheetName val="jun-16"/>
      <sheetName val="jul-16"/>
      <sheetName val="ago-16"/>
      <sheetName val="set-16"/>
      <sheetName val="out-16"/>
      <sheetName val="nov-16"/>
      <sheetName val="dez-16"/>
      <sheetName val="nov-15"/>
      <sheetName val="dez-15"/>
      <sheetName val="ago-15"/>
      <sheetName val="set-15"/>
      <sheetName val="out-15"/>
      <sheetName val="jul-15"/>
      <sheetName val="jun-15"/>
      <sheetName val="mai-15"/>
      <sheetName val="abr-15"/>
      <sheetName val="MAIO-16"/>
      <sheetName val="mar-15"/>
      <sheetName val="fev-15"/>
    </sheetNames>
    <sheetDataSet>
      <sheetData sheetId="0">
        <row r="9">
          <cell r="B9">
            <v>3.0100000000000002</v>
          </cell>
        </row>
      </sheetData>
      <sheetData sheetId="1">
        <row r="9">
          <cell r="B9">
            <v>3.02</v>
          </cell>
        </row>
      </sheetData>
      <sheetData sheetId="2">
        <row r="9">
          <cell r="B9">
            <v>3.0210000000000004</v>
          </cell>
        </row>
      </sheetData>
      <sheetData sheetId="3">
        <row r="9">
          <cell r="B9">
            <v>3.0210000000000004</v>
          </cell>
        </row>
      </sheetData>
      <sheetData sheetId="4">
        <row r="9">
          <cell r="B9">
            <v>3.0150000000000001</v>
          </cell>
        </row>
      </sheetData>
      <sheetData sheetId="5">
        <row r="9">
          <cell r="B9">
            <v>3.0130000000000003</v>
          </cell>
        </row>
      </sheetData>
      <sheetData sheetId="6">
        <row r="9">
          <cell r="B9">
            <v>3.0100000000000002</v>
          </cell>
        </row>
      </sheetData>
      <sheetData sheetId="7">
        <row r="9">
          <cell r="B9">
            <v>3.0070000000000006</v>
          </cell>
        </row>
      </sheetData>
      <sheetData sheetId="8">
        <row r="9">
          <cell r="B9">
            <v>3.0059999999999998</v>
          </cell>
        </row>
      </sheetData>
      <sheetData sheetId="9">
        <row r="9">
          <cell r="B9">
            <v>3.0079999999999996</v>
          </cell>
        </row>
      </sheetData>
      <sheetData sheetId="10">
        <row r="9">
          <cell r="B9">
            <v>2.9839999999999995</v>
          </cell>
        </row>
      </sheetData>
      <sheetData sheetId="11">
        <row r="9">
          <cell r="B9">
            <v>3.0509999999999997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 val="\CARROCERIA"/>
    </sheetNames>
    <sheetDataSet>
      <sheetData sheetId="0">
        <row r="5">
          <cell r="E5">
            <v>28.708397525001828</v>
          </cell>
        </row>
      </sheetData>
      <sheetData sheetId="1">
        <row r="61">
          <cell r="H61">
            <v>7.2276386311537104</v>
          </cell>
        </row>
      </sheetData>
      <sheetData sheetId="2">
        <row r="20">
          <cell r="D20">
            <v>1055.0504429541402</v>
          </cell>
        </row>
      </sheetData>
      <sheetData sheetId="3">
        <row r="8">
          <cell r="E8">
            <v>822.14768653486931</v>
          </cell>
        </row>
      </sheetData>
      <sheetData sheetId="4"/>
      <sheetData sheetId="5">
        <row r="8">
          <cell r="E8">
            <v>232.9027564192709</v>
          </cell>
        </row>
      </sheetData>
      <sheetData sheetId="6"/>
      <sheetData sheetId="7">
        <row r="27">
          <cell r="H27">
            <v>292132</v>
          </cell>
        </row>
        <row r="28">
          <cell r="H28">
            <v>24693.587499999998</v>
          </cell>
        </row>
        <row r="29">
          <cell r="H29">
            <v>950.78535000000011</v>
          </cell>
        </row>
        <row r="33">
          <cell r="H33">
            <v>554.92427999999984</v>
          </cell>
        </row>
        <row r="38">
          <cell r="H38">
            <v>24.985714285714288</v>
          </cell>
        </row>
        <row r="39">
          <cell r="H39">
            <v>324.96031899187176</v>
          </cell>
        </row>
        <row r="167">
          <cell r="H167">
            <v>3002.280771390157</v>
          </cell>
        </row>
        <row r="184">
          <cell r="H184">
            <v>0.29981835478833296</v>
          </cell>
        </row>
      </sheetData>
      <sheetData sheetId="8">
        <row r="28">
          <cell r="I28">
            <v>170781</v>
          </cell>
        </row>
        <row r="29">
          <cell r="I29">
            <v>13712.223046874999</v>
          </cell>
        </row>
        <row r="30">
          <cell r="I30">
            <v>759.67010000000005</v>
          </cell>
        </row>
        <row r="34">
          <cell r="I34">
            <v>359.87087999999994</v>
          </cell>
        </row>
        <row r="38">
          <cell r="I38">
            <v>19.38571428571429</v>
          </cell>
        </row>
        <row r="40">
          <cell r="I40">
            <v>236.02283937794408</v>
          </cell>
        </row>
        <row r="177">
          <cell r="I177">
            <v>1069.5071446989607</v>
          </cell>
        </row>
        <row r="194">
          <cell r="I194">
            <v>0.2538468515641279</v>
          </cell>
        </row>
      </sheetData>
      <sheetData sheetId="9">
        <row r="5">
          <cell r="I5">
            <v>591.52677188359064</v>
          </cell>
        </row>
      </sheetData>
      <sheetData sheetId="10"/>
      <sheetData sheetId="11"/>
      <sheetData sheetId="12"/>
      <sheetData sheetId="13"/>
      <sheetData sheetId="14"/>
      <sheetData sheetId="15">
        <row r="21">
          <cell r="D21">
            <v>24693.587499999998</v>
          </cell>
        </row>
      </sheetData>
      <sheetData sheetId="16"/>
      <sheetData sheetId="17"/>
      <sheetData sheetId="18"/>
      <sheetData sheetId="19"/>
      <sheetData sheetId="20">
        <row r="18">
          <cell r="F18">
            <v>3.301000000000001</v>
          </cell>
        </row>
      </sheetData>
      <sheetData sheetId="21">
        <row r="7">
          <cell r="D7">
            <v>3.2029999999999998</v>
          </cell>
        </row>
      </sheetData>
      <sheetData sheetId="22"/>
      <sheetData sheetId="23">
        <row r="8">
          <cell r="D8">
            <v>1.9070000000000003</v>
          </cell>
        </row>
      </sheetData>
      <sheetData sheetId="24"/>
      <sheetData sheetId="25"/>
      <sheetData sheetId="26"/>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722.14655791718042</v>
          </cell>
        </row>
      </sheetData>
      <sheetData sheetId="3">
        <row r="8">
          <cell r="E8">
            <v>573.0466508434024</v>
          </cell>
        </row>
      </sheetData>
      <sheetData sheetId="4"/>
      <sheetData sheetId="5">
        <row r="8">
          <cell r="E8">
            <v>149.09990707377796</v>
          </cell>
        </row>
      </sheetData>
      <sheetData sheetId="6"/>
      <sheetData sheetId="7">
        <row r="27">
          <cell r="H27">
            <v>209507.75</v>
          </cell>
        </row>
        <row r="28">
          <cell r="H28">
            <v>22801.5</v>
          </cell>
        </row>
        <row r="29">
          <cell r="H29">
            <v>800</v>
          </cell>
        </row>
        <row r="33">
          <cell r="H33">
            <v>486.66666666666669</v>
          </cell>
        </row>
        <row r="38">
          <cell r="H38">
            <v>20.157142857142862</v>
          </cell>
        </row>
        <row r="39">
          <cell r="H39">
            <v>238</v>
          </cell>
        </row>
        <row r="159">
          <cell r="H159">
            <v>2200.8598841785683</v>
          </cell>
        </row>
        <row r="176">
          <cell r="H176">
            <v>0.20868086467870756</v>
          </cell>
        </row>
      </sheetData>
      <sheetData sheetId="8">
        <row r="28">
          <cell r="H28">
            <v>114753.2</v>
          </cell>
        </row>
        <row r="29">
          <cell r="H29">
            <v>12405.125</v>
          </cell>
        </row>
        <row r="30">
          <cell r="H30">
            <v>690</v>
          </cell>
        </row>
        <row r="34">
          <cell r="H34">
            <v>312.2833333333333</v>
          </cell>
        </row>
        <row r="38">
          <cell r="H38">
            <v>16.328571428571429</v>
          </cell>
        </row>
        <row r="166">
          <cell r="H166">
            <v>737.64832977835988</v>
          </cell>
        </row>
        <row r="183">
          <cell r="H183">
            <v>0.17724404190582171</v>
          </cell>
        </row>
      </sheetData>
      <sheetData sheetId="9">
        <row r="5">
          <cell r="I5">
            <v>428.48830341516981</v>
          </cell>
        </row>
      </sheetData>
      <sheetData sheetId="10"/>
      <sheetData sheetId="11"/>
      <sheetData sheetId="12"/>
      <sheetData sheetId="13"/>
      <sheetData sheetId="14"/>
      <sheetData sheetId="15"/>
      <sheetData sheetId="16"/>
      <sheetData sheetId="17"/>
      <sheetData sheetId="18"/>
      <sheetData sheetId="19"/>
      <sheetData sheetId="20">
        <row r="18">
          <cell r="F18">
            <v>2.431</v>
          </cell>
        </row>
      </sheetData>
      <sheetData sheetId="21"/>
      <sheetData sheetId="22"/>
      <sheetData sheetId="23">
        <row r="9">
          <cell r="D9">
            <v>4.0980000000000008</v>
          </cell>
        </row>
      </sheetData>
      <sheetData sheetId="24"/>
      <sheetData sheetId="25"/>
      <sheetData sheetId="2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751.47287421864598</v>
          </cell>
        </row>
      </sheetData>
      <sheetData sheetId="3">
        <row r="8">
          <cell r="E8">
            <v>593.51657457377087</v>
          </cell>
        </row>
      </sheetData>
      <sheetData sheetId="4"/>
      <sheetData sheetId="5">
        <row r="8">
          <cell r="E8">
            <v>157.95629964487506</v>
          </cell>
        </row>
      </sheetData>
      <sheetData sheetId="6"/>
      <sheetData sheetId="7">
        <row r="27">
          <cell r="H27">
            <v>203960</v>
          </cell>
        </row>
        <row r="28">
          <cell r="H28">
            <v>23147.25</v>
          </cell>
        </row>
        <row r="29">
          <cell r="H29">
            <v>770</v>
          </cell>
        </row>
        <row r="33">
          <cell r="H33">
            <v>493</v>
          </cell>
        </row>
        <row r="38">
          <cell r="H38">
            <v>20.228571428571431</v>
          </cell>
        </row>
        <row r="39">
          <cell r="H39">
            <v>241.97799999999998</v>
          </cell>
        </row>
        <row r="40">
          <cell r="H40">
            <v>2640.631596660091</v>
          </cell>
        </row>
        <row r="159">
          <cell r="H159">
            <v>2152.528338897338</v>
          </cell>
        </row>
        <row r="176">
          <cell r="H176">
            <v>0.2208155254867174</v>
          </cell>
        </row>
      </sheetData>
      <sheetData sheetId="8">
        <row r="28">
          <cell r="H28">
            <v>125250</v>
          </cell>
        </row>
        <row r="29">
          <cell r="H29">
            <v>12701.237499999999</v>
          </cell>
        </row>
        <row r="30">
          <cell r="H30">
            <v>680</v>
          </cell>
        </row>
        <row r="34">
          <cell r="H34">
            <v>315.96666666666664</v>
          </cell>
        </row>
        <row r="38">
          <cell r="H38">
            <v>16.585714285714285</v>
          </cell>
        </row>
        <row r="40">
          <cell r="H40">
            <v>171.99799999999999</v>
          </cell>
        </row>
        <row r="41">
          <cell r="H41">
            <v>2611.1222108316679</v>
          </cell>
        </row>
        <row r="42">
          <cell r="H42">
            <v>1779.6157254864452</v>
          </cell>
        </row>
        <row r="166">
          <cell r="H166">
            <v>799.3345954509067</v>
          </cell>
        </row>
        <row r="183">
          <cell r="H183">
            <v>0.18755067127540609</v>
          </cell>
        </row>
      </sheetData>
      <sheetData sheetId="9">
        <row r="5">
          <cell r="I5">
            <v>436.77297688535879</v>
          </cell>
        </row>
      </sheetData>
      <sheetData sheetId="10"/>
      <sheetData sheetId="11"/>
      <sheetData sheetId="12"/>
      <sheetData sheetId="13"/>
      <sheetData sheetId="14"/>
      <sheetData sheetId="15"/>
      <sheetData sheetId="16"/>
      <sheetData sheetId="17"/>
      <sheetData sheetId="18"/>
      <sheetData sheetId="19"/>
      <sheetData sheetId="20">
        <row r="18">
          <cell r="F18">
            <v>2.6080000000000001</v>
          </cell>
        </row>
      </sheetData>
      <sheetData sheetId="21"/>
      <sheetData sheetId="22"/>
      <sheetData sheetId="23">
        <row r="8">
          <cell r="D8">
            <v>3.3200000000000003</v>
          </cell>
        </row>
      </sheetData>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811.53047719371352</v>
          </cell>
        </row>
      </sheetData>
      <sheetData sheetId="3">
        <row r="8">
          <cell r="E8">
            <v>636.24755917422431</v>
          </cell>
        </row>
      </sheetData>
      <sheetData sheetId="4"/>
      <sheetData sheetId="5">
        <row r="8">
          <cell r="E8">
            <v>175.28291801948922</v>
          </cell>
        </row>
      </sheetData>
      <sheetData sheetId="6"/>
      <sheetData sheetId="7">
        <row r="27">
          <cell r="H27">
            <v>199609</v>
          </cell>
        </row>
        <row r="28">
          <cell r="H28">
            <v>22696</v>
          </cell>
        </row>
        <row r="29">
          <cell r="H29">
            <v>829.5</v>
          </cell>
        </row>
        <row r="33">
          <cell r="H33">
            <v>469.22500000000002</v>
          </cell>
        </row>
        <row r="38">
          <cell r="H38">
            <v>20.628571428571433</v>
          </cell>
        </row>
        <row r="39">
          <cell r="H39">
            <v>247.958</v>
          </cell>
        </row>
        <row r="166">
          <cell r="H166">
            <v>2114.9234566511454</v>
          </cell>
        </row>
        <row r="183">
          <cell r="H183">
            <v>0.23923309886513414</v>
          </cell>
        </row>
      </sheetData>
      <sheetData sheetId="8">
        <row r="28">
          <cell r="H28">
            <v>130150</v>
          </cell>
        </row>
        <row r="29">
          <cell r="H29">
            <v>12472.375</v>
          </cell>
        </row>
        <row r="30">
          <cell r="H30">
            <v>670</v>
          </cell>
        </row>
        <row r="34">
          <cell r="H34">
            <v>293.45</v>
          </cell>
        </row>
        <row r="38">
          <cell r="H38">
            <v>17.057142857142857</v>
          </cell>
        </row>
        <row r="40">
          <cell r="H40">
            <v>178.97800000000001</v>
          </cell>
        </row>
        <row r="174">
          <cell r="H174">
            <v>829.62943551973342</v>
          </cell>
        </row>
        <row r="191">
          <cell r="H191">
            <v>0.20319372102370775</v>
          </cell>
        </row>
      </sheetData>
      <sheetData sheetId="9">
        <row r="5">
          <cell r="I5">
            <v>473.32484766290173</v>
          </cell>
        </row>
      </sheetData>
      <sheetData sheetId="10"/>
      <sheetData sheetId="11"/>
      <sheetData sheetId="12"/>
      <sheetData sheetId="13"/>
      <sheetData sheetId="14"/>
      <sheetData sheetId="15"/>
      <sheetData sheetId="16"/>
      <sheetData sheetId="17"/>
      <sheetData sheetId="18"/>
      <sheetData sheetId="19"/>
      <sheetData sheetId="20">
        <row r="18">
          <cell r="F18">
            <v>2.956</v>
          </cell>
        </row>
      </sheetData>
      <sheetData sheetId="21"/>
      <sheetData sheetId="22"/>
      <sheetData sheetId="23">
        <row r="8">
          <cell r="D8">
            <v>2.999166666666667</v>
          </cell>
        </row>
      </sheetData>
      <sheetData sheetId="24"/>
      <sheetData sheetId="25"/>
      <sheetData sheetId="2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880.13131052910285</v>
          </cell>
        </row>
      </sheetData>
      <sheetData sheetId="3">
        <row r="8">
          <cell r="E8">
            <v>688.77314960087301</v>
          </cell>
        </row>
      </sheetData>
      <sheetData sheetId="4"/>
      <sheetData sheetId="5">
        <row r="8">
          <cell r="E8">
            <v>191.35816092822981</v>
          </cell>
        </row>
      </sheetData>
      <sheetData sheetId="6"/>
      <sheetData sheetId="7">
        <row r="27">
          <cell r="H27">
            <v>198125</v>
          </cell>
        </row>
        <row r="28">
          <cell r="H28">
            <v>23053.924999999999</v>
          </cell>
        </row>
        <row r="29">
          <cell r="H29">
            <v>839.95</v>
          </cell>
        </row>
        <row r="33">
          <cell r="H33">
            <v>474.20000000000005</v>
          </cell>
        </row>
        <row r="38">
          <cell r="H38">
            <v>21.142857142857146</v>
          </cell>
        </row>
        <row r="39">
          <cell r="H39">
            <v>285.02479199999999</v>
          </cell>
        </row>
        <row r="167">
          <cell r="H167">
            <v>2104.8336575897515</v>
          </cell>
        </row>
        <row r="184">
          <cell r="H184">
            <v>0.26275149792137775</v>
          </cell>
        </row>
      </sheetData>
      <sheetData sheetId="8">
        <row r="28">
          <cell r="H28">
            <v>132455</v>
          </cell>
        </row>
        <row r="29">
          <cell r="H29">
            <v>12757.898046875</v>
          </cell>
        </row>
        <row r="30">
          <cell r="H30">
            <v>690</v>
          </cell>
        </row>
        <row r="34">
          <cell r="H34">
            <v>303.42499999999995</v>
          </cell>
        </row>
        <row r="38">
          <cell r="H38">
            <v>17.442857142857143</v>
          </cell>
        </row>
        <row r="40">
          <cell r="H40">
            <v>207.020152</v>
          </cell>
        </row>
        <row r="175">
          <cell r="H175">
            <v>844.68199013163894</v>
          </cell>
        </row>
        <row r="192">
          <cell r="H192">
            <v>0.22316918027005811</v>
          </cell>
        </row>
      </sheetData>
      <sheetData sheetId="9">
        <row r="5">
          <cell r="I5">
            <v>509.60667355910698</v>
          </cell>
        </row>
      </sheetData>
      <sheetData sheetId="10"/>
      <sheetData sheetId="11"/>
      <sheetData sheetId="12"/>
      <sheetData sheetId="13"/>
      <sheetData sheetId="14"/>
      <sheetData sheetId="15"/>
      <sheetData sheetId="16"/>
      <sheetData sheetId="17"/>
      <sheetData sheetId="18"/>
      <sheetData sheetId="19"/>
      <sheetData sheetId="20">
        <row r="18">
          <cell r="F18">
            <v>3.1580000000000004</v>
          </cell>
        </row>
      </sheetData>
      <sheetData sheetId="21"/>
      <sheetData sheetId="22"/>
      <sheetData sheetId="23">
        <row r="8">
          <cell r="D8">
            <v>2.5245000000000002</v>
          </cell>
        </row>
      </sheetData>
      <sheetData sheetId="24"/>
      <sheetData sheetId="25"/>
      <sheetData sheetId="2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926.6695595900153</v>
          </cell>
        </row>
      </sheetData>
      <sheetData sheetId="3">
        <row r="8">
          <cell r="E8">
            <v>725.96984240587949</v>
          </cell>
        </row>
      </sheetData>
      <sheetData sheetId="4"/>
      <sheetData sheetId="5">
        <row r="8">
          <cell r="E8">
            <v>200.69971718413586</v>
          </cell>
        </row>
      </sheetData>
      <sheetData sheetId="6"/>
      <sheetData sheetId="7">
        <row r="27">
          <cell r="H27">
            <v>202705</v>
          </cell>
        </row>
        <row r="28">
          <cell r="H28">
            <v>23165.05</v>
          </cell>
        </row>
        <row r="29">
          <cell r="H29">
            <v>862.4</v>
          </cell>
        </row>
        <row r="33">
          <cell r="H33">
            <v>484.70000000000005</v>
          </cell>
        </row>
        <row r="38">
          <cell r="H38">
            <v>21.485714285714288</v>
          </cell>
        </row>
        <row r="39">
          <cell r="H39">
            <v>285.02479199999999</v>
          </cell>
        </row>
        <row r="167">
          <cell r="H167">
            <v>2149.0391874558482</v>
          </cell>
        </row>
        <row r="184">
          <cell r="H184">
            <v>0.273227482270049</v>
          </cell>
        </row>
      </sheetData>
      <sheetData sheetId="8">
        <row r="28">
          <cell r="H28">
            <v>142062</v>
          </cell>
        </row>
        <row r="29">
          <cell r="H29">
            <v>12832.648046875</v>
          </cell>
        </row>
        <row r="30">
          <cell r="H30">
            <v>699.9</v>
          </cell>
        </row>
        <row r="34">
          <cell r="H34">
            <v>309.39999999999998</v>
          </cell>
        </row>
        <row r="38">
          <cell r="H38">
            <v>17.642857142857142</v>
          </cell>
        </row>
        <row r="40">
          <cell r="H40">
            <v>207.020152</v>
          </cell>
        </row>
        <row r="175">
          <cell r="H175">
            <v>899.95586104177562</v>
          </cell>
        </row>
        <row r="192">
          <cell r="H192">
            <v>0.23206700524198084</v>
          </cell>
        </row>
      </sheetData>
      <sheetData sheetId="9">
        <row r="5">
          <cell r="I5">
            <v>543.34737269805419</v>
          </cell>
        </row>
      </sheetData>
      <sheetData sheetId="10"/>
      <sheetData sheetId="11"/>
      <sheetData sheetId="12"/>
      <sheetData sheetId="13"/>
      <sheetData sheetId="14"/>
      <sheetData sheetId="15"/>
      <sheetData sheetId="16"/>
      <sheetData sheetId="17"/>
      <sheetData sheetId="18"/>
      <sheetData sheetId="19"/>
      <sheetData sheetId="20">
        <row r="18">
          <cell r="F18">
            <v>3.1520000000000006</v>
          </cell>
        </row>
      </sheetData>
      <sheetData sheetId="21"/>
      <sheetData sheetId="22"/>
      <sheetData sheetId="23">
        <row r="8">
          <cell r="D8">
            <v>2.3911666666666673</v>
          </cell>
        </row>
      </sheetData>
      <sheetData sheetId="24"/>
      <sheetData sheetId="25"/>
      <sheetData sheetId="2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948.58729484908281</v>
          </cell>
        </row>
      </sheetData>
      <sheetData sheetId="3">
        <row r="8">
          <cell r="E8">
            <v>743.77784660635302</v>
          </cell>
        </row>
      </sheetData>
      <sheetData sheetId="4"/>
      <sheetData sheetId="5">
        <row r="8">
          <cell r="E8">
            <v>204.80944824272984</v>
          </cell>
        </row>
      </sheetData>
      <sheetData sheetId="6"/>
      <sheetData sheetId="7">
        <row r="27">
          <cell r="H27">
            <v>240878</v>
          </cell>
        </row>
        <row r="28">
          <cell r="H28">
            <v>23910.05</v>
          </cell>
        </row>
        <row r="29">
          <cell r="H29">
            <v>899.9</v>
          </cell>
        </row>
        <row r="33">
          <cell r="H33">
            <v>504.9</v>
          </cell>
        </row>
        <row r="38">
          <cell r="H38">
            <v>22.157142857142862</v>
          </cell>
        </row>
        <row r="39">
          <cell r="H39">
            <v>296.9388283056</v>
          </cell>
        </row>
        <row r="167">
          <cell r="H167">
            <v>2514.2089917906187</v>
          </cell>
        </row>
        <row r="184">
          <cell r="H184">
            <v>0.27784786300791142</v>
          </cell>
        </row>
      </sheetData>
      <sheetData sheetId="8">
        <row r="28">
          <cell r="H28">
            <v>146848</v>
          </cell>
        </row>
        <row r="29">
          <cell r="H29">
            <v>13384.748046875</v>
          </cell>
        </row>
        <row r="30">
          <cell r="H30">
            <v>718.9</v>
          </cell>
        </row>
        <row r="34">
          <cell r="H34">
            <v>318.14999999999998</v>
          </cell>
        </row>
        <row r="38">
          <cell r="H38">
            <v>18.271428571428572</v>
          </cell>
        </row>
        <row r="40">
          <cell r="H40">
            <v>215.67047199999996</v>
          </cell>
        </row>
        <row r="175">
          <cell r="H175">
            <v>930.82455547228881</v>
          </cell>
        </row>
        <row r="192">
          <cell r="H192">
            <v>0.23599134664426225</v>
          </cell>
        </row>
      </sheetData>
      <sheetData sheetId="9">
        <row r="5">
          <cell r="I5">
            <v>548.140891798854</v>
          </cell>
        </row>
      </sheetData>
      <sheetData sheetId="10"/>
      <sheetData sheetId="11"/>
      <sheetData sheetId="12"/>
      <sheetData sheetId="13"/>
      <sheetData sheetId="14"/>
      <sheetData sheetId="15"/>
      <sheetData sheetId="16"/>
      <sheetData sheetId="17"/>
      <sheetData sheetId="18"/>
      <sheetData sheetId="19"/>
      <sheetData sheetId="20">
        <row r="18">
          <cell r="F18">
            <v>3.863</v>
          </cell>
        </row>
      </sheetData>
      <sheetData sheetId="21"/>
      <sheetData sheetId="22"/>
      <sheetData sheetId="23">
        <row r="8">
          <cell r="D8">
            <v>1.823666666666667</v>
          </cell>
        </row>
      </sheetData>
      <sheetData sheetId="24"/>
      <sheetData sheetId="25"/>
      <sheetData sheetId="2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1021.9004032032439</v>
          </cell>
        </row>
      </sheetData>
      <sheetData sheetId="3">
        <row r="8">
          <cell r="E8">
            <v>798.67879032006647</v>
          </cell>
        </row>
      </sheetData>
      <sheetData sheetId="4"/>
      <sheetData sheetId="5">
        <row r="8">
          <cell r="E8">
            <v>223.22161288317741</v>
          </cell>
        </row>
      </sheetData>
      <sheetData sheetId="6"/>
      <sheetData sheetId="7">
        <row r="27">
          <cell r="H27">
            <v>261376</v>
          </cell>
        </row>
        <row r="28">
          <cell r="H28">
            <v>24693.587499999998</v>
          </cell>
        </row>
        <row r="29">
          <cell r="H29">
            <v>912.9</v>
          </cell>
        </row>
        <row r="33">
          <cell r="H33">
            <v>524.9</v>
          </cell>
        </row>
        <row r="38">
          <cell r="H38">
            <v>23.214285714285719</v>
          </cell>
        </row>
        <row r="39">
          <cell r="H39">
            <v>310.30107557935202</v>
          </cell>
        </row>
        <row r="167">
          <cell r="H167">
            <v>2714.1897202638847</v>
          </cell>
        </row>
        <row r="184">
          <cell r="H184">
            <v>0.29194769343751392</v>
          </cell>
        </row>
      </sheetData>
      <sheetData sheetId="8">
        <row r="28">
          <cell r="I28">
            <v>159454</v>
          </cell>
        </row>
        <row r="29">
          <cell r="I29">
            <v>13712.223046874999</v>
          </cell>
        </row>
        <row r="30">
          <cell r="I30">
            <v>729.4</v>
          </cell>
        </row>
        <row r="34">
          <cell r="I34">
            <v>340.4</v>
          </cell>
        </row>
        <row r="38">
          <cell r="I38">
            <v>19.071428571428573</v>
          </cell>
        </row>
        <row r="40">
          <cell r="I40">
            <v>225.37564323999999</v>
          </cell>
        </row>
        <row r="177">
          <cell r="I177">
            <v>1004.7879950583856</v>
          </cell>
        </row>
        <row r="194">
          <cell r="I194">
            <v>0.24796710177340262</v>
          </cell>
        </row>
      </sheetData>
      <sheetData sheetId="9">
        <row r="5">
          <cell r="I5">
            <v>584.73093962002906</v>
          </cell>
        </row>
      </sheetData>
      <sheetData sheetId="10"/>
      <sheetData sheetId="11"/>
      <sheetData sheetId="12"/>
      <sheetData sheetId="13"/>
      <sheetData sheetId="14"/>
      <sheetData sheetId="15"/>
      <sheetData sheetId="16"/>
      <sheetData sheetId="17"/>
      <sheetData sheetId="18"/>
      <sheetData sheetId="19"/>
      <sheetData sheetId="20">
        <row r="18">
          <cell r="F18">
            <v>3.7340000000000009</v>
          </cell>
        </row>
      </sheetData>
      <sheetData sheetId="21"/>
      <sheetData sheetId="22"/>
      <sheetData sheetId="23">
        <row r="6">
          <cell r="D6">
            <v>3.6539999999999999</v>
          </cell>
        </row>
        <row r="8">
          <cell r="D8">
            <v>1.823666666666667</v>
          </cell>
        </row>
      </sheetData>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sheetData sheetId="3"/>
      <sheetData sheetId="4"/>
      <sheetData sheetId="5"/>
      <sheetData sheetId="6"/>
      <sheetData sheetId="7">
        <row r="27">
          <cell r="H27">
            <v>298574</v>
          </cell>
        </row>
        <row r="28">
          <cell r="H28">
            <v>25428.587499999998</v>
          </cell>
        </row>
        <row r="29">
          <cell r="H29">
            <v>950.78535000000011</v>
          </cell>
        </row>
        <row r="33">
          <cell r="H33">
            <v>554.92427999999984</v>
          </cell>
        </row>
        <row r="38">
          <cell r="H38">
            <v>24.985714285714288</v>
          </cell>
        </row>
        <row r="39">
          <cell r="H39">
            <v>324.96031899187176</v>
          </cell>
        </row>
        <row r="167">
          <cell r="H167">
            <v>3070.1382931533249</v>
          </cell>
        </row>
        <row r="184">
          <cell r="H184">
            <v>0.29912890586577806</v>
          </cell>
        </row>
      </sheetData>
      <sheetData sheetId="8">
        <row r="28">
          <cell r="I28">
            <v>172084</v>
          </cell>
        </row>
        <row r="29">
          <cell r="I29">
            <v>14299.742708333331</v>
          </cell>
        </row>
        <row r="30">
          <cell r="I30">
            <v>759.67010000000005</v>
          </cell>
        </row>
        <row r="34">
          <cell r="I34">
            <v>359.87087999999994</v>
          </cell>
        </row>
        <row r="38">
          <cell r="I38">
            <v>19.38571428571429</v>
          </cell>
        </row>
        <row r="40">
          <cell r="I40">
            <v>236.02283937794408</v>
          </cell>
        </row>
        <row r="177">
          <cell r="I177">
            <v>1080.6435096395076</v>
          </cell>
        </row>
        <row r="194">
          <cell r="I194">
            <v>0.25326311666094492</v>
          </cell>
        </row>
      </sheetData>
      <sheetData sheetId="9">
        <row r="5">
          <cell r="I5">
            <v>591.8184989889055</v>
          </cell>
        </row>
      </sheetData>
      <sheetData sheetId="10"/>
      <sheetData sheetId="11"/>
      <sheetData sheetId="12"/>
      <sheetData sheetId="13"/>
      <sheetData sheetId="14"/>
      <sheetData sheetId="15"/>
      <sheetData sheetId="16"/>
      <sheetData sheetId="17"/>
      <sheetData sheetId="18"/>
      <sheetData sheetId="19"/>
      <sheetData sheetId="20">
        <row r="18">
          <cell r="F18">
            <v>3.1059999999999994</v>
          </cell>
        </row>
      </sheetData>
      <sheetData sheetId="21"/>
      <sheetData sheetId="22"/>
      <sheetData sheetId="23">
        <row r="8">
          <cell r="D8">
            <v>1.823666666666667</v>
          </cell>
        </row>
      </sheetData>
      <sheetData sheetId="24"/>
      <sheetData sheetId="25"/>
      <sheetData sheetId="2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722.18267800469653</v>
          </cell>
        </row>
      </sheetData>
      <sheetData sheetId="3">
        <row r="8">
          <cell r="E8">
            <v>573.07039554384244</v>
          </cell>
        </row>
      </sheetData>
      <sheetData sheetId="4"/>
      <sheetData sheetId="5">
        <row r="8">
          <cell r="E8">
            <v>149.11228246085415</v>
          </cell>
        </row>
      </sheetData>
      <sheetData sheetId="6"/>
      <sheetData sheetId="7">
        <row r="27">
          <cell r="H27">
            <v>209507.75</v>
          </cell>
        </row>
        <row r="28">
          <cell r="H28">
            <v>22801.5</v>
          </cell>
        </row>
        <row r="29">
          <cell r="H29">
            <v>800</v>
          </cell>
        </row>
        <row r="33">
          <cell r="H33">
            <v>486.66666666666669</v>
          </cell>
        </row>
        <row r="38">
          <cell r="H38">
            <v>20.157142857142862</v>
          </cell>
        </row>
        <row r="39">
          <cell r="H39">
            <v>238</v>
          </cell>
        </row>
        <row r="159">
          <cell r="H159">
            <v>2200.8598841785683</v>
          </cell>
        </row>
        <row r="176">
          <cell r="H176">
            <v>0.20941124770508304</v>
          </cell>
        </row>
      </sheetData>
      <sheetData sheetId="8">
        <row r="28">
          <cell r="H28">
            <v>114753.2</v>
          </cell>
        </row>
        <row r="29">
          <cell r="H29">
            <v>12405.125</v>
          </cell>
        </row>
        <row r="30">
          <cell r="H30">
            <v>690</v>
          </cell>
        </row>
        <row r="34">
          <cell r="H34">
            <v>312.2833333333333</v>
          </cell>
        </row>
        <row r="38">
          <cell r="H38">
            <v>16.328571428571429</v>
          </cell>
        </row>
        <row r="166">
          <cell r="H166">
            <v>737.64832977835988</v>
          </cell>
        </row>
        <row r="183">
          <cell r="H183">
            <v>0.1778643960524921</v>
          </cell>
        </row>
      </sheetData>
      <sheetData sheetId="9">
        <row r="5">
          <cell r="I5">
            <v>428.48830341516981</v>
          </cell>
        </row>
      </sheetData>
      <sheetData sheetId="10"/>
      <sheetData sheetId="11"/>
      <sheetData sheetId="12"/>
      <sheetData sheetId="13"/>
      <sheetData sheetId="14"/>
      <sheetData sheetId="15"/>
      <sheetData sheetId="16"/>
      <sheetData sheetId="17"/>
      <sheetData sheetId="18"/>
      <sheetData sheetId="19"/>
      <sheetData sheetId="20">
        <row r="18">
          <cell r="F18">
            <v>2.4350000000000001</v>
          </cell>
        </row>
      </sheetData>
      <sheetData sheetId="21"/>
      <sheetData sheetId="22"/>
      <sheetData sheetId="23">
        <row r="9">
          <cell r="D9">
            <v>4.0980000000000008</v>
          </cell>
        </row>
      </sheetData>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7"/>
      <sheetName val="fev-17"/>
      <sheetName val="mar-17"/>
      <sheetName val="abr-17"/>
      <sheetName val="mai-17"/>
      <sheetName val="jun-17"/>
      <sheetName val="jul-17"/>
      <sheetName val="ago-17"/>
      <sheetName val="set-17"/>
      <sheetName val="out-17"/>
      <sheetName val="nov-17"/>
      <sheetName val="dez-17"/>
    </sheetNames>
    <sheetDataSet>
      <sheetData sheetId="0">
        <row r="9">
          <cell r="B9">
            <v>3.1209999999999996</v>
          </cell>
        </row>
      </sheetData>
      <sheetData sheetId="1">
        <row r="9">
          <cell r="B9">
            <v>3.0970000000000004</v>
          </cell>
        </row>
      </sheetData>
      <sheetData sheetId="2">
        <row r="9">
          <cell r="B9">
            <v>3.0419999999999994</v>
          </cell>
        </row>
      </sheetData>
      <sheetData sheetId="3">
        <row r="9">
          <cell r="B9">
            <v>3.012</v>
          </cell>
        </row>
      </sheetData>
      <sheetData sheetId="4">
        <row r="9">
          <cell r="B9">
            <v>3.0190000000000006</v>
          </cell>
        </row>
      </sheetData>
      <sheetData sheetId="5">
        <row r="9">
          <cell r="B9">
            <v>2.9580000000000006</v>
          </cell>
        </row>
      </sheetData>
      <sheetData sheetId="6">
        <row r="9">
          <cell r="B9">
            <v>3.0560000000000005</v>
          </cell>
        </row>
      </sheetData>
      <sheetData sheetId="7">
        <row r="9">
          <cell r="B9">
            <v>3.1030000000000006</v>
          </cell>
        </row>
      </sheetData>
      <sheetData sheetId="8">
        <row r="9">
          <cell r="B9">
            <v>3.2010000000000001</v>
          </cell>
        </row>
      </sheetData>
      <sheetData sheetId="9">
        <row r="9">
          <cell r="B9">
            <v>3.2139999999999995</v>
          </cell>
        </row>
      </sheetData>
      <sheetData sheetId="10">
        <row r="9">
          <cell r="B9">
            <v>3.3030000000000004</v>
          </cell>
        </row>
      </sheetData>
      <sheetData sheetId="11">
        <row r="9">
          <cell r="B9">
            <v>3.3260000000000001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749.2368452009938</v>
          </cell>
        </row>
      </sheetData>
      <sheetData sheetId="3">
        <row r="8">
          <cell r="E8">
            <v>592.4623683024306</v>
          </cell>
        </row>
      </sheetData>
      <sheetData sheetId="4"/>
      <sheetData sheetId="5">
        <row r="8">
          <cell r="E8">
            <v>156.77447689856322</v>
          </cell>
        </row>
      </sheetData>
      <sheetData sheetId="6"/>
      <sheetData sheetId="7">
        <row r="27">
          <cell r="H27">
            <v>203200</v>
          </cell>
        </row>
        <row r="28">
          <cell r="H28">
            <v>23173.5</v>
          </cell>
        </row>
        <row r="29">
          <cell r="H29">
            <v>777.5</v>
          </cell>
        </row>
        <row r="33">
          <cell r="H33">
            <v>494.66666666666669</v>
          </cell>
        </row>
        <row r="38">
          <cell r="H38">
            <v>20.228571428571431</v>
          </cell>
        </row>
        <row r="39">
          <cell r="H39">
            <v>241.97799999999998</v>
          </cell>
        </row>
        <row r="40">
          <cell r="H40">
            <v>2640.631596660091</v>
          </cell>
        </row>
        <row r="159">
          <cell r="H159">
            <v>2145.6892453252249</v>
          </cell>
        </row>
        <row r="176">
          <cell r="H176">
            <v>0.22214041863963771</v>
          </cell>
        </row>
      </sheetData>
      <sheetData sheetId="8">
        <row r="28">
          <cell r="H28">
            <v>124029</v>
          </cell>
        </row>
        <row r="29">
          <cell r="H29">
            <v>12764.875</v>
          </cell>
        </row>
        <row r="30">
          <cell r="H30">
            <v>690</v>
          </cell>
        </row>
        <row r="34">
          <cell r="H34">
            <v>317.93333333333334</v>
          </cell>
        </row>
        <row r="38">
          <cell r="H38">
            <v>16.585714285714285</v>
          </cell>
        </row>
        <row r="40">
          <cell r="H40">
            <v>171.99799999999999</v>
          </cell>
        </row>
        <row r="41">
          <cell r="H41">
            <v>2611.1222108316679</v>
          </cell>
        </row>
        <row r="42">
          <cell r="H42">
            <v>1779.6157254864452</v>
          </cell>
        </row>
        <row r="166">
          <cell r="H166">
            <v>792.77874009576669</v>
          </cell>
        </row>
        <row r="183">
          <cell r="H183">
            <v>0.18867597530305852</v>
          </cell>
        </row>
      </sheetData>
      <sheetData sheetId="9">
        <row r="5">
          <cell r="I5">
            <v>437.24648137301307</v>
          </cell>
        </row>
      </sheetData>
      <sheetData sheetId="10"/>
      <sheetData sheetId="11"/>
      <sheetData sheetId="12"/>
      <sheetData sheetId="13"/>
      <sheetData sheetId="14"/>
      <sheetData sheetId="15"/>
      <sheetData sheetId="16"/>
      <sheetData sheetId="17"/>
      <sheetData sheetId="18"/>
      <sheetData sheetId="19"/>
      <sheetData sheetId="20">
        <row r="18">
          <cell r="F18">
            <v>2.61</v>
          </cell>
        </row>
      </sheetData>
      <sheetData sheetId="21"/>
      <sheetData sheetId="22"/>
      <sheetData sheetId="23">
        <row r="8">
          <cell r="D8">
            <v>3.3914285714285719</v>
          </cell>
        </row>
      </sheetData>
      <sheetData sheetId="24"/>
      <sheetData sheetId="25"/>
      <sheetData sheetId="2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817.32569163668791</v>
          </cell>
        </row>
      </sheetData>
      <sheetData sheetId="3">
        <row r="8">
          <cell r="E8">
            <v>640.62507506591385</v>
          </cell>
        </row>
      </sheetData>
      <sheetData sheetId="4"/>
      <sheetData sheetId="5">
        <row r="8">
          <cell r="E8">
            <v>176.70061657077412</v>
          </cell>
        </row>
      </sheetData>
      <sheetData sheetId="6"/>
      <sheetData sheetId="7">
        <row r="27">
          <cell r="H27">
            <v>203266</v>
          </cell>
        </row>
        <row r="28">
          <cell r="H28">
            <v>22696</v>
          </cell>
        </row>
        <row r="29">
          <cell r="H29">
            <v>829.5</v>
          </cell>
        </row>
        <row r="33">
          <cell r="H33">
            <v>469.22500000000002</v>
          </cell>
        </row>
        <row r="38">
          <cell r="H38">
            <v>20.628571428571433</v>
          </cell>
        </row>
        <row r="39">
          <cell r="H39">
            <v>262.93799999999999</v>
          </cell>
        </row>
        <row r="166">
          <cell r="H166">
            <v>2149.1363843799541</v>
          </cell>
        </row>
        <row r="183">
          <cell r="H183">
            <v>0.24160150654389898</v>
          </cell>
        </row>
      </sheetData>
      <sheetData sheetId="8">
        <row r="28">
          <cell r="H28">
            <v>130150</v>
          </cell>
        </row>
        <row r="29">
          <cell r="H29">
            <v>12472.375</v>
          </cell>
        </row>
        <row r="30">
          <cell r="H30">
            <v>670</v>
          </cell>
        </row>
        <row r="34">
          <cell r="H34">
            <v>293.45</v>
          </cell>
        </row>
        <row r="38">
          <cell r="H38">
            <v>17.057142857142857</v>
          </cell>
        </row>
        <row r="40">
          <cell r="H40">
            <v>190.97800000000001</v>
          </cell>
        </row>
        <row r="174">
          <cell r="H174">
            <v>829.62943551973342</v>
          </cell>
        </row>
        <row r="191">
          <cell r="H191">
            <v>0.20520533886184247</v>
          </cell>
        </row>
      </sheetData>
      <sheetData sheetId="9">
        <row r="5">
          <cell r="I5">
            <v>476.17196324930632</v>
          </cell>
        </row>
      </sheetData>
      <sheetData sheetId="10"/>
      <sheetData sheetId="11"/>
      <sheetData sheetId="12"/>
      <sheetData sheetId="13"/>
      <sheetData sheetId="14"/>
      <sheetData sheetId="15"/>
      <sheetData sheetId="16"/>
      <sheetData sheetId="17"/>
      <sheetData sheetId="18"/>
      <sheetData sheetId="19"/>
      <sheetData sheetId="20">
        <row r="18">
          <cell r="F18">
            <v>2.9570000000000003</v>
          </cell>
        </row>
      </sheetData>
      <sheetData sheetId="21"/>
      <sheetData sheetId="22"/>
      <sheetData sheetId="23">
        <row r="8">
          <cell r="D8">
            <v>3.0158333333333336</v>
          </cell>
        </row>
      </sheetData>
      <sheetData sheetId="24"/>
      <sheetData sheetId="25"/>
      <sheetData sheetId="2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893.07076275704947</v>
          </cell>
        </row>
      </sheetData>
      <sheetData sheetId="3">
        <row r="8">
          <cell r="E8">
            <v>697.76301748380524</v>
          </cell>
        </row>
      </sheetData>
      <sheetData sheetId="4"/>
      <sheetData sheetId="5">
        <row r="8">
          <cell r="E8">
            <v>195.30774527324425</v>
          </cell>
        </row>
      </sheetData>
      <sheetData sheetId="6"/>
      <sheetData sheetId="7">
        <row r="27">
          <cell r="H27">
            <v>199133</v>
          </cell>
        </row>
        <row r="28">
          <cell r="H28">
            <v>23053.924999999999</v>
          </cell>
        </row>
        <row r="29">
          <cell r="H29">
            <v>839.95</v>
          </cell>
        </row>
        <row r="33">
          <cell r="H33">
            <v>474.20000000000005</v>
          </cell>
        </row>
        <row r="38">
          <cell r="H38">
            <v>21.142857142857146</v>
          </cell>
        </row>
        <row r="39">
          <cell r="H39">
            <v>285.02479199999999</v>
          </cell>
        </row>
        <row r="167">
          <cell r="H167">
            <v>2114.263964166355</v>
          </cell>
        </row>
        <row r="184">
          <cell r="H184">
            <v>0.26532646260100728</v>
          </cell>
        </row>
      </sheetData>
      <sheetData sheetId="8">
        <row r="28">
          <cell r="H28">
            <v>134035</v>
          </cell>
        </row>
        <row r="29">
          <cell r="H29">
            <v>12757.898046875</v>
          </cell>
        </row>
        <row r="30">
          <cell r="H30">
            <v>690</v>
          </cell>
        </row>
        <row r="34">
          <cell r="H34">
            <v>303.42499999999995</v>
          </cell>
        </row>
        <row r="38">
          <cell r="H38">
            <v>17.442857142857143</v>
          </cell>
        </row>
        <row r="40">
          <cell r="H40">
            <v>207.020152</v>
          </cell>
        </row>
        <row r="175">
          <cell r="H175">
            <v>853.68558479230558</v>
          </cell>
        </row>
        <row r="192">
          <cell r="H192">
            <v>0.2253562382367047</v>
          </cell>
        </row>
      </sheetData>
      <sheetData sheetId="9">
        <row r="5">
          <cell r="I5">
            <v>515.78562013498197</v>
          </cell>
        </row>
      </sheetData>
      <sheetData sheetId="10"/>
      <sheetData sheetId="11"/>
      <sheetData sheetId="12"/>
      <sheetData sheetId="13"/>
      <sheetData sheetId="14"/>
      <sheetData sheetId="15"/>
      <sheetData sheetId="16"/>
      <sheetData sheetId="17"/>
      <sheetData sheetId="18"/>
      <sheetData sheetId="19"/>
      <sheetData sheetId="20">
        <row r="18">
          <cell r="F18">
            <v>3.1589999999999994</v>
          </cell>
        </row>
      </sheetData>
      <sheetData sheetId="21"/>
      <sheetData sheetId="22"/>
      <sheetData sheetId="23">
        <row r="8">
          <cell r="D8">
            <v>2.4578333333333338</v>
          </cell>
        </row>
      </sheetData>
      <sheetData sheetId="24"/>
      <sheetData sheetId="25"/>
      <sheetData sheetId="2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925.51036220424021</v>
          </cell>
        </row>
      </sheetData>
      <sheetData sheetId="3">
        <row r="8">
          <cell r="E8">
            <v>725.31692770348229</v>
          </cell>
        </row>
      </sheetData>
      <sheetData sheetId="4"/>
      <sheetData sheetId="5">
        <row r="8">
          <cell r="E8">
            <v>200.19343450075797</v>
          </cell>
        </row>
      </sheetData>
      <sheetData sheetId="6"/>
      <sheetData sheetId="7">
        <row r="27">
          <cell r="H27">
            <v>202462</v>
          </cell>
        </row>
        <row r="28">
          <cell r="H28">
            <v>23165.05</v>
          </cell>
        </row>
        <row r="29">
          <cell r="H29">
            <v>862.4</v>
          </cell>
        </row>
        <row r="33">
          <cell r="H33">
            <v>484.70000000000005</v>
          </cell>
        </row>
        <row r="38">
          <cell r="H38">
            <v>21.485714285714288</v>
          </cell>
        </row>
        <row r="39">
          <cell r="H39">
            <v>285.02479199999999</v>
          </cell>
        </row>
        <row r="167">
          <cell r="H167">
            <v>2146.7658099775599</v>
          </cell>
        </row>
        <row r="184">
          <cell r="H184">
            <v>0.27421110120622122</v>
          </cell>
        </row>
      </sheetData>
      <sheetData sheetId="8">
        <row r="28">
          <cell r="H28">
            <v>145870</v>
          </cell>
        </row>
        <row r="29">
          <cell r="H29">
            <v>12832.648046875</v>
          </cell>
        </row>
        <row r="30">
          <cell r="H30">
            <v>699.9</v>
          </cell>
        </row>
        <row r="34">
          <cell r="H34">
            <v>309.39999999999998</v>
          </cell>
        </row>
        <row r="38">
          <cell r="H38">
            <v>17.642857142857142</v>
          </cell>
        </row>
        <row r="40">
          <cell r="H40">
            <v>207.020152</v>
          </cell>
        </row>
        <row r="175">
          <cell r="H175">
            <v>921.65566386950877</v>
          </cell>
        </row>
        <row r="192">
          <cell r="H192">
            <v>0.23290244646085198</v>
          </cell>
        </row>
      </sheetData>
      <sheetData sheetId="9">
        <row r="5">
          <cell r="I5">
            <v>544.38285129678582</v>
          </cell>
        </row>
      </sheetData>
      <sheetData sheetId="10"/>
      <sheetData sheetId="11"/>
      <sheetData sheetId="12"/>
      <sheetData sheetId="13"/>
      <sheetData sheetId="14"/>
      <sheetData sheetId="15"/>
      <sheetData sheetId="16"/>
      <sheetData sheetId="17"/>
      <sheetData sheetId="18"/>
      <sheetData sheetId="19"/>
      <sheetData sheetId="20">
        <row r="18">
          <cell r="F18">
            <v>3.0979999999999994</v>
          </cell>
        </row>
      </sheetData>
      <sheetData sheetId="21"/>
      <sheetData sheetId="22"/>
      <sheetData sheetId="23">
        <row r="8">
          <cell r="D8">
            <v>2.3911666666666673</v>
          </cell>
        </row>
      </sheetData>
      <sheetData sheetId="24"/>
      <sheetData sheetId="25"/>
      <sheetData sheetId="2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967.4258007516562</v>
          </cell>
        </row>
      </sheetData>
      <sheetData sheetId="3">
        <row r="8">
          <cell r="E8">
            <v>758.19740360626304</v>
          </cell>
        </row>
      </sheetData>
      <sheetData sheetId="4"/>
      <sheetData sheetId="5">
        <row r="8">
          <cell r="E8">
            <v>209.22839714539313</v>
          </cell>
        </row>
      </sheetData>
      <sheetData sheetId="6"/>
      <sheetData sheetId="7">
        <row r="27">
          <cell r="H27">
            <v>241009</v>
          </cell>
        </row>
        <row r="28">
          <cell r="H28">
            <v>23910.05</v>
          </cell>
        </row>
        <row r="29">
          <cell r="H29">
            <v>899.9</v>
          </cell>
        </row>
        <row r="33">
          <cell r="H33">
            <v>504.9</v>
          </cell>
        </row>
        <row r="38">
          <cell r="H38">
            <v>22.642857142857146</v>
          </cell>
        </row>
        <row r="39">
          <cell r="H39">
            <v>310.30107557935202</v>
          </cell>
        </row>
        <row r="167">
          <cell r="H167">
            <v>2515.4345574270624</v>
          </cell>
        </row>
        <row r="184">
          <cell r="H184">
            <v>0.27904260881884541</v>
          </cell>
        </row>
      </sheetData>
      <sheetData sheetId="8">
        <row r="28">
          <cell r="H28">
            <v>148262</v>
          </cell>
        </row>
        <row r="29">
          <cell r="H29">
            <v>13384.748046875</v>
          </cell>
        </row>
        <row r="30">
          <cell r="H30">
            <v>718.9</v>
          </cell>
        </row>
        <row r="34">
          <cell r="H34">
            <v>322.89999999999998</v>
          </cell>
        </row>
        <row r="38">
          <cell r="H38">
            <v>18.642857142857142</v>
          </cell>
        </row>
        <row r="40">
          <cell r="H40">
            <v>225.37564323999999</v>
          </cell>
        </row>
        <row r="175">
          <cell r="H175">
            <v>938.88220284582212</v>
          </cell>
        </row>
        <row r="192">
          <cell r="H192">
            <v>0.23700610943483258</v>
          </cell>
        </row>
      </sheetData>
      <sheetData sheetId="9">
        <row r="5">
          <cell r="I5">
            <v>559.94210549052355</v>
          </cell>
        </row>
      </sheetData>
      <sheetData sheetId="10"/>
      <sheetData sheetId="11"/>
      <sheetData sheetId="12"/>
      <sheetData sheetId="13"/>
      <sheetData sheetId="14"/>
      <sheetData sheetId="15"/>
      <sheetData sheetId="16"/>
      <sheetData sheetId="17"/>
      <sheetData sheetId="18"/>
      <sheetData sheetId="19"/>
      <sheetData sheetId="20">
        <row r="18">
          <cell r="F18">
            <v>3.4649999999999999</v>
          </cell>
        </row>
      </sheetData>
      <sheetData sheetId="21"/>
      <sheetData sheetId="22"/>
      <sheetData sheetId="23">
        <row r="8">
          <cell r="D8">
            <v>1.823666666666667</v>
          </cell>
        </row>
      </sheetData>
      <sheetData sheetId="24"/>
      <sheetData sheetId="25"/>
      <sheetData sheetId="2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1023.7610444451599</v>
          </cell>
        </row>
      </sheetData>
      <sheetData sheetId="3">
        <row r="8">
          <cell r="E8">
            <v>800.08218112930058</v>
          </cell>
        </row>
      </sheetData>
      <sheetData sheetId="4"/>
      <sheetData sheetId="5">
        <row r="8">
          <cell r="E8">
            <v>223.6788633158593</v>
          </cell>
        </row>
      </sheetData>
      <sheetData sheetId="6"/>
      <sheetData sheetId="7">
        <row r="27">
          <cell r="H27">
            <v>263887</v>
          </cell>
        </row>
        <row r="28">
          <cell r="H28">
            <v>24693.587499999998</v>
          </cell>
        </row>
        <row r="29">
          <cell r="H29">
            <v>912.9</v>
          </cell>
        </row>
        <row r="33">
          <cell r="H33">
            <v>524.9</v>
          </cell>
        </row>
        <row r="38">
          <cell r="H38">
            <v>23.214285714285719</v>
          </cell>
        </row>
        <row r="39">
          <cell r="H39">
            <v>310.30107557935202</v>
          </cell>
        </row>
        <row r="167">
          <cell r="H167">
            <v>2737.6812875395317</v>
          </cell>
        </row>
        <row r="184">
          <cell r="H184">
            <v>0.29238543878516726</v>
          </cell>
        </row>
      </sheetData>
      <sheetData sheetId="8">
        <row r="28">
          <cell r="I28">
            <v>159456</v>
          </cell>
        </row>
        <row r="29">
          <cell r="I29">
            <v>13712.223046874999</v>
          </cell>
        </row>
        <row r="30">
          <cell r="I30">
            <v>729.4</v>
          </cell>
        </row>
        <row r="34">
          <cell r="I34">
            <v>340.4</v>
          </cell>
        </row>
        <row r="38">
          <cell r="I38">
            <v>19.071428571428573</v>
          </cell>
        </row>
        <row r="40">
          <cell r="I40">
            <v>225.37564323999999</v>
          </cell>
        </row>
        <row r="177">
          <cell r="I177">
            <v>1004.799392013652</v>
          </cell>
        </row>
        <row r="194">
          <cell r="I194">
            <v>0.24833890277615869</v>
          </cell>
        </row>
      </sheetData>
      <sheetData sheetId="9">
        <row r="5">
          <cell r="I5">
            <v>584.99294730190331</v>
          </cell>
        </row>
      </sheetData>
      <sheetData sheetId="10"/>
      <sheetData sheetId="11"/>
      <sheetData sheetId="12"/>
      <sheetData sheetId="13"/>
      <sheetData sheetId="14"/>
      <sheetData sheetId="15"/>
      <sheetData sheetId="16"/>
      <sheetData sheetId="17"/>
      <sheetData sheetId="18"/>
      <sheetData sheetId="19"/>
      <sheetData sheetId="20">
        <row r="18">
          <cell r="F18">
            <v>3.6619999999999995</v>
          </cell>
        </row>
      </sheetData>
      <sheetData sheetId="21"/>
      <sheetData sheetId="22"/>
      <sheetData sheetId="23">
        <row r="8">
          <cell r="D8">
            <v>1.823666666666667</v>
          </cell>
        </row>
      </sheetData>
      <sheetData sheetId="24"/>
      <sheetData sheetId="25"/>
      <sheetData sheetId="2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sheetData sheetId="3"/>
      <sheetData sheetId="4"/>
      <sheetData sheetId="5"/>
      <sheetData sheetId="6"/>
      <sheetData sheetId="7">
        <row r="27">
          <cell r="H27">
            <v>301902</v>
          </cell>
        </row>
        <row r="28">
          <cell r="H28">
            <v>25428.587499999998</v>
          </cell>
        </row>
        <row r="29">
          <cell r="H29">
            <v>950.78535000000011</v>
          </cell>
        </row>
        <row r="33">
          <cell r="H33">
            <v>554.92427999999984</v>
          </cell>
        </row>
        <row r="38">
          <cell r="H38">
            <v>24.985714285714288</v>
          </cell>
        </row>
        <row r="39">
          <cell r="H39">
            <v>324.96031899187176</v>
          </cell>
        </row>
        <row r="167">
          <cell r="H167">
            <v>3101.2732735967134</v>
          </cell>
        </row>
        <row r="184">
          <cell r="H184">
            <v>0.29912890586577806</v>
          </cell>
        </row>
      </sheetData>
      <sheetData sheetId="8">
        <row r="28">
          <cell r="I28">
            <v>171938</v>
          </cell>
        </row>
        <row r="29">
          <cell r="I29">
            <v>14299.742708333331</v>
          </cell>
        </row>
        <row r="30">
          <cell r="I30">
            <v>759.67010000000005</v>
          </cell>
        </row>
        <row r="34">
          <cell r="I34">
            <v>359.87087999999994</v>
          </cell>
        </row>
        <row r="38">
          <cell r="I38">
            <v>19.38571428571429</v>
          </cell>
        </row>
        <row r="40">
          <cell r="I40">
            <v>236.02283937794408</v>
          </cell>
        </row>
        <row r="177">
          <cell r="I177">
            <v>1079.811531905041</v>
          </cell>
        </row>
        <row r="194">
          <cell r="I194">
            <v>0.2526298106191584</v>
          </cell>
        </row>
      </sheetData>
      <sheetData sheetId="9">
        <row r="5">
          <cell r="I5">
            <v>592.0252538959553</v>
          </cell>
        </row>
      </sheetData>
      <sheetData sheetId="10"/>
      <sheetData sheetId="11"/>
      <sheetData sheetId="12"/>
      <sheetData sheetId="13"/>
      <sheetData sheetId="14"/>
      <sheetData sheetId="15"/>
      <sheetData sheetId="16"/>
      <sheetData sheetId="17"/>
      <sheetData sheetId="18"/>
      <sheetData sheetId="19"/>
      <sheetData sheetId="20">
        <row r="18">
          <cell r="F18">
            <v>3.23</v>
          </cell>
        </row>
      </sheetData>
      <sheetData sheetId="21"/>
      <sheetData sheetId="22"/>
      <sheetData sheetId="23">
        <row r="8">
          <cell r="D8">
            <v>1.823666666666667</v>
          </cell>
        </row>
      </sheetData>
      <sheetData sheetId="24"/>
      <sheetData sheetId="25"/>
      <sheetData sheetId="2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679.776777106807</v>
          </cell>
        </row>
      </sheetData>
      <sheetData sheetId="3">
        <row r="8">
          <cell r="E8">
            <v>540.86019003852107</v>
          </cell>
        </row>
      </sheetData>
      <sheetData sheetId="4"/>
      <sheetData sheetId="5">
        <row r="8">
          <cell r="E8">
            <v>138.91658706828591</v>
          </cell>
        </row>
      </sheetData>
      <sheetData sheetId="6"/>
      <sheetData sheetId="7">
        <row r="27">
          <cell r="H27">
            <v>209582.75</v>
          </cell>
        </row>
        <row r="28">
          <cell r="H28">
            <v>23414</v>
          </cell>
        </row>
        <row r="29">
          <cell r="H29">
            <v>791.66666666666663</v>
          </cell>
        </row>
        <row r="33">
          <cell r="H33">
            <v>485.47500000000002</v>
          </cell>
        </row>
        <row r="38">
          <cell r="H38">
            <v>18.671428571428574</v>
          </cell>
        </row>
        <row r="39">
          <cell r="H39">
            <v>224</v>
          </cell>
        </row>
        <row r="159">
          <cell r="H159">
            <v>2207.8862355035403</v>
          </cell>
        </row>
        <row r="176">
          <cell r="H176">
            <v>0.19631153417962496</v>
          </cell>
        </row>
      </sheetData>
      <sheetData sheetId="8">
        <row r="28">
          <cell r="H28">
            <v>110553.2</v>
          </cell>
        </row>
        <row r="29">
          <cell r="H29">
            <v>12405.125</v>
          </cell>
        </row>
        <row r="30">
          <cell r="H30">
            <v>675</v>
          </cell>
        </row>
        <row r="34">
          <cell r="H34">
            <v>304.47500000000002</v>
          </cell>
        </row>
        <row r="38">
          <cell r="H38">
            <v>15.957142857142859</v>
          </cell>
        </row>
        <row r="40">
          <cell r="H40">
            <v>166</v>
          </cell>
        </row>
        <row r="166">
          <cell r="H166">
            <v>713.71472371836001</v>
          </cell>
        </row>
        <row r="183">
          <cell r="H183">
            <v>0.16673809476638543</v>
          </cell>
        </row>
      </sheetData>
      <sheetData sheetId="9">
        <row r="5">
          <cell r="I5">
            <v>403.69910343022531</v>
          </cell>
        </row>
      </sheetData>
      <sheetData sheetId="10"/>
      <sheetData sheetId="11"/>
      <sheetData sheetId="12"/>
      <sheetData sheetId="13"/>
      <sheetData sheetId="14"/>
      <sheetData sheetId="15"/>
      <sheetData sheetId="16"/>
      <sheetData sheetId="17"/>
      <sheetData sheetId="18"/>
      <sheetData sheetId="19"/>
      <sheetData sheetId="20">
        <row r="18">
          <cell r="F18">
            <v>2.1390000000000002</v>
          </cell>
        </row>
      </sheetData>
      <sheetData sheetId="21"/>
      <sheetData sheetId="22"/>
      <sheetData sheetId="23">
        <row r="9">
          <cell r="D9">
            <v>4.1020000000000003</v>
          </cell>
        </row>
      </sheetData>
      <sheetData sheetId="24"/>
      <sheetData sheetId="25"/>
      <sheetData sheetId="2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730.58482930872606</v>
          </cell>
        </row>
      </sheetData>
      <sheetData sheetId="3">
        <row r="8">
          <cell r="E8">
            <v>580.60878411459942</v>
          </cell>
        </row>
      </sheetData>
      <sheetData sheetId="4"/>
      <sheetData sheetId="5">
        <row r="8">
          <cell r="E8">
            <v>149.9760451941267</v>
          </cell>
        </row>
      </sheetData>
      <sheetData sheetId="6"/>
      <sheetData sheetId="7">
        <row r="27">
          <cell r="H27">
            <v>210625</v>
          </cell>
        </row>
        <row r="28">
          <cell r="H28">
            <v>22801.5</v>
          </cell>
        </row>
        <row r="29">
          <cell r="H29">
            <v>806.66666666666663</v>
          </cell>
        </row>
        <row r="33">
          <cell r="H33">
            <v>486.66666666666669</v>
          </cell>
        </row>
        <row r="38">
          <cell r="H38">
            <v>20.014285714285716</v>
          </cell>
        </row>
        <row r="39">
          <cell r="H39">
            <v>238</v>
          </cell>
        </row>
        <row r="159">
          <cell r="H159">
            <v>2211.3122750741145</v>
          </cell>
        </row>
        <row r="176">
          <cell r="H176">
            <v>0.20999759919865726</v>
          </cell>
        </row>
      </sheetData>
      <sheetData sheetId="8">
        <row r="28">
          <cell r="H28">
            <v>116333.2</v>
          </cell>
        </row>
        <row r="29">
          <cell r="H29">
            <v>12405.125</v>
          </cell>
        </row>
        <row r="30">
          <cell r="H30">
            <v>690</v>
          </cell>
        </row>
        <row r="34">
          <cell r="H34">
            <v>312.2833333333333</v>
          </cell>
        </row>
        <row r="38">
          <cell r="H38">
            <v>16.442857142857143</v>
          </cell>
        </row>
        <row r="166">
          <cell r="H166">
            <v>746.65192443902663</v>
          </cell>
        </row>
        <row r="183">
          <cell r="H183">
            <v>0.17836241636143907</v>
          </cell>
        </row>
      </sheetData>
      <sheetData sheetId="9">
        <row r="5">
          <cell r="I5">
            <v>435.83294971734841</v>
          </cell>
        </row>
      </sheetData>
      <sheetData sheetId="10"/>
      <sheetData sheetId="11"/>
      <sheetData sheetId="12"/>
      <sheetData sheetId="13"/>
      <sheetData sheetId="14"/>
      <sheetData sheetId="15"/>
      <sheetData sheetId="16"/>
      <sheetData sheetId="17"/>
      <sheetData sheetId="18"/>
      <sheetData sheetId="19"/>
      <sheetData sheetId="20">
        <row r="18">
          <cell r="F18">
            <v>2.4409999999999998</v>
          </cell>
        </row>
      </sheetData>
      <sheetData sheetId="21"/>
      <sheetData sheetId="22"/>
      <sheetData sheetId="23">
        <row r="9">
          <cell r="D9">
            <v>3.8880000000000003</v>
          </cell>
        </row>
      </sheetData>
      <sheetData sheetId="24"/>
      <sheetData sheetId="25"/>
      <sheetData sheetId="2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 val="RESUMOr_FARMA"/>
      <sheetName val="Generalidades_FARMA"/>
      <sheetName val="Fracionada_FARMA"/>
    </sheetNames>
    <sheetDataSet>
      <sheetData sheetId="0"/>
      <sheetData sheetId="1"/>
      <sheetData sheetId="2">
        <row r="20">
          <cell r="D20">
            <v>746.60810326011074</v>
          </cell>
        </row>
      </sheetData>
      <sheetData sheetId="3">
        <row r="8">
          <cell r="E8">
            <v>590.80914958491769</v>
          </cell>
        </row>
      </sheetData>
      <sheetData sheetId="4"/>
      <sheetData sheetId="5">
        <row r="8">
          <cell r="E8">
            <v>155.7989536751931</v>
          </cell>
        </row>
      </sheetData>
      <sheetData sheetId="6"/>
      <sheetData sheetId="7">
        <row r="27">
          <cell r="H27">
            <v>202025</v>
          </cell>
        </row>
        <row r="28">
          <cell r="H28">
            <v>22696</v>
          </cell>
        </row>
        <row r="29">
          <cell r="H29">
            <v>777.5</v>
          </cell>
        </row>
        <row r="33">
          <cell r="H33">
            <v>489.66666666666669</v>
          </cell>
        </row>
        <row r="38">
          <cell r="H38">
            <v>20.228571428571431</v>
          </cell>
        </row>
        <row r="39">
          <cell r="H39">
            <v>241.97799999999998</v>
          </cell>
        </row>
        <row r="40">
          <cell r="H40">
            <v>2640.631596660091</v>
          </cell>
        </row>
        <row r="159">
          <cell r="H159">
            <v>2129.7658985001353</v>
          </cell>
        </row>
        <row r="176">
          <cell r="H176">
            <v>0.22271798372810075</v>
          </cell>
        </row>
      </sheetData>
      <sheetData sheetId="8">
        <row r="29">
          <cell r="H29">
            <v>12434.875</v>
          </cell>
        </row>
        <row r="30">
          <cell r="H30">
            <v>690</v>
          </cell>
        </row>
        <row r="34">
          <cell r="H34">
            <v>297.96666666666664</v>
          </cell>
        </row>
        <row r="38">
          <cell r="H38">
            <v>16.585714285714285</v>
          </cell>
        </row>
        <row r="40">
          <cell r="H40">
            <v>171.99799999999999</v>
          </cell>
        </row>
        <row r="41">
          <cell r="H41">
            <v>2611.1222108316679</v>
          </cell>
        </row>
        <row r="42">
          <cell r="H42">
            <v>1779.6157254864452</v>
          </cell>
        </row>
        <row r="166">
          <cell r="H166">
            <v>793.64600504583348</v>
          </cell>
        </row>
        <row r="183">
          <cell r="H183">
            <v>0.18916653283884646</v>
          </cell>
        </row>
      </sheetData>
      <sheetData sheetId="9">
        <row r="5">
          <cell r="I5">
            <v>437.28414668099015</v>
          </cell>
        </row>
      </sheetData>
      <sheetData sheetId="10"/>
      <sheetData sheetId="11"/>
      <sheetData sheetId="12"/>
      <sheetData sheetId="13"/>
      <sheetData sheetId="14"/>
      <sheetData sheetId="15"/>
      <sheetData sheetId="16"/>
      <sheetData sheetId="17"/>
      <sheetData sheetId="18"/>
      <sheetData sheetId="19"/>
      <sheetData sheetId="20">
        <row r="18">
          <cell r="F18">
            <v>2.61</v>
          </cell>
        </row>
      </sheetData>
      <sheetData sheetId="21"/>
      <sheetData sheetId="22"/>
      <sheetData sheetId="23">
        <row r="8">
          <cell r="D8">
            <v>3.3914285714285719</v>
          </cell>
        </row>
      </sheetData>
      <sheetData sheetId="24"/>
      <sheetData sheetId="25"/>
      <sheetData sheetId="26"/>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8"/>
      <sheetName val="fev-18"/>
      <sheetName val="mar-18"/>
      <sheetName val="abr-18"/>
      <sheetName val="mai-18"/>
      <sheetName val="jun-18"/>
      <sheetName val="jul-18"/>
      <sheetName val="ago-18"/>
      <sheetName val="set-18"/>
      <sheetName val="out-18"/>
      <sheetName val="nov-18"/>
      <sheetName val="dez-18"/>
      <sheetName val="ago-17"/>
      <sheetName val="jan-19"/>
    </sheetNames>
    <sheetDataSet>
      <sheetData sheetId="0">
        <row r="9">
          <cell r="B9">
            <v>3.3809999999999998</v>
          </cell>
        </row>
      </sheetData>
      <sheetData sheetId="1">
        <row r="9">
          <cell r="B9">
            <v>3.3829999999999996</v>
          </cell>
        </row>
      </sheetData>
      <sheetData sheetId="2">
        <row r="9">
          <cell r="B9">
            <v>3.3909999999999991</v>
          </cell>
        </row>
      </sheetData>
      <sheetData sheetId="3">
        <row r="9">
          <cell r="B9">
            <v>3.4710000000000001</v>
          </cell>
        </row>
      </sheetData>
      <sheetData sheetId="4">
        <row r="9">
          <cell r="B9">
            <v>3.7879999999999998</v>
          </cell>
        </row>
      </sheetData>
      <sheetData sheetId="5">
        <row r="9">
          <cell r="B9">
            <v>3.3889999999999998</v>
          </cell>
        </row>
      </sheetData>
      <sheetData sheetId="6">
        <row r="9">
          <cell r="B9">
            <v>3.3780000000000001</v>
          </cell>
        </row>
      </sheetData>
      <sheetData sheetId="7">
        <row r="9">
          <cell r="B9">
            <v>3.3709999999999996</v>
          </cell>
        </row>
      </sheetData>
      <sheetData sheetId="8">
        <row r="9">
          <cell r="B9">
            <v>3.6550000000000002</v>
          </cell>
        </row>
      </sheetData>
      <sheetData sheetId="9">
        <row r="9">
          <cell r="B9">
            <v>3.7210000000000001</v>
          </cell>
        </row>
      </sheetData>
      <sheetData sheetId="10">
        <row r="9">
          <cell r="B9">
            <v>3.6499999999999995</v>
          </cell>
        </row>
      </sheetData>
      <sheetData sheetId="11">
        <row r="9">
          <cell r="B9">
            <v>3.4510000000000001</v>
          </cell>
        </row>
      </sheetData>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826.89430782732643</v>
          </cell>
        </row>
      </sheetData>
      <sheetData sheetId="3">
        <row r="8">
          <cell r="E8">
            <v>649.60388666703193</v>
          </cell>
        </row>
      </sheetData>
      <sheetData sheetId="4"/>
      <sheetData sheetId="5">
        <row r="8">
          <cell r="E8">
            <v>177.29042116029456</v>
          </cell>
        </row>
      </sheetData>
      <sheetData sheetId="6"/>
      <sheetData sheetId="7">
        <row r="27">
          <cell r="H27">
            <v>201162</v>
          </cell>
        </row>
        <row r="28">
          <cell r="H28">
            <v>22696</v>
          </cell>
        </row>
        <row r="29">
          <cell r="H29">
            <v>829.5</v>
          </cell>
        </row>
        <row r="33">
          <cell r="H33">
            <v>469.22500000000002</v>
          </cell>
        </row>
        <row r="38">
          <cell r="H38">
            <v>20.628571428571433</v>
          </cell>
        </row>
        <row r="39">
          <cell r="H39">
            <v>262.93799999999999</v>
          </cell>
        </row>
        <row r="166">
          <cell r="H166">
            <v>2129.4524904938694</v>
          </cell>
        </row>
        <row r="183">
          <cell r="H183">
            <v>0.24346183814428701</v>
          </cell>
        </row>
      </sheetData>
      <sheetData sheetId="8">
        <row r="28">
          <cell r="H28">
            <v>131562</v>
          </cell>
        </row>
        <row r="29">
          <cell r="H29">
            <v>12472.375</v>
          </cell>
        </row>
        <row r="30">
          <cell r="H30">
            <v>670</v>
          </cell>
        </row>
        <row r="34">
          <cell r="H34">
            <v>293.45</v>
          </cell>
        </row>
        <row r="38">
          <cell r="H38">
            <v>17.057142857142857</v>
          </cell>
        </row>
        <row r="40">
          <cell r="H40">
            <v>190.97800000000001</v>
          </cell>
        </row>
        <row r="174">
          <cell r="H174">
            <v>837.67568593800013</v>
          </cell>
        </row>
        <row r="191">
          <cell r="H191">
            <v>0.20678541997107866</v>
          </cell>
        </row>
      </sheetData>
      <sheetData sheetId="9">
        <row r="5">
          <cell r="I5">
            <v>486.2234470421991</v>
          </cell>
        </row>
      </sheetData>
      <sheetData sheetId="10"/>
      <sheetData sheetId="11"/>
      <sheetData sheetId="12"/>
      <sheetData sheetId="13"/>
      <sheetData sheetId="14"/>
      <sheetData sheetId="15"/>
      <sheetData sheetId="16"/>
      <sheetData sheetId="17"/>
      <sheetData sheetId="18"/>
      <sheetData sheetId="19"/>
      <sheetData sheetId="20">
        <row r="18">
          <cell r="F18">
            <v>2.9520000000000004</v>
          </cell>
        </row>
      </sheetData>
      <sheetData sheetId="21"/>
      <sheetData sheetId="22"/>
      <sheetData sheetId="23">
        <row r="8">
          <cell r="D8">
            <v>3.0158333333333336</v>
          </cell>
        </row>
      </sheetData>
      <sheetData sheetId="24"/>
      <sheetData sheetId="25"/>
      <sheetData sheetId="2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908.02041165635433</v>
          </cell>
        </row>
      </sheetData>
      <sheetData sheetId="3">
        <row r="8">
          <cell r="E8">
            <v>710.4907069216282</v>
          </cell>
        </row>
      </sheetData>
      <sheetData sheetId="4"/>
      <sheetData sheetId="5">
        <row r="8">
          <cell r="E8">
            <v>197.52970473472618</v>
          </cell>
        </row>
      </sheetData>
      <sheetData sheetId="6"/>
      <sheetData sheetId="7">
        <row r="27">
          <cell r="H27">
            <v>200160</v>
          </cell>
        </row>
        <row r="28">
          <cell r="H28">
            <v>23141.3</v>
          </cell>
        </row>
        <row r="29">
          <cell r="H29">
            <v>839.95</v>
          </cell>
        </row>
        <row r="33">
          <cell r="H33">
            <v>474.20000000000005</v>
          </cell>
        </row>
        <row r="38">
          <cell r="H38">
            <v>21.142857142857146</v>
          </cell>
        </row>
        <row r="39">
          <cell r="H39">
            <v>285.02479199999999</v>
          </cell>
        </row>
        <row r="167">
          <cell r="H167">
            <v>2124.774261156947</v>
          </cell>
        </row>
        <row r="184">
          <cell r="H184">
            <v>0.26657349697523197</v>
          </cell>
        </row>
      </sheetData>
      <sheetData sheetId="8">
        <row r="28">
          <cell r="H28">
            <v>135217</v>
          </cell>
        </row>
        <row r="29">
          <cell r="H29">
            <v>12782.648046875</v>
          </cell>
        </row>
        <row r="30">
          <cell r="H30">
            <v>690</v>
          </cell>
        </row>
        <row r="34">
          <cell r="H34">
            <v>303.42499999999995</v>
          </cell>
        </row>
        <row r="38">
          <cell r="H38">
            <v>17.442857142857143</v>
          </cell>
        </row>
        <row r="40">
          <cell r="H40">
            <v>207.020152</v>
          </cell>
        </row>
        <row r="175">
          <cell r="H175">
            <v>860.57752633970551</v>
          </cell>
        </row>
        <row r="192">
          <cell r="H192">
            <v>0.2264154125564172</v>
          </cell>
        </row>
      </sheetData>
      <sheetData sheetId="9">
        <row r="5">
          <cell r="I5">
            <v>526.71795507948264</v>
          </cell>
        </row>
      </sheetData>
      <sheetData sheetId="10"/>
      <sheetData sheetId="11"/>
      <sheetData sheetId="12"/>
      <sheetData sheetId="13"/>
      <sheetData sheetId="14"/>
      <sheetData sheetId="15"/>
      <sheetData sheetId="16"/>
      <sheetData sheetId="17"/>
      <sheetData sheetId="18"/>
      <sheetData sheetId="19"/>
      <sheetData sheetId="20">
        <row r="18">
          <cell r="F18">
            <v>3.1520000000000006</v>
          </cell>
        </row>
      </sheetData>
      <sheetData sheetId="21"/>
      <sheetData sheetId="22"/>
      <sheetData sheetId="23">
        <row r="8">
          <cell r="D8">
            <v>2.4578333333333338</v>
          </cell>
        </row>
      </sheetData>
      <sheetData sheetId="24"/>
      <sheetData sheetId="25"/>
      <sheetData sheetId="2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930.08880745567967</v>
          </cell>
        </row>
      </sheetData>
      <sheetData sheetId="3">
        <row r="8">
          <cell r="E8">
            <v>730.92578491022482</v>
          </cell>
        </row>
      </sheetData>
      <sheetData sheetId="4"/>
      <sheetData sheetId="5">
        <row r="8">
          <cell r="E8">
            <v>199.16302254545485</v>
          </cell>
        </row>
      </sheetData>
      <sheetData sheetId="6"/>
      <sheetData sheetId="7">
        <row r="27">
          <cell r="H27">
            <v>235642</v>
          </cell>
        </row>
        <row r="28">
          <cell r="H28">
            <v>23165.05</v>
          </cell>
        </row>
        <row r="29">
          <cell r="H29">
            <v>862.4</v>
          </cell>
        </row>
        <row r="33">
          <cell r="H33">
            <v>484.70000000000005</v>
          </cell>
        </row>
        <row r="38">
          <cell r="H38">
            <v>21.485714285714288</v>
          </cell>
        </row>
        <row r="39">
          <cell r="H39">
            <v>285.02479199999999</v>
          </cell>
        </row>
        <row r="167">
          <cell r="H167">
            <v>2457.1800681240952</v>
          </cell>
        </row>
        <row r="184">
          <cell r="H184">
            <v>0.27338846790260257</v>
          </cell>
        </row>
      </sheetData>
      <sheetData sheetId="8">
        <row r="28">
          <cell r="H28">
            <v>148251</v>
          </cell>
        </row>
        <row r="29">
          <cell r="H29">
            <v>12832.648046875</v>
          </cell>
        </row>
        <row r="30">
          <cell r="H30">
            <v>699.9</v>
          </cell>
        </row>
        <row r="34">
          <cell r="H34">
            <v>309.39999999999998</v>
          </cell>
        </row>
        <row r="38">
          <cell r="H38">
            <v>17.642857142857142</v>
          </cell>
        </row>
        <row r="40">
          <cell r="H40">
            <v>207.020152</v>
          </cell>
        </row>
        <row r="175">
          <cell r="H175">
            <v>935.22373911447539</v>
          </cell>
        </row>
        <row r="192">
          <cell r="H192">
            <v>0.23220373912146944</v>
          </cell>
        </row>
      </sheetData>
      <sheetData sheetId="9">
        <row r="5">
          <cell r="I5">
            <v>544.61459102600861</v>
          </cell>
        </row>
      </sheetData>
      <sheetData sheetId="10"/>
      <sheetData sheetId="11"/>
      <sheetData sheetId="12"/>
      <sheetData sheetId="13"/>
      <sheetData sheetId="14"/>
      <sheetData sheetId="15"/>
      <sheetData sheetId="16"/>
      <sheetData sheetId="17"/>
      <sheetData sheetId="18"/>
      <sheetData sheetId="19"/>
      <sheetData sheetId="20">
        <row r="18">
          <cell r="F18">
            <v>3.1849999999999996</v>
          </cell>
        </row>
      </sheetData>
      <sheetData sheetId="21"/>
      <sheetData sheetId="22"/>
      <sheetData sheetId="23">
        <row r="8">
          <cell r="D8">
            <v>2.3911666666666673</v>
          </cell>
        </row>
      </sheetData>
      <sheetData sheetId="24"/>
      <sheetData sheetId="25"/>
      <sheetData sheetId="2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972.39725001051852</v>
          </cell>
        </row>
      </sheetData>
      <sheetData sheetId="3">
        <row r="8">
          <cell r="E8">
            <v>761.15732967473389</v>
          </cell>
        </row>
      </sheetData>
      <sheetData sheetId="4"/>
      <sheetData sheetId="5">
        <row r="8">
          <cell r="E8">
            <v>211.23992033578463</v>
          </cell>
        </row>
      </sheetData>
      <sheetData sheetId="6"/>
      <sheetData sheetId="7">
        <row r="27">
          <cell r="H27">
            <v>243375</v>
          </cell>
        </row>
        <row r="28">
          <cell r="H28">
            <v>23910.05</v>
          </cell>
        </row>
        <row r="29">
          <cell r="H29">
            <v>899.9</v>
          </cell>
        </row>
        <row r="33">
          <cell r="H33">
            <v>504.9</v>
          </cell>
        </row>
        <row r="38">
          <cell r="H38">
            <v>22.642857142857146</v>
          </cell>
        </row>
        <row r="39">
          <cell r="H39">
            <v>310.30107557935202</v>
          </cell>
        </row>
        <row r="167">
          <cell r="H167">
            <v>2537.5695825860344</v>
          </cell>
        </row>
        <row r="184">
          <cell r="H184">
            <v>0.2830329181249549</v>
          </cell>
        </row>
      </sheetData>
      <sheetData sheetId="8">
        <row r="28">
          <cell r="I28">
            <v>146516</v>
          </cell>
        </row>
        <row r="29">
          <cell r="I29">
            <v>13384.748046875</v>
          </cell>
        </row>
        <row r="30">
          <cell r="I30">
            <v>718.9</v>
          </cell>
        </row>
        <row r="34">
          <cell r="I34">
            <v>322.89999999999998</v>
          </cell>
        </row>
        <row r="38">
          <cell r="H38">
            <v>18.642857142857142</v>
          </cell>
        </row>
        <row r="40">
          <cell r="I40">
            <v>225.37564323999999</v>
          </cell>
        </row>
        <row r="177">
          <cell r="I177">
            <v>928.93266089802216</v>
          </cell>
        </row>
        <row r="194">
          <cell r="I194">
            <v>0.24039529679975069</v>
          </cell>
        </row>
      </sheetData>
      <sheetData sheetId="9">
        <row r="5">
          <cell r="I5">
            <v>560.12570737093665</v>
          </cell>
        </row>
      </sheetData>
      <sheetData sheetId="10"/>
      <sheetData sheetId="11"/>
      <sheetData sheetId="12"/>
      <sheetData sheetId="13"/>
      <sheetData sheetId="14"/>
      <sheetData sheetId="15"/>
      <sheetData sheetId="16"/>
      <sheetData sheetId="17"/>
      <sheetData sheetId="18"/>
      <sheetData sheetId="19"/>
      <sheetData sheetId="20">
        <row r="18">
          <cell r="F18">
            <v>3.456</v>
          </cell>
        </row>
      </sheetData>
      <sheetData sheetId="21"/>
      <sheetData sheetId="22"/>
      <sheetData sheetId="23">
        <row r="8">
          <cell r="D8">
            <v>1.823666666666667</v>
          </cell>
        </row>
      </sheetData>
      <sheetData sheetId="24"/>
      <sheetData sheetId="25"/>
      <sheetData sheetId="2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1027.9655595396689</v>
          </cell>
        </row>
      </sheetData>
      <sheetData sheetId="3">
        <row r="8">
          <cell r="E8">
            <v>803.08191672976886</v>
          </cell>
        </row>
      </sheetData>
      <sheetData sheetId="4"/>
      <sheetData sheetId="5">
        <row r="8">
          <cell r="E8">
            <v>224.88364280989998</v>
          </cell>
        </row>
      </sheetData>
      <sheetData sheetId="6"/>
      <sheetData sheetId="7">
        <row r="27">
          <cell r="H27">
            <v>265006</v>
          </cell>
        </row>
        <row r="28">
          <cell r="H28">
            <v>24693.587499999998</v>
          </cell>
        </row>
        <row r="29">
          <cell r="H29">
            <v>912.9</v>
          </cell>
        </row>
        <row r="33">
          <cell r="H33">
            <v>524.9</v>
          </cell>
        </row>
        <row r="38">
          <cell r="H38">
            <v>23.214285714285719</v>
          </cell>
        </row>
        <row r="39">
          <cell r="H39">
            <v>324.96031899187176</v>
          </cell>
        </row>
        <row r="167">
          <cell r="H167">
            <v>2748.1500504951059</v>
          </cell>
        </row>
        <row r="184">
          <cell r="H184">
            <v>0.29241443941444989</v>
          </cell>
        </row>
      </sheetData>
      <sheetData sheetId="8">
        <row r="28">
          <cell r="I28">
            <v>161923</v>
          </cell>
        </row>
        <row r="29">
          <cell r="I29">
            <v>13712.223046874999</v>
          </cell>
        </row>
        <row r="30">
          <cell r="I30">
            <v>729.4</v>
          </cell>
        </row>
        <row r="34">
          <cell r="I34">
            <v>340.4</v>
          </cell>
        </row>
        <row r="38">
          <cell r="I38">
            <v>19.071428571428573</v>
          </cell>
        </row>
        <row r="40">
          <cell r="I40">
            <v>236.02283937794408</v>
          </cell>
        </row>
        <row r="177">
          <cell r="I177">
            <v>1018.8575363350855</v>
          </cell>
        </row>
        <row r="194">
          <cell r="I194">
            <v>0.24836353459259181</v>
          </cell>
        </row>
      </sheetData>
      <sheetData sheetId="9">
        <row r="5">
          <cell r="I5">
            <v>586.7605876819174</v>
          </cell>
        </row>
      </sheetData>
      <sheetData sheetId="10"/>
      <sheetData sheetId="11"/>
      <sheetData sheetId="12"/>
      <sheetData sheetId="13"/>
      <sheetData sheetId="14"/>
      <sheetData sheetId="15"/>
      <sheetData sheetId="16"/>
      <sheetData sheetId="17"/>
      <sheetData sheetId="18"/>
      <sheetData sheetId="19"/>
      <sheetData sheetId="20">
        <row r="18">
          <cell r="F18">
            <v>3.6230000000000007</v>
          </cell>
        </row>
      </sheetData>
      <sheetData sheetId="21"/>
      <sheetData sheetId="22"/>
      <sheetData sheetId="23">
        <row r="8">
          <cell r="D8">
            <v>1.7903333333333336</v>
          </cell>
        </row>
      </sheetData>
      <sheetData sheetId="24"/>
      <sheetData sheetId="25"/>
      <sheetData sheetId="2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sheetData sheetId="3"/>
      <sheetData sheetId="4"/>
      <sheetData sheetId="5"/>
      <sheetData sheetId="6"/>
      <sheetData sheetId="7">
        <row r="27">
          <cell r="H27">
            <v>302130</v>
          </cell>
        </row>
        <row r="28">
          <cell r="H28">
            <v>25428.587499999998</v>
          </cell>
        </row>
        <row r="29">
          <cell r="H29">
            <v>950.78535000000011</v>
          </cell>
        </row>
        <row r="33">
          <cell r="H33">
            <v>554.92427999999984</v>
          </cell>
        </row>
        <row r="38">
          <cell r="H38">
            <v>24.985714285714288</v>
          </cell>
        </row>
        <row r="39">
          <cell r="H39">
            <v>324.96031899187176</v>
          </cell>
        </row>
        <row r="167">
          <cell r="H167">
            <v>3103.4063191318983</v>
          </cell>
        </row>
        <row r="184">
          <cell r="H184">
            <v>0.30002633921041366</v>
          </cell>
        </row>
      </sheetData>
      <sheetData sheetId="8">
        <row r="28">
          <cell r="I28">
            <v>172063</v>
          </cell>
        </row>
        <row r="29">
          <cell r="I29">
            <v>14299.742708333331</v>
          </cell>
        </row>
        <row r="30">
          <cell r="I30">
            <v>759.67010000000005</v>
          </cell>
        </row>
        <row r="34">
          <cell r="I34">
            <v>359.87087999999994</v>
          </cell>
        </row>
        <row r="38">
          <cell r="I38">
            <v>19.38571428571429</v>
          </cell>
        </row>
        <row r="40">
          <cell r="I40">
            <v>236.02283937794408</v>
          </cell>
        </row>
        <row r="177">
          <cell r="I177">
            <v>1080.5238416092077</v>
          </cell>
        </row>
        <row r="194">
          <cell r="I194">
            <v>0.2533877394299579</v>
          </cell>
        </row>
      </sheetData>
      <sheetData sheetId="9">
        <row r="5">
          <cell r="I5">
            <v>594.18266068657317</v>
          </cell>
        </row>
      </sheetData>
      <sheetData sheetId="10"/>
      <sheetData sheetId="11"/>
      <sheetData sheetId="12"/>
      <sheetData sheetId="13"/>
      <sheetData sheetId="14"/>
      <sheetData sheetId="15"/>
      <sheetData sheetId="16"/>
      <sheetData sheetId="17"/>
      <sheetData sheetId="18"/>
      <sheetData sheetId="19"/>
      <sheetData sheetId="20">
        <row r="18">
          <cell r="F18">
            <v>3.4039999999999999</v>
          </cell>
        </row>
      </sheetData>
      <sheetData sheetId="21"/>
      <sheetData sheetId="22"/>
      <sheetData sheetId="23">
        <row r="8">
          <cell r="D8">
            <v>1.823666666666667</v>
          </cell>
        </row>
      </sheetData>
      <sheetData sheetId="24"/>
      <sheetData sheetId="25"/>
      <sheetData sheetId="2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683.34581898528586</v>
          </cell>
        </row>
      </sheetData>
      <sheetData sheetId="3">
        <row r="8">
          <cell r="E8">
            <v>542.90207533499665</v>
          </cell>
        </row>
      </sheetData>
      <sheetData sheetId="4"/>
      <sheetData sheetId="5">
        <row r="8">
          <cell r="E8">
            <v>140.44374365028926</v>
          </cell>
        </row>
      </sheetData>
      <sheetData sheetId="6"/>
      <sheetData sheetId="7">
        <row r="27">
          <cell r="H27">
            <v>209582.75</v>
          </cell>
        </row>
        <row r="28">
          <cell r="H28">
            <v>23414</v>
          </cell>
        </row>
        <row r="29">
          <cell r="H29">
            <v>791.66666666666663</v>
          </cell>
        </row>
        <row r="33">
          <cell r="H33">
            <v>485.47500000000002</v>
          </cell>
        </row>
        <row r="38">
          <cell r="H38">
            <v>18.671428571428574</v>
          </cell>
        </row>
        <row r="39">
          <cell r="H39">
            <v>224</v>
          </cell>
        </row>
        <row r="159">
          <cell r="H159">
            <v>2207.8862355035403</v>
          </cell>
        </row>
        <row r="176">
          <cell r="H176">
            <v>0.19715567377659735</v>
          </cell>
        </row>
      </sheetData>
      <sheetData sheetId="8">
        <row r="28">
          <cell r="H28">
            <v>110553.2</v>
          </cell>
        </row>
        <row r="29">
          <cell r="H29">
            <v>12405.125</v>
          </cell>
        </row>
        <row r="30">
          <cell r="H30">
            <v>675</v>
          </cell>
        </row>
        <row r="34">
          <cell r="H34">
            <v>304.47500000000002</v>
          </cell>
        </row>
        <row r="38">
          <cell r="H38">
            <v>15.957142857142859</v>
          </cell>
        </row>
        <row r="40">
          <cell r="H40">
            <v>166</v>
          </cell>
        </row>
        <row r="166">
          <cell r="H166">
            <v>713.71472371836001</v>
          </cell>
        </row>
        <row r="183">
          <cell r="H183">
            <v>0.16745506857388087</v>
          </cell>
        </row>
      </sheetData>
      <sheetData sheetId="9">
        <row r="5">
          <cell r="I5">
            <v>403.69910343022531</v>
          </cell>
        </row>
      </sheetData>
      <sheetData sheetId="10"/>
      <sheetData sheetId="11"/>
      <sheetData sheetId="12"/>
      <sheetData sheetId="13"/>
      <sheetData sheetId="14"/>
      <sheetData sheetId="15"/>
      <sheetData sheetId="16"/>
      <sheetData sheetId="17"/>
      <sheetData sheetId="18"/>
      <sheetData sheetId="19"/>
      <sheetData sheetId="20">
        <row r="18">
          <cell r="F18">
            <v>2.1471999999999993</v>
          </cell>
        </row>
      </sheetData>
      <sheetData sheetId="21"/>
      <sheetData sheetId="22"/>
      <sheetData sheetId="23">
        <row r="9">
          <cell r="D9">
            <v>4.1539999999999999</v>
          </cell>
        </row>
      </sheetData>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731.27301071841316</v>
          </cell>
        </row>
      </sheetData>
      <sheetData sheetId="3">
        <row r="8">
          <cell r="E8">
            <v>580.94214176501112</v>
          </cell>
        </row>
      </sheetData>
      <sheetData sheetId="4"/>
      <sheetData sheetId="5">
        <row r="8">
          <cell r="E8">
            <v>150.3308689534021</v>
          </cell>
        </row>
      </sheetData>
      <sheetData sheetId="6"/>
      <sheetData sheetId="7">
        <row r="27">
          <cell r="H27">
            <v>211125</v>
          </cell>
        </row>
        <row r="28">
          <cell r="H28">
            <v>22801.5</v>
          </cell>
        </row>
        <row r="29">
          <cell r="H29">
            <v>806.66666666666663</v>
          </cell>
        </row>
        <row r="33">
          <cell r="H33">
            <v>486.66666666666669</v>
          </cell>
        </row>
        <row r="38">
          <cell r="H38">
            <v>20.014285714285716</v>
          </cell>
        </row>
        <row r="39">
          <cell r="H39">
            <v>238</v>
          </cell>
        </row>
        <row r="159">
          <cell r="H159">
            <v>2215.9900065109218</v>
          </cell>
        </row>
        <row r="176">
          <cell r="H176">
            <v>0.20972460231969903</v>
          </cell>
        </row>
      </sheetData>
      <sheetData sheetId="8">
        <row r="28">
          <cell r="H28">
            <v>117500</v>
          </cell>
        </row>
        <row r="29">
          <cell r="H29">
            <v>12405.125</v>
          </cell>
        </row>
        <row r="30">
          <cell r="H30">
            <v>690</v>
          </cell>
        </row>
        <row r="34">
          <cell r="H34">
            <v>312.2833333333333</v>
          </cell>
        </row>
        <row r="38">
          <cell r="H38">
            <v>16.442857142857143</v>
          </cell>
        </row>
        <row r="166">
          <cell r="H166">
            <v>753.30090814159996</v>
          </cell>
        </row>
        <row r="183">
          <cell r="H183">
            <v>0.17813054522016922</v>
          </cell>
        </row>
      </sheetData>
      <sheetData sheetId="9">
        <row r="5">
          <cell r="I5">
            <v>435.83762819772915</v>
          </cell>
        </row>
      </sheetData>
      <sheetData sheetId="10"/>
      <sheetData sheetId="11"/>
      <sheetData sheetId="12"/>
      <sheetData sheetId="13"/>
      <sheetData sheetId="14"/>
      <sheetData sheetId="15"/>
      <sheetData sheetId="16"/>
      <sheetData sheetId="17"/>
      <sheetData sheetId="18"/>
      <sheetData sheetId="19"/>
      <sheetData sheetId="20">
        <row r="18">
          <cell r="F18">
            <v>2.4329999999999998</v>
          </cell>
        </row>
      </sheetData>
      <sheetData sheetId="21"/>
      <sheetData sheetId="22"/>
      <sheetData sheetId="23">
        <row r="9">
          <cell r="D9">
            <v>3.8880000000000003</v>
          </cell>
        </row>
      </sheetData>
      <sheetData sheetId="24"/>
      <sheetData sheetId="25"/>
      <sheetData sheetId="2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 val="RESUMOr_FARMA"/>
      <sheetName val="Generalidades_FARMA"/>
      <sheetName val="Fracionada_FARMA"/>
    </sheetNames>
    <sheetDataSet>
      <sheetData sheetId="0"/>
      <sheetData sheetId="1"/>
      <sheetData sheetId="2">
        <row r="20">
          <cell r="D20">
            <v>751.29269154650797</v>
          </cell>
        </row>
      </sheetData>
      <sheetData sheetId="3">
        <row r="8">
          <cell r="E8">
            <v>596.20665374614498</v>
          </cell>
        </row>
      </sheetData>
      <sheetData sheetId="4"/>
      <sheetData sheetId="5">
        <row r="8">
          <cell r="E8">
            <v>155.08603780036299</v>
          </cell>
        </row>
      </sheetData>
      <sheetData sheetId="6"/>
      <sheetData sheetId="7">
        <row r="27">
          <cell r="H27">
            <v>200183</v>
          </cell>
        </row>
        <row r="28">
          <cell r="H28">
            <v>22696</v>
          </cell>
        </row>
        <row r="29">
          <cell r="H29">
            <v>777.5</v>
          </cell>
        </row>
        <row r="33">
          <cell r="H33">
            <v>489.66666666666669</v>
          </cell>
        </row>
        <row r="38">
          <cell r="H38">
            <v>20.228571428571431</v>
          </cell>
        </row>
        <row r="39">
          <cell r="H39">
            <v>241.97799999999998</v>
          </cell>
        </row>
        <row r="40">
          <cell r="H40">
            <v>2640.631596660091</v>
          </cell>
        </row>
        <row r="159">
          <cell r="H159">
            <v>2112.5331358869371</v>
          </cell>
        </row>
        <row r="176">
          <cell r="H176">
            <v>0.2230075171069473</v>
          </cell>
        </row>
      </sheetData>
      <sheetData sheetId="8">
        <row r="28">
          <cell r="H28">
            <v>125200</v>
          </cell>
        </row>
        <row r="29">
          <cell r="H29">
            <v>12434.875</v>
          </cell>
        </row>
        <row r="30">
          <cell r="H30">
            <v>690</v>
          </cell>
        </row>
        <row r="34">
          <cell r="H34">
            <v>297.96666666666664</v>
          </cell>
        </row>
        <row r="38">
          <cell r="H38">
            <v>16.585714285714285</v>
          </cell>
        </row>
        <row r="40">
          <cell r="H40">
            <v>171.99799999999999</v>
          </cell>
        </row>
        <row r="41">
          <cell r="H41">
            <v>2611.1222108316679</v>
          </cell>
        </row>
        <row r="42">
          <cell r="H42">
            <v>1779.6157254864452</v>
          </cell>
        </row>
        <row r="166">
          <cell r="H166">
            <v>797.36711094040004</v>
          </cell>
        </row>
        <row r="183">
          <cell r="H183">
            <v>0.18941244933153698</v>
          </cell>
        </row>
      </sheetData>
      <sheetData sheetId="9">
        <row r="5">
          <cell r="I5">
            <v>445.00079987595001</v>
          </cell>
        </row>
      </sheetData>
      <sheetData sheetId="10"/>
      <sheetData sheetId="11"/>
      <sheetData sheetId="12"/>
      <sheetData sheetId="13"/>
      <sheetData sheetId="14"/>
      <sheetData sheetId="15"/>
      <sheetData sheetId="16"/>
      <sheetData sheetId="17"/>
      <sheetData sheetId="18"/>
      <sheetData sheetId="19"/>
      <sheetData sheetId="20">
        <row r="18">
          <cell r="F18">
            <v>2.6380000000000003</v>
          </cell>
        </row>
      </sheetData>
      <sheetData sheetId="21"/>
      <sheetData sheetId="22"/>
      <sheetData sheetId="23">
        <row r="8">
          <cell r="D8">
            <v>2.94</v>
          </cell>
        </row>
      </sheetData>
      <sheetData sheetId="24"/>
      <sheetData sheetId="25"/>
      <sheetData sheetId="26"/>
      <sheetData sheetId="27" refreshError="1"/>
      <sheetData sheetId="28" refreshError="1"/>
      <sheetData sheetId="2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827.71191303341709</v>
          </cell>
        </row>
      </sheetData>
      <sheetData sheetId="3">
        <row r="8">
          <cell r="E8">
            <v>649.93564533037193</v>
          </cell>
        </row>
      </sheetData>
      <sheetData sheetId="4"/>
      <sheetData sheetId="5">
        <row r="8">
          <cell r="E8">
            <v>177.77626770304516</v>
          </cell>
        </row>
      </sheetData>
      <sheetData sheetId="6"/>
      <sheetData sheetId="7">
        <row r="27">
          <cell r="H27">
            <v>199194</v>
          </cell>
        </row>
        <row r="28">
          <cell r="H28">
            <v>22696</v>
          </cell>
        </row>
        <row r="29">
          <cell r="H29">
            <v>829.5</v>
          </cell>
        </row>
        <row r="33">
          <cell r="H33">
            <v>469.22500000000002</v>
          </cell>
        </row>
        <row r="38">
          <cell r="H38">
            <v>20.75714285714286</v>
          </cell>
        </row>
        <row r="39">
          <cell r="H39">
            <v>262.93799999999999</v>
          </cell>
        </row>
        <row r="166">
          <cell r="H166">
            <v>2111.0409395585953</v>
          </cell>
        </row>
        <row r="183">
          <cell r="H183">
            <v>0.24487391680552389</v>
          </cell>
        </row>
      </sheetData>
      <sheetData sheetId="8">
        <row r="28">
          <cell r="H28">
            <v>131289</v>
          </cell>
        </row>
        <row r="29">
          <cell r="H29">
            <v>12472.375</v>
          </cell>
        </row>
        <row r="30">
          <cell r="H30">
            <v>670</v>
          </cell>
        </row>
        <row r="34">
          <cell r="H34">
            <v>293.45</v>
          </cell>
        </row>
        <row r="38">
          <cell r="H38">
            <v>17.185714285714283</v>
          </cell>
        </row>
        <row r="40">
          <cell r="H40">
            <v>190.97800000000001</v>
          </cell>
        </row>
        <row r="174">
          <cell r="H174">
            <v>836.12000154410009</v>
          </cell>
        </row>
        <row r="191">
          <cell r="H191">
            <v>0.20798477540691093</v>
          </cell>
        </row>
      </sheetData>
      <sheetData sheetId="9">
        <row r="5">
          <cell r="I5">
            <v>486.27786751163529</v>
          </cell>
        </row>
      </sheetData>
      <sheetData sheetId="10"/>
      <sheetData sheetId="11"/>
      <sheetData sheetId="12"/>
      <sheetData sheetId="13"/>
      <sheetData sheetId="14"/>
      <sheetData sheetId="15"/>
      <sheetData sheetId="16"/>
      <sheetData sheetId="17"/>
      <sheetData sheetId="18"/>
      <sheetData sheetId="19"/>
      <sheetData sheetId="20">
        <row r="18">
          <cell r="F18">
            <v>2.9510000000000001</v>
          </cell>
        </row>
      </sheetData>
      <sheetData sheetId="21"/>
      <sheetData sheetId="22"/>
      <sheetData sheetId="23">
        <row r="8">
          <cell r="D8">
            <v>3.0158333333333336</v>
          </cell>
        </row>
      </sheetData>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9"/>
      <sheetName val="fev-19"/>
      <sheetName val="mar-19"/>
      <sheetName val="abr-19"/>
      <sheetName val="mai-19"/>
      <sheetName val="jun-19"/>
      <sheetName val="jul-19"/>
      <sheetName val="ago-19"/>
      <sheetName val="set-19"/>
      <sheetName val="out-19"/>
      <sheetName val="nov-19"/>
      <sheetName val="dez-19"/>
      <sheetName val="jun-18"/>
      <sheetName val="jun.19"/>
      <sheetName val="jan-20"/>
    </sheetNames>
    <sheetDataSet>
      <sheetData sheetId="0">
        <row r="9">
          <cell r="B9">
            <v>3.4329999999999998</v>
          </cell>
        </row>
      </sheetData>
      <sheetData sheetId="1">
        <row r="9">
          <cell r="B9">
            <v>3.4439999999999995</v>
          </cell>
        </row>
      </sheetData>
      <sheetData sheetId="2">
        <row r="9">
          <cell r="B9">
            <v>3.5539999999999994</v>
          </cell>
        </row>
      </sheetData>
      <sheetData sheetId="3">
        <row r="9">
          <cell r="B9">
            <v>3.6140000000000003</v>
          </cell>
        </row>
      </sheetData>
      <sheetData sheetId="4">
        <row r="9">
          <cell r="B9">
            <v>3.6539999999999999</v>
          </cell>
        </row>
      </sheetData>
      <sheetData sheetId="5">
        <row r="9">
          <cell r="B9">
            <v>3.57</v>
          </cell>
        </row>
      </sheetData>
      <sheetData sheetId="6">
        <row r="9">
          <cell r="B9">
            <v>3.5369999999999995</v>
          </cell>
        </row>
      </sheetData>
      <sheetData sheetId="7">
        <row r="9">
          <cell r="B9">
            <v>3.5159999999999991</v>
          </cell>
        </row>
      </sheetData>
      <sheetData sheetId="8">
        <row r="9">
          <cell r="B9">
            <v>3.6700000000000008</v>
          </cell>
        </row>
      </sheetData>
      <sheetData sheetId="9">
        <row r="9">
          <cell r="B9">
            <v>3.7120000000000002</v>
          </cell>
        </row>
      </sheetData>
      <sheetData sheetId="10">
        <row r="9">
          <cell r="B9">
            <v>3.7079999999999993</v>
          </cell>
        </row>
      </sheetData>
      <sheetData sheetId="11">
        <row r="9">
          <cell r="B9">
            <v>3.7510000000000003</v>
          </cell>
        </row>
      </sheetData>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907.50147379339273</v>
          </cell>
        </row>
      </sheetData>
      <sheetData sheetId="3">
        <row r="8">
          <cell r="E8">
            <v>710.69045582503566</v>
          </cell>
        </row>
      </sheetData>
      <sheetData sheetId="4"/>
      <sheetData sheetId="5">
        <row r="8">
          <cell r="E8">
            <v>196.81101796835702</v>
          </cell>
        </row>
      </sheetData>
      <sheetData sheetId="6"/>
      <sheetData sheetId="7">
        <row r="27">
          <cell r="H27">
            <v>201180</v>
          </cell>
        </row>
        <row r="28">
          <cell r="H28">
            <v>23141.3</v>
          </cell>
        </row>
        <row r="29">
          <cell r="H29">
            <v>839.95</v>
          </cell>
        </row>
        <row r="33">
          <cell r="H33">
            <v>474.20000000000005</v>
          </cell>
        </row>
        <row r="38">
          <cell r="H38">
            <v>21.142857142857146</v>
          </cell>
        </row>
        <row r="39">
          <cell r="H39">
            <v>285.02479199999999</v>
          </cell>
        </row>
        <row r="167">
          <cell r="H167">
            <v>2134.3168332880336</v>
          </cell>
        </row>
        <row r="184">
          <cell r="H184">
            <v>0.26827956735587344</v>
          </cell>
        </row>
      </sheetData>
      <sheetData sheetId="8">
        <row r="28">
          <cell r="H28">
            <v>135711</v>
          </cell>
        </row>
        <row r="29">
          <cell r="H29">
            <v>12782.648046875</v>
          </cell>
        </row>
        <row r="30">
          <cell r="H30">
            <v>690</v>
          </cell>
        </row>
        <row r="34">
          <cell r="H34">
            <v>303.42499999999995</v>
          </cell>
        </row>
        <row r="38">
          <cell r="H38">
            <v>17.442857142857143</v>
          </cell>
        </row>
        <row r="40">
          <cell r="H40">
            <v>207.020152</v>
          </cell>
        </row>
        <row r="175">
          <cell r="H175">
            <v>863.39257429057227</v>
          </cell>
        </row>
        <row r="192">
          <cell r="H192">
            <v>0.22786447119677827</v>
          </cell>
        </row>
      </sheetData>
      <sheetData sheetId="9">
        <row r="5">
          <cell r="I5">
            <v>527.8808345333523</v>
          </cell>
        </row>
      </sheetData>
      <sheetData sheetId="10"/>
      <sheetData sheetId="11"/>
      <sheetData sheetId="12"/>
      <sheetData sheetId="13"/>
      <sheetData sheetId="14"/>
      <sheetData sheetId="15"/>
      <sheetData sheetId="16"/>
      <sheetData sheetId="17"/>
      <sheetData sheetId="18"/>
      <sheetData sheetId="19"/>
      <sheetData sheetId="20">
        <row r="18">
          <cell r="F18">
            <v>3.1499999999999995</v>
          </cell>
        </row>
      </sheetData>
      <sheetData sheetId="21"/>
      <sheetData sheetId="22"/>
      <sheetData sheetId="23">
        <row r="8">
          <cell r="D8">
            <v>2.4578333333333338</v>
          </cell>
        </row>
      </sheetData>
      <sheetData sheetId="24"/>
      <sheetData sheetId="25"/>
      <sheetData sheetId="2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929.54172762201256</v>
          </cell>
        </row>
      </sheetData>
      <sheetData sheetId="3">
        <row r="8">
          <cell r="E8">
            <v>730.75061691945882</v>
          </cell>
        </row>
      </sheetData>
      <sheetData sheetId="4"/>
      <sheetData sheetId="5">
        <row r="8">
          <cell r="E8">
            <v>198.79111070255368</v>
          </cell>
        </row>
      </sheetData>
      <sheetData sheetId="6"/>
      <sheetData sheetId="7">
        <row r="27">
          <cell r="H27">
            <v>237923</v>
          </cell>
        </row>
        <row r="28">
          <cell r="H28">
            <v>23540.05</v>
          </cell>
        </row>
        <row r="29">
          <cell r="H29">
            <v>882.4</v>
          </cell>
        </row>
        <row r="33">
          <cell r="H33">
            <v>501.15</v>
          </cell>
        </row>
        <row r="38">
          <cell r="H38">
            <v>21.485714285714288</v>
          </cell>
        </row>
        <row r="39">
          <cell r="H39">
            <v>296.9388283056</v>
          </cell>
        </row>
        <row r="167">
          <cell r="H167">
            <v>2482.579248365334</v>
          </cell>
        </row>
        <row r="184">
          <cell r="H184">
            <v>0.27385322829803699</v>
          </cell>
        </row>
      </sheetData>
      <sheetData sheetId="8">
        <row r="28">
          <cell r="H28">
            <v>149302</v>
          </cell>
        </row>
        <row r="29">
          <cell r="H29">
            <v>13032.748046875</v>
          </cell>
        </row>
        <row r="30">
          <cell r="H30">
            <v>704.9</v>
          </cell>
        </row>
        <row r="34">
          <cell r="H34">
            <v>313.39999999999998</v>
          </cell>
        </row>
        <row r="38">
          <cell r="H38">
            <v>17.642857142857142</v>
          </cell>
        </row>
        <row r="40">
          <cell r="H40">
            <v>215.67047199999996</v>
          </cell>
        </row>
        <row r="175">
          <cell r="H175">
            <v>942.50532466935545</v>
          </cell>
        </row>
        <row r="192">
          <cell r="H192">
            <v>0.23259848547797593</v>
          </cell>
        </row>
      </sheetData>
      <sheetData sheetId="9">
        <row r="5">
          <cell r="I5">
            <v>544.53326731116215</v>
          </cell>
        </row>
      </sheetData>
      <sheetData sheetId="10"/>
      <sheetData sheetId="11"/>
      <sheetData sheetId="12"/>
      <sheetData sheetId="13"/>
      <sheetData sheetId="14"/>
      <sheetData sheetId="15"/>
      <sheetData sheetId="16"/>
      <sheetData sheetId="17"/>
      <sheetData sheetId="18"/>
      <sheetData sheetId="19"/>
      <sheetData sheetId="20">
        <row r="18">
          <cell r="F18">
            <v>3.2459999999999996</v>
          </cell>
        </row>
      </sheetData>
      <sheetData sheetId="21"/>
      <sheetData sheetId="22"/>
      <sheetData sheetId="23">
        <row r="8">
          <cell r="D8">
            <v>2.3911666666666673</v>
          </cell>
        </row>
      </sheetData>
      <sheetData sheetId="24"/>
      <sheetData sheetId="25"/>
      <sheetData sheetId="2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974.31587600468492</v>
          </cell>
        </row>
      </sheetData>
      <sheetData sheetId="3">
        <row r="8">
          <cell r="E8">
            <v>762.22049655809394</v>
          </cell>
        </row>
      </sheetData>
      <sheetData sheetId="4"/>
      <sheetData sheetId="5">
        <row r="8">
          <cell r="E8">
            <v>212.09537944659093</v>
          </cell>
        </row>
      </sheetData>
      <sheetData sheetId="6"/>
      <sheetData sheetId="7">
        <row r="27">
          <cell r="H27">
            <v>241892</v>
          </cell>
        </row>
        <row r="28">
          <cell r="H28">
            <v>23910.05</v>
          </cell>
        </row>
        <row r="29">
          <cell r="H29">
            <v>899.9</v>
          </cell>
        </row>
        <row r="33">
          <cell r="H33">
            <v>504.9</v>
          </cell>
        </row>
        <row r="38">
          <cell r="H38">
            <v>22.642857142857146</v>
          </cell>
        </row>
        <row r="39">
          <cell r="H39">
            <v>310.30107557935202</v>
          </cell>
        </row>
        <row r="167">
          <cell r="H167">
            <v>2523.6954311444638</v>
          </cell>
        </row>
        <row r="184">
          <cell r="H184">
            <v>0.28374050042026727</v>
          </cell>
        </row>
      </sheetData>
      <sheetData sheetId="8">
        <row r="28">
          <cell r="I28">
            <v>147304</v>
          </cell>
        </row>
        <row r="29">
          <cell r="I29">
            <v>13384.748046875</v>
          </cell>
        </row>
        <row r="30">
          <cell r="I30">
            <v>718.9</v>
          </cell>
        </row>
        <row r="34">
          <cell r="I34">
            <v>322.89999999999998</v>
          </cell>
        </row>
        <row r="38">
          <cell r="H38">
            <v>18.642857142857142</v>
          </cell>
        </row>
        <row r="40">
          <cell r="I40">
            <v>225.37564323999999</v>
          </cell>
        </row>
        <row r="177">
          <cell r="I177">
            <v>933.42306127308882</v>
          </cell>
        </row>
        <row r="194">
          <cell r="I194">
            <v>0.24099628504175005</v>
          </cell>
        </row>
      </sheetData>
      <sheetData sheetId="9">
        <row r="5">
          <cell r="I5">
            <v>560.89327178915096</v>
          </cell>
        </row>
      </sheetData>
      <sheetData sheetId="10"/>
      <sheetData sheetId="11"/>
      <sheetData sheetId="12"/>
      <sheetData sheetId="13"/>
      <sheetData sheetId="14"/>
      <sheetData sheetId="15"/>
      <sheetData sheetId="16"/>
      <sheetData sheetId="17"/>
      <sheetData sheetId="18"/>
      <sheetData sheetId="19"/>
      <sheetData sheetId="20">
        <row r="18">
          <cell r="F18">
            <v>3.448999999999999</v>
          </cell>
        </row>
      </sheetData>
      <sheetData sheetId="21"/>
      <sheetData sheetId="22"/>
      <sheetData sheetId="23">
        <row r="8">
          <cell r="D8">
            <v>1.7903333333333336</v>
          </cell>
        </row>
      </sheetData>
      <sheetData sheetId="24"/>
      <sheetData sheetId="25"/>
      <sheetData sheetId="2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1030.4029915066048</v>
          </cell>
        </row>
      </sheetData>
      <sheetData sheetId="3">
        <row r="8">
          <cell r="E8">
            <v>805.29805924159211</v>
          </cell>
        </row>
      </sheetData>
      <sheetData sheetId="4"/>
      <sheetData sheetId="5">
        <row r="8">
          <cell r="E8">
            <v>225.10493226501276</v>
          </cell>
        </row>
      </sheetData>
      <sheetData sheetId="6"/>
      <sheetData sheetId="7">
        <row r="27">
          <cell r="H27">
            <v>271642</v>
          </cell>
        </row>
        <row r="28">
          <cell r="H28">
            <v>24693.587499999998</v>
          </cell>
        </row>
        <row r="29">
          <cell r="H29">
            <v>912.9</v>
          </cell>
        </row>
        <row r="33">
          <cell r="H33">
            <v>524.9</v>
          </cell>
        </row>
        <row r="38">
          <cell r="H38">
            <v>23.214285714285719</v>
          </cell>
        </row>
        <row r="39">
          <cell r="H39">
            <v>324.96031899187176</v>
          </cell>
        </row>
        <row r="167">
          <cell r="H167">
            <v>2810.2329021244132</v>
          </cell>
        </row>
        <row r="184">
          <cell r="H184">
            <v>0.29270663443400807</v>
          </cell>
        </row>
      </sheetData>
      <sheetData sheetId="8">
        <row r="28">
          <cell r="I28">
            <v>163880</v>
          </cell>
        </row>
        <row r="29">
          <cell r="I29">
            <v>13712.223046874999</v>
          </cell>
        </row>
        <row r="30">
          <cell r="I30">
            <v>729.4</v>
          </cell>
        </row>
        <row r="34">
          <cell r="I34">
            <v>340.4</v>
          </cell>
        </row>
        <row r="38">
          <cell r="I38">
            <v>19.071428571428573</v>
          </cell>
        </row>
        <row r="40">
          <cell r="I40">
            <v>236.02283937794408</v>
          </cell>
        </row>
        <row r="177">
          <cell r="I177">
            <v>1030.009457063519</v>
          </cell>
        </row>
        <row r="194">
          <cell r="I194">
            <v>0.24782557970962657</v>
          </cell>
        </row>
      </sheetData>
      <sheetData sheetId="9">
        <row r="5">
          <cell r="I5">
            <v>587.66474896725219</v>
          </cell>
        </row>
      </sheetData>
      <sheetData sheetId="10"/>
      <sheetData sheetId="11"/>
      <sheetData sheetId="12"/>
      <sheetData sheetId="13"/>
      <sheetData sheetId="14"/>
      <sheetData sheetId="15"/>
      <sheetData sheetId="16"/>
      <sheetData sheetId="17"/>
      <sheetData sheetId="18"/>
      <sheetData sheetId="19"/>
      <sheetData sheetId="20">
        <row r="18">
          <cell r="F18">
            <v>3.6090000000000009</v>
          </cell>
        </row>
      </sheetData>
      <sheetData sheetId="21"/>
      <sheetData sheetId="22"/>
      <sheetData sheetId="23">
        <row r="8">
          <cell r="D8">
            <v>1.7903333333333336</v>
          </cell>
        </row>
      </sheetData>
      <sheetData sheetId="24"/>
      <sheetData sheetId="25"/>
      <sheetData sheetId="2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row r="5">
          <cell r="E5">
            <v>28.780218899924911</v>
          </cell>
        </row>
      </sheetData>
      <sheetData sheetId="1">
        <row r="61">
          <cell r="H61">
            <v>7.2457204117018774</v>
          </cell>
        </row>
      </sheetData>
      <sheetData sheetId="2">
        <row r="20">
          <cell r="D20">
            <v>1081.1500749813199</v>
          </cell>
        </row>
      </sheetData>
      <sheetData sheetId="3">
        <row r="8">
          <cell r="E8">
            <v>838.56684987588437</v>
          </cell>
        </row>
      </sheetData>
      <sheetData sheetId="4"/>
      <sheetData sheetId="5">
        <row r="8">
          <cell r="E8">
            <v>242.58322510543556</v>
          </cell>
        </row>
      </sheetData>
      <sheetData sheetId="6"/>
      <sheetData sheetId="7">
        <row r="27">
          <cell r="H27">
            <v>296114</v>
          </cell>
        </row>
        <row r="28">
          <cell r="H28">
            <v>25428.587499999998</v>
          </cell>
        </row>
        <row r="29">
          <cell r="H29">
            <v>950.78535000000011</v>
          </cell>
        </row>
        <row r="33">
          <cell r="H33">
            <v>554.92427999999984</v>
          </cell>
        </row>
        <row r="38">
          <cell r="H38">
            <v>24.985714285714288</v>
          </cell>
        </row>
        <row r="39">
          <cell r="H39">
            <v>324.96031899187176</v>
          </cell>
        </row>
        <row r="167">
          <cell r="H167">
            <v>3047.1238544842322</v>
          </cell>
        </row>
        <row r="184">
          <cell r="H184">
            <v>0.3013467072180786</v>
          </cell>
        </row>
      </sheetData>
      <sheetData sheetId="8">
        <row r="28">
          <cell r="I28">
            <v>179177</v>
          </cell>
        </row>
        <row r="29">
          <cell r="I29">
            <v>14299.742708333331</v>
          </cell>
        </row>
        <row r="30">
          <cell r="I30">
            <v>759.67010000000005</v>
          </cell>
        </row>
        <row r="34">
          <cell r="I34">
            <v>359.87087999999994</v>
          </cell>
        </row>
        <row r="38">
          <cell r="I38">
            <v>19.38571428571429</v>
          </cell>
        </row>
        <row r="40">
          <cell r="I40">
            <v>236.02283937794408</v>
          </cell>
        </row>
        <row r="177">
          <cell r="I177">
            <v>1121.062811492741</v>
          </cell>
        </row>
        <row r="194">
          <cell r="I194">
            <v>0.25450285840770609</v>
          </cell>
        </row>
      </sheetData>
      <sheetData sheetId="9">
        <row r="5">
          <cell r="I5">
            <v>595.74859116184723</v>
          </cell>
        </row>
      </sheetData>
      <sheetData sheetId="10"/>
      <sheetData sheetId="11"/>
      <sheetData sheetId="12"/>
      <sheetData sheetId="13"/>
      <sheetData sheetId="14"/>
      <sheetData sheetId="15"/>
      <sheetData sheetId="16"/>
      <sheetData sheetId="17"/>
      <sheetData sheetId="18"/>
      <sheetData sheetId="19"/>
      <sheetData sheetId="20">
        <row r="18">
          <cell r="F18">
            <v>3.4430000000000005</v>
          </cell>
        </row>
      </sheetData>
      <sheetData sheetId="21">
        <row r="7">
          <cell r="D7">
            <v>3.3739999999999997</v>
          </cell>
        </row>
      </sheetData>
      <sheetData sheetId="22"/>
      <sheetData sheetId="23">
        <row r="8">
          <cell r="D8">
            <v>1.823666666666667</v>
          </cell>
        </row>
      </sheetData>
      <sheetData sheetId="24"/>
      <sheetData sheetId="25"/>
      <sheetData sheetId="2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686.44405777232475</v>
          </cell>
        </row>
      </sheetData>
      <sheetData sheetId="3">
        <row r="8">
          <cell r="E8">
            <v>544.74509729743886</v>
          </cell>
        </row>
      </sheetData>
      <sheetData sheetId="4"/>
      <sheetData sheetId="5">
        <row r="8">
          <cell r="E8">
            <v>141.69896047488589</v>
          </cell>
        </row>
      </sheetData>
      <sheetData sheetId="6"/>
      <sheetData sheetId="7">
        <row r="27">
          <cell r="H27">
            <v>209582.75</v>
          </cell>
        </row>
        <row r="28">
          <cell r="H28">
            <v>22876.5</v>
          </cell>
        </row>
        <row r="29">
          <cell r="H29">
            <v>791.66666666666663</v>
          </cell>
        </row>
        <row r="33">
          <cell r="H33">
            <v>485.47500000000002</v>
          </cell>
        </row>
        <row r="38">
          <cell r="H38">
            <v>18.671428571428574</v>
          </cell>
        </row>
        <row r="39">
          <cell r="H39">
            <v>224</v>
          </cell>
        </row>
        <row r="159">
          <cell r="H159">
            <v>2202.3359959279001</v>
          </cell>
        </row>
        <row r="176">
          <cell r="H176">
            <v>0.19804287430859202</v>
          </cell>
        </row>
      </sheetData>
      <sheetData sheetId="8">
        <row r="28">
          <cell r="H28">
            <v>110553.2</v>
          </cell>
        </row>
        <row r="29">
          <cell r="H29">
            <v>12180.125</v>
          </cell>
        </row>
        <row r="30">
          <cell r="H30">
            <v>675</v>
          </cell>
        </row>
        <row r="34">
          <cell r="H34">
            <v>304.47500000000002</v>
          </cell>
        </row>
        <row r="38">
          <cell r="H38">
            <v>15.957142857142859</v>
          </cell>
        </row>
        <row r="40">
          <cell r="H40">
            <v>166</v>
          </cell>
        </row>
        <row r="166">
          <cell r="H166">
            <v>712.29344203836001</v>
          </cell>
        </row>
        <row r="183">
          <cell r="H183">
            <v>0.16820861638246332</v>
          </cell>
        </row>
      </sheetData>
      <sheetData sheetId="9">
        <row r="5">
          <cell r="I5">
            <v>403.96287303972281</v>
          </cell>
        </row>
      </sheetData>
      <sheetData sheetId="10"/>
      <sheetData sheetId="11"/>
      <sheetData sheetId="12"/>
      <sheetData sheetId="13"/>
      <sheetData sheetId="14"/>
      <sheetData sheetId="15"/>
      <sheetData sheetId="16"/>
      <sheetData sheetId="17"/>
      <sheetData sheetId="18"/>
      <sheetData sheetId="19"/>
      <sheetData sheetId="20">
        <row r="18">
          <cell r="F18">
            <v>2.1471999999999993</v>
          </cell>
        </row>
      </sheetData>
      <sheetData sheetId="21"/>
      <sheetData sheetId="22"/>
      <sheetData sheetId="23">
        <row r="9">
          <cell r="D9">
            <v>4.1980000000000004</v>
          </cell>
        </row>
      </sheetData>
      <sheetData sheetId="24"/>
      <sheetData sheetId="25"/>
      <sheetData sheetId="2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735.83138238021695</v>
          </cell>
        </row>
      </sheetData>
      <sheetData sheetId="3">
        <row r="8">
          <cell r="E8">
            <v>584.36920210437643</v>
          </cell>
        </row>
      </sheetData>
      <sheetData sheetId="4"/>
      <sheetData sheetId="5">
        <row r="8">
          <cell r="E8">
            <v>151.46218027584052</v>
          </cell>
        </row>
      </sheetData>
      <sheetData sheetId="6"/>
      <sheetData sheetId="7">
        <row r="27">
          <cell r="H27">
            <v>211125</v>
          </cell>
        </row>
        <row r="28">
          <cell r="H28">
            <v>22801.5</v>
          </cell>
        </row>
        <row r="29">
          <cell r="H29">
            <v>806.66666666666663</v>
          </cell>
        </row>
        <row r="33">
          <cell r="H33">
            <v>486.66666666666669</v>
          </cell>
        </row>
        <row r="38">
          <cell r="H38">
            <v>20.014285714285716</v>
          </cell>
        </row>
        <row r="39">
          <cell r="H39">
            <v>238</v>
          </cell>
        </row>
        <row r="159">
          <cell r="H159">
            <v>2215.9900065109218</v>
          </cell>
        </row>
        <row r="176">
          <cell r="H176">
            <v>0.21006016168341055</v>
          </cell>
        </row>
      </sheetData>
      <sheetData sheetId="8">
        <row r="28">
          <cell r="H28">
            <v>119037.5</v>
          </cell>
        </row>
        <row r="29">
          <cell r="H29">
            <v>12405.125</v>
          </cell>
        </row>
        <row r="30">
          <cell r="H30">
            <v>690</v>
          </cell>
        </row>
        <row r="34">
          <cell r="H34">
            <v>312.2833333333333</v>
          </cell>
        </row>
        <row r="38">
          <cell r="H38">
            <v>16.442857142857143</v>
          </cell>
        </row>
        <row r="166">
          <cell r="H166">
            <v>762.06231750285008</v>
          </cell>
        </row>
        <row r="183">
          <cell r="H183">
            <v>0.17841555409252149</v>
          </cell>
        </row>
      </sheetData>
      <sheetData sheetId="9">
        <row r="5">
          <cell r="I5">
            <v>438.68864969724416</v>
          </cell>
        </row>
      </sheetData>
      <sheetData sheetId="10"/>
      <sheetData sheetId="11"/>
      <sheetData sheetId="12"/>
      <sheetData sheetId="13"/>
      <sheetData sheetId="14"/>
      <sheetData sheetId="15"/>
      <sheetData sheetId="16"/>
      <sheetData sheetId="17"/>
      <sheetData sheetId="18"/>
      <sheetData sheetId="19"/>
      <sheetData sheetId="20">
        <row r="18">
          <cell r="F18">
            <v>2.4319999999999999</v>
          </cell>
        </row>
      </sheetData>
      <sheetData sheetId="21"/>
      <sheetData sheetId="22"/>
      <sheetData sheetId="23">
        <row r="9">
          <cell r="D9">
            <v>3.8880000000000003</v>
          </cell>
        </row>
      </sheetData>
      <sheetData sheetId="24"/>
      <sheetData sheetId="25"/>
      <sheetData sheetId="2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 val="RESUMOr_FARMA"/>
      <sheetName val="Generalidades_FARMA"/>
      <sheetName val="Fracionada_FARMA"/>
    </sheetNames>
    <sheetDataSet>
      <sheetData sheetId="0"/>
      <sheetData sheetId="1"/>
      <sheetData sheetId="2">
        <row r="20">
          <cell r="D20">
            <v>751.74144950227003</v>
          </cell>
        </row>
      </sheetData>
      <sheetData sheetId="3">
        <row r="8">
          <cell r="E8">
            <v>596.68323339373853</v>
          </cell>
        </row>
      </sheetData>
      <sheetData sheetId="4"/>
      <sheetData sheetId="5">
        <row r="8">
          <cell r="E8">
            <v>155.0582161085315</v>
          </cell>
        </row>
      </sheetData>
      <sheetData sheetId="6"/>
      <sheetData sheetId="7">
        <row r="27">
          <cell r="H27">
            <v>201845</v>
          </cell>
        </row>
        <row r="28">
          <cell r="H28">
            <v>22696</v>
          </cell>
        </row>
        <row r="29">
          <cell r="H29">
            <v>777.5</v>
          </cell>
        </row>
        <row r="33">
          <cell r="H33">
            <v>489.66666666666669</v>
          </cell>
        </row>
        <row r="38">
          <cell r="H38">
            <v>20.228571428571431</v>
          </cell>
        </row>
        <row r="39">
          <cell r="H39">
            <v>241.97799999999998</v>
          </cell>
        </row>
        <row r="40">
          <cell r="H40">
            <v>2640.631596660091</v>
          </cell>
        </row>
        <row r="166">
          <cell r="H166">
            <v>2135.3557875671199</v>
          </cell>
        </row>
        <row r="183">
          <cell r="H183">
            <v>0.22340893063773981</v>
          </cell>
        </row>
      </sheetData>
      <sheetData sheetId="8">
        <row r="28">
          <cell r="H28">
            <v>124640</v>
          </cell>
        </row>
        <row r="29">
          <cell r="H29">
            <v>12434.875</v>
          </cell>
        </row>
        <row r="30">
          <cell r="H30">
            <v>690</v>
          </cell>
        </row>
        <row r="34">
          <cell r="H34">
            <v>297.96666666666664</v>
          </cell>
        </row>
        <row r="38">
          <cell r="H38">
            <v>16.585714285714285</v>
          </cell>
        </row>
        <row r="40">
          <cell r="H40">
            <v>171.99799999999999</v>
          </cell>
        </row>
        <row r="41">
          <cell r="H41">
            <v>2611.1222108316679</v>
          </cell>
        </row>
        <row r="42">
          <cell r="H42">
            <v>1779.6157254864452</v>
          </cell>
        </row>
        <row r="174">
          <cell r="H174">
            <v>798.10791303273345</v>
          </cell>
        </row>
        <row r="191">
          <cell r="H191">
            <v>0.18975339174033373</v>
          </cell>
        </row>
      </sheetData>
      <sheetData sheetId="9">
        <row r="5">
          <cell r="I5">
            <v>445.01703211785929</v>
          </cell>
        </row>
      </sheetData>
      <sheetData sheetId="10"/>
      <sheetData sheetId="11"/>
      <sheetData sheetId="12"/>
      <sheetData sheetId="13"/>
      <sheetData sheetId="14"/>
      <sheetData sheetId="15"/>
      <sheetData sheetId="16"/>
      <sheetData sheetId="17"/>
      <sheetData sheetId="18"/>
      <sheetData sheetId="19"/>
      <sheetData sheetId="20">
        <row r="18">
          <cell r="F18">
            <v>2.64</v>
          </cell>
        </row>
      </sheetData>
      <sheetData sheetId="21"/>
      <sheetData sheetId="22"/>
      <sheetData sheetId="23">
        <row r="8">
          <cell r="D8">
            <v>2.94</v>
          </cell>
        </row>
      </sheetData>
      <sheetData sheetId="24"/>
      <sheetData sheetId="25"/>
      <sheetData sheetId="26"/>
      <sheetData sheetId="27" refreshError="1"/>
      <sheetData sheetId="28" refreshError="1"/>
      <sheetData sheetId="2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828.09648188281494</v>
          </cell>
        </row>
      </sheetData>
      <sheetData sheetId="3">
        <row r="8">
          <cell r="E8">
            <v>650.20750074883426</v>
          </cell>
        </row>
      </sheetData>
      <sheetData sheetId="4"/>
      <sheetData sheetId="5">
        <row r="8">
          <cell r="E8">
            <v>177.88898113398074</v>
          </cell>
        </row>
      </sheetData>
      <sheetData sheetId="6"/>
      <sheetData sheetId="7">
        <row r="27">
          <cell r="H27">
            <v>197894</v>
          </cell>
        </row>
        <row r="28">
          <cell r="H28">
            <v>22696</v>
          </cell>
        </row>
        <row r="29">
          <cell r="H29">
            <v>829.5</v>
          </cell>
        </row>
        <row r="33">
          <cell r="H33">
            <v>469.22500000000002</v>
          </cell>
        </row>
        <row r="38">
          <cell r="H38">
            <v>20.75714285714286</v>
          </cell>
        </row>
        <row r="39">
          <cell r="H39">
            <v>262.93799999999999</v>
          </cell>
        </row>
        <row r="166">
          <cell r="H166">
            <v>2098.8788378228965</v>
          </cell>
        </row>
        <row r="183">
          <cell r="H183">
            <v>0.2454861015975377</v>
          </cell>
        </row>
      </sheetData>
      <sheetData sheetId="8">
        <row r="28">
          <cell r="H28">
            <v>129511</v>
          </cell>
        </row>
        <row r="29">
          <cell r="H29">
            <v>12472.375</v>
          </cell>
        </row>
        <row r="30">
          <cell r="H30">
            <v>670</v>
          </cell>
        </row>
        <row r="34">
          <cell r="H34">
            <v>293.45</v>
          </cell>
        </row>
        <row r="38">
          <cell r="H38">
            <v>17.185714285714283</v>
          </cell>
        </row>
        <row r="40">
          <cell r="H40">
            <v>190.97800000000001</v>
          </cell>
        </row>
        <row r="174">
          <cell r="H174">
            <v>825.98810831203343</v>
          </cell>
        </row>
        <row r="191">
          <cell r="H191">
            <v>0.20850473734542821</v>
          </cell>
        </row>
      </sheetData>
      <sheetData sheetId="9">
        <row r="5">
          <cell r="I5">
            <v>486.30146066170386</v>
          </cell>
        </row>
      </sheetData>
      <sheetData sheetId="10"/>
      <sheetData sheetId="11"/>
      <sheetData sheetId="12"/>
      <sheetData sheetId="13"/>
      <sheetData sheetId="14"/>
      <sheetData sheetId="15"/>
      <sheetData sheetId="16"/>
      <sheetData sheetId="17"/>
      <sheetData sheetId="18"/>
      <sheetData sheetId="19"/>
      <sheetData sheetId="20">
        <row r="18">
          <cell r="F18">
            <v>2.9600000000000004</v>
          </cell>
        </row>
      </sheetData>
      <sheetData sheetId="21"/>
      <sheetData sheetId="22"/>
      <sheetData sheetId="23">
        <row r="8">
          <cell r="D8">
            <v>3.0408333333333335</v>
          </cell>
        </row>
      </sheetData>
      <sheetData sheetId="24"/>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908.78307461076486</v>
          </cell>
        </row>
      </sheetData>
      <sheetData sheetId="3">
        <row r="8">
          <cell r="E8">
            <v>711.48078511931749</v>
          </cell>
        </row>
      </sheetData>
      <sheetData sheetId="4"/>
      <sheetData sheetId="5">
        <row r="8">
          <cell r="E8">
            <v>197.30228949144737</v>
          </cell>
        </row>
      </sheetData>
      <sheetData sheetId="6"/>
      <sheetData sheetId="7">
        <row r="27">
          <cell r="H27">
            <v>201020</v>
          </cell>
        </row>
        <row r="28">
          <cell r="H28">
            <v>23141.3</v>
          </cell>
        </row>
        <row r="29">
          <cell r="H29">
            <v>839.95</v>
          </cell>
        </row>
        <row r="33">
          <cell r="H33">
            <v>474.20000000000005</v>
          </cell>
        </row>
        <row r="38">
          <cell r="H38">
            <v>21.142857142857146</v>
          </cell>
        </row>
        <row r="39">
          <cell r="H39">
            <v>285.02479199999999</v>
          </cell>
        </row>
        <row r="167">
          <cell r="H167">
            <v>2132.8199592282549</v>
          </cell>
        </row>
        <row r="184">
          <cell r="H184">
            <v>0.26911123401467668</v>
          </cell>
        </row>
      </sheetData>
      <sheetData sheetId="8">
        <row r="28">
          <cell r="H28">
            <v>135702</v>
          </cell>
        </row>
        <row r="29">
          <cell r="H29">
            <v>12782.648046875</v>
          </cell>
        </row>
        <row r="30">
          <cell r="H30">
            <v>690</v>
          </cell>
        </row>
        <row r="34">
          <cell r="H34">
            <v>303.42499999999995</v>
          </cell>
        </row>
        <row r="38">
          <cell r="H38">
            <v>17.442857142857143</v>
          </cell>
        </row>
        <row r="40">
          <cell r="H40">
            <v>207.020152</v>
          </cell>
        </row>
        <row r="175">
          <cell r="H175">
            <v>863.34128799187204</v>
          </cell>
        </row>
        <row r="192">
          <cell r="H192">
            <v>0.22857085105748831</v>
          </cell>
        </row>
      </sheetData>
      <sheetData sheetId="9">
        <row r="5">
          <cell r="I5">
            <v>528.06830504851087</v>
          </cell>
        </row>
      </sheetData>
      <sheetData sheetId="10"/>
      <sheetData sheetId="11"/>
      <sheetData sheetId="12"/>
      <sheetData sheetId="13"/>
      <sheetData sheetId="14"/>
      <sheetData sheetId="15"/>
      <sheetData sheetId="16"/>
      <sheetData sheetId="17"/>
      <sheetData sheetId="18"/>
      <sheetData sheetId="19"/>
      <sheetData sheetId="20">
        <row r="18">
          <cell r="F18">
            <v>3.1490000000000005</v>
          </cell>
        </row>
      </sheetData>
      <sheetData sheetId="21"/>
      <sheetData sheetId="22"/>
      <sheetData sheetId="23">
        <row r="8">
          <cell r="D8">
            <v>2.4578333333333338</v>
          </cell>
        </row>
      </sheetData>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0"/>
      <sheetName val="fev-20"/>
      <sheetName val="mar-20"/>
      <sheetName val="abr-20"/>
      <sheetName val="mai-20"/>
      <sheetName val="jun-20"/>
      <sheetName val="jul-20"/>
      <sheetName val="ago-20"/>
      <sheetName val="set-20"/>
      <sheetName val="out-19"/>
      <sheetName val="nov-19"/>
      <sheetName val="dez-19"/>
      <sheetName val="set-19"/>
      <sheetName val="ago-19"/>
    </sheetNames>
    <sheetDataSet>
      <sheetData sheetId="0">
        <row r="9">
          <cell r="B9">
            <v>3.8000000000000003</v>
          </cell>
        </row>
      </sheetData>
      <sheetData sheetId="1">
        <row r="9">
          <cell r="B9">
            <v>3.677</v>
          </cell>
        </row>
      </sheetData>
      <sheetData sheetId="2">
        <row r="9">
          <cell r="B9">
            <v>3.4920000000000004</v>
          </cell>
        </row>
      </sheetData>
      <sheetData sheetId="3">
        <row r="9">
          <cell r="B9">
            <v>3.2029999999999998</v>
          </cell>
        </row>
      </sheetData>
      <sheetData sheetId="4">
        <row r="9">
          <cell r="B9">
            <v>3.0089999999999999</v>
          </cell>
        </row>
      </sheetData>
      <sheetData sheetId="5">
        <row r="9">
          <cell r="B9">
            <v>3.1469999999999994</v>
          </cell>
        </row>
      </sheetData>
      <sheetData sheetId="6">
        <row r="9">
          <cell r="B9">
            <v>3.3219999999999996</v>
          </cell>
        </row>
      </sheetData>
      <sheetData sheetId="7">
        <row r="9">
          <cell r="B9">
            <v>3.3739999999999997</v>
          </cell>
        </row>
      </sheetData>
      <sheetData sheetId="8">
        <row r="9">
          <cell r="B9">
            <v>3.3739999999999997</v>
          </cell>
        </row>
      </sheetData>
      <sheetData sheetId="9"/>
      <sheetData sheetId="10"/>
      <sheetData sheetId="1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930.8316876788233</v>
          </cell>
        </row>
      </sheetData>
      <sheetData sheetId="3">
        <row r="8">
          <cell r="E8">
            <v>731.76808850019756</v>
          </cell>
        </row>
      </sheetData>
      <sheetData sheetId="4"/>
      <sheetData sheetId="5">
        <row r="8">
          <cell r="E8">
            <v>199.06359917862568</v>
          </cell>
        </row>
      </sheetData>
      <sheetData sheetId="6"/>
      <sheetData sheetId="7">
        <row r="27">
          <cell r="H27">
            <v>239536</v>
          </cell>
        </row>
        <row r="28">
          <cell r="H28">
            <v>23540.05</v>
          </cell>
        </row>
        <row r="29">
          <cell r="H29">
            <v>882.4</v>
          </cell>
        </row>
        <row r="33">
          <cell r="H33">
            <v>501.15</v>
          </cell>
        </row>
        <row r="38">
          <cell r="H38">
            <v>21.485714285714288</v>
          </cell>
        </row>
        <row r="39">
          <cell r="H39">
            <v>296.9388283056</v>
          </cell>
        </row>
        <row r="167">
          <cell r="H167">
            <v>2497.6696099804744</v>
          </cell>
        </row>
        <row r="184">
          <cell r="H184">
            <v>0.27377107232954756</v>
          </cell>
        </row>
      </sheetData>
      <sheetData sheetId="8">
        <row r="28">
          <cell r="H28">
            <v>149038</v>
          </cell>
        </row>
        <row r="29">
          <cell r="H29">
            <v>13032.748046875</v>
          </cell>
        </row>
        <row r="30">
          <cell r="H30">
            <v>704.9</v>
          </cell>
        </row>
        <row r="34">
          <cell r="H34">
            <v>313.39999999999998</v>
          </cell>
        </row>
        <row r="38">
          <cell r="H38">
            <v>17.642857142857142</v>
          </cell>
        </row>
        <row r="40">
          <cell r="H40">
            <v>215.67047199999996</v>
          </cell>
        </row>
        <row r="175">
          <cell r="H175">
            <v>941.00092657415553</v>
          </cell>
        </row>
        <row r="192">
          <cell r="H192">
            <v>0.23252870593233255</v>
          </cell>
        </row>
      </sheetData>
      <sheetData sheetId="9">
        <row r="5">
          <cell r="I5">
            <v>544.70772192202958</v>
          </cell>
        </row>
      </sheetData>
      <sheetData sheetId="10"/>
      <sheetData sheetId="11"/>
      <sheetData sheetId="12"/>
      <sheetData sheetId="13"/>
      <sheetData sheetId="14"/>
      <sheetData sheetId="15"/>
      <sheetData sheetId="16"/>
      <sheetData sheetId="17"/>
      <sheetData sheetId="18"/>
      <sheetData sheetId="19"/>
      <sheetData sheetId="20">
        <row r="18">
          <cell r="F18">
            <v>3.3329999999999993</v>
          </cell>
        </row>
      </sheetData>
      <sheetData sheetId="21"/>
      <sheetData sheetId="22"/>
      <sheetData sheetId="23">
        <row r="8">
          <cell r="D8">
            <v>2.3911666666666673</v>
          </cell>
        </row>
      </sheetData>
      <sheetData sheetId="24"/>
      <sheetData sheetId="25"/>
      <sheetData sheetId="2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979.30677011824014</v>
          </cell>
        </row>
      </sheetData>
      <sheetData sheetId="3">
        <row r="8">
          <cell r="E8">
            <v>765.25794319345482</v>
          </cell>
        </row>
      </sheetData>
      <sheetData sheetId="4"/>
      <sheetData sheetId="5">
        <row r="8">
          <cell r="E8">
            <v>214.04882692478537</v>
          </cell>
        </row>
      </sheetData>
      <sheetData sheetId="6"/>
      <sheetData sheetId="7">
        <row r="27">
          <cell r="H27">
            <v>244232</v>
          </cell>
        </row>
        <row r="28">
          <cell r="H28">
            <v>23910.05</v>
          </cell>
        </row>
        <row r="29">
          <cell r="H29">
            <v>899.9</v>
          </cell>
        </row>
        <row r="33">
          <cell r="H33">
            <v>504.9</v>
          </cell>
        </row>
        <row r="38">
          <cell r="H38">
            <v>22.642857142857146</v>
          </cell>
        </row>
        <row r="39">
          <cell r="H39">
            <v>310.30107557935202</v>
          </cell>
        </row>
        <row r="167">
          <cell r="H167">
            <v>2545.5872142687222</v>
          </cell>
        </row>
        <row r="184">
          <cell r="H184">
            <v>0.28374050042026727</v>
          </cell>
        </row>
      </sheetData>
      <sheetData sheetId="8">
        <row r="28">
          <cell r="I28">
            <v>149510</v>
          </cell>
        </row>
        <row r="29">
          <cell r="I29">
            <v>13384.748046875</v>
          </cell>
        </row>
        <row r="30">
          <cell r="I30">
            <v>718.9</v>
          </cell>
        </row>
        <row r="34">
          <cell r="I34">
            <v>322.89999999999998</v>
          </cell>
        </row>
        <row r="38">
          <cell r="H38">
            <v>18.642857142857142</v>
          </cell>
        </row>
        <row r="40">
          <cell r="I40">
            <v>225.37564323999999</v>
          </cell>
        </row>
        <row r="177">
          <cell r="I177">
            <v>945.99390293222211</v>
          </cell>
        </row>
        <row r="194">
          <cell r="I194">
            <v>0.24099628504175005</v>
          </cell>
        </row>
      </sheetData>
      <sheetData sheetId="9">
        <row r="5">
          <cell r="I5">
            <v>561.4998595359059</v>
          </cell>
        </row>
      </sheetData>
      <sheetData sheetId="10"/>
      <sheetData sheetId="11"/>
      <sheetData sheetId="12"/>
      <sheetData sheetId="13"/>
      <sheetData sheetId="14"/>
      <sheetData sheetId="15"/>
      <sheetData sheetId="16"/>
      <sheetData sheetId="17"/>
      <sheetData sheetId="18"/>
      <sheetData sheetId="19"/>
      <sheetData sheetId="20">
        <row r="18">
          <cell r="F18">
            <v>3.7319999999999998</v>
          </cell>
        </row>
      </sheetData>
      <sheetData sheetId="21"/>
      <sheetData sheetId="22"/>
      <sheetData sheetId="23">
        <row r="8">
          <cell r="D8">
            <v>1.7903333333333336</v>
          </cell>
        </row>
      </sheetData>
      <sheetData sheetId="24"/>
      <sheetData sheetId="25"/>
      <sheetData sheetId="2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1030.2000337784684</v>
          </cell>
        </row>
      </sheetData>
      <sheetData sheetId="3">
        <row r="8">
          <cell r="E8">
            <v>805.802079335337</v>
          </cell>
        </row>
      </sheetData>
      <sheetData sheetId="4"/>
      <sheetData sheetId="5">
        <row r="8">
          <cell r="E8">
            <v>224.39795444313148</v>
          </cell>
        </row>
      </sheetData>
      <sheetData sheetId="6"/>
      <sheetData sheetId="7">
        <row r="27">
          <cell r="H27">
            <v>273550</v>
          </cell>
        </row>
        <row r="28">
          <cell r="H28">
            <v>24693.587499999998</v>
          </cell>
        </row>
        <row r="29">
          <cell r="H29">
            <v>912.9</v>
          </cell>
        </row>
        <row r="33">
          <cell r="H33">
            <v>524.9</v>
          </cell>
        </row>
        <row r="38">
          <cell r="H38">
            <v>23.214285714285719</v>
          </cell>
        </row>
        <row r="39">
          <cell r="H39">
            <v>324.96031899187176</v>
          </cell>
        </row>
        <row r="167">
          <cell r="H167">
            <v>2828.0831252872699</v>
          </cell>
        </row>
        <row r="184">
          <cell r="H184">
            <v>0.29305792507550088</v>
          </cell>
        </row>
      </sheetData>
      <sheetData sheetId="8">
        <row r="28">
          <cell r="I28">
            <v>165541</v>
          </cell>
        </row>
        <row r="29">
          <cell r="I29">
            <v>13712.223046874999</v>
          </cell>
        </row>
        <row r="30">
          <cell r="I30">
            <v>729.4</v>
          </cell>
        </row>
        <row r="34">
          <cell r="I34">
            <v>340.4</v>
          </cell>
        </row>
        <row r="38">
          <cell r="I38">
            <v>19.071428571428573</v>
          </cell>
        </row>
        <row r="40">
          <cell r="I40">
            <v>236.02283937794408</v>
          </cell>
        </row>
        <row r="177">
          <cell r="I177">
            <v>1039.4746284124856</v>
          </cell>
        </row>
        <row r="194">
          <cell r="I194">
            <v>0.24812300654124883</v>
          </cell>
        </row>
      </sheetData>
      <sheetData sheetId="9">
        <row r="5">
          <cell r="I5">
            <v>588.93960769543526</v>
          </cell>
        </row>
      </sheetData>
      <sheetData sheetId="10"/>
      <sheetData sheetId="11"/>
      <sheetData sheetId="12"/>
      <sheetData sheetId="13"/>
      <sheetData sheetId="14"/>
      <sheetData sheetId="15"/>
      <sheetData sheetId="16"/>
      <sheetData sheetId="17"/>
      <sheetData sheetId="18"/>
      <sheetData sheetId="19"/>
      <sheetData sheetId="20">
        <row r="18">
          <cell r="F18">
            <v>3.7489999999999997</v>
          </cell>
        </row>
      </sheetData>
      <sheetData sheetId="21"/>
      <sheetData sheetId="22"/>
      <sheetData sheetId="23">
        <row r="6">
          <cell r="D6">
            <v>3.6700000000000008</v>
          </cell>
        </row>
        <row r="8">
          <cell r="D8">
            <v>1.7903333333333336</v>
          </cell>
        </row>
      </sheetData>
      <sheetData sheetId="24"/>
      <sheetData sheetId="25"/>
      <sheetData sheetId="2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688.46461637905236</v>
          </cell>
        </row>
      </sheetData>
      <sheetData sheetId="3">
        <row r="8">
          <cell r="E8">
            <v>545.91299753201679</v>
          </cell>
        </row>
      </sheetData>
      <sheetData sheetId="4"/>
      <sheetData sheetId="5">
        <row r="8">
          <cell r="E8">
            <v>142.55161884703551</v>
          </cell>
        </row>
      </sheetData>
      <sheetData sheetId="6"/>
      <sheetData sheetId="7">
        <row r="27">
          <cell r="H27">
            <v>209582.75</v>
          </cell>
        </row>
        <row r="28">
          <cell r="H28">
            <v>22876.5</v>
          </cell>
        </row>
        <row r="29">
          <cell r="H29">
            <v>791.66666666666663</v>
          </cell>
        </row>
        <row r="33">
          <cell r="H33">
            <v>485.47500000000002</v>
          </cell>
        </row>
        <row r="38">
          <cell r="H38">
            <v>20.100000000000001</v>
          </cell>
        </row>
        <row r="39">
          <cell r="H39">
            <v>224</v>
          </cell>
        </row>
        <row r="159">
          <cell r="H159">
            <v>2202.3359959279001</v>
          </cell>
        </row>
        <row r="176">
          <cell r="H176">
            <v>0.19929054441673613</v>
          </cell>
        </row>
      </sheetData>
      <sheetData sheetId="8">
        <row r="28">
          <cell r="H28">
            <v>110553.2</v>
          </cell>
        </row>
        <row r="29">
          <cell r="H29">
            <v>12180.125</v>
          </cell>
        </row>
        <row r="30">
          <cell r="H30">
            <v>675</v>
          </cell>
        </row>
        <row r="34">
          <cell r="H34">
            <v>304.47500000000002</v>
          </cell>
        </row>
        <row r="38">
          <cell r="H38">
            <v>16.3</v>
          </cell>
        </row>
        <row r="40">
          <cell r="H40">
            <v>166</v>
          </cell>
        </row>
        <row r="166">
          <cell r="H166">
            <v>712.29344203836001</v>
          </cell>
        </row>
        <row r="183">
          <cell r="H183">
            <v>0.16926833066567282</v>
          </cell>
        </row>
      </sheetData>
      <sheetData sheetId="9">
        <row r="5">
          <cell r="I5">
            <v>403.96287303972281</v>
          </cell>
        </row>
      </sheetData>
      <sheetData sheetId="10"/>
      <sheetData sheetId="11"/>
      <sheetData sheetId="12"/>
      <sheetData sheetId="13"/>
      <sheetData sheetId="14"/>
      <sheetData sheetId="15"/>
      <sheetData sheetId="16"/>
      <sheetData sheetId="17"/>
      <sheetData sheetId="18"/>
      <sheetData sheetId="19"/>
      <sheetData sheetId="20">
        <row r="18">
          <cell r="F18">
            <v>2.1772</v>
          </cell>
        </row>
      </sheetData>
      <sheetData sheetId="21"/>
      <sheetData sheetId="22"/>
      <sheetData sheetId="23">
        <row r="9">
          <cell r="D9">
            <v>4.1980000000000004</v>
          </cell>
        </row>
      </sheetData>
      <sheetData sheetId="24"/>
      <sheetData sheetId="25"/>
      <sheetData sheetId="2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 val="RESUMOb"/>
    </sheetNames>
    <sheetDataSet>
      <sheetData sheetId="0"/>
      <sheetData sheetId="1"/>
      <sheetData sheetId="2">
        <row r="20">
          <cell r="D20">
            <v>739.29557556540135</v>
          </cell>
        </row>
      </sheetData>
      <sheetData sheetId="3">
        <row r="8">
          <cell r="E8">
            <v>586.36311565227379</v>
          </cell>
        </row>
      </sheetData>
      <sheetData sheetId="4"/>
      <sheetData sheetId="5">
        <row r="8">
          <cell r="E8">
            <v>152.9324599131275</v>
          </cell>
        </row>
      </sheetData>
      <sheetData sheetId="6"/>
      <sheetData sheetId="7">
        <row r="27">
          <cell r="H27">
            <v>211125</v>
          </cell>
        </row>
        <row r="28">
          <cell r="H28">
            <v>22801.5</v>
          </cell>
        </row>
        <row r="29">
          <cell r="H29">
            <v>806.66666666666663</v>
          </cell>
        </row>
        <row r="33">
          <cell r="H33">
            <v>486.66666666666669</v>
          </cell>
        </row>
        <row r="38">
          <cell r="H38">
            <v>20.014285714285716</v>
          </cell>
        </row>
        <row r="39">
          <cell r="H39">
            <v>238</v>
          </cell>
        </row>
        <row r="159">
          <cell r="H159">
            <v>2215.9900065109218</v>
          </cell>
        </row>
        <row r="176">
          <cell r="H176">
            <v>0.21062732411995574</v>
          </cell>
        </row>
      </sheetData>
      <sheetData sheetId="8">
        <row r="28">
          <cell r="H28">
            <v>119037.5</v>
          </cell>
        </row>
        <row r="29">
          <cell r="H29">
            <v>12405.125</v>
          </cell>
        </row>
        <row r="30">
          <cell r="H30">
            <v>690</v>
          </cell>
        </row>
        <row r="34">
          <cell r="H34">
            <v>312.2833333333333</v>
          </cell>
        </row>
        <row r="38">
          <cell r="H38">
            <v>16.442857142857143</v>
          </cell>
        </row>
        <row r="166">
          <cell r="H166">
            <v>762.06231750285008</v>
          </cell>
        </row>
        <row r="183">
          <cell r="H183">
            <v>0.17889727608857128</v>
          </cell>
        </row>
      </sheetData>
      <sheetData sheetId="9">
        <row r="5">
          <cell r="I5">
            <v>438.73440291371099</v>
          </cell>
        </row>
      </sheetData>
      <sheetData sheetId="10"/>
      <sheetData sheetId="11"/>
      <sheetData sheetId="12"/>
      <sheetData sheetId="13"/>
      <sheetData sheetId="14"/>
      <sheetData sheetId="15"/>
      <sheetData sheetId="16"/>
      <sheetData sheetId="17"/>
      <sheetData sheetId="18"/>
      <sheetData sheetId="19"/>
      <sheetData sheetId="20">
        <row r="18">
          <cell r="F18">
            <v>2.4300000000000002</v>
          </cell>
        </row>
      </sheetData>
      <sheetData sheetId="21"/>
      <sheetData sheetId="22"/>
      <sheetData sheetId="23">
        <row r="9">
          <cell r="D9">
            <v>3.8880000000000003</v>
          </cell>
        </row>
      </sheetData>
      <sheetData sheetId="24"/>
      <sheetData sheetId="25"/>
      <sheetData sheetId="26"/>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 val="RESUMOr_FARMA"/>
      <sheetName val="Generalidades_FARMA"/>
      <sheetName val="Fracionada_FARMA"/>
    </sheetNames>
    <sheetDataSet>
      <sheetData sheetId="0"/>
      <sheetData sheetId="1"/>
      <sheetData sheetId="2">
        <row r="20">
          <cell r="D20">
            <v>757.02949200751323</v>
          </cell>
        </row>
      </sheetData>
      <sheetData sheetId="3">
        <row r="8">
          <cell r="E8">
            <v>598.54535432108912</v>
          </cell>
        </row>
      </sheetData>
      <sheetData sheetId="4"/>
      <sheetData sheetId="5">
        <row r="8">
          <cell r="E8">
            <v>158.48413768642411</v>
          </cell>
        </row>
      </sheetData>
      <sheetData sheetId="6"/>
      <sheetData sheetId="7">
        <row r="27">
          <cell r="H27">
            <v>201150</v>
          </cell>
        </row>
        <row r="28">
          <cell r="H28">
            <v>22696</v>
          </cell>
        </row>
        <row r="29">
          <cell r="H29">
            <v>777.5</v>
          </cell>
        </row>
        <row r="33">
          <cell r="H33">
            <v>489.66666666666669</v>
          </cell>
        </row>
        <row r="38">
          <cell r="H38">
            <v>20.228571428571431</v>
          </cell>
        </row>
        <row r="39">
          <cell r="H39">
            <v>241.97799999999998</v>
          </cell>
        </row>
        <row r="40">
          <cell r="H40">
            <v>2640.631596660091</v>
          </cell>
        </row>
        <row r="166">
          <cell r="H166">
            <v>2128.8537408699572</v>
          </cell>
        </row>
        <row r="183">
          <cell r="H183">
            <v>0.22450363439786472</v>
          </cell>
        </row>
      </sheetData>
      <sheetData sheetId="8">
        <row r="28">
          <cell r="H28">
            <v>124570</v>
          </cell>
        </row>
        <row r="29">
          <cell r="H29">
            <v>12434.875</v>
          </cell>
        </row>
        <row r="30">
          <cell r="H30">
            <v>690</v>
          </cell>
        </row>
        <row r="34">
          <cell r="H34">
            <v>297.96666666666664</v>
          </cell>
        </row>
        <row r="38">
          <cell r="H38">
            <v>16.585714285714285</v>
          </cell>
        </row>
        <row r="40">
          <cell r="H40">
            <v>171.99799999999999</v>
          </cell>
        </row>
        <row r="41">
          <cell r="H41">
            <v>2611.1222108316679</v>
          </cell>
        </row>
        <row r="42">
          <cell r="H42">
            <v>1779.6157254864452</v>
          </cell>
        </row>
        <row r="174">
          <cell r="H174">
            <v>797.70901959840012</v>
          </cell>
        </row>
        <row r="191">
          <cell r="H191">
            <v>0.19068318335986134</v>
          </cell>
        </row>
      </sheetData>
      <sheetData sheetId="9">
        <row r="5">
          <cell r="I5">
            <v>445.0410687123333</v>
          </cell>
        </row>
      </sheetData>
      <sheetData sheetId="10"/>
      <sheetData sheetId="11"/>
      <sheetData sheetId="12"/>
      <sheetData sheetId="13"/>
      <sheetData sheetId="14"/>
      <sheetData sheetId="15"/>
      <sheetData sheetId="16"/>
      <sheetData sheetId="17"/>
      <sheetData sheetId="18"/>
      <sheetData sheetId="19"/>
      <sheetData sheetId="20">
        <row r="18">
          <cell r="F18">
            <v>2.64</v>
          </cell>
        </row>
      </sheetData>
      <sheetData sheetId="21"/>
      <sheetData sheetId="22"/>
      <sheetData sheetId="23">
        <row r="8">
          <cell r="D8">
            <v>2.94</v>
          </cell>
        </row>
      </sheetData>
      <sheetData sheetId="24"/>
      <sheetData sheetId="25"/>
      <sheetData sheetId="26"/>
      <sheetData sheetId="27" refreshError="1"/>
      <sheetData sheetId="28" refreshError="1"/>
      <sheetData sheetId="2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832.27356814240386</v>
          </cell>
        </row>
      </sheetData>
      <sheetData sheetId="3">
        <row r="8">
          <cell r="E8">
            <v>652.83802589570018</v>
          </cell>
        </row>
      </sheetData>
      <sheetData sheetId="4"/>
      <sheetData sheetId="5">
        <row r="8">
          <cell r="E8">
            <v>179.43554224670368</v>
          </cell>
        </row>
      </sheetData>
      <sheetData sheetId="6"/>
      <sheetData sheetId="7">
        <row r="27">
          <cell r="H27">
            <v>197894</v>
          </cell>
        </row>
        <row r="28">
          <cell r="H28">
            <v>22696</v>
          </cell>
        </row>
        <row r="29">
          <cell r="H29">
            <v>829.5</v>
          </cell>
        </row>
        <row r="33">
          <cell r="H33">
            <v>469.22500000000002</v>
          </cell>
        </row>
        <row r="38">
          <cell r="H38">
            <v>20.75714285714286</v>
          </cell>
        </row>
        <row r="39">
          <cell r="H39">
            <v>262.93799999999999</v>
          </cell>
        </row>
        <row r="166">
          <cell r="H166">
            <v>2098.8788378228965</v>
          </cell>
        </row>
        <row r="183">
          <cell r="H183">
            <v>0.24673808071568518</v>
          </cell>
        </row>
      </sheetData>
      <sheetData sheetId="8">
        <row r="28">
          <cell r="H28">
            <v>127563</v>
          </cell>
        </row>
        <row r="29">
          <cell r="H29">
            <v>12472.375</v>
          </cell>
        </row>
        <row r="30">
          <cell r="H30">
            <v>670</v>
          </cell>
        </row>
        <row r="34">
          <cell r="H34">
            <v>293.45</v>
          </cell>
        </row>
        <row r="38">
          <cell r="H38">
            <v>17.185714285714283</v>
          </cell>
        </row>
        <row r="40">
          <cell r="H40">
            <v>190.97800000000001</v>
          </cell>
        </row>
        <row r="174">
          <cell r="H174">
            <v>814.88747388230013</v>
          </cell>
        </row>
        <row r="191">
          <cell r="H191">
            <v>0.20956811150588991</v>
          </cell>
        </row>
      </sheetData>
      <sheetData sheetId="9">
        <row r="5">
          <cell r="I5">
            <v>486.34971101290904</v>
          </cell>
        </row>
      </sheetData>
      <sheetData sheetId="10"/>
      <sheetData sheetId="11"/>
      <sheetData sheetId="12"/>
      <sheetData sheetId="13"/>
      <sheetData sheetId="14"/>
      <sheetData sheetId="15"/>
      <sheetData sheetId="16"/>
      <sheetData sheetId="17"/>
      <sheetData sheetId="18"/>
      <sheetData sheetId="19"/>
      <sheetData sheetId="20">
        <row r="18">
          <cell r="F18">
            <v>3.0830000000000006</v>
          </cell>
        </row>
      </sheetData>
      <sheetData sheetId="21"/>
      <sheetData sheetId="22"/>
      <sheetData sheetId="23">
        <row r="8">
          <cell r="D8">
            <v>3.0158333333333336</v>
          </cell>
        </row>
      </sheetData>
      <sheetData sheetId="24"/>
      <sheetData sheetId="25"/>
      <sheetData sheetId="2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908.89057187779667</v>
          </cell>
        </row>
      </sheetData>
      <sheetData sheetId="3">
        <row r="8">
          <cell r="E8">
            <v>711.64542261109409</v>
          </cell>
        </row>
      </sheetData>
      <sheetData sheetId="4"/>
      <sheetData sheetId="5">
        <row r="8">
          <cell r="E8">
            <v>197.24514926670261</v>
          </cell>
        </row>
      </sheetData>
      <sheetData sheetId="6"/>
      <sheetData sheetId="7">
        <row r="27">
          <cell r="H27">
            <v>202114</v>
          </cell>
        </row>
        <row r="28">
          <cell r="H28">
            <v>23141.3</v>
          </cell>
        </row>
        <row r="29">
          <cell r="H29">
            <v>839.95</v>
          </cell>
        </row>
        <row r="33">
          <cell r="H33">
            <v>474.20000000000005</v>
          </cell>
        </row>
        <row r="38">
          <cell r="H38">
            <v>21.142857142857146</v>
          </cell>
        </row>
        <row r="39">
          <cell r="H39">
            <v>285.02479199999999</v>
          </cell>
        </row>
        <row r="167">
          <cell r="H167">
            <v>2143.0548356119893</v>
          </cell>
        </row>
        <row r="184">
          <cell r="H184">
            <v>0.26932652300188842</v>
          </cell>
        </row>
      </sheetData>
      <sheetData sheetId="8">
        <row r="28">
          <cell r="H28">
            <v>135531</v>
          </cell>
        </row>
        <row r="29">
          <cell r="H29">
            <v>12782.648046875</v>
          </cell>
        </row>
        <row r="30">
          <cell r="H30">
            <v>690</v>
          </cell>
        </row>
        <row r="34">
          <cell r="H34">
            <v>303.42499999999995</v>
          </cell>
        </row>
        <row r="38">
          <cell r="H38">
            <v>17.442857142857143</v>
          </cell>
        </row>
        <row r="40">
          <cell r="H40">
            <v>207.020152</v>
          </cell>
        </row>
        <row r="175">
          <cell r="H175">
            <v>862.36684831657203</v>
          </cell>
        </row>
        <row r="192">
          <cell r="H192">
            <v>0.22875370773833428</v>
          </cell>
        </row>
      </sheetData>
      <sheetData sheetId="9">
        <row r="5">
          <cell r="I5">
            <v>528.03357505562326</v>
          </cell>
        </row>
      </sheetData>
      <sheetData sheetId="10"/>
      <sheetData sheetId="11"/>
      <sheetData sheetId="12"/>
      <sheetData sheetId="13"/>
      <sheetData sheetId="14"/>
      <sheetData sheetId="15"/>
      <sheetData sheetId="16"/>
      <sheetData sheetId="17"/>
      <sheetData sheetId="18"/>
      <sheetData sheetId="19"/>
      <sheetData sheetId="20">
        <row r="18">
          <cell r="F18">
            <v>3.1469999999999994</v>
          </cell>
        </row>
      </sheetData>
      <sheetData sheetId="21"/>
      <sheetData sheetId="22"/>
      <sheetData sheetId="23">
        <row r="8">
          <cell r="D8">
            <v>2.4578333333333338</v>
          </cell>
        </row>
      </sheetData>
      <sheetData sheetId="24"/>
      <sheetData sheetId="25"/>
      <sheetData sheetId="2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933.24630077359154</v>
          </cell>
        </row>
      </sheetData>
      <sheetData sheetId="3">
        <row r="8">
          <cell r="E8">
            <v>733.26852866931506</v>
          </cell>
        </row>
      </sheetData>
      <sheetData sheetId="4"/>
      <sheetData sheetId="5">
        <row r="8">
          <cell r="E8">
            <v>199.97777210427651</v>
          </cell>
        </row>
      </sheetData>
      <sheetData sheetId="6"/>
      <sheetData sheetId="7">
        <row r="27">
          <cell r="H27">
            <v>239536</v>
          </cell>
        </row>
        <row r="28">
          <cell r="H28">
            <v>23540.05</v>
          </cell>
        </row>
        <row r="29">
          <cell r="H29">
            <v>882.4</v>
          </cell>
        </row>
        <row r="33">
          <cell r="H33">
            <v>501.15</v>
          </cell>
        </row>
        <row r="38">
          <cell r="H38">
            <v>21.485714285714288</v>
          </cell>
        </row>
        <row r="39">
          <cell r="H39">
            <v>296.9388283056</v>
          </cell>
        </row>
        <row r="167">
          <cell r="H167">
            <v>2497.6696099804744</v>
          </cell>
        </row>
        <row r="184">
          <cell r="H184">
            <v>0.27371631811508168</v>
          </cell>
        </row>
      </sheetData>
      <sheetData sheetId="8">
        <row r="28">
          <cell r="H28">
            <v>149010</v>
          </cell>
        </row>
        <row r="29">
          <cell r="H29">
            <v>13032.748046875</v>
          </cell>
        </row>
        <row r="30">
          <cell r="H30">
            <v>704.9</v>
          </cell>
        </row>
        <row r="34">
          <cell r="H34">
            <v>313.39999999999998</v>
          </cell>
        </row>
        <row r="38">
          <cell r="H38">
            <v>17.642857142857142</v>
          </cell>
        </row>
        <row r="40">
          <cell r="H40">
            <v>215.67047199999996</v>
          </cell>
        </row>
        <row r="175">
          <cell r="H175">
            <v>940.84136920042226</v>
          </cell>
        </row>
        <row r="192">
          <cell r="H192">
            <v>0.2324822001911461</v>
          </cell>
        </row>
      </sheetData>
      <sheetData sheetId="9">
        <row r="5">
          <cell r="I5">
            <v>545.03788134231831</v>
          </cell>
        </row>
      </sheetData>
      <sheetData sheetId="10"/>
      <sheetData sheetId="11"/>
      <sheetData sheetId="12"/>
      <sheetData sheetId="13"/>
      <sheetData sheetId="14"/>
      <sheetData sheetId="15"/>
      <sheetData sheetId="16"/>
      <sheetData sheetId="17"/>
      <sheetData sheetId="18"/>
      <sheetData sheetId="19"/>
      <sheetData sheetId="20">
        <row r="18">
          <cell r="F18">
            <v>3.343</v>
          </cell>
        </row>
      </sheetData>
      <sheetData sheetId="21"/>
      <sheetData sheetId="22"/>
      <sheetData sheetId="23">
        <row r="8">
          <cell r="D8">
            <v>2.3911666666666673</v>
          </cell>
        </row>
      </sheetData>
      <sheetData sheetId="24"/>
      <sheetData sheetId="25"/>
      <sheetData sheetId="2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987.20734708519467</v>
          </cell>
        </row>
      </sheetData>
      <sheetData sheetId="3">
        <row r="8">
          <cell r="E8">
            <v>770.02716406754075</v>
          </cell>
        </row>
      </sheetData>
      <sheetData sheetId="4"/>
      <sheetData sheetId="5">
        <row r="8">
          <cell r="E8">
            <v>217.18018301765397</v>
          </cell>
        </row>
      </sheetData>
      <sheetData sheetId="6"/>
      <sheetData sheetId="7">
        <row r="27">
          <cell r="H27">
            <v>246430</v>
          </cell>
        </row>
        <row r="28">
          <cell r="H28">
            <v>24226.524999999998</v>
          </cell>
        </row>
        <row r="29">
          <cell r="H29">
            <v>899.9</v>
          </cell>
        </row>
        <row r="33">
          <cell r="H33">
            <v>512.4</v>
          </cell>
        </row>
        <row r="38">
          <cell r="H38">
            <v>22.642857142857146</v>
          </cell>
        </row>
        <row r="39">
          <cell r="H39">
            <v>310.30107557935202</v>
          </cell>
        </row>
        <row r="167">
          <cell r="H167">
            <v>2569.4184510969289</v>
          </cell>
        </row>
        <row r="184">
          <cell r="H184">
            <v>0.28459172192152804</v>
          </cell>
        </row>
      </sheetData>
      <sheetData sheetId="8">
        <row r="28">
          <cell r="I28">
            <v>152787</v>
          </cell>
        </row>
        <row r="29">
          <cell r="I29">
            <v>13384.748046875</v>
          </cell>
        </row>
        <row r="30">
          <cell r="I30">
            <v>718.9</v>
          </cell>
        </row>
        <row r="34">
          <cell r="I34">
            <v>330.4</v>
          </cell>
        </row>
        <row r="38">
          <cell r="H38">
            <v>18.642857142857142</v>
          </cell>
        </row>
        <row r="40">
          <cell r="I40">
            <v>225.37564323999999</v>
          </cell>
        </row>
        <row r="177">
          <cell r="I177">
            <v>964.66781413665547</v>
          </cell>
        </row>
        <row r="194">
          <cell r="I194">
            <v>0.24171927389687528</v>
          </cell>
        </row>
      </sheetData>
      <sheetData sheetId="9">
        <row r="5">
          <cell r="I5">
            <v>562.05447557298635</v>
          </cell>
        </row>
      </sheetData>
      <sheetData sheetId="10"/>
      <sheetData sheetId="11"/>
      <sheetData sheetId="12"/>
      <sheetData sheetId="13"/>
      <sheetData sheetId="14"/>
      <sheetData sheetId="15"/>
      <sheetData sheetId="16"/>
      <sheetData sheetId="17"/>
      <sheetData sheetId="18"/>
      <sheetData sheetId="19"/>
      <sheetData sheetId="20">
        <row r="18">
          <cell r="F18">
            <v>3.7989999999999999</v>
          </cell>
        </row>
      </sheetData>
      <sheetData sheetId="21"/>
      <sheetData sheetId="22"/>
      <sheetData sheetId="23">
        <row r="8">
          <cell r="D8">
            <v>1.7903333333333336</v>
          </cell>
        </row>
      </sheetData>
      <sheetData sheetId="24"/>
      <sheetData sheetId="25"/>
      <sheetData sheetId="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690.95272431103353</v>
          </cell>
        </row>
      </sheetData>
      <sheetData sheetId="3">
        <row r="8">
          <cell r="E8">
            <v>547.38425637326282</v>
          </cell>
        </row>
      </sheetData>
      <sheetData sheetId="4"/>
      <sheetData sheetId="5">
        <row r="8">
          <cell r="E8">
            <v>143.56846793777075</v>
          </cell>
        </row>
      </sheetData>
      <sheetData sheetId="6"/>
      <sheetData sheetId="7">
        <row r="27">
          <cell r="H27">
            <v>211507.75</v>
          </cell>
        </row>
        <row r="28">
          <cell r="H28">
            <v>22801.5</v>
          </cell>
        </row>
        <row r="29">
          <cell r="H29">
            <v>800</v>
          </cell>
        </row>
        <row r="33">
          <cell r="H33">
            <v>484.98333333333335</v>
          </cell>
        </row>
        <row r="38">
          <cell r="H38">
            <v>20.100000000000001</v>
          </cell>
        </row>
        <row r="39">
          <cell r="H39">
            <v>230</v>
          </cell>
        </row>
        <row r="159">
          <cell r="H159">
            <v>2219.5708099257977</v>
          </cell>
        </row>
        <row r="176">
          <cell r="H176">
            <v>0.20328255796737682</v>
          </cell>
        </row>
      </sheetData>
      <sheetData sheetId="8">
        <row r="28">
          <cell r="H28">
            <v>112053.2</v>
          </cell>
        </row>
        <row r="29">
          <cell r="H29">
            <v>12405.125</v>
          </cell>
        </row>
        <row r="30">
          <cell r="H30">
            <v>690</v>
          </cell>
        </row>
        <row r="34">
          <cell r="H34">
            <v>308.31666666666666</v>
          </cell>
        </row>
        <row r="38">
          <cell r="H38">
            <v>16.3</v>
          </cell>
        </row>
        <row r="40">
          <cell r="H40">
            <v>171</v>
          </cell>
        </row>
        <row r="166">
          <cell r="H166">
            <v>722.26244016836006</v>
          </cell>
        </row>
        <row r="183">
          <cell r="H183">
            <v>0.17265896553843776</v>
          </cell>
        </row>
      </sheetData>
      <sheetData sheetId="9">
        <row r="5">
          <cell r="I5">
            <v>403.96287303972281</v>
          </cell>
        </row>
      </sheetData>
      <sheetData sheetId="10"/>
      <sheetData sheetId="11"/>
      <sheetData sheetId="12"/>
      <sheetData sheetId="13"/>
      <sheetData sheetId="14"/>
      <sheetData sheetId="15"/>
      <sheetData sheetId="16"/>
      <sheetData sheetId="17"/>
      <sheetData sheetId="18"/>
      <sheetData sheetId="19"/>
      <sheetData sheetId="20">
        <row r="18">
          <cell r="F18">
            <v>2.2429999999999999</v>
          </cell>
        </row>
      </sheetData>
      <sheetData sheetId="21"/>
      <sheetData sheetId="22"/>
      <sheetData sheetId="23">
        <row r="9">
          <cell r="D9">
            <v>4.0980000000000008</v>
          </cell>
        </row>
      </sheetData>
      <sheetData sheetId="24"/>
      <sheetData sheetId="25"/>
      <sheetData sheetId="2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row r="5">
          <cell r="E5">
            <v>28.349075645174445</v>
          </cell>
        </row>
      </sheetData>
      <sheetData sheetId="1"/>
      <sheetData sheetId="2">
        <row r="20">
          <cell r="D20">
            <v>1033.62996447102</v>
          </cell>
        </row>
      </sheetData>
      <sheetData sheetId="3">
        <row r="8">
          <cell r="E8">
            <v>808.40435687991578</v>
          </cell>
        </row>
      </sheetData>
      <sheetData sheetId="4"/>
      <sheetData sheetId="5">
        <row r="8">
          <cell r="E8">
            <v>225.22560759110422</v>
          </cell>
        </row>
      </sheetData>
      <sheetData sheetId="6"/>
      <sheetData sheetId="7">
        <row r="27">
          <cell r="H27">
            <v>280196</v>
          </cell>
        </row>
        <row r="28">
          <cell r="H28">
            <v>24693.587499999998</v>
          </cell>
        </row>
        <row r="29">
          <cell r="H29">
            <v>912.9</v>
          </cell>
        </row>
        <row r="33">
          <cell r="H33">
            <v>524.9</v>
          </cell>
        </row>
        <row r="38">
          <cell r="H38">
            <v>23.214285714285719</v>
          </cell>
        </row>
        <row r="39">
          <cell r="H39">
            <v>324.96031899187176</v>
          </cell>
        </row>
        <row r="167">
          <cell r="H167">
            <v>2890.2595315453141</v>
          </cell>
        </row>
        <row r="184">
          <cell r="H184">
            <v>0.29291128038403685</v>
          </cell>
        </row>
      </sheetData>
      <sheetData sheetId="8">
        <row r="28">
          <cell r="I28">
            <v>165800</v>
          </cell>
        </row>
        <row r="29">
          <cell r="I29">
            <v>13712.223046874999</v>
          </cell>
        </row>
        <row r="30">
          <cell r="I30">
            <v>729.4</v>
          </cell>
        </row>
        <row r="34">
          <cell r="I34">
            <v>340.4</v>
          </cell>
        </row>
        <row r="38">
          <cell r="I38">
            <v>19.071428571428573</v>
          </cell>
        </row>
        <row r="40">
          <cell r="I40">
            <v>236.02283937794408</v>
          </cell>
        </row>
        <row r="177">
          <cell r="I177">
            <v>1040.9505341195188</v>
          </cell>
        </row>
        <row r="194">
          <cell r="I194">
            <v>0.24799884705390518</v>
          </cell>
        </row>
      </sheetData>
      <sheetData sheetId="9">
        <row r="5">
          <cell r="I5">
            <v>589.00652911042903</v>
          </cell>
        </row>
      </sheetData>
      <sheetData sheetId="10"/>
      <sheetData sheetId="11"/>
      <sheetData sheetId="12"/>
      <sheetData sheetId="13"/>
      <sheetData sheetId="14"/>
      <sheetData sheetId="15"/>
      <sheetData sheetId="16"/>
      <sheetData sheetId="17"/>
      <sheetData sheetId="18"/>
      <sheetData sheetId="19"/>
      <sheetData sheetId="20">
        <row r="18">
          <cell r="F18">
            <v>3.7850000000000001</v>
          </cell>
        </row>
      </sheetData>
      <sheetData sheetId="21"/>
      <sheetData sheetId="22"/>
      <sheetData sheetId="23">
        <row r="8">
          <cell r="D8">
            <v>1.7903333333333336</v>
          </cell>
        </row>
      </sheetData>
      <sheetData sheetId="24"/>
      <sheetData sheetId="25"/>
      <sheetData sheetId="2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689.11061593369254</v>
          </cell>
        </row>
      </sheetData>
      <sheetData sheetId="3">
        <row r="8">
          <cell r="E8">
            <v>546.28525554662667</v>
          </cell>
        </row>
      </sheetData>
      <sheetData sheetId="4"/>
      <sheetData sheetId="5">
        <row r="8">
          <cell r="E8">
            <v>142.82536038706587</v>
          </cell>
        </row>
      </sheetData>
      <sheetData sheetId="6"/>
      <sheetData sheetId="7">
        <row r="27">
          <cell r="H27">
            <v>211207.75</v>
          </cell>
        </row>
        <row r="28">
          <cell r="H28">
            <v>22801.5</v>
          </cell>
        </row>
        <row r="29">
          <cell r="H29">
            <v>791.66666666666663</v>
          </cell>
        </row>
        <row r="33">
          <cell r="H33">
            <v>485.47500000000002</v>
          </cell>
        </row>
        <row r="38">
          <cell r="H38">
            <v>20.100000000000001</v>
          </cell>
        </row>
        <row r="39">
          <cell r="H39">
            <v>224</v>
          </cell>
        </row>
        <row r="159">
          <cell r="H159">
            <v>2216.7641710637135</v>
          </cell>
        </row>
        <row r="176">
          <cell r="H176">
            <v>0.20070550728209499</v>
          </cell>
        </row>
      </sheetData>
      <sheetData sheetId="8">
        <row r="28">
          <cell r="H28">
            <v>111993.2</v>
          </cell>
        </row>
        <row r="29">
          <cell r="H29">
            <v>12405.125</v>
          </cell>
        </row>
        <row r="30">
          <cell r="H30">
            <v>675</v>
          </cell>
        </row>
        <row r="34">
          <cell r="H34">
            <v>304.47500000000002</v>
          </cell>
        </row>
        <row r="38">
          <cell r="H38">
            <v>16.3</v>
          </cell>
        </row>
        <row r="40">
          <cell r="H40">
            <v>166</v>
          </cell>
        </row>
        <row r="166">
          <cell r="H166">
            <v>721.92053151035998</v>
          </cell>
        </row>
        <row r="183">
          <cell r="H183">
            <v>0.17047013581339912</v>
          </cell>
        </row>
      </sheetData>
      <sheetData sheetId="9">
        <row r="5">
          <cell r="I5">
            <v>403.96287303972281</v>
          </cell>
        </row>
      </sheetData>
      <sheetData sheetId="10"/>
      <sheetData sheetId="11"/>
      <sheetData sheetId="12"/>
      <sheetData sheetId="13"/>
      <sheetData sheetId="14"/>
      <sheetData sheetId="15"/>
      <sheetData sheetId="16"/>
      <sheetData sheetId="17"/>
      <sheetData sheetId="18"/>
      <sheetData sheetId="19"/>
      <sheetData sheetId="20">
        <row r="18">
          <cell r="F18">
            <v>2.1970000000000001</v>
          </cell>
        </row>
      </sheetData>
      <sheetData sheetId="21"/>
      <sheetData sheetId="22"/>
      <sheetData sheetId="23">
        <row r="9">
          <cell r="D9">
            <v>4.0980000000000008</v>
          </cell>
        </row>
      </sheetData>
      <sheetData sheetId="24"/>
      <sheetData sheetId="25"/>
      <sheetData sheetId="2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740.75238918433809</v>
          </cell>
        </row>
      </sheetData>
      <sheetData sheetId="3">
        <row r="8">
          <cell r="E8">
            <v>587.15575486693569</v>
          </cell>
        </row>
      </sheetData>
      <sheetData sheetId="4"/>
      <sheetData sheetId="5">
        <row r="8">
          <cell r="E8">
            <v>153.59663431740239</v>
          </cell>
        </row>
      </sheetData>
      <sheetData sheetId="6"/>
      <sheetData sheetId="7">
        <row r="27">
          <cell r="H27">
            <v>211125</v>
          </cell>
        </row>
        <row r="28">
          <cell r="H28">
            <v>22801.5</v>
          </cell>
        </row>
        <row r="29">
          <cell r="H29">
            <v>806.66666666666663</v>
          </cell>
        </row>
        <row r="33">
          <cell r="H33">
            <v>486.66666666666669</v>
          </cell>
        </row>
        <row r="38">
          <cell r="H38">
            <v>20.014285714285716</v>
          </cell>
        </row>
        <row r="39">
          <cell r="H39">
            <v>238</v>
          </cell>
        </row>
        <row r="159">
          <cell r="H159">
            <v>2215.9900065109218</v>
          </cell>
        </row>
        <row r="176">
          <cell r="H176">
            <v>0.21191215079708747</v>
          </cell>
        </row>
      </sheetData>
      <sheetData sheetId="8">
        <row r="28">
          <cell r="H28">
            <v>119687.5</v>
          </cell>
        </row>
        <row r="29">
          <cell r="H29">
            <v>12405.125</v>
          </cell>
        </row>
        <row r="30">
          <cell r="H30">
            <v>690</v>
          </cell>
        </row>
        <row r="34">
          <cell r="H34">
            <v>312.2833333333333</v>
          </cell>
        </row>
        <row r="38">
          <cell r="H38">
            <v>16.442857142857143</v>
          </cell>
        </row>
        <row r="166">
          <cell r="H166">
            <v>765.76632796451679</v>
          </cell>
        </row>
        <row r="183">
          <cell r="H183">
            <v>0.17998854947271156</v>
          </cell>
        </row>
      </sheetData>
      <sheetData sheetId="9">
        <row r="5">
          <cell r="I5">
            <v>438.78445379330037</v>
          </cell>
        </row>
      </sheetData>
      <sheetData sheetId="10"/>
      <sheetData sheetId="11"/>
      <sheetData sheetId="12"/>
      <sheetData sheetId="13"/>
      <sheetData sheetId="14"/>
      <sheetData sheetId="15"/>
      <sheetData sheetId="16"/>
      <sheetData sheetId="17"/>
      <sheetData sheetId="18"/>
      <sheetData sheetId="19"/>
      <sheetData sheetId="20">
        <row r="18">
          <cell r="F18">
            <v>2.4289999999999998</v>
          </cell>
        </row>
      </sheetData>
      <sheetData sheetId="21"/>
      <sheetData sheetId="22"/>
      <sheetData sheetId="23">
        <row r="9">
          <cell r="D9">
            <v>3.8880000000000003</v>
          </cell>
        </row>
      </sheetData>
      <sheetData sheetId="24"/>
      <sheetData sheetId="25"/>
      <sheetData sheetId="2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762.22155747351758</v>
          </cell>
        </row>
      </sheetData>
      <sheetData sheetId="3">
        <row r="8">
          <cell r="E8">
            <v>600.63751721481219</v>
          </cell>
        </row>
      </sheetData>
      <sheetData sheetId="4"/>
      <sheetData sheetId="5">
        <row r="8">
          <cell r="E8">
            <v>161.58404025870544</v>
          </cell>
        </row>
      </sheetData>
      <sheetData sheetId="6"/>
      <sheetData sheetId="7">
        <row r="27">
          <cell r="H27">
            <v>199300</v>
          </cell>
        </row>
        <row r="28">
          <cell r="H28">
            <v>22696</v>
          </cell>
        </row>
        <row r="29">
          <cell r="H29">
            <v>777.5</v>
          </cell>
        </row>
        <row r="33">
          <cell r="H33">
            <v>489.66666666666669</v>
          </cell>
        </row>
        <row r="38">
          <cell r="H38">
            <v>20.228571428571431</v>
          </cell>
        </row>
        <row r="39">
          <cell r="H39">
            <v>247.958</v>
          </cell>
        </row>
        <row r="40">
          <cell r="H40">
            <v>2640.631596660091</v>
          </cell>
        </row>
        <row r="166">
          <cell r="H166">
            <v>2111.5461345537706</v>
          </cell>
        </row>
        <row r="183">
          <cell r="H183">
            <v>0.22535674820857662</v>
          </cell>
        </row>
      </sheetData>
      <sheetData sheetId="8">
        <row r="28">
          <cell r="H28">
            <v>125164</v>
          </cell>
        </row>
        <row r="29">
          <cell r="H29">
            <v>12434.875</v>
          </cell>
        </row>
        <row r="30">
          <cell r="H30">
            <v>690</v>
          </cell>
        </row>
        <row r="34">
          <cell r="H34">
            <v>297.96666666666664</v>
          </cell>
        </row>
        <row r="38">
          <cell r="H38">
            <v>16.585714285714285</v>
          </cell>
        </row>
        <row r="40">
          <cell r="H40">
            <v>178.97800000000001</v>
          </cell>
        </row>
        <row r="41">
          <cell r="H41">
            <v>2611.1222108316679</v>
          </cell>
        </row>
        <row r="42">
          <cell r="H42">
            <v>1779.6157254864452</v>
          </cell>
        </row>
        <row r="174">
          <cell r="H174">
            <v>801.09391531260007</v>
          </cell>
        </row>
        <row r="191">
          <cell r="H191">
            <v>0.19140777945662882</v>
          </cell>
        </row>
      </sheetData>
      <sheetData sheetId="9">
        <row r="5">
          <cell r="I5">
            <v>445.07295872551498</v>
          </cell>
        </row>
      </sheetData>
      <sheetData sheetId="10"/>
      <sheetData sheetId="11"/>
      <sheetData sheetId="12"/>
      <sheetData sheetId="13"/>
      <sheetData sheetId="14"/>
      <sheetData sheetId="15"/>
      <sheetData sheetId="16"/>
      <sheetData sheetId="17"/>
      <sheetData sheetId="18"/>
      <sheetData sheetId="19"/>
      <sheetData sheetId="20">
        <row r="18">
          <cell r="F18">
            <v>2.7510000000000003</v>
          </cell>
        </row>
      </sheetData>
      <sheetData sheetId="21"/>
      <sheetData sheetId="22"/>
      <sheetData sheetId="23">
        <row r="8">
          <cell r="D8">
            <v>2.94</v>
          </cell>
        </row>
      </sheetData>
      <sheetData sheetId="24"/>
      <sheetData sheetId="25"/>
      <sheetData sheetId="2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835.54588920495542</v>
          </cell>
        </row>
      </sheetData>
      <sheetData sheetId="3">
        <row r="8">
          <cell r="E8">
            <v>654.1146126145087</v>
          </cell>
        </row>
      </sheetData>
      <sheetData sheetId="4"/>
      <sheetData sheetId="5">
        <row r="8">
          <cell r="E8">
            <v>181.43127659044669</v>
          </cell>
        </row>
      </sheetData>
      <sheetData sheetId="6"/>
      <sheetData sheetId="7">
        <row r="27">
          <cell r="H27">
            <v>190000</v>
          </cell>
        </row>
        <row r="28">
          <cell r="H28">
            <v>22696</v>
          </cell>
        </row>
        <row r="29">
          <cell r="H29">
            <v>829.5</v>
          </cell>
        </row>
        <row r="33">
          <cell r="H33">
            <v>469.22500000000002</v>
          </cell>
        </row>
        <row r="38">
          <cell r="H38">
            <v>20.75714285714286</v>
          </cell>
        </row>
        <row r="39">
          <cell r="H39">
            <v>262.93799999999999</v>
          </cell>
        </row>
        <row r="166">
          <cell r="H166">
            <v>2025.0268138985821</v>
          </cell>
        </row>
        <row r="183">
          <cell r="H183">
            <v>0.24863796393719595</v>
          </cell>
        </row>
      </sheetData>
      <sheetData sheetId="8">
        <row r="28">
          <cell r="H28">
            <v>126621</v>
          </cell>
        </row>
        <row r="29">
          <cell r="H29">
            <v>12472.375</v>
          </cell>
        </row>
        <row r="30">
          <cell r="H30">
            <v>670</v>
          </cell>
        </row>
        <row r="34">
          <cell r="H34">
            <v>293.45</v>
          </cell>
        </row>
        <row r="38">
          <cell r="H38">
            <v>17.185714285714283</v>
          </cell>
        </row>
        <row r="40">
          <cell r="H40">
            <v>190.97800000000001</v>
          </cell>
        </row>
        <row r="174">
          <cell r="H174">
            <v>809.51950795169989</v>
          </cell>
        </row>
        <row r="191">
          <cell r="H191">
            <v>0.21118178596448528</v>
          </cell>
        </row>
      </sheetData>
      <sheetData sheetId="9">
        <row r="5">
          <cell r="I5">
            <v>486.42293111007984</v>
          </cell>
        </row>
      </sheetData>
      <sheetData sheetId="10"/>
      <sheetData sheetId="11"/>
      <sheetData sheetId="12"/>
      <sheetData sheetId="13"/>
      <sheetData sheetId="14"/>
      <sheetData sheetId="15"/>
      <sheetData sheetId="16"/>
      <sheetData sheetId="17"/>
      <sheetData sheetId="18"/>
      <sheetData sheetId="19"/>
      <sheetData sheetId="20">
        <row r="18">
          <cell r="F18">
            <v>3.1230000000000007</v>
          </cell>
        </row>
      </sheetData>
      <sheetData sheetId="21"/>
      <sheetData sheetId="22"/>
      <sheetData sheetId="23">
        <row r="8">
          <cell r="D8">
            <v>3.0158333333333336</v>
          </cell>
        </row>
      </sheetData>
      <sheetData sheetId="24"/>
      <sheetData sheetId="25"/>
      <sheetData sheetId="2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909.36192751690521</v>
          </cell>
        </row>
      </sheetData>
      <sheetData sheetId="3">
        <row r="8">
          <cell r="E8">
            <v>711.97359851772455</v>
          </cell>
        </row>
      </sheetData>
      <sheetData sheetId="4"/>
      <sheetData sheetId="5">
        <row r="8">
          <cell r="E8">
            <v>197.38832899918063</v>
          </cell>
        </row>
      </sheetData>
      <sheetData sheetId="6"/>
      <sheetData sheetId="7">
        <row r="27">
          <cell r="H27">
            <v>202675</v>
          </cell>
        </row>
        <row r="28">
          <cell r="H28">
            <v>23141.3</v>
          </cell>
        </row>
        <row r="29">
          <cell r="H29">
            <v>839.95</v>
          </cell>
        </row>
        <row r="33">
          <cell r="H33">
            <v>474.20000000000005</v>
          </cell>
        </row>
        <row r="38">
          <cell r="H38">
            <v>21.142857142857146</v>
          </cell>
        </row>
        <row r="39">
          <cell r="H39">
            <v>285.02479199999999</v>
          </cell>
        </row>
        <row r="167">
          <cell r="H167">
            <v>2148.3032502840874</v>
          </cell>
        </row>
        <row r="184">
          <cell r="H184">
            <v>0.26978437809099165</v>
          </cell>
        </row>
      </sheetData>
      <sheetData sheetId="8">
        <row r="28">
          <cell r="H28">
            <v>136293</v>
          </cell>
        </row>
        <row r="29">
          <cell r="H29">
            <v>12782.648046875</v>
          </cell>
        </row>
        <row r="30">
          <cell r="H30">
            <v>690</v>
          </cell>
        </row>
        <row r="34">
          <cell r="H34">
            <v>303.42499999999995</v>
          </cell>
        </row>
        <row r="38">
          <cell r="H38">
            <v>17.442857142857143</v>
          </cell>
        </row>
        <row r="40">
          <cell r="H40">
            <v>207.020152</v>
          </cell>
        </row>
        <row r="175">
          <cell r="H175">
            <v>866.70908827317226</v>
          </cell>
        </row>
        <row r="192">
          <cell r="H192">
            <v>0.22914258904148946</v>
          </cell>
        </row>
      </sheetData>
      <sheetData sheetId="9">
        <row r="5">
          <cell r="I5">
            <v>528.26206334466713</v>
          </cell>
        </row>
      </sheetData>
      <sheetData sheetId="10"/>
      <sheetData sheetId="11"/>
      <sheetData sheetId="12"/>
      <sheetData sheetId="13"/>
      <sheetData sheetId="14"/>
      <sheetData sheetId="15"/>
      <sheetData sheetId="16"/>
      <sheetData sheetId="17"/>
      <sheetData sheetId="18"/>
      <sheetData sheetId="19"/>
      <sheetData sheetId="20">
        <row r="18">
          <cell r="F18">
            <v>3.1280000000000001</v>
          </cell>
        </row>
      </sheetData>
      <sheetData sheetId="21"/>
      <sheetData sheetId="22"/>
      <sheetData sheetId="23">
        <row r="8">
          <cell r="D8">
            <v>2.3911666666666673</v>
          </cell>
        </row>
      </sheetData>
      <sheetData sheetId="24"/>
      <sheetData sheetId="25"/>
      <sheetData sheetId="2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934.01324966508321</v>
          </cell>
        </row>
      </sheetData>
      <sheetData sheetId="3">
        <row r="8">
          <cell r="E8">
            <v>734.14217813829907</v>
          </cell>
        </row>
      </sheetData>
      <sheetData sheetId="4"/>
      <sheetData sheetId="5">
        <row r="8">
          <cell r="E8">
            <v>199.87107152678414</v>
          </cell>
        </row>
      </sheetData>
      <sheetData sheetId="6"/>
      <sheetData sheetId="7">
        <row r="27">
          <cell r="H27">
            <v>241260</v>
          </cell>
        </row>
        <row r="28">
          <cell r="H28">
            <v>23540.05</v>
          </cell>
        </row>
        <row r="29">
          <cell r="H29">
            <v>894.9</v>
          </cell>
        </row>
        <row r="33">
          <cell r="H33">
            <v>501.15</v>
          </cell>
        </row>
        <row r="38">
          <cell r="H38">
            <v>22.157142857142862</v>
          </cell>
        </row>
        <row r="39">
          <cell r="H39">
            <v>296.9388283056</v>
          </cell>
        </row>
        <row r="167">
          <cell r="H167">
            <v>2513.9153712605066</v>
          </cell>
        </row>
        <row r="184">
          <cell r="H184">
            <v>0.27472906849210749</v>
          </cell>
        </row>
      </sheetData>
      <sheetData sheetId="8">
        <row r="28">
          <cell r="H28">
            <v>148094</v>
          </cell>
        </row>
        <row r="29">
          <cell r="H29">
            <v>13032.748046875</v>
          </cell>
        </row>
        <row r="30">
          <cell r="H30">
            <v>710.4</v>
          </cell>
        </row>
        <row r="34">
          <cell r="H34">
            <v>313.39999999999998</v>
          </cell>
        </row>
        <row r="38">
          <cell r="H38">
            <v>18.271428571428572</v>
          </cell>
        </row>
        <row r="40">
          <cell r="H40">
            <v>215.67047199999996</v>
          </cell>
        </row>
        <row r="175">
          <cell r="H175">
            <v>935.65290531527205</v>
          </cell>
        </row>
        <row r="192">
          <cell r="H192">
            <v>0.23334238433185334</v>
          </cell>
        </row>
      </sheetData>
      <sheetData sheetId="9">
        <row r="5">
          <cell r="I5">
            <v>545.45826336109644</v>
          </cell>
        </row>
      </sheetData>
      <sheetData sheetId="10"/>
      <sheetData sheetId="11"/>
      <sheetData sheetId="12"/>
      <sheetData sheetId="13"/>
      <sheetData sheetId="14"/>
      <sheetData sheetId="15"/>
      <sheetData sheetId="16"/>
      <sheetData sheetId="17"/>
      <sheetData sheetId="18"/>
      <sheetData sheetId="19"/>
      <sheetData sheetId="20">
        <row r="18">
          <cell r="F18">
            <v>3.4329999999999998</v>
          </cell>
        </row>
      </sheetData>
      <sheetData sheetId="21"/>
      <sheetData sheetId="22"/>
      <sheetData sheetId="23">
        <row r="8">
          <cell r="D8">
            <v>1.823666666666667</v>
          </cell>
        </row>
      </sheetData>
      <sheetData sheetId="24"/>
      <sheetData sheetId="25"/>
      <sheetData sheetId="2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988.07891841926835</v>
          </cell>
        </row>
      </sheetData>
      <sheetData sheetId="3">
        <row r="8">
          <cell r="E8">
            <v>770.7534560233787</v>
          </cell>
        </row>
      </sheetData>
      <sheetData sheetId="4"/>
      <sheetData sheetId="5">
        <row r="8">
          <cell r="E8">
            <v>217.32546239588962</v>
          </cell>
        </row>
      </sheetData>
      <sheetData sheetId="6"/>
      <sheetData sheetId="7">
        <row r="27">
          <cell r="H27">
            <v>246430</v>
          </cell>
        </row>
        <row r="28">
          <cell r="H28">
            <v>24226.524999999998</v>
          </cell>
        </row>
        <row r="29">
          <cell r="H29">
            <v>899.9</v>
          </cell>
        </row>
        <row r="33">
          <cell r="H33">
            <v>512.4</v>
          </cell>
        </row>
        <row r="38">
          <cell r="H38">
            <v>22.642857142857146</v>
          </cell>
        </row>
        <row r="39">
          <cell r="H39">
            <v>310.30107557935202</v>
          </cell>
        </row>
        <row r="167">
          <cell r="H167">
            <v>2569.4184510969289</v>
          </cell>
        </row>
        <row r="184">
          <cell r="H184">
            <v>0.28573008880921413</v>
          </cell>
        </row>
      </sheetData>
      <sheetData sheetId="8">
        <row r="28">
          <cell r="I28">
            <v>152787</v>
          </cell>
        </row>
        <row r="29">
          <cell r="I29">
            <v>13384.748046875</v>
          </cell>
        </row>
        <row r="30">
          <cell r="I30">
            <v>718.9</v>
          </cell>
        </row>
        <row r="34">
          <cell r="I34">
            <v>330.4</v>
          </cell>
        </row>
        <row r="38">
          <cell r="H38">
            <v>18.642857142857142</v>
          </cell>
        </row>
        <row r="40">
          <cell r="I40">
            <v>225.37564323999999</v>
          </cell>
        </row>
        <row r="177">
          <cell r="I177">
            <v>964.66781413665547</v>
          </cell>
        </row>
        <row r="194">
          <cell r="I194">
            <v>0.2426861509924628</v>
          </cell>
        </row>
      </sheetData>
      <sheetData sheetId="9">
        <row r="5">
          <cell r="I5">
            <v>562.72849137294315</v>
          </cell>
        </row>
      </sheetData>
      <sheetData sheetId="10"/>
      <sheetData sheetId="11"/>
      <sheetData sheetId="12"/>
      <sheetData sheetId="13"/>
      <sheetData sheetId="14"/>
      <sheetData sheetId="15"/>
      <sheetData sheetId="16"/>
      <sheetData sheetId="17"/>
      <sheetData sheetId="18"/>
      <sheetData sheetId="19"/>
      <sheetData sheetId="20">
        <row r="18">
          <cell r="F18">
            <v>3.737000000000001</v>
          </cell>
        </row>
      </sheetData>
      <sheetData sheetId="21"/>
      <sheetData sheetId="22"/>
      <sheetData sheetId="23">
        <row r="8">
          <cell r="D8">
            <v>1.7903333333333336</v>
          </cell>
        </row>
      </sheetData>
      <sheetData sheetId="24"/>
      <sheetData sheetId="25"/>
      <sheetData sheetId="2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row r="5">
          <cell r="E5">
            <v>28.468270469093142</v>
          </cell>
        </row>
      </sheetData>
      <sheetData sheetId="1">
        <row r="2">
          <cell r="K2" t="str">
            <v>NOVEMBRO|19</v>
          </cell>
        </row>
      </sheetData>
      <sheetData sheetId="2">
        <row r="20">
          <cell r="D20">
            <v>1037.0540698245391</v>
          </cell>
        </row>
      </sheetData>
      <sheetData sheetId="3">
        <row r="8">
          <cell r="E8">
            <v>811.13024950969793</v>
          </cell>
        </row>
      </sheetData>
      <sheetData sheetId="4"/>
      <sheetData sheetId="5">
        <row r="8">
          <cell r="E8">
            <v>225.92382031484112</v>
          </cell>
        </row>
      </sheetData>
      <sheetData sheetId="6"/>
      <sheetData sheetId="7">
        <row r="27">
          <cell r="H27">
            <v>285948</v>
          </cell>
        </row>
        <row r="28">
          <cell r="H28">
            <v>24693.587499999998</v>
          </cell>
        </row>
        <row r="29">
          <cell r="H29">
            <v>912.9</v>
          </cell>
        </row>
        <row r="33">
          <cell r="H33">
            <v>524.9</v>
          </cell>
        </row>
        <row r="38">
          <cell r="H38">
            <v>23.214285714285719</v>
          </cell>
        </row>
        <row r="39">
          <cell r="H39">
            <v>324.96031899187176</v>
          </cell>
        </row>
        <row r="167">
          <cell r="H167">
            <v>2944.0721539943447</v>
          </cell>
        </row>
        <row r="184">
          <cell r="H184">
            <v>0.29302837726453407</v>
          </cell>
        </row>
      </sheetData>
      <sheetData sheetId="8">
        <row r="28">
          <cell r="I28">
            <v>163773</v>
          </cell>
        </row>
        <row r="29">
          <cell r="I29">
            <v>13712.223046874999</v>
          </cell>
        </row>
        <row r="30">
          <cell r="I30">
            <v>729.4</v>
          </cell>
        </row>
        <row r="34">
          <cell r="I34">
            <v>340.4</v>
          </cell>
        </row>
        <row r="38">
          <cell r="I38">
            <v>19.071428571428573</v>
          </cell>
        </row>
        <row r="40">
          <cell r="I40">
            <v>236.02283937794408</v>
          </cell>
        </row>
        <row r="177">
          <cell r="I177">
            <v>1029.3997199567523</v>
          </cell>
        </row>
        <row r="194">
          <cell r="I194">
            <v>0.2480979893311123</v>
          </cell>
        </row>
      </sheetData>
      <sheetData sheetId="9">
        <row r="5">
          <cell r="I5">
            <v>589.25527241650923</v>
          </cell>
        </row>
      </sheetData>
      <sheetData sheetId="10"/>
      <sheetData sheetId="11"/>
      <sheetData sheetId="12"/>
      <sheetData sheetId="13"/>
      <sheetData sheetId="14"/>
      <sheetData sheetId="15"/>
      <sheetData sheetId="16"/>
      <sheetData sheetId="17"/>
      <sheetData sheetId="18"/>
      <sheetData sheetId="19"/>
      <sheetData sheetId="20">
        <row r="18">
          <cell r="F18">
            <v>3.7850000000000001</v>
          </cell>
        </row>
      </sheetData>
      <sheetData sheetId="21"/>
      <sheetData sheetId="22"/>
      <sheetData sheetId="23">
        <row r="8">
          <cell r="D8">
            <v>1.7903333333333336</v>
          </cell>
        </row>
      </sheetData>
      <sheetData sheetId="24"/>
      <sheetData sheetId="25"/>
      <sheetData sheetId="26">
        <row r="6">
          <cell r="A6" t="str">
            <v>NOVEMBRO|19</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Fracionada"/>
      <sheetName val="RESUMOa"/>
      <sheetName val="VARIAÇÃOr"/>
      <sheetName val="RESUMOr"/>
      <sheetName val="VARIAÇÃOce"/>
      <sheetName val="RESUMOce"/>
      <sheetName val="PLANCUSr"/>
      <sheetName val="PLANCUSce"/>
      <sheetName val="DAT"/>
      <sheetName val="PESOSa"/>
      <sheetName val="PESOSr"/>
      <sheetName val="PESOSdat"/>
      <sheetName val="PESOSou"/>
      <sheetName val="VEÍCULO"/>
      <sheetName val="CARROCERIA"/>
      <sheetName val="LAVAGEM"/>
      <sheetName val="PNEU"/>
      <sheetName val="RECAPAGEM"/>
      <sheetName val="RODOAR"/>
      <sheetName val="ÓLEOS"/>
      <sheetName val="media_mês"/>
      <sheetName val="media_ano"/>
      <sheetName val="media_12"/>
      <sheetName val="media_jun94"/>
      <sheetName val="OUTROS"/>
      <sheetName val="DATA"/>
    </sheetNames>
    <sheetDataSet>
      <sheetData sheetId="0"/>
      <sheetData sheetId="1"/>
      <sheetData sheetId="2">
        <row r="20">
          <cell r="D20">
            <v>689.40940258436126</v>
          </cell>
        </row>
      </sheetData>
      <sheetData sheetId="3">
        <row r="8">
          <cell r="E8">
            <v>546.45942711821795</v>
          </cell>
        </row>
      </sheetData>
      <sheetData sheetId="4"/>
      <sheetData sheetId="5">
        <row r="8">
          <cell r="E8">
            <v>142.94997546614337</v>
          </cell>
        </row>
      </sheetData>
      <sheetData sheetId="6"/>
      <sheetData sheetId="7">
        <row r="27">
          <cell r="H27">
            <v>211207.75</v>
          </cell>
        </row>
        <row r="28">
          <cell r="H28">
            <v>22801.5</v>
          </cell>
        </row>
        <row r="29">
          <cell r="H29">
            <v>791.66666666666663</v>
          </cell>
        </row>
        <row r="33">
          <cell r="H33">
            <v>485.47500000000002</v>
          </cell>
        </row>
        <row r="38">
          <cell r="H38">
            <v>20.100000000000001</v>
          </cell>
        </row>
        <row r="39">
          <cell r="H39">
            <v>224</v>
          </cell>
        </row>
        <row r="159">
          <cell r="H159">
            <v>2216.7641710637135</v>
          </cell>
        </row>
        <row r="176">
          <cell r="H176">
            <v>0.20178931702141831</v>
          </cell>
        </row>
      </sheetData>
      <sheetData sheetId="8">
        <row r="28">
          <cell r="H28">
            <v>111993.2</v>
          </cell>
        </row>
        <row r="29">
          <cell r="H29">
            <v>12405.125</v>
          </cell>
        </row>
        <row r="30">
          <cell r="H30">
            <v>675</v>
          </cell>
        </row>
        <row r="34">
          <cell r="H34">
            <v>304.47500000000002</v>
          </cell>
        </row>
        <row r="38">
          <cell r="H38">
            <v>16.3</v>
          </cell>
        </row>
        <row r="40">
          <cell r="H40">
            <v>166</v>
          </cell>
        </row>
        <row r="166">
          <cell r="H166">
            <v>721.92053151035998</v>
          </cell>
        </row>
        <row r="183">
          <cell r="H183">
            <v>0.17139067454679149</v>
          </cell>
        </row>
      </sheetData>
      <sheetData sheetId="9">
        <row r="5">
          <cell r="I5">
            <v>403.96287303972281</v>
          </cell>
        </row>
      </sheetData>
      <sheetData sheetId="10"/>
      <sheetData sheetId="11"/>
      <sheetData sheetId="12"/>
      <sheetData sheetId="13"/>
      <sheetData sheetId="14"/>
      <sheetData sheetId="15"/>
      <sheetData sheetId="16"/>
      <sheetData sheetId="17"/>
      <sheetData sheetId="18"/>
      <sheetData sheetId="19"/>
      <sheetData sheetId="20">
        <row r="18">
          <cell r="F18">
            <v>2.1991999999999998</v>
          </cell>
        </row>
      </sheetData>
      <sheetData sheetId="21"/>
      <sheetData sheetId="22"/>
      <sheetData sheetId="23">
        <row r="9">
          <cell r="D9">
            <v>4.0980000000000008</v>
          </cell>
        </row>
      </sheetData>
      <sheetData sheetId="24"/>
      <sheetData sheetId="25"/>
      <sheetData sheetId="2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X1638"/>
  <sheetViews>
    <sheetView showGridLines="0" showOutlineSymbols="0" topLeftCell="D898" zoomScale="86" zoomScaleNormal="86" workbookViewId="0">
      <selection activeCell="S909" sqref="S909"/>
    </sheetView>
  </sheetViews>
  <sheetFormatPr defaultColWidth="11.6640625" defaultRowHeight="15"/>
  <cols>
    <col min="1" max="1" width="2.77734375" style="121" customWidth="1"/>
    <col min="2" max="2" width="4.44140625" style="121" customWidth="1"/>
    <col min="3" max="3" width="10.77734375" style="121" customWidth="1"/>
    <col min="4" max="4" width="12.77734375" style="121" customWidth="1"/>
    <col min="5" max="5" width="13.44140625" style="121" customWidth="1"/>
    <col min="6" max="6" width="9.21875" style="121" customWidth="1"/>
    <col min="7" max="7" width="10.5546875" style="121" customWidth="1"/>
    <col min="8" max="8" width="10.44140625" style="121" customWidth="1"/>
    <col min="9" max="10" width="9.33203125" style="121" customWidth="1"/>
    <col min="11" max="11" width="9" style="121" customWidth="1"/>
    <col min="12" max="12" width="10.6640625" style="121" customWidth="1"/>
    <col min="13" max="13" width="9.33203125" style="121" customWidth="1"/>
    <col min="14" max="14" width="8.88671875" style="121" customWidth="1"/>
    <col min="15" max="15" width="9.77734375" style="121" customWidth="1"/>
    <col min="16" max="16" width="8.6640625" style="121" customWidth="1"/>
    <col min="17" max="17" width="9.109375" style="121" customWidth="1"/>
    <col min="18" max="18" width="6.77734375" style="121" customWidth="1"/>
    <col min="19" max="19" width="9" style="121" bestFit="1" customWidth="1"/>
    <col min="20" max="20" width="7.77734375" style="121" customWidth="1"/>
    <col min="21" max="23" width="8.6640625" style="121" customWidth="1"/>
    <col min="24" max="16384" width="11.6640625" style="121"/>
  </cols>
  <sheetData>
    <row r="1" spans="2:20" s="119" customFormat="1" ht="28.5" customHeight="1" thickBot="1">
      <c r="B1" s="1361" t="s">
        <v>128</v>
      </c>
      <c r="C1" s="1362"/>
      <c r="D1" s="1362"/>
      <c r="E1" s="1362"/>
      <c r="F1" s="1362"/>
      <c r="G1" s="1362"/>
      <c r="H1" s="1362"/>
      <c r="I1" s="1362"/>
      <c r="J1" s="1362"/>
      <c r="K1" s="1362"/>
      <c r="L1" s="1362"/>
      <c r="M1" s="1362"/>
      <c r="N1" s="1363"/>
    </row>
    <row r="2" spans="2:20" ht="16.5" thickBot="1">
      <c r="B2" s="1364" t="s">
        <v>211</v>
      </c>
      <c r="C2" s="1364"/>
      <c r="D2" s="1364"/>
      <c r="E2" s="1364"/>
      <c r="F2" s="1364"/>
      <c r="G2" s="1364"/>
      <c r="H2" s="1364"/>
      <c r="I2" s="1364"/>
      <c r="J2" s="1364"/>
      <c r="K2" s="1364"/>
      <c r="L2" s="1364"/>
      <c r="M2" s="1364"/>
      <c r="N2" s="1364"/>
    </row>
    <row r="3" spans="2:20" ht="23.25" customHeight="1" thickBot="1">
      <c r="B3" s="1365" t="s">
        <v>30</v>
      </c>
      <c r="C3" s="1366"/>
      <c r="D3" s="1366"/>
      <c r="E3" s="1366"/>
      <c r="F3" s="1366"/>
      <c r="G3" s="1366"/>
      <c r="H3" s="1366"/>
      <c r="I3" s="1366"/>
      <c r="J3" s="1366"/>
      <c r="K3" s="1366"/>
      <c r="L3" s="1366"/>
      <c r="M3" s="1366"/>
      <c r="N3" s="1367"/>
    </row>
    <row r="4" spans="2:20" ht="17.25" customHeight="1">
      <c r="B4" s="1368" t="s">
        <v>274</v>
      </c>
      <c r="C4" s="1369"/>
      <c r="D4" s="1370"/>
      <c r="E4" s="1374" t="s">
        <v>291</v>
      </c>
      <c r="F4" s="1375"/>
      <c r="G4" s="1375"/>
      <c r="H4" s="1375"/>
      <c r="I4" s="1375"/>
      <c r="J4" s="1376"/>
      <c r="K4" s="299" t="s">
        <v>240</v>
      </c>
      <c r="L4" s="300"/>
      <c r="M4" s="300"/>
      <c r="N4" s="301"/>
    </row>
    <row r="5" spans="2:20" ht="15.75" thickBot="1">
      <c r="B5" s="1371"/>
      <c r="C5" s="1372"/>
      <c r="D5" s="1373"/>
      <c r="E5" s="1377"/>
      <c r="F5" s="1378"/>
      <c r="G5" s="1378"/>
      <c r="H5" s="1378"/>
      <c r="I5" s="1378"/>
      <c r="J5" s="1379"/>
      <c r="K5" s="302" t="s">
        <v>242</v>
      </c>
      <c r="L5" s="303"/>
      <c r="M5" s="304"/>
      <c r="N5" s="305"/>
      <c r="O5" s="119"/>
      <c r="P5" s="119"/>
      <c r="Q5" s="123"/>
      <c r="R5" s="123"/>
      <c r="S5" s="119"/>
      <c r="T5" s="119"/>
    </row>
    <row r="6" spans="2:20" ht="15.75" thickBot="1">
      <c r="C6" s="118"/>
      <c r="D6" s="124"/>
      <c r="E6" s="118"/>
      <c r="I6" s="119"/>
      <c r="J6" s="122"/>
      <c r="L6" s="119"/>
      <c r="M6" s="122"/>
      <c r="N6" s="119"/>
      <c r="O6" s="119"/>
      <c r="P6" s="119"/>
      <c r="Q6" s="123"/>
      <c r="R6" s="123"/>
      <c r="S6" s="119"/>
      <c r="T6" s="119"/>
    </row>
    <row r="7" spans="2:20" ht="18.75" thickBot="1">
      <c r="B7" s="1382" t="s">
        <v>292</v>
      </c>
      <c r="C7" s="1383"/>
      <c r="D7" s="1383"/>
      <c r="E7" s="1383"/>
      <c r="F7" s="1383"/>
      <c r="G7" s="1383"/>
      <c r="H7" s="1383"/>
      <c r="I7" s="1383"/>
      <c r="J7" s="1383"/>
      <c r="K7" s="1383"/>
      <c r="L7" s="1383"/>
      <c r="M7" s="1383"/>
      <c r="N7" s="1384"/>
      <c r="O7" s="119"/>
      <c r="P7" s="119"/>
      <c r="Q7" s="123"/>
      <c r="R7" s="123"/>
      <c r="S7" s="119"/>
      <c r="T7" s="119"/>
    </row>
    <row r="8" spans="2:20" ht="15.75" thickBot="1">
      <c r="B8" s="1351">
        <v>1994</v>
      </c>
      <c r="C8" s="1352"/>
      <c r="D8" s="318" t="s">
        <v>15</v>
      </c>
      <c r="E8" s="318">
        <v>1995</v>
      </c>
      <c r="F8" s="318" t="s">
        <v>15</v>
      </c>
      <c r="G8" s="318">
        <v>1996</v>
      </c>
      <c r="H8" s="318" t="s">
        <v>15</v>
      </c>
      <c r="I8" s="318">
        <v>1997</v>
      </c>
      <c r="J8" s="318" t="s">
        <v>15</v>
      </c>
      <c r="K8" s="318">
        <v>1998</v>
      </c>
      <c r="L8" s="318" t="s">
        <v>15</v>
      </c>
      <c r="M8" s="318">
        <v>1999</v>
      </c>
      <c r="N8" s="319" t="s">
        <v>15</v>
      </c>
      <c r="O8" s="124"/>
      <c r="P8" s="124"/>
      <c r="Q8" s="119"/>
    </row>
    <row r="9" spans="2:20">
      <c r="B9" s="306" t="s">
        <v>0</v>
      </c>
      <c r="C9" s="307"/>
      <c r="D9" s="308"/>
      <c r="E9" s="307">
        <v>0.34</v>
      </c>
      <c r="F9" s="308">
        <v>100</v>
      </c>
      <c r="G9" s="307">
        <v>0.38</v>
      </c>
      <c r="H9" s="308">
        <v>111.76</v>
      </c>
      <c r="I9" s="307">
        <v>0.41</v>
      </c>
      <c r="J9" s="308">
        <f>+$H$20</f>
        <v>120.58315789473683</v>
      </c>
      <c r="K9" s="307">
        <v>0.43</v>
      </c>
      <c r="L9" s="308">
        <f>+$J$20</f>
        <v>126.46526315789474</v>
      </c>
      <c r="M9" s="307">
        <v>0.42</v>
      </c>
      <c r="N9" s="309">
        <f>+$L$20</f>
        <v>123.52421052631578</v>
      </c>
      <c r="O9" s="123"/>
      <c r="P9" s="123"/>
      <c r="Q9" s="119"/>
    </row>
    <row r="10" spans="2:20">
      <c r="B10" s="310" t="s">
        <v>1</v>
      </c>
      <c r="C10" s="311"/>
      <c r="D10" s="312"/>
      <c r="E10" s="311">
        <v>0.34</v>
      </c>
      <c r="F10" s="312">
        <v>100</v>
      </c>
      <c r="G10" s="311">
        <v>0.38</v>
      </c>
      <c r="H10" s="312">
        <v>111.76</v>
      </c>
      <c r="I10" s="311">
        <v>0.41</v>
      </c>
      <c r="J10" s="312">
        <f>+$J$9</f>
        <v>120.58315789473683</v>
      </c>
      <c r="K10" s="311">
        <v>0.43</v>
      </c>
      <c r="L10" s="312">
        <f>+$L$9</f>
        <v>126.46526315789474</v>
      </c>
      <c r="M10" s="311">
        <f>+$M$9*$N$10/$N$9</f>
        <v>0.43314600000000003</v>
      </c>
      <c r="N10" s="313">
        <f>+$N$9*1.0313</f>
        <v>127.39051831578948</v>
      </c>
      <c r="O10" s="123"/>
      <c r="P10" s="123"/>
      <c r="Q10" s="119"/>
    </row>
    <row r="11" spans="2:20">
      <c r="B11" s="310" t="s">
        <v>2</v>
      </c>
      <c r="C11" s="311"/>
      <c r="D11" s="312"/>
      <c r="E11" s="311">
        <v>0.34</v>
      </c>
      <c r="F11" s="312">
        <v>100</v>
      </c>
      <c r="G11" s="311">
        <v>0.38</v>
      </c>
      <c r="H11" s="312">
        <v>111.76</v>
      </c>
      <c r="I11" s="311">
        <v>0.41</v>
      </c>
      <c r="J11" s="312">
        <f>+$J$10</f>
        <v>120.58315789473683</v>
      </c>
      <c r="K11" s="311">
        <v>0.43</v>
      </c>
      <c r="L11" s="312">
        <f>+$L$10</f>
        <v>126.46526315789474</v>
      </c>
      <c r="M11" s="311">
        <f>+$M$10*$N$11/$N$10</f>
        <v>0.46749447780000003</v>
      </c>
      <c r="N11" s="313">
        <f>+$N$10*1.0793</f>
        <v>137.49258641823158</v>
      </c>
      <c r="O11" s="123"/>
      <c r="P11" s="123"/>
      <c r="Q11" s="119"/>
    </row>
    <row r="12" spans="2:20">
      <c r="B12" s="310" t="s">
        <v>3</v>
      </c>
      <c r="C12" s="311"/>
      <c r="D12" s="312"/>
      <c r="E12" s="311">
        <v>0.34</v>
      </c>
      <c r="F12" s="312">
        <v>100</v>
      </c>
      <c r="G12" s="311">
        <v>0.38</v>
      </c>
      <c r="H12" s="312">
        <v>111.76</v>
      </c>
      <c r="I12" s="311">
        <v>0.41</v>
      </c>
      <c r="J12" s="312">
        <f>+$J$11</f>
        <v>120.58315789473683</v>
      </c>
      <c r="K12" s="311">
        <v>0.43</v>
      </c>
      <c r="L12" s="312">
        <f>+$L$11</f>
        <v>126.46526315789474</v>
      </c>
      <c r="M12" s="311">
        <f>+$M$11*$N$12/$N$11</f>
        <v>0.50442654154620004</v>
      </c>
      <c r="N12" s="313">
        <f>+$N$11*1.079</f>
        <v>148.35450074527188</v>
      </c>
      <c r="O12" s="123"/>
      <c r="P12" s="123"/>
      <c r="Q12" s="119"/>
    </row>
    <row r="13" spans="2:20">
      <c r="B13" s="310" t="s">
        <v>4</v>
      </c>
      <c r="C13" s="311"/>
      <c r="D13" s="312"/>
      <c r="E13" s="311">
        <v>0.34</v>
      </c>
      <c r="F13" s="312">
        <v>100</v>
      </c>
      <c r="G13" s="311">
        <v>0.38</v>
      </c>
      <c r="H13" s="312">
        <v>111.76</v>
      </c>
      <c r="I13" s="311">
        <v>0.41</v>
      </c>
      <c r="J13" s="312">
        <f>+$J$12</f>
        <v>120.58315789473683</v>
      </c>
      <c r="K13" s="311">
        <v>0.43</v>
      </c>
      <c r="L13" s="312">
        <f>+$L$12</f>
        <v>126.46526315789474</v>
      </c>
      <c r="M13" s="311">
        <f>+$M$12*$N$13/$N$12</f>
        <v>0.50483008277943686</v>
      </c>
      <c r="N13" s="313">
        <f>+$N$12*1.0008</f>
        <v>148.47318434586808</v>
      </c>
      <c r="O13" s="123"/>
      <c r="P13" s="123"/>
      <c r="Q13" s="119"/>
    </row>
    <row r="14" spans="2:20">
      <c r="B14" s="310" t="s">
        <v>5</v>
      </c>
      <c r="C14" s="311"/>
      <c r="D14" s="312"/>
      <c r="E14" s="311">
        <v>0.34</v>
      </c>
      <c r="F14" s="312">
        <v>100</v>
      </c>
      <c r="G14" s="311">
        <v>0.38</v>
      </c>
      <c r="H14" s="312">
        <v>111.76</v>
      </c>
      <c r="I14" s="311">
        <v>0.41</v>
      </c>
      <c r="J14" s="312">
        <f>+$J$13</f>
        <v>120.58315789473683</v>
      </c>
      <c r="K14" s="311">
        <v>0.43</v>
      </c>
      <c r="L14" s="312">
        <f>+$L$13</f>
        <v>126.46526315789474</v>
      </c>
      <c r="M14" s="311">
        <f>+$M$13*$N$14/$N$13</f>
        <v>0.50483008277943686</v>
      </c>
      <c r="N14" s="313">
        <f>+$N$13</f>
        <v>148.47318434586808</v>
      </c>
      <c r="O14" s="123"/>
      <c r="P14" s="123"/>
      <c r="Q14" s="119"/>
    </row>
    <row r="15" spans="2:20">
      <c r="B15" s="310" t="s">
        <v>6</v>
      </c>
      <c r="C15" s="311">
        <v>0.34</v>
      </c>
      <c r="D15" s="312">
        <v>100</v>
      </c>
      <c r="E15" s="311">
        <v>0.34</v>
      </c>
      <c r="F15" s="312">
        <v>100</v>
      </c>
      <c r="G15" s="311">
        <v>0.38</v>
      </c>
      <c r="H15" s="312">
        <v>111.76</v>
      </c>
      <c r="I15" s="311">
        <v>0.41</v>
      </c>
      <c r="J15" s="312">
        <f>+$J$14</f>
        <v>120.58315789473683</v>
      </c>
      <c r="K15" s="311">
        <v>0.43</v>
      </c>
      <c r="L15" s="312">
        <f>+$L$14</f>
        <v>126.46526315789474</v>
      </c>
      <c r="M15" s="311">
        <v>0.56999999999999995</v>
      </c>
      <c r="N15" s="313">
        <f>100*57/34</f>
        <v>167.64705882352942</v>
      </c>
      <c r="O15" s="123"/>
      <c r="P15" s="123"/>
      <c r="Q15" s="119"/>
    </row>
    <row r="16" spans="2:20">
      <c r="B16" s="310" t="s">
        <v>7</v>
      </c>
      <c r="C16" s="311">
        <v>0.34</v>
      </c>
      <c r="D16" s="312">
        <v>100</v>
      </c>
      <c r="E16" s="311">
        <v>0.34</v>
      </c>
      <c r="F16" s="312">
        <v>100</v>
      </c>
      <c r="G16" s="311">
        <v>0.38</v>
      </c>
      <c r="H16" s="312">
        <v>111.76</v>
      </c>
      <c r="I16" s="311">
        <v>0.41</v>
      </c>
      <c r="J16" s="312">
        <f>+$J$15</f>
        <v>120.58315789473683</v>
      </c>
      <c r="K16" s="311">
        <v>0.43</v>
      </c>
      <c r="L16" s="312">
        <f>+$L$15</f>
        <v>126.46526315789474</v>
      </c>
      <c r="M16" s="311">
        <v>0.6</v>
      </c>
      <c r="N16" s="313">
        <f>100*M16/0.34</f>
        <v>176.47058823529412</v>
      </c>
      <c r="O16" s="123"/>
      <c r="P16" s="123"/>
      <c r="Q16" s="119"/>
    </row>
    <row r="17" spans="2:20">
      <c r="B17" s="310" t="s">
        <v>8</v>
      </c>
      <c r="C17" s="311">
        <v>0.34</v>
      </c>
      <c r="D17" s="312">
        <v>100</v>
      </c>
      <c r="E17" s="311">
        <v>0.34</v>
      </c>
      <c r="F17" s="312">
        <v>100</v>
      </c>
      <c r="G17" s="311">
        <v>0.38</v>
      </c>
      <c r="H17" s="312">
        <v>111.76</v>
      </c>
      <c r="I17" s="311">
        <v>0.41</v>
      </c>
      <c r="J17" s="312">
        <f>+$J$16</f>
        <v>120.58315789473683</v>
      </c>
      <c r="K17" s="311">
        <v>0.41</v>
      </c>
      <c r="L17" s="312">
        <f>+$L$16*0.41/0.43</f>
        <v>120.58315789473683</v>
      </c>
      <c r="M17" s="311">
        <v>0.6</v>
      </c>
      <c r="N17" s="313">
        <f>100*M17/0.34</f>
        <v>176.47058823529412</v>
      </c>
      <c r="O17" s="123"/>
      <c r="P17" s="123"/>
      <c r="Q17" s="119"/>
    </row>
    <row r="18" spans="2:20">
      <c r="B18" s="310" t="s">
        <v>9</v>
      </c>
      <c r="C18" s="311">
        <v>0.34</v>
      </c>
      <c r="D18" s="312">
        <v>100</v>
      </c>
      <c r="E18" s="311">
        <f>$E$17*$F$18/100</f>
        <v>0.38</v>
      </c>
      <c r="F18" s="312">
        <f>100*0.38/0.34</f>
        <v>111.76470588235293</v>
      </c>
      <c r="G18" s="311">
        <v>0.38</v>
      </c>
      <c r="H18" s="312">
        <v>111.76</v>
      </c>
      <c r="I18" s="311">
        <v>0.41</v>
      </c>
      <c r="J18" s="312">
        <f>+$J$17</f>
        <v>120.58315789473683</v>
      </c>
      <c r="K18" s="311">
        <v>0.41</v>
      </c>
      <c r="L18" s="312">
        <f>+$L$17</f>
        <v>120.58315789473683</v>
      </c>
      <c r="M18" s="311">
        <v>0.6</v>
      </c>
      <c r="N18" s="313">
        <f>100*M18/0.34</f>
        <v>176.47058823529412</v>
      </c>
      <c r="O18" s="123"/>
      <c r="P18" s="123"/>
      <c r="Q18" s="119"/>
    </row>
    <row r="19" spans="2:20">
      <c r="B19" s="310" t="s">
        <v>10</v>
      </c>
      <c r="C19" s="311">
        <v>0.34</v>
      </c>
      <c r="D19" s="312">
        <v>100</v>
      </c>
      <c r="E19" s="311">
        <v>0.38</v>
      </c>
      <c r="F19" s="312">
        <v>111.76</v>
      </c>
      <c r="G19" s="311">
        <v>0.38</v>
      </c>
      <c r="H19" s="312">
        <v>111.76</v>
      </c>
      <c r="I19" s="311">
        <v>0.41</v>
      </c>
      <c r="J19" s="312">
        <f>+$J$18</f>
        <v>120.58315789473683</v>
      </c>
      <c r="K19" s="311">
        <v>0.41</v>
      </c>
      <c r="L19" s="312">
        <f>+$L$18</f>
        <v>120.58315789473683</v>
      </c>
      <c r="M19" s="311">
        <v>0.61</v>
      </c>
      <c r="N19" s="313">
        <f>100*M19/0.34</f>
        <v>179.41176470588235</v>
      </c>
      <c r="O19" s="123"/>
      <c r="P19" s="123"/>
      <c r="Q19" s="119"/>
    </row>
    <row r="20" spans="2:20" ht="15.75" thickBot="1">
      <c r="B20" s="314" t="s">
        <v>11</v>
      </c>
      <c r="C20" s="315">
        <v>0.34</v>
      </c>
      <c r="D20" s="316">
        <v>100</v>
      </c>
      <c r="E20" s="315">
        <v>0.38</v>
      </c>
      <c r="F20" s="316">
        <v>111.76</v>
      </c>
      <c r="G20" s="315">
        <v>0.41</v>
      </c>
      <c r="H20" s="316">
        <f>111.76*0.41/0.38</f>
        <v>120.58315789473683</v>
      </c>
      <c r="I20" s="315">
        <f>$I$19*$J$20/$J$19</f>
        <v>0.43</v>
      </c>
      <c r="J20" s="316">
        <f>+$J$19*0.43/0.41</f>
        <v>126.46526315789474</v>
      </c>
      <c r="K20" s="315">
        <v>0.42</v>
      </c>
      <c r="L20" s="316">
        <f>+$L$19*0.42/0.41</f>
        <v>123.52421052631578</v>
      </c>
      <c r="M20" s="315">
        <v>0.61</v>
      </c>
      <c r="N20" s="317">
        <f>100*M20/0.34</f>
        <v>179.41176470588235</v>
      </c>
      <c r="O20" s="123"/>
      <c r="P20" s="123"/>
      <c r="Q20" s="119"/>
    </row>
    <row r="21" spans="2:20" ht="15.75" thickBot="1">
      <c r="B21" s="119"/>
      <c r="C21" s="118"/>
      <c r="D21" s="123"/>
      <c r="E21" s="118"/>
      <c r="F21" s="123"/>
      <c r="G21" s="118"/>
      <c r="H21" s="123"/>
      <c r="I21" s="118"/>
      <c r="J21" s="123"/>
      <c r="K21" s="118"/>
      <c r="L21" s="123"/>
      <c r="M21" s="118"/>
      <c r="N21" s="123"/>
      <c r="O21" s="123"/>
      <c r="P21" s="123"/>
      <c r="Q21" s="119"/>
    </row>
    <row r="22" spans="2:20" ht="18.75" thickBot="1">
      <c r="B22" s="1385" t="s">
        <v>126</v>
      </c>
      <c r="C22" s="1386"/>
      <c r="D22" s="1386"/>
      <c r="E22" s="1386"/>
      <c r="F22" s="1386"/>
      <c r="G22" s="1386"/>
      <c r="H22" s="1386"/>
      <c r="I22" s="1386"/>
      <c r="J22" s="1386"/>
      <c r="K22" s="1386"/>
      <c r="L22" s="1386"/>
      <c r="M22" s="1386"/>
      <c r="N22" s="1387"/>
      <c r="O22" s="119"/>
      <c r="P22" s="119"/>
      <c r="Q22" s="131"/>
      <c r="R22" s="123"/>
      <c r="S22" s="119"/>
      <c r="T22" s="132"/>
    </row>
    <row r="23" spans="2:20" ht="15.75" thickBot="1">
      <c r="B23" s="1331">
        <v>2000</v>
      </c>
      <c r="C23" s="1332"/>
      <c r="D23" s="334" t="s">
        <v>15</v>
      </c>
      <c r="E23" s="335">
        <v>2001</v>
      </c>
      <c r="F23" s="334" t="s">
        <v>15</v>
      </c>
      <c r="G23" s="336">
        <v>2002</v>
      </c>
      <c r="H23" s="334" t="s">
        <v>15</v>
      </c>
      <c r="I23" s="337">
        <v>2003</v>
      </c>
      <c r="J23" s="336" t="s">
        <v>15</v>
      </c>
      <c r="K23" s="337">
        <v>2004</v>
      </c>
      <c r="L23" s="336" t="s">
        <v>15</v>
      </c>
      <c r="M23" s="337">
        <v>2005</v>
      </c>
      <c r="N23" s="338" t="s">
        <v>15</v>
      </c>
      <c r="O23" s="133"/>
      <c r="P23" s="133"/>
      <c r="Q23" s="131"/>
      <c r="R23" s="123"/>
      <c r="S23" s="119"/>
      <c r="T23" s="132"/>
    </row>
    <row r="24" spans="2:20">
      <c r="B24" s="306" t="s">
        <v>0</v>
      </c>
      <c r="C24" s="326">
        <v>0.60899999999999999</v>
      </c>
      <c r="D24" s="308">
        <f t="shared" ref="D24:D35" si="0">100*C24/$C$15</f>
        <v>179.11764705882351</v>
      </c>
      <c r="E24" s="327">
        <v>0.76700000000000002</v>
      </c>
      <c r="F24" s="308">
        <f t="shared" ref="F24:F35" si="1">100*E24/$C$15</f>
        <v>225.58823529411765</v>
      </c>
      <c r="G24" s="326">
        <v>0.872</v>
      </c>
      <c r="H24" s="308">
        <f t="shared" ref="H24:H35" si="2">100*G24/$C$15</f>
        <v>256.47058823529409</v>
      </c>
      <c r="I24" s="328">
        <v>1.5109999999999999</v>
      </c>
      <c r="J24" s="308">
        <f t="shared" ref="J24:J35" si="3">100*I24/$C$15</f>
        <v>444.41176470588232</v>
      </c>
      <c r="K24" s="328">
        <v>1.3319000000000001</v>
      </c>
      <c r="L24" s="308">
        <f t="shared" ref="L24:L35" si="4">100*K24/$C$15</f>
        <v>391.73529411764702</v>
      </c>
      <c r="M24" s="329">
        <v>1.6359999999999999</v>
      </c>
      <c r="N24" s="309">
        <f t="shared" ref="N24:N35" si="5">100*M24/$C$15</f>
        <v>481.17647058823525</v>
      </c>
      <c r="O24" s="132"/>
      <c r="P24" s="132"/>
      <c r="Q24" s="131"/>
      <c r="R24" s="123"/>
      <c r="S24" s="119"/>
      <c r="T24" s="132"/>
    </row>
    <row r="25" spans="2:20">
      <c r="B25" s="310" t="s">
        <v>1</v>
      </c>
      <c r="C25" s="321">
        <v>0.60699999999999998</v>
      </c>
      <c r="D25" s="312">
        <f t="shared" si="0"/>
        <v>178.52941176470586</v>
      </c>
      <c r="E25" s="322">
        <v>0.76700000000000002</v>
      </c>
      <c r="F25" s="312">
        <f t="shared" si="1"/>
        <v>225.58823529411765</v>
      </c>
      <c r="G25" s="321">
        <v>0.88639999999999997</v>
      </c>
      <c r="H25" s="312">
        <f t="shared" si="2"/>
        <v>260.70588235294116</v>
      </c>
      <c r="I25" s="323">
        <v>1.5069999999999999</v>
      </c>
      <c r="J25" s="312">
        <f t="shared" si="3"/>
        <v>443.23529411764702</v>
      </c>
      <c r="K25" s="323">
        <v>1.3371999999999999</v>
      </c>
      <c r="L25" s="312">
        <f t="shared" si="4"/>
        <v>393.29411764705878</v>
      </c>
      <c r="M25" s="324">
        <v>1.6398999999999999</v>
      </c>
      <c r="N25" s="313">
        <f t="shared" si="5"/>
        <v>482.32352941176464</v>
      </c>
      <c r="O25" s="132"/>
      <c r="P25" s="132"/>
      <c r="Q25" s="131"/>
      <c r="R25" s="123"/>
      <c r="S25" s="119"/>
      <c r="T25" s="132"/>
    </row>
    <row r="26" spans="2:20">
      <c r="B26" s="310" t="s">
        <v>2</v>
      </c>
      <c r="C26" s="321">
        <v>0.64900000000000002</v>
      </c>
      <c r="D26" s="312">
        <f t="shared" si="0"/>
        <v>190.88235294117646</v>
      </c>
      <c r="E26" s="322">
        <v>0.76700000000000002</v>
      </c>
      <c r="F26" s="312">
        <f t="shared" si="1"/>
        <v>225.58823529411765</v>
      </c>
      <c r="G26" s="321">
        <v>0.89839999999999998</v>
      </c>
      <c r="H26" s="312">
        <f t="shared" si="2"/>
        <v>264.23529411764707</v>
      </c>
      <c r="I26" s="323">
        <v>1.5069999999999999</v>
      </c>
      <c r="J26" s="312">
        <f t="shared" si="3"/>
        <v>443.23529411764702</v>
      </c>
      <c r="K26" s="323">
        <v>1.3304</v>
      </c>
      <c r="L26" s="312">
        <f t="shared" si="4"/>
        <v>391.29411764705878</v>
      </c>
      <c r="M26" s="324">
        <v>1.643</v>
      </c>
      <c r="N26" s="313">
        <f t="shared" si="5"/>
        <v>483.23529411764707</v>
      </c>
      <c r="O26" s="132"/>
      <c r="P26" s="132"/>
      <c r="Q26" s="131"/>
      <c r="R26" s="123"/>
      <c r="S26" s="119"/>
      <c r="T26" s="132"/>
    </row>
    <row r="27" spans="2:20">
      <c r="B27" s="310" t="s">
        <v>3</v>
      </c>
      <c r="C27" s="321">
        <v>0.65</v>
      </c>
      <c r="D27" s="312">
        <f t="shared" si="0"/>
        <v>191.17647058823528</v>
      </c>
      <c r="E27" s="322">
        <v>0.76700000000000002</v>
      </c>
      <c r="F27" s="312">
        <f t="shared" si="1"/>
        <v>225.58823529411765</v>
      </c>
      <c r="G27" s="321">
        <v>0.9698</v>
      </c>
      <c r="H27" s="312">
        <f t="shared" si="2"/>
        <v>285.23529411764707</v>
      </c>
      <c r="I27" s="323">
        <v>1.5069999999999999</v>
      </c>
      <c r="J27" s="312">
        <f t="shared" si="3"/>
        <v>443.23529411764702</v>
      </c>
      <c r="K27" s="323">
        <v>1.3284</v>
      </c>
      <c r="L27" s="312">
        <f t="shared" si="4"/>
        <v>390.70588235294116</v>
      </c>
      <c r="M27" s="324">
        <v>1.6386000000000001</v>
      </c>
      <c r="N27" s="313">
        <f t="shared" si="5"/>
        <v>481.94117647058823</v>
      </c>
      <c r="O27" s="132"/>
      <c r="P27" s="132"/>
      <c r="Q27" s="131"/>
      <c r="R27" s="123"/>
      <c r="S27" s="119"/>
      <c r="T27" s="132"/>
    </row>
    <row r="28" spans="2:20">
      <c r="B28" s="310" t="s">
        <v>4</v>
      </c>
      <c r="C28" s="321">
        <v>0.65</v>
      </c>
      <c r="D28" s="312">
        <f t="shared" si="0"/>
        <v>191.17647058823528</v>
      </c>
      <c r="E28" s="322">
        <v>0.76700000000000002</v>
      </c>
      <c r="F28" s="312">
        <f t="shared" si="1"/>
        <v>225.58823529411765</v>
      </c>
      <c r="G28" s="321">
        <v>0.99029999999999996</v>
      </c>
      <c r="H28" s="312">
        <f t="shared" si="2"/>
        <v>291.26470588235293</v>
      </c>
      <c r="I28" s="323">
        <v>1.4216</v>
      </c>
      <c r="J28" s="312">
        <f t="shared" si="3"/>
        <v>418.11764705882348</v>
      </c>
      <c r="K28" s="323">
        <v>1.3229</v>
      </c>
      <c r="L28" s="312">
        <f t="shared" si="4"/>
        <v>389.08823529411762</v>
      </c>
      <c r="M28" s="324">
        <v>1.6569</v>
      </c>
      <c r="N28" s="313">
        <f t="shared" si="5"/>
        <v>487.32352941176464</v>
      </c>
      <c r="O28" s="132"/>
      <c r="P28" s="132"/>
      <c r="Q28" s="131"/>
      <c r="R28" s="123"/>
      <c r="S28" s="119"/>
      <c r="T28" s="132"/>
    </row>
    <row r="29" spans="2:20">
      <c r="B29" s="310" t="s">
        <v>5</v>
      </c>
      <c r="C29" s="321">
        <f>+C28</f>
        <v>0.65</v>
      </c>
      <c r="D29" s="312">
        <f t="shared" si="0"/>
        <v>191.17647058823528</v>
      </c>
      <c r="E29" s="322">
        <v>0.76700000000000002</v>
      </c>
      <c r="F29" s="312">
        <f t="shared" si="1"/>
        <v>225.58823529411765</v>
      </c>
      <c r="G29" s="321">
        <v>0.98877000000000004</v>
      </c>
      <c r="H29" s="312">
        <f t="shared" si="2"/>
        <v>290.81470588235294</v>
      </c>
      <c r="I29" s="323">
        <v>1.399</v>
      </c>
      <c r="J29" s="312">
        <f t="shared" si="3"/>
        <v>411.47058823529409</v>
      </c>
      <c r="K29" s="323">
        <v>1.4466000000000001</v>
      </c>
      <c r="L29" s="312">
        <f t="shared" si="4"/>
        <v>425.47058823529414</v>
      </c>
      <c r="M29" s="324">
        <v>1.6478999999999999</v>
      </c>
      <c r="N29" s="313">
        <f t="shared" si="5"/>
        <v>484.67647058823525</v>
      </c>
      <c r="O29" s="132"/>
      <c r="P29" s="132"/>
      <c r="Q29" s="131"/>
      <c r="R29" s="123"/>
      <c r="S29" s="119"/>
      <c r="T29" s="132"/>
    </row>
    <row r="30" spans="2:20">
      <c r="B30" s="310" t="s">
        <v>6</v>
      </c>
      <c r="C30" s="321">
        <v>0.73</v>
      </c>
      <c r="D30" s="312">
        <f t="shared" si="0"/>
        <v>214.70588235294116</v>
      </c>
      <c r="E30" s="322">
        <v>0.81799999999999995</v>
      </c>
      <c r="F30" s="312">
        <f t="shared" si="1"/>
        <v>240.58823529411762</v>
      </c>
      <c r="G30" s="321">
        <v>1.079</v>
      </c>
      <c r="H30" s="312">
        <f t="shared" si="2"/>
        <v>317.35294117647055</v>
      </c>
      <c r="I30" s="323">
        <v>1.3841000000000001</v>
      </c>
      <c r="J30" s="312">
        <f t="shared" si="3"/>
        <v>407.08823529411768</v>
      </c>
      <c r="K30" s="323">
        <f>+K29</f>
        <v>1.4466000000000001</v>
      </c>
      <c r="L30" s="312">
        <f t="shared" si="4"/>
        <v>425.47058823529414</v>
      </c>
      <c r="M30" s="324">
        <v>1.653</v>
      </c>
      <c r="N30" s="313">
        <f t="shared" si="5"/>
        <v>486.1764705882353</v>
      </c>
      <c r="O30" s="132"/>
      <c r="P30" s="132"/>
      <c r="Q30" s="131"/>
      <c r="R30" s="123"/>
      <c r="S30" s="119"/>
      <c r="T30" s="132"/>
    </row>
    <row r="31" spans="2:20">
      <c r="B31" s="310" t="s">
        <v>7</v>
      </c>
      <c r="C31" s="321">
        <f>0.73</f>
        <v>0.73</v>
      </c>
      <c r="D31" s="312">
        <f t="shared" si="0"/>
        <v>214.70588235294116</v>
      </c>
      <c r="E31" s="322">
        <v>0.81799999999999995</v>
      </c>
      <c r="F31" s="312">
        <f t="shared" si="1"/>
        <v>240.58823529411762</v>
      </c>
      <c r="G31" s="321">
        <v>1.0714999999999999</v>
      </c>
      <c r="H31" s="312">
        <f t="shared" si="2"/>
        <v>315.14705882352939</v>
      </c>
      <c r="I31" s="323">
        <v>1.3916999999999999</v>
      </c>
      <c r="J31" s="312">
        <f t="shared" si="3"/>
        <v>409.32352941176464</v>
      </c>
      <c r="K31" s="323">
        <v>1.4475</v>
      </c>
      <c r="L31" s="312">
        <f t="shared" si="4"/>
        <v>425.73529411764702</v>
      </c>
      <c r="M31" s="324">
        <v>1.6459999999999999</v>
      </c>
      <c r="N31" s="313">
        <f t="shared" si="5"/>
        <v>484.11764705882348</v>
      </c>
      <c r="O31" s="132"/>
      <c r="P31" s="132"/>
      <c r="Q31" s="131"/>
      <c r="R31" s="123"/>
      <c r="S31" s="119"/>
      <c r="T31" s="132"/>
    </row>
    <row r="32" spans="2:20">
      <c r="B32" s="310" t="s">
        <v>8</v>
      </c>
      <c r="C32" s="321">
        <v>0.73</v>
      </c>
      <c r="D32" s="312">
        <f t="shared" si="0"/>
        <v>214.70588235294116</v>
      </c>
      <c r="E32" s="322">
        <v>0.84199999999999997</v>
      </c>
      <c r="F32" s="312">
        <f t="shared" si="1"/>
        <v>247.64705882352939</v>
      </c>
      <c r="G32" s="321">
        <v>1.0720000000000001</v>
      </c>
      <c r="H32" s="312">
        <f t="shared" si="2"/>
        <v>315.29411764705878</v>
      </c>
      <c r="I32" s="323">
        <v>1.3633</v>
      </c>
      <c r="J32" s="312">
        <f t="shared" si="3"/>
        <v>400.97058823529403</v>
      </c>
      <c r="K32" s="323">
        <v>1.4407000000000001</v>
      </c>
      <c r="L32" s="312">
        <f t="shared" si="4"/>
        <v>423.73529411764707</v>
      </c>
      <c r="M32" s="324">
        <v>1.8149</v>
      </c>
      <c r="N32" s="313">
        <f t="shared" si="5"/>
        <v>533.79411764705878</v>
      </c>
      <c r="O32" s="132"/>
      <c r="P32" s="132"/>
      <c r="Q32" s="131"/>
      <c r="R32" s="123"/>
      <c r="S32" s="119"/>
      <c r="T32" s="132"/>
    </row>
    <row r="33" spans="2:20">
      <c r="B33" s="310" t="s">
        <v>9</v>
      </c>
      <c r="C33" s="321">
        <v>0.73</v>
      </c>
      <c r="D33" s="312">
        <f t="shared" si="0"/>
        <v>214.70588235294116</v>
      </c>
      <c r="E33" s="322">
        <v>0.88600000000000001</v>
      </c>
      <c r="F33" s="312">
        <f t="shared" si="1"/>
        <v>260.58823529411762</v>
      </c>
      <c r="G33" s="321">
        <v>1.0740000000000001</v>
      </c>
      <c r="H33" s="312">
        <f t="shared" si="2"/>
        <v>315.88235294117646</v>
      </c>
      <c r="I33" s="323">
        <v>1.3553999999999999</v>
      </c>
      <c r="J33" s="312">
        <f t="shared" si="3"/>
        <v>398.64705882352933</v>
      </c>
      <c r="K33" s="323">
        <v>1.5230999999999999</v>
      </c>
      <c r="L33" s="312">
        <f t="shared" si="4"/>
        <v>447.97058823529409</v>
      </c>
      <c r="M33" s="324">
        <v>1.84</v>
      </c>
      <c r="N33" s="313">
        <f t="shared" si="5"/>
        <v>541.17647058823525</v>
      </c>
      <c r="O33" s="132"/>
      <c r="P33" s="132"/>
      <c r="Q33" s="131"/>
      <c r="R33" s="123"/>
      <c r="S33" s="119"/>
      <c r="T33" s="132"/>
    </row>
    <row r="34" spans="2:20">
      <c r="B34" s="310" t="s">
        <v>10</v>
      </c>
      <c r="C34" s="321">
        <v>0.80700000000000005</v>
      </c>
      <c r="D34" s="312">
        <f t="shared" si="0"/>
        <v>237.35294117647058</v>
      </c>
      <c r="E34" s="321">
        <v>0.89449999999999996</v>
      </c>
      <c r="F34" s="312">
        <f t="shared" si="1"/>
        <v>263.08823529411762</v>
      </c>
      <c r="G34" s="321">
        <v>1.2892999999999999</v>
      </c>
      <c r="H34" s="312">
        <f t="shared" si="2"/>
        <v>379.2058823529411</v>
      </c>
      <c r="I34" s="323">
        <v>1.3560000000000001</v>
      </c>
      <c r="J34" s="312">
        <f t="shared" si="3"/>
        <v>398.82352941176475</v>
      </c>
      <c r="K34" s="323">
        <v>1.5259</v>
      </c>
      <c r="L34" s="312">
        <f t="shared" si="4"/>
        <v>448.79411764705878</v>
      </c>
      <c r="M34" s="324">
        <v>1.83</v>
      </c>
      <c r="N34" s="313">
        <f t="shared" si="5"/>
        <v>538.23529411764707</v>
      </c>
      <c r="O34" s="132"/>
      <c r="P34" s="132"/>
      <c r="Q34" s="131"/>
      <c r="R34" s="123"/>
      <c r="S34" s="119"/>
      <c r="T34" s="132"/>
    </row>
    <row r="35" spans="2:20" ht="15.75" thickBot="1">
      <c r="B35" s="314" t="s">
        <v>11</v>
      </c>
      <c r="C35" s="330">
        <v>0.80700000000000005</v>
      </c>
      <c r="D35" s="316">
        <f t="shared" si="0"/>
        <v>237.35294117647058</v>
      </c>
      <c r="E35" s="331">
        <v>0.90200000000000002</v>
      </c>
      <c r="F35" s="316">
        <f t="shared" si="1"/>
        <v>265.29411764705884</v>
      </c>
      <c r="G35" s="330">
        <v>1.369</v>
      </c>
      <c r="H35" s="316">
        <f t="shared" si="2"/>
        <v>402.64705882352939</v>
      </c>
      <c r="I35" s="332">
        <v>1.3464</v>
      </c>
      <c r="J35" s="316">
        <f t="shared" si="3"/>
        <v>396</v>
      </c>
      <c r="K35" s="332">
        <v>1.6366000000000001</v>
      </c>
      <c r="L35" s="316">
        <f t="shared" si="4"/>
        <v>481.35294117647055</v>
      </c>
      <c r="M35" s="333">
        <v>1.8327500000000001</v>
      </c>
      <c r="N35" s="317">
        <f t="shared" si="5"/>
        <v>539.04411764705878</v>
      </c>
      <c r="O35" s="132"/>
      <c r="P35" s="132"/>
      <c r="Q35" s="131"/>
      <c r="R35" s="123"/>
      <c r="S35" s="119"/>
      <c r="T35" s="132"/>
    </row>
    <row r="36" spans="2:20">
      <c r="B36" s="120"/>
      <c r="C36" s="118"/>
      <c r="D36" s="124"/>
      <c r="E36" s="135"/>
      <c r="F36" s="123"/>
      <c r="G36" s="119"/>
      <c r="H36" s="132"/>
      <c r="I36" s="122"/>
      <c r="J36" s="119"/>
      <c r="K36" s="122"/>
      <c r="L36" s="119"/>
      <c r="M36" s="136"/>
      <c r="N36" s="119"/>
      <c r="O36" s="119"/>
      <c r="P36" s="119"/>
      <c r="Q36" s="131"/>
      <c r="R36" s="123"/>
      <c r="S36" s="119"/>
      <c r="T36" s="132"/>
    </row>
    <row r="37" spans="2:20" ht="15.75" thickBot="1">
      <c r="B37" s="120"/>
      <c r="C37" s="118"/>
      <c r="D37" s="124"/>
      <c r="E37" s="135"/>
      <c r="F37" s="123"/>
      <c r="G37" s="119"/>
      <c r="H37" s="132"/>
      <c r="I37" s="122"/>
      <c r="J37" s="119"/>
      <c r="K37" s="122"/>
      <c r="L37" s="119"/>
      <c r="M37" s="136"/>
      <c r="N37" s="119"/>
      <c r="O37" s="119"/>
      <c r="P37" s="119"/>
      <c r="Q37" s="131"/>
      <c r="R37" s="123"/>
      <c r="S37" s="119"/>
      <c r="T37" s="132"/>
    </row>
    <row r="38" spans="2:20" ht="18.75" thickBot="1">
      <c r="B38" s="1385" t="s">
        <v>126</v>
      </c>
      <c r="C38" s="1386"/>
      <c r="D38" s="1386"/>
      <c r="E38" s="1386"/>
      <c r="F38" s="1386"/>
      <c r="G38" s="1386"/>
      <c r="H38" s="1386"/>
      <c r="I38" s="1386"/>
      <c r="J38" s="1386"/>
      <c r="K38" s="1386"/>
      <c r="L38" s="1386"/>
      <c r="M38" s="1386"/>
      <c r="N38" s="1387"/>
      <c r="O38" s="119"/>
      <c r="P38" s="119"/>
      <c r="Q38" s="131"/>
      <c r="R38" s="123"/>
      <c r="S38" s="119"/>
      <c r="T38" s="132"/>
    </row>
    <row r="39" spans="2:20" ht="15.75" thickBot="1">
      <c r="B39" s="1331">
        <v>2006</v>
      </c>
      <c r="C39" s="1332"/>
      <c r="D39" s="334" t="s">
        <v>15</v>
      </c>
      <c r="E39" s="335">
        <v>2007</v>
      </c>
      <c r="F39" s="334" t="s">
        <v>15</v>
      </c>
      <c r="G39" s="336">
        <v>2008</v>
      </c>
      <c r="H39" s="334" t="s">
        <v>15</v>
      </c>
      <c r="I39" s="337">
        <v>2009</v>
      </c>
      <c r="J39" s="339" t="s">
        <v>15</v>
      </c>
      <c r="K39" s="337">
        <v>2010</v>
      </c>
      <c r="L39" s="339" t="s">
        <v>15</v>
      </c>
      <c r="M39" s="340">
        <v>2011</v>
      </c>
      <c r="N39" s="338" t="s">
        <v>15</v>
      </c>
      <c r="O39" s="133"/>
      <c r="P39" s="133"/>
      <c r="Q39" s="131"/>
      <c r="R39" s="123"/>
      <c r="S39" s="119"/>
      <c r="T39" s="132"/>
    </row>
    <row r="40" spans="2:20">
      <c r="B40" s="306" t="s">
        <v>0</v>
      </c>
      <c r="C40" s="326">
        <v>1.8360000000000001</v>
      </c>
      <c r="D40" s="350">
        <f t="shared" ref="D40:D51" si="6">100*C40/$C$15</f>
        <v>540</v>
      </c>
      <c r="E40" s="341">
        <v>1.8240000000000001</v>
      </c>
      <c r="F40" s="308">
        <f t="shared" ref="F40:F51" si="7">100*E40/$C$15</f>
        <v>536.47058823529414</v>
      </c>
      <c r="G40" s="326">
        <v>1.875</v>
      </c>
      <c r="H40" s="308">
        <f t="shared" ref="H40:H51" si="8">100*G40/$C$15</f>
        <v>551.47058823529403</v>
      </c>
      <c r="I40" s="328">
        <v>2.1080000000000001</v>
      </c>
      <c r="J40" s="308">
        <f t="shared" ref="J40:J51" si="9">100*I40/$C$15</f>
        <v>620</v>
      </c>
      <c r="K40" s="328">
        <v>1.986</v>
      </c>
      <c r="L40" s="308">
        <f t="shared" ref="L40:L51" si="10">100*K40/$C$15</f>
        <v>584.11764705882342</v>
      </c>
      <c r="M40" s="329">
        <v>1.9950000000000001</v>
      </c>
      <c r="N40" s="309">
        <f t="shared" ref="N40:N51" si="11">100*M40/$C$15</f>
        <v>586.76470588235293</v>
      </c>
      <c r="O40" s="132"/>
      <c r="P40" s="132"/>
      <c r="Q40" s="131"/>
      <c r="R40" s="123"/>
      <c r="S40" s="119"/>
      <c r="T40" s="132"/>
    </row>
    <row r="41" spans="2:20">
      <c r="B41" s="310" t="s">
        <v>1</v>
      </c>
      <c r="C41" s="321">
        <v>1.837</v>
      </c>
      <c r="D41" s="312">
        <f t="shared" si="6"/>
        <v>540.29411764705878</v>
      </c>
      <c r="E41" s="344">
        <v>1.8220000000000001</v>
      </c>
      <c r="F41" s="351">
        <f t="shared" si="7"/>
        <v>535.88235294117646</v>
      </c>
      <c r="G41" s="321">
        <v>1.8759999999999999</v>
      </c>
      <c r="H41" s="351">
        <f t="shared" si="8"/>
        <v>551.76470588235293</v>
      </c>
      <c r="I41" s="323">
        <v>2.1080000000000001</v>
      </c>
      <c r="J41" s="351">
        <f t="shared" si="9"/>
        <v>620</v>
      </c>
      <c r="K41" s="323">
        <v>1.9910000000000001</v>
      </c>
      <c r="L41" s="351">
        <f t="shared" si="10"/>
        <v>585.58823529411768</v>
      </c>
      <c r="M41" s="324">
        <v>2</v>
      </c>
      <c r="N41" s="352">
        <f t="shared" si="11"/>
        <v>588.23529411764707</v>
      </c>
      <c r="O41" s="132"/>
      <c r="P41" s="132"/>
      <c r="Q41" s="131"/>
      <c r="R41" s="123"/>
      <c r="S41" s="119"/>
      <c r="T41" s="132"/>
    </row>
    <row r="42" spans="2:20">
      <c r="B42" s="310" t="s">
        <v>2</v>
      </c>
      <c r="C42" s="321">
        <v>1.8240000000000001</v>
      </c>
      <c r="D42" s="351">
        <f t="shared" si="6"/>
        <v>536.47058823529414</v>
      </c>
      <c r="E42" s="344">
        <v>1.8280000000000001</v>
      </c>
      <c r="F42" s="351">
        <f t="shared" si="7"/>
        <v>537.64705882352939</v>
      </c>
      <c r="G42" s="321">
        <v>1.8769999999999996</v>
      </c>
      <c r="H42" s="351">
        <f t="shared" si="8"/>
        <v>552.0588235294116</v>
      </c>
      <c r="I42" s="323">
        <v>2.1070000000000002</v>
      </c>
      <c r="J42" s="351">
        <f t="shared" si="9"/>
        <v>619.70588235294122</v>
      </c>
      <c r="K42" s="323">
        <v>1.9890000000000003</v>
      </c>
      <c r="L42" s="351">
        <f t="shared" si="10"/>
        <v>585.00000000000011</v>
      </c>
      <c r="M42" s="324">
        <v>2.008</v>
      </c>
      <c r="N42" s="352">
        <f t="shared" si="11"/>
        <v>590.58823529411768</v>
      </c>
      <c r="O42" s="132"/>
      <c r="P42" s="132"/>
      <c r="Q42" s="131"/>
      <c r="R42" s="123"/>
      <c r="S42" s="119"/>
      <c r="T42" s="132"/>
    </row>
    <row r="43" spans="2:20">
      <c r="B43" s="310" t="s">
        <v>3</v>
      </c>
      <c r="C43" s="321">
        <v>1.821</v>
      </c>
      <c r="D43" s="312">
        <f t="shared" si="6"/>
        <v>535.58823529411757</v>
      </c>
      <c r="E43" s="344">
        <v>1.8420000000000001</v>
      </c>
      <c r="F43" s="351">
        <f t="shared" si="7"/>
        <v>541.76470588235293</v>
      </c>
      <c r="G43" s="321">
        <v>1.8779999999999999</v>
      </c>
      <c r="H43" s="351">
        <f t="shared" si="8"/>
        <v>552.35294117647049</v>
      </c>
      <c r="I43" s="323">
        <v>2.1070000000000002</v>
      </c>
      <c r="J43" s="351">
        <f t="shared" si="9"/>
        <v>619.70588235294122</v>
      </c>
      <c r="K43" s="323">
        <v>1.988</v>
      </c>
      <c r="L43" s="351">
        <f t="shared" si="10"/>
        <v>584.70588235294122</v>
      </c>
      <c r="M43" s="324">
        <v>2.012</v>
      </c>
      <c r="N43" s="352">
        <f t="shared" si="11"/>
        <v>591.76470588235281</v>
      </c>
      <c r="O43" s="132"/>
      <c r="P43" s="132"/>
      <c r="Q43" s="131"/>
      <c r="R43" s="123"/>
      <c r="S43" s="119"/>
      <c r="T43" s="132"/>
    </row>
    <row r="44" spans="2:20">
      <c r="B44" s="310" t="s">
        <v>4</v>
      </c>
      <c r="C44" s="321">
        <v>1.825</v>
      </c>
      <c r="D44" s="312">
        <f t="shared" si="6"/>
        <v>536.76470588235293</v>
      </c>
      <c r="E44" s="344">
        <v>1.835</v>
      </c>
      <c r="F44" s="351">
        <f t="shared" si="7"/>
        <v>539.7058823529411</v>
      </c>
      <c r="G44" s="321">
        <v>2.0459999999999998</v>
      </c>
      <c r="H44" s="351">
        <f t="shared" si="8"/>
        <v>601.76470588235293</v>
      </c>
      <c r="I44" s="323">
        <v>2.1059999999999999</v>
      </c>
      <c r="J44" s="351">
        <f t="shared" si="9"/>
        <v>619.41176470588232</v>
      </c>
      <c r="K44" s="323">
        <v>1.9860000000000002</v>
      </c>
      <c r="L44" s="351">
        <f t="shared" si="10"/>
        <v>584.11764705882354</v>
      </c>
      <c r="M44" s="324">
        <v>2.0099999999999998</v>
      </c>
      <c r="N44" s="352">
        <f t="shared" si="11"/>
        <v>591.17647058823513</v>
      </c>
      <c r="O44" s="132"/>
      <c r="P44" s="132"/>
      <c r="Q44" s="131"/>
      <c r="R44" s="123"/>
      <c r="S44" s="119"/>
      <c r="T44" s="132"/>
    </row>
    <row r="45" spans="2:20">
      <c r="B45" s="310" t="s">
        <v>5</v>
      </c>
      <c r="C45" s="321">
        <v>1.788</v>
      </c>
      <c r="D45" s="312">
        <f t="shared" si="6"/>
        <v>525.88235294117646</v>
      </c>
      <c r="E45" s="344">
        <v>1.8207100000000001</v>
      </c>
      <c r="F45" s="351">
        <f t="shared" si="7"/>
        <v>535.50294117647059</v>
      </c>
      <c r="G45" s="321">
        <v>2.052</v>
      </c>
      <c r="H45" s="351">
        <f t="shared" si="8"/>
        <v>603.52941176470586</v>
      </c>
      <c r="I45" s="323">
        <v>2.0219999999999998</v>
      </c>
      <c r="J45" s="351">
        <f t="shared" si="9"/>
        <v>594.7058823529411</v>
      </c>
      <c r="K45" s="323">
        <v>1.9830000000000003</v>
      </c>
      <c r="L45" s="351">
        <f t="shared" si="10"/>
        <v>583.23529411764719</v>
      </c>
      <c r="M45" s="324">
        <v>2.008</v>
      </c>
      <c r="N45" s="352">
        <f t="shared" si="11"/>
        <v>590.58823529411768</v>
      </c>
      <c r="O45" s="132"/>
      <c r="P45" s="132"/>
      <c r="Q45" s="131"/>
      <c r="R45" s="123"/>
      <c r="S45" s="119"/>
      <c r="T45" s="132"/>
    </row>
    <row r="46" spans="2:20">
      <c r="B46" s="310" t="s">
        <v>6</v>
      </c>
      <c r="C46" s="321">
        <v>1.8280000000000001</v>
      </c>
      <c r="D46" s="312">
        <f t="shared" si="6"/>
        <v>537.64705882352939</v>
      </c>
      <c r="E46" s="344">
        <v>1.82213</v>
      </c>
      <c r="F46" s="351">
        <f t="shared" si="7"/>
        <v>535.92058823529408</v>
      </c>
      <c r="G46" s="321">
        <v>2.1</v>
      </c>
      <c r="H46" s="351">
        <f t="shared" si="8"/>
        <v>617.64705882352939</v>
      </c>
      <c r="I46" s="323">
        <v>1.9970000000000001</v>
      </c>
      <c r="J46" s="351">
        <f t="shared" si="9"/>
        <v>587.35294117647061</v>
      </c>
      <c r="K46" s="323">
        <v>1.9830000000000001</v>
      </c>
      <c r="L46" s="351">
        <f t="shared" si="10"/>
        <v>583.23529411764707</v>
      </c>
      <c r="M46" s="324">
        <v>2.0089999999999999</v>
      </c>
      <c r="N46" s="352">
        <f t="shared" si="11"/>
        <v>590.88235294117635</v>
      </c>
      <c r="O46" s="132"/>
      <c r="P46" s="142">
        <f>+G46/G42-1</f>
        <v>0.11880660628662798</v>
      </c>
      <c r="Q46" s="131"/>
      <c r="R46" s="123"/>
      <c r="S46" s="119"/>
      <c r="T46" s="132"/>
    </row>
    <row r="47" spans="2:20">
      <c r="B47" s="310" t="s">
        <v>7</v>
      </c>
      <c r="C47" s="321">
        <v>1.796</v>
      </c>
      <c r="D47" s="312">
        <f t="shared" si="6"/>
        <v>528.23529411764696</v>
      </c>
      <c r="E47" s="344">
        <v>1.81525</v>
      </c>
      <c r="F47" s="351">
        <f t="shared" si="7"/>
        <v>533.89705882352939</v>
      </c>
      <c r="G47" s="321">
        <v>2.1030000000000002</v>
      </c>
      <c r="H47" s="351">
        <f t="shared" si="8"/>
        <v>618.52941176470586</v>
      </c>
      <c r="I47" s="323">
        <v>1.9929999999999994</v>
      </c>
      <c r="J47" s="351">
        <f t="shared" si="9"/>
        <v>586.17647058823513</v>
      </c>
      <c r="K47" s="323">
        <v>1.982</v>
      </c>
      <c r="L47" s="351">
        <f t="shared" si="10"/>
        <v>582.94117647058818</v>
      </c>
      <c r="M47" s="324">
        <v>2.0089999999999999</v>
      </c>
      <c r="N47" s="352">
        <f t="shared" si="11"/>
        <v>590.88235294117635</v>
      </c>
      <c r="O47" s="132"/>
      <c r="P47" s="132"/>
      <c r="Q47" s="131"/>
      <c r="R47" s="123"/>
      <c r="S47" s="119"/>
      <c r="T47" s="132"/>
    </row>
    <row r="48" spans="2:20">
      <c r="B48" s="310" t="s">
        <v>8</v>
      </c>
      <c r="C48" s="321">
        <v>1.8360000000000001</v>
      </c>
      <c r="D48" s="312">
        <f t="shared" si="6"/>
        <v>540</v>
      </c>
      <c r="E48" s="344">
        <v>1.8089999999999999</v>
      </c>
      <c r="F48" s="351">
        <f t="shared" si="7"/>
        <v>532.05882352941171</v>
      </c>
      <c r="G48" s="321">
        <v>2.105</v>
      </c>
      <c r="H48" s="351">
        <f t="shared" si="8"/>
        <v>619.11764705882354</v>
      </c>
      <c r="I48" s="323">
        <v>1.9830000000000001</v>
      </c>
      <c r="J48" s="351">
        <f t="shared" si="9"/>
        <v>583.23529411764707</v>
      </c>
      <c r="K48" s="323">
        <v>1.9810000000000001</v>
      </c>
      <c r="L48" s="351">
        <f t="shared" si="10"/>
        <v>582.64705882352939</v>
      </c>
      <c r="M48" s="324">
        <v>2.0259999999999998</v>
      </c>
      <c r="N48" s="352">
        <f t="shared" si="11"/>
        <v>595.88235294117635</v>
      </c>
      <c r="O48" s="132"/>
      <c r="P48" s="132"/>
      <c r="Q48" s="131"/>
      <c r="R48" s="123"/>
      <c r="S48" s="119"/>
      <c r="T48" s="132"/>
    </row>
    <row r="49" spans="2:20">
      <c r="B49" s="310" t="s">
        <v>9</v>
      </c>
      <c r="C49" s="321">
        <v>1.8362000000000003</v>
      </c>
      <c r="D49" s="312">
        <f t="shared" si="6"/>
        <v>540.05882352941182</v>
      </c>
      <c r="E49" s="344">
        <v>1.8146249999999995</v>
      </c>
      <c r="F49" s="351">
        <f t="shared" si="7"/>
        <v>533.71323529411745</v>
      </c>
      <c r="G49" s="321">
        <v>2.1059999999999999</v>
      </c>
      <c r="H49" s="351">
        <f t="shared" si="8"/>
        <v>619.41176470588232</v>
      </c>
      <c r="I49" s="323">
        <v>1.974</v>
      </c>
      <c r="J49" s="351">
        <f t="shared" si="9"/>
        <v>580.58823529411757</v>
      </c>
      <c r="K49" s="323">
        <v>1.982</v>
      </c>
      <c r="L49" s="351">
        <f t="shared" si="10"/>
        <v>582.94117647058818</v>
      </c>
      <c r="M49" s="324">
        <v>2.0299999999999998</v>
      </c>
      <c r="N49" s="352">
        <f t="shared" si="11"/>
        <v>597.0588235294116</v>
      </c>
      <c r="O49" s="132"/>
      <c r="P49" s="132"/>
      <c r="Q49" s="131"/>
      <c r="R49" s="123"/>
      <c r="S49" s="119"/>
      <c r="T49" s="132"/>
    </row>
    <row r="50" spans="2:20">
      <c r="B50" s="310" t="s">
        <v>10</v>
      </c>
      <c r="C50" s="321">
        <v>1.8080000000000001</v>
      </c>
      <c r="D50" s="351">
        <f t="shared" si="6"/>
        <v>531.76470588235293</v>
      </c>
      <c r="E50" s="344">
        <v>1.8214999999999997</v>
      </c>
      <c r="F50" s="351">
        <f t="shared" si="7"/>
        <v>535.73529411764696</v>
      </c>
      <c r="G50" s="321">
        <v>2.1080000000000001</v>
      </c>
      <c r="H50" s="351">
        <f t="shared" si="8"/>
        <v>620</v>
      </c>
      <c r="I50" s="323">
        <v>1.9780000000000006</v>
      </c>
      <c r="J50" s="351">
        <f t="shared" si="9"/>
        <v>581.76470588235316</v>
      </c>
      <c r="K50" s="323">
        <v>1.982</v>
      </c>
      <c r="L50" s="351">
        <f t="shared" si="10"/>
        <v>582.94117647058818</v>
      </c>
      <c r="M50" s="324">
        <v>2.0310000000000001</v>
      </c>
      <c r="N50" s="352">
        <f t="shared" si="11"/>
        <v>597.35294117647061</v>
      </c>
      <c r="O50" s="132"/>
      <c r="P50" s="132"/>
      <c r="Q50" s="131"/>
      <c r="R50" s="123"/>
      <c r="S50" s="119"/>
      <c r="T50" s="132"/>
    </row>
    <row r="51" spans="2:20" ht="15.75" thickBot="1">
      <c r="B51" s="314" t="s">
        <v>11</v>
      </c>
      <c r="C51" s="330">
        <v>1.8180000000000001</v>
      </c>
      <c r="D51" s="316">
        <f t="shared" si="6"/>
        <v>534.70588235294122</v>
      </c>
      <c r="E51" s="347">
        <v>1.8358750000000001</v>
      </c>
      <c r="F51" s="316">
        <f t="shared" si="7"/>
        <v>539.96323529411768</v>
      </c>
      <c r="G51" s="330">
        <v>2.1080000000000001</v>
      </c>
      <c r="H51" s="316">
        <f t="shared" si="8"/>
        <v>620</v>
      </c>
      <c r="I51" s="332">
        <v>1.9790000000000001</v>
      </c>
      <c r="J51" s="316">
        <f t="shared" si="9"/>
        <v>582.05882352941171</v>
      </c>
      <c r="K51" s="332">
        <v>1.9830000000000001</v>
      </c>
      <c r="L51" s="316">
        <f t="shared" si="10"/>
        <v>583.23529411764707</v>
      </c>
      <c r="M51" s="333">
        <v>2.0329999999999999</v>
      </c>
      <c r="N51" s="317">
        <f t="shared" si="11"/>
        <v>597.94117647058818</v>
      </c>
      <c r="O51" s="132"/>
      <c r="P51" s="132"/>
      <c r="Q51" s="131"/>
      <c r="R51" s="123"/>
      <c r="S51" s="119"/>
      <c r="T51" s="132"/>
    </row>
    <row r="52" spans="2:20">
      <c r="B52" s="119"/>
      <c r="C52" s="135"/>
      <c r="D52" s="123"/>
      <c r="E52" s="131"/>
      <c r="F52" s="132"/>
      <c r="G52" s="135"/>
      <c r="H52" s="132"/>
      <c r="I52" s="136"/>
      <c r="J52" s="132"/>
      <c r="K52" s="136"/>
      <c r="L52" s="132"/>
      <c r="M52" s="143"/>
      <c r="N52" s="132"/>
      <c r="O52" s="132"/>
      <c r="P52" s="132"/>
      <c r="Q52" s="131"/>
      <c r="R52" s="123"/>
      <c r="S52" s="119"/>
      <c r="T52" s="132"/>
    </row>
    <row r="53" spans="2:20" ht="18.75" thickBot="1">
      <c r="B53" s="1404" t="s">
        <v>126</v>
      </c>
      <c r="C53" s="1405"/>
      <c r="D53" s="1405"/>
      <c r="E53" s="1405"/>
      <c r="F53" s="1405"/>
      <c r="G53" s="1405"/>
      <c r="H53" s="1405"/>
      <c r="I53" s="1405"/>
      <c r="J53" s="1405"/>
      <c r="K53" s="1405"/>
      <c r="L53" s="1405"/>
      <c r="M53" s="1405"/>
      <c r="N53" s="1405"/>
      <c r="O53" s="1405"/>
      <c r="P53" s="1405"/>
      <c r="Q53" s="1405"/>
      <c r="R53" s="1405"/>
      <c r="S53" s="1405"/>
      <c r="T53" s="1405"/>
    </row>
    <row r="54" spans="2:20" ht="15.75" thickBot="1">
      <c r="B54" s="1331">
        <v>2012</v>
      </c>
      <c r="C54" s="1332"/>
      <c r="D54" s="353" t="s">
        <v>15</v>
      </c>
      <c r="E54" s="640">
        <v>2013</v>
      </c>
      <c r="F54" s="353" t="s">
        <v>15</v>
      </c>
      <c r="G54" s="640">
        <v>2014</v>
      </c>
      <c r="H54" s="353" t="s">
        <v>15</v>
      </c>
      <c r="I54" s="640">
        <v>2015</v>
      </c>
      <c r="J54" s="353" t="s">
        <v>15</v>
      </c>
      <c r="K54" s="640">
        <v>2016</v>
      </c>
      <c r="L54" s="353" t="s">
        <v>15</v>
      </c>
      <c r="M54" s="640">
        <v>2017</v>
      </c>
      <c r="N54" s="353" t="s">
        <v>15</v>
      </c>
      <c r="O54" s="640">
        <v>2018</v>
      </c>
      <c r="P54" s="353" t="s">
        <v>15</v>
      </c>
      <c r="Q54" s="640">
        <v>2019</v>
      </c>
      <c r="R54" s="353" t="s">
        <v>15</v>
      </c>
      <c r="S54" s="1263">
        <v>2020</v>
      </c>
      <c r="T54" s="353" t="s">
        <v>15</v>
      </c>
    </row>
    <row r="55" spans="2:20">
      <c r="B55" s="306" t="s">
        <v>0</v>
      </c>
      <c r="C55" s="326">
        <v>2.04</v>
      </c>
      <c r="D55" s="309">
        <f t="shared" ref="D55:D63" si="12">100*C55/$C$15</f>
        <v>600</v>
      </c>
      <c r="E55" s="641">
        <f>[1]Janeiro!$B$9</f>
        <v>2.1640000000000001</v>
      </c>
      <c r="F55" s="655">
        <f t="shared" ref="F55:F60" si="13">100*E55/$C$15</f>
        <v>636.47058823529414</v>
      </c>
      <c r="G55" s="641">
        <f>'[2]jan-14'!$B$9</f>
        <v>2.4869999999999997</v>
      </c>
      <c r="H55" s="655">
        <f t="shared" ref="H55:H60" si="14">100*G55/$C$15</f>
        <v>731.47058823529392</v>
      </c>
      <c r="I55" s="641">
        <f>'[3]jan-15'!$B$9</f>
        <v>2.613</v>
      </c>
      <c r="J55" s="655">
        <f t="shared" ref="J55:J60" si="15">100*I55/$C$15</f>
        <v>768.52941176470586</v>
      </c>
      <c r="K55" s="1122">
        <f>'[4]jan-16'!$B$9</f>
        <v>3.0100000000000002</v>
      </c>
      <c r="L55" s="1125">
        <f t="shared" ref="L55" si="16">100*K55/$C$15</f>
        <v>885.29411764705878</v>
      </c>
      <c r="M55" s="1126">
        <f>'[5]jan-17'!$B$9</f>
        <v>3.1209999999999996</v>
      </c>
      <c r="N55" s="655">
        <f t="shared" ref="N55" si="17">100*M55/$C$15</f>
        <v>917.94117647058806</v>
      </c>
      <c r="O55" s="1126">
        <f>'[6]jan-18'!$B$9</f>
        <v>3.3809999999999998</v>
      </c>
      <c r="P55" s="655">
        <f t="shared" ref="P55:P60" si="18">100*O55/$C$15</f>
        <v>994.41176470588221</v>
      </c>
      <c r="Q55" s="1126">
        <f>'[7]jan-19'!$B$9</f>
        <v>3.4329999999999998</v>
      </c>
      <c r="R55" s="655">
        <f t="shared" ref="R55" si="19">100*Q55/$C$15</f>
        <v>1009.705882352941</v>
      </c>
      <c r="S55" s="1276">
        <f>'[8]jan-20'!$B$9</f>
        <v>3.8000000000000003</v>
      </c>
      <c r="T55" s="309">
        <f t="shared" ref="T55" si="20">100*S55/$C$15</f>
        <v>1117.6470588235293</v>
      </c>
    </row>
    <row r="56" spans="2:20">
      <c r="B56" s="310" t="s">
        <v>1</v>
      </c>
      <c r="C56" s="321">
        <v>2.0409999999999999</v>
      </c>
      <c r="D56" s="352">
        <f t="shared" si="12"/>
        <v>600.29411764705878</v>
      </c>
      <c r="E56" s="641">
        <f>[1]Fevereiro!$B$9</f>
        <v>2.2549999999999994</v>
      </c>
      <c r="F56" s="313">
        <f t="shared" si="13"/>
        <v>663.23529411764684</v>
      </c>
      <c r="G56" s="702">
        <f>'[2]fev-14'!$B$9</f>
        <v>2.4929999999999999</v>
      </c>
      <c r="H56" s="558">
        <f t="shared" si="14"/>
        <v>733.23529411764696</v>
      </c>
      <c r="I56" s="1031">
        <f>'[3]fev-15'!$B$9</f>
        <v>2.8079999999999998</v>
      </c>
      <c r="J56" s="313">
        <f t="shared" si="15"/>
        <v>825.88235294117624</v>
      </c>
      <c r="K56" s="1123">
        <f>'[4]fev-16'!$B$9</f>
        <v>3.02</v>
      </c>
      <c r="L56" s="379">
        <f t="shared" ref="L56" si="21">100*K56/$C$15</f>
        <v>888.23529411764696</v>
      </c>
      <c r="M56" s="1031">
        <f>'[5]fev-17'!$B$9</f>
        <v>3.0970000000000004</v>
      </c>
      <c r="N56" s="313">
        <f t="shared" ref="N56" si="22">100*M56/$C$15</f>
        <v>910.88235294117658</v>
      </c>
      <c r="O56" s="1031">
        <f>'[6]fev-18'!$B$9</f>
        <v>3.3829999999999996</v>
      </c>
      <c r="P56" s="313">
        <f t="shared" si="18"/>
        <v>994.99999999999977</v>
      </c>
      <c r="Q56" s="1031">
        <f>'[7]fev-19'!$B$9</f>
        <v>3.4439999999999995</v>
      </c>
      <c r="R56" s="313">
        <f t="shared" ref="R56" si="23">100*Q56/$C$15</f>
        <v>1012.9411764705881</v>
      </c>
      <c r="S56" s="1275">
        <f>'[8]fev-20'!$B$9</f>
        <v>3.677</v>
      </c>
      <c r="T56" s="699">
        <f t="shared" ref="T56" si="24">100*S56/$C$15</f>
        <v>1081.4705882352939</v>
      </c>
    </row>
    <row r="57" spans="2:20">
      <c r="B57" s="310" t="s">
        <v>2</v>
      </c>
      <c r="C57" s="321">
        <v>2.0430000000000001</v>
      </c>
      <c r="D57" s="352">
        <f t="shared" si="12"/>
        <v>600.88235294117646</v>
      </c>
      <c r="E57" s="641">
        <f>[1]Março!$B$9</f>
        <v>2.3210000000000002</v>
      </c>
      <c r="F57" s="313">
        <f t="shared" si="13"/>
        <v>682.64705882352939</v>
      </c>
      <c r="G57" s="702">
        <f>'[2]mar-14'!$B$9</f>
        <v>2.4990000000000001</v>
      </c>
      <c r="H57" s="558">
        <f t="shared" si="14"/>
        <v>735</v>
      </c>
      <c r="I57" s="1031">
        <f>'[3]mar-15'!$B$9</f>
        <v>2.8099999999999996</v>
      </c>
      <c r="J57" s="313">
        <f t="shared" si="15"/>
        <v>826.47058823529392</v>
      </c>
      <c r="K57" s="1123">
        <f>'[4]mar-16'!$B$9</f>
        <v>3.0210000000000004</v>
      </c>
      <c r="L57" s="379">
        <f t="shared" ref="L57" si="25">100*K57/$C$15</f>
        <v>888.52941176470586</v>
      </c>
      <c r="M57" s="1031">
        <f>'[5]mar-17'!$B$9</f>
        <v>3.0419999999999994</v>
      </c>
      <c r="N57" s="313">
        <f t="shared" ref="N57" si="26">100*M57/$C$15</f>
        <v>894.70588235294088</v>
      </c>
      <c r="O57" s="1031">
        <f>'[6]mar-18'!$B$9</f>
        <v>3.3909999999999991</v>
      </c>
      <c r="P57" s="313">
        <f t="shared" si="18"/>
        <v>997.35294117647027</v>
      </c>
      <c r="Q57" s="1031">
        <f>'[7]mar-19'!$B$9</f>
        <v>3.5539999999999994</v>
      </c>
      <c r="R57" s="313">
        <f t="shared" ref="R57" si="27">100*Q57/$C$15</f>
        <v>1045.2941176470586</v>
      </c>
      <c r="S57" s="1031">
        <f>'[8]mar-20'!$B$9</f>
        <v>3.4920000000000004</v>
      </c>
      <c r="T57" s="313">
        <f t="shared" ref="T57" si="28">100*S57/$C$15</f>
        <v>1027.0588235294117</v>
      </c>
    </row>
    <row r="58" spans="2:20">
      <c r="B58" s="310" t="s">
        <v>3</v>
      </c>
      <c r="C58" s="321">
        <v>2.0459999999999998</v>
      </c>
      <c r="D58" s="352">
        <f t="shared" si="12"/>
        <v>601.76470588235293</v>
      </c>
      <c r="E58" s="641">
        <f>[1]Abril!$B$9</f>
        <v>2.3340000000000001</v>
      </c>
      <c r="F58" s="313">
        <f t="shared" si="13"/>
        <v>686.47058823529403</v>
      </c>
      <c r="G58" s="702">
        <f>'[2]abr-14'!$B$9</f>
        <v>2.5009999999999999</v>
      </c>
      <c r="H58" s="558">
        <f t="shared" si="14"/>
        <v>735.58823529411757</v>
      </c>
      <c r="I58" s="1031">
        <f>'[3]abr-15'!$B$9</f>
        <v>2.8090000000000006</v>
      </c>
      <c r="J58" s="313">
        <f t="shared" si="15"/>
        <v>826.17647058823536</v>
      </c>
      <c r="K58" s="1123">
        <f>'[4]abr-16'!$B$9</f>
        <v>3.0210000000000004</v>
      </c>
      <c r="L58" s="379">
        <f t="shared" ref="L58" si="29">100*K58/$C$15</f>
        <v>888.52941176470586</v>
      </c>
      <c r="M58" s="1031">
        <f>'[5]abr-17'!$B$9</f>
        <v>3.012</v>
      </c>
      <c r="N58" s="313">
        <f t="shared" ref="N58" si="30">100*M58/$C$15</f>
        <v>885.88235294117635</v>
      </c>
      <c r="O58" s="1031">
        <f>'[6]abr-18'!$B$9</f>
        <v>3.4710000000000001</v>
      </c>
      <c r="P58" s="313">
        <f t="shared" si="18"/>
        <v>1020.8823529411765</v>
      </c>
      <c r="Q58" s="1031">
        <f>'[7]abr-19'!$B$9</f>
        <v>3.6140000000000003</v>
      </c>
      <c r="R58" s="313">
        <f t="shared" ref="R58" si="31">100*Q58/$C$15</f>
        <v>1062.9411764705883</v>
      </c>
      <c r="S58" s="1031">
        <f>'[8]abr-20'!$B$9</f>
        <v>3.2029999999999998</v>
      </c>
      <c r="T58" s="313">
        <f t="shared" ref="T58" si="32">100*S58/$C$15</f>
        <v>942.05882352941171</v>
      </c>
    </row>
    <row r="59" spans="2:20">
      <c r="B59" s="310" t="s">
        <v>4</v>
      </c>
      <c r="C59" s="321">
        <v>2.0470000000000002</v>
      </c>
      <c r="D59" s="352">
        <f t="shared" si="12"/>
        <v>602.05882352941182</v>
      </c>
      <c r="E59" s="641">
        <f>[1]Maio!$B$9</f>
        <v>2.3340000000000001</v>
      </c>
      <c r="F59" s="313">
        <f t="shared" si="13"/>
        <v>686.47058823529403</v>
      </c>
      <c r="G59" s="702">
        <f>'[2]mai-14'!$B$9</f>
        <v>2.5</v>
      </c>
      <c r="H59" s="558">
        <f t="shared" si="14"/>
        <v>735.29411764705878</v>
      </c>
      <c r="I59" s="1031">
        <f>'[3]mai-15'!$B$9</f>
        <v>2.8069999999999995</v>
      </c>
      <c r="J59" s="313">
        <f t="shared" si="15"/>
        <v>825.58823529411734</v>
      </c>
      <c r="K59" s="1123">
        <f>'[4]mai-16'!$B$9</f>
        <v>3.0150000000000001</v>
      </c>
      <c r="L59" s="379">
        <f t="shared" ref="L59" si="33">100*K59/$C$15</f>
        <v>886.76470588235293</v>
      </c>
      <c r="M59" s="1031">
        <f>'[5]mai-17'!$B$9</f>
        <v>3.0190000000000006</v>
      </c>
      <c r="N59" s="313">
        <f t="shared" ref="N59" si="34">100*M59/$C$15</f>
        <v>887.94117647058829</v>
      </c>
      <c r="O59" s="1031">
        <f>'[6]mai-18'!$B$9</f>
        <v>3.7879999999999998</v>
      </c>
      <c r="P59" s="313">
        <f t="shared" si="18"/>
        <v>1114.1176470588234</v>
      </c>
      <c r="Q59" s="1031">
        <f>'[7]mai-19'!$B$9</f>
        <v>3.6539999999999999</v>
      </c>
      <c r="R59" s="313">
        <f t="shared" ref="R59" si="35">100*Q59/$C$15</f>
        <v>1074.705882352941</v>
      </c>
      <c r="S59" s="1031">
        <f>'[8]mai-20'!$B$9</f>
        <v>3.0089999999999999</v>
      </c>
      <c r="T59" s="313">
        <f t="shared" ref="T59" si="36">100*S59/$C$15</f>
        <v>884.99999999999989</v>
      </c>
    </row>
    <row r="60" spans="2:20">
      <c r="B60" s="310" t="s">
        <v>5</v>
      </c>
      <c r="C60" s="321">
        <v>2.0430000000000001</v>
      </c>
      <c r="D60" s="352">
        <f t="shared" si="12"/>
        <v>600.88235294117646</v>
      </c>
      <c r="E60" s="641">
        <f>[1]Junho!$B$9</f>
        <v>2.3340000000000001</v>
      </c>
      <c r="F60" s="313">
        <f t="shared" si="13"/>
        <v>686.47058823529403</v>
      </c>
      <c r="G60" s="702">
        <f>'[2]jun-14'!$B$9</f>
        <v>2.5</v>
      </c>
      <c r="H60" s="558">
        <f t="shared" si="14"/>
        <v>735.29411764705878</v>
      </c>
      <c r="I60" s="1031">
        <f>'[3]jun-15'!$B$9</f>
        <v>2.8069999999999995</v>
      </c>
      <c r="J60" s="313">
        <f t="shared" si="15"/>
        <v>825.58823529411734</v>
      </c>
      <c r="K60" s="1123">
        <f>'[4]jun-16'!$B$9</f>
        <v>3.0130000000000003</v>
      </c>
      <c r="L60" s="379">
        <f t="shared" ref="L60" si="37">100*K60/$C$15</f>
        <v>886.17647058823525</v>
      </c>
      <c r="M60" s="1031">
        <f>'[5]jun-17'!$B$9</f>
        <v>2.9580000000000006</v>
      </c>
      <c r="N60" s="313">
        <f t="shared" ref="N60" si="38">100*M60/$C$15</f>
        <v>870.00000000000011</v>
      </c>
      <c r="O60" s="1031">
        <f>'[6]jun-18'!$B$9</f>
        <v>3.3889999999999998</v>
      </c>
      <c r="P60" s="313">
        <f t="shared" si="18"/>
        <v>996.76470588235281</v>
      </c>
      <c r="Q60" s="1031">
        <f>'[7]jun-19'!$B$9</f>
        <v>3.57</v>
      </c>
      <c r="R60" s="313">
        <f t="shared" ref="R60" si="39">100*Q60/$C$15</f>
        <v>1050</v>
      </c>
      <c r="S60" s="1031">
        <f>'[8]jun-20'!$B$9</f>
        <v>3.1469999999999994</v>
      </c>
      <c r="T60" s="313">
        <f t="shared" ref="T60" si="40">100*S60/$C$15</f>
        <v>925.58823529411734</v>
      </c>
    </row>
    <row r="61" spans="2:20">
      <c r="B61" s="310" t="s">
        <v>6</v>
      </c>
      <c r="C61" s="321">
        <v>2.1039999999999996</v>
      </c>
      <c r="D61" s="352">
        <f t="shared" si="12"/>
        <v>618.82352941176464</v>
      </c>
      <c r="E61" s="641">
        <f>[1]Julho!$B$9</f>
        <v>2.3330000000000006</v>
      </c>
      <c r="F61" s="313">
        <f t="shared" ref="F61:F66" si="41">100*E61/$C$15</f>
        <v>686.17647058823547</v>
      </c>
      <c r="G61" s="702">
        <f>'[2]jul-14'!$B$9</f>
        <v>2.4990000000000001</v>
      </c>
      <c r="H61" s="558">
        <f t="shared" ref="H61:H66" si="42">100*G61/$C$15</f>
        <v>735</v>
      </c>
      <c r="I61" s="1031">
        <f>'[3]jul-15'!$B$9</f>
        <v>2.8050000000000002</v>
      </c>
      <c r="J61" s="313">
        <f t="shared" ref="J61:J66" si="43">100*I61/$C$15</f>
        <v>824.99999999999989</v>
      </c>
      <c r="K61" s="1123">
        <f>'[4]jul-16'!$B$9</f>
        <v>3.0100000000000002</v>
      </c>
      <c r="L61" s="379">
        <f t="shared" ref="L61:L62" si="44">100*K61/$C$15</f>
        <v>885.29411764705878</v>
      </c>
      <c r="M61" s="1031">
        <f>'[5]jul-17'!$B$9</f>
        <v>3.0560000000000005</v>
      </c>
      <c r="N61" s="313">
        <f t="shared" ref="N61" si="45">100*M61/$C$15</f>
        <v>898.82352941176475</v>
      </c>
      <c r="O61" s="1031">
        <f>'[6]jul-18'!$B$9</f>
        <v>3.3780000000000001</v>
      </c>
      <c r="P61" s="313">
        <f t="shared" ref="P61" si="46">100*O61/$C$15</f>
        <v>993.52941176470586</v>
      </c>
      <c r="Q61" s="1031">
        <f>'[7]jul-19'!$B$9</f>
        <v>3.5369999999999995</v>
      </c>
      <c r="R61" s="313">
        <f t="shared" ref="R61" si="47">100*Q61/$C$15</f>
        <v>1040.2941176470586</v>
      </c>
      <c r="S61" s="1031">
        <f>'[8]jul-20'!$B$9</f>
        <v>3.3219999999999996</v>
      </c>
      <c r="T61" s="313">
        <f t="shared" ref="T61" si="48">100*S61/$C$15</f>
        <v>977.05882352941171</v>
      </c>
    </row>
    <row r="62" spans="2:20">
      <c r="B62" s="310" t="s">
        <v>7</v>
      </c>
      <c r="C62" s="321">
        <v>2.1320000000000001</v>
      </c>
      <c r="D62" s="352">
        <f t="shared" si="12"/>
        <v>627.05882352941182</v>
      </c>
      <c r="E62" s="641">
        <f>[1]Agosto!$B$9</f>
        <v>2.331</v>
      </c>
      <c r="F62" s="313">
        <f t="shared" si="41"/>
        <v>685.58823529411757</v>
      </c>
      <c r="G62" s="702">
        <f>'[2]ago-14'!$B$9</f>
        <v>2.4990000000000001</v>
      </c>
      <c r="H62" s="558">
        <f t="shared" si="42"/>
        <v>735</v>
      </c>
      <c r="I62" s="1031">
        <f>'[3]ago-15'!$B$9</f>
        <v>2.7989999999999999</v>
      </c>
      <c r="J62" s="313">
        <f t="shared" si="43"/>
        <v>823.23529411764696</v>
      </c>
      <c r="K62" s="1123">
        <f>'[4]ago-16'!$B$9</f>
        <v>3.0070000000000006</v>
      </c>
      <c r="L62" s="379">
        <f t="shared" si="44"/>
        <v>884.41176470588243</v>
      </c>
      <c r="M62" s="1031">
        <f>'[5]ago-17'!$B$9</f>
        <v>3.1030000000000006</v>
      </c>
      <c r="N62" s="313">
        <f t="shared" ref="N62" si="49">100*M62/$C$15</f>
        <v>912.64705882352951</v>
      </c>
      <c r="O62" s="1031">
        <f>'[6]ago-18'!$B$9</f>
        <v>3.3709999999999996</v>
      </c>
      <c r="P62" s="313">
        <f t="shared" ref="P62" si="50">100*O62/$C$15</f>
        <v>991.47058823529392</v>
      </c>
      <c r="Q62" s="1031">
        <f>'[7]ago-19'!$B$9</f>
        <v>3.5159999999999991</v>
      </c>
      <c r="R62" s="313">
        <f t="shared" ref="R62" si="51">100*Q62/$C$15</f>
        <v>1034.1176470588232</v>
      </c>
      <c r="S62" s="1031">
        <f>'[8]ago-20'!$B$9</f>
        <v>3.3739999999999997</v>
      </c>
      <c r="T62" s="313">
        <f t="shared" ref="T62" si="52">100*S62/$C$15</f>
        <v>992.35294117647049</v>
      </c>
    </row>
    <row r="63" spans="2:20">
      <c r="B63" s="310" t="s">
        <v>8</v>
      </c>
      <c r="C63" s="321">
        <v>2.1379999999999999</v>
      </c>
      <c r="D63" s="352">
        <f t="shared" si="12"/>
        <v>628.82352941176464</v>
      </c>
      <c r="E63" s="641">
        <f>[1]Setembro!$B$9</f>
        <v>2.3300000000000005</v>
      </c>
      <c r="F63" s="313">
        <f t="shared" si="41"/>
        <v>685.2941176470589</v>
      </c>
      <c r="G63" s="702">
        <f>'[2]set-14'!$B$9</f>
        <v>2.5009999999999999</v>
      </c>
      <c r="H63" s="558">
        <f t="shared" si="42"/>
        <v>735.58823529411757</v>
      </c>
      <c r="I63" s="1031">
        <f>'[3]set-15'!$B$9</f>
        <v>2.8129999999999997</v>
      </c>
      <c r="J63" s="313">
        <f t="shared" si="43"/>
        <v>827.35294117647038</v>
      </c>
      <c r="K63" s="1123">
        <f>'[4]set-16'!$B$9</f>
        <v>3.0059999999999998</v>
      </c>
      <c r="L63" s="379">
        <f t="shared" ref="L63" si="53">100*K63/$C$15</f>
        <v>884.11764705882342</v>
      </c>
      <c r="M63" s="1031">
        <f>'[5]set-17'!$B$9</f>
        <v>3.2010000000000001</v>
      </c>
      <c r="N63" s="313">
        <f t="shared" ref="N63" si="54">100*M63/$C$15</f>
        <v>941.47058823529414</v>
      </c>
      <c r="O63" s="1031">
        <f>'[6]set-18'!$B$9</f>
        <v>3.6550000000000002</v>
      </c>
      <c r="P63" s="313">
        <f t="shared" ref="P63" si="55">100*O63/$C$15</f>
        <v>1075</v>
      </c>
      <c r="Q63" s="1031">
        <f>'[7]set-19'!$B$9</f>
        <v>3.6700000000000008</v>
      </c>
      <c r="R63" s="313">
        <f t="shared" ref="R63" si="56">100*Q63/$C$15</f>
        <v>1079.4117647058824</v>
      </c>
      <c r="S63" s="1031">
        <f>'[8]set-20'!$B$9</f>
        <v>3.3739999999999997</v>
      </c>
      <c r="T63" s="313">
        <f t="shared" ref="T63" si="57">100*S63/$C$15</f>
        <v>992.35294117647049</v>
      </c>
    </row>
    <row r="64" spans="2:20">
      <c r="B64" s="310" t="s">
        <v>9</v>
      </c>
      <c r="C64" s="321">
        <v>2.1460000000000004</v>
      </c>
      <c r="D64" s="352">
        <f>100*C64/$C$15</f>
        <v>631.17647058823536</v>
      </c>
      <c r="E64" s="641">
        <f>[1]Outubro!$B$9</f>
        <v>2.3330000000000006</v>
      </c>
      <c r="F64" s="313">
        <f t="shared" si="41"/>
        <v>686.17647058823547</v>
      </c>
      <c r="G64" s="702">
        <f>'[2]out-14'!$B$9</f>
        <v>2.5</v>
      </c>
      <c r="H64" s="558">
        <f t="shared" si="42"/>
        <v>735.29411764705878</v>
      </c>
      <c r="I64" s="1031">
        <f>'[3]out-15'!$B$9</f>
        <v>2.93</v>
      </c>
      <c r="J64" s="313">
        <f t="shared" si="43"/>
        <v>861.76470588235293</v>
      </c>
      <c r="K64" s="1123">
        <f>'[4]out-16'!$B$9</f>
        <v>3.0079999999999996</v>
      </c>
      <c r="L64" s="379">
        <f t="shared" ref="L64" si="58">100*K64/$C$15</f>
        <v>884.70588235294099</v>
      </c>
      <c r="M64" s="1031">
        <f>'[5]out-17'!$B$9</f>
        <v>3.2139999999999995</v>
      </c>
      <c r="N64" s="313">
        <f t="shared" ref="N64" si="59">100*M64/$C$15</f>
        <v>945.29411764705867</v>
      </c>
      <c r="O64" s="1031">
        <f>'[6]out-18'!$B$9</f>
        <v>3.7210000000000001</v>
      </c>
      <c r="P64" s="313">
        <f t="shared" ref="P64" si="60">100*O64/$C$15</f>
        <v>1094.4117647058824</v>
      </c>
      <c r="Q64" s="1031">
        <f>'[7]out-19'!$B$9</f>
        <v>3.7120000000000002</v>
      </c>
      <c r="R64" s="313">
        <f t="shared" ref="R64" si="61">100*Q64/$C$15</f>
        <v>1091.7647058823529</v>
      </c>
      <c r="S64" s="1031"/>
      <c r="T64" s="313"/>
    </row>
    <row r="65" spans="2:21">
      <c r="B65" s="310" t="s">
        <v>10</v>
      </c>
      <c r="C65" s="321">
        <v>2.15</v>
      </c>
      <c r="D65" s="352">
        <f>100*C65/$C$15</f>
        <v>632.35294117647049</v>
      </c>
      <c r="E65" s="641">
        <f>[1]Novembro!$B$9</f>
        <v>2.3320000000000003</v>
      </c>
      <c r="F65" s="313">
        <f t="shared" si="41"/>
        <v>685.88235294117646</v>
      </c>
      <c r="G65" s="702">
        <f>'[2]nov-14'!$B$9</f>
        <v>2.6</v>
      </c>
      <c r="H65" s="558">
        <f t="shared" si="42"/>
        <v>764.7058823529411</v>
      </c>
      <c r="I65" s="1031">
        <f>'[3]nov-15'!$B$9</f>
        <v>2.9769999999999999</v>
      </c>
      <c r="J65" s="313">
        <f t="shared" si="43"/>
        <v>875.58823529411757</v>
      </c>
      <c r="K65" s="1123">
        <f>'[4]nov-16'!$B$9</f>
        <v>2.9839999999999995</v>
      </c>
      <c r="L65" s="379">
        <f t="shared" ref="L65" si="62">100*K65/$C$15</f>
        <v>877.64705882352928</v>
      </c>
      <c r="M65" s="1031">
        <f>'[5]nov-17'!$B$9</f>
        <v>3.3030000000000004</v>
      </c>
      <c r="N65" s="313">
        <f t="shared" ref="N65" si="63">100*M65/$C$15</f>
        <v>971.47058823529403</v>
      </c>
      <c r="O65" s="1031">
        <f>'[6]nov-18'!$B$9</f>
        <v>3.6499999999999995</v>
      </c>
      <c r="P65" s="313">
        <f t="shared" ref="P65" si="64">100*O65/$C$15</f>
        <v>1073.5294117647056</v>
      </c>
      <c r="Q65" s="1031">
        <f>'[7]nov-19'!$B$9</f>
        <v>3.7079999999999993</v>
      </c>
      <c r="R65" s="313">
        <f t="shared" ref="R65" si="65">100*Q65/$C$15</f>
        <v>1090.5882352941173</v>
      </c>
      <c r="S65" s="1031"/>
      <c r="T65" s="313"/>
    </row>
    <row r="66" spans="2:21" ht="15.75" thickBot="1">
      <c r="B66" s="314" t="s">
        <v>11</v>
      </c>
      <c r="C66" s="330">
        <v>2.1520000000000006</v>
      </c>
      <c r="D66" s="317">
        <f>100*C66/$C$15</f>
        <v>632.94117647058829</v>
      </c>
      <c r="E66" s="685">
        <f>[1]Dezembro!$B$9</f>
        <v>2.4750000000000001</v>
      </c>
      <c r="F66" s="317">
        <f t="shared" si="41"/>
        <v>727.94117647058818</v>
      </c>
      <c r="G66" s="685">
        <f>'[2]dez-14'!$B$9</f>
        <v>2.6069999999999998</v>
      </c>
      <c r="H66" s="317">
        <f t="shared" si="42"/>
        <v>766.76470588235281</v>
      </c>
      <c r="I66" s="685">
        <f>'[3]dez-15'!$B$9</f>
        <v>2.9860000000000002</v>
      </c>
      <c r="J66" s="317">
        <f t="shared" si="43"/>
        <v>878.23529411764707</v>
      </c>
      <c r="K66" s="1124">
        <f>'[4]dez-16'!$B$9</f>
        <v>3.0509999999999997</v>
      </c>
      <c r="L66" s="380">
        <f t="shared" ref="L66" si="66">100*K66/$C$15</f>
        <v>897.35294117647038</v>
      </c>
      <c r="M66" s="685">
        <f>'[5]dez-17'!$B$9</f>
        <v>3.3260000000000001</v>
      </c>
      <c r="N66" s="317">
        <f t="shared" ref="N66" si="67">100*M66/$C$15</f>
        <v>978.23529411764707</v>
      </c>
      <c r="O66" s="685">
        <f>'[6]dez-18'!$B$9</f>
        <v>3.4510000000000001</v>
      </c>
      <c r="P66" s="317">
        <f t="shared" ref="P66" si="68">100*O66/$C$15</f>
        <v>1015</v>
      </c>
      <c r="Q66" s="685">
        <f>'[7]dez-19'!$B$9</f>
        <v>3.7510000000000003</v>
      </c>
      <c r="R66" s="317">
        <f t="shared" ref="R66" si="69">100*Q66/$C$15</f>
        <v>1103.2352941176471</v>
      </c>
      <c r="S66" s="685"/>
      <c r="T66" s="317"/>
    </row>
    <row r="67" spans="2:21">
      <c r="B67" s="119"/>
      <c r="C67" s="135"/>
      <c r="D67" s="123"/>
      <c r="E67" s="131"/>
      <c r="F67" s="132"/>
      <c r="G67" s="135"/>
      <c r="H67" s="132"/>
      <c r="I67" s="136"/>
      <c r="J67" s="132"/>
      <c r="K67" s="136"/>
      <c r="L67" s="132"/>
      <c r="M67" s="143"/>
      <c r="N67" s="132"/>
      <c r="O67" s="132"/>
      <c r="P67" s="132"/>
      <c r="Q67" s="131"/>
      <c r="R67" s="123"/>
      <c r="S67" s="119"/>
      <c r="T67" s="132"/>
    </row>
    <row r="68" spans="2:21">
      <c r="B68" s="144"/>
      <c r="C68" s="145"/>
      <c r="D68" s="146"/>
      <c r="E68" s="147"/>
      <c r="F68" s="148"/>
      <c r="G68" s="145"/>
      <c r="H68" s="148"/>
      <c r="I68" s="149"/>
      <c r="J68" s="148"/>
      <c r="K68" s="149"/>
      <c r="L68" s="148"/>
      <c r="M68" s="150"/>
      <c r="N68" s="148"/>
      <c r="O68" s="132"/>
      <c r="P68" s="132"/>
      <c r="Q68" s="131"/>
      <c r="R68" s="123"/>
      <c r="S68" s="119"/>
      <c r="T68" s="132"/>
    </row>
    <row r="69" spans="2:21" ht="15.75" thickBot="1">
      <c r="B69" s="120"/>
      <c r="C69" s="118"/>
      <c r="D69" s="124"/>
      <c r="E69" s="135"/>
      <c r="F69" s="123"/>
      <c r="G69" s="119"/>
      <c r="H69" s="132"/>
      <c r="I69" s="122"/>
      <c r="J69" s="119"/>
      <c r="K69" s="122"/>
      <c r="L69" s="119"/>
      <c r="M69" s="122"/>
      <c r="N69" s="119"/>
      <c r="O69" s="119"/>
      <c r="P69" s="119"/>
      <c r="Q69" s="131"/>
      <c r="R69" s="123"/>
      <c r="S69" s="119"/>
      <c r="T69" s="132"/>
    </row>
    <row r="70" spans="2:21" ht="18.75" thickBot="1">
      <c r="B70" s="1388" t="s">
        <v>293</v>
      </c>
      <c r="C70" s="1389"/>
      <c r="D70" s="1389"/>
      <c r="E70" s="1389"/>
      <c r="F70" s="1389"/>
      <c r="G70" s="1389"/>
      <c r="H70" s="1389"/>
      <c r="I70" s="1389"/>
      <c r="J70" s="1389"/>
      <c r="K70" s="1389"/>
      <c r="L70" s="1389"/>
      <c r="M70" s="1389"/>
      <c r="N70" s="1390"/>
      <c r="O70" s="119"/>
      <c r="P70" s="119"/>
      <c r="Q70" s="123"/>
      <c r="R70" s="123"/>
      <c r="S70" s="119"/>
      <c r="T70" s="132"/>
    </row>
    <row r="71" spans="2:21" ht="15.75" thickBot="1">
      <c r="B71" s="1310">
        <v>1994</v>
      </c>
      <c r="C71" s="1311"/>
      <c r="D71" s="336" t="s">
        <v>15</v>
      </c>
      <c r="E71" s="336">
        <v>1995</v>
      </c>
      <c r="F71" s="336" t="s">
        <v>15</v>
      </c>
      <c r="G71" s="336"/>
      <c r="H71" s="336" t="s">
        <v>15</v>
      </c>
      <c r="I71" s="336">
        <v>1997</v>
      </c>
      <c r="J71" s="336" t="s">
        <v>15</v>
      </c>
      <c r="K71" s="336">
        <v>1998</v>
      </c>
      <c r="L71" s="336" t="s">
        <v>15</v>
      </c>
      <c r="M71" s="336">
        <v>1999</v>
      </c>
      <c r="N71" s="354" t="s">
        <v>15</v>
      </c>
      <c r="O71" s="124"/>
      <c r="P71" s="124"/>
    </row>
    <row r="72" spans="2:21">
      <c r="B72" s="306" t="s">
        <v>0</v>
      </c>
      <c r="C72" s="307"/>
      <c r="D72" s="308"/>
      <c r="E72" s="307">
        <v>4.74</v>
      </c>
      <c r="F72" s="308">
        <f>100*4.74/4.3</f>
        <v>110.23255813953489</v>
      </c>
      <c r="G72" s="307">
        <v>6.33</v>
      </c>
      <c r="H72" s="308">
        <f>100*6.33/4.3</f>
        <v>147.2093023255814</v>
      </c>
      <c r="I72" s="307">
        <v>5.53</v>
      </c>
      <c r="J72" s="308">
        <f>100*5.53/4.3</f>
        <v>128.6046511627907</v>
      </c>
      <c r="K72" s="307">
        <v>6.47</v>
      </c>
      <c r="L72" s="308">
        <f>100*6.47/4.3</f>
        <v>150.46511627906978</v>
      </c>
      <c r="M72" s="307">
        <v>5.9</v>
      </c>
      <c r="N72" s="309">
        <f>100*5.9/4.3</f>
        <v>137.2093023255814</v>
      </c>
      <c r="O72" s="123"/>
      <c r="P72" s="123"/>
      <c r="U72" s="119"/>
    </row>
    <row r="73" spans="2:21">
      <c r="B73" s="310" t="s">
        <v>1</v>
      </c>
      <c r="C73" s="311"/>
      <c r="D73" s="312"/>
      <c r="E73" s="311">
        <v>5.8</v>
      </c>
      <c r="F73" s="312">
        <f>100*5.8/4.3</f>
        <v>134.88372093023256</v>
      </c>
      <c r="G73" s="311">
        <v>5.54</v>
      </c>
      <c r="H73" s="312">
        <f>100*5.54/4.3</f>
        <v>128.83720930232559</v>
      </c>
      <c r="I73" s="311">
        <v>5.2</v>
      </c>
      <c r="J73" s="312">
        <f>100*5.2/4.3</f>
        <v>120.93023255813954</v>
      </c>
      <c r="K73" s="311">
        <v>5.42</v>
      </c>
      <c r="L73" s="312">
        <f>100*5.42/4.3</f>
        <v>126.04651162790698</v>
      </c>
      <c r="M73" s="311">
        <v>5.36</v>
      </c>
      <c r="N73" s="313">
        <f>100*5.36/4.3</f>
        <v>124.65116279069768</v>
      </c>
      <c r="O73" s="123"/>
      <c r="P73" s="123"/>
      <c r="U73" s="119"/>
    </row>
    <row r="74" spans="2:21">
      <c r="B74" s="310" t="s">
        <v>2</v>
      </c>
      <c r="C74" s="311"/>
      <c r="D74" s="312"/>
      <c r="E74" s="311">
        <v>4.9400000000000004</v>
      </c>
      <c r="F74" s="312">
        <f>100*4.94/4.3</f>
        <v>114.88372093023257</v>
      </c>
      <c r="G74" s="311">
        <v>5.38</v>
      </c>
      <c r="H74" s="312">
        <f>100*5.38/4.3</f>
        <v>125.11627906976744</v>
      </c>
      <c r="I74" s="311">
        <v>5.88</v>
      </c>
      <c r="J74" s="312">
        <f>100*5.88/4.3</f>
        <v>136.74418604651163</v>
      </c>
      <c r="K74" s="311">
        <v>5.25</v>
      </c>
      <c r="L74" s="312">
        <f>100*5.25/4.3</f>
        <v>122.09302325581396</v>
      </c>
      <c r="M74" s="311">
        <v>5.61</v>
      </c>
      <c r="N74" s="313">
        <f>100*5.61/4.3</f>
        <v>130.46511627906978</v>
      </c>
      <c r="O74" s="123"/>
      <c r="P74" s="123"/>
      <c r="U74" s="119"/>
    </row>
    <row r="75" spans="2:21">
      <c r="B75" s="310" t="s">
        <v>3</v>
      </c>
      <c r="C75" s="311"/>
      <c r="D75" s="312"/>
      <c r="E75" s="311">
        <v>4.8499999999999996</v>
      </c>
      <c r="F75" s="312">
        <f>100*4.85/4.3</f>
        <v>112.7906976744186</v>
      </c>
      <c r="G75" s="311">
        <v>5.94</v>
      </c>
      <c r="H75" s="312">
        <f>100*5.94/4.3</f>
        <v>138.13953488372093</v>
      </c>
      <c r="I75" s="311">
        <v>5.4</v>
      </c>
      <c r="J75" s="312">
        <f>100*5.4/4.3</f>
        <v>125.58139534883722</v>
      </c>
      <c r="K75" s="311">
        <v>5.68</v>
      </c>
      <c r="L75" s="312">
        <f>100*5.68/4.3</f>
        <v>132.09302325581396</v>
      </c>
      <c r="M75" s="311">
        <v>5.67</v>
      </c>
      <c r="N75" s="313">
        <f>100*5.67/4.3</f>
        <v>131.86046511627907</v>
      </c>
      <c r="O75" s="123"/>
      <c r="P75" s="123"/>
      <c r="U75" s="119"/>
    </row>
    <row r="76" spans="2:21">
      <c r="B76" s="310" t="s">
        <v>4</v>
      </c>
      <c r="C76" s="311"/>
      <c r="D76" s="312"/>
      <c r="E76" s="311">
        <v>4.07</v>
      </c>
      <c r="F76" s="312">
        <f>100*4.07/4</f>
        <v>101.75</v>
      </c>
      <c r="G76" s="311">
        <v>5.57</v>
      </c>
      <c r="H76" s="312">
        <f>100*5.57/4.3</f>
        <v>129.53488372093022</v>
      </c>
      <c r="I76" s="311">
        <v>5.33</v>
      </c>
      <c r="J76" s="312">
        <f>100*5.33/4.3</f>
        <v>123.95348837209303</v>
      </c>
      <c r="K76" s="311">
        <v>5.29</v>
      </c>
      <c r="L76" s="312">
        <f>100*5.29/4.3</f>
        <v>123.0232558139535</v>
      </c>
      <c r="M76" s="311">
        <v>5.8</v>
      </c>
      <c r="N76" s="313">
        <f>100*5.8/4.3</f>
        <v>134.88372093023256</v>
      </c>
      <c r="O76" s="123"/>
      <c r="P76" s="123"/>
      <c r="U76" s="119"/>
    </row>
    <row r="77" spans="2:21">
      <c r="B77" s="310" t="s">
        <v>5</v>
      </c>
      <c r="C77" s="311"/>
      <c r="D77" s="312"/>
      <c r="E77" s="311">
        <v>5.25</v>
      </c>
      <c r="F77" s="312">
        <f>100*5.25/4.3</f>
        <v>122.09302325581396</v>
      </c>
      <c r="G77" s="311">
        <v>6.48</v>
      </c>
      <c r="H77" s="312">
        <f>100*6.48/4.3</f>
        <v>150.69767441860466</v>
      </c>
      <c r="I77" s="311">
        <v>5.25</v>
      </c>
      <c r="J77" s="312">
        <f>100*5.25/4.3</f>
        <v>122.09302325581396</v>
      </c>
      <c r="K77" s="311">
        <v>5.8</v>
      </c>
      <c r="L77" s="312">
        <f>100*5.8/4.3</f>
        <v>134.88372093023256</v>
      </c>
      <c r="M77" s="311">
        <v>5.7</v>
      </c>
      <c r="N77" s="313">
        <f>100*5.7/4.3</f>
        <v>132.55813953488374</v>
      </c>
      <c r="O77" s="123"/>
      <c r="P77" s="123"/>
      <c r="U77" s="119"/>
    </row>
    <row r="78" spans="2:21">
      <c r="B78" s="310" t="s">
        <v>6</v>
      </c>
      <c r="C78" s="311">
        <v>4.3</v>
      </c>
      <c r="D78" s="312">
        <f>100*4.3/4.3</f>
        <v>100</v>
      </c>
      <c r="E78" s="311">
        <v>4.9400000000000004</v>
      </c>
      <c r="F78" s="312">
        <f>100*4.94/4.3</f>
        <v>114.88372093023257</v>
      </c>
      <c r="G78" s="311">
        <v>5.8</v>
      </c>
      <c r="H78" s="312">
        <f>100*5.8/4.3</f>
        <v>134.88372093023256</v>
      </c>
      <c r="I78" s="311">
        <v>6.55</v>
      </c>
      <c r="J78" s="312">
        <f>100*6.55/4.3</f>
        <v>152.32558139534885</v>
      </c>
      <c r="K78" s="311">
        <v>6.5</v>
      </c>
      <c r="L78" s="312">
        <f>100*6.5/4.3</f>
        <v>151.16279069767444</v>
      </c>
      <c r="M78" s="311">
        <v>5.85</v>
      </c>
      <c r="N78" s="313">
        <f>100*5.85/4.3</f>
        <v>136.04651162790699</v>
      </c>
      <c r="O78" s="123"/>
      <c r="P78" s="123"/>
      <c r="U78" s="119"/>
    </row>
    <row r="79" spans="2:21">
      <c r="B79" s="310" t="s">
        <v>7</v>
      </c>
      <c r="C79" s="311">
        <v>4.41</v>
      </c>
      <c r="D79" s="312">
        <f>100*4.41/4.3</f>
        <v>102.55813953488372</v>
      </c>
      <c r="E79" s="311">
        <v>4.8499999999999996</v>
      </c>
      <c r="F79" s="312">
        <f>100*4.85/4.3</f>
        <v>112.7906976744186</v>
      </c>
      <c r="G79" s="311">
        <v>5.72</v>
      </c>
      <c r="H79" s="312">
        <f>100*5.72/4.3</f>
        <v>133.02325581395348</v>
      </c>
      <c r="I79" s="311">
        <v>5.07</v>
      </c>
      <c r="J79" s="312">
        <f>100*5.07/4.3</f>
        <v>117.90697674418605</v>
      </c>
      <c r="K79" s="311">
        <v>5.76</v>
      </c>
      <c r="L79" s="312">
        <f>100*5.76/4.3</f>
        <v>133.95348837209303</v>
      </c>
      <c r="M79" s="311">
        <v>5.47</v>
      </c>
      <c r="N79" s="313">
        <f>M79*100/4.3</f>
        <v>127.2093023255814</v>
      </c>
      <c r="O79" s="123"/>
      <c r="P79" s="123"/>
      <c r="U79" s="119"/>
    </row>
    <row r="80" spans="2:21">
      <c r="B80" s="310" t="s">
        <v>8</v>
      </c>
      <c r="C80" s="311">
        <v>4.18</v>
      </c>
      <c r="D80" s="312">
        <f>100*4.18/4.3</f>
        <v>97.209302325581405</v>
      </c>
      <c r="E80" s="311">
        <v>5.59</v>
      </c>
      <c r="F80" s="312">
        <f>100*5.59/4.3</f>
        <v>130</v>
      </c>
      <c r="G80" s="311">
        <v>5.63</v>
      </c>
      <c r="H80" s="312">
        <f>100*5.63/4.3</f>
        <v>130.93023255813955</v>
      </c>
      <c r="I80" s="311">
        <v>6.22</v>
      </c>
      <c r="J80" s="312">
        <f>100*6.22/4.3</f>
        <v>144.65116279069767</v>
      </c>
      <c r="K80" s="311">
        <v>5.76</v>
      </c>
      <c r="L80" s="312">
        <f>100*5.76/4.3</f>
        <v>133.95348837209303</v>
      </c>
      <c r="M80" s="311">
        <v>5.75</v>
      </c>
      <c r="N80" s="313">
        <f>M80*100/4.3</f>
        <v>133.72093023255815</v>
      </c>
      <c r="O80" s="123"/>
      <c r="P80" s="123"/>
      <c r="U80" s="119"/>
    </row>
    <row r="81" spans="2:21">
      <c r="B81" s="310" t="s">
        <v>9</v>
      </c>
      <c r="C81" s="311">
        <v>4.41</v>
      </c>
      <c r="D81" s="312">
        <f>100*4.41/4.3</f>
        <v>102.55813953488372</v>
      </c>
      <c r="E81" s="311">
        <v>5.08</v>
      </c>
      <c r="F81" s="312">
        <f>100*5.08/4.3</f>
        <v>118.13953488372094</v>
      </c>
      <c r="G81" s="311">
        <v>6.1</v>
      </c>
      <c r="H81" s="312">
        <f>100*6.1/4.3</f>
        <v>141.86046511627907</v>
      </c>
      <c r="I81" s="311">
        <v>5.33</v>
      </c>
      <c r="J81" s="312">
        <f>100*5.33/4.3</f>
        <v>123.95348837209303</v>
      </c>
      <c r="K81" s="311">
        <v>5.52</v>
      </c>
      <c r="L81" s="312">
        <f>100*5.52/4.3</f>
        <v>128.37209302325581</v>
      </c>
      <c r="M81" s="311">
        <v>5.08</v>
      </c>
      <c r="N81" s="313">
        <f>M81*100/4.3</f>
        <v>118.13953488372094</v>
      </c>
      <c r="O81" s="123"/>
      <c r="P81" s="123"/>
      <c r="U81" s="119"/>
    </row>
    <row r="82" spans="2:21">
      <c r="B82" s="310" t="s">
        <v>10</v>
      </c>
      <c r="C82" s="311">
        <v>4.41</v>
      </c>
      <c r="D82" s="312">
        <f>100*4.41/4.3</f>
        <v>102.55813953488372</v>
      </c>
      <c r="E82" s="311">
        <v>6.07</v>
      </c>
      <c r="F82" s="312">
        <f>100*6.07/4.3</f>
        <v>141.16279069767444</v>
      </c>
      <c r="G82" s="311">
        <v>5.2</v>
      </c>
      <c r="H82" s="312">
        <f>100*5.2/4.3</f>
        <v>120.93023255813954</v>
      </c>
      <c r="I82" s="311">
        <v>5.83</v>
      </c>
      <c r="J82" s="312">
        <f>100*5.83/4.3</f>
        <v>135.58139534883722</v>
      </c>
      <c r="K82" s="311">
        <v>5.93</v>
      </c>
      <c r="L82" s="312">
        <f>100*5.93/4.3</f>
        <v>137.90697674418604</v>
      </c>
      <c r="M82" s="311">
        <v>5.66</v>
      </c>
      <c r="N82" s="313">
        <f>M82*100/4.3</f>
        <v>131.62790697674419</v>
      </c>
      <c r="O82" s="123"/>
      <c r="P82" s="123"/>
      <c r="U82" s="119"/>
    </row>
    <row r="83" spans="2:21" ht="15.75" thickBot="1">
      <c r="B83" s="314" t="s">
        <v>11</v>
      </c>
      <c r="C83" s="315">
        <v>4.74</v>
      </c>
      <c r="D83" s="316">
        <f>100*4.74/4.3</f>
        <v>110.23255813953489</v>
      </c>
      <c r="E83" s="315">
        <v>5.31</v>
      </c>
      <c r="F83" s="316">
        <f>100*5.31/4.3</f>
        <v>123.48837209302326</v>
      </c>
      <c r="G83" s="315">
        <v>5.7</v>
      </c>
      <c r="H83" s="316">
        <f>100*5.7/4.3</f>
        <v>132.55813953488374</v>
      </c>
      <c r="I83" s="315">
        <v>5.6</v>
      </c>
      <c r="J83" s="316">
        <f>100*5.6/4.3</f>
        <v>130.23255813953489</v>
      </c>
      <c r="K83" s="315">
        <v>5.67</v>
      </c>
      <c r="L83" s="316">
        <f>100*5.67/4.3</f>
        <v>131.86046511627907</v>
      </c>
      <c r="M83" s="315">
        <v>6.1</v>
      </c>
      <c r="N83" s="317">
        <f>M83*100/4.3</f>
        <v>141.86046511627907</v>
      </c>
      <c r="O83" s="123"/>
      <c r="P83" s="123"/>
      <c r="U83" s="119"/>
    </row>
    <row r="84" spans="2:21" ht="15.75" thickBot="1">
      <c r="B84" s="119"/>
      <c r="C84" s="118"/>
      <c r="D84" s="123"/>
      <c r="E84" s="118"/>
      <c r="F84" s="123"/>
      <c r="G84" s="118"/>
      <c r="H84" s="123"/>
      <c r="I84" s="118"/>
      <c r="J84" s="123"/>
      <c r="K84" s="118"/>
      <c r="L84" s="123"/>
      <c r="M84" s="118"/>
      <c r="N84" s="123"/>
      <c r="O84" s="123"/>
      <c r="P84" s="123"/>
      <c r="U84" s="119"/>
    </row>
    <row r="85" spans="2:21" ht="18.75" thickBot="1">
      <c r="B85" s="1320" t="s">
        <v>294</v>
      </c>
      <c r="C85" s="1321"/>
      <c r="D85" s="1321"/>
      <c r="E85" s="1321"/>
      <c r="F85" s="1321"/>
      <c r="G85" s="1321"/>
      <c r="H85" s="1321"/>
      <c r="I85" s="1321"/>
      <c r="J85" s="1321"/>
      <c r="K85" s="1321"/>
      <c r="L85" s="1321"/>
      <c r="M85" s="1321"/>
      <c r="N85" s="1322"/>
      <c r="O85" s="123"/>
      <c r="P85" s="123"/>
      <c r="Q85" s="123"/>
      <c r="R85" s="123"/>
      <c r="S85" s="119"/>
      <c r="T85" s="132"/>
      <c r="U85" s="119"/>
    </row>
    <row r="86" spans="2:21" ht="15.75" thickBot="1">
      <c r="B86" s="1331">
        <v>2000</v>
      </c>
      <c r="C86" s="1332"/>
      <c r="D86" s="334" t="s">
        <v>15</v>
      </c>
      <c r="E86" s="335">
        <v>2001</v>
      </c>
      <c r="F86" s="334" t="s">
        <v>15</v>
      </c>
      <c r="G86" s="335">
        <v>2002</v>
      </c>
      <c r="H86" s="334" t="s">
        <v>15</v>
      </c>
      <c r="I86" s="335">
        <v>2003</v>
      </c>
      <c r="J86" s="334" t="s">
        <v>15</v>
      </c>
      <c r="K86" s="335">
        <v>2004</v>
      </c>
      <c r="L86" s="334" t="s">
        <v>15</v>
      </c>
      <c r="M86" s="340">
        <v>2005</v>
      </c>
      <c r="N86" s="353" t="s">
        <v>15</v>
      </c>
      <c r="O86" s="123"/>
      <c r="P86" s="123"/>
      <c r="Q86" s="123"/>
      <c r="R86" s="123"/>
      <c r="S86" s="119"/>
      <c r="T86" s="132"/>
      <c r="U86" s="119"/>
    </row>
    <row r="87" spans="2:21">
      <c r="B87" s="306" t="s">
        <v>0</v>
      </c>
      <c r="C87" s="308">
        <f>5.8</f>
        <v>5.8</v>
      </c>
      <c r="D87" s="308">
        <f t="shared" ref="D87:D92" si="70">100*C87/4.3</f>
        <v>134.88372093023256</v>
      </c>
      <c r="E87" s="327">
        <v>5.46</v>
      </c>
      <c r="F87" s="342">
        <f t="shared" ref="F87:F98" si="71">100*E87/4.3</f>
        <v>126.97674418604652</v>
      </c>
      <c r="G87" s="308">
        <v>6.48</v>
      </c>
      <c r="H87" s="342">
        <f t="shared" ref="H87:H98" si="72">100*G87/4.3</f>
        <v>150.69767441860466</v>
      </c>
      <c r="I87" s="308">
        <v>6.94</v>
      </c>
      <c r="J87" s="342">
        <f t="shared" ref="J87:L98" si="73">100*I87/4.3</f>
        <v>161.3953488372093</v>
      </c>
      <c r="K87" s="308">
        <v>9.08</v>
      </c>
      <c r="L87" s="342">
        <f t="shared" si="73"/>
        <v>211.16279069767444</v>
      </c>
      <c r="M87" s="355">
        <v>8.58</v>
      </c>
      <c r="N87" s="343">
        <f t="shared" ref="N87:N98" si="74">100*M87/4.3</f>
        <v>199.53488372093025</v>
      </c>
      <c r="O87" s="132"/>
      <c r="P87" s="132"/>
      <c r="Q87" s="123"/>
      <c r="R87" s="123"/>
      <c r="S87" s="119"/>
      <c r="T87" s="132"/>
      <c r="U87" s="119"/>
    </row>
    <row r="88" spans="2:21">
      <c r="B88" s="310" t="s">
        <v>1</v>
      </c>
      <c r="C88" s="312">
        <v>5.33</v>
      </c>
      <c r="D88" s="312">
        <f t="shared" si="70"/>
        <v>123.95348837209303</v>
      </c>
      <c r="E88" s="322">
        <v>5.63</v>
      </c>
      <c r="F88" s="345">
        <f t="shared" si="71"/>
        <v>130.93023255813955</v>
      </c>
      <c r="G88" s="312">
        <v>6.3</v>
      </c>
      <c r="H88" s="345">
        <f t="shared" si="72"/>
        <v>146.51162790697674</v>
      </c>
      <c r="I88" s="312">
        <v>7</v>
      </c>
      <c r="J88" s="345">
        <f t="shared" si="73"/>
        <v>162.79069767441862</v>
      </c>
      <c r="K88" s="312">
        <v>8.85</v>
      </c>
      <c r="L88" s="345">
        <f t="shared" si="73"/>
        <v>205.81395348837211</v>
      </c>
      <c r="M88" s="356">
        <v>8.6300000000000008</v>
      </c>
      <c r="N88" s="346">
        <f t="shared" si="74"/>
        <v>200.69767441860469</v>
      </c>
      <c r="O88" s="132"/>
      <c r="P88" s="132"/>
      <c r="Q88" s="123"/>
      <c r="R88" s="123"/>
      <c r="S88" s="119"/>
      <c r="T88" s="132"/>
      <c r="U88" s="119"/>
    </row>
    <row r="89" spans="2:21">
      <c r="B89" s="310" t="s">
        <v>2</v>
      </c>
      <c r="C89" s="312">
        <v>5.72</v>
      </c>
      <c r="D89" s="312">
        <f t="shared" si="70"/>
        <v>133.02325581395348</v>
      </c>
      <c r="E89" s="312">
        <v>5.5</v>
      </c>
      <c r="F89" s="345">
        <f t="shared" si="71"/>
        <v>127.90697674418605</v>
      </c>
      <c r="G89" s="312">
        <v>5.6</v>
      </c>
      <c r="H89" s="345">
        <f t="shared" si="72"/>
        <v>130.23255813953489</v>
      </c>
      <c r="I89" s="312">
        <v>7.1</v>
      </c>
      <c r="J89" s="345">
        <f t="shared" si="73"/>
        <v>165.11627906976744</v>
      </c>
      <c r="K89" s="312">
        <v>8.85</v>
      </c>
      <c r="L89" s="345">
        <f t="shared" si="73"/>
        <v>205.81395348837211</v>
      </c>
      <c r="M89" s="356">
        <v>8.75</v>
      </c>
      <c r="N89" s="346">
        <f t="shared" si="74"/>
        <v>203.48837209302326</v>
      </c>
      <c r="O89" s="132"/>
      <c r="P89" s="132"/>
      <c r="Q89" s="123"/>
      <c r="R89" s="123"/>
      <c r="S89" s="119"/>
      <c r="T89" s="132"/>
      <c r="U89" s="119"/>
    </row>
    <row r="90" spans="2:21">
      <c r="B90" s="310" t="s">
        <v>3</v>
      </c>
      <c r="C90" s="312">
        <v>5.6</v>
      </c>
      <c r="D90" s="312">
        <f t="shared" si="70"/>
        <v>130.23255813953489</v>
      </c>
      <c r="E90" s="312">
        <v>4.83</v>
      </c>
      <c r="F90" s="345">
        <f t="shared" si="71"/>
        <v>112.32558139534885</v>
      </c>
      <c r="G90" s="312">
        <v>5.98</v>
      </c>
      <c r="H90" s="345">
        <f t="shared" si="72"/>
        <v>139.06976744186048</v>
      </c>
      <c r="I90" s="312">
        <v>7.2</v>
      </c>
      <c r="J90" s="345">
        <f t="shared" si="73"/>
        <v>167.44186046511629</v>
      </c>
      <c r="K90" s="312">
        <v>8.83</v>
      </c>
      <c r="L90" s="345">
        <f t="shared" si="73"/>
        <v>205.34883720930233</v>
      </c>
      <c r="M90" s="356">
        <v>9.0399999999999991</v>
      </c>
      <c r="N90" s="346">
        <f t="shared" si="74"/>
        <v>210.23255813953486</v>
      </c>
      <c r="O90" s="132"/>
      <c r="P90" s="132"/>
      <c r="Q90" s="123"/>
      <c r="R90" s="123"/>
      <c r="S90" s="119"/>
      <c r="T90" s="132"/>
      <c r="U90" s="119"/>
    </row>
    <row r="91" spans="2:21">
      <c r="B91" s="310" t="s">
        <v>4</v>
      </c>
      <c r="C91" s="312">
        <v>5.3</v>
      </c>
      <c r="D91" s="312">
        <f t="shared" si="70"/>
        <v>123.25581395348837</v>
      </c>
      <c r="E91" s="312">
        <v>5.75</v>
      </c>
      <c r="F91" s="345">
        <f t="shared" si="71"/>
        <v>133.72093023255815</v>
      </c>
      <c r="G91" s="312">
        <v>6.23</v>
      </c>
      <c r="H91" s="345">
        <f t="shared" si="72"/>
        <v>144.88372093023256</v>
      </c>
      <c r="I91" s="312">
        <v>8</v>
      </c>
      <c r="J91" s="345">
        <f t="shared" si="73"/>
        <v>186.04651162790699</v>
      </c>
      <c r="K91" s="312">
        <v>8.76</v>
      </c>
      <c r="L91" s="345">
        <f t="shared" si="73"/>
        <v>203.72093023255815</v>
      </c>
      <c r="M91" s="356">
        <v>8.99</v>
      </c>
      <c r="N91" s="346">
        <f t="shared" si="74"/>
        <v>209.06976744186048</v>
      </c>
      <c r="O91" s="132"/>
      <c r="P91" s="132"/>
      <c r="Q91" s="123"/>
      <c r="R91" s="123"/>
      <c r="S91" s="119"/>
      <c r="T91" s="132"/>
      <c r="U91" s="119"/>
    </row>
    <row r="92" spans="2:21">
      <c r="B92" s="310" t="s">
        <v>5</v>
      </c>
      <c r="C92" s="312">
        <v>6.2</v>
      </c>
      <c r="D92" s="312">
        <f t="shared" si="70"/>
        <v>144.18604651162792</v>
      </c>
      <c r="E92" s="312">
        <v>6</v>
      </c>
      <c r="F92" s="345">
        <f t="shared" si="71"/>
        <v>139.53488372093022</v>
      </c>
      <c r="G92" s="312">
        <v>5.98</v>
      </c>
      <c r="H92" s="345">
        <f t="shared" si="72"/>
        <v>139.06976744186048</v>
      </c>
      <c r="I92" s="312">
        <v>8</v>
      </c>
      <c r="J92" s="345">
        <f t="shared" si="73"/>
        <v>186.04651162790699</v>
      </c>
      <c r="K92" s="312">
        <v>8.69</v>
      </c>
      <c r="L92" s="345">
        <f t="shared" si="73"/>
        <v>202.09302325581396</v>
      </c>
      <c r="M92" s="356">
        <v>9.15</v>
      </c>
      <c r="N92" s="346">
        <f t="shared" si="74"/>
        <v>212.79069767441862</v>
      </c>
      <c r="O92" s="132"/>
      <c r="P92" s="132"/>
      <c r="Q92" s="123"/>
      <c r="R92" s="123"/>
      <c r="S92" s="119"/>
      <c r="T92" s="132"/>
      <c r="U92" s="119"/>
    </row>
    <row r="93" spans="2:21">
      <c r="B93" s="310" t="s">
        <v>6</v>
      </c>
      <c r="C93" s="312">
        <v>5.0999999999999996</v>
      </c>
      <c r="D93" s="312">
        <f t="shared" ref="D93:D98" si="75">100*C93/4.3</f>
        <v>118.60465116279069</v>
      </c>
      <c r="E93" s="312">
        <v>5.75</v>
      </c>
      <c r="F93" s="345">
        <f t="shared" si="71"/>
        <v>133.72093023255815</v>
      </c>
      <c r="G93" s="312">
        <v>5.98</v>
      </c>
      <c r="H93" s="345">
        <f t="shared" si="72"/>
        <v>139.06976744186048</v>
      </c>
      <c r="I93" s="312">
        <v>7.92</v>
      </c>
      <c r="J93" s="345">
        <f t="shared" si="73"/>
        <v>184.18604651162792</v>
      </c>
      <c r="K93" s="312">
        <v>8.5299999999999994</v>
      </c>
      <c r="L93" s="345">
        <f t="shared" si="73"/>
        <v>198.37209302325579</v>
      </c>
      <c r="M93" s="356">
        <v>9.31</v>
      </c>
      <c r="N93" s="346">
        <f t="shared" si="74"/>
        <v>216.51162790697674</v>
      </c>
      <c r="O93" s="132"/>
      <c r="P93" s="132"/>
      <c r="Q93" s="123"/>
      <c r="R93" s="123"/>
      <c r="S93" s="119"/>
      <c r="T93" s="132"/>
      <c r="U93" s="119"/>
    </row>
    <row r="94" spans="2:21">
      <c r="B94" s="310" t="s">
        <v>7</v>
      </c>
      <c r="C94" s="312">
        <v>5.83</v>
      </c>
      <c r="D94" s="312">
        <f t="shared" si="75"/>
        <v>135.58139534883722</v>
      </c>
      <c r="E94" s="312">
        <v>5.75</v>
      </c>
      <c r="F94" s="345">
        <f t="shared" si="71"/>
        <v>133.72093023255815</v>
      </c>
      <c r="G94" s="312">
        <v>5.88</v>
      </c>
      <c r="H94" s="345">
        <f t="shared" si="72"/>
        <v>136.74418604651163</v>
      </c>
      <c r="I94" s="312">
        <v>8.5</v>
      </c>
      <c r="J94" s="345">
        <f t="shared" si="73"/>
        <v>197.67441860465118</v>
      </c>
      <c r="K94" s="312">
        <v>8.6199999999999992</v>
      </c>
      <c r="L94" s="345">
        <f t="shared" si="73"/>
        <v>200.46511627906975</v>
      </c>
      <c r="M94" s="356">
        <v>8.59</v>
      </c>
      <c r="N94" s="346">
        <f t="shared" si="74"/>
        <v>199.76744186046511</v>
      </c>
      <c r="O94" s="132"/>
      <c r="P94" s="132"/>
      <c r="Q94" s="123"/>
      <c r="R94" s="123"/>
      <c r="S94" s="119"/>
      <c r="T94" s="132"/>
      <c r="U94" s="119"/>
    </row>
    <row r="95" spans="2:21">
      <c r="B95" s="310" t="s">
        <v>8</v>
      </c>
      <c r="C95" s="312">
        <v>5.45</v>
      </c>
      <c r="D95" s="312">
        <f t="shared" si="75"/>
        <v>126.74418604651163</v>
      </c>
      <c r="E95" s="312">
        <v>5.75</v>
      </c>
      <c r="F95" s="345">
        <f t="shared" si="71"/>
        <v>133.72093023255815</v>
      </c>
      <c r="G95" s="312">
        <v>6.28</v>
      </c>
      <c r="H95" s="345">
        <f t="shared" si="72"/>
        <v>146.04651162790699</v>
      </c>
      <c r="I95" s="312">
        <v>8.4</v>
      </c>
      <c r="J95" s="345">
        <f t="shared" si="73"/>
        <v>195.34883720930233</v>
      </c>
      <c r="K95" s="312">
        <v>8.43</v>
      </c>
      <c r="L95" s="345">
        <f t="shared" si="73"/>
        <v>196.04651162790699</v>
      </c>
      <c r="M95" s="356">
        <v>9.27</v>
      </c>
      <c r="N95" s="346">
        <f t="shared" si="74"/>
        <v>215.58139534883722</v>
      </c>
      <c r="O95" s="132"/>
      <c r="P95" s="132"/>
      <c r="Q95" s="123"/>
      <c r="R95" s="123"/>
      <c r="S95" s="119"/>
      <c r="T95" s="132"/>
      <c r="U95" s="119"/>
    </row>
    <row r="96" spans="2:21">
      <c r="B96" s="310" t="s">
        <v>9</v>
      </c>
      <c r="C96" s="312">
        <v>5.13</v>
      </c>
      <c r="D96" s="312">
        <f>100*C96/4.3</f>
        <v>119.30232558139535</v>
      </c>
      <c r="E96" s="312">
        <v>5.85</v>
      </c>
      <c r="F96" s="345">
        <f t="shared" si="71"/>
        <v>136.04651162790699</v>
      </c>
      <c r="G96" s="312">
        <v>6.08</v>
      </c>
      <c r="H96" s="345">
        <f t="shared" si="72"/>
        <v>141.3953488372093</v>
      </c>
      <c r="I96" s="312">
        <v>9.27</v>
      </c>
      <c r="J96" s="345">
        <f t="shared" si="73"/>
        <v>215.58139534883722</v>
      </c>
      <c r="K96" s="312">
        <v>8.52</v>
      </c>
      <c r="L96" s="345">
        <f t="shared" si="73"/>
        <v>198.13953488372093</v>
      </c>
      <c r="M96" s="356">
        <v>9.26</v>
      </c>
      <c r="N96" s="346">
        <f t="shared" si="74"/>
        <v>215.34883720930233</v>
      </c>
      <c r="O96" s="132"/>
      <c r="P96" s="132"/>
      <c r="Q96" s="123"/>
      <c r="R96" s="123"/>
      <c r="S96" s="119"/>
      <c r="T96" s="132"/>
      <c r="U96" s="119"/>
    </row>
    <row r="97" spans="2:21">
      <c r="B97" s="310" t="s">
        <v>10</v>
      </c>
      <c r="C97" s="312">
        <v>5.66</v>
      </c>
      <c r="D97" s="312">
        <f t="shared" si="75"/>
        <v>131.62790697674419</v>
      </c>
      <c r="E97" s="312">
        <v>5.83</v>
      </c>
      <c r="F97" s="345">
        <f>100*E97/4.3</f>
        <v>135.58139534883722</v>
      </c>
      <c r="G97" s="312">
        <v>7.04</v>
      </c>
      <c r="H97" s="345">
        <f t="shared" si="72"/>
        <v>163.72093023255815</v>
      </c>
      <c r="I97" s="312">
        <v>9.2200000000000006</v>
      </c>
      <c r="J97" s="345">
        <f t="shared" si="73"/>
        <v>214.41860465116284</v>
      </c>
      <c r="K97" s="312">
        <v>8.51</v>
      </c>
      <c r="L97" s="345">
        <f t="shared" si="73"/>
        <v>197.90697674418607</v>
      </c>
      <c r="M97" s="356">
        <v>9.18</v>
      </c>
      <c r="N97" s="346">
        <f t="shared" si="74"/>
        <v>213.48837209302326</v>
      </c>
      <c r="O97" s="132"/>
      <c r="P97" s="132"/>
      <c r="Q97" s="123"/>
      <c r="R97" s="123"/>
      <c r="S97" s="119"/>
      <c r="T97" s="132"/>
      <c r="U97" s="119"/>
    </row>
    <row r="98" spans="2:21" ht="15.75" thickBot="1">
      <c r="B98" s="314" t="s">
        <v>11</v>
      </c>
      <c r="C98" s="316">
        <v>5.56</v>
      </c>
      <c r="D98" s="316">
        <f t="shared" si="75"/>
        <v>129.30232558139537</v>
      </c>
      <c r="E98" s="316">
        <v>5.63</v>
      </c>
      <c r="F98" s="348">
        <f t="shared" si="71"/>
        <v>130.93023255813955</v>
      </c>
      <c r="G98" s="316">
        <v>7.1</v>
      </c>
      <c r="H98" s="348">
        <f t="shared" si="72"/>
        <v>165.11627906976744</v>
      </c>
      <c r="I98" s="316">
        <v>8.42</v>
      </c>
      <c r="J98" s="348">
        <f t="shared" si="73"/>
        <v>195.81395348837211</v>
      </c>
      <c r="K98" s="316">
        <v>8.52</v>
      </c>
      <c r="L98" s="348">
        <f t="shared" si="73"/>
        <v>198.13953488372093</v>
      </c>
      <c r="M98" s="357">
        <v>9.3375000000000004</v>
      </c>
      <c r="N98" s="349">
        <f t="shared" si="74"/>
        <v>217.1511627906977</v>
      </c>
      <c r="O98" s="132"/>
      <c r="P98" s="132"/>
      <c r="Q98" s="123"/>
      <c r="R98" s="123"/>
      <c r="S98" s="119"/>
      <c r="T98" s="132"/>
    </row>
    <row r="99" spans="2:21" ht="15.75" thickBot="1">
      <c r="B99" s="119"/>
      <c r="C99" s="123"/>
      <c r="D99" s="123"/>
      <c r="E99" s="123"/>
      <c r="F99" s="132"/>
      <c r="G99" s="123"/>
      <c r="H99" s="132"/>
      <c r="I99" s="123"/>
      <c r="J99" s="132"/>
      <c r="K99" s="123"/>
      <c r="L99" s="132"/>
      <c r="M99" s="152"/>
      <c r="N99" s="132"/>
      <c r="O99" s="132"/>
      <c r="P99" s="132"/>
      <c r="Q99" s="123"/>
      <c r="R99" s="123"/>
      <c r="S99" s="119"/>
      <c r="T99" s="132"/>
    </row>
    <row r="100" spans="2:21" ht="18.75" thickBot="1">
      <c r="B100" s="1320" t="s">
        <v>294</v>
      </c>
      <c r="C100" s="1321"/>
      <c r="D100" s="1321"/>
      <c r="E100" s="1321"/>
      <c r="F100" s="1321"/>
      <c r="G100" s="1321"/>
      <c r="H100" s="1321"/>
      <c r="I100" s="1321"/>
      <c r="J100" s="1321"/>
      <c r="K100" s="1321"/>
      <c r="L100" s="1321"/>
      <c r="M100" s="1321"/>
      <c r="N100" s="1322"/>
      <c r="O100" s="123"/>
      <c r="P100" s="123"/>
      <c r="Q100" s="123"/>
      <c r="R100" s="123"/>
      <c r="S100" s="119"/>
      <c r="T100" s="132"/>
    </row>
    <row r="101" spans="2:21" ht="15.75" thickBot="1">
      <c r="B101" s="1331">
        <v>2006</v>
      </c>
      <c r="C101" s="1332"/>
      <c r="D101" s="334" t="s">
        <v>15</v>
      </c>
      <c r="E101" s="335">
        <v>2007</v>
      </c>
      <c r="F101" s="334" t="s">
        <v>15</v>
      </c>
      <c r="G101" s="335">
        <v>2008</v>
      </c>
      <c r="H101" s="334" t="s">
        <v>15</v>
      </c>
      <c r="I101" s="335">
        <v>2009</v>
      </c>
      <c r="J101" s="334" t="s">
        <v>15</v>
      </c>
      <c r="K101" s="335">
        <v>2010</v>
      </c>
      <c r="L101" s="334" t="s">
        <v>15</v>
      </c>
      <c r="M101" s="340">
        <v>2011</v>
      </c>
      <c r="N101" s="353" t="s">
        <v>15</v>
      </c>
      <c r="O101" s="123"/>
      <c r="P101" s="123"/>
      <c r="Q101" s="123"/>
      <c r="R101" s="123"/>
      <c r="S101" s="119"/>
      <c r="T101" s="132"/>
    </row>
    <row r="102" spans="2:21">
      <c r="B102" s="306" t="s">
        <v>0</v>
      </c>
      <c r="C102" s="308">
        <v>9.1</v>
      </c>
      <c r="D102" s="308">
        <f>100*C102/4.3</f>
        <v>211.62790697674419</v>
      </c>
      <c r="E102" s="327">
        <v>11.02</v>
      </c>
      <c r="F102" s="342">
        <f t="shared" ref="F102:F113" si="76">100*E102/4.3</f>
        <v>256.27906976744185</v>
      </c>
      <c r="G102" s="308">
        <v>10.403124999999999</v>
      </c>
      <c r="H102" s="345">
        <f t="shared" ref="H102:H113" si="77">100*G102/4.3</f>
        <v>241.93313953488374</v>
      </c>
      <c r="I102" s="308">
        <v>11.25</v>
      </c>
      <c r="J102" s="342">
        <f t="shared" ref="J102:J113" si="78">100*I102/4.3</f>
        <v>261.62790697674421</v>
      </c>
      <c r="K102" s="308">
        <v>11.61</v>
      </c>
      <c r="L102" s="342">
        <f t="shared" ref="L102:L113" si="79">100*K102/4.3</f>
        <v>270</v>
      </c>
      <c r="M102" s="308">
        <v>17.914285714285715</v>
      </c>
      <c r="N102" s="343">
        <f t="shared" ref="N102:N113" si="80">100*M102/4.3</f>
        <v>416.61129568106315</v>
      </c>
      <c r="O102" s="132"/>
      <c r="P102" s="132"/>
      <c r="Q102" s="123"/>
      <c r="R102" s="123"/>
      <c r="S102" s="119"/>
      <c r="T102" s="132"/>
    </row>
    <row r="103" spans="2:21">
      <c r="B103" s="310" t="s">
        <v>1</v>
      </c>
      <c r="C103" s="312">
        <v>9.0500000000000007</v>
      </c>
      <c r="D103" s="312">
        <f t="shared" ref="D103:D113" si="81">100*C103/4.3</f>
        <v>210.4651162790698</v>
      </c>
      <c r="E103" s="322">
        <v>11.21</v>
      </c>
      <c r="F103" s="345">
        <f t="shared" si="76"/>
        <v>260.69767441860466</v>
      </c>
      <c r="G103" s="312">
        <v>10.5</v>
      </c>
      <c r="H103" s="345">
        <f t="shared" si="77"/>
        <v>244.18604651162792</v>
      </c>
      <c r="I103" s="312">
        <v>11.2</v>
      </c>
      <c r="J103" s="345">
        <f t="shared" si="78"/>
        <v>260.46511627906978</v>
      </c>
      <c r="K103" s="312">
        <v>14.64</v>
      </c>
      <c r="L103" s="345">
        <f t="shared" si="79"/>
        <v>340.46511627906978</v>
      </c>
      <c r="M103" s="312">
        <v>17.914285714285715</v>
      </c>
      <c r="N103" s="346">
        <f t="shared" si="80"/>
        <v>416.61129568106315</v>
      </c>
      <c r="O103" s="132"/>
      <c r="P103" s="132"/>
      <c r="Q103" s="123"/>
      <c r="R103" s="123"/>
      <c r="S103" s="119"/>
      <c r="T103" s="132"/>
    </row>
    <row r="104" spans="2:21">
      <c r="B104" s="310" t="s">
        <v>2</v>
      </c>
      <c r="C104" s="312">
        <v>9.49</v>
      </c>
      <c r="D104" s="312">
        <f t="shared" si="81"/>
        <v>220.69767441860466</v>
      </c>
      <c r="E104" s="312">
        <v>11.14</v>
      </c>
      <c r="F104" s="345">
        <f t="shared" si="76"/>
        <v>259.06976744186045</v>
      </c>
      <c r="G104" s="312">
        <v>10.55</v>
      </c>
      <c r="H104" s="345">
        <f t="shared" si="77"/>
        <v>245.34883720930233</v>
      </c>
      <c r="I104" s="312">
        <v>11.25</v>
      </c>
      <c r="J104" s="345">
        <f t="shared" si="78"/>
        <v>261.62790697674421</v>
      </c>
      <c r="K104" s="312">
        <v>14</v>
      </c>
      <c r="L104" s="345">
        <f t="shared" si="79"/>
        <v>325.58139534883725</v>
      </c>
      <c r="M104" s="312">
        <v>17.914285714285715</v>
      </c>
      <c r="N104" s="346">
        <f t="shared" si="80"/>
        <v>416.61129568106315</v>
      </c>
      <c r="O104" s="132"/>
      <c r="P104" s="132"/>
      <c r="Q104" s="123"/>
      <c r="R104" s="123"/>
      <c r="S104" s="119"/>
      <c r="T104" s="132"/>
    </row>
    <row r="105" spans="2:21">
      <c r="B105" s="310" t="s">
        <v>3</v>
      </c>
      <c r="C105" s="312">
        <v>9.24</v>
      </c>
      <c r="D105" s="312">
        <f t="shared" si="81"/>
        <v>214.88372093023256</v>
      </c>
      <c r="E105" s="312">
        <v>10.98</v>
      </c>
      <c r="F105" s="345">
        <f t="shared" si="76"/>
        <v>255.34883720930233</v>
      </c>
      <c r="G105" s="312">
        <v>10.646875</v>
      </c>
      <c r="H105" s="345">
        <f t="shared" si="77"/>
        <v>247.60174418604652</v>
      </c>
      <c r="I105" s="312">
        <v>11.3</v>
      </c>
      <c r="J105" s="345">
        <f t="shared" si="78"/>
        <v>262.7906976744186</v>
      </c>
      <c r="K105" s="312">
        <v>14</v>
      </c>
      <c r="L105" s="345">
        <f t="shared" si="79"/>
        <v>325.58139534883725</v>
      </c>
      <c r="M105" s="311">
        <v>18</v>
      </c>
      <c r="N105" s="346">
        <f t="shared" si="80"/>
        <v>418.60465116279073</v>
      </c>
      <c r="O105" s="132"/>
      <c r="P105" s="153">
        <f>+G108/G103-1</f>
        <v>6.1904761904761907E-2</v>
      </c>
      <c r="Q105" s="123"/>
      <c r="R105" s="123"/>
      <c r="S105" s="119"/>
      <c r="T105" s="132"/>
    </row>
    <row r="106" spans="2:21">
      <c r="B106" s="310" t="s">
        <v>4</v>
      </c>
      <c r="C106" s="312">
        <v>9.24</v>
      </c>
      <c r="D106" s="312">
        <f t="shared" si="81"/>
        <v>214.88372093023256</v>
      </c>
      <c r="E106" s="312">
        <v>10.73</v>
      </c>
      <c r="F106" s="345">
        <f t="shared" si="76"/>
        <v>249.53488372093025</v>
      </c>
      <c r="G106" s="312">
        <v>10.93125</v>
      </c>
      <c r="H106" s="345">
        <f t="shared" si="77"/>
        <v>254.21511627906978</v>
      </c>
      <c r="I106" s="312">
        <v>11.290625</v>
      </c>
      <c r="J106" s="345">
        <f t="shared" si="78"/>
        <v>262.57267441860466</v>
      </c>
      <c r="K106" s="312">
        <v>14</v>
      </c>
      <c r="L106" s="345">
        <f t="shared" si="79"/>
        <v>325.58139534883725</v>
      </c>
      <c r="M106" s="311">
        <v>18</v>
      </c>
      <c r="N106" s="346">
        <f t="shared" si="80"/>
        <v>418.60465116279073</v>
      </c>
      <c r="O106" s="132"/>
      <c r="P106" s="132"/>
      <c r="Q106" s="123"/>
      <c r="R106" s="123"/>
      <c r="S106" s="119"/>
      <c r="T106" s="132"/>
    </row>
    <row r="107" spans="2:21">
      <c r="B107" s="310" t="s">
        <v>5</v>
      </c>
      <c r="C107" s="312">
        <v>9.17</v>
      </c>
      <c r="D107" s="312">
        <f t="shared" si="81"/>
        <v>213.25581395348837</v>
      </c>
      <c r="E107" s="312">
        <v>10.7857</v>
      </c>
      <c r="F107" s="345">
        <f t="shared" si="76"/>
        <v>250.83023255813953</v>
      </c>
      <c r="G107" s="312">
        <v>11.1</v>
      </c>
      <c r="H107" s="345">
        <f t="shared" si="77"/>
        <v>258.13953488372096</v>
      </c>
      <c r="I107" s="312">
        <v>11.2</v>
      </c>
      <c r="J107" s="345">
        <f t="shared" si="78"/>
        <v>260.46511627906978</v>
      </c>
      <c r="K107" s="312">
        <v>14</v>
      </c>
      <c r="L107" s="345">
        <f t="shared" si="79"/>
        <v>325.58139534883725</v>
      </c>
      <c r="M107" s="311">
        <v>18</v>
      </c>
      <c r="N107" s="346">
        <f t="shared" si="80"/>
        <v>418.60465116279073</v>
      </c>
      <c r="O107" s="132"/>
      <c r="P107" s="132"/>
      <c r="Q107" s="123"/>
      <c r="R107" s="123"/>
      <c r="S107" s="119"/>
      <c r="T107" s="132"/>
    </row>
    <row r="108" spans="2:21">
      <c r="B108" s="310" t="s">
        <v>6</v>
      </c>
      <c r="C108" s="312">
        <v>9.4700000000000006</v>
      </c>
      <c r="D108" s="312">
        <f t="shared" si="81"/>
        <v>220.23255813953492</v>
      </c>
      <c r="E108" s="312">
        <v>10.703099999999999</v>
      </c>
      <c r="F108" s="345">
        <f t="shared" si="76"/>
        <v>248.90930232558139</v>
      </c>
      <c r="G108" s="312">
        <v>11.15</v>
      </c>
      <c r="H108" s="345">
        <f t="shared" si="77"/>
        <v>259.30232558139534</v>
      </c>
      <c r="I108" s="312">
        <v>11.3</v>
      </c>
      <c r="J108" s="345">
        <f t="shared" si="78"/>
        <v>262.7906976744186</v>
      </c>
      <c r="K108" s="312">
        <v>16.64</v>
      </c>
      <c r="L108" s="345">
        <f t="shared" si="79"/>
        <v>386.97674418604652</v>
      </c>
      <c r="M108" s="311">
        <v>17.899999999999999</v>
      </c>
      <c r="N108" s="346">
        <f t="shared" si="80"/>
        <v>416.2790697674418</v>
      </c>
      <c r="O108" s="132"/>
      <c r="P108" s="132"/>
      <c r="Q108" s="123"/>
      <c r="R108" s="123"/>
      <c r="S108" s="119"/>
      <c r="T108" s="132"/>
    </row>
    <row r="109" spans="2:21">
      <c r="B109" s="310" t="s">
        <v>7</v>
      </c>
      <c r="C109" s="312">
        <v>9</v>
      </c>
      <c r="D109" s="312">
        <f t="shared" si="81"/>
        <v>209.30232558139537</v>
      </c>
      <c r="E109" s="312">
        <v>10.636875</v>
      </c>
      <c r="F109" s="345">
        <f t="shared" si="76"/>
        <v>247.36918604651163</v>
      </c>
      <c r="G109" s="312">
        <v>11.15</v>
      </c>
      <c r="H109" s="345">
        <f t="shared" si="77"/>
        <v>259.30232558139534</v>
      </c>
      <c r="I109" s="312">
        <v>11.38</v>
      </c>
      <c r="J109" s="345">
        <f t="shared" si="78"/>
        <v>264.6511627906977</v>
      </c>
      <c r="K109" s="312">
        <v>16.64</v>
      </c>
      <c r="L109" s="345">
        <f t="shared" si="79"/>
        <v>386.97674418604652</v>
      </c>
      <c r="M109" s="311">
        <v>18.899999999999999</v>
      </c>
      <c r="N109" s="346">
        <f t="shared" si="80"/>
        <v>439.53488372093022</v>
      </c>
      <c r="O109" s="132"/>
      <c r="P109" s="132"/>
      <c r="Q109" s="123"/>
      <c r="R109" s="123"/>
      <c r="S109" s="119"/>
      <c r="T109" s="132"/>
    </row>
    <row r="110" spans="2:21">
      <c r="B110" s="310" t="s">
        <v>8</v>
      </c>
      <c r="C110" s="312">
        <v>9.41</v>
      </c>
      <c r="D110" s="312">
        <f t="shared" si="81"/>
        <v>218.83720930232559</v>
      </c>
      <c r="E110" s="312">
        <v>10.649374999999999</v>
      </c>
      <c r="F110" s="345">
        <f t="shared" si="76"/>
        <v>247.65988372093025</v>
      </c>
      <c r="G110" s="312">
        <v>11.2</v>
      </c>
      <c r="H110" s="345">
        <f t="shared" si="77"/>
        <v>260.46511627906978</v>
      </c>
      <c r="I110" s="312">
        <v>11.45</v>
      </c>
      <c r="J110" s="345">
        <f t="shared" si="78"/>
        <v>266.27906976744185</v>
      </c>
      <c r="K110" s="312">
        <v>16.98</v>
      </c>
      <c r="L110" s="345">
        <f t="shared" si="79"/>
        <v>394.88372093023258</v>
      </c>
      <c r="M110" s="311">
        <v>18.899999999999999</v>
      </c>
      <c r="N110" s="346">
        <f t="shared" si="80"/>
        <v>439.53488372093022</v>
      </c>
      <c r="O110" s="132"/>
      <c r="P110" s="132"/>
      <c r="Q110" s="123"/>
      <c r="R110" s="123"/>
      <c r="S110" s="119"/>
      <c r="T110" s="132"/>
    </row>
    <row r="111" spans="2:21">
      <c r="B111" s="310" t="s">
        <v>9</v>
      </c>
      <c r="C111" s="312">
        <v>10.01</v>
      </c>
      <c r="D111" s="312">
        <f>100*C111/4.3</f>
        <v>232.79069767441862</v>
      </c>
      <c r="E111" s="312">
        <v>10.599375</v>
      </c>
      <c r="F111" s="345">
        <f t="shared" si="76"/>
        <v>246.49709302325581</v>
      </c>
      <c r="G111" s="312">
        <v>11.35</v>
      </c>
      <c r="H111" s="345">
        <f t="shared" si="77"/>
        <v>263.95348837209303</v>
      </c>
      <c r="I111" s="312">
        <v>11.7</v>
      </c>
      <c r="J111" s="345">
        <f t="shared" si="78"/>
        <v>272.09302325581399</v>
      </c>
      <c r="K111" s="312">
        <v>16.850000000000001</v>
      </c>
      <c r="L111" s="345">
        <f t="shared" si="79"/>
        <v>391.86046511627916</v>
      </c>
      <c r="M111" s="311">
        <v>18.899999999999999</v>
      </c>
      <c r="N111" s="346">
        <f t="shared" si="80"/>
        <v>439.53488372093022</v>
      </c>
      <c r="O111" s="132"/>
      <c r="P111" s="132"/>
      <c r="Q111" s="123"/>
      <c r="R111" s="123"/>
      <c r="S111" s="119"/>
      <c r="T111" s="132"/>
    </row>
    <row r="112" spans="2:21">
      <c r="B112" s="310" t="s">
        <v>10</v>
      </c>
      <c r="C112" s="312">
        <v>10.039999999999999</v>
      </c>
      <c r="D112" s="312">
        <f t="shared" si="81"/>
        <v>233.48837209302323</v>
      </c>
      <c r="E112" s="312">
        <v>10.606249999999999</v>
      </c>
      <c r="F112" s="345">
        <f>100*E112/4.3</f>
        <v>246.65697674418607</v>
      </c>
      <c r="G112" s="312">
        <v>11.4</v>
      </c>
      <c r="H112" s="345">
        <f t="shared" si="77"/>
        <v>265.11627906976747</v>
      </c>
      <c r="I112" s="312">
        <v>11.85</v>
      </c>
      <c r="J112" s="345">
        <f t="shared" si="78"/>
        <v>275.58139534883725</v>
      </c>
      <c r="K112" s="312">
        <v>16.850000000000001</v>
      </c>
      <c r="L112" s="345">
        <f t="shared" si="79"/>
        <v>391.86046511627916</v>
      </c>
      <c r="M112" s="311">
        <v>18.899999999999999</v>
      </c>
      <c r="N112" s="346">
        <f t="shared" si="80"/>
        <v>439.53488372093022</v>
      </c>
      <c r="O112" s="132"/>
      <c r="P112" s="132"/>
      <c r="Q112" s="123"/>
      <c r="R112" s="123"/>
      <c r="S112" s="119"/>
      <c r="T112" s="132"/>
    </row>
    <row r="113" spans="2:20" ht="15.75" thickBot="1">
      <c r="B113" s="314" t="s">
        <v>11</v>
      </c>
      <c r="C113" s="316">
        <v>9.98</v>
      </c>
      <c r="D113" s="316">
        <f t="shared" si="81"/>
        <v>232.09302325581396</v>
      </c>
      <c r="E113" s="316">
        <v>10.499375000000001</v>
      </c>
      <c r="F113" s="348">
        <f t="shared" si="76"/>
        <v>244.17151162790699</v>
      </c>
      <c r="G113" s="316">
        <v>11.3</v>
      </c>
      <c r="H113" s="348">
        <f t="shared" si="77"/>
        <v>262.7906976744186</v>
      </c>
      <c r="I113" s="316">
        <v>11.95</v>
      </c>
      <c r="J113" s="348">
        <f t="shared" si="78"/>
        <v>277.90697674418607</v>
      </c>
      <c r="K113" s="316">
        <v>17.914285714285715</v>
      </c>
      <c r="L113" s="348">
        <f t="shared" si="79"/>
        <v>416.61129568106315</v>
      </c>
      <c r="M113" s="315">
        <v>18.899999999999999</v>
      </c>
      <c r="N113" s="349">
        <f t="shared" si="80"/>
        <v>439.53488372093022</v>
      </c>
      <c r="O113" s="132"/>
      <c r="P113" s="132"/>
      <c r="Q113" s="123"/>
      <c r="R113" s="123"/>
      <c r="S113" s="119"/>
      <c r="T113" s="132"/>
    </row>
    <row r="114" spans="2:20">
      <c r="B114" s="119"/>
      <c r="C114" s="123"/>
      <c r="D114" s="123"/>
      <c r="E114" s="123"/>
      <c r="F114" s="132"/>
      <c r="G114" s="123"/>
      <c r="H114" s="132"/>
      <c r="I114" s="123"/>
      <c r="J114" s="132"/>
      <c r="K114" s="123"/>
      <c r="L114" s="132"/>
      <c r="M114" s="152"/>
      <c r="N114" s="132"/>
      <c r="O114" s="132"/>
      <c r="P114" s="132"/>
      <c r="Q114" s="123"/>
      <c r="R114" s="123"/>
      <c r="S114" s="119"/>
      <c r="T114" s="132"/>
    </row>
    <row r="115" spans="2:20" ht="18.75" thickBot="1">
      <c r="B115" s="1347" t="s">
        <v>121</v>
      </c>
      <c r="C115" s="1348"/>
      <c r="D115" s="1348"/>
      <c r="E115" s="1348"/>
      <c r="F115" s="1348"/>
      <c r="G115" s="1348"/>
      <c r="H115" s="1348"/>
      <c r="I115" s="1348"/>
      <c r="J115" s="1348"/>
      <c r="K115" s="1348"/>
      <c r="L115" s="1348"/>
      <c r="M115" s="1348"/>
      <c r="N115" s="1348"/>
      <c r="O115" s="1348"/>
      <c r="P115" s="1348"/>
      <c r="Q115" s="1348"/>
      <c r="R115" s="1348"/>
      <c r="S115" s="1348"/>
      <c r="T115" s="1348"/>
    </row>
    <row r="116" spans="2:20" ht="15.75" thickBot="1">
      <c r="B116" s="1331">
        <v>2012</v>
      </c>
      <c r="C116" s="1332"/>
      <c r="D116" s="353" t="s">
        <v>15</v>
      </c>
      <c r="E116" s="640">
        <v>2013</v>
      </c>
      <c r="F116" s="353" t="s">
        <v>15</v>
      </c>
      <c r="G116" s="640">
        <v>2014</v>
      </c>
      <c r="H116" s="353" t="s">
        <v>15</v>
      </c>
      <c r="I116" s="640">
        <v>2015</v>
      </c>
      <c r="J116" s="353" t="s">
        <v>15</v>
      </c>
      <c r="K116" s="640">
        <v>2016</v>
      </c>
      <c r="L116" s="353" t="s">
        <v>15</v>
      </c>
      <c r="M116" s="640">
        <v>2017</v>
      </c>
      <c r="N116" s="353" t="s">
        <v>15</v>
      </c>
      <c r="O116" s="640">
        <v>2018</v>
      </c>
      <c r="P116" s="353" t="s">
        <v>15</v>
      </c>
      <c r="Q116" s="640">
        <v>2019</v>
      </c>
      <c r="R116" s="353" t="s">
        <v>15</v>
      </c>
      <c r="S116" s="1268">
        <v>2020</v>
      </c>
      <c r="T116" s="353" t="s">
        <v>15</v>
      </c>
    </row>
    <row r="117" spans="2:20">
      <c r="B117" s="306" t="s">
        <v>0</v>
      </c>
      <c r="C117" s="308">
        <v>19.042857142857144</v>
      </c>
      <c r="D117" s="309">
        <f t="shared" ref="D117:D124" si="82">100*C117/4.3</f>
        <v>442.85714285714289</v>
      </c>
      <c r="E117" s="350">
        <f>[9]PLANCUSr!$H$38</f>
        <v>20.100000000000001</v>
      </c>
      <c r="F117" s="655">
        <f t="shared" ref="F117:F122" si="83">100*E117/4.3</f>
        <v>467.44186046511635</v>
      </c>
      <c r="G117" s="350">
        <f>[10]PLANCUSr!$H$38</f>
        <v>20.228571428571431</v>
      </c>
      <c r="H117" s="655">
        <f t="shared" ref="H117:H122" si="84">100*G117/4.3</f>
        <v>470.43189368770771</v>
      </c>
      <c r="I117" s="350">
        <f>[11]PLANCUSr!$H$38</f>
        <v>20.6</v>
      </c>
      <c r="J117" s="655">
        <f t="shared" ref="J117:J122" si="85">100*I117/4.3</f>
        <v>479.06976744186051</v>
      </c>
      <c r="K117" s="1127">
        <f>[12]PLANCUSr!$H$38</f>
        <v>20.75714285714286</v>
      </c>
      <c r="L117" s="655">
        <f t="shared" ref="L117:N117" si="86">100*K117/4.3</f>
        <v>482.72425249169441</v>
      </c>
      <c r="M117" s="350">
        <f>[13]PLANCUSr!$H$38</f>
        <v>21.142857142857146</v>
      </c>
      <c r="N117" s="655">
        <f t="shared" si="86"/>
        <v>491.69435215946856</v>
      </c>
      <c r="O117" s="350">
        <f>[14]PLANCUSr!$H$38</f>
        <v>22.157142857142862</v>
      </c>
      <c r="P117" s="655">
        <f t="shared" ref="P117" si="87">100*O117/4.3</f>
        <v>515.28239202657824</v>
      </c>
      <c r="Q117" s="350">
        <f>[15]PLANCUSr!$H$38</f>
        <v>22.642857142857146</v>
      </c>
      <c r="R117" s="655">
        <f t="shared" ref="R117" si="88">100*Q117/4.3</f>
        <v>526.57807308970109</v>
      </c>
      <c r="S117" s="1278">
        <f>[16]PLANCUSr!$H$38</f>
        <v>23.214285714285719</v>
      </c>
      <c r="T117" s="309">
        <f t="shared" ref="T117" si="89">100*S117/4.3</f>
        <v>539.86710963455164</v>
      </c>
    </row>
    <row r="118" spans="2:20">
      <c r="B118" s="310" t="s">
        <v>1</v>
      </c>
      <c r="C118" s="312">
        <v>19.042857142857144</v>
      </c>
      <c r="D118" s="313">
        <f t="shared" si="82"/>
        <v>442.85714285714289</v>
      </c>
      <c r="E118" s="656">
        <f>[17]PLANCUSr!$H$38</f>
        <v>20.100000000000001</v>
      </c>
      <c r="F118" s="313">
        <f t="shared" si="83"/>
        <v>467.44186046511635</v>
      </c>
      <c r="G118" s="701">
        <f>[18]PLANCUSr!$H$38</f>
        <v>20.228571428571431</v>
      </c>
      <c r="H118" s="558">
        <f t="shared" si="84"/>
        <v>470.43189368770771</v>
      </c>
      <c r="I118" s="656">
        <f>[19]PLANCUSr!$H$38</f>
        <v>20.628571428571433</v>
      </c>
      <c r="J118" s="313">
        <f t="shared" si="85"/>
        <v>479.73421926910305</v>
      </c>
      <c r="K118" s="656">
        <f>[20]PLANCUSr!$H$38</f>
        <v>20.75714285714286</v>
      </c>
      <c r="L118" s="313">
        <f t="shared" ref="L118" si="90">100*K118/4.3</f>
        <v>482.72425249169441</v>
      </c>
      <c r="M118" s="656">
        <f>[21]PLANCUSr!$H$38</f>
        <v>21.142857142857146</v>
      </c>
      <c r="N118" s="313">
        <f t="shared" ref="N118" si="91">100*M118/4.3</f>
        <v>491.69435215946856</v>
      </c>
      <c r="O118" s="656">
        <f>[22]PLANCUSr!$H$38</f>
        <v>22.157142857142862</v>
      </c>
      <c r="P118" s="313">
        <f t="shared" ref="P118" si="92">100*O118/4.3</f>
        <v>515.28239202657824</v>
      </c>
      <c r="Q118" s="656">
        <f>[23]PLANCUSr!$H$38</f>
        <v>23.214285714285719</v>
      </c>
      <c r="R118" s="313">
        <f t="shared" ref="R118" si="93">100*Q118/4.3</f>
        <v>539.86710963455164</v>
      </c>
      <c r="S118" s="1277">
        <f>[24]PLANCUSr!$H$38</f>
        <v>24.985714285714288</v>
      </c>
      <c r="T118" s="699">
        <f t="shared" ref="T118" si="94">100*S118/4.3</f>
        <v>581.06312292358814</v>
      </c>
    </row>
    <row r="119" spans="2:20">
      <c r="B119" s="310" t="s">
        <v>2</v>
      </c>
      <c r="C119" s="312">
        <v>19.190000000000001</v>
      </c>
      <c r="D119" s="313">
        <f t="shared" si="82"/>
        <v>446.27906976744191</v>
      </c>
      <c r="E119" s="656">
        <f>[25]PLANCUSr!$H$38</f>
        <v>20.100000000000001</v>
      </c>
      <c r="F119" s="313">
        <f t="shared" si="83"/>
        <v>467.44186046511635</v>
      </c>
      <c r="G119" s="701">
        <f>[26]PLANCUSr!$H$38</f>
        <v>20.228571428571431</v>
      </c>
      <c r="H119" s="558">
        <f t="shared" si="84"/>
        <v>470.43189368770771</v>
      </c>
      <c r="I119" s="656">
        <f>[27]PLANCUSr!$H$38</f>
        <v>20.628571428571433</v>
      </c>
      <c r="J119" s="313">
        <f t="shared" si="85"/>
        <v>479.73421926910305</v>
      </c>
      <c r="K119" s="656">
        <f>[28]PLANCUSr!$H$38</f>
        <v>20.75714285714286</v>
      </c>
      <c r="L119" s="313">
        <f t="shared" ref="L119" si="95">100*K119/4.3</f>
        <v>482.72425249169441</v>
      </c>
      <c r="M119" s="656">
        <f>[29]PLANCUSr!$H$38</f>
        <v>21.485714285714288</v>
      </c>
      <c r="N119" s="313">
        <f t="shared" ref="N119" si="96">100*M119/4.3</f>
        <v>499.66777408637881</v>
      </c>
      <c r="O119" s="656">
        <f>[30]PLANCUSr!$H$38</f>
        <v>22.157142857142862</v>
      </c>
      <c r="P119" s="313">
        <f t="shared" ref="P119" si="97">100*O119/4.3</f>
        <v>515.28239202657824</v>
      </c>
      <c r="Q119" s="656">
        <f>[31]PLANCUSr!$H$38</f>
        <v>23.214285714285719</v>
      </c>
      <c r="R119" s="313">
        <f t="shared" ref="R119" si="98">100*Q119/4.3</f>
        <v>539.86710963455164</v>
      </c>
      <c r="S119" s="656">
        <f>[32]PLANCUSr!$H$38</f>
        <v>24.985714285714288</v>
      </c>
      <c r="T119" s="313">
        <f t="shared" ref="T119" si="99">100*S119/4.3</f>
        <v>581.06312292358814</v>
      </c>
    </row>
    <row r="120" spans="2:20">
      <c r="B120" s="310" t="s">
        <v>3</v>
      </c>
      <c r="C120" s="312">
        <v>19.190000000000001</v>
      </c>
      <c r="D120" s="313">
        <f t="shared" si="82"/>
        <v>446.27906976744191</v>
      </c>
      <c r="E120" s="656">
        <f>[33]PLANCUSr!$H$38</f>
        <v>20.100000000000001</v>
      </c>
      <c r="F120" s="313">
        <f t="shared" si="83"/>
        <v>467.44186046511635</v>
      </c>
      <c r="G120" s="701">
        <f>[34]PLANCUSr!$H$38</f>
        <v>20.228571428571431</v>
      </c>
      <c r="H120" s="558">
        <f t="shared" si="84"/>
        <v>470.43189368770771</v>
      </c>
      <c r="I120" s="656">
        <f>[35]PLANCUSr!$H$38</f>
        <v>20.628571428571433</v>
      </c>
      <c r="J120" s="313">
        <f t="shared" si="85"/>
        <v>479.73421926910305</v>
      </c>
      <c r="K120" s="656">
        <f>[36]PLANCUSr!$H$38</f>
        <v>21.142857142857146</v>
      </c>
      <c r="L120" s="313">
        <f t="shared" ref="L120" si="100">100*K120/4.3</f>
        <v>491.69435215946856</v>
      </c>
      <c r="M120" s="656">
        <f>[37]PLANCUSr!$H$38</f>
        <v>21.485714285714288</v>
      </c>
      <c r="N120" s="313">
        <f t="shared" ref="N120" si="101">100*M120/4.3</f>
        <v>499.66777408637881</v>
      </c>
      <c r="O120" s="656">
        <f>[38]PLANCUSr!$H$38</f>
        <v>22.157142857142862</v>
      </c>
      <c r="P120" s="313">
        <f t="shared" ref="P120" si="102">100*O120/4.3</f>
        <v>515.28239202657824</v>
      </c>
      <c r="Q120" s="656">
        <f>[39]PLANCUSr!$H$38</f>
        <v>23.214285714285719</v>
      </c>
      <c r="R120" s="313">
        <f t="shared" ref="R120" si="103">100*Q120/4.3</f>
        <v>539.86710963455164</v>
      </c>
      <c r="S120" s="656">
        <f>[40]PLANCUSr!$H$38</f>
        <v>24.985714285714288</v>
      </c>
      <c r="T120" s="313">
        <f t="shared" ref="T120" si="104">100*S120/4.3</f>
        <v>581.06312292358814</v>
      </c>
    </row>
    <row r="121" spans="2:20">
      <c r="B121" s="310" t="s">
        <v>4</v>
      </c>
      <c r="C121" s="312">
        <v>18.671428571428574</v>
      </c>
      <c r="D121" s="313">
        <f t="shared" si="82"/>
        <v>434.2192691029901</v>
      </c>
      <c r="E121" s="656">
        <f>[41]PLANCUSr!$H$38</f>
        <v>20.157142857142862</v>
      </c>
      <c r="F121" s="313">
        <f t="shared" si="83"/>
        <v>468.77076411960149</v>
      </c>
      <c r="G121" s="701">
        <f>[42]PLANCUSr!$H$38</f>
        <v>20.228571428571431</v>
      </c>
      <c r="H121" s="558">
        <f t="shared" si="84"/>
        <v>470.43189368770771</v>
      </c>
      <c r="I121" s="656">
        <f>[43]PLANCUSr!$H$38</f>
        <v>20.628571428571433</v>
      </c>
      <c r="J121" s="313">
        <f t="shared" si="85"/>
        <v>479.73421926910305</v>
      </c>
      <c r="K121" s="656">
        <f>[44]PLANCUSr!$H$38</f>
        <v>21.142857142857146</v>
      </c>
      <c r="L121" s="313">
        <f t="shared" ref="L121" si="105">100*K121/4.3</f>
        <v>491.69435215946856</v>
      </c>
      <c r="M121" s="656">
        <f>[45]PLANCUSr!$H$38</f>
        <v>21.485714285714288</v>
      </c>
      <c r="N121" s="313">
        <f t="shared" ref="N121" si="106">100*M121/4.3</f>
        <v>499.66777408637881</v>
      </c>
      <c r="O121" s="656">
        <f>[46]PLANCUSr!$H$38</f>
        <v>22.157142857142862</v>
      </c>
      <c r="P121" s="313">
        <f t="shared" ref="P121" si="107">100*O121/4.3</f>
        <v>515.28239202657824</v>
      </c>
      <c r="Q121" s="656">
        <f>[47]PLANCUSr!$H$38</f>
        <v>23.214285714285719</v>
      </c>
      <c r="R121" s="313">
        <f t="shared" ref="R121" si="108">100*Q121/4.3</f>
        <v>539.86710963455164</v>
      </c>
      <c r="S121" s="656">
        <f>[48]PLANCUSr!$H$38</f>
        <v>24.985714285714288</v>
      </c>
      <c r="T121" s="313">
        <f t="shared" ref="T121" si="109">100*S121/4.3</f>
        <v>581.06312292358814</v>
      </c>
    </row>
    <row r="122" spans="2:20">
      <c r="B122" s="310" t="s">
        <v>5</v>
      </c>
      <c r="C122" s="312">
        <v>18.671428571428574</v>
      </c>
      <c r="D122" s="313">
        <f t="shared" si="82"/>
        <v>434.2192691029901</v>
      </c>
      <c r="E122" s="656">
        <f>[49]PLANCUSr!$H$38</f>
        <v>20.157142857142862</v>
      </c>
      <c r="F122" s="313">
        <f t="shared" si="83"/>
        <v>468.77076411960149</v>
      </c>
      <c r="G122" s="701">
        <f>[50]PLANCUSr!$H$38</f>
        <v>20.228571428571431</v>
      </c>
      <c r="H122" s="558">
        <f t="shared" si="84"/>
        <v>470.43189368770771</v>
      </c>
      <c r="I122" s="656">
        <f>[51]PLANCUSr!$H$38</f>
        <v>20.628571428571433</v>
      </c>
      <c r="J122" s="313">
        <f t="shared" si="85"/>
        <v>479.73421926910305</v>
      </c>
      <c r="K122" s="656">
        <f>[52]PLANCUSr!$H$38</f>
        <v>21.142857142857146</v>
      </c>
      <c r="L122" s="313">
        <f t="shared" ref="L122" si="110">100*K122/4.3</f>
        <v>491.69435215946856</v>
      </c>
      <c r="M122" s="656">
        <f>[53]PLANCUSr!$H$38</f>
        <v>21.485714285714288</v>
      </c>
      <c r="N122" s="313">
        <f t="shared" ref="N122" si="111">100*M122/4.3</f>
        <v>499.66777408637881</v>
      </c>
      <c r="O122" s="656">
        <f>[54]PLANCUSr!$H$38</f>
        <v>22.642857142857146</v>
      </c>
      <c r="P122" s="313">
        <f t="shared" ref="P122" si="112">100*O122/4.3</f>
        <v>526.57807308970109</v>
      </c>
      <c r="Q122" s="656">
        <f>[55]PLANCUSr!$H$38</f>
        <v>23.214285714285719</v>
      </c>
      <c r="R122" s="313">
        <f t="shared" ref="R122" si="113">100*Q122/4.3</f>
        <v>539.86710963455164</v>
      </c>
      <c r="S122" s="656">
        <f>[56]PLANCUSr!$H$38</f>
        <v>24.985714285714288</v>
      </c>
      <c r="T122" s="313">
        <f t="shared" ref="T122" si="114">100*S122/4.3</f>
        <v>581.06312292358814</v>
      </c>
    </row>
    <row r="123" spans="2:20">
      <c r="B123" s="310" t="s">
        <v>6</v>
      </c>
      <c r="C123" s="312">
        <f>[57]PLANCUSr!$H$38</f>
        <v>18.671428571428574</v>
      </c>
      <c r="D123" s="313">
        <f t="shared" si="82"/>
        <v>434.2192691029901</v>
      </c>
      <c r="E123" s="656">
        <f>[58]PLANCUSr!$H$38</f>
        <v>20.014285714285716</v>
      </c>
      <c r="F123" s="313">
        <f t="shared" ref="F123:F128" si="115">100*E123/4.3</f>
        <v>465.44850498338877</v>
      </c>
      <c r="G123" s="701">
        <f>[59]PLANCUSr!$H$38</f>
        <v>20.228571428571431</v>
      </c>
      <c r="H123" s="558">
        <f t="shared" ref="H123:H128" si="116">100*G123/4.3</f>
        <v>470.43189368770771</v>
      </c>
      <c r="I123" s="656">
        <f>[60]PLANCUSr!$H$38</f>
        <v>20.628571428571433</v>
      </c>
      <c r="J123" s="313">
        <f t="shared" ref="J123:J128" si="117">100*I123/4.3</f>
        <v>479.73421926910305</v>
      </c>
      <c r="K123" s="656">
        <f>[61]PLANCUSr!$H$38</f>
        <v>21.142857142857146</v>
      </c>
      <c r="L123" s="313">
        <f t="shared" ref="L123" si="118">100*K123/4.3</f>
        <v>491.69435215946856</v>
      </c>
      <c r="M123" s="656">
        <f>[62]PLANCUSr!$H$38</f>
        <v>21.485714285714288</v>
      </c>
      <c r="N123" s="313">
        <f t="shared" ref="N123" si="119">100*M123/4.3</f>
        <v>499.66777408637881</v>
      </c>
      <c r="O123" s="656">
        <f>[63]PLANCUSr!$H$38</f>
        <v>22.642857142857146</v>
      </c>
      <c r="P123" s="313">
        <f t="shared" ref="P123" si="120">100*O123/4.3</f>
        <v>526.57807308970109</v>
      </c>
      <c r="Q123" s="656">
        <f>[64]PLANCUSr!$H$38</f>
        <v>23.214285714285719</v>
      </c>
      <c r="R123" s="313">
        <f t="shared" ref="R123" si="121">100*Q123/4.3</f>
        <v>539.86710963455164</v>
      </c>
      <c r="S123" s="656">
        <f>[65]PLANCUSr!$H$38</f>
        <v>24.985714285714288</v>
      </c>
      <c r="T123" s="313">
        <f t="shared" ref="T123" si="122">100*S123/4.3</f>
        <v>581.06312292358814</v>
      </c>
    </row>
    <row r="124" spans="2:20">
      <c r="B124" s="310" t="s">
        <v>7</v>
      </c>
      <c r="C124" s="312">
        <f>[66]PLANCUSr!$H$38</f>
        <v>18.671428571428574</v>
      </c>
      <c r="D124" s="313">
        <f t="shared" si="82"/>
        <v>434.2192691029901</v>
      </c>
      <c r="E124" s="656">
        <f>[67]PLANCUSr!$H$38</f>
        <v>20.014285714285716</v>
      </c>
      <c r="F124" s="313">
        <f t="shared" si="115"/>
        <v>465.44850498338877</v>
      </c>
      <c r="G124" s="701">
        <f>[68]PLANCUSr!$H$38</f>
        <v>20.228571428571431</v>
      </c>
      <c r="H124" s="558">
        <f t="shared" si="116"/>
        <v>470.43189368770771</v>
      </c>
      <c r="I124" s="656">
        <f>[69]PLANCUSr!$H$38</f>
        <v>20.75714285714286</v>
      </c>
      <c r="J124" s="313">
        <f t="shared" si="117"/>
        <v>482.72425249169441</v>
      </c>
      <c r="K124" s="656">
        <f>[70]PLANCUSr!$H$38</f>
        <v>21.142857142857146</v>
      </c>
      <c r="L124" s="313">
        <f t="shared" ref="L124" si="123">100*K124/4.3</f>
        <v>491.69435215946856</v>
      </c>
      <c r="M124" s="656">
        <f>[71]PLANCUSr!$H$38</f>
        <v>21.485714285714288</v>
      </c>
      <c r="N124" s="313">
        <f t="shared" ref="N124" si="124">100*M124/4.3</f>
        <v>499.66777408637881</v>
      </c>
      <c r="O124" s="656">
        <f>[72]PLANCUSr!$H$38</f>
        <v>22.642857142857146</v>
      </c>
      <c r="P124" s="313">
        <f t="shared" ref="P124" si="125">100*O124/4.3</f>
        <v>526.57807308970109</v>
      </c>
      <c r="Q124" s="656">
        <f>[73]PLANCUSr!$H$38</f>
        <v>23.214285714285719</v>
      </c>
      <c r="R124" s="313">
        <f t="shared" ref="R124" si="126">100*Q124/4.3</f>
        <v>539.86710963455164</v>
      </c>
      <c r="S124" s="656">
        <f>[74]PLANCUSr!$H$38</f>
        <v>24.985714285714288</v>
      </c>
      <c r="T124" s="313">
        <f t="shared" ref="T124" si="127">100*S124/4.3</f>
        <v>581.06312292358814</v>
      </c>
    </row>
    <row r="125" spans="2:20">
      <c r="B125" s="310" t="s">
        <v>8</v>
      </c>
      <c r="C125" s="312">
        <f>[75]PLANCUSr!$H$38</f>
        <v>18.671428571428574</v>
      </c>
      <c r="D125" s="313">
        <f>100*C125/4.3</f>
        <v>434.2192691029901</v>
      </c>
      <c r="E125" s="656">
        <f>[76]PLANCUSr!$H$38</f>
        <v>20.014285714285716</v>
      </c>
      <c r="F125" s="313">
        <f t="shared" si="115"/>
        <v>465.44850498338877</v>
      </c>
      <c r="G125" s="701">
        <f>[77]PLANCUSr!$H$38</f>
        <v>20.228571428571431</v>
      </c>
      <c r="H125" s="558">
        <f t="shared" si="116"/>
        <v>470.43189368770771</v>
      </c>
      <c r="I125" s="656">
        <f>[78]PLANCUSr!$H$38</f>
        <v>20.75714285714286</v>
      </c>
      <c r="J125" s="313">
        <f t="shared" si="117"/>
        <v>482.72425249169441</v>
      </c>
      <c r="K125" s="656">
        <f>[79]PLANCUSr!$H$38</f>
        <v>21.142857142857146</v>
      </c>
      <c r="L125" s="313">
        <f t="shared" ref="L125" si="128">100*K125/4.3</f>
        <v>491.69435215946856</v>
      </c>
      <c r="M125" s="656">
        <f>[80]PLANCUSr!$H$38</f>
        <v>21.485714285714288</v>
      </c>
      <c r="N125" s="313">
        <f t="shared" ref="N125" si="129">100*M125/4.3</f>
        <v>499.66777408637881</v>
      </c>
      <c r="O125" s="656">
        <f>[81]PLANCUSr!$H$38</f>
        <v>22.642857142857146</v>
      </c>
      <c r="P125" s="313">
        <f t="shared" ref="P125" si="130">100*O125/4.3</f>
        <v>526.57807308970109</v>
      </c>
      <c r="Q125" s="656">
        <f>[82]PLANCUSr!$H$38</f>
        <v>23.214285714285719</v>
      </c>
      <c r="R125" s="313">
        <f t="shared" ref="R125" si="131">100*Q125/4.3</f>
        <v>539.86710963455164</v>
      </c>
      <c r="S125" s="656">
        <f>[123]PLANCUSr!$H$38</f>
        <v>24.985714285714288</v>
      </c>
      <c r="T125" s="313">
        <f t="shared" ref="T125" si="132">100*S125/4.3</f>
        <v>581.06312292358814</v>
      </c>
    </row>
    <row r="126" spans="2:20">
      <c r="B126" s="310" t="s">
        <v>9</v>
      </c>
      <c r="C126" s="312">
        <f>[83]PLANCUSr!$H$38</f>
        <v>20.100000000000001</v>
      </c>
      <c r="D126" s="313">
        <f>100*C126/4.3</f>
        <v>467.44186046511635</v>
      </c>
      <c r="E126" s="656">
        <f>[84]PLANCUSr!$H$38</f>
        <v>20.014285714285716</v>
      </c>
      <c r="F126" s="313">
        <f t="shared" si="115"/>
        <v>465.44850498338877</v>
      </c>
      <c r="G126" s="701">
        <f>[85]PLANCUSr!$H$38</f>
        <v>20.228571428571431</v>
      </c>
      <c r="H126" s="558">
        <f t="shared" si="116"/>
        <v>470.43189368770771</v>
      </c>
      <c r="I126" s="656">
        <f>[86]PLANCUSr!$H$38</f>
        <v>20.75714285714286</v>
      </c>
      <c r="J126" s="313">
        <f t="shared" si="117"/>
        <v>482.72425249169441</v>
      </c>
      <c r="K126" s="656">
        <f>[87]PLANCUSr!$H$38</f>
        <v>21.142857142857146</v>
      </c>
      <c r="L126" s="313">
        <f t="shared" ref="L126" si="133">100*K126/4.3</f>
        <v>491.69435215946856</v>
      </c>
      <c r="M126" s="656">
        <f>[88]PLANCUSr!$H$38</f>
        <v>21.485714285714288</v>
      </c>
      <c r="N126" s="313">
        <f t="shared" ref="N126" si="134">100*M126/4.3</f>
        <v>499.66777408637881</v>
      </c>
      <c r="O126" s="656">
        <f>[89]PLANCUSr!$H$38</f>
        <v>22.642857142857146</v>
      </c>
      <c r="P126" s="313">
        <f t="shared" ref="P126" si="135">100*O126/4.3</f>
        <v>526.57807308970109</v>
      </c>
      <c r="Q126" s="656">
        <f>[90]PLANCUSr!$H$38</f>
        <v>23.214285714285719</v>
      </c>
      <c r="R126" s="313">
        <f t="shared" ref="R126" si="136">100*Q126/4.3</f>
        <v>539.86710963455164</v>
      </c>
      <c r="S126" s="656"/>
      <c r="T126" s="313"/>
    </row>
    <row r="127" spans="2:20">
      <c r="B127" s="310" t="s">
        <v>10</v>
      </c>
      <c r="C127" s="312">
        <f>[91]PLANCUSr!$H$38</f>
        <v>20.100000000000001</v>
      </c>
      <c r="D127" s="313">
        <f>100*C127/4.3</f>
        <v>467.44186046511635</v>
      </c>
      <c r="E127" s="656">
        <f>[92]PLANCUSr!$H$38</f>
        <v>20.014285714285716</v>
      </c>
      <c r="F127" s="313">
        <f t="shared" si="115"/>
        <v>465.44850498338877</v>
      </c>
      <c r="G127" s="701">
        <f>[93]PLANCUSr!$H$38</f>
        <v>20.228571428571431</v>
      </c>
      <c r="H127" s="558">
        <f t="shared" si="116"/>
        <v>470.43189368770771</v>
      </c>
      <c r="I127" s="656">
        <f>[94]PLANCUSr!$H$38</f>
        <v>20.75714285714286</v>
      </c>
      <c r="J127" s="313">
        <f t="shared" si="117"/>
        <v>482.72425249169441</v>
      </c>
      <c r="K127" s="656">
        <f>[95]PLANCUSr!$H$38</f>
        <v>21.142857142857146</v>
      </c>
      <c r="L127" s="313">
        <f t="shared" ref="L127" si="137">100*K127/4.3</f>
        <v>491.69435215946856</v>
      </c>
      <c r="M127" s="656">
        <f>[96]PLANCUSr!$H$38</f>
        <v>22.157142857142862</v>
      </c>
      <c r="N127" s="313">
        <f t="shared" ref="N127" si="138">100*M127/4.3</f>
        <v>515.28239202657824</v>
      </c>
      <c r="O127" s="656">
        <f>[97]PLANCUSr!$H$38</f>
        <v>22.642857142857146</v>
      </c>
      <c r="P127" s="313">
        <f t="shared" ref="P127" si="139">100*O127/4.3</f>
        <v>526.57807308970109</v>
      </c>
      <c r="Q127" s="656">
        <f>[98]PLANCUSr!$H$38</f>
        <v>23.214285714285719</v>
      </c>
      <c r="R127" s="313">
        <f t="shared" ref="R127" si="140">100*Q127/4.3</f>
        <v>539.86710963455164</v>
      </c>
      <c r="S127" s="656"/>
      <c r="T127" s="313"/>
    </row>
    <row r="128" spans="2:20" ht="15.75" thickBot="1">
      <c r="B128" s="314" t="s">
        <v>11</v>
      </c>
      <c r="C128" s="316">
        <f>[99]PLANCUSr!$H$38</f>
        <v>20.100000000000001</v>
      </c>
      <c r="D128" s="317">
        <f>100*C128/4.3</f>
        <v>467.44186046511635</v>
      </c>
      <c r="E128" s="680">
        <f>[100]PLANCUSr!$H$38</f>
        <v>20.228571428571431</v>
      </c>
      <c r="F128" s="317">
        <f t="shared" si="115"/>
        <v>470.43189368770771</v>
      </c>
      <c r="G128" s="680">
        <f>[101]PLANCUSr!$H$38</f>
        <v>20.228571428571431</v>
      </c>
      <c r="H128" s="317">
        <f t="shared" si="116"/>
        <v>470.43189368770771</v>
      </c>
      <c r="I128" s="680">
        <f>[102]PLANCUSr!$H$38</f>
        <v>20.75714285714286</v>
      </c>
      <c r="J128" s="317">
        <f t="shared" si="117"/>
        <v>482.72425249169441</v>
      </c>
      <c r="K128" s="680">
        <f>[103]PLANCUSr!$H$38</f>
        <v>21.142857142857146</v>
      </c>
      <c r="L128" s="317">
        <f t="shared" ref="L128" si="141">100*K128/4.3</f>
        <v>491.69435215946856</v>
      </c>
      <c r="M128" s="680">
        <f>[104]PLANCUSr!$H$38</f>
        <v>22.157142857142862</v>
      </c>
      <c r="N128" s="317">
        <f t="shared" ref="N128" si="142">100*M128/4.3</f>
        <v>515.28239202657824</v>
      </c>
      <c r="O128" s="680">
        <f>[105]PLANCUSr!$H$38</f>
        <v>22.642857142857146</v>
      </c>
      <c r="P128" s="317">
        <f t="shared" ref="P128" si="143">100*O128/4.3</f>
        <v>526.57807308970109</v>
      </c>
      <c r="Q128" s="680">
        <f>[106]PLANCUSr!$H$38</f>
        <v>23.214285714285719</v>
      </c>
      <c r="R128" s="317">
        <f t="shared" ref="R128" si="144">100*Q128/4.3</f>
        <v>539.86710963455164</v>
      </c>
      <c r="S128" s="680"/>
      <c r="T128" s="317"/>
    </row>
    <row r="129" spans="2:20">
      <c r="B129" s="119"/>
      <c r="C129" s="123"/>
      <c r="D129" s="123"/>
      <c r="E129" s="123"/>
      <c r="F129" s="132"/>
      <c r="G129" s="123"/>
      <c r="H129" s="132"/>
      <c r="I129" s="123"/>
      <c r="J129" s="132"/>
      <c r="K129" s="123"/>
      <c r="L129" s="132"/>
      <c r="M129" s="152"/>
      <c r="N129" s="132"/>
      <c r="O129" s="132"/>
      <c r="P129" s="132"/>
      <c r="Q129" s="123"/>
      <c r="R129" s="123"/>
      <c r="S129" s="119"/>
      <c r="T129" s="132"/>
    </row>
    <row r="130" spans="2:20">
      <c r="B130" s="144"/>
      <c r="C130" s="146"/>
      <c r="D130" s="146"/>
      <c r="E130" s="146"/>
      <c r="F130" s="148"/>
      <c r="G130" s="146"/>
      <c r="H130" s="148"/>
      <c r="I130" s="146"/>
      <c r="J130" s="148"/>
      <c r="K130" s="146"/>
      <c r="L130" s="148"/>
      <c r="M130" s="154"/>
      <c r="N130" s="148"/>
      <c r="O130" s="132"/>
      <c r="P130" s="132"/>
      <c r="Q130" s="123"/>
      <c r="R130" s="123"/>
      <c r="S130" s="119"/>
      <c r="T130" s="132"/>
    </row>
    <row r="131" spans="2:20" ht="15.75" thickBot="1">
      <c r="B131" s="119"/>
      <c r="C131" s="123"/>
      <c r="D131" s="123"/>
      <c r="E131" s="123"/>
      <c r="F131" s="132"/>
      <c r="G131" s="123"/>
      <c r="H131" s="132"/>
      <c r="I131" s="123"/>
      <c r="J131" s="132"/>
      <c r="K131" s="123"/>
      <c r="L131" s="132"/>
      <c r="M131" s="152"/>
      <c r="N131" s="132"/>
      <c r="O131" s="132"/>
      <c r="P131" s="132"/>
      <c r="Q131" s="123"/>
      <c r="R131" s="123"/>
      <c r="S131" s="119"/>
      <c r="T131" s="132"/>
    </row>
    <row r="132" spans="2:20" ht="18.75" thickBot="1">
      <c r="B132" s="1320" t="s">
        <v>12</v>
      </c>
      <c r="C132" s="1321"/>
      <c r="D132" s="1321"/>
      <c r="E132" s="1321"/>
      <c r="F132" s="1321"/>
      <c r="G132" s="1321"/>
      <c r="H132" s="361">
        <v>2.15</v>
      </c>
      <c r="I132" s="362" t="s">
        <v>26</v>
      </c>
      <c r="J132" s="363"/>
      <c r="K132" s="358"/>
      <c r="L132" s="358"/>
      <c r="M132" s="364"/>
      <c r="N132" s="359"/>
      <c r="O132" s="119"/>
      <c r="P132" s="119"/>
      <c r="Q132" s="123"/>
      <c r="R132" s="123"/>
      <c r="S132" s="119"/>
      <c r="T132" s="132"/>
    </row>
    <row r="133" spans="2:20" ht="15.75" thickBot="1">
      <c r="B133" s="1306">
        <v>1994</v>
      </c>
      <c r="C133" s="1307"/>
      <c r="D133" s="336" t="s">
        <v>15</v>
      </c>
      <c r="E133" s="336">
        <v>1995</v>
      </c>
      <c r="F133" s="336" t="s">
        <v>15</v>
      </c>
      <c r="G133" s="336">
        <v>1996</v>
      </c>
      <c r="H133" s="336" t="s">
        <v>15</v>
      </c>
      <c r="I133" s="336">
        <v>1997</v>
      </c>
      <c r="J133" s="336" t="s">
        <v>15</v>
      </c>
      <c r="K133" s="336">
        <v>1998</v>
      </c>
      <c r="L133" s="336" t="s">
        <v>15</v>
      </c>
      <c r="M133" s="336">
        <v>1999</v>
      </c>
      <c r="N133" s="354" t="s">
        <v>15</v>
      </c>
      <c r="O133" s="124"/>
      <c r="P133" s="124"/>
    </row>
    <row r="134" spans="2:20">
      <c r="B134" s="306" t="s">
        <v>0</v>
      </c>
      <c r="C134" s="307"/>
      <c r="D134" s="308"/>
      <c r="E134" s="307">
        <v>2.17</v>
      </c>
      <c r="F134" s="308">
        <f>100*2.17/$H$132</f>
        <v>100.93023255813954</v>
      </c>
      <c r="G134" s="307">
        <v>3.03</v>
      </c>
      <c r="H134" s="308">
        <f>100*3.03/2.15</f>
        <v>140.93023255813955</v>
      </c>
      <c r="I134" s="307">
        <v>2.23</v>
      </c>
      <c r="J134" s="308">
        <f>100*2.23/2.15</f>
        <v>103.72093023255815</v>
      </c>
      <c r="K134" s="307">
        <v>2.65</v>
      </c>
      <c r="L134" s="308">
        <f>100*2.65/2.15</f>
        <v>123.25581395348837</v>
      </c>
      <c r="M134" s="307">
        <v>2.44</v>
      </c>
      <c r="N134" s="309">
        <f>100*2.44/2+$N$2586</f>
        <v>122</v>
      </c>
      <c r="O134" s="123"/>
      <c r="P134" s="123"/>
    </row>
    <row r="135" spans="2:20">
      <c r="B135" s="310" t="s">
        <v>1</v>
      </c>
      <c r="C135" s="311"/>
      <c r="D135" s="312"/>
      <c r="E135" s="311">
        <v>2.2000000000000002</v>
      </c>
      <c r="F135" s="312">
        <f>100*2.2/$H$132</f>
        <v>102.32558139534885</v>
      </c>
      <c r="G135" s="311">
        <v>3.31</v>
      </c>
      <c r="H135" s="312">
        <f>100*3.31/2.15</f>
        <v>153.95348837209303</v>
      </c>
      <c r="I135" s="311">
        <v>2.5299999999999998</v>
      </c>
      <c r="J135" s="312">
        <f>100*2.53/2.15</f>
        <v>117.67441860465115</v>
      </c>
      <c r="K135" s="311">
        <v>2.3199999999999998</v>
      </c>
      <c r="L135" s="312">
        <f>100*2.32/2.15</f>
        <v>107.90697674418604</v>
      </c>
      <c r="M135" s="311">
        <v>2.36</v>
      </c>
      <c r="N135" s="313">
        <f>100*2.36/2.15</f>
        <v>109.76744186046513</v>
      </c>
      <c r="O135" s="123"/>
      <c r="P135" s="123"/>
    </row>
    <row r="136" spans="2:20">
      <c r="B136" s="310" t="s">
        <v>2</v>
      </c>
      <c r="C136" s="311"/>
      <c r="D136" s="312"/>
      <c r="E136" s="311">
        <v>2</v>
      </c>
      <c r="F136" s="312">
        <f>100*2/$H$132</f>
        <v>93.023255813953497</v>
      </c>
      <c r="G136" s="311">
        <v>2.2200000000000002</v>
      </c>
      <c r="H136" s="312">
        <f>100*2.22/2.15</f>
        <v>103.25581395348838</v>
      </c>
      <c r="I136" s="311">
        <v>2.38</v>
      </c>
      <c r="J136" s="312">
        <f>100*2.38/2.15</f>
        <v>110.69767441860465</v>
      </c>
      <c r="K136" s="311">
        <v>2.08</v>
      </c>
      <c r="L136" s="312">
        <f>100*2.08/2.15</f>
        <v>96.744186046511629</v>
      </c>
      <c r="M136" s="311">
        <v>2.4700000000000002</v>
      </c>
      <c r="N136" s="313">
        <f>100*2.47/2.15</f>
        <v>114.88372093023257</v>
      </c>
      <c r="O136" s="123"/>
      <c r="P136" s="123"/>
    </row>
    <row r="137" spans="2:20">
      <c r="B137" s="310" t="s">
        <v>3</v>
      </c>
      <c r="C137" s="311"/>
      <c r="D137" s="312"/>
      <c r="E137" s="311">
        <v>2.08</v>
      </c>
      <c r="F137" s="312">
        <f>100*2.08/$H$132</f>
        <v>96.744186046511629</v>
      </c>
      <c r="G137" s="311">
        <v>2.56</v>
      </c>
      <c r="H137" s="312">
        <f>100*2.56/2.15</f>
        <v>119.06976744186046</v>
      </c>
      <c r="I137" s="311">
        <v>2.3199999999999998</v>
      </c>
      <c r="J137" s="312">
        <f>100*2.32/2.15</f>
        <v>107.90697674418604</v>
      </c>
      <c r="K137" s="311">
        <v>2.57</v>
      </c>
      <c r="L137" s="312">
        <f>100*2.57/2.15</f>
        <v>119.53488372093024</v>
      </c>
      <c r="M137" s="311">
        <v>2.1800000000000002</v>
      </c>
      <c r="N137" s="313">
        <f>100*2.18/2.15</f>
        <v>101.39534883720933</v>
      </c>
      <c r="O137" s="123"/>
      <c r="P137" s="123"/>
    </row>
    <row r="138" spans="2:20">
      <c r="B138" s="310" t="s">
        <v>4</v>
      </c>
      <c r="C138" s="311"/>
      <c r="D138" s="312"/>
      <c r="E138" s="311">
        <v>1.74</v>
      </c>
      <c r="F138" s="312">
        <f>100*1.74/$H$132</f>
        <v>80.930232558139537</v>
      </c>
      <c r="G138" s="311">
        <v>2.67</v>
      </c>
      <c r="H138" s="312">
        <f>100*2.67/2.15</f>
        <v>124.18604651162791</v>
      </c>
      <c r="I138" s="311">
        <v>2.44</v>
      </c>
      <c r="J138" s="312">
        <f>100*2.44/2.15</f>
        <v>113.48837209302326</v>
      </c>
      <c r="K138" s="311">
        <v>2.06</v>
      </c>
      <c r="L138" s="312">
        <f>100*2.06/2.15</f>
        <v>95.813953488372093</v>
      </c>
      <c r="M138" s="311">
        <v>2.62</v>
      </c>
      <c r="N138" s="313">
        <f>100*2.63/2.15</f>
        <v>122.32558139534885</v>
      </c>
      <c r="O138" s="123"/>
      <c r="P138" s="123"/>
    </row>
    <row r="139" spans="2:20">
      <c r="B139" s="310" t="s">
        <v>5</v>
      </c>
      <c r="C139" s="311"/>
      <c r="D139" s="312"/>
      <c r="E139" s="311">
        <v>2.19</v>
      </c>
      <c r="F139" s="312">
        <f>100*2.19/$H$132</f>
        <v>101.86046511627907</v>
      </c>
      <c r="G139" s="311">
        <v>2.52</v>
      </c>
      <c r="H139" s="312">
        <f>100*2.52/2.15</f>
        <v>117.2093023255814</v>
      </c>
      <c r="I139" s="311">
        <v>2.41</v>
      </c>
      <c r="J139" s="312">
        <f>100*2.41/2.15</f>
        <v>112.09302325581396</v>
      </c>
      <c r="K139" s="311">
        <v>2.58</v>
      </c>
      <c r="L139" s="312">
        <f>100*2.58/2.15</f>
        <v>120</v>
      </c>
      <c r="M139" s="311">
        <v>2.25</v>
      </c>
      <c r="N139" s="313">
        <f>100*2.25/2.15</f>
        <v>104.65116279069768</v>
      </c>
      <c r="O139" s="123"/>
      <c r="P139" s="123"/>
    </row>
    <row r="140" spans="2:20">
      <c r="B140" s="310" t="s">
        <v>6</v>
      </c>
      <c r="C140" s="311">
        <v>2.15</v>
      </c>
      <c r="D140" s="312">
        <f>100*2.15/$H$132</f>
        <v>100</v>
      </c>
      <c r="E140" s="311">
        <v>2.14</v>
      </c>
      <c r="F140" s="312">
        <f>100*2.14/$H$132</f>
        <v>99.534883720930239</v>
      </c>
      <c r="G140" s="311">
        <v>2.3199999999999998</v>
      </c>
      <c r="H140" s="312">
        <f>100*2.32/2.15</f>
        <v>107.90697674418604</v>
      </c>
      <c r="I140" s="311">
        <v>2.5499999999999998</v>
      </c>
      <c r="J140" s="312">
        <f>100*2.55/2.15</f>
        <v>118.60465116279069</v>
      </c>
      <c r="K140" s="311">
        <v>2.54</v>
      </c>
      <c r="L140" s="312">
        <f>100*2.54/2.15</f>
        <v>118.13953488372094</v>
      </c>
      <c r="M140" s="311">
        <v>2.37</v>
      </c>
      <c r="N140" s="313">
        <f>100*$M$140/2.15</f>
        <v>110.23255813953489</v>
      </c>
      <c r="O140" s="123"/>
      <c r="P140" s="123"/>
    </row>
    <row r="141" spans="2:20">
      <c r="B141" s="310" t="s">
        <v>7</v>
      </c>
      <c r="C141" s="311">
        <v>2.2000000000000002</v>
      </c>
      <c r="D141" s="312">
        <f>100*C141/$H$132</f>
        <v>102.32558139534885</v>
      </c>
      <c r="E141" s="311">
        <v>2.23</v>
      </c>
      <c r="F141" s="312">
        <f>100*E141/$H$132</f>
        <v>103.72093023255815</v>
      </c>
      <c r="G141" s="311">
        <v>2.62</v>
      </c>
      <c r="H141" s="312">
        <f>100*G141/2.15</f>
        <v>121.86046511627907</v>
      </c>
      <c r="I141" s="311">
        <v>2.34</v>
      </c>
      <c r="J141" s="312">
        <f>100*I141/2.15</f>
        <v>108.83720930232559</v>
      </c>
      <c r="K141" s="311">
        <v>2.25</v>
      </c>
      <c r="L141" s="312">
        <f>100*K141/2.15</f>
        <v>104.65116279069768</v>
      </c>
      <c r="M141" s="311">
        <v>2.56</v>
      </c>
      <c r="N141" s="313">
        <f>100*M141/2.15</f>
        <v>119.06976744186046</v>
      </c>
      <c r="O141" s="123"/>
      <c r="P141" s="123"/>
    </row>
    <row r="142" spans="2:20">
      <c r="B142" s="310" t="s">
        <v>8</v>
      </c>
      <c r="C142" s="311">
        <v>2.5099999999999998</v>
      </c>
      <c r="D142" s="312">
        <f>100*2.51/$H$132</f>
        <v>116.74418604651162</v>
      </c>
      <c r="E142" s="311">
        <v>2.21</v>
      </c>
      <c r="F142" s="312">
        <f>100*2.21/$H$132</f>
        <v>102.79069767441861</v>
      </c>
      <c r="G142" s="311">
        <v>2.2599999999999998</v>
      </c>
      <c r="H142" s="312">
        <f>100*2.26/2.15</f>
        <v>105.11627906976743</v>
      </c>
      <c r="I142" s="311">
        <v>2.4700000000000002</v>
      </c>
      <c r="J142" s="312">
        <f>100*2.47/2.15</f>
        <v>114.88372093023257</v>
      </c>
      <c r="K142" s="311">
        <v>2.5299999999999998</v>
      </c>
      <c r="L142" s="312">
        <f>100*2.53/2.15</f>
        <v>117.67441860465115</v>
      </c>
      <c r="M142" s="311">
        <v>2.44</v>
      </c>
      <c r="N142" s="313">
        <f>100*M142/2.15</f>
        <v>113.48837209302326</v>
      </c>
      <c r="O142" s="123"/>
      <c r="P142" s="123"/>
    </row>
    <row r="143" spans="2:20">
      <c r="B143" s="310" t="s">
        <v>9</v>
      </c>
      <c r="C143" s="311">
        <v>2.2200000000000002</v>
      </c>
      <c r="D143" s="312">
        <f>100*2.22/$H$132</f>
        <v>103.25581395348838</v>
      </c>
      <c r="E143" s="311">
        <v>2.4700000000000002</v>
      </c>
      <c r="F143" s="312">
        <f>100*2.47/$H$132</f>
        <v>114.88372093023257</v>
      </c>
      <c r="G143" s="311">
        <v>2.5499999999999998</v>
      </c>
      <c r="H143" s="312">
        <f>100*2.55/2.15</f>
        <v>118.60465116279069</v>
      </c>
      <c r="I143" s="311">
        <v>2.36</v>
      </c>
      <c r="J143" s="312">
        <f>100*2.36/2.15</f>
        <v>109.76744186046513</v>
      </c>
      <c r="K143" s="311">
        <v>2.33</v>
      </c>
      <c r="L143" s="312">
        <f>100*2.33/2.15</f>
        <v>108.37209302325581</v>
      </c>
      <c r="M143" s="311">
        <v>2.58</v>
      </c>
      <c r="N143" s="313">
        <f>100*M143/2.15</f>
        <v>120</v>
      </c>
      <c r="O143" s="123"/>
      <c r="P143" s="123"/>
    </row>
    <row r="144" spans="2:20">
      <c r="B144" s="310" t="s">
        <v>10</v>
      </c>
      <c r="C144" s="311">
        <v>2.2000000000000002</v>
      </c>
      <c r="D144" s="312">
        <f>100*2.2/$H$132</f>
        <v>102.32558139534885</v>
      </c>
      <c r="E144" s="311">
        <v>2.25</v>
      </c>
      <c r="F144" s="312">
        <f>100*2.25/$H$132</f>
        <v>104.65116279069768</v>
      </c>
      <c r="G144" s="311">
        <v>2.34</v>
      </c>
      <c r="H144" s="312">
        <f>100*2.34/2.15</f>
        <v>108.83720930232559</v>
      </c>
      <c r="I144" s="311">
        <v>2.4500000000000002</v>
      </c>
      <c r="J144" s="312">
        <f>100*2.45/2.15</f>
        <v>113.95348837209305</v>
      </c>
      <c r="K144" s="311">
        <v>2.3199999999999998</v>
      </c>
      <c r="L144" s="312">
        <f>100*2.32/2.15</f>
        <v>107.90697674418604</v>
      </c>
      <c r="M144" s="311">
        <v>2.64</v>
      </c>
      <c r="N144" s="313">
        <f>100*M144/2.15</f>
        <v>122.79069767441861</v>
      </c>
      <c r="O144" s="123"/>
      <c r="P144" s="123"/>
    </row>
    <row r="145" spans="2:20" ht="15.75" thickBot="1">
      <c r="B145" s="314" t="s">
        <v>11</v>
      </c>
      <c r="C145" s="315">
        <v>2.2599999999999998</v>
      </c>
      <c r="D145" s="316">
        <f>100*2.26/$H$132</f>
        <v>105.11627906976743</v>
      </c>
      <c r="E145" s="315">
        <v>2.61</v>
      </c>
      <c r="F145" s="316">
        <f>100*2.61/$H$132</f>
        <v>121.39534883720931</v>
      </c>
      <c r="G145" s="315">
        <v>2.23</v>
      </c>
      <c r="H145" s="316">
        <f>100*2.23/2.15</f>
        <v>103.72093023255815</v>
      </c>
      <c r="I145" s="315">
        <v>2.16</v>
      </c>
      <c r="J145" s="316">
        <f>100*2.16/2.15</f>
        <v>100.46511627906978</v>
      </c>
      <c r="K145" s="315">
        <v>2.19</v>
      </c>
      <c r="L145" s="316">
        <f>100*2.19/2.15</f>
        <v>101.86046511627907</v>
      </c>
      <c r="M145" s="315">
        <v>2.44</v>
      </c>
      <c r="N145" s="317">
        <f>100*M145/2.15</f>
        <v>113.48837209302326</v>
      </c>
      <c r="O145" s="123"/>
      <c r="P145" s="123"/>
    </row>
    <row r="146" spans="2:20" ht="15.75" thickBot="1">
      <c r="B146" s="119"/>
      <c r="C146" s="118"/>
      <c r="D146" s="123"/>
      <c r="E146" s="118"/>
      <c r="F146" s="123"/>
      <c r="G146" s="118"/>
      <c r="H146" s="123"/>
      <c r="I146" s="118"/>
      <c r="J146" s="123"/>
      <c r="K146" s="118"/>
      <c r="L146" s="123"/>
      <c r="M146" s="118"/>
      <c r="N146" s="123"/>
      <c r="O146" s="123"/>
      <c r="P146" s="123"/>
    </row>
    <row r="147" spans="2:20" ht="18.75" thickBot="1">
      <c r="B147" s="1320" t="s">
        <v>295</v>
      </c>
      <c r="C147" s="1321"/>
      <c r="D147" s="1321"/>
      <c r="E147" s="1321"/>
      <c r="F147" s="1321"/>
      <c r="G147" s="1321"/>
      <c r="H147" s="1321"/>
      <c r="I147" s="1321"/>
      <c r="J147" s="1321"/>
      <c r="K147" s="1321"/>
      <c r="L147" s="1321"/>
      <c r="M147" s="1321"/>
      <c r="N147" s="1322"/>
      <c r="O147" s="123"/>
      <c r="P147" s="123"/>
      <c r="Q147" s="123"/>
      <c r="R147" s="123"/>
      <c r="S147" s="119"/>
      <c r="T147" s="132"/>
    </row>
    <row r="148" spans="2:20" ht="15.75" thickBot="1">
      <c r="B148" s="1331">
        <v>2000</v>
      </c>
      <c r="C148" s="1332"/>
      <c r="D148" s="334" t="s">
        <v>15</v>
      </c>
      <c r="E148" s="335">
        <v>2001</v>
      </c>
      <c r="F148" s="334" t="s">
        <v>15</v>
      </c>
      <c r="G148" s="335">
        <v>2002</v>
      </c>
      <c r="H148" s="334" t="s">
        <v>15</v>
      </c>
      <c r="I148" s="337">
        <v>2003</v>
      </c>
      <c r="J148" s="334" t="s">
        <v>15</v>
      </c>
      <c r="K148" s="337">
        <v>2004</v>
      </c>
      <c r="L148" s="334" t="s">
        <v>15</v>
      </c>
      <c r="M148" s="340">
        <v>2005</v>
      </c>
      <c r="N148" s="353" t="s">
        <v>15</v>
      </c>
      <c r="O148" s="123"/>
      <c r="P148" s="123"/>
      <c r="Q148" s="123"/>
      <c r="R148" s="123"/>
      <c r="S148" s="119"/>
      <c r="T148" s="132"/>
    </row>
    <row r="149" spans="2:20">
      <c r="B149" s="365" t="s">
        <v>0</v>
      </c>
      <c r="C149" s="351">
        <v>2.57</v>
      </c>
      <c r="D149" s="351">
        <f>100*C149/2.15</f>
        <v>119.53488372093024</v>
      </c>
      <c r="E149" s="366">
        <v>2.95</v>
      </c>
      <c r="F149" s="367">
        <f t="shared" ref="F149:F160" si="145">100*E149/2.15</f>
        <v>137.2093023255814</v>
      </c>
      <c r="G149" s="366">
        <v>3.28</v>
      </c>
      <c r="H149" s="367">
        <f t="shared" ref="H149:H160" si="146">100*G149/2.15</f>
        <v>152.55813953488374</v>
      </c>
      <c r="I149" s="368">
        <v>3.62</v>
      </c>
      <c r="J149" s="635">
        <f t="shared" ref="J149:L160" si="147">100*I149/2.15</f>
        <v>168.37209302325581</v>
      </c>
      <c r="K149" s="368">
        <v>4.5599999999999996</v>
      </c>
      <c r="L149" s="367">
        <f t="shared" si="147"/>
        <v>212.09302325581393</v>
      </c>
      <c r="M149" s="369">
        <v>5.21</v>
      </c>
      <c r="N149" s="367">
        <f t="shared" ref="N149:N160" si="148">100*M149/2.15</f>
        <v>242.32558139534885</v>
      </c>
      <c r="O149" s="132"/>
      <c r="P149" s="132"/>
      <c r="Q149" s="123"/>
      <c r="R149" s="123"/>
      <c r="S149" s="119"/>
      <c r="T149" s="132"/>
    </row>
    <row r="150" spans="2:20">
      <c r="B150" s="320" t="s">
        <v>1</v>
      </c>
      <c r="C150" s="312">
        <v>2.85</v>
      </c>
      <c r="D150" s="312">
        <f t="shared" ref="D150:D156" si="149">100*C150/2.15</f>
        <v>132.55813953488374</v>
      </c>
      <c r="E150" s="312">
        <v>2.5</v>
      </c>
      <c r="F150" s="345">
        <f t="shared" si="145"/>
        <v>116.27906976744187</v>
      </c>
      <c r="G150" s="312">
        <v>3.91</v>
      </c>
      <c r="H150" s="345">
        <f t="shared" si="146"/>
        <v>181.86046511627907</v>
      </c>
      <c r="I150" s="311">
        <v>3.67</v>
      </c>
      <c r="J150" s="370">
        <f t="shared" si="147"/>
        <v>170.69767441860466</v>
      </c>
      <c r="K150" s="311">
        <v>4.7300000000000004</v>
      </c>
      <c r="L150" s="345">
        <f t="shared" si="147"/>
        <v>220.00000000000003</v>
      </c>
      <c r="M150" s="356">
        <v>5.2</v>
      </c>
      <c r="N150" s="345">
        <f t="shared" si="148"/>
        <v>241.86046511627907</v>
      </c>
      <c r="O150" s="132"/>
      <c r="P150" s="132"/>
      <c r="Q150" s="123"/>
      <c r="R150" s="123"/>
      <c r="S150" s="119"/>
      <c r="T150" s="132"/>
    </row>
    <row r="151" spans="2:20">
      <c r="B151" s="320" t="s">
        <v>2</v>
      </c>
      <c r="C151" s="312">
        <v>2.7</v>
      </c>
      <c r="D151" s="312">
        <f t="shared" si="149"/>
        <v>125.58139534883722</v>
      </c>
      <c r="E151" s="312">
        <v>3.25</v>
      </c>
      <c r="F151" s="345">
        <f t="shared" si="145"/>
        <v>151.16279069767444</v>
      </c>
      <c r="G151" s="312">
        <v>2.78</v>
      </c>
      <c r="H151" s="345">
        <f t="shared" si="146"/>
        <v>129.30232558139537</v>
      </c>
      <c r="I151" s="311">
        <v>4.0599999999999996</v>
      </c>
      <c r="J151" s="370">
        <f t="shared" si="147"/>
        <v>188.83720930232556</v>
      </c>
      <c r="K151" s="311">
        <v>4.7699999999999996</v>
      </c>
      <c r="L151" s="345">
        <f t="shared" si="147"/>
        <v>221.86046511627904</v>
      </c>
      <c r="M151" s="356">
        <v>5.24</v>
      </c>
      <c r="N151" s="345">
        <f t="shared" si="148"/>
        <v>243.72093023255815</v>
      </c>
      <c r="O151" s="132"/>
      <c r="P151" s="132"/>
      <c r="Q151" s="123"/>
      <c r="R151" s="123"/>
      <c r="S151" s="119"/>
      <c r="T151" s="132"/>
    </row>
    <row r="152" spans="2:20">
      <c r="B152" s="320" t="s">
        <v>3</v>
      </c>
      <c r="C152" s="312">
        <v>2.68</v>
      </c>
      <c r="D152" s="312">
        <f t="shared" si="149"/>
        <v>124.65116279069768</v>
      </c>
      <c r="E152" s="312">
        <v>3.03</v>
      </c>
      <c r="F152" s="345">
        <f t="shared" si="145"/>
        <v>140.93023255813955</v>
      </c>
      <c r="G152" s="312">
        <v>3.21</v>
      </c>
      <c r="H152" s="345">
        <f t="shared" si="146"/>
        <v>149.30232558139537</v>
      </c>
      <c r="I152" s="311">
        <v>4.1399999999999997</v>
      </c>
      <c r="J152" s="370">
        <f t="shared" si="147"/>
        <v>192.55813953488371</v>
      </c>
      <c r="K152" s="311">
        <v>4.67</v>
      </c>
      <c r="L152" s="345">
        <f t="shared" si="147"/>
        <v>217.2093023255814</v>
      </c>
      <c r="M152" s="356">
        <v>5.29</v>
      </c>
      <c r="N152" s="345">
        <f t="shared" si="148"/>
        <v>246.04651162790699</v>
      </c>
      <c r="O152" s="132"/>
      <c r="P152" s="132"/>
      <c r="Q152" s="123"/>
      <c r="R152" s="123"/>
      <c r="S152" s="119"/>
      <c r="T152" s="132"/>
    </row>
    <row r="153" spans="2:20">
      <c r="B153" s="320" t="s">
        <v>4</v>
      </c>
      <c r="C153" s="312">
        <v>2.66</v>
      </c>
      <c r="D153" s="312">
        <f t="shared" si="149"/>
        <v>123.72093023255815</v>
      </c>
      <c r="E153" s="312">
        <v>3.06</v>
      </c>
      <c r="F153" s="345">
        <f t="shared" si="145"/>
        <v>142.32558139534885</v>
      </c>
      <c r="G153" s="312">
        <v>3.09</v>
      </c>
      <c r="H153" s="345">
        <f t="shared" si="146"/>
        <v>143.72093023255815</v>
      </c>
      <c r="I153" s="311">
        <v>4.16</v>
      </c>
      <c r="J153" s="370">
        <f t="shared" si="147"/>
        <v>193.48837209302326</v>
      </c>
      <c r="K153" s="311">
        <v>4.79</v>
      </c>
      <c r="L153" s="370">
        <f t="shared" si="147"/>
        <v>222.79069767441862</v>
      </c>
      <c r="M153" s="356">
        <v>5.43</v>
      </c>
      <c r="N153" s="370">
        <f t="shared" si="148"/>
        <v>252.55813953488374</v>
      </c>
      <c r="O153" s="156"/>
      <c r="P153" s="156"/>
      <c r="Q153" s="123"/>
      <c r="R153" s="123"/>
      <c r="S153" s="119"/>
      <c r="T153" s="132"/>
    </row>
    <row r="154" spans="2:20">
      <c r="B154" s="320" t="s">
        <v>5</v>
      </c>
      <c r="C154" s="312">
        <v>2.92</v>
      </c>
      <c r="D154" s="312">
        <f t="shared" si="149"/>
        <v>135.81395348837211</v>
      </c>
      <c r="E154" s="312">
        <v>3.04</v>
      </c>
      <c r="F154" s="345">
        <f t="shared" si="145"/>
        <v>141.3953488372093</v>
      </c>
      <c r="G154" s="312">
        <v>3.08</v>
      </c>
      <c r="H154" s="345">
        <f t="shared" si="146"/>
        <v>143.25581395348837</v>
      </c>
      <c r="I154" s="311">
        <v>4.08</v>
      </c>
      <c r="J154" s="370">
        <f t="shared" si="147"/>
        <v>189.76744186046511</v>
      </c>
      <c r="K154" s="311">
        <v>4.8600000000000003</v>
      </c>
      <c r="L154" s="370">
        <f t="shared" si="147"/>
        <v>226.04651162790702</v>
      </c>
      <c r="M154" s="356">
        <v>5.55</v>
      </c>
      <c r="N154" s="370">
        <f t="shared" si="148"/>
        <v>258.13953488372096</v>
      </c>
      <c r="O154" s="156"/>
      <c r="P154" s="156"/>
      <c r="Q154" s="123"/>
      <c r="R154" s="123"/>
      <c r="S154" s="119"/>
      <c r="T154" s="132"/>
    </row>
    <row r="155" spans="2:20">
      <c r="B155" s="320" t="s">
        <v>6</v>
      </c>
      <c r="C155" s="312">
        <v>2.75</v>
      </c>
      <c r="D155" s="312">
        <f t="shared" si="149"/>
        <v>127.90697674418605</v>
      </c>
      <c r="E155" s="322">
        <v>3.53</v>
      </c>
      <c r="F155" s="345">
        <f t="shared" si="145"/>
        <v>164.18604651162792</v>
      </c>
      <c r="G155" s="322">
        <v>3.23</v>
      </c>
      <c r="H155" s="345">
        <f t="shared" si="146"/>
        <v>150.23255813953489</v>
      </c>
      <c r="I155" s="311">
        <v>4.2699999999999996</v>
      </c>
      <c r="J155" s="370">
        <f t="shared" si="147"/>
        <v>198.60465116279067</v>
      </c>
      <c r="K155" s="311">
        <v>4.92</v>
      </c>
      <c r="L155" s="370">
        <f t="shared" si="147"/>
        <v>228.83720930232559</v>
      </c>
      <c r="M155" s="356">
        <v>5.5</v>
      </c>
      <c r="N155" s="370">
        <f t="shared" si="148"/>
        <v>255.81395348837211</v>
      </c>
      <c r="O155" s="156"/>
      <c r="P155" s="156"/>
      <c r="Q155" s="123"/>
      <c r="R155" s="123"/>
      <c r="S155" s="119"/>
      <c r="T155" s="132"/>
    </row>
    <row r="156" spans="2:20">
      <c r="B156" s="320" t="s">
        <v>7</v>
      </c>
      <c r="C156" s="312">
        <v>2.63</v>
      </c>
      <c r="D156" s="312">
        <f t="shared" si="149"/>
        <v>122.32558139534885</v>
      </c>
      <c r="E156" s="322">
        <v>2.83</v>
      </c>
      <c r="F156" s="345">
        <f t="shared" si="145"/>
        <v>131.62790697674419</v>
      </c>
      <c r="G156" s="322">
        <v>3.14</v>
      </c>
      <c r="H156" s="345">
        <f t="shared" si="146"/>
        <v>146.04651162790699</v>
      </c>
      <c r="I156" s="311">
        <v>4.25</v>
      </c>
      <c r="J156" s="370">
        <f t="shared" si="147"/>
        <v>197.67441860465118</v>
      </c>
      <c r="K156" s="311">
        <v>4.95</v>
      </c>
      <c r="L156" s="370">
        <f t="shared" si="147"/>
        <v>230.23255813953489</v>
      </c>
      <c r="M156" s="356">
        <v>5.43</v>
      </c>
      <c r="N156" s="370">
        <f t="shared" si="148"/>
        <v>252.55813953488374</v>
      </c>
      <c r="O156" s="156"/>
      <c r="P156" s="156"/>
      <c r="Q156" s="123"/>
      <c r="R156" s="123"/>
      <c r="S156" s="119"/>
      <c r="T156" s="132"/>
    </row>
    <row r="157" spans="2:20">
      <c r="B157" s="320" t="s">
        <v>8</v>
      </c>
      <c r="C157" s="312">
        <v>2.61</v>
      </c>
      <c r="D157" s="312">
        <f>100*C157/2.15</f>
        <v>121.39534883720931</v>
      </c>
      <c r="E157" s="322">
        <v>3.03</v>
      </c>
      <c r="F157" s="345">
        <f t="shared" si="145"/>
        <v>140.93023255813955</v>
      </c>
      <c r="G157" s="322">
        <v>3.39</v>
      </c>
      <c r="H157" s="345">
        <f t="shared" si="146"/>
        <v>157.67441860465118</v>
      </c>
      <c r="I157" s="311">
        <v>4.34</v>
      </c>
      <c r="J157" s="370">
        <f t="shared" si="147"/>
        <v>201.86046511627907</v>
      </c>
      <c r="K157" s="311">
        <v>4.95</v>
      </c>
      <c r="L157" s="370">
        <f t="shared" si="147"/>
        <v>230.23255813953489</v>
      </c>
      <c r="M157" s="356">
        <v>5.58</v>
      </c>
      <c r="N157" s="370">
        <f t="shared" si="148"/>
        <v>259.53488372093022</v>
      </c>
      <c r="O157" s="156"/>
      <c r="P157" s="156"/>
      <c r="Q157" s="123"/>
      <c r="R157" s="123"/>
      <c r="S157" s="119"/>
      <c r="T157" s="132"/>
    </row>
    <row r="158" spans="2:20">
      <c r="B158" s="320" t="s">
        <v>9</v>
      </c>
      <c r="C158" s="312">
        <v>2.73</v>
      </c>
      <c r="D158" s="312">
        <f>100*C158/2.15</f>
        <v>126.97674418604652</v>
      </c>
      <c r="E158" s="322">
        <v>3.13</v>
      </c>
      <c r="F158" s="345">
        <f t="shared" si="145"/>
        <v>145.58139534883722</v>
      </c>
      <c r="G158" s="322">
        <v>3.67</v>
      </c>
      <c r="H158" s="345">
        <f t="shared" si="146"/>
        <v>170.69767441860466</v>
      </c>
      <c r="I158" s="311">
        <v>4.74</v>
      </c>
      <c r="J158" s="370">
        <f t="shared" si="147"/>
        <v>220.46511627906978</v>
      </c>
      <c r="K158" s="311">
        <v>5.0599999999999996</v>
      </c>
      <c r="L158" s="370">
        <f t="shared" si="147"/>
        <v>235.3488372093023</v>
      </c>
      <c r="M158" s="356">
        <v>5.47</v>
      </c>
      <c r="N158" s="370">
        <f t="shared" si="148"/>
        <v>254.41860465116281</v>
      </c>
      <c r="O158" s="156"/>
      <c r="P158" s="156"/>
      <c r="Q158" s="123"/>
      <c r="R158" s="123"/>
      <c r="S158" s="119"/>
      <c r="T158" s="132"/>
    </row>
    <row r="159" spans="2:20">
      <c r="B159" s="320" t="s">
        <v>10</v>
      </c>
      <c r="C159" s="312">
        <v>2.83</v>
      </c>
      <c r="D159" s="312">
        <f>100*C159/2.15</f>
        <v>131.62790697674419</v>
      </c>
      <c r="E159" s="322">
        <v>3.06</v>
      </c>
      <c r="F159" s="345">
        <f t="shared" si="145"/>
        <v>142.32558139534885</v>
      </c>
      <c r="G159" s="312">
        <v>3.4</v>
      </c>
      <c r="H159" s="345">
        <f t="shared" si="146"/>
        <v>158.13953488372093</v>
      </c>
      <c r="I159" s="311">
        <v>4.72</v>
      </c>
      <c r="J159" s="370">
        <f t="shared" si="147"/>
        <v>219.53488372093025</v>
      </c>
      <c r="K159" s="311">
        <v>5.3</v>
      </c>
      <c r="L159" s="370">
        <f t="shared" si="147"/>
        <v>246.51162790697674</v>
      </c>
      <c r="M159" s="356">
        <v>5.48</v>
      </c>
      <c r="N159" s="370">
        <f t="shared" si="148"/>
        <v>254.88372093023256</v>
      </c>
      <c r="O159" s="156"/>
      <c r="P159" s="156"/>
      <c r="Q159" s="123"/>
      <c r="R159" s="123"/>
      <c r="S159" s="119"/>
      <c r="T159" s="132"/>
    </row>
    <row r="160" spans="2:20">
      <c r="B160" s="320" t="s">
        <v>11</v>
      </c>
      <c r="C160" s="312">
        <v>2.86</v>
      </c>
      <c r="D160" s="312">
        <f>100*C160/2.15</f>
        <v>133.02325581395348</v>
      </c>
      <c r="E160" s="322">
        <v>2.88</v>
      </c>
      <c r="F160" s="345">
        <f t="shared" si="145"/>
        <v>133.95348837209303</v>
      </c>
      <c r="G160" s="312">
        <v>3.45</v>
      </c>
      <c r="H160" s="345">
        <f t="shared" si="146"/>
        <v>160.46511627906978</v>
      </c>
      <c r="I160" s="311">
        <v>4.62</v>
      </c>
      <c r="J160" s="370">
        <f t="shared" si="147"/>
        <v>214.88372093023256</v>
      </c>
      <c r="K160" s="311">
        <v>5.21</v>
      </c>
      <c r="L160" s="370">
        <f t="shared" si="147"/>
        <v>242.32558139534885</v>
      </c>
      <c r="M160" s="356">
        <v>5.5571000000000002</v>
      </c>
      <c r="N160" s="370">
        <f t="shared" si="148"/>
        <v>258.46976744186048</v>
      </c>
      <c r="O160" s="156"/>
      <c r="P160" s="156"/>
      <c r="Q160" s="123"/>
      <c r="R160" s="123"/>
      <c r="S160" s="119"/>
      <c r="T160" s="132"/>
    </row>
    <row r="161" spans="2:20" ht="15.75" thickBot="1">
      <c r="B161" s="119"/>
      <c r="C161" s="118"/>
      <c r="D161" s="124"/>
      <c r="E161" s="118"/>
      <c r="F161" s="119"/>
      <c r="G161" s="122"/>
      <c r="H161" s="119"/>
      <c r="I161" s="122"/>
      <c r="J161" s="119"/>
      <c r="K161" s="122"/>
      <c r="L161" s="119"/>
      <c r="M161" s="122"/>
      <c r="N161" s="119"/>
      <c r="O161" s="119"/>
      <c r="P161" s="119"/>
      <c r="Q161" s="123"/>
      <c r="R161" s="123"/>
      <c r="S161" s="119"/>
      <c r="T161" s="132"/>
    </row>
    <row r="162" spans="2:20" ht="18.75" thickBot="1">
      <c r="B162" s="1320" t="s">
        <v>295</v>
      </c>
      <c r="C162" s="1321"/>
      <c r="D162" s="1321"/>
      <c r="E162" s="1321"/>
      <c r="F162" s="1321"/>
      <c r="G162" s="1321"/>
      <c r="H162" s="1321"/>
      <c r="I162" s="1321"/>
      <c r="J162" s="1321"/>
      <c r="K162" s="1321"/>
      <c r="L162" s="1321"/>
      <c r="M162" s="1321"/>
      <c r="N162" s="1322"/>
      <c r="O162" s="123"/>
      <c r="P162" s="123"/>
      <c r="Q162" s="123"/>
      <c r="R162" s="123"/>
      <c r="S162" s="119"/>
      <c r="T162" s="132"/>
    </row>
    <row r="163" spans="2:20" ht="15.75" thickBot="1">
      <c r="B163" s="1329">
        <v>2006</v>
      </c>
      <c r="C163" s="1330"/>
      <c r="D163" s="334" t="s">
        <v>15</v>
      </c>
      <c r="E163" s="337">
        <v>2007</v>
      </c>
      <c r="F163" s="334" t="s">
        <v>15</v>
      </c>
      <c r="G163" s="337">
        <v>2008</v>
      </c>
      <c r="H163" s="334" t="s">
        <v>15</v>
      </c>
      <c r="I163" s="337">
        <v>2009</v>
      </c>
      <c r="J163" s="334" t="s">
        <v>15</v>
      </c>
      <c r="K163" s="337">
        <v>2010</v>
      </c>
      <c r="L163" s="334" t="s">
        <v>15</v>
      </c>
      <c r="M163" s="337">
        <v>2011</v>
      </c>
      <c r="N163" s="353" t="s">
        <v>15</v>
      </c>
      <c r="O163" s="123"/>
      <c r="P163" s="123"/>
      <c r="Q163" s="123"/>
      <c r="R163" s="123"/>
      <c r="S163" s="119"/>
      <c r="T163" s="132"/>
    </row>
    <row r="164" spans="2:20">
      <c r="B164" s="306" t="s">
        <v>0</v>
      </c>
      <c r="C164" s="308">
        <v>5.42</v>
      </c>
      <c r="D164" s="308">
        <f>100*C164/2.15</f>
        <v>252.09302325581396</v>
      </c>
      <c r="E164" s="327">
        <v>6.07</v>
      </c>
      <c r="F164" s="342">
        <f t="shared" ref="F164:F175" si="150">100*E164/2.15</f>
        <v>282.32558139534888</v>
      </c>
      <c r="G164" s="341">
        <v>6.4718749999999998</v>
      </c>
      <c r="H164" s="342">
        <f>100*G164/$H$132</f>
        <v>301.01744186046511</v>
      </c>
      <c r="I164" s="307">
        <v>7.5</v>
      </c>
      <c r="J164" s="342">
        <f t="shared" ref="J164:J175" si="151">100*I164/2.15</f>
        <v>348.83720930232562</v>
      </c>
      <c r="K164" s="307">
        <v>8.1286000000000005</v>
      </c>
      <c r="L164" s="342">
        <f t="shared" ref="L164:L175" si="152">100*K164/2.15</f>
        <v>378.07441860465116</v>
      </c>
      <c r="M164" s="307">
        <v>15.042857142857144</v>
      </c>
      <c r="N164" s="343">
        <f t="shared" ref="N164:N175" si="153">100*M164/2.15</f>
        <v>699.66777408637881</v>
      </c>
      <c r="O164" s="132"/>
      <c r="P164" s="132"/>
      <c r="Q164" s="123"/>
      <c r="R164" s="123"/>
      <c r="S164" s="119"/>
      <c r="T164" s="132"/>
    </row>
    <row r="165" spans="2:20">
      <c r="B165" s="310" t="s">
        <v>1</v>
      </c>
      <c r="C165" s="312">
        <v>5.65</v>
      </c>
      <c r="D165" s="312">
        <f t="shared" ref="D165:D171" si="154">100*C165/2.15</f>
        <v>262.7906976744186</v>
      </c>
      <c r="E165" s="312">
        <v>6.1</v>
      </c>
      <c r="F165" s="345">
        <f t="shared" si="150"/>
        <v>283.72093023255815</v>
      </c>
      <c r="G165" s="344">
        <v>6.45</v>
      </c>
      <c r="H165" s="345">
        <f t="shared" ref="H165:H175" si="155">100*G165/2.15</f>
        <v>300</v>
      </c>
      <c r="I165" s="311">
        <v>7.45</v>
      </c>
      <c r="J165" s="345">
        <f t="shared" si="151"/>
        <v>346.51162790697674</v>
      </c>
      <c r="K165" s="311">
        <v>16</v>
      </c>
      <c r="L165" s="345">
        <f t="shared" si="152"/>
        <v>744.18604651162798</v>
      </c>
      <c r="M165" s="311">
        <v>15.042857142857144</v>
      </c>
      <c r="N165" s="346">
        <f t="shared" si="153"/>
        <v>699.66777408637881</v>
      </c>
      <c r="O165" s="132"/>
      <c r="P165" s="132"/>
      <c r="Q165" s="123"/>
      <c r="R165" s="123"/>
      <c r="S165" s="119"/>
      <c r="T165" s="132"/>
    </row>
    <row r="166" spans="2:20">
      <c r="B166" s="310" t="s">
        <v>2</v>
      </c>
      <c r="C166" s="312">
        <v>5.99</v>
      </c>
      <c r="D166" s="312">
        <f t="shared" si="154"/>
        <v>278.60465116279073</v>
      </c>
      <c r="E166" s="312">
        <v>6.15</v>
      </c>
      <c r="F166" s="345">
        <f t="shared" si="150"/>
        <v>286.04651162790697</v>
      </c>
      <c r="G166" s="312">
        <v>6.6031250000000004</v>
      </c>
      <c r="H166" s="345">
        <f t="shared" si="155"/>
        <v>307.12209302325584</v>
      </c>
      <c r="I166" s="311">
        <v>7.5</v>
      </c>
      <c r="J166" s="345">
        <f t="shared" si="151"/>
        <v>348.83720930232562</v>
      </c>
      <c r="K166" s="311">
        <v>13.5</v>
      </c>
      <c r="L166" s="345">
        <f t="shared" si="152"/>
        <v>627.90697674418607</v>
      </c>
      <c r="M166" s="311">
        <v>15.042857142857144</v>
      </c>
      <c r="N166" s="346">
        <f t="shared" si="153"/>
        <v>699.66777408637881</v>
      </c>
      <c r="O166" s="132"/>
      <c r="P166" s="132"/>
      <c r="Q166" s="123"/>
      <c r="R166" s="123"/>
      <c r="S166" s="119"/>
      <c r="T166" s="132"/>
    </row>
    <row r="167" spans="2:20">
      <c r="B167" s="310" t="s">
        <v>3</v>
      </c>
      <c r="C167" s="312">
        <v>6.04</v>
      </c>
      <c r="D167" s="312">
        <f t="shared" si="154"/>
        <v>280.93023255813955</v>
      </c>
      <c r="E167" s="312">
        <v>6.13</v>
      </c>
      <c r="F167" s="345">
        <f t="shared" si="150"/>
        <v>285.11627906976747</v>
      </c>
      <c r="G167" s="312">
        <v>6.7125000000000004</v>
      </c>
      <c r="H167" s="345">
        <f t="shared" si="155"/>
        <v>312.2093023255814</v>
      </c>
      <c r="I167" s="311">
        <v>7.55</v>
      </c>
      <c r="J167" s="345">
        <f t="shared" si="151"/>
        <v>351.16279069767444</v>
      </c>
      <c r="K167" s="311">
        <v>13.5</v>
      </c>
      <c r="L167" s="345">
        <f t="shared" si="152"/>
        <v>627.90697674418607</v>
      </c>
      <c r="M167" s="311">
        <v>15.13</v>
      </c>
      <c r="N167" s="346">
        <f t="shared" si="153"/>
        <v>703.7209302325582</v>
      </c>
      <c r="O167" s="132"/>
      <c r="P167" s="153">
        <f>+G170/G165-1</f>
        <v>0.1472868217054264</v>
      </c>
      <c r="Q167" s="123"/>
      <c r="R167" s="123"/>
      <c r="S167" s="119"/>
      <c r="T167" s="132"/>
    </row>
    <row r="168" spans="2:20">
      <c r="B168" s="310" t="s">
        <v>4</v>
      </c>
      <c r="C168" s="312">
        <v>6</v>
      </c>
      <c r="D168" s="312">
        <f t="shared" si="154"/>
        <v>279.06976744186045</v>
      </c>
      <c r="E168" s="312">
        <v>6.19</v>
      </c>
      <c r="F168" s="345">
        <f t="shared" si="150"/>
        <v>287.90697674418607</v>
      </c>
      <c r="G168" s="312">
        <v>6.9968750000000002</v>
      </c>
      <c r="H168" s="345">
        <f t="shared" si="155"/>
        <v>325.43604651162792</v>
      </c>
      <c r="I168" s="311">
        <v>7.6</v>
      </c>
      <c r="J168" s="312">
        <f t="shared" si="151"/>
        <v>353.48837209302326</v>
      </c>
      <c r="K168" s="311">
        <v>13.5</v>
      </c>
      <c r="L168" s="370">
        <f t="shared" si="152"/>
        <v>627.90697674418607</v>
      </c>
      <c r="M168" s="311">
        <v>15.13</v>
      </c>
      <c r="N168" s="371">
        <f t="shared" si="153"/>
        <v>703.7209302325582</v>
      </c>
      <c r="O168" s="156"/>
      <c r="P168" s="156"/>
      <c r="Q168" s="123"/>
      <c r="R168" s="123"/>
      <c r="S168" s="119"/>
      <c r="T168" s="132"/>
    </row>
    <row r="169" spans="2:20">
      <c r="B169" s="310" t="s">
        <v>5</v>
      </c>
      <c r="C169" s="312">
        <v>5.97</v>
      </c>
      <c r="D169" s="312">
        <f t="shared" si="154"/>
        <v>277.67441860465118</v>
      </c>
      <c r="E169" s="312">
        <v>6.1905999999999999</v>
      </c>
      <c r="F169" s="345">
        <f t="shared" si="150"/>
        <v>287.9348837209302</v>
      </c>
      <c r="G169" s="312">
        <v>7.3</v>
      </c>
      <c r="H169" s="345">
        <f t="shared" si="155"/>
        <v>339.53488372093022</v>
      </c>
      <c r="I169" s="311">
        <v>7.5</v>
      </c>
      <c r="J169" s="312">
        <f t="shared" si="151"/>
        <v>348.83720930232562</v>
      </c>
      <c r="K169" s="311">
        <v>13.5</v>
      </c>
      <c r="L169" s="370">
        <f t="shared" si="152"/>
        <v>627.90697674418607</v>
      </c>
      <c r="M169" s="311">
        <v>15.13</v>
      </c>
      <c r="N169" s="371">
        <f t="shared" si="153"/>
        <v>703.7209302325582</v>
      </c>
      <c r="O169" s="156"/>
      <c r="P169" s="156"/>
      <c r="Q169" s="123"/>
      <c r="R169" s="123"/>
      <c r="S169" s="119"/>
      <c r="T169" s="132"/>
    </row>
    <row r="170" spans="2:20">
      <c r="B170" s="310" t="s">
        <v>6</v>
      </c>
      <c r="C170" s="312">
        <v>6.06</v>
      </c>
      <c r="D170" s="312">
        <f t="shared" si="154"/>
        <v>281.8604651162791</v>
      </c>
      <c r="E170" s="312">
        <v>6.5968999999999998</v>
      </c>
      <c r="F170" s="345">
        <f t="shared" si="150"/>
        <v>306.83255813953485</v>
      </c>
      <c r="G170" s="312">
        <v>7.4</v>
      </c>
      <c r="H170" s="345">
        <f t="shared" si="155"/>
        <v>344.18604651162792</v>
      </c>
      <c r="I170" s="311">
        <v>7.58</v>
      </c>
      <c r="J170" s="312">
        <f t="shared" si="151"/>
        <v>352.55813953488371</v>
      </c>
      <c r="K170" s="311">
        <v>14.83</v>
      </c>
      <c r="L170" s="370">
        <f t="shared" si="152"/>
        <v>689.76744186046517</v>
      </c>
      <c r="M170" s="311">
        <v>15.93</v>
      </c>
      <c r="N170" s="371">
        <f t="shared" si="153"/>
        <v>740.93023255813955</v>
      </c>
      <c r="O170" s="156"/>
      <c r="P170" s="156"/>
      <c r="Q170" s="123"/>
      <c r="R170" s="123"/>
      <c r="S170" s="119"/>
      <c r="T170" s="132"/>
    </row>
    <row r="171" spans="2:20">
      <c r="B171" s="310" t="s">
        <v>7</v>
      </c>
      <c r="C171" s="312">
        <v>5.96</v>
      </c>
      <c r="D171" s="312">
        <f t="shared" si="154"/>
        <v>277.2093023255814</v>
      </c>
      <c r="E171" s="312">
        <v>6.55</v>
      </c>
      <c r="F171" s="345">
        <f t="shared" si="150"/>
        <v>304.6511627906977</v>
      </c>
      <c r="G171" s="322">
        <v>7.45</v>
      </c>
      <c r="H171" s="345">
        <f t="shared" si="155"/>
        <v>346.51162790697674</v>
      </c>
      <c r="I171" s="311">
        <v>7.65</v>
      </c>
      <c r="J171" s="312">
        <f t="shared" si="151"/>
        <v>355.81395348837214</v>
      </c>
      <c r="K171" s="311">
        <v>14.83</v>
      </c>
      <c r="L171" s="370">
        <f t="shared" si="152"/>
        <v>689.76744186046517</v>
      </c>
      <c r="M171" s="311">
        <v>15.49</v>
      </c>
      <c r="N171" s="371">
        <f t="shared" si="153"/>
        <v>720.46511627906978</v>
      </c>
      <c r="O171" s="156"/>
      <c r="P171" s="156"/>
      <c r="Q171" s="123"/>
      <c r="R171" s="123"/>
      <c r="S171" s="119"/>
      <c r="T171" s="132"/>
    </row>
    <row r="172" spans="2:20">
      <c r="B172" s="310" t="s">
        <v>8</v>
      </c>
      <c r="C172" s="312">
        <v>5.96</v>
      </c>
      <c r="D172" s="312">
        <f>100*C172/2.15</f>
        <v>277.2093023255814</v>
      </c>
      <c r="E172" s="312">
        <v>6.5093750000000004</v>
      </c>
      <c r="F172" s="345">
        <f t="shared" si="150"/>
        <v>302.76162790697674</v>
      </c>
      <c r="G172" s="312">
        <v>7.5</v>
      </c>
      <c r="H172" s="345">
        <f t="shared" si="155"/>
        <v>348.83720930232562</v>
      </c>
      <c r="I172" s="311">
        <v>7.7</v>
      </c>
      <c r="J172" s="312">
        <f t="shared" si="151"/>
        <v>358.13953488372096</v>
      </c>
      <c r="K172" s="311">
        <v>14.83</v>
      </c>
      <c r="L172" s="370">
        <f t="shared" si="152"/>
        <v>689.76744186046517</v>
      </c>
      <c r="M172" s="311">
        <v>15.49</v>
      </c>
      <c r="N172" s="371">
        <f t="shared" si="153"/>
        <v>720.46511627906978</v>
      </c>
      <c r="O172" s="156"/>
      <c r="P172" s="156"/>
      <c r="Q172" s="123"/>
      <c r="R172" s="123"/>
      <c r="S172" s="119"/>
      <c r="T172" s="132"/>
    </row>
    <row r="173" spans="2:20">
      <c r="B173" s="310" t="s">
        <v>9</v>
      </c>
      <c r="C173" s="312">
        <v>6.08</v>
      </c>
      <c r="D173" s="312">
        <f>100*C173/2.15</f>
        <v>282.7906976744186</v>
      </c>
      <c r="E173" s="312">
        <v>6.5</v>
      </c>
      <c r="F173" s="345">
        <f t="shared" si="150"/>
        <v>302.32558139534888</v>
      </c>
      <c r="G173" s="322">
        <v>7.55</v>
      </c>
      <c r="H173" s="345">
        <f t="shared" si="155"/>
        <v>351.16279069767444</v>
      </c>
      <c r="I173" s="311">
        <v>7.8</v>
      </c>
      <c r="J173" s="312">
        <f t="shared" si="151"/>
        <v>362.7906976744186</v>
      </c>
      <c r="K173" s="311">
        <v>14.77</v>
      </c>
      <c r="L173" s="370">
        <f t="shared" si="152"/>
        <v>686.97674418604652</v>
      </c>
      <c r="M173" s="311">
        <v>15.49</v>
      </c>
      <c r="N173" s="371">
        <f t="shared" si="153"/>
        <v>720.46511627906978</v>
      </c>
      <c r="O173" s="156"/>
      <c r="P173" s="156"/>
      <c r="Q173" s="123"/>
      <c r="R173" s="123"/>
      <c r="S173" s="119"/>
      <c r="T173" s="132"/>
    </row>
    <row r="174" spans="2:20">
      <c r="B174" s="310" t="s">
        <v>10</v>
      </c>
      <c r="C174" s="312">
        <v>6.09</v>
      </c>
      <c r="D174" s="312">
        <f>100*C174/2.15</f>
        <v>283.25581395348837</v>
      </c>
      <c r="E174" s="312">
        <v>6.6031250000000004</v>
      </c>
      <c r="F174" s="345">
        <f t="shared" si="150"/>
        <v>307.12209302325584</v>
      </c>
      <c r="G174" s="312">
        <v>7.6</v>
      </c>
      <c r="H174" s="345">
        <f t="shared" si="155"/>
        <v>353.48837209302326</v>
      </c>
      <c r="I174" s="311">
        <v>7.8687500000000004</v>
      </c>
      <c r="J174" s="312">
        <f t="shared" si="151"/>
        <v>365.98837209302326</v>
      </c>
      <c r="K174" s="311">
        <v>14.77</v>
      </c>
      <c r="L174" s="370">
        <f t="shared" si="152"/>
        <v>686.97674418604652</v>
      </c>
      <c r="M174" s="311">
        <v>15.49</v>
      </c>
      <c r="N174" s="371">
        <f t="shared" si="153"/>
        <v>720.46511627906978</v>
      </c>
      <c r="O174" s="156"/>
      <c r="P174" s="156"/>
      <c r="Q174" s="123"/>
      <c r="R174" s="123"/>
      <c r="S174" s="119"/>
      <c r="T174" s="132"/>
    </row>
    <row r="175" spans="2:20" ht="15.75" thickBot="1">
      <c r="B175" s="314" t="s">
        <v>11</v>
      </c>
      <c r="C175" s="316">
        <v>6.06</v>
      </c>
      <c r="D175" s="316">
        <f>100*C175/2.15</f>
        <v>281.8604651162791</v>
      </c>
      <c r="E175" s="331">
        <v>6.55</v>
      </c>
      <c r="F175" s="348">
        <f t="shared" si="150"/>
        <v>304.6511627906977</v>
      </c>
      <c r="G175" s="316">
        <v>7.55</v>
      </c>
      <c r="H175" s="348">
        <f t="shared" si="155"/>
        <v>351.16279069767444</v>
      </c>
      <c r="I175" s="315">
        <v>7.9718749999999998</v>
      </c>
      <c r="J175" s="316">
        <f t="shared" si="151"/>
        <v>370.78488372093022</v>
      </c>
      <c r="K175" s="315">
        <v>15.042857142857144</v>
      </c>
      <c r="L175" s="372">
        <f t="shared" si="152"/>
        <v>699.66777408637881</v>
      </c>
      <c r="M175" s="315">
        <v>15.49</v>
      </c>
      <c r="N175" s="373">
        <f t="shared" si="153"/>
        <v>720.46511627906978</v>
      </c>
      <c r="O175" s="156"/>
      <c r="P175" s="156"/>
      <c r="Q175" s="123"/>
      <c r="R175" s="123"/>
      <c r="S175" s="119"/>
      <c r="T175" s="132"/>
    </row>
    <row r="176" spans="2:20">
      <c r="B176" s="119"/>
      <c r="C176" s="123"/>
      <c r="D176" s="123"/>
      <c r="E176" s="124"/>
      <c r="F176" s="132"/>
      <c r="G176" s="123"/>
      <c r="H176" s="132"/>
      <c r="I176" s="118"/>
      <c r="J176" s="123"/>
      <c r="K176" s="118"/>
      <c r="L176" s="156"/>
      <c r="M176" s="118"/>
      <c r="N176" s="156"/>
      <c r="O176" s="156"/>
      <c r="P176" s="156"/>
      <c r="Q176" s="123"/>
      <c r="R176" s="123"/>
      <c r="S176" s="119"/>
      <c r="T176" s="132"/>
    </row>
    <row r="177" spans="2:20" ht="15.75">
      <c r="B177" s="1349" t="s">
        <v>122</v>
      </c>
      <c r="C177" s="1350"/>
      <c r="D177" s="1350"/>
      <c r="E177" s="1350"/>
      <c r="F177" s="1350"/>
      <c r="G177" s="1350"/>
      <c r="H177" s="1350"/>
      <c r="I177" s="1350"/>
      <c r="J177" s="1350"/>
      <c r="K177" s="1350"/>
      <c r="L177" s="1350"/>
      <c r="M177" s="1350"/>
      <c r="N177" s="1350"/>
      <c r="O177" s="1350"/>
      <c r="P177" s="1350"/>
      <c r="Q177" s="1350"/>
      <c r="R177" s="1350"/>
      <c r="S177" s="1350"/>
      <c r="T177" s="1350"/>
    </row>
    <row r="178" spans="2:20" ht="15.75" thickBot="1">
      <c r="B178" s="1341">
        <v>2012</v>
      </c>
      <c r="C178" s="1342"/>
      <c r="D178" s="1128" t="s">
        <v>15</v>
      </c>
      <c r="E178" s="1129">
        <v>2013</v>
      </c>
      <c r="F178" s="1128" t="s">
        <v>15</v>
      </c>
      <c r="G178" s="1129">
        <v>2014</v>
      </c>
      <c r="H178" s="1128" t="s">
        <v>15</v>
      </c>
      <c r="I178" s="1129">
        <v>2015</v>
      </c>
      <c r="J178" s="1128" t="s">
        <v>15</v>
      </c>
      <c r="K178" s="1129">
        <v>2016</v>
      </c>
      <c r="L178" s="1128" t="s">
        <v>15</v>
      </c>
      <c r="M178" s="1129">
        <v>2017</v>
      </c>
      <c r="N178" s="1128" t="s">
        <v>15</v>
      </c>
      <c r="O178" s="1129">
        <v>2018</v>
      </c>
      <c r="P178" s="1128" t="s">
        <v>15</v>
      </c>
      <c r="Q178" s="1129">
        <v>2019</v>
      </c>
      <c r="R178" s="1128" t="s">
        <v>15</v>
      </c>
      <c r="S178" s="1270">
        <v>2020</v>
      </c>
      <c r="T178" s="1128" t="s">
        <v>15</v>
      </c>
    </row>
    <row r="179" spans="2:20">
      <c r="B179" s="306" t="s">
        <v>0</v>
      </c>
      <c r="C179" s="308">
        <v>15.7</v>
      </c>
      <c r="D179" s="309">
        <f t="shared" ref="D179:D186" si="156">100*C179/2.15</f>
        <v>730.23255813953494</v>
      </c>
      <c r="E179" s="350">
        <f>[9]PLANCUSce!$H$38</f>
        <v>16.3</v>
      </c>
      <c r="F179" s="655">
        <f t="shared" ref="F179:F184" si="157">100*E179/2.15</f>
        <v>758.13953488372101</v>
      </c>
      <c r="G179" s="350">
        <f>[10]PLANCUSce!$H$38</f>
        <v>16.585714285714285</v>
      </c>
      <c r="H179" s="655">
        <f t="shared" ref="H179:H184" si="158">100*G179/2.15</f>
        <v>771.42857142857144</v>
      </c>
      <c r="I179" s="350">
        <f>[11]PLANCUSce!$H$38</f>
        <v>16.942857142857143</v>
      </c>
      <c r="J179" s="655">
        <f t="shared" ref="J179:J184" si="159">100*I179/2.15</f>
        <v>788.03986710963454</v>
      </c>
      <c r="K179" s="1127">
        <f>[12]PLANCUSce!$H$38</f>
        <v>17.185714285714283</v>
      </c>
      <c r="L179" s="655">
        <f t="shared" ref="L179" si="160">100*K179/2.15</f>
        <v>799.3355481727574</v>
      </c>
      <c r="M179" s="350">
        <f>[13]PLANCUSce!$H$38</f>
        <v>17.442857142857143</v>
      </c>
      <c r="N179" s="655">
        <f t="shared" ref="N179" si="161">100*M179/2.15</f>
        <v>811.29568106312297</v>
      </c>
      <c r="O179" s="350">
        <f>[14]PLANCUSce!$H$38</f>
        <v>18.271428571428572</v>
      </c>
      <c r="P179" s="655">
        <f t="shared" ref="P179" si="162">100*O179/2.15</f>
        <v>849.83388704318952</v>
      </c>
      <c r="Q179" s="350">
        <f>[15]PLANCUSce!$I$38</f>
        <v>18.642857142857142</v>
      </c>
      <c r="R179" s="655">
        <f t="shared" ref="R179" si="163">100*Q179/2.15</f>
        <v>867.10963455149499</v>
      </c>
      <c r="S179" s="1278">
        <f>[16]PLANCUSce!$I$38</f>
        <v>19.071428571428573</v>
      </c>
      <c r="T179" s="309">
        <f t="shared" ref="T179" si="164">100*S179/2.15</f>
        <v>887.04318936877087</v>
      </c>
    </row>
    <row r="180" spans="2:20">
      <c r="B180" s="310" t="s">
        <v>1</v>
      </c>
      <c r="C180" s="312">
        <v>15.7</v>
      </c>
      <c r="D180" s="313">
        <f t="shared" si="156"/>
        <v>730.23255813953494</v>
      </c>
      <c r="E180" s="656">
        <f>[17]PLANCUSce!$H$38</f>
        <v>16.3</v>
      </c>
      <c r="F180" s="313">
        <f t="shared" si="157"/>
        <v>758.13953488372101</v>
      </c>
      <c r="G180" s="656">
        <f>[18]PLANCUSce!$H$38</f>
        <v>16.585714285714285</v>
      </c>
      <c r="H180" s="313">
        <f t="shared" si="158"/>
        <v>771.42857142857144</v>
      </c>
      <c r="I180" s="656">
        <f>[19]PLANCUSce!$H$38</f>
        <v>17.057142857142857</v>
      </c>
      <c r="J180" s="313">
        <f t="shared" si="159"/>
        <v>793.35548172757478</v>
      </c>
      <c r="K180" s="656">
        <f>[20]PLANCUSce!$H$38</f>
        <v>17.185714285714283</v>
      </c>
      <c r="L180" s="313">
        <f t="shared" ref="L180" si="165">100*K180/2.15</f>
        <v>799.3355481727574</v>
      </c>
      <c r="M180" s="656">
        <f>[21]PLANCUSce!$H$38</f>
        <v>17.442857142857143</v>
      </c>
      <c r="N180" s="313">
        <f t="shared" ref="N180" si="166">100*M180/2.15</f>
        <v>811.29568106312297</v>
      </c>
      <c r="O180" s="656">
        <f>[22]PLANCUSce!$H$38</f>
        <v>18.271428571428572</v>
      </c>
      <c r="P180" s="313">
        <f t="shared" ref="P180" si="167">100*O180/2.15</f>
        <v>849.83388704318952</v>
      </c>
      <c r="Q180" s="656">
        <f>[23]PLANCUSce!$I$38</f>
        <v>19.071428571428573</v>
      </c>
      <c r="R180" s="313">
        <f t="shared" ref="R180" si="168">100*Q180/2.15</f>
        <v>887.04318936877087</v>
      </c>
      <c r="S180" s="1277">
        <f>[24]PLANCUSce!$I$38</f>
        <v>19.38571428571429</v>
      </c>
      <c r="T180" s="699">
        <f t="shared" ref="T180" si="169">100*S180/2.15</f>
        <v>901.6611295681065</v>
      </c>
    </row>
    <row r="181" spans="2:20">
      <c r="B181" s="310" t="s">
        <v>2</v>
      </c>
      <c r="C181" s="312">
        <v>15.77</v>
      </c>
      <c r="D181" s="313">
        <f t="shared" si="156"/>
        <v>733.48837209302326</v>
      </c>
      <c r="E181" s="656">
        <f>[25]PLANCUSce!$H$38</f>
        <v>16.3</v>
      </c>
      <c r="F181" s="313">
        <f t="shared" si="157"/>
        <v>758.13953488372101</v>
      </c>
      <c r="G181" s="656">
        <f>[26]PLANCUSce!$H$38</f>
        <v>16.585714285714285</v>
      </c>
      <c r="H181" s="313">
        <f t="shared" si="158"/>
        <v>771.42857142857144</v>
      </c>
      <c r="I181" s="656">
        <f>[27]PLANCUSce!$H$38</f>
        <v>17.057142857142857</v>
      </c>
      <c r="J181" s="313">
        <f t="shared" si="159"/>
        <v>793.35548172757478</v>
      </c>
      <c r="K181" s="656">
        <f>[28]PLANCUSce!$H$38</f>
        <v>17.185714285714283</v>
      </c>
      <c r="L181" s="313">
        <f t="shared" ref="L181" si="170">100*K181/2.15</f>
        <v>799.3355481727574</v>
      </c>
      <c r="M181" s="656">
        <f>[29]PLANCUSce!$H$38</f>
        <v>17.642857142857142</v>
      </c>
      <c r="N181" s="313">
        <f t="shared" ref="N181" si="171">100*M181/2.15</f>
        <v>820.59800664451825</v>
      </c>
      <c r="O181" s="656">
        <f>[30]PLANCUSce!$H$38</f>
        <v>18.271428571428572</v>
      </c>
      <c r="P181" s="313">
        <f t="shared" ref="P181" si="172">100*O181/2.15</f>
        <v>849.83388704318952</v>
      </c>
      <c r="Q181" s="656">
        <f>[31]PLANCUSce!$I$38</f>
        <v>19.071428571428573</v>
      </c>
      <c r="R181" s="313">
        <f t="shared" ref="R181" si="173">100*Q181/2.15</f>
        <v>887.04318936877087</v>
      </c>
      <c r="S181" s="656">
        <f>[32]PLANCUSce!$I$38</f>
        <v>19.38571428571429</v>
      </c>
      <c r="T181" s="313">
        <f t="shared" ref="T181" si="174">100*S181/2.15</f>
        <v>901.6611295681065</v>
      </c>
    </row>
    <row r="182" spans="2:20">
      <c r="B182" s="310" t="s">
        <v>3</v>
      </c>
      <c r="C182" s="312">
        <v>15.77</v>
      </c>
      <c r="D182" s="313">
        <f t="shared" si="156"/>
        <v>733.48837209302326</v>
      </c>
      <c r="E182" s="656">
        <f>[33]PLANCUSce!$H$38</f>
        <v>16.3</v>
      </c>
      <c r="F182" s="313">
        <f t="shared" si="157"/>
        <v>758.13953488372101</v>
      </c>
      <c r="G182" s="656">
        <f>[34]PLANCUSce!$H$38</f>
        <v>16.585714285714285</v>
      </c>
      <c r="H182" s="313">
        <f t="shared" si="158"/>
        <v>771.42857142857144</v>
      </c>
      <c r="I182" s="656">
        <f>[35]PLANCUSce!$H$38</f>
        <v>17.057142857142857</v>
      </c>
      <c r="J182" s="313">
        <f t="shared" si="159"/>
        <v>793.35548172757478</v>
      </c>
      <c r="K182" s="656">
        <f>[36]PLANCUSce!$H$38</f>
        <v>17.442857142857143</v>
      </c>
      <c r="L182" s="313">
        <f t="shared" ref="L182" si="175">100*K182/2.15</f>
        <v>811.29568106312297</v>
      </c>
      <c r="M182" s="656">
        <f>[37]PLANCUSce!$H$38</f>
        <v>17.642857142857142</v>
      </c>
      <c r="N182" s="313">
        <f t="shared" ref="N182" si="176">100*M182/2.15</f>
        <v>820.59800664451825</v>
      </c>
      <c r="O182" s="656">
        <f>[38]PLANCUSce!$H$38</f>
        <v>18.271428571428572</v>
      </c>
      <c r="P182" s="313">
        <f t="shared" ref="P182" si="177">100*O182/2.15</f>
        <v>849.83388704318952</v>
      </c>
      <c r="Q182" s="656">
        <f>[39]PLANCUSce!$I$38</f>
        <v>19.071428571428573</v>
      </c>
      <c r="R182" s="313">
        <f t="shared" ref="R182" si="178">100*Q182/2.15</f>
        <v>887.04318936877087</v>
      </c>
      <c r="S182" s="656">
        <f>[40]PLANCUSce!$I$38</f>
        <v>19.38571428571429</v>
      </c>
      <c r="T182" s="313">
        <f t="shared" ref="T182" si="179">100*S182/2.15</f>
        <v>901.6611295681065</v>
      </c>
    </row>
    <row r="183" spans="2:20">
      <c r="B183" s="310" t="s">
        <v>4</v>
      </c>
      <c r="C183" s="312">
        <v>15.957142857142859</v>
      </c>
      <c r="D183" s="313">
        <f t="shared" si="156"/>
        <v>742.19269102990052</v>
      </c>
      <c r="E183" s="656">
        <f>[41]PLANCUSce!$H$38</f>
        <v>16.328571428571429</v>
      </c>
      <c r="F183" s="313">
        <f t="shared" si="157"/>
        <v>759.46843853820599</v>
      </c>
      <c r="G183" s="656">
        <f>[42]PLANCUSce!$H$38</f>
        <v>16.585714285714285</v>
      </c>
      <c r="H183" s="313">
        <f t="shared" si="158"/>
        <v>771.42857142857144</v>
      </c>
      <c r="I183" s="656">
        <f>[43]PLANCUSce!$H$38</f>
        <v>17.057142857142857</v>
      </c>
      <c r="J183" s="313">
        <f t="shared" si="159"/>
        <v>793.35548172757478</v>
      </c>
      <c r="K183" s="656">
        <f>[44]PLANCUSce!$H$38</f>
        <v>17.442857142857143</v>
      </c>
      <c r="L183" s="313">
        <f t="shared" ref="L183" si="180">100*K183/2.15</f>
        <v>811.29568106312297</v>
      </c>
      <c r="M183" s="656">
        <f>[45]PLANCUSce!$H$38</f>
        <v>17.642857142857142</v>
      </c>
      <c r="N183" s="313">
        <f t="shared" ref="N183" si="181">100*M183/2.15</f>
        <v>820.59800664451825</v>
      </c>
      <c r="O183" s="656">
        <f>[46]PLANCUSce!$H$38</f>
        <v>18.271428571428572</v>
      </c>
      <c r="P183" s="313">
        <f t="shared" ref="P183" si="182">100*O183/2.15</f>
        <v>849.83388704318952</v>
      </c>
      <c r="Q183" s="656">
        <f>[47]PLANCUSce!$I$38</f>
        <v>19.071428571428573</v>
      </c>
      <c r="R183" s="313">
        <f t="shared" ref="R183" si="183">100*Q183/2.15</f>
        <v>887.04318936877087</v>
      </c>
      <c r="S183" s="656">
        <f>[48]PLANCUSce!$I$38</f>
        <v>19.38571428571429</v>
      </c>
      <c r="T183" s="313">
        <f t="shared" ref="T183" si="184">100*S183/2.15</f>
        <v>901.6611295681065</v>
      </c>
    </row>
    <row r="184" spans="2:20">
      <c r="B184" s="310" t="s">
        <v>5</v>
      </c>
      <c r="C184" s="312">
        <v>15.957142857142859</v>
      </c>
      <c r="D184" s="313">
        <f t="shared" si="156"/>
        <v>742.19269102990052</v>
      </c>
      <c r="E184" s="656">
        <f>[49]PLANCUSce!$H$38</f>
        <v>16.328571428571429</v>
      </c>
      <c r="F184" s="313">
        <f t="shared" si="157"/>
        <v>759.46843853820599</v>
      </c>
      <c r="G184" s="656">
        <f>[50]PLANCUSce!$H$38</f>
        <v>16.585714285714285</v>
      </c>
      <c r="H184" s="313">
        <f t="shared" si="158"/>
        <v>771.42857142857144</v>
      </c>
      <c r="I184" s="656">
        <f>[51]PLANCUSce!$H$38</f>
        <v>17.057142857142857</v>
      </c>
      <c r="J184" s="313">
        <f t="shared" si="159"/>
        <v>793.35548172757478</v>
      </c>
      <c r="K184" s="656">
        <f>[52]PLANCUSce!$H$38</f>
        <v>17.442857142857143</v>
      </c>
      <c r="L184" s="313">
        <f t="shared" ref="L184" si="185">100*K184/2.15</f>
        <v>811.29568106312297</v>
      </c>
      <c r="M184" s="656">
        <f>[53]PLANCUSce!$H$38</f>
        <v>17.642857142857142</v>
      </c>
      <c r="N184" s="313">
        <f t="shared" ref="N184" si="186">100*M184/2.15</f>
        <v>820.59800664451825</v>
      </c>
      <c r="O184" s="656">
        <f>[54]PLANCUSce!$H$38</f>
        <v>18.642857142857142</v>
      </c>
      <c r="P184" s="313">
        <f t="shared" ref="P184" si="187">100*O184/2.15</f>
        <v>867.10963455149499</v>
      </c>
      <c r="Q184" s="656">
        <f>[55]PLANCUSce!$I$38</f>
        <v>19.071428571428573</v>
      </c>
      <c r="R184" s="313">
        <f t="shared" ref="R184" si="188">100*Q184/2.15</f>
        <v>887.04318936877087</v>
      </c>
      <c r="S184" s="656">
        <f>[56]PLANCUSce!$I$38</f>
        <v>19.38571428571429</v>
      </c>
      <c r="T184" s="313">
        <f t="shared" ref="T184" si="189">100*S184/2.15</f>
        <v>901.6611295681065</v>
      </c>
    </row>
    <row r="185" spans="2:20">
      <c r="B185" s="310" t="s">
        <v>6</v>
      </c>
      <c r="C185" s="312">
        <f>[57]PLANCUSce!$H$38</f>
        <v>15.957142857142859</v>
      </c>
      <c r="D185" s="313">
        <f t="shared" si="156"/>
        <v>742.19269102990052</v>
      </c>
      <c r="E185" s="656">
        <f>[58]PLANCUSce!$H$38</f>
        <v>16.442857142857143</v>
      </c>
      <c r="F185" s="313">
        <f t="shared" ref="F185:F190" si="190">100*E185/2.15</f>
        <v>764.78405315614623</v>
      </c>
      <c r="G185" s="656">
        <f>[59]PLANCUSce!$H$38</f>
        <v>16.585714285714285</v>
      </c>
      <c r="H185" s="313">
        <f t="shared" ref="H185:H190" si="191">100*G185/2.15</f>
        <v>771.42857142857144</v>
      </c>
      <c r="I185" s="656">
        <f>[60]PLANCUSce!$H$38</f>
        <v>17.057142857142857</v>
      </c>
      <c r="J185" s="313">
        <f t="shared" ref="J185:J190" si="192">100*I185/2.15</f>
        <v>793.35548172757478</v>
      </c>
      <c r="K185" s="656">
        <f>[61]PLANCUSce!$H$38</f>
        <v>17.442857142857143</v>
      </c>
      <c r="L185" s="313">
        <f t="shared" ref="L185" si="193">100*K185/2.15</f>
        <v>811.29568106312297</v>
      </c>
      <c r="M185" s="656">
        <f>[62]PLANCUSce!$H$38</f>
        <v>17.642857142857142</v>
      </c>
      <c r="N185" s="313">
        <f t="shared" ref="N185" si="194">100*M185/2.15</f>
        <v>820.59800664451825</v>
      </c>
      <c r="O185" s="656">
        <f>[63]PLANCUSce!$H$38</f>
        <v>18.642857142857142</v>
      </c>
      <c r="P185" s="313">
        <f t="shared" ref="P185" si="195">100*O185/2.15</f>
        <v>867.10963455149499</v>
      </c>
      <c r="Q185" s="656">
        <f>[64]PLANCUSce!$I$38</f>
        <v>19.071428571428573</v>
      </c>
      <c r="R185" s="313">
        <f t="shared" ref="R185" si="196">100*Q185/2.15</f>
        <v>887.04318936877087</v>
      </c>
      <c r="S185" s="656">
        <f>[65]PLANCUSce!$I$38</f>
        <v>19.38571428571429</v>
      </c>
      <c r="T185" s="313">
        <f t="shared" ref="T185" si="197">100*S185/2.15</f>
        <v>901.6611295681065</v>
      </c>
    </row>
    <row r="186" spans="2:20">
      <c r="B186" s="310" t="s">
        <v>7</v>
      </c>
      <c r="C186" s="312">
        <f>[66]PLANCUSce!$H$38</f>
        <v>15.957142857142859</v>
      </c>
      <c r="D186" s="313">
        <f t="shared" si="156"/>
        <v>742.19269102990052</v>
      </c>
      <c r="E186" s="656">
        <f>[67]PLANCUSce!$H$38</f>
        <v>16.442857142857143</v>
      </c>
      <c r="F186" s="313">
        <f t="shared" si="190"/>
        <v>764.78405315614623</v>
      </c>
      <c r="G186" s="656">
        <f>[68]PLANCUSce!$H$38</f>
        <v>16.585714285714285</v>
      </c>
      <c r="H186" s="313">
        <f t="shared" si="191"/>
        <v>771.42857142857144</v>
      </c>
      <c r="I186" s="656">
        <f>[69]PLANCUSce!$H$38</f>
        <v>17.185714285714283</v>
      </c>
      <c r="J186" s="313">
        <f t="shared" si="192"/>
        <v>799.3355481727574</v>
      </c>
      <c r="K186" s="656">
        <f>[70]PLANCUSce!$H$38</f>
        <v>17.442857142857143</v>
      </c>
      <c r="L186" s="313">
        <f t="shared" ref="L186" si="198">100*K186/2.15</f>
        <v>811.29568106312297</v>
      </c>
      <c r="M186" s="656">
        <f>[71]PLANCUSce!$H$38</f>
        <v>17.642857142857142</v>
      </c>
      <c r="N186" s="313">
        <f t="shared" ref="N186" si="199">100*M186/2.15</f>
        <v>820.59800664451825</v>
      </c>
      <c r="O186" s="656">
        <f>[72]PLANCUSce!$H$38</f>
        <v>18.642857142857142</v>
      </c>
      <c r="P186" s="313">
        <f t="shared" ref="P186" si="200">100*O186/2.15</f>
        <v>867.10963455149499</v>
      </c>
      <c r="Q186" s="656">
        <f>[73]PLANCUSce!$I$38</f>
        <v>19.071428571428573</v>
      </c>
      <c r="R186" s="313">
        <f t="shared" ref="R186" si="201">100*Q186/2.15</f>
        <v>887.04318936877087</v>
      </c>
      <c r="S186" s="656">
        <f>[74]PLANCUSce!$I$38</f>
        <v>19.38571428571429</v>
      </c>
      <c r="T186" s="313">
        <f t="shared" ref="T186" si="202">100*S186/2.15</f>
        <v>901.6611295681065</v>
      </c>
    </row>
    <row r="187" spans="2:20">
      <c r="B187" s="310" t="s">
        <v>8</v>
      </c>
      <c r="C187" s="312">
        <f>[75]PLANCUSce!$H$38</f>
        <v>15.957142857142859</v>
      </c>
      <c r="D187" s="313">
        <f>100*C187/2.15</f>
        <v>742.19269102990052</v>
      </c>
      <c r="E187" s="656">
        <f>[76]PLANCUSce!$H$38</f>
        <v>16.442857142857143</v>
      </c>
      <c r="F187" s="313">
        <f t="shared" si="190"/>
        <v>764.78405315614623</v>
      </c>
      <c r="G187" s="656">
        <f>[77]PLANCUSce!$H$38</f>
        <v>16.585714285714285</v>
      </c>
      <c r="H187" s="313">
        <f t="shared" si="191"/>
        <v>771.42857142857144</v>
      </c>
      <c r="I187" s="656">
        <f>[78]PLANCUSce!$H$38</f>
        <v>17.185714285714283</v>
      </c>
      <c r="J187" s="313">
        <f t="shared" si="192"/>
        <v>799.3355481727574</v>
      </c>
      <c r="K187" s="656">
        <f>[79]PLANCUSce!$H$38</f>
        <v>17.442857142857143</v>
      </c>
      <c r="L187" s="313">
        <f t="shared" ref="L187" si="203">100*K187/2.15</f>
        <v>811.29568106312297</v>
      </c>
      <c r="M187" s="656">
        <f>[80]PLANCUSce!$H$38</f>
        <v>17.642857142857142</v>
      </c>
      <c r="N187" s="313">
        <f t="shared" ref="N187" si="204">100*M187/2.15</f>
        <v>820.59800664451825</v>
      </c>
      <c r="O187" s="656">
        <f>[81]PLANCUSce!$H$38</f>
        <v>18.642857142857142</v>
      </c>
      <c r="P187" s="313">
        <f t="shared" ref="P187" si="205">100*O187/2.15</f>
        <v>867.10963455149499</v>
      </c>
      <c r="Q187" s="656">
        <f>[82]PLANCUSce!$I$38</f>
        <v>19.071428571428573</v>
      </c>
      <c r="R187" s="313">
        <f t="shared" ref="R187" si="206">100*Q187/2.15</f>
        <v>887.04318936877087</v>
      </c>
      <c r="S187" s="656">
        <f>[123]PLANCUSce!$I$38</f>
        <v>19.38571428571429</v>
      </c>
      <c r="T187" s="313">
        <f t="shared" ref="T187" si="207">100*S187/2.15</f>
        <v>901.6611295681065</v>
      </c>
    </row>
    <row r="188" spans="2:20">
      <c r="B188" s="310" t="s">
        <v>9</v>
      </c>
      <c r="C188" s="312">
        <f>[83]PLANCUSce!$H$38</f>
        <v>16.3</v>
      </c>
      <c r="D188" s="313">
        <f>100*C188/2.15</f>
        <v>758.13953488372101</v>
      </c>
      <c r="E188" s="656">
        <f>[84]PLANCUSce!$H$38</f>
        <v>16.442857142857143</v>
      </c>
      <c r="F188" s="313">
        <f t="shared" si="190"/>
        <v>764.78405315614623</v>
      </c>
      <c r="G188" s="656">
        <f>[85]PLANCUSce!$H$38</f>
        <v>16.585714285714285</v>
      </c>
      <c r="H188" s="313">
        <f t="shared" si="191"/>
        <v>771.42857142857144</v>
      </c>
      <c r="I188" s="656">
        <f>[86]PLANCUSce!$H$38</f>
        <v>17.185714285714283</v>
      </c>
      <c r="J188" s="313">
        <f t="shared" si="192"/>
        <v>799.3355481727574</v>
      </c>
      <c r="K188" s="656">
        <f>[87]PLANCUSce!$H$38</f>
        <v>17.442857142857143</v>
      </c>
      <c r="L188" s="313">
        <f t="shared" ref="L188" si="208">100*K188/2.15</f>
        <v>811.29568106312297</v>
      </c>
      <c r="M188" s="656">
        <f>[88]PLANCUSce!$H$38</f>
        <v>17.642857142857142</v>
      </c>
      <c r="N188" s="313">
        <f t="shared" ref="N188" si="209">100*M188/2.15</f>
        <v>820.59800664451825</v>
      </c>
      <c r="O188" s="656">
        <f>[89]PLANCUSce!$H$38</f>
        <v>18.642857142857142</v>
      </c>
      <c r="P188" s="313">
        <f t="shared" ref="P188" si="210">100*O188/2.15</f>
        <v>867.10963455149499</v>
      </c>
      <c r="Q188" s="656">
        <f>[90]PLANCUSce!$I$38</f>
        <v>19.071428571428573</v>
      </c>
      <c r="R188" s="313">
        <f t="shared" ref="R188" si="211">100*Q188/2.15</f>
        <v>887.04318936877087</v>
      </c>
      <c r="S188" s="656"/>
      <c r="T188" s="313"/>
    </row>
    <row r="189" spans="2:20">
      <c r="B189" s="310" t="s">
        <v>10</v>
      </c>
      <c r="C189" s="312">
        <f>[91]PLANCUSce!$H$38</f>
        <v>16.3</v>
      </c>
      <c r="D189" s="313">
        <f>100*C189/2.15</f>
        <v>758.13953488372101</v>
      </c>
      <c r="E189" s="656">
        <f>[92]PLANCUSce!$H$38</f>
        <v>16.442857142857143</v>
      </c>
      <c r="F189" s="313">
        <f t="shared" si="190"/>
        <v>764.78405315614623</v>
      </c>
      <c r="G189" s="656">
        <f>[93]PLANCUSce!$H$38</f>
        <v>16.585714285714285</v>
      </c>
      <c r="H189" s="313">
        <f t="shared" si="191"/>
        <v>771.42857142857144</v>
      </c>
      <c r="I189" s="656">
        <f>[94]PLANCUSce!$H$38</f>
        <v>17.185714285714283</v>
      </c>
      <c r="J189" s="313">
        <f t="shared" si="192"/>
        <v>799.3355481727574</v>
      </c>
      <c r="K189" s="656">
        <f>[95]PLANCUSce!$H$38</f>
        <v>17.442857142857143</v>
      </c>
      <c r="L189" s="313">
        <f t="shared" ref="L189" si="212">100*K189/2.15</f>
        <v>811.29568106312297</v>
      </c>
      <c r="M189" s="656">
        <f>[96]PLANCUSce!$H$38</f>
        <v>18.271428571428572</v>
      </c>
      <c r="N189" s="313">
        <f t="shared" ref="N189" si="213">100*M189/2.15</f>
        <v>849.83388704318952</v>
      </c>
      <c r="O189" s="656">
        <f>[97]PLANCUSce!$H$38</f>
        <v>18.642857142857142</v>
      </c>
      <c r="P189" s="313">
        <f t="shared" ref="P189" si="214">100*O189/2.15</f>
        <v>867.10963455149499</v>
      </c>
      <c r="Q189" s="656">
        <f>[98]PLANCUSce!$I$38</f>
        <v>19.071428571428573</v>
      </c>
      <c r="R189" s="313">
        <f t="shared" ref="R189" si="215">100*Q189/2.15</f>
        <v>887.04318936877087</v>
      </c>
      <c r="S189" s="656"/>
      <c r="T189" s="313"/>
    </row>
    <row r="190" spans="2:20" ht="15.75" thickBot="1">
      <c r="B190" s="314" t="s">
        <v>11</v>
      </c>
      <c r="C190" s="316">
        <f>[99]PLANCUSce!$H$38</f>
        <v>16.3</v>
      </c>
      <c r="D190" s="317">
        <f>100*C190/2.15</f>
        <v>758.13953488372101</v>
      </c>
      <c r="E190" s="680">
        <f>[100]PLANCUSce!$H$38</f>
        <v>16.585714285714285</v>
      </c>
      <c r="F190" s="317">
        <f t="shared" si="190"/>
        <v>771.42857142857144</v>
      </c>
      <c r="G190" s="656">
        <f>[101]PLANCUSce!$H$38</f>
        <v>16.585714285714285</v>
      </c>
      <c r="H190" s="313">
        <f t="shared" si="191"/>
        <v>771.42857142857144</v>
      </c>
      <c r="I190" s="680">
        <f>[102]PLANCUSce!$H$38</f>
        <v>17.185714285714283</v>
      </c>
      <c r="J190" s="317">
        <f t="shared" si="192"/>
        <v>799.3355481727574</v>
      </c>
      <c r="K190" s="680">
        <f>[103]PLANCUSce!$H$38</f>
        <v>17.442857142857143</v>
      </c>
      <c r="L190" s="317">
        <f t="shared" ref="L190" si="216">100*K190/2.15</f>
        <v>811.29568106312297</v>
      </c>
      <c r="M190" s="680">
        <f>[104]PLANCUSce!$H$38</f>
        <v>18.271428571428572</v>
      </c>
      <c r="N190" s="317">
        <f t="shared" ref="N190" si="217">100*M190/2.15</f>
        <v>849.83388704318952</v>
      </c>
      <c r="O190" s="680">
        <f>[105]PLANCUSce!$H$38</f>
        <v>18.642857142857142</v>
      </c>
      <c r="P190" s="317">
        <f t="shared" ref="P190" si="218">100*O190/2.15</f>
        <v>867.10963455149499</v>
      </c>
      <c r="Q190" s="680">
        <f>[106]PLANCUSce!$I$38</f>
        <v>19.071428571428573</v>
      </c>
      <c r="R190" s="317">
        <f t="shared" ref="R190" si="219">100*Q190/2.15</f>
        <v>887.04318936877087</v>
      </c>
      <c r="S190" s="680"/>
      <c r="T190" s="317"/>
    </row>
    <row r="191" spans="2:20">
      <c r="B191" s="119"/>
      <c r="C191" s="118"/>
      <c r="D191" s="124"/>
      <c r="E191" s="118"/>
      <c r="F191" s="119"/>
      <c r="G191" s="122"/>
      <c r="H191" s="119"/>
      <c r="I191" s="122"/>
      <c r="J191" s="119"/>
      <c r="K191" s="122"/>
      <c r="L191" s="119"/>
      <c r="M191" s="122"/>
      <c r="N191" s="119"/>
      <c r="O191" s="119"/>
      <c r="P191" s="119"/>
      <c r="Q191" s="123"/>
      <c r="R191" s="123"/>
      <c r="S191" s="119"/>
      <c r="T191" s="132"/>
    </row>
    <row r="192" spans="2:20">
      <c r="B192" s="144"/>
      <c r="C192" s="159"/>
      <c r="D192" s="160"/>
      <c r="E192" s="159"/>
      <c r="F192" s="144"/>
      <c r="G192" s="161"/>
      <c r="H192" s="144"/>
      <c r="I192" s="161"/>
      <c r="J192" s="144"/>
      <c r="K192" s="161"/>
      <c r="L192" s="144"/>
      <c r="M192" s="161"/>
      <c r="N192" s="144"/>
      <c r="O192" s="119"/>
      <c r="P192" s="119"/>
      <c r="Q192" s="123"/>
      <c r="R192" s="123"/>
      <c r="S192" s="119"/>
      <c r="T192" s="132"/>
    </row>
    <row r="193" spans="2:20" hidden="1">
      <c r="B193" s="120" t="s">
        <v>123</v>
      </c>
      <c r="C193" s="118"/>
      <c r="D193" s="124"/>
      <c r="E193" s="118"/>
      <c r="F193" s="119"/>
      <c r="G193" s="122" t="s">
        <v>17</v>
      </c>
      <c r="H193" s="119"/>
      <c r="I193" s="122"/>
      <c r="J193" s="119"/>
      <c r="K193" s="122"/>
      <c r="L193" s="119"/>
      <c r="M193" s="122"/>
      <c r="N193" s="119"/>
      <c r="O193" s="119"/>
      <c r="P193" s="119"/>
      <c r="Q193" s="123"/>
      <c r="R193" s="123"/>
      <c r="S193" s="119"/>
      <c r="T193" s="132"/>
    </row>
    <row r="194" spans="2:20" hidden="1">
      <c r="B194" s="120"/>
      <c r="C194" s="118"/>
      <c r="D194" s="124"/>
      <c r="E194" s="118"/>
      <c r="F194" s="124">
        <v>249.36</v>
      </c>
      <c r="G194" s="120" t="s">
        <v>27</v>
      </c>
      <c r="H194" s="125"/>
      <c r="I194" s="119"/>
      <c r="J194" s="122"/>
      <c r="K194" s="119"/>
      <c r="L194" s="119"/>
      <c r="M194" s="122"/>
      <c r="N194" s="119"/>
      <c r="O194" s="119"/>
      <c r="P194" s="119"/>
      <c r="Q194" s="123"/>
      <c r="R194" s="123"/>
      <c r="S194" s="119"/>
      <c r="T194" s="132"/>
    </row>
    <row r="195" spans="2:20" hidden="1">
      <c r="B195" s="137"/>
      <c r="C195" s="140">
        <v>1994</v>
      </c>
      <c r="D195" s="140" t="s">
        <v>15</v>
      </c>
      <c r="E195" s="140">
        <v>1995</v>
      </c>
      <c r="F195" s="140" t="s">
        <v>15</v>
      </c>
      <c r="G195" s="140">
        <v>1996</v>
      </c>
      <c r="H195" s="140" t="s">
        <v>15</v>
      </c>
      <c r="I195" s="140">
        <v>1997</v>
      </c>
      <c r="J195" s="140" t="s">
        <v>15</v>
      </c>
      <c r="K195" s="140">
        <v>1998</v>
      </c>
      <c r="L195" s="140" t="s">
        <v>15</v>
      </c>
      <c r="M195" s="140">
        <v>1999</v>
      </c>
      <c r="N195" s="140" t="s">
        <v>15</v>
      </c>
      <c r="O195" s="124"/>
      <c r="P195" s="124"/>
    </row>
    <row r="196" spans="2:20" hidden="1">
      <c r="B196" s="137" t="s">
        <v>0</v>
      </c>
      <c r="C196" s="157"/>
      <c r="D196" s="139"/>
      <c r="E196" s="157">
        <v>304.27999999999997</v>
      </c>
      <c r="F196" s="139">
        <f>10000*$E$196/24936</f>
        <v>122.0243824189926</v>
      </c>
      <c r="G196" s="157">
        <v>405.52</v>
      </c>
      <c r="H196" s="139">
        <f>10000*$G$196/24936</f>
        <v>162.62431825473212</v>
      </c>
      <c r="I196" s="157">
        <v>473.91</v>
      </c>
      <c r="J196" s="139">
        <f>10000*$I$196/24936</f>
        <v>190.05052935514919</v>
      </c>
      <c r="K196" s="157">
        <v>509.45</v>
      </c>
      <c r="L196" s="139">
        <f>10000*$K$196/24936</f>
        <v>204.30301572024382</v>
      </c>
      <c r="M196" s="157">
        <v>529.83000000000004</v>
      </c>
      <c r="N196" s="139">
        <f>10000*$M$196/24936</f>
        <v>212.47593840230991</v>
      </c>
      <c r="O196" s="123"/>
      <c r="P196" s="123"/>
    </row>
    <row r="197" spans="2:20" hidden="1">
      <c r="B197" s="137" t="s">
        <v>1</v>
      </c>
      <c r="C197" s="157"/>
      <c r="D197" s="139"/>
      <c r="E197" s="157">
        <v>346.27</v>
      </c>
      <c r="F197" s="139">
        <f>10000*$E$197/24936</f>
        <v>138.86349053577158</v>
      </c>
      <c r="G197" s="157">
        <v>405.52</v>
      </c>
      <c r="H197" s="139">
        <f>10000*$G$197/24936</f>
        <v>162.62431825473212</v>
      </c>
      <c r="I197" s="157">
        <v>473.91</v>
      </c>
      <c r="J197" s="139">
        <f>10000*$I$197/24936</f>
        <v>190.05052935514919</v>
      </c>
      <c r="K197" s="157">
        <v>509.45</v>
      </c>
      <c r="L197" s="139">
        <f>10000*$K$197/24936</f>
        <v>204.30301572024382</v>
      </c>
      <c r="M197" s="157">
        <v>529.83000000000004</v>
      </c>
      <c r="N197" s="139">
        <f>10000*$M$197/24936</f>
        <v>212.47593840230991</v>
      </c>
      <c r="O197" s="123"/>
      <c r="P197" s="123"/>
    </row>
    <row r="198" spans="2:20" hidden="1">
      <c r="B198" s="137" t="s">
        <v>2</v>
      </c>
      <c r="C198" s="157"/>
      <c r="D198" s="139"/>
      <c r="E198" s="157">
        <v>346.27</v>
      </c>
      <c r="F198" s="139">
        <f>10000*$E$198/24936</f>
        <v>138.86349053577158</v>
      </c>
      <c r="G198" s="157">
        <v>405.52</v>
      </c>
      <c r="H198" s="139">
        <f>10000*$G$198/24936</f>
        <v>162.62431825473212</v>
      </c>
      <c r="I198" s="157">
        <v>473.91</v>
      </c>
      <c r="J198" s="139">
        <f>10000*$I$198/24936</f>
        <v>190.05052935514919</v>
      </c>
      <c r="K198" s="157">
        <v>509.45</v>
      </c>
      <c r="L198" s="139">
        <f>10000*$K$198/24936</f>
        <v>204.30301572024382</v>
      </c>
      <c r="M198" s="157">
        <v>529.83000000000004</v>
      </c>
      <c r="N198" s="139">
        <f>10000*$M$198/24936</f>
        <v>212.47593840230991</v>
      </c>
      <c r="O198" s="123"/>
      <c r="P198" s="123"/>
    </row>
    <row r="199" spans="2:20" hidden="1">
      <c r="B199" s="137" t="s">
        <v>3</v>
      </c>
      <c r="C199" s="157"/>
      <c r="D199" s="139"/>
      <c r="E199" s="157">
        <v>346.27</v>
      </c>
      <c r="F199" s="139">
        <f>10000*$E$199/24936</f>
        <v>138.86349053577158</v>
      </c>
      <c r="G199" s="157">
        <v>405.52</v>
      </c>
      <c r="H199" s="139">
        <f>10000*$G$199/24936</f>
        <v>162.62431825473212</v>
      </c>
      <c r="I199" s="157">
        <v>473.91</v>
      </c>
      <c r="J199" s="139">
        <f>10000*$I$199/24936</f>
        <v>190.05052935514919</v>
      </c>
      <c r="K199" s="157">
        <v>509.45</v>
      </c>
      <c r="L199" s="139">
        <f>10000*$K$199/24936</f>
        <v>204.30301572024382</v>
      </c>
      <c r="M199" s="157">
        <v>529.83000000000004</v>
      </c>
      <c r="N199" s="139">
        <f>10000*$M$199/24936</f>
        <v>212.47593840230991</v>
      </c>
      <c r="O199" s="123"/>
      <c r="P199" s="123"/>
    </row>
    <row r="200" spans="2:20" hidden="1">
      <c r="B200" s="137" t="s">
        <v>4</v>
      </c>
      <c r="C200" s="157"/>
      <c r="D200" s="139"/>
      <c r="E200" s="157">
        <v>405.52</v>
      </c>
      <c r="F200" s="139">
        <f>10000*$E$200/24936</f>
        <v>162.62431825473212</v>
      </c>
      <c r="G200" s="157">
        <v>405.52</v>
      </c>
      <c r="H200" s="139">
        <f>10000*$G$200/24936</f>
        <v>162.62431825473212</v>
      </c>
      <c r="I200" s="157">
        <v>473.91</v>
      </c>
      <c r="J200" s="139">
        <f>10000*$I$200/24936</f>
        <v>190.05052935514919</v>
      </c>
      <c r="K200" s="157">
        <v>509.45</v>
      </c>
      <c r="L200" s="139">
        <f>10000*$K$200/24936</f>
        <v>204.30301572024382</v>
      </c>
      <c r="M200" s="157">
        <v>529.83000000000004</v>
      </c>
      <c r="N200" s="139">
        <f>10000*$M$200/24936</f>
        <v>212.47593840230991</v>
      </c>
      <c r="O200" s="123"/>
      <c r="P200" s="123"/>
    </row>
    <row r="201" spans="2:20" hidden="1">
      <c r="B201" s="137" t="s">
        <v>5</v>
      </c>
      <c r="C201" s="157"/>
      <c r="D201" s="139"/>
      <c r="E201" s="157">
        <v>405.42</v>
      </c>
      <c r="F201" s="139">
        <f>10000*$E$201/24936</f>
        <v>162.5842155919153</v>
      </c>
      <c r="G201" s="157">
        <v>429.85</v>
      </c>
      <c r="H201" s="139">
        <f>10000*$G$201/24936</f>
        <v>172.38129611806224</v>
      </c>
      <c r="I201" s="157">
        <v>509.45</v>
      </c>
      <c r="J201" s="139">
        <f>10000*$I$201/24936</f>
        <v>204.30301572024382</v>
      </c>
      <c r="K201" s="157">
        <v>509.45</v>
      </c>
      <c r="L201" s="139">
        <f>10000*$K$201/24936</f>
        <v>204.30301572024382</v>
      </c>
      <c r="M201" s="157">
        <v>545.72</v>
      </c>
      <c r="N201" s="139">
        <f>10000*$M$201/24936</f>
        <v>218.84825152390118</v>
      </c>
      <c r="O201" s="123"/>
      <c r="P201" s="123"/>
    </row>
    <row r="202" spans="2:20" hidden="1">
      <c r="B202" s="137" t="s">
        <v>6</v>
      </c>
      <c r="C202" s="157">
        <v>249.36</v>
      </c>
      <c r="D202" s="139">
        <f>10000*$C$202/24936</f>
        <v>100</v>
      </c>
      <c r="E202" s="157">
        <v>405.52</v>
      </c>
      <c r="F202" s="139">
        <f>10000*$E$202/24936</f>
        <v>162.62431825473212</v>
      </c>
      <c r="G202" s="157">
        <v>451.34</v>
      </c>
      <c r="H202" s="139">
        <f>10000*$G$202/24936</f>
        <v>180.99935835739493</v>
      </c>
      <c r="I202" s="157">
        <v>509.45</v>
      </c>
      <c r="J202" s="139">
        <f>10000*$I$202/24936</f>
        <v>204.30301572024382</v>
      </c>
      <c r="K202" s="157">
        <v>509.45</v>
      </c>
      <c r="L202" s="139">
        <f>10000*$K$202/24936</f>
        <v>204.30301572024382</v>
      </c>
      <c r="M202" s="157">
        <v>545.72</v>
      </c>
      <c r="N202" s="139">
        <f>10000*$M$202/24936</f>
        <v>218.84825152390118</v>
      </c>
      <c r="O202" s="123"/>
      <c r="P202" s="123"/>
    </row>
    <row r="203" spans="2:20" hidden="1">
      <c r="B203" s="137" t="s">
        <v>7</v>
      </c>
      <c r="C203" s="157">
        <v>249.36</v>
      </c>
      <c r="D203" s="139">
        <f>10000*$C$203/24936</f>
        <v>100</v>
      </c>
      <c r="E203" s="157">
        <v>405.52</v>
      </c>
      <c r="F203" s="139">
        <f>10000*$E$203/24936</f>
        <v>162.62431825473212</v>
      </c>
      <c r="G203" s="157">
        <v>451.34</v>
      </c>
      <c r="H203" s="139">
        <f>10000*$G$203/24936</f>
        <v>180.99935835739493</v>
      </c>
      <c r="I203" s="157">
        <v>509.45</v>
      </c>
      <c r="J203" s="139">
        <f>10000*$I$203/24936</f>
        <v>204.30301572024382</v>
      </c>
      <c r="K203" s="157">
        <v>529.83000000000004</v>
      </c>
      <c r="L203" s="139">
        <f>10000*$K$203/24936</f>
        <v>212.47593840230991</v>
      </c>
      <c r="M203" s="157">
        <v>545.72</v>
      </c>
      <c r="N203" s="139">
        <f>$N$202</f>
        <v>218.84825152390118</v>
      </c>
      <c r="O203" s="123"/>
      <c r="P203" s="123"/>
    </row>
    <row r="204" spans="2:20" hidden="1">
      <c r="B204" s="137" t="s">
        <v>8</v>
      </c>
      <c r="C204" s="157">
        <v>269.7</v>
      </c>
      <c r="D204" s="139">
        <f>10000*$C$204/24936</f>
        <v>108.15688161693936</v>
      </c>
      <c r="E204" s="157">
        <v>405.53</v>
      </c>
      <c r="F204" s="139">
        <f>10000*$E$204/24936</f>
        <v>162.62832852101377</v>
      </c>
      <c r="G204" s="157">
        <v>451.34</v>
      </c>
      <c r="H204" s="139">
        <f>10000*$G$204/24936</f>
        <v>180.99935835739493</v>
      </c>
      <c r="I204" s="157">
        <v>509.45</v>
      </c>
      <c r="J204" s="139">
        <f>10000*$I$204/24936</f>
        <v>204.30301572024382</v>
      </c>
      <c r="K204" s="157">
        <v>529.83000000000004</v>
      </c>
      <c r="L204" s="139">
        <f>10000*$K$204/24936</f>
        <v>212.47593840230991</v>
      </c>
      <c r="M204" s="157">
        <v>545.72</v>
      </c>
      <c r="N204" s="139">
        <f>M204*100/249.36</f>
        <v>218.84825152390118</v>
      </c>
      <c r="O204" s="123"/>
      <c r="P204" s="123"/>
    </row>
    <row r="205" spans="2:20" hidden="1">
      <c r="B205" s="137" t="s">
        <v>9</v>
      </c>
      <c r="C205" s="157">
        <v>279.27999999999997</v>
      </c>
      <c r="D205" s="139">
        <f>10000*$C$205/24936</f>
        <v>111.99871671478985</v>
      </c>
      <c r="E205" s="157">
        <v>405.52</v>
      </c>
      <c r="F205" s="139">
        <f>10000*$E$205/24936</f>
        <v>162.62431825473212</v>
      </c>
      <c r="G205" s="157">
        <v>451.34</v>
      </c>
      <c r="H205" s="139">
        <f>10000*$G$205/24936</f>
        <v>180.99935835739493</v>
      </c>
      <c r="I205" s="157">
        <v>509.45</v>
      </c>
      <c r="J205" s="139">
        <f>10000*$I$205/24936</f>
        <v>204.30301572024382</v>
      </c>
      <c r="K205" s="157">
        <v>529.83000000000004</v>
      </c>
      <c r="L205" s="139">
        <f>10000*$K$205/24936</f>
        <v>212.47593840230991</v>
      </c>
      <c r="M205" s="157">
        <v>545.72</v>
      </c>
      <c r="N205" s="139">
        <f>M205*100/249.36</f>
        <v>218.84825152390118</v>
      </c>
      <c r="O205" s="123"/>
      <c r="P205" s="123"/>
    </row>
    <row r="206" spans="2:20" hidden="1">
      <c r="B206" s="137" t="s">
        <v>10</v>
      </c>
      <c r="C206" s="157">
        <v>279.27999999999997</v>
      </c>
      <c r="D206" s="139">
        <f>10000*$C$206/24936</f>
        <v>111.99871671478985</v>
      </c>
      <c r="E206" s="157">
        <v>405.52</v>
      </c>
      <c r="F206" s="139">
        <f>10000*$E$206/24936</f>
        <v>162.62431825473212</v>
      </c>
      <c r="G206" s="157">
        <v>473.91</v>
      </c>
      <c r="H206" s="139">
        <f>10000*$G$206/24936</f>
        <v>190.05052935514919</v>
      </c>
      <c r="I206" s="157">
        <v>509.45</v>
      </c>
      <c r="J206" s="139">
        <f>10000*$I$206/24936</f>
        <v>204.30301572024382</v>
      </c>
      <c r="K206" s="157">
        <v>529.83000000000004</v>
      </c>
      <c r="L206" s="139">
        <f>10000*$K$206/24936</f>
        <v>212.47593840230991</v>
      </c>
      <c r="M206" s="157">
        <v>545.72</v>
      </c>
      <c r="N206" s="139">
        <f>M206*100/249.36</f>
        <v>218.84825152390118</v>
      </c>
      <c r="O206" s="123"/>
      <c r="P206" s="123"/>
    </row>
    <row r="207" spans="2:20" hidden="1">
      <c r="B207" s="137" t="s">
        <v>11</v>
      </c>
      <c r="C207" s="157">
        <v>304.27999999999997</v>
      </c>
      <c r="D207" s="139">
        <f>10000*$C$207/24936</f>
        <v>122.0243824189926</v>
      </c>
      <c r="E207" s="157">
        <v>405.52</v>
      </c>
      <c r="F207" s="139">
        <f>10000*$E$207/24936</f>
        <v>162.62431825473212</v>
      </c>
      <c r="G207" s="157">
        <v>473.91</v>
      </c>
      <c r="H207" s="139">
        <f>10000*$G$207/24936</f>
        <v>190.05052935514919</v>
      </c>
      <c r="I207" s="157">
        <v>509.45</v>
      </c>
      <c r="J207" s="139">
        <f>10000*$I$207/24936</f>
        <v>204.30301572024382</v>
      </c>
      <c r="K207" s="157">
        <v>529.83000000000004</v>
      </c>
      <c r="L207" s="139">
        <f>10000*$K$207/24936</f>
        <v>212.47593840230991</v>
      </c>
      <c r="M207" s="157">
        <v>545.72</v>
      </c>
      <c r="N207" s="139">
        <f>M207*100/249.36</f>
        <v>218.84825152390118</v>
      </c>
      <c r="O207" s="123"/>
      <c r="P207" s="123"/>
    </row>
    <row r="208" spans="2:20" hidden="1">
      <c r="B208" s="119"/>
      <c r="C208" s="118"/>
      <c r="D208" s="123"/>
      <c r="E208" s="118"/>
      <c r="F208" s="123"/>
      <c r="G208" s="118"/>
      <c r="H208" s="123"/>
      <c r="I208" s="118"/>
      <c r="J208" s="123"/>
      <c r="K208" s="118"/>
      <c r="L208" s="123"/>
      <c r="M208" s="118"/>
      <c r="N208" s="123"/>
      <c r="O208" s="123"/>
      <c r="P208" s="123"/>
    </row>
    <row r="209" spans="2:20" hidden="1">
      <c r="B209" s="119"/>
      <c r="C209" s="118"/>
      <c r="D209" s="123"/>
      <c r="E209" s="118"/>
      <c r="F209" s="123"/>
      <c r="G209" s="118"/>
      <c r="H209" s="123"/>
      <c r="I209" s="118"/>
      <c r="J209" s="123"/>
      <c r="K209" s="118"/>
      <c r="L209" s="123"/>
      <c r="M209" s="118"/>
      <c r="N209" s="123"/>
      <c r="O209" s="123"/>
      <c r="P209" s="123"/>
    </row>
    <row r="210" spans="2:20" hidden="1">
      <c r="B210" s="120" t="s">
        <v>124</v>
      </c>
      <c r="C210" s="118"/>
      <c r="D210" s="124"/>
      <c r="E210" s="118"/>
      <c r="F210" s="123"/>
      <c r="G210" s="118"/>
      <c r="H210" s="123"/>
      <c r="I210" s="118"/>
      <c r="J210" s="123"/>
      <c r="K210" s="118"/>
      <c r="L210" s="123"/>
      <c r="M210" s="118"/>
      <c r="N210" s="123"/>
      <c r="O210" s="123"/>
      <c r="P210" s="123"/>
      <c r="Q210" s="123"/>
      <c r="R210" s="123"/>
      <c r="S210" s="119"/>
      <c r="T210" s="132"/>
    </row>
    <row r="211" spans="2:20" hidden="1">
      <c r="B211" s="137"/>
      <c r="C211" s="138">
        <v>2000</v>
      </c>
      <c r="D211" s="139" t="s">
        <v>15</v>
      </c>
      <c r="E211" s="138">
        <v>2001</v>
      </c>
      <c r="F211" s="139" t="s">
        <v>15</v>
      </c>
      <c r="G211" s="138">
        <v>2002</v>
      </c>
      <c r="H211" s="139" t="s">
        <v>15</v>
      </c>
      <c r="I211" s="162">
        <v>2003</v>
      </c>
      <c r="J211" s="139" t="s">
        <v>15</v>
      </c>
      <c r="K211" s="162" t="s">
        <v>168</v>
      </c>
      <c r="L211" s="139" t="s">
        <v>15</v>
      </c>
      <c r="M211" s="118"/>
      <c r="N211" s="123"/>
      <c r="O211" s="123"/>
      <c r="P211" s="123"/>
      <c r="Q211" s="123"/>
      <c r="R211" s="123"/>
      <c r="S211" s="119"/>
      <c r="T211" s="132"/>
    </row>
    <row r="212" spans="2:20" hidden="1">
      <c r="B212" s="137" t="s">
        <v>0</v>
      </c>
      <c r="C212" s="139">
        <v>545.72</v>
      </c>
      <c r="D212" s="139">
        <f>+N207</f>
        <v>218.84825152390118</v>
      </c>
      <c r="E212" s="140">
        <v>698.11</v>
      </c>
      <c r="F212" s="141">
        <f t="shared" ref="F212:F223" si="220">100*E212/$F$194</f>
        <v>279.96069939043952</v>
      </c>
      <c r="G212" s="140">
        <v>750.21</v>
      </c>
      <c r="H212" s="141">
        <f t="shared" ref="H212:H223" si="221">100*G212/$F$194</f>
        <v>300.85418671799806</v>
      </c>
      <c r="I212" s="157">
        <v>812.45</v>
      </c>
      <c r="J212" s="141">
        <f t="shared" ref="J212:L223" si="222">100*I212/$F$194</f>
        <v>325.81408405518124</v>
      </c>
      <c r="K212" s="157">
        <v>924.72</v>
      </c>
      <c r="L212" s="141">
        <f t="shared" si="222"/>
        <v>370.837343599615</v>
      </c>
      <c r="M212" s="118"/>
      <c r="N212" s="123"/>
      <c r="O212" s="123"/>
      <c r="P212" s="123"/>
      <c r="Q212" s="123"/>
      <c r="R212" s="123"/>
      <c r="S212" s="119"/>
      <c r="T212" s="132"/>
    </row>
    <row r="213" spans="2:20" hidden="1">
      <c r="B213" s="137" t="s">
        <v>1</v>
      </c>
      <c r="C213" s="139">
        <v>545.72</v>
      </c>
      <c r="D213" s="139">
        <f>+N207</f>
        <v>218.84825152390118</v>
      </c>
      <c r="E213" s="140">
        <v>698.11</v>
      </c>
      <c r="F213" s="141">
        <f t="shared" si="220"/>
        <v>279.96069939043952</v>
      </c>
      <c r="G213" s="140">
        <v>750.21</v>
      </c>
      <c r="H213" s="141">
        <f t="shared" si="221"/>
        <v>300.85418671799806</v>
      </c>
      <c r="I213" s="157">
        <v>812.45</v>
      </c>
      <c r="J213" s="141">
        <f t="shared" si="222"/>
        <v>325.81408405518124</v>
      </c>
      <c r="K213" s="157">
        <v>924.72</v>
      </c>
      <c r="L213" s="139">
        <f t="shared" si="222"/>
        <v>370.837343599615</v>
      </c>
      <c r="M213" s="118"/>
      <c r="N213" s="123"/>
      <c r="O213" s="123"/>
      <c r="P213" s="123"/>
      <c r="Q213" s="123"/>
      <c r="R213" s="123"/>
      <c r="S213" s="119"/>
      <c r="T213" s="132"/>
    </row>
    <row r="214" spans="2:20" hidden="1">
      <c r="B214" s="137" t="s">
        <v>2</v>
      </c>
      <c r="C214" s="139">
        <v>545.72</v>
      </c>
      <c r="D214" s="139">
        <f>+N207</f>
        <v>218.84825152390118</v>
      </c>
      <c r="E214" s="140">
        <v>698.11</v>
      </c>
      <c r="F214" s="141">
        <f t="shared" si="220"/>
        <v>279.96069939043952</v>
      </c>
      <c r="G214" s="140">
        <v>750.21</v>
      </c>
      <c r="H214" s="141">
        <f t="shared" si="221"/>
        <v>300.85418671799806</v>
      </c>
      <c r="I214" s="157">
        <v>818.48</v>
      </c>
      <c r="J214" s="141">
        <f t="shared" si="222"/>
        <v>328.23227462303493</v>
      </c>
      <c r="K214" s="157">
        <v>931.66</v>
      </c>
      <c r="L214" s="139">
        <f t="shared" si="222"/>
        <v>373.6204683991017</v>
      </c>
      <c r="M214" s="118"/>
      <c r="N214" s="123"/>
      <c r="O214" s="123"/>
      <c r="P214" s="123"/>
      <c r="Q214" s="123"/>
      <c r="R214" s="123"/>
      <c r="S214" s="119"/>
      <c r="T214" s="132"/>
    </row>
    <row r="215" spans="2:20" hidden="1">
      <c r="B215" s="137" t="s">
        <v>3</v>
      </c>
      <c r="C215" s="139">
        <v>671.26</v>
      </c>
      <c r="D215" s="139">
        <f>100*C215/C202</f>
        <v>269.19313442412573</v>
      </c>
      <c r="E215" s="140">
        <v>698.11</v>
      </c>
      <c r="F215" s="141">
        <f t="shared" si="220"/>
        <v>279.96069939043952</v>
      </c>
      <c r="G215" s="140">
        <v>750.21</v>
      </c>
      <c r="H215" s="141">
        <f t="shared" si="221"/>
        <v>300.85418671799806</v>
      </c>
      <c r="I215" s="157">
        <v>818.48</v>
      </c>
      <c r="J215" s="141">
        <f t="shared" si="222"/>
        <v>328.23227462303493</v>
      </c>
      <c r="K215" s="157">
        <v>931.66</v>
      </c>
      <c r="L215" s="139">
        <f t="shared" si="222"/>
        <v>373.6204683991017</v>
      </c>
      <c r="M215" s="118"/>
      <c r="N215" s="123"/>
      <c r="O215" s="123"/>
      <c r="P215" s="123"/>
      <c r="Q215" s="123"/>
      <c r="R215" s="123"/>
      <c r="S215" s="119"/>
      <c r="T215" s="132"/>
    </row>
    <row r="216" spans="2:20" hidden="1">
      <c r="B216" s="137" t="s">
        <v>4</v>
      </c>
      <c r="C216" s="139">
        <v>671.26</v>
      </c>
      <c r="D216" s="139">
        <f>100*C216/249.36</f>
        <v>269.19313442412573</v>
      </c>
      <c r="E216" s="140">
        <v>750.21</v>
      </c>
      <c r="F216" s="141">
        <f t="shared" si="220"/>
        <v>300.85418671799806</v>
      </c>
      <c r="G216" s="140">
        <v>806.47</v>
      </c>
      <c r="H216" s="141">
        <f t="shared" si="221"/>
        <v>323.41594481873597</v>
      </c>
      <c r="I216" s="157">
        <v>876.1</v>
      </c>
      <c r="J216" s="139">
        <f t="shared" si="222"/>
        <v>351.33942893808148</v>
      </c>
      <c r="K216" s="157">
        <v>987.56</v>
      </c>
      <c r="L216" s="139">
        <f t="shared" si="222"/>
        <v>396.03785691369904</v>
      </c>
      <c r="M216" s="118"/>
      <c r="N216" s="123"/>
      <c r="O216" s="123"/>
      <c r="P216" s="123"/>
      <c r="Q216" s="123"/>
      <c r="R216" s="123"/>
      <c r="S216" s="119"/>
      <c r="T216" s="132"/>
    </row>
    <row r="217" spans="2:20" hidden="1">
      <c r="B217" s="137" t="s">
        <v>5</v>
      </c>
      <c r="C217" s="139">
        <v>698.11</v>
      </c>
      <c r="D217" s="139">
        <f>100*C217/249.36</f>
        <v>279.96069939043952</v>
      </c>
      <c r="E217" s="140">
        <v>750.21</v>
      </c>
      <c r="F217" s="141">
        <f t="shared" si="220"/>
        <v>300.85418671799806</v>
      </c>
      <c r="G217" s="140">
        <v>806.47</v>
      </c>
      <c r="H217" s="141">
        <f t="shared" si="221"/>
        <v>323.41594481873597</v>
      </c>
      <c r="I217" s="157">
        <v>876.1</v>
      </c>
      <c r="J217" s="139">
        <f t="shared" si="222"/>
        <v>351.33942893808148</v>
      </c>
      <c r="K217" s="157">
        <v>987.56</v>
      </c>
      <c r="L217" s="139">
        <f t="shared" si="222"/>
        <v>396.03785691369904</v>
      </c>
      <c r="M217" s="118"/>
      <c r="N217" s="123"/>
      <c r="O217" s="123"/>
      <c r="P217" s="123"/>
      <c r="Q217" s="123"/>
      <c r="R217" s="123"/>
      <c r="S217" s="119"/>
      <c r="T217" s="132"/>
    </row>
    <row r="218" spans="2:20" hidden="1">
      <c r="B218" s="137" t="s">
        <v>6</v>
      </c>
      <c r="C218" s="139">
        <v>698.11</v>
      </c>
      <c r="D218" s="139">
        <f t="shared" ref="D218:D223" si="223">100*C218/249.36</f>
        <v>279.96069939043952</v>
      </c>
      <c r="E218" s="140">
        <v>750.21</v>
      </c>
      <c r="F218" s="141">
        <f t="shared" si="220"/>
        <v>300.85418671799806</v>
      </c>
      <c r="G218" s="140">
        <v>806.47</v>
      </c>
      <c r="H218" s="141">
        <f t="shared" si="221"/>
        <v>323.41594481873597</v>
      </c>
      <c r="I218" s="157">
        <v>917.84</v>
      </c>
      <c r="J218" s="139">
        <f t="shared" si="222"/>
        <v>368.07828039781839</v>
      </c>
      <c r="K218" s="157">
        <f>+K217</f>
        <v>987.56</v>
      </c>
      <c r="L218" s="139">
        <f t="shared" si="222"/>
        <v>396.03785691369904</v>
      </c>
      <c r="M218" s="118"/>
      <c r="N218" s="123"/>
      <c r="O218" s="123"/>
      <c r="P218" s="123"/>
      <c r="Q218" s="123"/>
      <c r="R218" s="123"/>
      <c r="S218" s="119"/>
      <c r="T218" s="132"/>
    </row>
    <row r="219" spans="2:20" hidden="1">
      <c r="B219" s="137" t="s">
        <v>7</v>
      </c>
      <c r="C219" s="139">
        <v>698.11</v>
      </c>
      <c r="D219" s="139">
        <f t="shared" si="223"/>
        <v>279.96069939043952</v>
      </c>
      <c r="E219" s="140">
        <v>750.21</v>
      </c>
      <c r="F219" s="141">
        <f t="shared" si="220"/>
        <v>300.85418671799806</v>
      </c>
      <c r="G219" s="140">
        <v>806.47</v>
      </c>
      <c r="H219" s="141">
        <f t="shared" si="221"/>
        <v>323.41594481873597</v>
      </c>
      <c r="I219" s="157">
        <v>917.84</v>
      </c>
      <c r="J219" s="139">
        <f t="shared" si="222"/>
        <v>368.07828039781839</v>
      </c>
      <c r="K219" s="163" t="s">
        <v>164</v>
      </c>
      <c r="L219" s="139"/>
      <c r="M219" s="118"/>
      <c r="N219" s="123"/>
      <c r="O219" s="123"/>
      <c r="P219" s="123"/>
      <c r="Q219" s="123"/>
      <c r="R219" s="123"/>
      <c r="S219" s="119"/>
      <c r="T219" s="132"/>
    </row>
    <row r="220" spans="2:20" hidden="1">
      <c r="B220" s="137" t="s">
        <v>8</v>
      </c>
      <c r="C220" s="139">
        <v>698.11</v>
      </c>
      <c r="D220" s="139">
        <f t="shared" si="223"/>
        <v>279.96069939043952</v>
      </c>
      <c r="E220" s="140">
        <v>750.21</v>
      </c>
      <c r="F220" s="141">
        <f t="shared" si="220"/>
        <v>300.85418671799806</v>
      </c>
      <c r="G220" s="140">
        <v>806.47</v>
      </c>
      <c r="H220" s="141">
        <f t="shared" si="221"/>
        <v>323.41594481873597</v>
      </c>
      <c r="I220" s="157">
        <v>917.34</v>
      </c>
      <c r="J220" s="139">
        <f t="shared" si="222"/>
        <v>367.87776708373434</v>
      </c>
      <c r="K220" s="157"/>
      <c r="L220" s="139"/>
      <c r="M220" s="118"/>
      <c r="N220" s="123"/>
      <c r="O220" s="123"/>
      <c r="P220" s="123"/>
      <c r="Q220" s="123"/>
      <c r="R220" s="123"/>
      <c r="S220" s="119"/>
      <c r="T220" s="132"/>
    </row>
    <row r="221" spans="2:20" hidden="1">
      <c r="B221" s="137" t="s">
        <v>9</v>
      </c>
      <c r="C221" s="139">
        <v>698.11</v>
      </c>
      <c r="D221" s="139">
        <f t="shared" si="223"/>
        <v>279.96069939043952</v>
      </c>
      <c r="E221" s="140">
        <v>750.21</v>
      </c>
      <c r="F221" s="141">
        <f t="shared" si="220"/>
        <v>300.85418671799806</v>
      </c>
      <c r="G221" s="140">
        <v>812.45</v>
      </c>
      <c r="H221" s="141">
        <f t="shared" si="221"/>
        <v>325.81408405518124</v>
      </c>
      <c r="I221" s="157">
        <v>924.72</v>
      </c>
      <c r="J221" s="139">
        <f t="shared" si="222"/>
        <v>370.837343599615</v>
      </c>
      <c r="K221" s="157"/>
      <c r="L221" s="139"/>
      <c r="M221" s="118"/>
      <c r="N221" s="123"/>
      <c r="O221" s="123"/>
      <c r="P221" s="123"/>
      <c r="Q221" s="123"/>
      <c r="R221" s="123"/>
      <c r="S221" s="119"/>
      <c r="T221" s="132"/>
    </row>
    <row r="222" spans="2:20" hidden="1">
      <c r="B222" s="137" t="s">
        <v>10</v>
      </c>
      <c r="C222" s="139">
        <v>698.11</v>
      </c>
      <c r="D222" s="139">
        <f t="shared" si="223"/>
        <v>279.96069939043952</v>
      </c>
      <c r="E222" s="140">
        <v>750.21</v>
      </c>
      <c r="F222" s="141">
        <f t="shared" si="220"/>
        <v>300.85418671799806</v>
      </c>
      <c r="G222" s="140">
        <f>812.45</f>
        <v>812.45</v>
      </c>
      <c r="H222" s="141">
        <f t="shared" si="221"/>
        <v>325.81408405518124</v>
      </c>
      <c r="I222" s="157">
        <v>924.72</v>
      </c>
      <c r="J222" s="139">
        <f t="shared" si="222"/>
        <v>370.837343599615</v>
      </c>
      <c r="K222" s="157"/>
      <c r="L222" s="139"/>
      <c r="M222" s="118"/>
      <c r="N222" s="123"/>
      <c r="O222" s="123"/>
      <c r="P222" s="123"/>
      <c r="Q222" s="123"/>
      <c r="R222" s="123"/>
      <c r="S222" s="119"/>
      <c r="T222" s="132"/>
    </row>
    <row r="223" spans="2:20" hidden="1">
      <c r="B223" s="137" t="s">
        <v>11</v>
      </c>
      <c r="C223" s="139">
        <v>698.11</v>
      </c>
      <c r="D223" s="139">
        <f t="shared" si="223"/>
        <v>279.96069939043952</v>
      </c>
      <c r="E223" s="140">
        <v>750.21</v>
      </c>
      <c r="F223" s="141">
        <f t="shared" si="220"/>
        <v>300.85418671799806</v>
      </c>
      <c r="G223" s="140">
        <v>812.45</v>
      </c>
      <c r="H223" s="141">
        <f t="shared" si="221"/>
        <v>325.81408405518124</v>
      </c>
      <c r="I223" s="157">
        <v>924.72</v>
      </c>
      <c r="J223" s="139">
        <f t="shared" si="222"/>
        <v>370.837343599615</v>
      </c>
      <c r="K223" s="157"/>
      <c r="L223" s="139"/>
      <c r="M223" s="118"/>
      <c r="N223" s="123"/>
      <c r="O223" s="123"/>
      <c r="P223" s="123"/>
      <c r="Q223" s="123"/>
      <c r="R223" s="123"/>
      <c r="S223" s="119"/>
      <c r="T223" s="132"/>
    </row>
    <row r="224" spans="2:20" hidden="1">
      <c r="B224" s="119"/>
      <c r="C224" s="123"/>
      <c r="D224" s="123"/>
      <c r="E224" s="124"/>
      <c r="F224" s="132"/>
      <c r="G224" s="124"/>
      <c r="H224" s="132"/>
      <c r="I224" s="118"/>
      <c r="J224" s="123"/>
      <c r="K224" s="118"/>
      <c r="L224" s="123"/>
      <c r="M224" s="118"/>
      <c r="N224" s="123"/>
      <c r="O224" s="123"/>
      <c r="P224" s="123"/>
      <c r="Q224" s="123"/>
      <c r="R224" s="123"/>
      <c r="S224" s="119"/>
      <c r="T224" s="132"/>
    </row>
    <row r="225" spans="2:20" hidden="1">
      <c r="B225" s="119"/>
      <c r="C225" s="118"/>
      <c r="D225" s="164" t="s">
        <v>31</v>
      </c>
      <c r="E225" s="118"/>
      <c r="F225" s="123"/>
      <c r="G225" s="118"/>
      <c r="H225" s="123"/>
      <c r="I225" s="118"/>
      <c r="J225" s="123"/>
      <c r="K225" s="118"/>
      <c r="L225" s="123"/>
      <c r="M225" s="118"/>
      <c r="N225" s="123"/>
      <c r="O225" s="123"/>
      <c r="P225" s="123"/>
      <c r="Q225" s="123"/>
      <c r="R225" s="123"/>
      <c r="S225" s="119"/>
      <c r="T225" s="132"/>
    </row>
    <row r="226" spans="2:20" hidden="1">
      <c r="B226" s="120" t="s">
        <v>13</v>
      </c>
      <c r="C226" s="118"/>
      <c r="D226" s="124"/>
      <c r="E226" s="118"/>
      <c r="F226" s="119"/>
      <c r="G226" s="122"/>
      <c r="H226" s="119"/>
      <c r="I226" s="122"/>
      <c r="J226" s="119"/>
      <c r="K226" s="122"/>
      <c r="L226" s="119"/>
      <c r="M226" s="122"/>
      <c r="N226" s="119"/>
      <c r="O226" s="119"/>
      <c r="P226" s="119"/>
      <c r="Q226" s="123"/>
      <c r="R226" s="123"/>
      <c r="S226" s="119"/>
      <c r="T226" s="132"/>
    </row>
    <row r="227" spans="2:20" hidden="1">
      <c r="B227" s="120"/>
      <c r="C227" s="118"/>
      <c r="D227" s="124"/>
      <c r="E227" s="118"/>
      <c r="F227" s="124">
        <v>24.35</v>
      </c>
      <c r="G227" s="125" t="s">
        <v>28</v>
      </c>
      <c r="H227" s="120"/>
      <c r="I227" s="122"/>
      <c r="J227" s="119"/>
      <c r="K227" s="122"/>
      <c r="L227" s="119"/>
      <c r="M227" s="122"/>
      <c r="N227" s="119"/>
      <c r="O227" s="119"/>
      <c r="P227" s="119"/>
      <c r="Q227" s="123"/>
      <c r="R227" s="123"/>
      <c r="S227" s="119"/>
      <c r="T227" s="132"/>
    </row>
    <row r="228" spans="2:20" hidden="1">
      <c r="B228" s="120"/>
      <c r="C228" s="118"/>
      <c r="D228" s="124"/>
      <c r="E228" s="118"/>
      <c r="F228" s="124">
        <v>24.35</v>
      </c>
      <c r="G228" s="125" t="s">
        <v>29</v>
      </c>
      <c r="H228" s="120"/>
      <c r="I228" s="125"/>
      <c r="J228" s="120"/>
      <c r="K228" s="122"/>
      <c r="L228" s="119"/>
      <c r="M228" s="122"/>
      <c r="N228" s="119"/>
      <c r="O228" s="119"/>
      <c r="P228" s="119"/>
      <c r="Q228" s="123"/>
      <c r="R228" s="123"/>
      <c r="S228" s="119"/>
      <c r="T228" s="132"/>
    </row>
    <row r="229" spans="2:20" hidden="1">
      <c r="B229" s="137"/>
      <c r="C229" s="140">
        <v>1994</v>
      </c>
      <c r="D229" s="140" t="s">
        <v>15</v>
      </c>
      <c r="E229" s="140">
        <v>1995</v>
      </c>
      <c r="F229" s="140" t="s">
        <v>15</v>
      </c>
      <c r="G229" s="140">
        <v>1996</v>
      </c>
      <c r="H229" s="140" t="s">
        <v>15</v>
      </c>
      <c r="I229" s="140">
        <v>1997</v>
      </c>
      <c r="J229" s="140" t="s">
        <v>15</v>
      </c>
      <c r="K229" s="140">
        <v>1998</v>
      </c>
      <c r="L229" s="140" t="s">
        <v>15</v>
      </c>
      <c r="M229" s="140">
        <v>1999</v>
      </c>
      <c r="N229" s="140" t="s">
        <v>15</v>
      </c>
      <c r="O229" s="124"/>
      <c r="P229" s="124"/>
    </row>
    <row r="230" spans="2:20" hidden="1">
      <c r="B230" s="137" t="s">
        <v>0</v>
      </c>
      <c r="C230" s="157"/>
      <c r="D230" s="139"/>
      <c r="E230" s="157">
        <v>26.48</v>
      </c>
      <c r="F230" s="139">
        <f>100*$E$230/24.35</f>
        <v>108.74743326488706</v>
      </c>
      <c r="G230" s="157">
        <v>34.19</v>
      </c>
      <c r="H230" s="139">
        <f>100*$G$230/24.35</f>
        <v>140.4106776180698</v>
      </c>
      <c r="I230" s="157">
        <v>41.88</v>
      </c>
      <c r="J230" s="139">
        <f>100*$I$230/24.35</f>
        <v>171.99178644763859</v>
      </c>
      <c r="K230" s="157">
        <v>44.85</v>
      </c>
      <c r="L230" s="139">
        <f>100*$K$230/24.35</f>
        <v>184.18891170431209</v>
      </c>
      <c r="M230" s="157">
        <v>46.12</v>
      </c>
      <c r="N230" s="139">
        <f>+$L$241</f>
        <v>189.40451745379875</v>
      </c>
      <c r="O230" s="123"/>
      <c r="P230" s="123"/>
    </row>
    <row r="231" spans="2:20" hidden="1">
      <c r="B231" s="137" t="s">
        <v>1</v>
      </c>
      <c r="C231" s="157"/>
      <c r="D231" s="139"/>
      <c r="E231" s="157">
        <v>26.48</v>
      </c>
      <c r="F231" s="139">
        <f>100*$E$231/24.35</f>
        <v>108.74743326488706</v>
      </c>
      <c r="G231" s="157">
        <v>34.19</v>
      </c>
      <c r="H231" s="139">
        <f>100*$G$231/24.35</f>
        <v>140.4106776180698</v>
      </c>
      <c r="I231" s="157">
        <v>41.88</v>
      </c>
      <c r="J231" s="139">
        <f>100*$I$231/24.35</f>
        <v>171.99178644763859</v>
      </c>
      <c r="K231" s="157">
        <v>44.85</v>
      </c>
      <c r="L231" s="139">
        <f>100*$K$231/24.35</f>
        <v>184.18891170431209</v>
      </c>
      <c r="M231" s="157">
        <v>46.12</v>
      </c>
      <c r="N231" s="139">
        <f>+$L$241</f>
        <v>189.40451745379875</v>
      </c>
      <c r="O231" s="123"/>
      <c r="P231" s="123"/>
    </row>
    <row r="232" spans="2:20" hidden="1">
      <c r="B232" s="137" t="s">
        <v>2</v>
      </c>
      <c r="C232" s="157"/>
      <c r="D232" s="139"/>
      <c r="E232" s="157">
        <v>28.21</v>
      </c>
      <c r="F232" s="139">
        <f>100*$E$232/24.35</f>
        <v>115.85215605749487</v>
      </c>
      <c r="G232" s="157">
        <v>34.19</v>
      </c>
      <c r="H232" s="139">
        <f>100*$G$232/24.35</f>
        <v>140.4106776180698</v>
      </c>
      <c r="I232" s="157">
        <v>41.88</v>
      </c>
      <c r="J232" s="139">
        <f>100*$I$232/24.35</f>
        <v>171.99178644763859</v>
      </c>
      <c r="K232" s="157">
        <v>44.85</v>
      </c>
      <c r="L232" s="139">
        <f>100*$K$232/24.35</f>
        <v>184.18891170431209</v>
      </c>
      <c r="M232" s="157">
        <v>46.12</v>
      </c>
      <c r="N232" s="139">
        <f>+$N$230</f>
        <v>189.40451745379875</v>
      </c>
      <c r="O232" s="123"/>
      <c r="P232" s="123"/>
    </row>
    <row r="233" spans="2:20" hidden="1">
      <c r="B233" s="137" t="s">
        <v>3</v>
      </c>
      <c r="C233" s="157"/>
      <c r="D233" s="139"/>
      <c r="E233" s="157">
        <v>28.21</v>
      </c>
      <c r="F233" s="139">
        <f>100*$E$233/24.35</f>
        <v>115.85215605749487</v>
      </c>
      <c r="G233" s="157">
        <v>34.19</v>
      </c>
      <c r="H233" s="139">
        <f>100*$G$233/24.35</f>
        <v>140.4106776180698</v>
      </c>
      <c r="I233" s="157">
        <v>41.91</v>
      </c>
      <c r="J233" s="139">
        <f>100*$I$233/24.35</f>
        <v>172.11498973305953</v>
      </c>
      <c r="K233" s="157">
        <v>44.85</v>
      </c>
      <c r="L233" s="139">
        <f>100*$K$233/24.35</f>
        <v>184.18891170431209</v>
      </c>
      <c r="M233" s="157">
        <v>46.17</v>
      </c>
      <c r="N233" s="139">
        <f>+$N$232</f>
        <v>189.40451745379875</v>
      </c>
      <c r="O233" s="123"/>
      <c r="P233" s="123"/>
    </row>
    <row r="234" spans="2:20" hidden="1">
      <c r="B234" s="137" t="s">
        <v>4</v>
      </c>
      <c r="C234" s="157"/>
      <c r="D234" s="139"/>
      <c r="E234" s="157">
        <v>30.92</v>
      </c>
      <c r="F234" s="139">
        <f>100*$E$234/24.35</f>
        <v>126.98151950718685</v>
      </c>
      <c r="G234" s="157">
        <v>35.299999999999997</v>
      </c>
      <c r="H234" s="139">
        <f>100*$G$233/24.35</f>
        <v>140.4106776180698</v>
      </c>
      <c r="I234" s="157">
        <v>42.06</v>
      </c>
      <c r="J234" s="139">
        <f>100*$I$234/24.35</f>
        <v>172.73100616016427</v>
      </c>
      <c r="K234" s="157">
        <v>44.85</v>
      </c>
      <c r="L234" s="139">
        <f>100*$K$234/24.35</f>
        <v>184.18891170431209</v>
      </c>
      <c r="M234" s="157">
        <v>46.9</v>
      </c>
      <c r="N234" s="139">
        <f>+$N$233</f>
        <v>189.40451745379875</v>
      </c>
      <c r="O234" s="123"/>
      <c r="P234" s="123"/>
    </row>
    <row r="235" spans="2:20" hidden="1">
      <c r="B235" s="137" t="s">
        <v>5</v>
      </c>
      <c r="C235" s="157"/>
      <c r="D235" s="139"/>
      <c r="E235" s="157">
        <v>33.71</v>
      </c>
      <c r="F235" s="139">
        <f>100*$E$235/24.35</f>
        <v>138.43942505133469</v>
      </c>
      <c r="G235" s="157">
        <v>35.299999999999997</v>
      </c>
      <c r="H235" s="139">
        <f>100*$G$235/24.35</f>
        <v>144.96919917864474</v>
      </c>
      <c r="I235" s="157">
        <v>43.68</v>
      </c>
      <c r="J235" s="139">
        <f>100*$I$235/24.35</f>
        <v>179.38398357289526</v>
      </c>
      <c r="K235" s="157">
        <v>44.85</v>
      </c>
      <c r="L235" s="139">
        <f>100*$K$235/24.35</f>
        <v>184.18891170431209</v>
      </c>
      <c r="M235" s="157">
        <v>47.07</v>
      </c>
      <c r="N235" s="139">
        <f>+$N$234</f>
        <v>189.40451745379875</v>
      </c>
      <c r="O235" s="123"/>
      <c r="P235" s="123"/>
    </row>
    <row r="236" spans="2:20" hidden="1">
      <c r="B236" s="137" t="s">
        <v>6</v>
      </c>
      <c r="C236" s="157">
        <v>24.35</v>
      </c>
      <c r="D236" s="139">
        <f>100*$C$236/24.35</f>
        <v>100</v>
      </c>
      <c r="E236" s="157">
        <v>33.99</v>
      </c>
      <c r="F236" s="139">
        <f>100*$E$236/24.35</f>
        <v>139.58932238193017</v>
      </c>
      <c r="G236" s="157">
        <v>38.869999999999997</v>
      </c>
      <c r="H236" s="139">
        <f>100*$G$236/24.35</f>
        <v>159.63039014373715</v>
      </c>
      <c r="I236" s="157">
        <v>44.89</v>
      </c>
      <c r="J236" s="139">
        <f>100*$I$236/24.35</f>
        <v>184.35318275154003</v>
      </c>
      <c r="K236" s="157">
        <v>45.19</v>
      </c>
      <c r="L236" s="139">
        <f>100*$K$236/24.35</f>
        <v>185.58521560574948</v>
      </c>
      <c r="M236" s="157">
        <v>47.5</v>
      </c>
      <c r="N236" s="139">
        <f>$M$236*100/24.35</f>
        <v>195.0718685831622</v>
      </c>
      <c r="O236" s="123"/>
      <c r="P236" s="123"/>
    </row>
    <row r="237" spans="2:20" hidden="1">
      <c r="B237" s="137" t="s">
        <v>7</v>
      </c>
      <c r="C237" s="157">
        <v>24.35</v>
      </c>
      <c r="D237" s="139">
        <f>100*$C$237/24.35</f>
        <v>100</v>
      </c>
      <c r="E237" s="157">
        <v>34.03</v>
      </c>
      <c r="F237" s="139">
        <f>100*$E$237/24.35</f>
        <v>139.75359342915812</v>
      </c>
      <c r="G237" s="157">
        <v>40.840000000000003</v>
      </c>
      <c r="H237" s="139">
        <f>100*$G$237/24.35</f>
        <v>167.72073921971253</v>
      </c>
      <c r="I237" s="157">
        <v>44.89</v>
      </c>
      <c r="J237" s="139">
        <f>100*$I$237/24.35</f>
        <v>184.35318275154003</v>
      </c>
      <c r="K237" s="157">
        <v>46.12</v>
      </c>
      <c r="L237" s="139">
        <f>100*$K$237/24.35</f>
        <v>189.40451745379875</v>
      </c>
      <c r="M237" s="157">
        <v>47.5</v>
      </c>
      <c r="N237" s="139">
        <f>M237*100/24.35</f>
        <v>195.0718685831622</v>
      </c>
      <c r="O237" s="123"/>
      <c r="P237" s="123"/>
    </row>
    <row r="238" spans="2:20" hidden="1">
      <c r="B238" s="137" t="s">
        <v>8</v>
      </c>
      <c r="C238" s="157">
        <f>+$C$237*$D$238/100</f>
        <v>25.328870000000002</v>
      </c>
      <c r="D238" s="139">
        <v>104.02</v>
      </c>
      <c r="E238" s="157">
        <v>34.03</v>
      </c>
      <c r="F238" s="139">
        <f>100*$E$238/24.35</f>
        <v>139.75359342915812</v>
      </c>
      <c r="G238" s="157">
        <v>40.840000000000003</v>
      </c>
      <c r="H238" s="139">
        <f>100*$G$238/24.35</f>
        <v>167.72073921971253</v>
      </c>
      <c r="I238" s="157">
        <v>44.89</v>
      </c>
      <c r="J238" s="139">
        <f>100*$I$238/24.35</f>
        <v>184.35318275154003</v>
      </c>
      <c r="K238" s="157">
        <v>46.12</v>
      </c>
      <c r="L238" s="139">
        <f>100*$K$238/24.35</f>
        <v>189.40451745379875</v>
      </c>
      <c r="M238" s="157">
        <v>47.5</v>
      </c>
      <c r="N238" s="139">
        <f>M238*100/24.35</f>
        <v>195.0718685831622</v>
      </c>
      <c r="O238" s="123"/>
      <c r="P238" s="123"/>
    </row>
    <row r="239" spans="2:20" hidden="1">
      <c r="B239" s="137" t="s">
        <v>9</v>
      </c>
      <c r="C239" s="157">
        <v>25.79</v>
      </c>
      <c r="D239" s="139">
        <f>100*$C$239/24.35</f>
        <v>105.91375770020534</v>
      </c>
      <c r="E239" s="157">
        <v>34.14</v>
      </c>
      <c r="F239" s="139">
        <f>100*$E$239/24.35</f>
        <v>140.20533880903491</v>
      </c>
      <c r="G239" s="157">
        <v>40.840000000000003</v>
      </c>
      <c r="H239" s="139">
        <f>100*$G$239/24.35</f>
        <v>167.72073921971253</v>
      </c>
      <c r="I239" s="157">
        <v>44.89</v>
      </c>
      <c r="J239" s="139">
        <f>100*$I$239/24.35</f>
        <v>184.35318275154003</v>
      </c>
      <c r="K239" s="157">
        <v>46.12</v>
      </c>
      <c r="L239" s="139">
        <f>100*$K$239/24.35</f>
        <v>189.40451745379875</v>
      </c>
      <c r="M239" s="157">
        <v>47.5</v>
      </c>
      <c r="N239" s="139">
        <f>M239*100/24.35</f>
        <v>195.0718685831622</v>
      </c>
      <c r="O239" s="123"/>
      <c r="P239" s="123"/>
    </row>
    <row r="240" spans="2:20" hidden="1">
      <c r="B240" s="137" t="s">
        <v>10</v>
      </c>
      <c r="C240" s="157">
        <v>25.79</v>
      </c>
      <c r="D240" s="139">
        <f>100*$C$240/24.35</f>
        <v>105.91375770020534</v>
      </c>
      <c r="E240" s="157">
        <v>34.19</v>
      </c>
      <c r="F240" s="139">
        <f>100*$E$240/24.35</f>
        <v>140.4106776180698</v>
      </c>
      <c r="G240" s="157">
        <v>41.88</v>
      </c>
      <c r="H240" s="139">
        <f>100*$G$240/24.35</f>
        <v>171.99178644763859</v>
      </c>
      <c r="I240" s="157">
        <v>44.89</v>
      </c>
      <c r="J240" s="139">
        <f>100*$I$240/24.35</f>
        <v>184.35318275154003</v>
      </c>
      <c r="K240" s="157">
        <v>46.12</v>
      </c>
      <c r="L240" s="139">
        <f>100*$K$240/24.35</f>
        <v>189.40451745379875</v>
      </c>
      <c r="M240" s="157">
        <v>47.5</v>
      </c>
      <c r="N240" s="139">
        <f>M240*100/24.35</f>
        <v>195.0718685831622</v>
      </c>
      <c r="O240" s="123"/>
      <c r="P240" s="123"/>
    </row>
    <row r="241" spans="2:20" hidden="1">
      <c r="B241" s="137" t="s">
        <v>11</v>
      </c>
      <c r="C241" s="157">
        <v>26.48</v>
      </c>
      <c r="D241" s="139">
        <f>100*$C$241/24.35</f>
        <v>108.74743326488706</v>
      </c>
      <c r="E241" s="157">
        <v>34.19</v>
      </c>
      <c r="F241" s="139">
        <f>100*$E$241/24.35</f>
        <v>140.4106776180698</v>
      </c>
      <c r="G241" s="157">
        <v>41.88</v>
      </c>
      <c r="H241" s="139">
        <f>100*$G$241/24.35</f>
        <v>171.99178644763859</v>
      </c>
      <c r="I241" s="157">
        <v>44.89</v>
      </c>
      <c r="J241" s="139">
        <f>100*$I$241/24.35</f>
        <v>184.35318275154003</v>
      </c>
      <c r="K241" s="157">
        <v>46.12</v>
      </c>
      <c r="L241" s="139">
        <f>100*$K$241/24.35</f>
        <v>189.40451745379875</v>
      </c>
      <c r="M241" s="157">
        <v>47.5</v>
      </c>
      <c r="N241" s="139">
        <f>M241*100/24.35</f>
        <v>195.0718685831622</v>
      </c>
      <c r="O241" s="123"/>
      <c r="P241" s="123"/>
    </row>
    <row r="242" spans="2:20" hidden="1">
      <c r="B242" s="119"/>
      <c r="C242" s="118"/>
      <c r="D242" s="123"/>
      <c r="E242" s="118"/>
      <c r="F242" s="123"/>
      <c r="G242" s="118"/>
      <c r="H242" s="123"/>
      <c r="I242" s="118"/>
      <c r="J242" s="123"/>
      <c r="K242" s="118"/>
      <c r="L242" s="123"/>
      <c r="M242" s="118"/>
      <c r="N242" s="123"/>
      <c r="O242" s="123"/>
      <c r="P242" s="123"/>
    </row>
    <row r="243" spans="2:20" hidden="1">
      <c r="B243" s="119"/>
      <c r="C243" s="118"/>
      <c r="D243" s="123"/>
      <c r="E243" s="118"/>
      <c r="F243" s="123"/>
      <c r="G243" s="118"/>
      <c r="H243" s="123"/>
      <c r="I243" s="118"/>
      <c r="J243" s="123"/>
      <c r="K243" s="118"/>
      <c r="L243" s="123"/>
      <c r="M243" s="118"/>
      <c r="N243" s="123"/>
      <c r="O243" s="123"/>
      <c r="P243" s="123"/>
    </row>
    <row r="244" spans="2:20" hidden="1">
      <c r="B244" s="119"/>
      <c r="C244" s="118"/>
      <c r="D244" s="123"/>
      <c r="E244" s="118"/>
      <c r="F244" s="123"/>
      <c r="G244" s="118"/>
      <c r="H244" s="123"/>
      <c r="I244" s="118"/>
      <c r="J244" s="123"/>
      <c r="K244" s="118"/>
      <c r="L244" s="123"/>
      <c r="M244" s="118"/>
      <c r="N244" s="123"/>
      <c r="O244" s="123"/>
      <c r="P244" s="123"/>
    </row>
    <row r="245" spans="2:20" hidden="1">
      <c r="B245" s="120" t="s">
        <v>125</v>
      </c>
      <c r="C245" s="118"/>
      <c r="D245" s="124"/>
      <c r="E245" s="118"/>
      <c r="F245" s="123"/>
      <c r="G245" s="118"/>
      <c r="H245" s="123"/>
      <c r="I245" s="118"/>
      <c r="J245" s="123"/>
      <c r="K245" s="118"/>
      <c r="L245" s="123"/>
      <c r="M245" s="118"/>
      <c r="N245" s="123"/>
      <c r="O245" s="123"/>
      <c r="P245" s="123"/>
      <c r="Q245" s="123"/>
      <c r="R245" s="123"/>
      <c r="S245" s="119"/>
      <c r="T245" s="132"/>
    </row>
    <row r="246" spans="2:20" hidden="1">
      <c r="B246" s="137"/>
      <c r="C246" s="138">
        <v>2000</v>
      </c>
      <c r="D246" s="139" t="s">
        <v>15</v>
      </c>
      <c r="E246" s="138">
        <v>2001</v>
      </c>
      <c r="F246" s="139" t="s">
        <v>15</v>
      </c>
      <c r="G246" s="138">
        <v>2002</v>
      </c>
      <c r="H246" s="139" t="s">
        <v>15</v>
      </c>
      <c r="I246" s="138">
        <v>2003</v>
      </c>
      <c r="J246" s="139" t="s">
        <v>15</v>
      </c>
      <c r="K246" s="138">
        <v>2004</v>
      </c>
      <c r="L246" s="139" t="s">
        <v>15</v>
      </c>
      <c r="M246" s="118"/>
      <c r="N246" s="123"/>
      <c r="O246" s="123"/>
      <c r="P246" s="123"/>
      <c r="Q246" s="123"/>
      <c r="R246" s="123"/>
      <c r="S246" s="119"/>
      <c r="T246" s="132"/>
    </row>
    <row r="247" spans="2:20" hidden="1">
      <c r="B247" s="137" t="s">
        <v>0</v>
      </c>
      <c r="C247" s="139">
        <v>47.67</v>
      </c>
      <c r="D247" s="139">
        <f>100*C247/F228</f>
        <v>195.77002053388088</v>
      </c>
      <c r="E247" s="140">
        <v>108.25</v>
      </c>
      <c r="F247" s="141">
        <f>+D258</f>
        <v>444.55852156057495</v>
      </c>
      <c r="G247" s="140">
        <v>114.18</v>
      </c>
      <c r="H247" s="141">
        <f>+F258</f>
        <v>468.91170431211498</v>
      </c>
      <c r="I247" s="140">
        <v>122.93</v>
      </c>
      <c r="J247" s="141">
        <f t="shared" ref="J247:L258" si="224">100*I247/$F$228</f>
        <v>504.8459958932238</v>
      </c>
      <c r="K247" s="140">
        <v>142.79</v>
      </c>
      <c r="L247" s="141">
        <f t="shared" si="224"/>
        <v>586.40657084188911</v>
      </c>
      <c r="M247" s="118"/>
      <c r="N247" s="123"/>
      <c r="O247" s="123"/>
      <c r="P247" s="123"/>
      <c r="Q247" s="123"/>
      <c r="R247" s="123"/>
      <c r="S247" s="119"/>
      <c r="T247" s="132"/>
    </row>
    <row r="248" spans="2:20" hidden="1">
      <c r="B248" s="137" t="s">
        <v>1</v>
      </c>
      <c r="C248" s="139">
        <v>47.67</v>
      </c>
      <c r="D248" s="139">
        <f>100*C248/F228</f>
        <v>195.77002053388088</v>
      </c>
      <c r="E248" s="140">
        <v>108.25</v>
      </c>
      <c r="F248" s="141">
        <f>+D258</f>
        <v>444.55852156057495</v>
      </c>
      <c r="G248" s="140">
        <v>114.21</v>
      </c>
      <c r="H248" s="141">
        <f>+F258</f>
        <v>468.91170431211498</v>
      </c>
      <c r="I248" s="157">
        <v>124.2</v>
      </c>
      <c r="J248" s="141">
        <f t="shared" si="224"/>
        <v>510.06160164271046</v>
      </c>
      <c r="K248" s="157">
        <v>145.21</v>
      </c>
      <c r="L248" s="158">
        <f t="shared" si="224"/>
        <v>596.34496919917865</v>
      </c>
      <c r="M248" s="118"/>
      <c r="N248" s="123"/>
      <c r="O248" s="123"/>
      <c r="P248" s="123"/>
      <c r="Q248" s="123"/>
      <c r="R248" s="123"/>
      <c r="S248" s="119"/>
      <c r="T248" s="132"/>
    </row>
    <row r="249" spans="2:20" hidden="1">
      <c r="B249" s="137" t="s">
        <v>2</v>
      </c>
      <c r="C249" s="139">
        <v>47.67</v>
      </c>
      <c r="D249" s="139">
        <f>100*C249/F228</f>
        <v>195.77002053388088</v>
      </c>
      <c r="E249" s="140">
        <v>108.25</v>
      </c>
      <c r="F249" s="141">
        <f>+F248</f>
        <v>444.55852156057495</v>
      </c>
      <c r="G249" s="140">
        <v>114.21</v>
      </c>
      <c r="H249" s="141">
        <f>+H248</f>
        <v>468.91170431211498</v>
      </c>
      <c r="I249" s="157">
        <v>124.59</v>
      </c>
      <c r="J249" s="141">
        <f t="shared" si="224"/>
        <v>511.66324435318273</v>
      </c>
      <c r="K249" s="157">
        <v>145.66999999999999</v>
      </c>
      <c r="L249" s="158">
        <f t="shared" si="224"/>
        <v>598.23408624229967</v>
      </c>
      <c r="M249" s="118"/>
      <c r="N249" s="123"/>
      <c r="O249" s="123"/>
      <c r="P249" s="123"/>
      <c r="Q249" s="123"/>
      <c r="R249" s="123"/>
      <c r="S249" s="119"/>
      <c r="T249" s="132"/>
    </row>
    <row r="250" spans="2:20" hidden="1">
      <c r="B250" s="137" t="s">
        <v>3</v>
      </c>
      <c r="C250" s="139">
        <v>106.47</v>
      </c>
      <c r="D250" s="139">
        <f>100*C250/C236</f>
        <v>437.24845995893219</v>
      </c>
      <c r="E250" s="140">
        <v>108.25</v>
      </c>
      <c r="F250" s="141">
        <f>+F249</f>
        <v>444.55852156057495</v>
      </c>
      <c r="G250" s="140">
        <v>114.21</v>
      </c>
      <c r="H250" s="141">
        <f>+H249</f>
        <v>468.91170431211498</v>
      </c>
      <c r="I250" s="157">
        <v>124.59</v>
      </c>
      <c r="J250" s="141">
        <f t="shared" si="224"/>
        <v>511.66324435318273</v>
      </c>
      <c r="K250" s="157">
        <v>145.66999999999999</v>
      </c>
      <c r="L250" s="158">
        <f t="shared" si="224"/>
        <v>598.23408624229967</v>
      </c>
      <c r="M250" s="118"/>
      <c r="N250" s="123"/>
      <c r="O250" s="123"/>
      <c r="P250" s="123"/>
      <c r="Q250" s="123"/>
      <c r="R250" s="123"/>
      <c r="S250" s="119"/>
      <c r="T250" s="132"/>
    </row>
    <row r="251" spans="2:20" hidden="1">
      <c r="B251" s="137" t="s">
        <v>4</v>
      </c>
      <c r="C251" s="139">
        <v>106.47</v>
      </c>
      <c r="D251" s="139">
        <f>100*C251/C237</f>
        <v>437.24845995893219</v>
      </c>
      <c r="E251" s="140">
        <v>111.71</v>
      </c>
      <c r="F251" s="141">
        <f>100*((E251/$F$228))</f>
        <v>458.76796714579046</v>
      </c>
      <c r="G251" s="140">
        <v>118.03</v>
      </c>
      <c r="H251" s="141">
        <f>+H250</f>
        <v>468.91170431211498</v>
      </c>
      <c r="I251" s="157">
        <v>128.41999999999999</v>
      </c>
      <c r="J251" s="139">
        <f t="shared" si="224"/>
        <v>527.39219712525653</v>
      </c>
      <c r="K251" s="157">
        <v>149.38</v>
      </c>
      <c r="L251" s="158">
        <f t="shared" si="224"/>
        <v>613.47022587268987</v>
      </c>
      <c r="M251" s="118"/>
      <c r="N251" s="123"/>
      <c r="O251" s="123"/>
      <c r="P251" s="123"/>
      <c r="Q251" s="123"/>
      <c r="R251" s="123"/>
      <c r="S251" s="119"/>
      <c r="T251" s="132"/>
    </row>
    <row r="252" spans="2:20" hidden="1">
      <c r="B252" s="137" t="s">
        <v>5</v>
      </c>
      <c r="C252" s="139">
        <v>106.47</v>
      </c>
      <c r="D252" s="139">
        <v>437.25</v>
      </c>
      <c r="E252" s="140">
        <v>111.71</v>
      </c>
      <c r="F252" s="141">
        <f t="shared" ref="F252:F258" si="225">100*((E252/$F$228))</f>
        <v>458.76796714579046</v>
      </c>
      <c r="G252" s="140">
        <v>118.03</v>
      </c>
      <c r="H252" s="141">
        <f>+H251</f>
        <v>468.91170431211498</v>
      </c>
      <c r="I252" s="157">
        <v>128.41999999999999</v>
      </c>
      <c r="J252" s="139">
        <f t="shared" si="224"/>
        <v>527.39219712525653</v>
      </c>
      <c r="K252" s="157">
        <v>149.38</v>
      </c>
      <c r="L252" s="158">
        <f t="shared" si="224"/>
        <v>613.47022587268987</v>
      </c>
      <c r="M252" s="118"/>
      <c r="N252" s="123"/>
      <c r="O252" s="123"/>
      <c r="P252" s="123"/>
      <c r="Q252" s="123"/>
      <c r="R252" s="123"/>
      <c r="S252" s="119"/>
      <c r="T252" s="132"/>
    </row>
    <row r="253" spans="2:20" hidden="1">
      <c r="B253" s="137" t="s">
        <v>6</v>
      </c>
      <c r="C253" s="139">
        <v>108.25</v>
      </c>
      <c r="D253" s="139">
        <f t="shared" ref="D253:D258" si="226">100*C253/24.35</f>
        <v>444.55852156057495</v>
      </c>
      <c r="E253" s="140">
        <v>114.18</v>
      </c>
      <c r="F253" s="141">
        <f>100*((E253/$F$228))</f>
        <v>468.91170431211498</v>
      </c>
      <c r="G253" s="140">
        <v>122.54</v>
      </c>
      <c r="H253" s="141">
        <f t="shared" ref="H253:H258" si="227">100*G253/$F$228</f>
        <v>503.24435318275152</v>
      </c>
      <c r="I253" s="157">
        <v>141.49</v>
      </c>
      <c r="J253" s="139">
        <f t="shared" si="224"/>
        <v>581.06776180698148</v>
      </c>
      <c r="K253" s="157">
        <v>154.44</v>
      </c>
      <c r="L253" s="158">
        <f t="shared" si="224"/>
        <v>634.25051334702255</v>
      </c>
      <c r="M253" s="118"/>
      <c r="N253" s="123"/>
      <c r="O253" s="123"/>
      <c r="P253" s="123"/>
      <c r="Q253" s="123"/>
      <c r="R253" s="123"/>
      <c r="S253" s="119"/>
      <c r="T253" s="132"/>
    </row>
    <row r="254" spans="2:20" hidden="1">
      <c r="B254" s="137" t="s">
        <v>7</v>
      </c>
      <c r="C254" s="139">
        <v>108.25</v>
      </c>
      <c r="D254" s="139">
        <f t="shared" si="226"/>
        <v>444.55852156057495</v>
      </c>
      <c r="E254" s="140">
        <v>114.18</v>
      </c>
      <c r="F254" s="141">
        <f t="shared" si="225"/>
        <v>468.91170431211498</v>
      </c>
      <c r="G254" s="140">
        <v>122.54</v>
      </c>
      <c r="H254" s="141">
        <f t="shared" si="227"/>
        <v>503.24435318275152</v>
      </c>
      <c r="I254" s="157">
        <v>142.18</v>
      </c>
      <c r="J254" s="139">
        <f t="shared" si="224"/>
        <v>583.90143737166318</v>
      </c>
      <c r="K254" s="163" t="s">
        <v>181</v>
      </c>
      <c r="L254" s="158"/>
      <c r="M254" s="118"/>
      <c r="N254" s="123"/>
      <c r="O254" s="123"/>
      <c r="P254" s="123"/>
      <c r="Q254" s="123"/>
      <c r="R254" s="123"/>
      <c r="S254" s="119"/>
      <c r="T254" s="132"/>
    </row>
    <row r="255" spans="2:20" hidden="1">
      <c r="B255" s="137" t="s">
        <v>8</v>
      </c>
      <c r="C255" s="139">
        <v>108.25</v>
      </c>
      <c r="D255" s="139">
        <f t="shared" si="226"/>
        <v>444.55852156057495</v>
      </c>
      <c r="E255" s="140">
        <v>114.18</v>
      </c>
      <c r="F255" s="141">
        <f>100*((E255/$F$228))</f>
        <v>468.91170431211498</v>
      </c>
      <c r="G255" s="140">
        <v>122.54</v>
      </c>
      <c r="H255" s="141">
        <f t="shared" si="227"/>
        <v>503.24435318275152</v>
      </c>
      <c r="I255" s="157">
        <v>142.33000000000001</v>
      </c>
      <c r="J255" s="139">
        <f t="shared" si="224"/>
        <v>584.51745379876797</v>
      </c>
      <c r="K255" s="157"/>
      <c r="L255" s="158"/>
      <c r="M255" s="118"/>
      <c r="N255" s="123"/>
      <c r="O255" s="123"/>
      <c r="P255" s="123"/>
      <c r="Q255" s="123"/>
      <c r="R255" s="123"/>
      <c r="S255" s="119"/>
      <c r="T255" s="132"/>
    </row>
    <row r="256" spans="2:20" hidden="1">
      <c r="B256" s="137" t="s">
        <v>9</v>
      </c>
      <c r="C256" s="139">
        <v>108.25</v>
      </c>
      <c r="D256" s="139">
        <f t="shared" si="226"/>
        <v>444.55852156057495</v>
      </c>
      <c r="E256" s="140">
        <v>114.18</v>
      </c>
      <c r="F256" s="141">
        <f t="shared" si="225"/>
        <v>468.91170431211498</v>
      </c>
      <c r="G256" s="140">
        <v>122.93</v>
      </c>
      <c r="H256" s="141">
        <f t="shared" si="227"/>
        <v>504.8459958932238</v>
      </c>
      <c r="I256" s="157">
        <v>142.79</v>
      </c>
      <c r="J256" s="139">
        <f t="shared" si="224"/>
        <v>586.40657084188911</v>
      </c>
      <c r="K256" s="157"/>
      <c r="L256" s="158"/>
      <c r="M256" s="118"/>
      <c r="N256" s="123"/>
      <c r="O256" s="123"/>
      <c r="P256" s="123"/>
      <c r="Q256" s="123"/>
      <c r="R256" s="123"/>
      <c r="S256" s="119"/>
      <c r="T256" s="132"/>
    </row>
    <row r="257" spans="2:20" hidden="1">
      <c r="B257" s="137" t="s">
        <v>10</v>
      </c>
      <c r="C257" s="139">
        <v>108.25</v>
      </c>
      <c r="D257" s="139">
        <f t="shared" si="226"/>
        <v>444.55852156057495</v>
      </c>
      <c r="E257" s="140">
        <v>114.18</v>
      </c>
      <c r="F257" s="141">
        <f t="shared" si="225"/>
        <v>468.91170431211498</v>
      </c>
      <c r="G257" s="140">
        <v>122.93</v>
      </c>
      <c r="H257" s="141">
        <f t="shared" si="227"/>
        <v>504.8459958932238</v>
      </c>
      <c r="I257" s="157">
        <v>142.79</v>
      </c>
      <c r="J257" s="139">
        <f t="shared" si="224"/>
        <v>586.40657084188911</v>
      </c>
      <c r="K257" s="157"/>
      <c r="L257" s="158"/>
      <c r="M257" s="118"/>
      <c r="N257" s="123"/>
      <c r="O257" s="123"/>
      <c r="P257" s="123"/>
      <c r="Q257" s="123"/>
      <c r="R257" s="123"/>
      <c r="S257" s="119"/>
      <c r="T257" s="132"/>
    </row>
    <row r="258" spans="2:20" hidden="1">
      <c r="B258" s="137" t="s">
        <v>11</v>
      </c>
      <c r="C258" s="139">
        <v>108.25</v>
      </c>
      <c r="D258" s="139">
        <f t="shared" si="226"/>
        <v>444.55852156057495</v>
      </c>
      <c r="E258" s="140">
        <v>114.18</v>
      </c>
      <c r="F258" s="141">
        <f t="shared" si="225"/>
        <v>468.91170431211498</v>
      </c>
      <c r="G258" s="140">
        <v>122.93</v>
      </c>
      <c r="H258" s="141">
        <f t="shared" si="227"/>
        <v>504.8459958932238</v>
      </c>
      <c r="I258" s="157">
        <v>142.79</v>
      </c>
      <c r="J258" s="139">
        <f t="shared" si="224"/>
        <v>586.40657084188911</v>
      </c>
      <c r="K258" s="157"/>
      <c r="L258" s="158"/>
      <c r="M258" s="118"/>
      <c r="N258" s="123"/>
      <c r="O258" s="123"/>
      <c r="P258" s="123"/>
      <c r="Q258" s="123"/>
      <c r="R258" s="123"/>
      <c r="S258" s="119"/>
      <c r="T258" s="132"/>
    </row>
    <row r="259" spans="2:20" hidden="1">
      <c r="B259" s="119"/>
      <c r="C259" s="123"/>
      <c r="D259" s="123"/>
      <c r="E259" s="119"/>
      <c r="F259" s="132"/>
      <c r="G259" s="118"/>
      <c r="H259" s="123"/>
      <c r="I259" s="118"/>
      <c r="J259" s="123"/>
      <c r="K259" s="118"/>
      <c r="L259" s="156"/>
      <c r="M259" s="118"/>
      <c r="N259" s="123"/>
      <c r="O259" s="123"/>
      <c r="P259" s="123"/>
      <c r="Q259" s="123"/>
      <c r="R259" s="123"/>
      <c r="S259" s="119"/>
      <c r="T259" s="132"/>
    </row>
    <row r="260" spans="2:20" ht="15.75" thickBot="1">
      <c r="B260" s="119"/>
      <c r="C260" s="123"/>
      <c r="D260" s="123"/>
      <c r="E260" s="119"/>
      <c r="F260" s="132"/>
      <c r="G260" s="118"/>
      <c r="H260" s="123"/>
      <c r="I260" s="118"/>
      <c r="J260" s="123"/>
      <c r="K260" s="118"/>
      <c r="L260" s="156"/>
      <c r="M260" s="118"/>
      <c r="N260" s="123"/>
      <c r="O260" s="123"/>
      <c r="P260" s="123"/>
      <c r="Q260" s="123"/>
      <c r="R260" s="123"/>
      <c r="S260" s="119"/>
      <c r="T260" s="132"/>
    </row>
    <row r="261" spans="2:20" ht="18.75" thickBot="1">
      <c r="B261" s="1320" t="s">
        <v>179</v>
      </c>
      <c r="C261" s="1321"/>
      <c r="D261" s="1321"/>
      <c r="E261" s="1321"/>
      <c r="F261" s="1321"/>
      <c r="G261" s="1321"/>
      <c r="H261" s="1321"/>
      <c r="I261" s="1321"/>
      <c r="J261" s="1321"/>
      <c r="K261" s="1321"/>
      <c r="L261" s="1321"/>
      <c r="M261" s="1321"/>
      <c r="N261" s="1322"/>
      <c r="O261" s="123"/>
      <c r="P261" s="123"/>
      <c r="Q261" s="123"/>
      <c r="R261" s="123"/>
      <c r="S261" s="119"/>
      <c r="T261" s="132"/>
    </row>
    <row r="262" spans="2:20" ht="15.75" thickBot="1">
      <c r="B262" s="1331">
        <v>2004</v>
      </c>
      <c r="C262" s="1332"/>
      <c r="D262" s="334" t="s">
        <v>15</v>
      </c>
      <c r="E262" s="335">
        <v>2005</v>
      </c>
      <c r="F262" s="377" t="s">
        <v>15</v>
      </c>
      <c r="G262" s="337">
        <v>2006</v>
      </c>
      <c r="H262" s="334" t="s">
        <v>15</v>
      </c>
      <c r="I262" s="337">
        <v>2007</v>
      </c>
      <c r="J262" s="334" t="s">
        <v>15</v>
      </c>
      <c r="K262" s="337">
        <v>2008</v>
      </c>
      <c r="L262" s="334" t="s">
        <v>15</v>
      </c>
      <c r="M262" s="337">
        <v>2009</v>
      </c>
      <c r="N262" s="353" t="s">
        <v>15</v>
      </c>
      <c r="O262" s="123"/>
      <c r="P262" s="123"/>
      <c r="Q262" s="123"/>
      <c r="R262" s="123"/>
      <c r="S262" s="119"/>
      <c r="T262" s="132"/>
    </row>
    <row r="263" spans="2:20">
      <c r="B263" s="306" t="s">
        <v>0</v>
      </c>
      <c r="C263" s="308"/>
      <c r="D263" s="308"/>
      <c r="E263" s="327">
        <v>255.41</v>
      </c>
      <c r="F263" s="378">
        <f>100*E263/$C$269</f>
        <v>102.53311922922521</v>
      </c>
      <c r="G263" s="307">
        <v>270.11</v>
      </c>
      <c r="H263" s="308">
        <f>100*G263/$C$269</f>
        <v>108.43436370935368</v>
      </c>
      <c r="I263" s="307">
        <v>279.86</v>
      </c>
      <c r="J263" s="308">
        <f t="shared" ref="J263:L274" si="228">100*I263/$C$269</f>
        <v>112.34845443596949</v>
      </c>
      <c r="K263" s="307">
        <v>289.66722102349979</v>
      </c>
      <c r="L263" s="308">
        <f t="shared" si="228"/>
        <v>116.2855162679646</v>
      </c>
      <c r="M263" s="307">
        <v>310.25</v>
      </c>
      <c r="N263" s="309">
        <f t="shared" ref="N263:N274" si="229">100*M263/$C$269</f>
        <v>124.54837414692895</v>
      </c>
      <c r="O263" s="123"/>
      <c r="P263" s="123"/>
      <c r="Q263" s="123"/>
      <c r="R263" s="123"/>
      <c r="S263" s="119"/>
      <c r="T263" s="132"/>
    </row>
    <row r="264" spans="2:20">
      <c r="B264" s="310" t="s">
        <v>1</v>
      </c>
      <c r="C264" s="312"/>
      <c r="D264" s="312"/>
      <c r="E264" s="322">
        <v>255.41</v>
      </c>
      <c r="F264" s="379">
        <f>100*E264/$C$269</f>
        <v>102.53311922922521</v>
      </c>
      <c r="G264" s="311">
        <v>270.11</v>
      </c>
      <c r="H264" s="312">
        <f>100*G264/$C$269</f>
        <v>108.43436370935368</v>
      </c>
      <c r="I264" s="311">
        <v>279.86</v>
      </c>
      <c r="J264" s="312">
        <f t="shared" si="228"/>
        <v>112.34845443596949</v>
      </c>
      <c r="K264" s="311">
        <v>289.66722102349979</v>
      </c>
      <c r="L264" s="312">
        <f t="shared" si="228"/>
        <v>116.2855162679646</v>
      </c>
      <c r="M264" s="311">
        <v>310.25</v>
      </c>
      <c r="N264" s="313">
        <f t="shared" si="229"/>
        <v>124.54837414692895</v>
      </c>
      <c r="O264" s="123"/>
      <c r="P264" s="123"/>
      <c r="Q264" s="123"/>
      <c r="R264" s="123"/>
      <c r="S264" s="119"/>
      <c r="T264" s="132"/>
    </row>
    <row r="265" spans="2:20">
      <c r="B265" s="310" t="s">
        <v>2</v>
      </c>
      <c r="C265" s="312"/>
      <c r="D265" s="312"/>
      <c r="E265" s="322">
        <v>265.35000000000002</v>
      </c>
      <c r="F265" s="379">
        <f>100*E265/$C$269</f>
        <v>106.52348454435972</v>
      </c>
      <c r="G265" s="311">
        <v>270.11</v>
      </c>
      <c r="H265" s="312">
        <f>100*G265/$C$269</f>
        <v>108.43436370935368</v>
      </c>
      <c r="I265" s="311">
        <v>279.86</v>
      </c>
      <c r="J265" s="312">
        <f t="shared" si="228"/>
        <v>112.34845443596949</v>
      </c>
      <c r="K265" s="311">
        <v>289.66722102349979</v>
      </c>
      <c r="L265" s="312">
        <f t="shared" si="228"/>
        <v>116.2855162679646</v>
      </c>
      <c r="M265" s="311">
        <v>310.25</v>
      </c>
      <c r="N265" s="313">
        <f t="shared" si="229"/>
        <v>124.54837414692895</v>
      </c>
      <c r="O265" s="123"/>
      <c r="P265" s="123"/>
      <c r="Q265" s="123"/>
      <c r="R265" s="123"/>
      <c r="S265" s="119"/>
      <c r="T265" s="132"/>
    </row>
    <row r="266" spans="2:20">
      <c r="B266" s="310" t="s">
        <v>3</v>
      </c>
      <c r="C266" s="312"/>
      <c r="D266" s="312"/>
      <c r="E266" s="322">
        <v>255.41</v>
      </c>
      <c r="F266" s="379">
        <f>100*E266/$C$269</f>
        <v>102.53311922922521</v>
      </c>
      <c r="G266" s="311">
        <v>270.11</v>
      </c>
      <c r="H266" s="312">
        <f>100*G266/$C$269</f>
        <v>108.43436370935368</v>
      </c>
      <c r="I266" s="311">
        <f>+I265</f>
        <v>279.86</v>
      </c>
      <c r="J266" s="312">
        <f t="shared" si="228"/>
        <v>112.34845443596949</v>
      </c>
      <c r="K266" s="311">
        <v>289.66722102349979</v>
      </c>
      <c r="L266" s="312">
        <f t="shared" si="228"/>
        <v>116.2855162679646</v>
      </c>
      <c r="M266" s="311">
        <v>310.25</v>
      </c>
      <c r="N266" s="313">
        <f t="shared" si="229"/>
        <v>124.54837414692895</v>
      </c>
      <c r="O266" s="123"/>
      <c r="P266" s="123"/>
      <c r="Q266" s="123"/>
      <c r="R266" s="123"/>
      <c r="S266" s="119"/>
      <c r="T266" s="132"/>
    </row>
    <row r="267" spans="2:20">
      <c r="B267" s="310" t="s">
        <v>4</v>
      </c>
      <c r="C267" s="312"/>
      <c r="D267" s="312"/>
      <c r="E267" s="312">
        <v>267.8</v>
      </c>
      <c r="F267" s="379">
        <f>100*E267/$C$269</f>
        <v>107.50702529104777</v>
      </c>
      <c r="G267" s="311">
        <v>277.64999999999998</v>
      </c>
      <c r="H267" s="312">
        <f>100*G267/$C$269</f>
        <v>111.46126053793655</v>
      </c>
      <c r="I267" s="311">
        <v>285.89</v>
      </c>
      <c r="J267" s="312">
        <f t="shared" si="228"/>
        <v>114.76916900843035</v>
      </c>
      <c r="K267" s="311">
        <v>303.58378664260084</v>
      </c>
      <c r="L267" s="312">
        <f t="shared" si="228"/>
        <v>121.87225477422756</v>
      </c>
      <c r="M267" s="311">
        <v>310.25</v>
      </c>
      <c r="N267" s="313">
        <f t="shared" si="229"/>
        <v>124.54837414692895</v>
      </c>
      <c r="O267" s="123"/>
      <c r="P267" s="123"/>
      <c r="Q267" s="123"/>
      <c r="R267" s="123"/>
      <c r="S267" s="119"/>
      <c r="T267" s="132"/>
    </row>
    <row r="268" spans="2:20">
      <c r="B268" s="310" t="s">
        <v>5</v>
      </c>
      <c r="C268" s="312"/>
      <c r="D268" s="312"/>
      <c r="E268" s="312">
        <v>267.8</v>
      </c>
      <c r="F268" s="379">
        <f t="shared" ref="F268:H274" si="230">100*E268/$C$269</f>
        <v>107.50702529104777</v>
      </c>
      <c r="G268" s="311">
        <v>277.64999999999998</v>
      </c>
      <c r="H268" s="312">
        <f t="shared" si="230"/>
        <v>111.46126053793655</v>
      </c>
      <c r="I268" s="311">
        <v>285.88839999999999</v>
      </c>
      <c r="J268" s="312">
        <f t="shared" si="228"/>
        <v>114.76852669610598</v>
      </c>
      <c r="K268" s="311">
        <v>303.63</v>
      </c>
      <c r="L268" s="312">
        <f t="shared" si="228"/>
        <v>121.89080690485748</v>
      </c>
      <c r="M268" s="311">
        <v>323.85563855039055</v>
      </c>
      <c r="N268" s="313">
        <f t="shared" si="229"/>
        <v>130.01029247305922</v>
      </c>
      <c r="O268" s="123"/>
      <c r="P268" s="123"/>
      <c r="Q268" s="123"/>
      <c r="R268" s="123"/>
      <c r="S268" s="119"/>
      <c r="T268" s="132"/>
    </row>
    <row r="269" spans="2:20">
      <c r="B269" s="310" t="s">
        <v>6</v>
      </c>
      <c r="C269" s="312">
        <v>249.1</v>
      </c>
      <c r="D269" s="312">
        <v>100</v>
      </c>
      <c r="E269" s="312">
        <v>275.13</v>
      </c>
      <c r="F269" s="379">
        <f t="shared" si="230"/>
        <v>110.4496186270574</v>
      </c>
      <c r="G269" s="311">
        <v>279.86</v>
      </c>
      <c r="H269" s="312">
        <f t="shared" si="230"/>
        <v>112.34845443596949</v>
      </c>
      <c r="I269" s="311">
        <v>289.66722102349979</v>
      </c>
      <c r="J269" s="312">
        <f t="shared" si="228"/>
        <v>116.2855162679646</v>
      </c>
      <c r="K269" s="311">
        <v>310.19</v>
      </c>
      <c r="L269" s="312">
        <f t="shared" si="228"/>
        <v>124.52428743476516</v>
      </c>
      <c r="M269" s="311">
        <v>329.35</v>
      </c>
      <c r="N269" s="313">
        <f t="shared" si="229"/>
        <v>132.21597751906864</v>
      </c>
      <c r="O269" s="123"/>
      <c r="P269" s="123"/>
      <c r="Q269" s="123"/>
      <c r="R269" s="123"/>
      <c r="S269" s="119"/>
      <c r="T269" s="132"/>
    </row>
    <row r="270" spans="2:20">
      <c r="B270" s="310" t="s">
        <v>7</v>
      </c>
      <c r="C270" s="312">
        <v>253.09</v>
      </c>
      <c r="D270" s="312">
        <f>100*C270/$C$269</f>
        <v>101.60176635889201</v>
      </c>
      <c r="E270" s="312">
        <v>275.13</v>
      </c>
      <c r="F270" s="379">
        <f t="shared" si="230"/>
        <v>110.4496186270574</v>
      </c>
      <c r="G270" s="311">
        <v>279.86</v>
      </c>
      <c r="H270" s="312">
        <f t="shared" si="230"/>
        <v>112.34845443596949</v>
      </c>
      <c r="I270" s="311">
        <v>289.66722102349979</v>
      </c>
      <c r="J270" s="312">
        <f t="shared" si="228"/>
        <v>116.2855162679646</v>
      </c>
      <c r="K270" s="311">
        <v>310.18672337391752</v>
      </c>
      <c r="L270" s="312">
        <f t="shared" si="228"/>
        <v>124.5229720489432</v>
      </c>
      <c r="M270" s="311">
        <v>329.34693048984752</v>
      </c>
      <c r="N270" s="313">
        <f t="shared" si="229"/>
        <v>132.21474527894321</v>
      </c>
      <c r="O270" s="123"/>
      <c r="P270" s="123"/>
      <c r="Q270" s="123"/>
      <c r="R270" s="123"/>
      <c r="S270" s="119"/>
      <c r="T270" s="132"/>
    </row>
    <row r="271" spans="2:20">
      <c r="B271" s="310" t="s">
        <v>8</v>
      </c>
      <c r="C271" s="312">
        <v>262.70999999999998</v>
      </c>
      <c r="D271" s="312">
        <f>100*C271/$C$269</f>
        <v>105.46366920915294</v>
      </c>
      <c r="E271" s="312">
        <v>300.33999999999997</v>
      </c>
      <c r="F271" s="379">
        <f t="shared" si="230"/>
        <v>120.57005218787634</v>
      </c>
      <c r="G271" s="311">
        <v>279.86</v>
      </c>
      <c r="H271" s="312">
        <f t="shared" si="230"/>
        <v>112.34845443596949</v>
      </c>
      <c r="I271" s="311">
        <v>289.66722102349979</v>
      </c>
      <c r="J271" s="312">
        <f t="shared" si="228"/>
        <v>116.2855162679646</v>
      </c>
      <c r="K271" s="311">
        <v>310.18672337391752</v>
      </c>
      <c r="L271" s="312">
        <f t="shared" si="228"/>
        <v>124.5229720489432</v>
      </c>
      <c r="M271" s="311">
        <v>329.40518876086804</v>
      </c>
      <c r="N271" s="313">
        <f t="shared" si="229"/>
        <v>132.23813278236372</v>
      </c>
      <c r="O271" s="123"/>
      <c r="P271" s="123"/>
      <c r="Q271" s="123"/>
      <c r="R271" s="123"/>
      <c r="S271" s="119"/>
      <c r="T271" s="132"/>
    </row>
    <row r="272" spans="2:20">
      <c r="B272" s="310" t="s">
        <v>9</v>
      </c>
      <c r="C272" s="312">
        <v>253.17</v>
      </c>
      <c r="D272" s="312">
        <f>100*C272/$C$269</f>
        <v>101.6338819751104</v>
      </c>
      <c r="E272" s="312">
        <v>265.93</v>
      </c>
      <c r="F272" s="379">
        <f t="shared" si="230"/>
        <v>106.756322761943</v>
      </c>
      <c r="G272" s="311">
        <v>279.86</v>
      </c>
      <c r="H272" s="312">
        <f t="shared" si="230"/>
        <v>112.34845443596949</v>
      </c>
      <c r="I272" s="311">
        <v>289.66722102349979</v>
      </c>
      <c r="J272" s="312">
        <f t="shared" si="228"/>
        <v>116.2855162679646</v>
      </c>
      <c r="K272" s="311">
        <v>310.18672337391752</v>
      </c>
      <c r="L272" s="312">
        <f t="shared" si="228"/>
        <v>124.5229720489432</v>
      </c>
      <c r="M272" s="311">
        <v>329.40518876086804</v>
      </c>
      <c r="N272" s="313">
        <f t="shared" si="229"/>
        <v>132.23813278236372</v>
      </c>
      <c r="O272" s="123"/>
      <c r="P272" s="123"/>
      <c r="Q272" s="123"/>
      <c r="R272" s="123"/>
      <c r="S272" s="119"/>
      <c r="T272" s="132"/>
    </row>
    <row r="273" spans="2:24">
      <c r="B273" s="310" t="s">
        <v>10</v>
      </c>
      <c r="C273" s="312">
        <v>253.17</v>
      </c>
      <c r="D273" s="312">
        <f>100*C273/$C$269</f>
        <v>101.6338819751104</v>
      </c>
      <c r="E273" s="312">
        <v>270.11</v>
      </c>
      <c r="F273" s="379">
        <f t="shared" si="230"/>
        <v>108.43436370935368</v>
      </c>
      <c r="G273" s="311">
        <v>279.86</v>
      </c>
      <c r="H273" s="312">
        <f t="shared" si="230"/>
        <v>112.34845443596949</v>
      </c>
      <c r="I273" s="311">
        <v>289.66722102349979</v>
      </c>
      <c r="J273" s="312">
        <f t="shared" si="228"/>
        <v>116.2855162679646</v>
      </c>
      <c r="K273" s="311">
        <v>310.18672337391752</v>
      </c>
      <c r="L273" s="312">
        <f t="shared" si="228"/>
        <v>124.5229720489432</v>
      </c>
      <c r="M273" s="311">
        <v>329.40518876086804</v>
      </c>
      <c r="N273" s="313">
        <f t="shared" si="229"/>
        <v>132.23813278236372</v>
      </c>
      <c r="O273" s="123"/>
      <c r="P273" s="123"/>
      <c r="Q273" s="123"/>
      <c r="R273" s="123"/>
      <c r="S273" s="119"/>
      <c r="T273" s="132"/>
    </row>
    <row r="274" spans="2:24" ht="15.75" thickBot="1">
      <c r="B274" s="314" t="s">
        <v>11</v>
      </c>
      <c r="C274" s="316">
        <v>255.41</v>
      </c>
      <c r="D274" s="316">
        <f>100*C274/$C$269</f>
        <v>102.53311922922521</v>
      </c>
      <c r="E274" s="316">
        <v>270.11</v>
      </c>
      <c r="F274" s="380">
        <f t="shared" si="230"/>
        <v>108.43436370935368</v>
      </c>
      <c r="G274" s="315">
        <v>279.86</v>
      </c>
      <c r="H274" s="316">
        <f t="shared" si="230"/>
        <v>112.34845443596949</v>
      </c>
      <c r="I274" s="315">
        <v>289.66722102349979</v>
      </c>
      <c r="J274" s="316">
        <f t="shared" si="228"/>
        <v>116.2855162679646</v>
      </c>
      <c r="K274" s="315">
        <v>310.18672337391752</v>
      </c>
      <c r="L274" s="316">
        <f t="shared" si="228"/>
        <v>124.5229720489432</v>
      </c>
      <c r="M274" s="315">
        <v>329.4608741750576</v>
      </c>
      <c r="N274" s="317">
        <f t="shared" si="229"/>
        <v>132.26048742475217</v>
      </c>
      <c r="O274" s="123"/>
      <c r="P274" s="123"/>
      <c r="Q274" s="123"/>
      <c r="R274" s="123"/>
      <c r="S274" s="119"/>
      <c r="T274" s="132"/>
    </row>
    <row r="275" spans="2:24">
      <c r="B275" s="119"/>
      <c r="C275" s="123"/>
      <c r="D275" s="123"/>
      <c r="E275" s="123"/>
      <c r="F275" s="123"/>
      <c r="G275" s="118"/>
      <c r="H275" s="123"/>
      <c r="I275" s="118"/>
      <c r="J275" s="123"/>
      <c r="K275" s="118"/>
      <c r="L275" s="123"/>
      <c r="M275" s="118"/>
      <c r="N275" s="123"/>
      <c r="O275" s="123"/>
      <c r="P275" s="123"/>
      <c r="Q275" s="123"/>
      <c r="R275" s="123"/>
      <c r="S275" s="119"/>
      <c r="T275" s="132"/>
    </row>
    <row r="276" spans="2:24">
      <c r="B276" s="119"/>
      <c r="C276" s="123"/>
      <c r="D276" s="123"/>
      <c r="E276" s="123"/>
      <c r="F276" s="123"/>
      <c r="G276" s="118"/>
      <c r="H276" s="123"/>
      <c r="I276" s="118"/>
      <c r="J276" s="123"/>
      <c r="K276" s="118"/>
      <c r="L276" s="123"/>
      <c r="M276" s="118"/>
      <c r="N276" s="123"/>
      <c r="O276" s="123"/>
      <c r="P276" s="123"/>
      <c r="Q276" s="123"/>
      <c r="R276" s="123"/>
      <c r="S276" s="119"/>
      <c r="T276" s="132"/>
    </row>
    <row r="277" spans="2:24" ht="18.75" thickBot="1">
      <c r="B277" s="1347" t="s">
        <v>179</v>
      </c>
      <c r="C277" s="1348"/>
      <c r="D277" s="1348"/>
      <c r="E277" s="1348"/>
      <c r="F277" s="1348"/>
      <c r="G277" s="1348"/>
      <c r="H277" s="1348"/>
      <c r="I277" s="1348"/>
      <c r="J277" s="1348"/>
      <c r="K277" s="1348"/>
      <c r="L277" s="1348"/>
      <c r="M277" s="1348"/>
      <c r="N277" s="1348"/>
      <c r="O277" s="1348"/>
      <c r="P277" s="1348"/>
      <c r="Q277" s="1348"/>
      <c r="R277" s="1348"/>
      <c r="S277" s="1348"/>
      <c r="T277" s="1348"/>
      <c r="U277" s="1348"/>
      <c r="V277" s="1348"/>
      <c r="W277" s="1348"/>
      <c r="X277" s="1348"/>
    </row>
    <row r="278" spans="2:24" ht="15.75" thickBot="1">
      <c r="B278" s="1331">
        <v>2010</v>
      </c>
      <c r="C278" s="1332"/>
      <c r="D278" s="334" t="s">
        <v>15</v>
      </c>
      <c r="E278" s="335">
        <v>2011</v>
      </c>
      <c r="F278" s="377" t="s">
        <v>15</v>
      </c>
      <c r="G278" s="336">
        <v>2012</v>
      </c>
      <c r="H278" s="334" t="s">
        <v>15</v>
      </c>
      <c r="I278" s="336">
        <v>2013</v>
      </c>
      <c r="J278" s="334" t="s">
        <v>15</v>
      </c>
      <c r="K278" s="336">
        <v>2014</v>
      </c>
      <c r="L278" s="334" t="s">
        <v>15</v>
      </c>
      <c r="M278" s="336">
        <v>2015</v>
      </c>
      <c r="N278" s="353" t="s">
        <v>15</v>
      </c>
      <c r="O278" s="336">
        <v>2016</v>
      </c>
      <c r="P278" s="334" t="s">
        <v>15</v>
      </c>
      <c r="Q278" s="517">
        <v>2017</v>
      </c>
      <c r="R278" s="334" t="s">
        <v>15</v>
      </c>
      <c r="S278" s="517">
        <v>2018</v>
      </c>
      <c r="T278" s="353" t="s">
        <v>15</v>
      </c>
      <c r="U278" s="517">
        <v>2019</v>
      </c>
      <c r="V278" s="353" t="s">
        <v>15</v>
      </c>
      <c r="W278" s="1265">
        <v>2020</v>
      </c>
      <c r="X278" s="353" t="s">
        <v>15</v>
      </c>
    </row>
    <row r="279" spans="2:24">
      <c r="B279" s="306" t="s">
        <v>0</v>
      </c>
      <c r="C279" s="307">
        <v>329.4608741750576</v>
      </c>
      <c r="D279" s="308">
        <f t="shared" ref="D279:D290" si="231">100*C279/$C$269</f>
        <v>132.26048742475217</v>
      </c>
      <c r="E279" s="308">
        <v>350.55</v>
      </c>
      <c r="F279" s="308">
        <f>100*E279/$C$269</f>
        <v>140.72661581694098</v>
      </c>
      <c r="G279" s="307">
        <v>377.6295930100398</v>
      </c>
      <c r="H279" s="308">
        <f t="shared" ref="H279:H287" si="232">100*G279/$C$269</f>
        <v>151.59758852269763</v>
      </c>
      <c r="I279" s="657">
        <f>[9]DAT!$I$5</f>
        <v>403.96287303972281</v>
      </c>
      <c r="J279" s="350">
        <f t="shared" ref="J279:J285" si="233">100*I279/$C$269</f>
        <v>162.16895746275506</v>
      </c>
      <c r="K279" s="657">
        <f>[10]DAT!$I$5</f>
        <v>438.82903140408024</v>
      </c>
      <c r="L279" s="350">
        <f t="shared" ref="L279:L284" si="234">100*K279/$C$269</f>
        <v>176.16580947574477</v>
      </c>
      <c r="M279" s="657">
        <f>[11]DAT!$I$5</f>
        <v>445.81565019322875</v>
      </c>
      <c r="N279" s="350">
        <f t="shared" ref="N279:N284" si="235">100*M279/$C$269</f>
        <v>178.97055407195052</v>
      </c>
      <c r="O279" s="657">
        <f>[12]DAT!$I$5</f>
        <v>486.6152425271348</v>
      </c>
      <c r="P279" s="350">
        <f t="shared" ref="P279" si="236">100*O279/$C$269</f>
        <v>195.34935468772977</v>
      </c>
      <c r="Q279" s="1217">
        <f>[13]DAT!$I$5</f>
        <v>529.09548711075286</v>
      </c>
      <c r="R279" s="350">
        <f t="shared" ref="R279" si="237">100*Q279/$C$269</f>
        <v>212.40284508661296</v>
      </c>
      <c r="S279" s="1217">
        <f>[14]DAT!$I$5</f>
        <v>546.91931948942249</v>
      </c>
      <c r="T279" s="655">
        <f t="shared" ref="T279" si="238">100*S279/$C$269</f>
        <v>219.55813708929045</v>
      </c>
      <c r="U279" s="1217">
        <f>[15]DAT!$I$5</f>
        <v>563.12750954627609</v>
      </c>
      <c r="V279" s="655">
        <f t="shared" ref="V279" si="239">100*U279/$C$269</f>
        <v>226.06483723254763</v>
      </c>
      <c r="W279" s="1280">
        <f>[16]DAT!$I$5</f>
        <v>591.04541961299822</v>
      </c>
      <c r="X279" s="309">
        <f t="shared" ref="X279" si="240">100*W279/$C$269</f>
        <v>237.27234829907596</v>
      </c>
    </row>
    <row r="280" spans="2:24">
      <c r="B280" s="310" t="s">
        <v>1</v>
      </c>
      <c r="C280" s="312">
        <v>329.46</v>
      </c>
      <c r="D280" s="312">
        <f t="shared" si="231"/>
        <v>132.26013649136894</v>
      </c>
      <c r="E280" s="312">
        <v>350.55</v>
      </c>
      <c r="F280" s="312">
        <f>100*E280/$C$269</f>
        <v>140.72661581694098</v>
      </c>
      <c r="G280" s="311">
        <v>377.6295930100398</v>
      </c>
      <c r="H280" s="312">
        <f t="shared" si="232"/>
        <v>151.59758852269763</v>
      </c>
      <c r="I280" s="311">
        <f>[17]DAT!$I$5</f>
        <v>403.96287303972281</v>
      </c>
      <c r="J280" s="312">
        <f t="shared" si="233"/>
        <v>162.16895746275506</v>
      </c>
      <c r="K280" s="311">
        <f>[18]DAT!$I$5</f>
        <v>416.11304866851987</v>
      </c>
      <c r="L280" s="312">
        <f t="shared" si="234"/>
        <v>167.04658718126049</v>
      </c>
      <c r="M280" s="311">
        <f>[19]DAT!$I$5</f>
        <v>446.84037179766915</v>
      </c>
      <c r="N280" s="312">
        <f t="shared" si="235"/>
        <v>179.38192364418674</v>
      </c>
      <c r="O280" s="311">
        <f>[20]DAT!$I$5</f>
        <v>487.04984998552271</v>
      </c>
      <c r="P280" s="1219">
        <f t="shared" ref="P280" si="241">100*O280/$C$269</f>
        <v>195.52382576697019</v>
      </c>
      <c r="Q280" s="695">
        <f>[21]DAT!$I$5</f>
        <v>529.49642417440168</v>
      </c>
      <c r="R280" s="312">
        <f t="shared" ref="R280" si="242">100*Q280/$C$269</f>
        <v>212.56379934741136</v>
      </c>
      <c r="S280" s="695">
        <f>[22]DAT!$I$5</f>
        <v>547.65555464488511</v>
      </c>
      <c r="T280" s="313">
        <f t="shared" ref="T280" si="243">100*S280/$C$269</f>
        <v>219.85369516053197</v>
      </c>
      <c r="U280" s="662">
        <f>[23]DAT!$I$5</f>
        <v>563.77706786389922</v>
      </c>
      <c r="V280" s="313">
        <f t="shared" ref="V280" si="244">100*U280/$C$269</f>
        <v>226.32559930305067</v>
      </c>
      <c r="W280" s="1279">
        <f>[24]DAT!$I$5</f>
        <v>591.83559797994815</v>
      </c>
      <c r="X280" s="699">
        <f t="shared" ref="X280" si="245">100*W280/$C$269</f>
        <v>237.5895616137889</v>
      </c>
    </row>
    <row r="281" spans="2:24">
      <c r="B281" s="310" t="s">
        <v>2</v>
      </c>
      <c r="C281" s="312">
        <v>329.4608741750576</v>
      </c>
      <c r="D281" s="312">
        <f t="shared" si="231"/>
        <v>132.26048742475217</v>
      </c>
      <c r="E281" s="312">
        <v>350.55</v>
      </c>
      <c r="F281" s="312">
        <f t="shared" ref="F281:F290" si="246">100*E281/$C$269</f>
        <v>140.72661581694098</v>
      </c>
      <c r="G281" s="311">
        <v>377.6295930100398</v>
      </c>
      <c r="H281" s="312">
        <f t="shared" si="232"/>
        <v>151.59758852269763</v>
      </c>
      <c r="I281" s="311">
        <f>[25]DAT!$I$5</f>
        <v>403.96287303972281</v>
      </c>
      <c r="J281" s="312">
        <f t="shared" si="233"/>
        <v>162.16895746275506</v>
      </c>
      <c r="K281" s="311">
        <f>[26]DAT!$I$5</f>
        <v>416.16566613476874</v>
      </c>
      <c r="L281" s="312">
        <f t="shared" si="234"/>
        <v>167.06771021066589</v>
      </c>
      <c r="M281" s="311">
        <f>[27]DAT!$I$5</f>
        <v>448.6787626182624</v>
      </c>
      <c r="N281" s="312">
        <f t="shared" si="235"/>
        <v>180.11993681985646</v>
      </c>
      <c r="O281" s="311">
        <f>[28]DAT!$I$5</f>
        <v>487.1441232495589</v>
      </c>
      <c r="P281" s="1219">
        <f t="shared" ref="P281" si="247">100*O281/$C$269</f>
        <v>195.56167131656321</v>
      </c>
      <c r="Q281" s="695">
        <f>[29]DAT!$I$5</f>
        <v>529.52968183998325</v>
      </c>
      <c r="R281" s="312">
        <f t="shared" ref="R281" si="248">100*Q281/$C$269</f>
        <v>212.57715047771308</v>
      </c>
      <c r="S281" s="695">
        <f>[30]DAT!$I$5</f>
        <v>547.71073476643357</v>
      </c>
      <c r="T281" s="313">
        <f t="shared" ref="T281" si="249">100*S281/$C$269</f>
        <v>219.87584695561364</v>
      </c>
      <c r="U281" s="662">
        <f>[31]DAT!$I$5</f>
        <v>564.55642226315695</v>
      </c>
      <c r="V281" s="313">
        <f t="shared" ref="V281" si="250">100*U281/$C$269</f>
        <v>226.63846738785907</v>
      </c>
      <c r="W281" s="662">
        <f>[32]DAT!$I$5</f>
        <v>591.15061080931355</v>
      </c>
      <c r="X281" s="313">
        <f t="shared" ref="X281" si="251">100*W281/$C$269</f>
        <v>237.31457680020614</v>
      </c>
    </row>
    <row r="282" spans="2:24">
      <c r="B282" s="310" t="s">
        <v>3</v>
      </c>
      <c r="C282" s="312">
        <v>329.46</v>
      </c>
      <c r="D282" s="312">
        <f t="shared" si="231"/>
        <v>132.26013649136894</v>
      </c>
      <c r="E282" s="312">
        <v>350.55</v>
      </c>
      <c r="F282" s="312">
        <f t="shared" si="246"/>
        <v>140.72661581694098</v>
      </c>
      <c r="G282" s="311">
        <v>377.6295930100398</v>
      </c>
      <c r="H282" s="312">
        <f t="shared" si="232"/>
        <v>151.59758852269763</v>
      </c>
      <c r="I282" s="311">
        <f>[33]DAT!$I$5</f>
        <v>403.96287303972281</v>
      </c>
      <c r="J282" s="312">
        <f t="shared" si="233"/>
        <v>162.16895746275506</v>
      </c>
      <c r="K282" s="311">
        <f>[34]DAT!$I$5</f>
        <v>416.23458382390339</v>
      </c>
      <c r="L282" s="312">
        <f t="shared" si="234"/>
        <v>167.09537688635223</v>
      </c>
      <c r="M282" s="311">
        <f>[35]DAT!$I$5</f>
        <v>448.81494476718171</v>
      </c>
      <c r="N282" s="312">
        <f t="shared" si="235"/>
        <v>180.17460649023755</v>
      </c>
      <c r="O282" s="311">
        <f>[36]DAT!$I$5</f>
        <v>487.18820145842159</v>
      </c>
      <c r="P282" s="1219">
        <f t="shared" ref="P282" si="252">100*O282/$C$269</f>
        <v>195.57936630205606</v>
      </c>
      <c r="Q282" s="695">
        <f>[37]DAT!$I$5</f>
        <v>529.65729700825625</v>
      </c>
      <c r="R282" s="312">
        <f t="shared" ref="R282" si="253">100*Q282/$C$269</f>
        <v>212.62838097481185</v>
      </c>
      <c r="S282" s="695">
        <f>[38]DAT!$I$5</f>
        <v>547.75705093816964</v>
      </c>
      <c r="T282" s="313">
        <f t="shared" ref="T282" si="254">100*S282/$C$269</f>
        <v>219.89444036056591</v>
      </c>
      <c r="U282" s="662">
        <f>[39]DAT!$I$5</f>
        <v>565.37243515485034</v>
      </c>
      <c r="V282" s="313">
        <f t="shared" ref="V282" si="255">100*U282/$C$269</f>
        <v>226.96605184859507</v>
      </c>
      <c r="W282" s="662">
        <f>[40]DAT!$I$5</f>
        <v>591.52677188359064</v>
      </c>
      <c r="X282" s="313">
        <f t="shared" ref="X282" si="256">100*W282/$C$269</f>
        <v>237.46558485892839</v>
      </c>
    </row>
    <row r="283" spans="2:24">
      <c r="B283" s="310" t="s">
        <v>4</v>
      </c>
      <c r="C283" s="312">
        <v>345.07642153372495</v>
      </c>
      <c r="D283" s="312">
        <f t="shared" si="231"/>
        <v>138.52927399988957</v>
      </c>
      <c r="E283" s="312">
        <v>370.93</v>
      </c>
      <c r="F283" s="312">
        <f t="shared" si="246"/>
        <v>148.90806904857487</v>
      </c>
      <c r="G283" s="311">
        <v>397.64119285039084</v>
      </c>
      <c r="H283" s="312">
        <f t="shared" si="232"/>
        <v>159.63114927755555</v>
      </c>
      <c r="I283" s="311">
        <f>[41]DAT!$I$5</f>
        <v>428.48830341516981</v>
      </c>
      <c r="J283" s="312">
        <f t="shared" si="233"/>
        <v>172.01457383186263</v>
      </c>
      <c r="K283" s="311">
        <f>[42]DAT!$I$5</f>
        <v>436.77297688535879</v>
      </c>
      <c r="L283" s="312">
        <f t="shared" si="234"/>
        <v>175.34041625265309</v>
      </c>
      <c r="M283" s="311">
        <f>[43]DAT!$I$5</f>
        <v>473.32484766290173</v>
      </c>
      <c r="N283" s="312">
        <f t="shared" si="235"/>
        <v>190.01398942709827</v>
      </c>
      <c r="O283" s="311">
        <f>[44]DAT!$I$5</f>
        <v>509.60667355910698</v>
      </c>
      <c r="P283" s="1219">
        <f t="shared" ref="P283" si="257">100*O283/$C$269</f>
        <v>204.57915437940866</v>
      </c>
      <c r="Q283" s="695">
        <f>[45]DAT!$I$5</f>
        <v>543.34737269805419</v>
      </c>
      <c r="R283" s="312">
        <f t="shared" ref="R283" si="258">100*Q283/$C$269</f>
        <v>218.12419618548944</v>
      </c>
      <c r="S283" s="695">
        <f>[46]DAT!$I$5</f>
        <v>548.140891798854</v>
      </c>
      <c r="T283" s="313">
        <f t="shared" ref="T283" si="259">100*S283/$C$269</f>
        <v>220.04853143269932</v>
      </c>
      <c r="U283" s="662">
        <f>[47]DAT!$I$5</f>
        <v>584.73093962002906</v>
      </c>
      <c r="V283" s="313">
        <f t="shared" ref="V283" si="260">100*U283/$C$269</f>
        <v>234.73743059816505</v>
      </c>
      <c r="W283" s="662">
        <f>[48]DAT!$I$5</f>
        <v>591.8184989889055</v>
      </c>
      <c r="X283" s="313">
        <f t="shared" ref="X283" si="261">100*W283/$C$269</f>
        <v>237.58269730586332</v>
      </c>
    </row>
    <row r="284" spans="2:24">
      <c r="B284" s="310" t="s">
        <v>5</v>
      </c>
      <c r="C284" s="312">
        <v>345.07642153372495</v>
      </c>
      <c r="D284" s="312">
        <f t="shared" si="231"/>
        <v>138.52927399988957</v>
      </c>
      <c r="E284" s="312">
        <v>370.93</v>
      </c>
      <c r="F284" s="312">
        <f t="shared" si="246"/>
        <v>148.90806904857487</v>
      </c>
      <c r="G284" s="311">
        <v>397.64119285039084</v>
      </c>
      <c r="H284" s="312">
        <f t="shared" si="232"/>
        <v>159.63114927755555</v>
      </c>
      <c r="I284" s="311">
        <f>[49]DAT!$I$5</f>
        <v>428.48830341516981</v>
      </c>
      <c r="J284" s="312">
        <f t="shared" si="233"/>
        <v>172.01457383186263</v>
      </c>
      <c r="K284" s="311">
        <f>[50]DAT!$I$5</f>
        <v>437.24648137301307</v>
      </c>
      <c r="L284" s="312">
        <f t="shared" si="234"/>
        <v>175.53050235769294</v>
      </c>
      <c r="M284" s="311">
        <f>[51]DAT!$I$5</f>
        <v>476.17196324930632</v>
      </c>
      <c r="N284" s="312">
        <f t="shared" si="235"/>
        <v>191.15695032087768</v>
      </c>
      <c r="O284" s="311">
        <f>[52]DAT!$I$5</f>
        <v>515.78562013498197</v>
      </c>
      <c r="P284" s="1219">
        <f t="shared" ref="P284" si="262">100*O284/$C$269</f>
        <v>207.05966284021756</v>
      </c>
      <c r="Q284" s="695">
        <f>[53]DAT!$I$5</f>
        <v>544.38285129678582</v>
      </c>
      <c r="R284" s="312">
        <f t="shared" ref="R284" si="263">100*Q284/$C$269</f>
        <v>218.53988410147966</v>
      </c>
      <c r="S284" s="695">
        <f>[54]DAT!$I$5</f>
        <v>559.94210549052355</v>
      </c>
      <c r="T284" s="313">
        <f t="shared" ref="T284" si="264">100*S284/$C$269</f>
        <v>224.78607205560962</v>
      </c>
      <c r="U284" s="662">
        <f>[55]DAT!$I$5</f>
        <v>584.99294730190331</v>
      </c>
      <c r="V284" s="313">
        <f t="shared" ref="V284" si="265">100*U284/$C$269</f>
        <v>234.84261232513182</v>
      </c>
      <c r="W284" s="662">
        <f>[56]DAT!$I$5</f>
        <v>592.0252538959553</v>
      </c>
      <c r="X284" s="313">
        <f t="shared" ref="X284" si="266">100*W284/$C$269</f>
        <v>237.66569807143932</v>
      </c>
    </row>
    <row r="285" spans="2:24">
      <c r="B285" s="310" t="s">
        <v>6</v>
      </c>
      <c r="C285" s="312">
        <v>350.55</v>
      </c>
      <c r="D285" s="312">
        <f t="shared" si="231"/>
        <v>140.72661581694098</v>
      </c>
      <c r="E285" s="312">
        <v>370.93</v>
      </c>
      <c r="F285" s="312">
        <f t="shared" si="246"/>
        <v>148.90806904857487</v>
      </c>
      <c r="G285" s="311">
        <f>[57]DAT!$I$5</f>
        <v>403.69910343022531</v>
      </c>
      <c r="H285" s="312">
        <f t="shared" si="232"/>
        <v>162.06306841839634</v>
      </c>
      <c r="I285" s="311">
        <f>[58]DAT!$I$5</f>
        <v>435.83294971734841</v>
      </c>
      <c r="J285" s="312">
        <f t="shared" si="233"/>
        <v>174.96304685561958</v>
      </c>
      <c r="K285" s="311">
        <f>[59]DAT!$I$5</f>
        <v>437.28414668099015</v>
      </c>
      <c r="L285" s="312">
        <f t="shared" ref="L285:L290" si="267">100*K285/$C$269</f>
        <v>175.54562291488966</v>
      </c>
      <c r="M285" s="311">
        <f>[60]DAT!$I$5</f>
        <v>486.2234470421991</v>
      </c>
      <c r="N285" s="312">
        <f t="shared" ref="N285:N290" si="268">100*M285/$C$269</f>
        <v>195.19207026985111</v>
      </c>
      <c r="O285" s="311">
        <f>[61]DAT!$I$5</f>
        <v>526.71795507948264</v>
      </c>
      <c r="P285" s="1219">
        <f t="shared" ref="P285" si="269">100*O285/$C$269</f>
        <v>211.44839625832302</v>
      </c>
      <c r="Q285" s="695">
        <f>[62]DAT!$I$5</f>
        <v>544.61459102600861</v>
      </c>
      <c r="R285" s="312">
        <f t="shared" ref="R285" si="270">100*Q285/$C$269</f>
        <v>218.63291490405808</v>
      </c>
      <c r="S285" s="695">
        <f>[63]DAT!$I$5</f>
        <v>560.12570737093665</v>
      </c>
      <c r="T285" s="313">
        <f t="shared" ref="T285" si="271">100*S285/$C$269</f>
        <v>224.85977814971363</v>
      </c>
      <c r="U285" s="662">
        <f>[64]DAT!$I$5</f>
        <v>586.7605876819174</v>
      </c>
      <c r="V285" s="313">
        <f t="shared" ref="V285" si="272">100*U285/$C$269</f>
        <v>235.55222307583998</v>
      </c>
      <c r="W285" s="662">
        <f>[65]DAT!$I$5</f>
        <v>594.18266068657317</v>
      </c>
      <c r="X285" s="313">
        <f t="shared" ref="X285" si="273">100*W285/$C$269</f>
        <v>238.5317786778696</v>
      </c>
    </row>
    <row r="286" spans="2:24">
      <c r="B286" s="310" t="s">
        <v>7</v>
      </c>
      <c r="C286" s="312">
        <v>350.55</v>
      </c>
      <c r="D286" s="312">
        <f t="shared" si="231"/>
        <v>140.72661581694098</v>
      </c>
      <c r="E286" s="312">
        <v>370.93</v>
      </c>
      <c r="F286" s="312">
        <f t="shared" si="246"/>
        <v>148.90806904857487</v>
      </c>
      <c r="G286" s="311">
        <f>[66]DAT!$I$5</f>
        <v>403.69910343022531</v>
      </c>
      <c r="H286" s="312">
        <f t="shared" si="232"/>
        <v>162.06306841839634</v>
      </c>
      <c r="I286" s="311">
        <f>[67]DAT!$I$5</f>
        <v>435.83762819772915</v>
      </c>
      <c r="J286" s="312">
        <f>100*I286/$C$269</f>
        <v>174.9649250091245</v>
      </c>
      <c r="K286" s="311">
        <f>[68]DAT!$I$5</f>
        <v>445.00079987595001</v>
      </c>
      <c r="L286" s="312">
        <f t="shared" si="267"/>
        <v>178.64343632113611</v>
      </c>
      <c r="M286" s="311">
        <f>[69]DAT!$I$5</f>
        <v>486.27786751163529</v>
      </c>
      <c r="N286" s="312">
        <f t="shared" si="268"/>
        <v>195.21391710623655</v>
      </c>
      <c r="O286" s="311">
        <f>[70]DAT!$I$5</f>
        <v>527.8808345333523</v>
      </c>
      <c r="P286" s="1219">
        <f t="shared" ref="P286" si="274">100*O286/$C$269</f>
        <v>211.91522863643209</v>
      </c>
      <c r="Q286" s="695">
        <f>[71]DAT!$I$5</f>
        <v>544.53326731116215</v>
      </c>
      <c r="R286" s="312">
        <f t="shared" ref="R286" si="275">100*Q286/$C$269</f>
        <v>218.60026788886478</v>
      </c>
      <c r="S286" s="695">
        <f>[72]DAT!$I$5</f>
        <v>560.89327178915096</v>
      </c>
      <c r="T286" s="313">
        <f t="shared" ref="T286" si="276">100*S286/$C$269</f>
        <v>225.16791320319189</v>
      </c>
      <c r="U286" s="662">
        <f>[73]DAT!$I$5</f>
        <v>587.66474896725219</v>
      </c>
      <c r="V286" s="313">
        <f t="shared" ref="V286" si="277">100*U286/$C$269</f>
        <v>235.91519428633165</v>
      </c>
      <c r="W286" s="662">
        <f>[74]DAT!$I$5</f>
        <v>595.74859116184723</v>
      </c>
      <c r="X286" s="313">
        <f t="shared" ref="X286" si="278">100*W286/$C$269</f>
        <v>239.1604139549768</v>
      </c>
    </row>
    <row r="287" spans="2:24">
      <c r="B287" s="310" t="s">
        <v>8</v>
      </c>
      <c r="C287" s="312">
        <v>350.55</v>
      </c>
      <c r="D287" s="312">
        <f t="shared" si="231"/>
        <v>140.72661581694098</v>
      </c>
      <c r="E287" s="312">
        <v>377.50546915962212</v>
      </c>
      <c r="F287" s="312">
        <f t="shared" si="246"/>
        <v>151.5477595984031</v>
      </c>
      <c r="G287" s="311">
        <f>[75]DAT!$I$5</f>
        <v>403.96287303972281</v>
      </c>
      <c r="H287" s="312">
        <f t="shared" si="232"/>
        <v>162.16895746275506</v>
      </c>
      <c r="I287" s="311">
        <f>[76]DAT!$I$5</f>
        <v>438.68864969724416</v>
      </c>
      <c r="J287" s="312">
        <f>100*I287/$C$269</f>
        <v>176.10945391298441</v>
      </c>
      <c r="K287" s="311">
        <f>[77]DAT!$I$5</f>
        <v>445.01703211785929</v>
      </c>
      <c r="L287" s="312">
        <f t="shared" si="267"/>
        <v>178.64995267678012</v>
      </c>
      <c r="M287" s="311">
        <f>[78]DAT!$I$5</f>
        <v>486.30146066170386</v>
      </c>
      <c r="N287" s="312">
        <f t="shared" si="268"/>
        <v>195.22338846314886</v>
      </c>
      <c r="O287" s="311">
        <f>[79]DAT!$I$5</f>
        <v>528.06830504851087</v>
      </c>
      <c r="P287" s="1219">
        <f t="shared" ref="P287" si="279">100*O287/$C$269</f>
        <v>211.99048777539579</v>
      </c>
      <c r="Q287" s="695">
        <f>[80]DAT!$I$5</f>
        <v>544.70772192202958</v>
      </c>
      <c r="R287" s="312">
        <f t="shared" ref="R287" si="280">100*Q287/$C$269</f>
        <v>218.6703018554916</v>
      </c>
      <c r="S287" s="695">
        <f>[81]DAT!$I$5</f>
        <v>561.4998595359059</v>
      </c>
      <c r="T287" s="313">
        <f t="shared" ref="T287" si="281">100*S287/$C$269</f>
        <v>225.41142494416135</v>
      </c>
      <c r="U287" s="662">
        <f>[82]DAT!$I$5</f>
        <v>588.93960769543526</v>
      </c>
      <c r="V287" s="313">
        <f t="shared" ref="V287" si="282">100*U287/$C$269</f>
        <v>236.42698020691901</v>
      </c>
      <c r="W287" s="662">
        <f>[123]DAT!$I$5</f>
        <v>597.33567866732938</v>
      </c>
      <c r="X287" s="313">
        <f t="shared" ref="X287" si="283">100*W287/$C$269</f>
        <v>239.79754262036505</v>
      </c>
    </row>
    <row r="288" spans="2:24">
      <c r="B288" s="310" t="s">
        <v>9</v>
      </c>
      <c r="C288" s="312">
        <v>350.55</v>
      </c>
      <c r="D288" s="312">
        <f t="shared" si="231"/>
        <v>140.72661581694098</v>
      </c>
      <c r="E288" s="312">
        <v>377.50546915962212</v>
      </c>
      <c r="F288" s="312">
        <f t="shared" si="246"/>
        <v>151.5477595984031</v>
      </c>
      <c r="G288" s="311">
        <f>[83]DAT!$I$5</f>
        <v>403.96287303972281</v>
      </c>
      <c r="H288" s="312">
        <f>100*G288/$C$269</f>
        <v>162.16895746275506</v>
      </c>
      <c r="I288" s="311">
        <f>[84]DAT!$I$5</f>
        <v>438.73440291371099</v>
      </c>
      <c r="J288" s="312">
        <f>100*I288/$C$269</f>
        <v>176.1278213222445</v>
      </c>
      <c r="K288" s="311">
        <f>[85]DAT!$I$5</f>
        <v>445.0410687123333</v>
      </c>
      <c r="L288" s="312">
        <f t="shared" si="267"/>
        <v>178.65960205232167</v>
      </c>
      <c r="M288" s="311">
        <f>[86]DAT!$I$5</f>
        <v>486.34971101290904</v>
      </c>
      <c r="N288" s="312">
        <f t="shared" si="268"/>
        <v>195.24275833517024</v>
      </c>
      <c r="O288" s="311">
        <f>[87]DAT!$I$5</f>
        <v>528.03357505562326</v>
      </c>
      <c r="P288" s="1219">
        <f t="shared" ref="P288" si="284">100*O288/$C$269</f>
        <v>211.9765455863602</v>
      </c>
      <c r="Q288" s="695">
        <f>[88]DAT!$I$5</f>
        <v>545.03788134231831</v>
      </c>
      <c r="R288" s="312">
        <f t="shared" ref="R288" si="285">100*Q288/$C$269</f>
        <v>218.80284277090257</v>
      </c>
      <c r="S288" s="695">
        <f>[89]DAT!$I$5</f>
        <v>562.05447557298635</v>
      </c>
      <c r="T288" s="313">
        <f t="shared" ref="T288" si="286">100*S288/$C$269</f>
        <v>225.63407289160432</v>
      </c>
      <c r="U288" s="662">
        <f>[90]DAT!$I$5</f>
        <v>589.00652911042903</v>
      </c>
      <c r="V288" s="313">
        <f t="shared" ref="V288" si="287">100*U288/$C$269</f>
        <v>236.45384548792816</v>
      </c>
      <c r="W288" s="662"/>
      <c r="X288" s="313"/>
    </row>
    <row r="289" spans="2:24">
      <c r="B289" s="310" t="s">
        <v>10</v>
      </c>
      <c r="C289" s="312">
        <v>350.55</v>
      </c>
      <c r="D289" s="312">
        <f t="shared" si="231"/>
        <v>140.72661581694098</v>
      </c>
      <c r="E289" s="312">
        <v>377.50546915962212</v>
      </c>
      <c r="F289" s="312">
        <f t="shared" si="246"/>
        <v>151.5477595984031</v>
      </c>
      <c r="G289" s="311">
        <f>[91]DAT!$I$5</f>
        <v>403.96287303972281</v>
      </c>
      <c r="H289" s="312">
        <f>100*G289/$C$269</f>
        <v>162.16895746275506</v>
      </c>
      <c r="I289" s="311">
        <f>[92]DAT!$I$5</f>
        <v>438.78445379330037</v>
      </c>
      <c r="J289" s="312">
        <f>100*I289/$C$269</f>
        <v>176.14791400774803</v>
      </c>
      <c r="K289" s="311">
        <f>[93]DAT!$I$5</f>
        <v>445.07295872551498</v>
      </c>
      <c r="L289" s="312">
        <f t="shared" si="267"/>
        <v>178.67240414512847</v>
      </c>
      <c r="M289" s="311">
        <f>[94]DAT!$I$5</f>
        <v>486.42293111007984</v>
      </c>
      <c r="N289" s="312">
        <f t="shared" si="268"/>
        <v>195.27215219192286</v>
      </c>
      <c r="O289" s="311">
        <f>[95]DAT!$I$5</f>
        <v>528.26206334466713</v>
      </c>
      <c r="P289" s="312">
        <f t="shared" ref="P289" si="288">100*O289/$C$269</f>
        <v>212.06827111387682</v>
      </c>
      <c r="Q289" s="695">
        <f>[96]DAT!$I$5</f>
        <v>545.45826336109644</v>
      </c>
      <c r="R289" s="312">
        <f t="shared" ref="R289" si="289">100*Q289/$C$269</f>
        <v>218.97160311565494</v>
      </c>
      <c r="S289" s="695">
        <f>[97]DAT!$I$5</f>
        <v>562.72849137294315</v>
      </c>
      <c r="T289" s="313">
        <f t="shared" ref="T289" si="290">100*S289/$C$269</f>
        <v>225.9046533010611</v>
      </c>
      <c r="U289" s="662">
        <f>[98]DAT!$I$5</f>
        <v>589.25527241650923</v>
      </c>
      <c r="V289" s="313">
        <f t="shared" ref="V289" si="291">100*U289/$C$269</f>
        <v>236.55370229486522</v>
      </c>
      <c r="W289" s="662"/>
      <c r="X289" s="313"/>
    </row>
    <row r="290" spans="2:24" ht="15.75" thickBot="1">
      <c r="B290" s="314" t="s">
        <v>11</v>
      </c>
      <c r="C290" s="316">
        <v>350.55</v>
      </c>
      <c r="D290" s="316">
        <f t="shared" si="231"/>
        <v>140.72661581694098</v>
      </c>
      <c r="E290" s="316">
        <v>377.50546915962212</v>
      </c>
      <c r="F290" s="316">
        <f t="shared" si="246"/>
        <v>151.5477595984031</v>
      </c>
      <c r="G290" s="315">
        <f>[99]DAT!$I$5</f>
        <v>403.96287303972281</v>
      </c>
      <c r="H290" s="316">
        <f>100*G290/$C$269</f>
        <v>162.16895746275506</v>
      </c>
      <c r="I290" s="315">
        <f>[100]DAT!$I$5</f>
        <v>438.82517104898903</v>
      </c>
      <c r="J290" s="316">
        <f>100*I290/$C$269</f>
        <v>176.16425975471259</v>
      </c>
      <c r="K290" s="315">
        <f>[101]DAT!$I$5</f>
        <v>445.22676507607042</v>
      </c>
      <c r="L290" s="316">
        <f t="shared" si="267"/>
        <v>178.73414896670832</v>
      </c>
      <c r="M290" s="315">
        <f>[102]DAT!$I$5</f>
        <v>486.52804434037193</v>
      </c>
      <c r="N290" s="316">
        <f t="shared" si="268"/>
        <v>195.31434939396706</v>
      </c>
      <c r="O290" s="315">
        <f>[103]DAT!$I$5</f>
        <v>528.35129702397796</v>
      </c>
      <c r="P290" s="316">
        <f t="shared" ref="P290" si="292">100*O290/$C$269</f>
        <v>212.10409354635809</v>
      </c>
      <c r="Q290" s="1218">
        <f>[104]DAT!$I$5</f>
        <v>545.8244011260316</v>
      </c>
      <c r="R290" s="316">
        <f t="shared" ref="R290" si="293">100*Q290/$C$269</f>
        <v>219.11858736492638</v>
      </c>
      <c r="S290" s="1218">
        <f>[105]DAT!$I$5</f>
        <v>562.97175904167386</v>
      </c>
      <c r="T290" s="317">
        <f t="shared" ref="T290" si="294">100*S290/$C$269</f>
        <v>226.00231193965229</v>
      </c>
      <c r="U290" s="682">
        <f>[106]DAT!$I$5</f>
        <v>589.99864813865463</v>
      </c>
      <c r="V290" s="317">
        <f t="shared" ref="V290" si="295">100*U290/$C$269</f>
        <v>236.85212691234631</v>
      </c>
      <c r="W290" s="682"/>
      <c r="X290" s="317"/>
    </row>
    <row r="291" spans="2:24">
      <c r="B291" s="119"/>
      <c r="C291" s="123"/>
      <c r="D291" s="123"/>
      <c r="E291" s="123"/>
      <c r="F291" s="123"/>
      <c r="G291" s="118"/>
      <c r="H291" s="123"/>
      <c r="I291" s="118"/>
      <c r="J291" s="123"/>
      <c r="K291" s="118"/>
      <c r="L291" s="123"/>
      <c r="M291" s="118"/>
      <c r="N291" s="123"/>
      <c r="O291" s="123"/>
      <c r="P291" s="123"/>
      <c r="Q291" s="123"/>
      <c r="R291" s="123"/>
      <c r="S291" s="119"/>
      <c r="T291" s="132"/>
    </row>
    <row r="292" spans="2:24">
      <c r="B292" s="119"/>
      <c r="C292" s="123"/>
      <c r="D292" s="123"/>
      <c r="E292" s="123"/>
      <c r="F292" s="123"/>
      <c r="G292" s="118"/>
      <c r="H292" s="123"/>
      <c r="I292" s="118"/>
      <c r="J292" s="123"/>
      <c r="K292" s="118"/>
      <c r="L292" s="123"/>
      <c r="M292" s="118"/>
      <c r="N292" s="123"/>
      <c r="O292" s="123"/>
      <c r="P292" s="123"/>
      <c r="Q292" s="123"/>
      <c r="R292" s="123"/>
      <c r="S292" s="119"/>
      <c r="T292" s="132"/>
    </row>
    <row r="293" spans="2:24">
      <c r="B293" s="144"/>
      <c r="C293" s="146"/>
      <c r="D293" s="146"/>
      <c r="E293" s="148"/>
      <c r="F293" s="148"/>
      <c r="G293" s="159"/>
      <c r="H293" s="146"/>
      <c r="I293" s="159"/>
      <c r="J293" s="146"/>
      <c r="K293" s="159"/>
      <c r="L293" s="146"/>
      <c r="M293" s="159"/>
      <c r="N293" s="146"/>
      <c r="O293" s="123"/>
      <c r="P293" s="123"/>
      <c r="Q293" s="123"/>
      <c r="R293" s="123"/>
      <c r="S293" s="119"/>
      <c r="T293" s="132"/>
    </row>
    <row r="294" spans="2:24" hidden="1">
      <c r="B294" s="119" t="s">
        <v>32</v>
      </c>
      <c r="C294" s="118"/>
      <c r="D294" s="123"/>
      <c r="E294" s="118"/>
      <c r="F294" s="123"/>
      <c r="G294" s="118"/>
      <c r="H294" s="123"/>
      <c r="I294" s="118"/>
      <c r="J294" s="123"/>
      <c r="K294" s="118"/>
      <c r="L294" s="123"/>
      <c r="M294" s="118"/>
      <c r="N294" s="123"/>
      <c r="O294" s="123"/>
      <c r="P294" s="123"/>
      <c r="Q294" s="123"/>
      <c r="R294" s="123"/>
      <c r="S294" s="119"/>
      <c r="T294" s="132"/>
    </row>
    <row r="295" spans="2:24" hidden="1">
      <c r="B295" s="119"/>
      <c r="C295" s="118"/>
      <c r="D295" s="123"/>
      <c r="E295" s="118"/>
      <c r="F295" s="123"/>
      <c r="G295" s="118"/>
      <c r="H295" s="123"/>
      <c r="I295" s="118"/>
      <c r="J295" s="123"/>
      <c r="K295" s="118"/>
      <c r="L295" s="123"/>
      <c r="M295" s="118"/>
      <c r="N295" s="123"/>
      <c r="O295" s="123"/>
      <c r="P295" s="123"/>
      <c r="Q295" s="123"/>
      <c r="R295" s="123"/>
      <c r="S295" s="119"/>
      <c r="T295" s="132"/>
    </row>
    <row r="296" spans="2:24" hidden="1">
      <c r="B296" s="119"/>
      <c r="C296" s="119"/>
      <c r="D296" s="119"/>
      <c r="E296" s="118">
        <v>46158</v>
      </c>
      <c r="F296" s="120" t="s">
        <v>23</v>
      </c>
      <c r="G296" s="120"/>
      <c r="H296" s="119"/>
      <c r="I296" s="119"/>
      <c r="J296" s="119"/>
      <c r="K296" s="119"/>
      <c r="L296" s="119"/>
      <c r="M296" s="119"/>
      <c r="N296" s="119"/>
      <c r="O296" s="119"/>
      <c r="P296" s="119"/>
      <c r="Q296" s="119"/>
      <c r="R296" s="119"/>
      <c r="S296" s="119"/>
      <c r="T296" s="132"/>
    </row>
    <row r="297" spans="2:24" hidden="1">
      <c r="B297" s="137"/>
      <c r="C297" s="140">
        <v>1994</v>
      </c>
      <c r="D297" s="140" t="s">
        <v>15</v>
      </c>
      <c r="E297" s="140">
        <v>1995</v>
      </c>
      <c r="F297" s="140" t="s">
        <v>15</v>
      </c>
      <c r="G297" s="140">
        <v>1996</v>
      </c>
      <c r="H297" s="140" t="s">
        <v>15</v>
      </c>
      <c r="I297" s="140">
        <v>1997</v>
      </c>
      <c r="J297" s="140" t="s">
        <v>15</v>
      </c>
      <c r="K297" s="140">
        <v>1998</v>
      </c>
      <c r="L297" s="140" t="s">
        <v>15</v>
      </c>
      <c r="M297" s="140">
        <v>1999</v>
      </c>
      <c r="N297" s="140" t="s">
        <v>15</v>
      </c>
      <c r="O297" s="124"/>
      <c r="P297" s="124"/>
      <c r="Q297" s="124"/>
      <c r="S297" s="119"/>
      <c r="T297" s="132"/>
    </row>
    <row r="298" spans="2:24" hidden="1">
      <c r="B298" s="137" t="s">
        <v>0</v>
      </c>
      <c r="C298" s="137"/>
      <c r="D298" s="139"/>
      <c r="E298" s="157">
        <v>62703.33</v>
      </c>
      <c r="F298" s="139">
        <f>100*$E$298/46158</f>
        <v>135.84498895099441</v>
      </c>
      <c r="G298" s="157">
        <v>53000</v>
      </c>
      <c r="H298" s="139">
        <f>100*$G$298/46158</f>
        <v>114.82299926339962</v>
      </c>
      <c r="I298" s="157">
        <v>48880</v>
      </c>
      <c r="J298" s="139">
        <f>100*$I$298/46158</f>
        <v>105.89713592443347</v>
      </c>
      <c r="K298" s="157">
        <v>50612.81</v>
      </c>
      <c r="L298" s="139">
        <f>100*$K$298/46158</f>
        <v>109.65121972355821</v>
      </c>
      <c r="M298" s="157">
        <v>50412</v>
      </c>
      <c r="N298" s="139">
        <f>100*$M$298/46158</f>
        <v>109.21617054465098</v>
      </c>
      <c r="O298" s="123"/>
      <c r="P298" s="118"/>
      <c r="Q298" s="123"/>
      <c r="S298" s="119"/>
      <c r="T298" s="132"/>
    </row>
    <row r="299" spans="2:24" hidden="1">
      <c r="B299" s="137" t="s">
        <v>1</v>
      </c>
      <c r="C299" s="137"/>
      <c r="D299" s="139"/>
      <c r="E299" s="157">
        <v>62703.67</v>
      </c>
      <c r="F299" s="139">
        <f>100*$E$299/46158</f>
        <v>135.84572555136705</v>
      </c>
      <c r="G299" s="157">
        <v>52180</v>
      </c>
      <c r="H299" s="139">
        <f>100*$G$299/46158</f>
        <v>113.04649248234325</v>
      </c>
      <c r="I299" s="157">
        <v>48400</v>
      </c>
      <c r="J299" s="139">
        <f>100*$I$299/46158</f>
        <v>104.85722951601022</v>
      </c>
      <c r="K299" s="157">
        <v>49069.7</v>
      </c>
      <c r="L299" s="139">
        <f>100*$K$299/46158</f>
        <v>106.30811560292906</v>
      </c>
      <c r="M299" s="157">
        <v>51702</v>
      </c>
      <c r="N299" s="139">
        <f>100*$M$299/46158</f>
        <v>112.01091901728844</v>
      </c>
      <c r="O299" s="123"/>
      <c r="P299" s="118"/>
      <c r="Q299" s="123"/>
      <c r="S299" s="119"/>
      <c r="T299" s="132"/>
    </row>
    <row r="300" spans="2:24" hidden="1">
      <c r="B300" s="137" t="s">
        <v>2</v>
      </c>
      <c r="C300" s="137"/>
      <c r="D300" s="139"/>
      <c r="E300" s="157">
        <v>65712.89</v>
      </c>
      <c r="F300" s="139">
        <f>100*$E$300/46158</f>
        <v>142.36511547294077</v>
      </c>
      <c r="G300" s="157">
        <v>51972.75</v>
      </c>
      <c r="H300" s="139">
        <f>100*$G$300/46158</f>
        <v>112.59749122578968</v>
      </c>
      <c r="I300" s="157">
        <v>48400</v>
      </c>
      <c r="J300" s="139">
        <f>100*$I$300/46158</f>
        <v>104.85722951601022</v>
      </c>
      <c r="K300" s="157">
        <v>49081.01</v>
      </c>
      <c r="L300" s="139">
        <f>100*$K$300/46158</f>
        <v>106.33261839767754</v>
      </c>
      <c r="M300" s="157">
        <v>54371.33</v>
      </c>
      <c r="N300" s="139">
        <f>100*$M$300/46158</f>
        <v>117.7939468781143</v>
      </c>
      <c r="O300" s="123"/>
      <c r="P300" s="118"/>
      <c r="Q300" s="123"/>
      <c r="S300" s="119"/>
      <c r="T300" s="132"/>
    </row>
    <row r="301" spans="2:24" hidden="1">
      <c r="B301" s="137" t="s">
        <v>3</v>
      </c>
      <c r="C301" s="137"/>
      <c r="D301" s="139"/>
      <c r="E301" s="157">
        <v>65677</v>
      </c>
      <c r="F301" s="139">
        <f>100*$E$301/46158</f>
        <v>142.28736080419429</v>
      </c>
      <c r="G301" s="157">
        <v>51400</v>
      </c>
      <c r="H301" s="139">
        <f>100*$G$301/46158</f>
        <v>111.35664456865548</v>
      </c>
      <c r="I301" s="157">
        <v>48400</v>
      </c>
      <c r="J301" s="139">
        <f>100*$I$301/46158</f>
        <v>104.85722951601022</v>
      </c>
      <c r="K301" s="157">
        <v>49904.17</v>
      </c>
      <c r="L301" s="139">
        <f>100*$K$301/46158</f>
        <v>108.11597122925603</v>
      </c>
      <c r="M301" s="157">
        <v>53998</v>
      </c>
      <c r="N301" s="139">
        <f>100*$M$301/46158</f>
        <v>116.98513800424628</v>
      </c>
      <c r="O301" s="123"/>
      <c r="P301" s="164"/>
      <c r="Q301" s="123"/>
      <c r="S301" s="119"/>
      <c r="T301" s="132"/>
    </row>
    <row r="302" spans="2:24" hidden="1">
      <c r="B302" s="137" t="s">
        <v>4</v>
      </c>
      <c r="C302" s="137"/>
      <c r="D302" s="139"/>
      <c r="E302" s="157">
        <v>65677</v>
      </c>
      <c r="F302" s="139">
        <f>100*$E$302/46158</f>
        <v>142.28736080419429</v>
      </c>
      <c r="G302" s="157">
        <v>52272</v>
      </c>
      <c r="H302" s="139">
        <f>100*$G$302/46158</f>
        <v>113.24580787729104</v>
      </c>
      <c r="I302" s="157">
        <v>49900</v>
      </c>
      <c r="J302" s="139">
        <f>100*$I$302/46158</f>
        <v>108.10693704233286</v>
      </c>
      <c r="K302" s="157">
        <v>50026</v>
      </c>
      <c r="L302" s="139">
        <f>100*$K$302/46158</f>
        <v>108.37991247454396</v>
      </c>
      <c r="M302" s="157">
        <v>54140</v>
      </c>
      <c r="N302" s="139">
        <f>100*$M$302/46158</f>
        <v>117.29277698340482</v>
      </c>
      <c r="O302" s="123"/>
      <c r="P302" s="123"/>
      <c r="Q302" s="123"/>
      <c r="S302" s="119"/>
      <c r="T302" s="132"/>
    </row>
    <row r="303" spans="2:24" hidden="1">
      <c r="B303" s="137" t="s">
        <v>5</v>
      </c>
      <c r="C303" s="137"/>
      <c r="D303" s="139"/>
      <c r="E303" s="157">
        <v>65677</v>
      </c>
      <c r="F303" s="139">
        <f>100*$E$303/46158</f>
        <v>142.28736080419429</v>
      </c>
      <c r="G303" s="157">
        <v>50800</v>
      </c>
      <c r="H303" s="139">
        <f>100*$G$303/46158</f>
        <v>110.05676155812644</v>
      </c>
      <c r="I303" s="157">
        <v>49950</v>
      </c>
      <c r="J303" s="139">
        <f>100*$I$303/46158</f>
        <v>108.21526062654361</v>
      </c>
      <c r="K303" s="157">
        <v>49758</v>
      </c>
      <c r="L303" s="139">
        <f>100*$K$303/46158</f>
        <v>107.79929806317432</v>
      </c>
      <c r="M303" s="157">
        <v>54331.25</v>
      </c>
      <c r="N303" s="139">
        <f>100*$M$303/46158</f>
        <v>117.70711469301096</v>
      </c>
      <c r="O303" s="123"/>
      <c r="P303" s="123"/>
      <c r="Q303" s="123"/>
      <c r="S303" s="119"/>
      <c r="T303" s="132"/>
    </row>
    <row r="304" spans="2:24" hidden="1">
      <c r="B304" s="137" t="s">
        <v>6</v>
      </c>
      <c r="C304" s="165">
        <v>46158</v>
      </c>
      <c r="D304" s="139">
        <f>$C$304*100/46158</f>
        <v>100</v>
      </c>
      <c r="E304" s="157">
        <v>57647</v>
      </c>
      <c r="F304" s="139">
        <f>100*$E$304/46158</f>
        <v>124.89059317994713</v>
      </c>
      <c r="G304" s="157">
        <v>49580</v>
      </c>
      <c r="H304" s="139">
        <f>100*$G$304/46158</f>
        <v>107.41366610338403</v>
      </c>
      <c r="I304" s="157">
        <v>51000</v>
      </c>
      <c r="J304" s="139">
        <f>100*$I$304/46158</f>
        <v>110.49005589496946</v>
      </c>
      <c r="K304" s="157">
        <v>50177.5</v>
      </c>
      <c r="L304" s="139">
        <f>100*$K$304/46158</f>
        <v>108.70813293470255</v>
      </c>
      <c r="M304" s="157">
        <v>53700</v>
      </c>
      <c r="N304" s="139">
        <f>100*$M$304/46158</f>
        <v>116.33952944235018</v>
      </c>
      <c r="O304" s="123"/>
      <c r="P304" s="123"/>
      <c r="Q304" s="123"/>
      <c r="S304" s="119"/>
      <c r="T304" s="132"/>
    </row>
    <row r="305" spans="2:20" hidden="1">
      <c r="B305" s="137" t="s">
        <v>7</v>
      </c>
      <c r="C305" s="165">
        <v>46750.67</v>
      </c>
      <c r="D305" s="139">
        <f>$C$305*100/46158</f>
        <v>101.28400277308376</v>
      </c>
      <c r="E305" s="157">
        <v>57647</v>
      </c>
      <c r="F305" s="139">
        <f>100*$E$305/46158</f>
        <v>124.89059317994713</v>
      </c>
      <c r="G305" s="157">
        <v>49733.33</v>
      </c>
      <c r="H305" s="139">
        <f>100*$G$305/46158</f>
        <v>107.74585120672472</v>
      </c>
      <c r="I305" s="157">
        <v>51000</v>
      </c>
      <c r="J305" s="139">
        <f>100*$I$305/46158</f>
        <v>110.49005589496946</v>
      </c>
      <c r="K305" s="157">
        <v>49682.49</v>
      </c>
      <c r="L305" s="139">
        <f>100*$K$305/46158</f>
        <v>107.63570778629924</v>
      </c>
      <c r="M305" s="157">
        <v>52880</v>
      </c>
      <c r="N305" s="139">
        <f>100*$M$305/46158</f>
        <v>114.56302266129381</v>
      </c>
      <c r="O305" s="123"/>
      <c r="P305" s="123"/>
      <c r="Q305" s="123"/>
      <c r="S305" s="119"/>
      <c r="T305" s="132"/>
    </row>
    <row r="306" spans="2:20" hidden="1">
      <c r="B306" s="137" t="s">
        <v>8</v>
      </c>
      <c r="C306" s="165">
        <v>51573.599999999999</v>
      </c>
      <c r="D306" s="139">
        <f>$C$306*100/46158</f>
        <v>111.73274405303523</v>
      </c>
      <c r="E306" s="157">
        <v>57647.09</v>
      </c>
      <c r="F306" s="139">
        <f>100*$E$306/46158</f>
        <v>124.89078816239872</v>
      </c>
      <c r="G306" s="157">
        <v>50120</v>
      </c>
      <c r="H306" s="139">
        <f>100*$G$306/46158</f>
        <v>108.58356081286017</v>
      </c>
      <c r="I306" s="157">
        <v>51000</v>
      </c>
      <c r="J306" s="139">
        <f>100*$I$306/46158</f>
        <v>110.49005589496946</v>
      </c>
      <c r="K306" s="157">
        <v>50430</v>
      </c>
      <c r="L306" s="139">
        <f>100*$K$306/46158</f>
        <v>109.25516703496686</v>
      </c>
      <c r="M306" s="157">
        <v>53750</v>
      </c>
      <c r="N306" s="139">
        <f>100*$M$306/46158</f>
        <v>116.44785302656095</v>
      </c>
      <c r="O306" s="123"/>
      <c r="P306" s="123"/>
      <c r="Q306" s="123"/>
      <c r="S306" s="119"/>
      <c r="T306" s="132"/>
    </row>
    <row r="307" spans="2:20" hidden="1">
      <c r="B307" s="137" t="s">
        <v>9</v>
      </c>
      <c r="C307" s="165">
        <v>61132.78</v>
      </c>
      <c r="D307" s="139">
        <f>$C$307*100/46158</f>
        <v>132.44243684735039</v>
      </c>
      <c r="E307" s="157">
        <v>56500</v>
      </c>
      <c r="F307" s="139">
        <f>100*$E$307/46158</f>
        <v>122.40565015815243</v>
      </c>
      <c r="G307" s="157">
        <v>49350</v>
      </c>
      <c r="H307" s="139">
        <f>100*$G$307/46158</f>
        <v>106.91537761601455</v>
      </c>
      <c r="I307" s="157">
        <v>51000</v>
      </c>
      <c r="J307" s="139">
        <f>100*$I$307/46158</f>
        <v>110.49005589496946</v>
      </c>
      <c r="K307" s="157">
        <v>50190</v>
      </c>
      <c r="L307" s="139">
        <f>100*$K$307/46158</f>
        <v>108.73521383075523</v>
      </c>
      <c r="M307" s="157">
        <v>55200</v>
      </c>
      <c r="N307" s="139">
        <f>100*$M$307/46158</f>
        <v>119.58923696867282</v>
      </c>
      <c r="O307" s="123"/>
      <c r="P307" s="123"/>
      <c r="Q307" s="123"/>
      <c r="S307" s="119"/>
      <c r="T307" s="132"/>
    </row>
    <row r="308" spans="2:20" hidden="1">
      <c r="B308" s="137" t="s">
        <v>10</v>
      </c>
      <c r="C308" s="165">
        <v>62003</v>
      </c>
      <c r="D308" s="139">
        <f>$C$308*100/46158</f>
        <v>134.32774383638807</v>
      </c>
      <c r="E308" s="157">
        <v>53000</v>
      </c>
      <c r="F308" s="139">
        <f>100*$E$308/46158</f>
        <v>114.82299926339962</v>
      </c>
      <c r="G308" s="157">
        <v>47100</v>
      </c>
      <c r="H308" s="139">
        <f>100*$G$308/46158</f>
        <v>102.04081632653062</v>
      </c>
      <c r="I308" s="157">
        <v>51000</v>
      </c>
      <c r="J308" s="139">
        <f>100*$I$308/46158</f>
        <v>110.49005589496946</v>
      </c>
      <c r="K308" s="157">
        <v>50271.94</v>
      </c>
      <c r="L308" s="139">
        <f>100*$K$308/46158</f>
        <v>108.91273452055982</v>
      </c>
      <c r="M308" s="157">
        <v>56340</v>
      </c>
      <c r="N308" s="139">
        <f>100*$M$308/46158</f>
        <v>122.05901468867802</v>
      </c>
      <c r="O308" s="123"/>
      <c r="P308" s="123"/>
      <c r="Q308" s="123"/>
      <c r="S308" s="119"/>
      <c r="T308" s="132"/>
    </row>
    <row r="309" spans="2:20" hidden="1">
      <c r="B309" s="137" t="s">
        <v>11</v>
      </c>
      <c r="C309" s="165">
        <v>61306.89</v>
      </c>
      <c r="D309" s="139">
        <f>$C$309*100/46158</f>
        <v>132.81964123228909</v>
      </c>
      <c r="E309" s="157">
        <v>53000</v>
      </c>
      <c r="F309" s="139">
        <f>100*$E$309/46158</f>
        <v>114.82299926339962</v>
      </c>
      <c r="G309" s="157">
        <v>48000</v>
      </c>
      <c r="H309" s="139">
        <f>100*$G$309/46158</f>
        <v>103.9906408423242</v>
      </c>
      <c r="I309" s="157">
        <v>50495.5</v>
      </c>
      <c r="J309" s="139">
        <f>100*$I$309/46158</f>
        <v>109.39707093028294</v>
      </c>
      <c r="K309" s="157">
        <v>48738.33</v>
      </c>
      <c r="L309" s="139">
        <f>100*$K$309/46158</f>
        <v>105.59021188093071</v>
      </c>
      <c r="M309" s="157">
        <v>55500</v>
      </c>
      <c r="N309" s="139">
        <f>100*$M$309/46158</f>
        <v>120.23917847393734</v>
      </c>
      <c r="O309" s="123"/>
      <c r="P309" s="123"/>
      <c r="Q309" s="123"/>
      <c r="S309" s="119"/>
      <c r="T309" s="132"/>
    </row>
    <row r="310" spans="2:20" hidden="1">
      <c r="B310" s="119"/>
      <c r="C310" s="122"/>
      <c r="D310" s="123"/>
      <c r="E310" s="118"/>
      <c r="F310" s="123"/>
      <c r="G310" s="118"/>
      <c r="H310" s="123"/>
      <c r="I310" s="118"/>
      <c r="J310" s="123"/>
      <c r="K310" s="118"/>
      <c r="L310" s="123"/>
      <c r="M310" s="118"/>
      <c r="N310" s="123"/>
      <c r="O310" s="123"/>
      <c r="P310" s="123"/>
      <c r="Q310" s="123"/>
      <c r="R310" s="123"/>
      <c r="S310" s="119"/>
      <c r="T310" s="132"/>
    </row>
    <row r="311" spans="2:20" hidden="1">
      <c r="B311" s="166" t="s">
        <v>194</v>
      </c>
      <c r="C311" s="118"/>
      <c r="D311" s="123"/>
      <c r="E311" s="118"/>
      <c r="F311" s="123"/>
      <c r="G311" s="118"/>
      <c r="H311" s="123"/>
      <c r="I311" s="118"/>
      <c r="J311" s="123"/>
      <c r="K311" s="118"/>
      <c r="L311" s="123"/>
      <c r="M311" s="118"/>
      <c r="N311" s="123"/>
      <c r="O311" s="123"/>
      <c r="P311" s="123"/>
      <c r="Q311" s="123"/>
      <c r="R311" s="123"/>
      <c r="S311" s="119"/>
      <c r="T311" s="132"/>
    </row>
    <row r="312" spans="2:20" hidden="1">
      <c r="B312" s="119"/>
      <c r="C312" s="118"/>
      <c r="D312" s="123"/>
      <c r="E312" s="125" t="s">
        <v>38</v>
      </c>
      <c r="F312" s="123"/>
      <c r="G312" s="118"/>
      <c r="H312" s="123"/>
      <c r="I312" s="118"/>
      <c r="J312" s="123"/>
      <c r="K312" s="118"/>
      <c r="L312" s="123"/>
      <c r="M312" s="118"/>
      <c r="N312" s="123"/>
      <c r="O312" s="123"/>
      <c r="P312" s="123"/>
      <c r="Q312" s="123"/>
      <c r="R312" s="123"/>
      <c r="S312" s="119"/>
      <c r="T312" s="132"/>
    </row>
    <row r="313" spans="2:20" hidden="1">
      <c r="B313" s="119"/>
      <c r="C313" s="119"/>
      <c r="D313" s="119"/>
      <c r="E313" s="118">
        <v>74750</v>
      </c>
      <c r="F313" s="125" t="s">
        <v>37</v>
      </c>
      <c r="G313" s="120"/>
      <c r="H313" s="119"/>
      <c r="I313" s="119"/>
      <c r="J313" s="119"/>
      <c r="K313" s="119"/>
      <c r="L313" s="119"/>
      <c r="M313" s="119"/>
      <c r="N313" s="119"/>
      <c r="O313" s="119"/>
      <c r="P313" s="119"/>
      <c r="Q313" s="119"/>
      <c r="R313" s="119"/>
      <c r="S313" s="119"/>
      <c r="T313" s="132"/>
    </row>
    <row r="314" spans="2:20" hidden="1">
      <c r="B314" s="137"/>
      <c r="C314" s="140">
        <v>2000</v>
      </c>
      <c r="D314" s="140" t="s">
        <v>15</v>
      </c>
      <c r="E314" s="140">
        <v>2001</v>
      </c>
      <c r="F314" s="140" t="s">
        <v>15</v>
      </c>
      <c r="G314" s="140">
        <v>2002</v>
      </c>
      <c r="H314" s="140" t="s">
        <v>15</v>
      </c>
      <c r="I314" s="140">
        <v>2003</v>
      </c>
      <c r="J314" s="140" t="s">
        <v>15</v>
      </c>
      <c r="K314" s="124"/>
      <c r="L314" s="124"/>
      <c r="M314" s="124"/>
      <c r="N314" s="124"/>
      <c r="O314" s="124"/>
      <c r="P314" s="124"/>
      <c r="Q314" s="124"/>
      <c r="R314" s="124"/>
      <c r="S314" s="119"/>
      <c r="T314" s="132"/>
    </row>
    <row r="315" spans="2:20" hidden="1">
      <c r="B315" s="137" t="s">
        <v>0</v>
      </c>
      <c r="C315" s="141"/>
      <c r="D315" s="139"/>
      <c r="E315" s="157">
        <v>74600</v>
      </c>
      <c r="F315" s="139">
        <f t="shared" ref="F315:F326" si="296">100*E315/74750</f>
        <v>99.799331103678924</v>
      </c>
      <c r="G315" s="157">
        <v>81420</v>
      </c>
      <c r="H315" s="139">
        <f t="shared" ref="H315:H326" si="297">100*G315/74750</f>
        <v>108.92307692307692</v>
      </c>
      <c r="I315" s="157">
        <v>94840</v>
      </c>
      <c r="J315" s="139">
        <f>100*I315/74750</f>
        <v>126.876254180602</v>
      </c>
      <c r="K315" s="123"/>
      <c r="L315" s="123"/>
      <c r="M315" s="123"/>
      <c r="N315" s="123"/>
      <c r="O315" s="123"/>
      <c r="P315" s="123"/>
      <c r="Q315" s="123"/>
      <c r="R315" s="123"/>
      <c r="S315" s="119"/>
      <c r="T315" s="132"/>
    </row>
    <row r="316" spans="2:20" hidden="1">
      <c r="B316" s="137" t="s">
        <v>1</v>
      </c>
      <c r="C316" s="141"/>
      <c r="D316" s="139"/>
      <c r="E316" s="157">
        <v>74375</v>
      </c>
      <c r="F316" s="139">
        <f t="shared" si="296"/>
        <v>99.498327759197323</v>
      </c>
      <c r="G316" s="157">
        <v>83000</v>
      </c>
      <c r="H316" s="139">
        <f t="shared" si="297"/>
        <v>111.03678929765886</v>
      </c>
      <c r="I316" s="157">
        <v>95090.6</v>
      </c>
      <c r="J316" s="139">
        <f>100*I316/74750</f>
        <v>127.21150501672241</v>
      </c>
      <c r="K316" s="123"/>
      <c r="L316" s="123"/>
      <c r="M316" s="123"/>
      <c r="N316" s="123"/>
      <c r="O316" s="123"/>
      <c r="P316" s="123"/>
      <c r="Q316" s="123"/>
      <c r="R316" s="123"/>
      <c r="S316" s="119"/>
      <c r="T316" s="132"/>
    </row>
    <row r="317" spans="2:20" hidden="1">
      <c r="B317" s="137" t="s">
        <v>2</v>
      </c>
      <c r="C317" s="141"/>
      <c r="D317" s="139"/>
      <c r="E317" s="157">
        <v>76900</v>
      </c>
      <c r="F317" s="139">
        <f t="shared" si="296"/>
        <v>102.876254180602</v>
      </c>
      <c r="G317" s="157">
        <v>80140</v>
      </c>
      <c r="H317" s="139">
        <f t="shared" si="297"/>
        <v>107.21070234113712</v>
      </c>
      <c r="I317" s="157" t="s">
        <v>163</v>
      </c>
      <c r="J317" s="139"/>
      <c r="K317" s="123"/>
      <c r="L317" s="123"/>
      <c r="M317" s="123"/>
      <c r="N317" s="123"/>
      <c r="O317" s="123"/>
      <c r="P317" s="123"/>
      <c r="Q317" s="123"/>
      <c r="R317" s="123"/>
      <c r="S317" s="119"/>
      <c r="T317" s="132"/>
    </row>
    <row r="318" spans="2:20" hidden="1">
      <c r="B318" s="137" t="s">
        <v>3</v>
      </c>
      <c r="C318" s="165">
        <v>74750</v>
      </c>
      <c r="D318" s="139">
        <v>100</v>
      </c>
      <c r="E318" s="157">
        <v>78800</v>
      </c>
      <c r="F318" s="139">
        <f t="shared" si="296"/>
        <v>105.41806020066889</v>
      </c>
      <c r="G318" s="157">
        <v>82300</v>
      </c>
      <c r="H318" s="139">
        <f t="shared" si="297"/>
        <v>110.10033444816054</v>
      </c>
      <c r="I318" s="157"/>
      <c r="J318" s="139"/>
      <c r="K318" s="123"/>
      <c r="L318" s="123"/>
      <c r="M318" s="123"/>
      <c r="N318" s="123"/>
      <c r="O318" s="123"/>
      <c r="P318" s="123"/>
      <c r="Q318" s="123"/>
      <c r="R318" s="123"/>
      <c r="S318" s="119"/>
      <c r="T318" s="132"/>
    </row>
    <row r="319" spans="2:20" hidden="1">
      <c r="B319" s="137" t="s">
        <v>4</v>
      </c>
      <c r="C319" s="165">
        <v>74875</v>
      </c>
      <c r="D319" s="139">
        <f t="shared" ref="D319:D326" si="298">100*((C319/74750))</f>
        <v>100.16722408026757</v>
      </c>
      <c r="E319" s="157">
        <v>79760</v>
      </c>
      <c r="F319" s="139">
        <f t="shared" si="296"/>
        <v>106.70234113712375</v>
      </c>
      <c r="G319" s="157">
        <v>83310</v>
      </c>
      <c r="H319" s="139">
        <f t="shared" si="297"/>
        <v>111.45150501672241</v>
      </c>
      <c r="I319" s="157"/>
      <c r="J319" s="139"/>
      <c r="K319" s="123"/>
      <c r="L319" s="123"/>
      <c r="M319" s="123"/>
      <c r="N319" s="123"/>
      <c r="O319" s="123"/>
      <c r="P319" s="123"/>
      <c r="Q319" s="123"/>
      <c r="R319" s="123"/>
      <c r="S319" s="119"/>
      <c r="T319" s="132"/>
    </row>
    <row r="320" spans="2:20" hidden="1">
      <c r="B320" s="137" t="s">
        <v>5</v>
      </c>
      <c r="C320" s="165">
        <v>77600.83</v>
      </c>
      <c r="D320" s="139">
        <f t="shared" si="298"/>
        <v>103.81381939799333</v>
      </c>
      <c r="E320" s="157">
        <v>79600</v>
      </c>
      <c r="F320" s="139">
        <f t="shared" si="296"/>
        <v>106.48829431438126</v>
      </c>
      <c r="G320" s="157">
        <v>83620</v>
      </c>
      <c r="H320" s="139">
        <f t="shared" si="297"/>
        <v>111.86622073578596</v>
      </c>
      <c r="I320" s="157"/>
      <c r="J320" s="139"/>
      <c r="K320" s="123"/>
      <c r="L320" s="123"/>
      <c r="M320" s="123"/>
      <c r="N320" s="123"/>
      <c r="O320" s="123"/>
      <c r="P320" s="123"/>
      <c r="Q320" s="123"/>
      <c r="R320" s="123"/>
      <c r="S320" s="119"/>
      <c r="T320" s="132"/>
    </row>
    <row r="321" spans="2:20" hidden="1">
      <c r="B321" s="137" t="s">
        <v>6</v>
      </c>
      <c r="C321" s="165">
        <v>77300</v>
      </c>
      <c r="D321" s="139">
        <f t="shared" si="298"/>
        <v>103.41137123745821</v>
      </c>
      <c r="E321" s="157">
        <v>80800</v>
      </c>
      <c r="F321" s="139">
        <f t="shared" si="296"/>
        <v>108.09364548494983</v>
      </c>
      <c r="G321" s="157">
        <v>83100</v>
      </c>
      <c r="H321" s="139">
        <f t="shared" si="297"/>
        <v>111.17056856187291</v>
      </c>
      <c r="I321" s="157"/>
      <c r="J321" s="139"/>
      <c r="K321" s="123"/>
      <c r="L321" s="123"/>
      <c r="M321" s="123"/>
      <c r="N321" s="123"/>
      <c r="O321" s="123"/>
      <c r="P321" s="123"/>
      <c r="Q321" s="123"/>
      <c r="R321" s="123"/>
      <c r="S321" s="119"/>
      <c r="T321" s="132"/>
    </row>
    <row r="322" spans="2:20" hidden="1">
      <c r="B322" s="137" t="s">
        <v>7</v>
      </c>
      <c r="C322" s="165">
        <v>74750</v>
      </c>
      <c r="D322" s="139">
        <f t="shared" si="298"/>
        <v>100</v>
      </c>
      <c r="E322" s="157">
        <v>80300</v>
      </c>
      <c r="F322" s="139">
        <f t="shared" si="296"/>
        <v>107.4247491638796</v>
      </c>
      <c r="G322" s="157">
        <v>83080</v>
      </c>
      <c r="H322" s="139">
        <f t="shared" si="297"/>
        <v>111.1438127090301</v>
      </c>
      <c r="I322" s="157"/>
      <c r="J322" s="139"/>
      <c r="K322" s="123"/>
      <c r="L322" s="123"/>
      <c r="M322" s="123"/>
      <c r="N322" s="123"/>
      <c r="O322" s="123"/>
      <c r="P322" s="123"/>
      <c r="Q322" s="123"/>
      <c r="R322" s="123"/>
      <c r="S322" s="119"/>
      <c r="T322" s="132"/>
    </row>
    <row r="323" spans="2:20" hidden="1">
      <c r="B323" s="137" t="s">
        <v>8</v>
      </c>
      <c r="C323" s="165">
        <v>73888.89</v>
      </c>
      <c r="D323" s="139">
        <f t="shared" si="298"/>
        <v>98.848013377926421</v>
      </c>
      <c r="E323" s="157">
        <v>81400</v>
      </c>
      <c r="F323" s="139">
        <f t="shared" si="296"/>
        <v>108.89632107023411</v>
      </c>
      <c r="G323" s="157">
        <v>84500</v>
      </c>
      <c r="H323" s="139">
        <f t="shared" si="297"/>
        <v>113.04347826086956</v>
      </c>
      <c r="I323" s="157"/>
      <c r="J323" s="139"/>
      <c r="K323" s="123"/>
      <c r="L323" s="123"/>
      <c r="M323" s="123"/>
      <c r="N323" s="123"/>
      <c r="O323" s="123"/>
      <c r="P323" s="123"/>
      <c r="Q323" s="123"/>
      <c r="R323" s="123"/>
      <c r="S323" s="119"/>
      <c r="T323" s="132"/>
    </row>
    <row r="324" spans="2:20" hidden="1">
      <c r="B324" s="137" t="s">
        <v>9</v>
      </c>
      <c r="C324" s="165">
        <v>73375</v>
      </c>
      <c r="D324" s="139">
        <f t="shared" si="298"/>
        <v>98.160535117056853</v>
      </c>
      <c r="E324" s="157">
        <v>80600</v>
      </c>
      <c r="F324" s="139">
        <f t="shared" si="296"/>
        <v>107.82608695652173</v>
      </c>
      <c r="G324" s="157">
        <v>85940</v>
      </c>
      <c r="H324" s="139">
        <f t="shared" si="297"/>
        <v>114.96989966555184</v>
      </c>
      <c r="I324" s="157"/>
      <c r="J324" s="139"/>
      <c r="K324" s="123"/>
      <c r="L324" s="123"/>
      <c r="M324" s="123"/>
      <c r="N324" s="123"/>
      <c r="O324" s="123"/>
      <c r="P324" s="123"/>
      <c r="Q324" s="123"/>
      <c r="R324" s="123"/>
      <c r="S324" s="119"/>
      <c r="T324" s="132"/>
    </row>
    <row r="325" spans="2:20" hidden="1">
      <c r="B325" s="137" t="s">
        <v>10</v>
      </c>
      <c r="C325" s="165">
        <v>73142.86</v>
      </c>
      <c r="D325" s="139">
        <f t="shared" si="298"/>
        <v>97.849979933110362</v>
      </c>
      <c r="E325" s="157">
        <v>79910</v>
      </c>
      <c r="F325" s="139">
        <f t="shared" si="296"/>
        <v>106.90301003344482</v>
      </c>
      <c r="G325" s="157">
        <v>87640</v>
      </c>
      <c r="H325" s="139">
        <f t="shared" si="297"/>
        <v>117.24414715719064</v>
      </c>
      <c r="I325" s="157"/>
      <c r="J325" s="139"/>
      <c r="K325" s="123"/>
      <c r="L325" s="123"/>
      <c r="M325" s="123"/>
      <c r="N325" s="123"/>
      <c r="O325" s="123"/>
      <c r="P325" s="123"/>
      <c r="Q325" s="123"/>
      <c r="R325" s="123"/>
      <c r="S325" s="119"/>
      <c r="T325" s="132"/>
    </row>
    <row r="326" spans="2:20" hidden="1">
      <c r="B326" s="137" t="s">
        <v>11</v>
      </c>
      <c r="C326" s="165">
        <v>73900</v>
      </c>
      <c r="D326" s="139">
        <f t="shared" si="298"/>
        <v>98.862876254180605</v>
      </c>
      <c r="E326" s="157">
        <v>78375</v>
      </c>
      <c r="F326" s="139">
        <f t="shared" si="296"/>
        <v>104.84949832775919</v>
      </c>
      <c r="G326" s="157">
        <v>87750</v>
      </c>
      <c r="H326" s="139">
        <f t="shared" si="297"/>
        <v>117.39130434782609</v>
      </c>
      <c r="I326" s="157"/>
      <c r="J326" s="139"/>
      <c r="K326" s="123"/>
      <c r="L326" s="123"/>
      <c r="M326" s="123"/>
      <c r="N326" s="123"/>
      <c r="O326" s="123"/>
      <c r="P326" s="123"/>
      <c r="Q326" s="123"/>
      <c r="R326" s="123"/>
      <c r="S326" s="119"/>
      <c r="T326" s="132"/>
    </row>
    <row r="327" spans="2:20" hidden="1">
      <c r="B327" s="119"/>
      <c r="C327" s="122"/>
      <c r="D327" s="123"/>
      <c r="E327" s="118"/>
      <c r="F327" s="123"/>
      <c r="G327" s="118"/>
      <c r="H327" s="123"/>
      <c r="I327" s="118"/>
      <c r="J327" s="123"/>
      <c r="K327" s="123"/>
      <c r="L327" s="123"/>
      <c r="M327" s="123"/>
      <c r="N327" s="123"/>
      <c r="O327" s="123"/>
      <c r="P327" s="123"/>
      <c r="Q327" s="123"/>
      <c r="R327" s="123"/>
      <c r="S327" s="119"/>
      <c r="T327" s="132"/>
    </row>
    <row r="328" spans="2:20" hidden="1">
      <c r="B328" s="119"/>
      <c r="C328" s="122"/>
      <c r="D328" s="123"/>
      <c r="E328" s="118"/>
      <c r="F328" s="123"/>
      <c r="G328" s="118"/>
      <c r="H328" s="123"/>
      <c r="I328" s="118"/>
      <c r="J328" s="123"/>
      <c r="K328" s="123"/>
      <c r="L328" s="123"/>
      <c r="M328" s="123"/>
      <c r="N328" s="123"/>
      <c r="O328" s="123"/>
      <c r="P328" s="123"/>
      <c r="Q328" s="123"/>
      <c r="R328" s="123"/>
      <c r="S328" s="119"/>
      <c r="T328" s="132"/>
    </row>
    <row r="329" spans="2:20" hidden="1">
      <c r="B329" s="119"/>
      <c r="C329" s="122"/>
      <c r="D329" s="123"/>
      <c r="E329" s="118"/>
      <c r="F329" s="123"/>
      <c r="G329" s="118"/>
      <c r="H329" s="123"/>
      <c r="I329" s="118"/>
      <c r="J329" s="123"/>
      <c r="K329" s="123"/>
      <c r="L329" s="123"/>
      <c r="M329" s="123"/>
      <c r="N329" s="123"/>
      <c r="O329" s="123"/>
      <c r="P329" s="123"/>
      <c r="Q329" s="123"/>
      <c r="R329" s="123"/>
      <c r="S329" s="119"/>
      <c r="T329" s="132"/>
    </row>
    <row r="330" spans="2:20" ht="15.75" thickBot="1">
      <c r="B330" s="119"/>
      <c r="C330" s="122"/>
      <c r="D330" s="123"/>
      <c r="E330" s="118"/>
      <c r="F330" s="123"/>
      <c r="G330" s="118"/>
      <c r="H330" s="123"/>
      <c r="I330" s="118"/>
      <c r="J330" s="123"/>
      <c r="K330" s="123"/>
      <c r="L330" s="123"/>
      <c r="M330" s="123"/>
      <c r="N330" s="123"/>
      <c r="O330" s="123"/>
      <c r="P330" s="123"/>
      <c r="Q330" s="123"/>
      <c r="R330" s="123"/>
      <c r="S330" s="119"/>
      <c r="T330" s="132"/>
    </row>
    <row r="331" spans="2:20" ht="16.5" thickBot="1">
      <c r="B331" s="1401" t="s">
        <v>334</v>
      </c>
      <c r="C331" s="1402"/>
      <c r="D331" s="1402"/>
      <c r="E331" s="1402"/>
      <c r="F331" s="1402"/>
      <c r="G331" s="1402"/>
      <c r="H331" s="381">
        <v>81410</v>
      </c>
      <c r="I331" s="382" t="s">
        <v>37</v>
      </c>
      <c r="J331" s="383"/>
      <c r="K331" s="384"/>
      <c r="L331" s="1333" t="s">
        <v>38</v>
      </c>
      <c r="M331" s="1333"/>
      <c r="N331" s="1334"/>
      <c r="O331" s="123"/>
      <c r="P331" s="123"/>
      <c r="Q331" s="123"/>
      <c r="R331" s="123"/>
      <c r="S331" s="119"/>
      <c r="T331" s="132"/>
    </row>
    <row r="332" spans="2:20" ht="15.75" thickBot="1">
      <c r="B332" s="387"/>
      <c r="C332" s="336"/>
      <c r="D332" s="336" t="s">
        <v>15</v>
      </c>
      <c r="E332" s="336">
        <v>2001</v>
      </c>
      <c r="F332" s="336" t="s">
        <v>15</v>
      </c>
      <c r="G332" s="336">
        <v>2002</v>
      </c>
      <c r="H332" s="336" t="s">
        <v>15</v>
      </c>
      <c r="I332" s="336">
        <v>2003</v>
      </c>
      <c r="J332" s="336" t="s">
        <v>15</v>
      </c>
      <c r="K332" s="336">
        <v>2004</v>
      </c>
      <c r="L332" s="336" t="s">
        <v>15</v>
      </c>
      <c r="M332" s="336">
        <v>2005</v>
      </c>
      <c r="N332" s="354" t="s">
        <v>15</v>
      </c>
      <c r="O332" s="124"/>
      <c r="P332" s="124"/>
      <c r="Q332" s="123"/>
      <c r="R332" s="123"/>
      <c r="S332" s="119"/>
      <c r="T332" s="132"/>
    </row>
    <row r="333" spans="2:20">
      <c r="B333" s="306" t="s">
        <v>0</v>
      </c>
      <c r="C333" s="342"/>
      <c r="D333" s="308"/>
      <c r="E333" s="307">
        <f>74600+E464</f>
        <v>81860</v>
      </c>
      <c r="F333" s="308">
        <f t="shared" ref="F333:F344" si="299">100*E333/H$331</f>
        <v>100.55275764648077</v>
      </c>
      <c r="G333" s="307">
        <f>81420+E464</f>
        <v>88680</v>
      </c>
      <c r="H333" s="308">
        <f t="shared" ref="H333:H344" si="300">100*G333/$H$331</f>
        <v>108.93010686647833</v>
      </c>
      <c r="I333" s="307">
        <f>94840+I464</f>
        <v>104620</v>
      </c>
      <c r="J333" s="308">
        <f t="shared" ref="J333:L344" si="301">100*I333/74750</f>
        <v>139.95986622073579</v>
      </c>
      <c r="K333" s="307">
        <v>120545.45</v>
      </c>
      <c r="L333" s="308">
        <f t="shared" si="301"/>
        <v>161.26481605351171</v>
      </c>
      <c r="M333" s="307">
        <v>144046.44</v>
      </c>
      <c r="N333" s="309">
        <f t="shared" ref="N333:N344" si="302">100*M333/74750</f>
        <v>192.70426755852841</v>
      </c>
      <c r="O333" s="123"/>
      <c r="P333" s="123"/>
      <c r="Q333" s="123"/>
      <c r="R333" s="123"/>
      <c r="S333" s="119"/>
      <c r="T333" s="132"/>
    </row>
    <row r="334" spans="2:20">
      <c r="B334" s="310" t="s">
        <v>1</v>
      </c>
      <c r="C334" s="345"/>
      <c r="D334" s="312"/>
      <c r="E334" s="311">
        <f>74375+E465</f>
        <v>81625</v>
      </c>
      <c r="F334" s="312">
        <f t="shared" si="299"/>
        <v>100.26409531998526</v>
      </c>
      <c r="G334" s="311">
        <f>81420+E465</f>
        <v>88670</v>
      </c>
      <c r="H334" s="312">
        <f t="shared" si="300"/>
        <v>108.91782336322319</v>
      </c>
      <c r="I334" s="311">
        <f>95090.6+I465</f>
        <v>104370.6</v>
      </c>
      <c r="J334" s="312">
        <f t="shared" si="301"/>
        <v>139.62622073578595</v>
      </c>
      <c r="K334" s="311">
        <v>122200</v>
      </c>
      <c r="L334" s="312">
        <f t="shared" si="301"/>
        <v>163.47826086956522</v>
      </c>
      <c r="M334" s="311">
        <v>147808.5</v>
      </c>
      <c r="N334" s="313">
        <f t="shared" si="302"/>
        <v>197.73712374581939</v>
      </c>
      <c r="O334" s="123"/>
      <c r="P334" s="123"/>
      <c r="Q334" s="123"/>
      <c r="R334" s="123"/>
      <c r="S334" s="119"/>
      <c r="T334" s="132"/>
    </row>
    <row r="335" spans="2:20">
      <c r="B335" s="310" t="s">
        <v>2</v>
      </c>
      <c r="C335" s="345"/>
      <c r="D335" s="312"/>
      <c r="E335" s="311">
        <f>76900+E466</f>
        <v>84012.5</v>
      </c>
      <c r="F335" s="312">
        <f t="shared" si="299"/>
        <v>103.19678172214715</v>
      </c>
      <c r="G335" s="311">
        <f>80140+G466</f>
        <v>87340</v>
      </c>
      <c r="H335" s="312">
        <f t="shared" si="300"/>
        <v>107.28411743029112</v>
      </c>
      <c r="I335" s="311">
        <v>105365.4</v>
      </c>
      <c r="J335" s="312">
        <f t="shared" si="301"/>
        <v>140.95705685618728</v>
      </c>
      <c r="K335" s="311">
        <v>127125</v>
      </c>
      <c r="L335" s="312">
        <f t="shared" si="301"/>
        <v>170.06688963210703</v>
      </c>
      <c r="M335" s="311">
        <v>150271.10999999999</v>
      </c>
      <c r="N335" s="313">
        <f t="shared" si="302"/>
        <v>201.03158528428091</v>
      </c>
      <c r="O335" s="123"/>
      <c r="P335" s="123"/>
      <c r="Q335" s="123"/>
      <c r="R335" s="123"/>
      <c r="S335" s="119"/>
      <c r="T335" s="132"/>
    </row>
    <row r="336" spans="2:20">
      <c r="B336" s="310" t="s">
        <v>3</v>
      </c>
      <c r="C336" s="385">
        <f>74750+C467</f>
        <v>81410</v>
      </c>
      <c r="D336" s="312">
        <v>100</v>
      </c>
      <c r="E336" s="311">
        <f>78800+V466</f>
        <v>78800</v>
      </c>
      <c r="F336" s="312">
        <f t="shared" si="299"/>
        <v>96.794005650411492</v>
      </c>
      <c r="G336" s="311">
        <f>82300+G467</f>
        <v>89760</v>
      </c>
      <c r="H336" s="312">
        <f t="shared" si="300"/>
        <v>110.25672521803219</v>
      </c>
      <c r="I336" s="311">
        <v>105378.6</v>
      </c>
      <c r="J336" s="312">
        <f t="shared" si="301"/>
        <v>140.97471571906354</v>
      </c>
      <c r="K336" s="311">
        <v>127106.2</v>
      </c>
      <c r="L336" s="312">
        <f t="shared" si="301"/>
        <v>170.04173913043479</v>
      </c>
      <c r="M336" s="311">
        <v>149485</v>
      </c>
      <c r="N336" s="313">
        <f t="shared" si="302"/>
        <v>199.97993311036788</v>
      </c>
      <c r="O336" s="123"/>
      <c r="P336" s="123"/>
      <c r="Q336" s="123"/>
      <c r="R336" s="123"/>
      <c r="S336" s="119"/>
      <c r="T336" s="132"/>
    </row>
    <row r="337" spans="2:20">
      <c r="B337" s="310" t="s">
        <v>4</v>
      </c>
      <c r="C337" s="385">
        <f>74875+C468</f>
        <v>82895</v>
      </c>
      <c r="D337" s="312">
        <f t="shared" ref="D337:D344" si="303">100*((C337/H$331))</f>
        <v>101.82410023338657</v>
      </c>
      <c r="E337" s="311">
        <f>79760+V467</f>
        <v>79760</v>
      </c>
      <c r="F337" s="312">
        <f t="shared" si="299"/>
        <v>97.973221962903821</v>
      </c>
      <c r="G337" s="311">
        <f>83310+E468</f>
        <v>90685</v>
      </c>
      <c r="H337" s="312">
        <f t="shared" si="300"/>
        <v>111.39294926913156</v>
      </c>
      <c r="I337" s="311">
        <v>106218.6</v>
      </c>
      <c r="J337" s="312">
        <f t="shared" si="301"/>
        <v>142.09846153846155</v>
      </c>
      <c r="K337" s="311">
        <v>131250</v>
      </c>
      <c r="L337" s="312">
        <f t="shared" si="301"/>
        <v>175.58528428093646</v>
      </c>
      <c r="M337" s="311">
        <v>151542.85999999999</v>
      </c>
      <c r="N337" s="313">
        <f t="shared" si="302"/>
        <v>202.73292307692304</v>
      </c>
      <c r="O337" s="123"/>
      <c r="P337" s="123"/>
      <c r="Q337" s="123"/>
      <c r="R337" s="123"/>
      <c r="S337" s="119"/>
      <c r="T337" s="132"/>
    </row>
    <row r="338" spans="2:20">
      <c r="B338" s="310" t="s">
        <v>5</v>
      </c>
      <c r="C338" s="385">
        <f>77600.83+C469</f>
        <v>85524.33</v>
      </c>
      <c r="D338" s="312">
        <f t="shared" si="303"/>
        <v>105.05383859476723</v>
      </c>
      <c r="E338" s="311">
        <f>79600+E469</f>
        <v>86975</v>
      </c>
      <c r="F338" s="312">
        <f t="shared" si="299"/>
        <v>106.83576956147894</v>
      </c>
      <c r="G338" s="311">
        <f>83620+E469</f>
        <v>90995</v>
      </c>
      <c r="H338" s="312">
        <f t="shared" si="300"/>
        <v>111.77373787004053</v>
      </c>
      <c r="I338" s="311">
        <v>106346</v>
      </c>
      <c r="J338" s="312">
        <f t="shared" si="301"/>
        <v>142.26889632107023</v>
      </c>
      <c r="K338" s="311">
        <v>134515.79999999999</v>
      </c>
      <c r="L338" s="312">
        <f t="shared" si="301"/>
        <v>179.95424749163877</v>
      </c>
      <c r="M338" s="311">
        <v>150600</v>
      </c>
      <c r="N338" s="313">
        <f t="shared" si="302"/>
        <v>201.47157190635451</v>
      </c>
      <c r="O338" s="123"/>
      <c r="P338" s="123"/>
      <c r="Q338" s="123"/>
      <c r="R338" s="123"/>
      <c r="S338" s="119"/>
      <c r="T338" s="132"/>
    </row>
    <row r="339" spans="2:20">
      <c r="B339" s="310" t="s">
        <v>6</v>
      </c>
      <c r="C339" s="385">
        <f>77300+C470</f>
        <v>85358.33</v>
      </c>
      <c r="D339" s="312">
        <f t="shared" si="303"/>
        <v>104.8499324407321</v>
      </c>
      <c r="E339" s="311">
        <f>80800+E470</f>
        <v>88060</v>
      </c>
      <c r="F339" s="312">
        <f t="shared" si="299"/>
        <v>108.16852966466035</v>
      </c>
      <c r="G339" s="311">
        <f>83100+G470</f>
        <v>90889.2</v>
      </c>
      <c r="H339" s="312">
        <f t="shared" si="300"/>
        <v>111.64377840560128</v>
      </c>
      <c r="I339" s="311">
        <v>109223.2</v>
      </c>
      <c r="J339" s="312">
        <f t="shared" si="301"/>
        <v>146.1179933110368</v>
      </c>
      <c r="K339" s="311">
        <v>136098.79999999999</v>
      </c>
      <c r="L339" s="312">
        <f t="shared" si="301"/>
        <v>182.07197324414713</v>
      </c>
      <c r="M339" s="311">
        <v>148333.32999999999</v>
      </c>
      <c r="N339" s="313">
        <f t="shared" si="302"/>
        <v>198.43923745819396</v>
      </c>
      <c r="O339" s="123"/>
      <c r="P339" s="123"/>
      <c r="Q339" s="123"/>
      <c r="R339" s="123"/>
      <c r="S339" s="119"/>
      <c r="T339" s="132"/>
    </row>
    <row r="340" spans="2:20">
      <c r="B340" s="310" t="s">
        <v>7</v>
      </c>
      <c r="C340" s="385">
        <f>74750+C471</f>
        <v>82025</v>
      </c>
      <c r="D340" s="312">
        <f t="shared" si="303"/>
        <v>100.75543545019039</v>
      </c>
      <c r="E340" s="311">
        <f>80300+E471</f>
        <v>87583</v>
      </c>
      <c r="F340" s="312">
        <f t="shared" si="299"/>
        <v>107.58260655939074</v>
      </c>
      <c r="G340" s="311">
        <f>83080+G471</f>
        <v>90560</v>
      </c>
      <c r="H340" s="312">
        <f t="shared" si="300"/>
        <v>111.23940547844245</v>
      </c>
      <c r="I340" s="311">
        <v>111814</v>
      </c>
      <c r="J340" s="312">
        <f t="shared" si="301"/>
        <v>149.58394648829432</v>
      </c>
      <c r="K340" s="311">
        <v>136347</v>
      </c>
      <c r="L340" s="312">
        <f t="shared" si="301"/>
        <v>182.40401337792642</v>
      </c>
      <c r="M340" s="311">
        <v>151320</v>
      </c>
      <c r="N340" s="313">
        <f t="shared" si="302"/>
        <v>202.43478260869566</v>
      </c>
      <c r="O340" s="123"/>
      <c r="P340" s="123"/>
      <c r="Q340" s="123"/>
      <c r="R340" s="123"/>
      <c r="S340" s="119"/>
      <c r="T340" s="132"/>
    </row>
    <row r="341" spans="2:20">
      <c r="B341" s="310" t="s">
        <v>8</v>
      </c>
      <c r="C341" s="385">
        <f>73888.89+C472</f>
        <v>81255.56</v>
      </c>
      <c r="D341" s="312">
        <f t="shared" si="303"/>
        <v>99.810293575727798</v>
      </c>
      <c r="E341" s="311">
        <f>81400+E472</f>
        <v>88680</v>
      </c>
      <c r="F341" s="312">
        <f t="shared" si="299"/>
        <v>108.93010686647833</v>
      </c>
      <c r="G341" s="311">
        <f>84500+E472</f>
        <v>91780</v>
      </c>
      <c r="H341" s="312">
        <f t="shared" si="300"/>
        <v>112.73799287556811</v>
      </c>
      <c r="I341" s="311">
        <v>112992</v>
      </c>
      <c r="J341" s="312">
        <f t="shared" si="301"/>
        <v>151.15986622073578</v>
      </c>
      <c r="K341" s="311">
        <v>140800</v>
      </c>
      <c r="L341" s="312">
        <f t="shared" si="301"/>
        <v>188.36120401337791</v>
      </c>
      <c r="M341" s="311">
        <v>150222.22</v>
      </c>
      <c r="N341" s="313">
        <f t="shared" si="302"/>
        <v>200.96618060200669</v>
      </c>
      <c r="O341" s="123"/>
      <c r="P341" s="123"/>
      <c r="Q341" s="123"/>
      <c r="R341" s="123"/>
      <c r="S341" s="119"/>
      <c r="T341" s="132"/>
    </row>
    <row r="342" spans="2:20">
      <c r="B342" s="310" t="s">
        <v>9</v>
      </c>
      <c r="C342" s="385">
        <f>73375+C473</f>
        <v>80818.33</v>
      </c>
      <c r="D342" s="312">
        <f t="shared" si="303"/>
        <v>99.273221962903818</v>
      </c>
      <c r="E342" s="311">
        <f>80600+E473</f>
        <v>88020</v>
      </c>
      <c r="F342" s="312">
        <f t="shared" si="299"/>
        <v>108.11939565163985</v>
      </c>
      <c r="G342" s="311">
        <f>85940+G473</f>
        <v>94140</v>
      </c>
      <c r="H342" s="312">
        <f t="shared" si="300"/>
        <v>115.63689964377841</v>
      </c>
      <c r="I342" s="311">
        <v>117114.6</v>
      </c>
      <c r="J342" s="312">
        <f t="shared" si="301"/>
        <v>156.67505016722407</v>
      </c>
      <c r="K342" s="311">
        <v>142555</v>
      </c>
      <c r="L342" s="312">
        <f t="shared" si="301"/>
        <v>190.70903010033445</v>
      </c>
      <c r="M342" s="311">
        <v>149350</v>
      </c>
      <c r="N342" s="313">
        <f t="shared" si="302"/>
        <v>199.79933110367892</v>
      </c>
      <c r="O342" s="123"/>
      <c r="P342" s="123"/>
      <c r="Q342" s="123"/>
      <c r="R342" s="123"/>
      <c r="S342" s="119"/>
      <c r="T342" s="132"/>
    </row>
    <row r="343" spans="2:20">
      <c r="B343" s="310" t="s">
        <v>10</v>
      </c>
      <c r="C343" s="385">
        <f>73142.86+C474</f>
        <v>80517.86</v>
      </c>
      <c r="D343" s="312">
        <f t="shared" si="303"/>
        <v>98.904139540596987</v>
      </c>
      <c r="E343" s="311">
        <f>79910+E474</f>
        <v>86830</v>
      </c>
      <c r="F343" s="312">
        <f t="shared" si="299"/>
        <v>106.65765876427957</v>
      </c>
      <c r="G343" s="311">
        <f>87640+G474</f>
        <v>95900</v>
      </c>
      <c r="H343" s="312">
        <f t="shared" si="300"/>
        <v>117.798796216681</v>
      </c>
      <c r="I343" s="311">
        <v>115751.8</v>
      </c>
      <c r="J343" s="312">
        <f t="shared" si="301"/>
        <v>154.85190635451505</v>
      </c>
      <c r="K343" s="311">
        <v>142640</v>
      </c>
      <c r="L343" s="312">
        <f t="shared" si="301"/>
        <v>190.8227424749164</v>
      </c>
      <c r="M343" s="311">
        <v>151237.5</v>
      </c>
      <c r="N343" s="313">
        <f t="shared" si="302"/>
        <v>202.32441471571906</v>
      </c>
      <c r="O343" s="123"/>
      <c r="P343" s="123"/>
      <c r="Q343" s="123"/>
      <c r="R343" s="123"/>
      <c r="S343" s="119"/>
      <c r="T343" s="132"/>
    </row>
    <row r="344" spans="2:20" ht="15.75" thickBot="1">
      <c r="B344" s="314" t="s">
        <v>11</v>
      </c>
      <c r="C344" s="386">
        <f>73900+C475</f>
        <v>80950</v>
      </c>
      <c r="D344" s="316">
        <f t="shared" si="303"/>
        <v>99.434958850264096</v>
      </c>
      <c r="E344" s="315">
        <f>78375+E475</f>
        <v>85615</v>
      </c>
      <c r="F344" s="316">
        <f t="shared" si="299"/>
        <v>105.16521311878148</v>
      </c>
      <c r="G344" s="315">
        <f>87750+G475</f>
        <v>96230</v>
      </c>
      <c r="H344" s="316">
        <f t="shared" si="300"/>
        <v>118.20415182410024</v>
      </c>
      <c r="I344" s="315">
        <v>114300</v>
      </c>
      <c r="J344" s="316">
        <f t="shared" si="301"/>
        <v>152.90969899665552</v>
      </c>
      <c r="K344" s="315">
        <v>142905.48000000001</v>
      </c>
      <c r="L344" s="316">
        <f>100*K344/74750</f>
        <v>191.17789966555188</v>
      </c>
      <c r="M344" s="315">
        <v>150373.75</v>
      </c>
      <c r="N344" s="317">
        <f t="shared" si="302"/>
        <v>201.16889632107024</v>
      </c>
      <c r="O344" s="123"/>
      <c r="P344" s="123"/>
      <c r="Q344" s="123"/>
      <c r="R344" s="123"/>
      <c r="S344" s="119"/>
      <c r="T344" s="132"/>
    </row>
    <row r="345" spans="2:20">
      <c r="B345" s="167" t="s">
        <v>162</v>
      </c>
      <c r="C345" s="173"/>
      <c r="D345" s="171"/>
      <c r="E345" s="168"/>
      <c r="F345" s="171"/>
      <c r="G345" s="168"/>
      <c r="H345" s="171"/>
      <c r="I345" s="168"/>
      <c r="J345" s="171"/>
      <c r="K345" s="171"/>
      <c r="L345" s="171"/>
      <c r="M345" s="171"/>
      <c r="N345" s="171"/>
      <c r="O345" s="123"/>
      <c r="P345" s="123"/>
      <c r="Q345" s="123"/>
      <c r="R345" s="123"/>
      <c r="S345" s="119"/>
      <c r="T345" s="132"/>
    </row>
    <row r="346" spans="2:20" ht="15.75" thickBot="1">
      <c r="B346" s="119"/>
      <c r="C346" s="132"/>
      <c r="D346" s="123"/>
      <c r="E346" s="123"/>
      <c r="F346" s="123"/>
      <c r="G346" s="123"/>
      <c r="H346" s="123"/>
      <c r="I346" s="118"/>
      <c r="J346" s="123"/>
      <c r="K346" s="123"/>
      <c r="L346" s="123"/>
      <c r="M346" s="123"/>
      <c r="N346" s="123"/>
      <c r="O346" s="123"/>
      <c r="P346" s="123"/>
      <c r="Q346" s="123"/>
      <c r="R346" s="123"/>
      <c r="S346" s="119"/>
      <c r="T346" s="132"/>
    </row>
    <row r="347" spans="2:20" ht="16.5" thickBot="1">
      <c r="B347" s="390" t="str">
        <f>B331</f>
        <v>VEÍCULO DO INCTF TRUQUE MB ATRON 2324 (EURO 5)</v>
      </c>
      <c r="C347" s="391"/>
      <c r="D347" s="391"/>
      <c r="E347" s="391"/>
      <c r="F347" s="391"/>
      <c r="G347" s="391"/>
      <c r="H347" s="392">
        <v>81410</v>
      </c>
      <c r="I347" s="393" t="s">
        <v>37</v>
      </c>
      <c r="J347" s="391"/>
      <c r="K347" s="391"/>
      <c r="L347" s="1335" t="s">
        <v>38</v>
      </c>
      <c r="M347" s="1335"/>
      <c r="N347" s="1336"/>
      <c r="O347" s="123"/>
      <c r="P347" s="123"/>
      <c r="Q347" s="123"/>
      <c r="R347" s="123"/>
      <c r="S347" s="119"/>
      <c r="T347" s="132"/>
    </row>
    <row r="348" spans="2:20" ht="15.75" thickBot="1">
      <c r="B348" s="1306">
        <v>2006</v>
      </c>
      <c r="C348" s="1307"/>
      <c r="D348" s="336" t="s">
        <v>15</v>
      </c>
      <c r="E348" s="336">
        <v>2007</v>
      </c>
      <c r="F348" s="336" t="s">
        <v>15</v>
      </c>
      <c r="G348" s="336">
        <v>2008</v>
      </c>
      <c r="H348" s="336" t="s">
        <v>15</v>
      </c>
      <c r="I348" s="336">
        <v>2009</v>
      </c>
      <c r="J348" s="336" t="s">
        <v>15</v>
      </c>
      <c r="K348" s="336">
        <v>2010</v>
      </c>
      <c r="L348" s="336" t="s">
        <v>15</v>
      </c>
      <c r="M348" s="336">
        <v>2011</v>
      </c>
      <c r="N348" s="354" t="s">
        <v>15</v>
      </c>
      <c r="O348" s="123"/>
      <c r="P348" s="123"/>
      <c r="Q348" s="123"/>
      <c r="R348" s="123"/>
      <c r="S348" s="119"/>
      <c r="T348" s="132"/>
    </row>
    <row r="349" spans="2:20">
      <c r="B349" s="306" t="s">
        <v>0</v>
      </c>
      <c r="C349" s="388">
        <v>153033.32999999999</v>
      </c>
      <c r="D349" s="308">
        <f t="shared" ref="D349:D360" si="304">100*C349/74750</f>
        <v>204.72686287625416</v>
      </c>
      <c r="E349" s="307">
        <v>165512.5</v>
      </c>
      <c r="F349" s="308">
        <f>100*E349/74750</f>
        <v>221.42140468227424</v>
      </c>
      <c r="G349" s="307">
        <v>177583.33333333334</v>
      </c>
      <c r="H349" s="308">
        <f>100*G349/74750</f>
        <v>237.56967670011153</v>
      </c>
      <c r="I349" s="307">
        <v>182125</v>
      </c>
      <c r="J349" s="308">
        <f>100*I349/74750</f>
        <v>243.64548494983276</v>
      </c>
      <c r="K349" s="307">
        <v>184869.03666666665</v>
      </c>
      <c r="L349" s="308">
        <f>100*K349/74750</f>
        <v>247.31643701226307</v>
      </c>
      <c r="M349" s="307">
        <v>194517.05499999999</v>
      </c>
      <c r="N349" s="309">
        <f t="shared" ref="N349:N360" si="305">100*M349/74750</f>
        <v>260.22348494983277</v>
      </c>
      <c r="O349" s="123"/>
      <c r="Q349" s="123"/>
      <c r="R349" s="123"/>
      <c r="S349" s="119"/>
      <c r="T349" s="132"/>
    </row>
    <row r="350" spans="2:20">
      <c r="B350" s="310" t="s">
        <v>1</v>
      </c>
      <c r="C350" s="385">
        <v>161529.32999999999</v>
      </c>
      <c r="D350" s="312">
        <f t="shared" si="304"/>
        <v>216.09274916387957</v>
      </c>
      <c r="E350" s="311">
        <v>172633.33</v>
      </c>
      <c r="F350" s="312">
        <f t="shared" ref="F350:L360" si="306">100*E350/74750</f>
        <v>230.94759866220735</v>
      </c>
      <c r="G350" s="311">
        <v>178216.66666666666</v>
      </c>
      <c r="H350" s="312">
        <f t="shared" si="306"/>
        <v>238.41694537346709</v>
      </c>
      <c r="I350" s="311">
        <v>181983.33333333334</v>
      </c>
      <c r="J350" s="312">
        <f t="shared" si="306"/>
        <v>243.45596432552958</v>
      </c>
      <c r="K350" s="311">
        <v>183562.84399999998</v>
      </c>
      <c r="L350" s="312">
        <f t="shared" si="306"/>
        <v>245.56902207357857</v>
      </c>
      <c r="M350" s="311">
        <v>191567.05499999999</v>
      </c>
      <c r="N350" s="313">
        <f t="shared" si="305"/>
        <v>256.27699665551842</v>
      </c>
      <c r="O350" s="123"/>
      <c r="P350" s="123"/>
      <c r="Q350" s="123"/>
      <c r="R350" s="123"/>
      <c r="S350" s="119"/>
      <c r="T350" s="132"/>
    </row>
    <row r="351" spans="2:20">
      <c r="B351" s="310" t="s">
        <v>2</v>
      </c>
      <c r="C351" s="385">
        <v>157250</v>
      </c>
      <c r="D351" s="312">
        <f t="shared" si="304"/>
        <v>210.36789297658862</v>
      </c>
      <c r="E351" s="311">
        <v>170200</v>
      </c>
      <c r="F351" s="312">
        <f t="shared" si="306"/>
        <v>227.69230769230768</v>
      </c>
      <c r="G351" s="311">
        <v>178358.33333333334</v>
      </c>
      <c r="H351" s="312">
        <f t="shared" si="306"/>
        <v>238.60646599777039</v>
      </c>
      <c r="I351" s="311">
        <v>181850</v>
      </c>
      <c r="J351" s="312">
        <f t="shared" si="306"/>
        <v>243.27759197324414</v>
      </c>
      <c r="K351" s="311">
        <v>182636.84399999998</v>
      </c>
      <c r="L351" s="312">
        <f t="shared" si="306"/>
        <v>244.33022608695651</v>
      </c>
      <c r="M351" s="311">
        <v>191567.05499999999</v>
      </c>
      <c r="N351" s="313">
        <f t="shared" si="305"/>
        <v>256.27699665551842</v>
      </c>
      <c r="O351" s="123"/>
      <c r="P351" s="123"/>
      <c r="Q351" s="123"/>
      <c r="R351" s="123"/>
      <c r="S351" s="119"/>
      <c r="T351" s="132"/>
    </row>
    <row r="352" spans="2:20">
      <c r="B352" s="310" t="s">
        <v>3</v>
      </c>
      <c r="C352" s="385">
        <v>158685.71</v>
      </c>
      <c r="D352" s="312">
        <f t="shared" si="304"/>
        <v>212.28857525083612</v>
      </c>
      <c r="E352" s="311">
        <v>167000</v>
      </c>
      <c r="F352" s="312">
        <f t="shared" si="306"/>
        <v>223.41137123745818</v>
      </c>
      <c r="G352" s="311">
        <v>178775</v>
      </c>
      <c r="H352" s="312">
        <f t="shared" si="306"/>
        <v>239.16387959866222</v>
      </c>
      <c r="I352" s="311">
        <v>182033.33333333334</v>
      </c>
      <c r="J352" s="312">
        <f t="shared" si="306"/>
        <v>243.52285395763661</v>
      </c>
      <c r="K352" s="311">
        <v>200436.84399999998</v>
      </c>
      <c r="L352" s="312">
        <f t="shared" si="306"/>
        <v>268.14293511705682</v>
      </c>
      <c r="M352" s="311">
        <v>191567.05499999999</v>
      </c>
      <c r="N352" s="313">
        <f t="shared" si="305"/>
        <v>256.27699665551842</v>
      </c>
      <c r="O352" s="123"/>
      <c r="P352" s="123"/>
      <c r="Q352" s="123"/>
      <c r="R352" s="123"/>
      <c r="S352" s="119"/>
      <c r="T352" s="132"/>
    </row>
    <row r="353" spans="2:20">
      <c r="B353" s="310" t="s">
        <v>4</v>
      </c>
      <c r="C353" s="385">
        <v>159987.5</v>
      </c>
      <c r="D353" s="312">
        <f t="shared" si="304"/>
        <v>214.03010033444815</v>
      </c>
      <c r="E353" s="311">
        <v>170666.67</v>
      </c>
      <c r="F353" s="312">
        <f t="shared" si="306"/>
        <v>228.31661538461537</v>
      </c>
      <c r="G353" s="311">
        <v>179333.33333333334</v>
      </c>
      <c r="H353" s="312">
        <f t="shared" si="306"/>
        <v>239.91081382385732</v>
      </c>
      <c r="I353" s="311">
        <v>182400</v>
      </c>
      <c r="J353" s="312">
        <f t="shared" si="306"/>
        <v>244.01337792642141</v>
      </c>
      <c r="K353" s="311">
        <v>192236.84399999998</v>
      </c>
      <c r="L353" s="312">
        <f t="shared" si="306"/>
        <v>257.17303545150497</v>
      </c>
      <c r="M353" s="311">
        <v>191567.05499999999</v>
      </c>
      <c r="N353" s="313">
        <f t="shared" si="305"/>
        <v>256.27699665551842</v>
      </c>
      <c r="O353" s="123"/>
      <c r="P353" s="123"/>
      <c r="Q353" s="123"/>
      <c r="R353" s="123"/>
      <c r="S353" s="119"/>
      <c r="T353" s="132"/>
    </row>
    <row r="354" spans="2:20">
      <c r="B354" s="310" t="s">
        <v>5</v>
      </c>
      <c r="C354" s="385">
        <v>158666.67000000001</v>
      </c>
      <c r="D354" s="312">
        <f t="shared" si="304"/>
        <v>212.26310367892978</v>
      </c>
      <c r="E354" s="311">
        <v>168716.66666666666</v>
      </c>
      <c r="F354" s="312">
        <f t="shared" si="306"/>
        <v>225.70791527313264</v>
      </c>
      <c r="G354" s="311">
        <v>179716.67</v>
      </c>
      <c r="H354" s="312">
        <f t="shared" si="306"/>
        <v>240.42363879598662</v>
      </c>
      <c r="I354" s="311">
        <v>182308.33333333334</v>
      </c>
      <c r="J354" s="312">
        <f t="shared" si="306"/>
        <v>243.89074693422523</v>
      </c>
      <c r="K354" s="311">
        <v>195510.53199999998</v>
      </c>
      <c r="L354" s="312">
        <f t="shared" si="306"/>
        <v>261.55255117056856</v>
      </c>
      <c r="M354" s="311">
        <v>187421.05499999999</v>
      </c>
      <c r="N354" s="313">
        <f t="shared" si="305"/>
        <v>250.73050836120402</v>
      </c>
      <c r="O354" s="123"/>
      <c r="P354" s="123"/>
      <c r="Q354" s="123"/>
      <c r="R354" s="123"/>
      <c r="S354" s="119"/>
      <c r="T354" s="132"/>
    </row>
    <row r="355" spans="2:20">
      <c r="B355" s="310" t="s">
        <v>6</v>
      </c>
      <c r="C355" s="385">
        <v>159666.67000000001</v>
      </c>
      <c r="D355" s="312">
        <f t="shared" si="304"/>
        <v>213.60089632107025</v>
      </c>
      <c r="E355" s="311">
        <v>174016.66666666666</v>
      </c>
      <c r="F355" s="312">
        <f t="shared" si="306"/>
        <v>232.79821627647712</v>
      </c>
      <c r="G355" s="311">
        <v>180500</v>
      </c>
      <c r="H355" s="312">
        <f t="shared" si="306"/>
        <v>241.47157190635451</v>
      </c>
      <c r="I355" s="311">
        <v>182225</v>
      </c>
      <c r="J355" s="312">
        <f t="shared" si="306"/>
        <v>243.77926421404683</v>
      </c>
      <c r="K355" s="311">
        <v>198888.16499999998</v>
      </c>
      <c r="L355" s="312">
        <f t="shared" si="306"/>
        <v>266.07112374581936</v>
      </c>
      <c r="M355" s="311">
        <v>187421.05499999999</v>
      </c>
      <c r="N355" s="313">
        <f t="shared" si="305"/>
        <v>250.73050836120402</v>
      </c>
      <c r="O355" s="123"/>
      <c r="P355" s="174">
        <f>+G353/G350-1</f>
        <v>6.2657813522866146E-3</v>
      </c>
      <c r="Q355" s="123"/>
      <c r="R355" s="123"/>
      <c r="S355" s="119"/>
      <c r="T355" s="132"/>
    </row>
    <row r="356" spans="2:20">
      <c r="B356" s="310" t="s">
        <v>7</v>
      </c>
      <c r="C356" s="385">
        <v>161857.14000000001</v>
      </c>
      <c r="D356" s="312">
        <f t="shared" si="304"/>
        <v>216.53129096989969</v>
      </c>
      <c r="E356" s="311">
        <v>174840</v>
      </c>
      <c r="F356" s="312">
        <f t="shared" si="306"/>
        <v>233.89966555183946</v>
      </c>
      <c r="G356" s="311">
        <v>181625</v>
      </c>
      <c r="H356" s="312">
        <f t="shared" si="306"/>
        <v>242.97658862876253</v>
      </c>
      <c r="I356" s="311">
        <v>182615</v>
      </c>
      <c r="J356" s="312">
        <f t="shared" si="306"/>
        <v>244.30100334448161</v>
      </c>
      <c r="K356" s="311">
        <v>198888.17</v>
      </c>
      <c r="L356" s="312">
        <f t="shared" si="306"/>
        <v>266.07113043478262</v>
      </c>
      <c r="M356" s="311">
        <v>185046.05499999999</v>
      </c>
      <c r="N356" s="313">
        <f t="shared" si="305"/>
        <v>247.55325083612041</v>
      </c>
      <c r="O356" s="123"/>
      <c r="P356" s="123"/>
      <c r="Q356" s="123"/>
      <c r="R356" s="123"/>
      <c r="S356" s="119"/>
      <c r="T356" s="132"/>
    </row>
    <row r="357" spans="2:20">
      <c r="B357" s="310" t="s">
        <v>8</v>
      </c>
      <c r="C357" s="385">
        <v>158928.57</v>
      </c>
      <c r="D357" s="312">
        <f t="shared" si="304"/>
        <v>212.61347157190636</v>
      </c>
      <c r="E357" s="311">
        <v>175110</v>
      </c>
      <c r="F357" s="312">
        <f t="shared" si="306"/>
        <v>234.2608695652174</v>
      </c>
      <c r="G357" s="311">
        <v>182116.66666666666</v>
      </c>
      <c r="H357" s="312">
        <f t="shared" si="306"/>
        <v>243.6343366778149</v>
      </c>
      <c r="I357" s="311">
        <v>183195</v>
      </c>
      <c r="J357" s="312">
        <f t="shared" si="306"/>
        <v>245.07692307692307</v>
      </c>
      <c r="K357" s="311">
        <v>198888.17</v>
      </c>
      <c r="L357" s="312">
        <f t="shared" si="306"/>
        <v>266.07113043478262</v>
      </c>
      <c r="M357" s="311">
        <v>185046.05499999999</v>
      </c>
      <c r="N357" s="313">
        <f t="shared" si="305"/>
        <v>247.55325083612041</v>
      </c>
      <c r="O357" s="123"/>
      <c r="P357" s="123"/>
      <c r="Q357" s="123"/>
      <c r="R357" s="123"/>
      <c r="S357" s="119"/>
      <c r="T357" s="132"/>
    </row>
    <row r="358" spans="2:20">
      <c r="B358" s="310" t="s">
        <v>9</v>
      </c>
      <c r="C358" s="385">
        <v>160083.32999999999</v>
      </c>
      <c r="D358" s="312">
        <f t="shared" si="304"/>
        <v>214.15830100334446</v>
      </c>
      <c r="E358" s="311">
        <v>176056</v>
      </c>
      <c r="F358" s="312">
        <f t="shared" si="306"/>
        <v>235.52642140468228</v>
      </c>
      <c r="G358" s="311">
        <v>184075</v>
      </c>
      <c r="H358" s="312">
        <f t="shared" si="306"/>
        <v>246.2541806020067</v>
      </c>
      <c r="I358" s="311">
        <v>184006.66666666666</v>
      </c>
      <c r="J358" s="312">
        <f t="shared" si="306"/>
        <v>246.16276477146039</v>
      </c>
      <c r="K358" s="311">
        <v>198888.17</v>
      </c>
      <c r="L358" s="312">
        <f t="shared" si="306"/>
        <v>266.07113043478262</v>
      </c>
      <c r="M358" s="311">
        <v>181296.05499999999</v>
      </c>
      <c r="N358" s="313">
        <f t="shared" si="305"/>
        <v>242.53652842809365</v>
      </c>
      <c r="O358" s="123"/>
      <c r="P358" s="123"/>
      <c r="Q358" s="123"/>
      <c r="R358" s="123"/>
      <c r="S358" s="119"/>
      <c r="T358" s="132"/>
    </row>
    <row r="359" spans="2:20">
      <c r="B359" s="310" t="s">
        <v>10</v>
      </c>
      <c r="C359" s="385">
        <v>162437</v>
      </c>
      <c r="D359" s="312">
        <f t="shared" si="304"/>
        <v>217.30702341137123</v>
      </c>
      <c r="E359" s="311">
        <v>175701.66666666666</v>
      </c>
      <c r="F359" s="312">
        <f t="shared" si="306"/>
        <v>235.05239687848379</v>
      </c>
      <c r="G359" s="311">
        <v>184425</v>
      </c>
      <c r="H359" s="312">
        <f t="shared" si="306"/>
        <v>246.72240802675586</v>
      </c>
      <c r="I359" s="311">
        <v>184150</v>
      </c>
      <c r="J359" s="312">
        <f t="shared" si="306"/>
        <v>246.35451505016724</v>
      </c>
      <c r="K359" s="311">
        <v>193042.11</v>
      </c>
      <c r="L359" s="312">
        <f t="shared" si="306"/>
        <v>258.25031438127093</v>
      </c>
      <c r="M359" s="311">
        <v>181296.05499999999</v>
      </c>
      <c r="N359" s="313">
        <f t="shared" si="305"/>
        <v>242.53652842809365</v>
      </c>
      <c r="O359" s="123"/>
      <c r="P359" s="123"/>
      <c r="Q359" s="123"/>
      <c r="R359" s="123"/>
      <c r="S359" s="119"/>
      <c r="T359" s="132"/>
    </row>
    <row r="360" spans="2:20" ht="15.75" thickBot="1">
      <c r="B360" s="314" t="s">
        <v>11</v>
      </c>
      <c r="C360" s="386">
        <v>162187.5</v>
      </c>
      <c r="D360" s="316">
        <f t="shared" si="304"/>
        <v>216.9732441471572</v>
      </c>
      <c r="E360" s="315">
        <v>175960</v>
      </c>
      <c r="F360" s="316">
        <f t="shared" si="306"/>
        <v>235.3979933110368</v>
      </c>
      <c r="G360" s="315">
        <v>184191.66666666666</v>
      </c>
      <c r="H360" s="316">
        <f t="shared" si="306"/>
        <v>246.41025641025638</v>
      </c>
      <c r="I360" s="315">
        <v>184566.66666666666</v>
      </c>
      <c r="J360" s="316">
        <f t="shared" si="306"/>
        <v>246.91192865105904</v>
      </c>
      <c r="K360" s="315">
        <v>193756.55499999999</v>
      </c>
      <c r="L360" s="316">
        <f t="shared" si="306"/>
        <v>259.20609364548494</v>
      </c>
      <c r="M360" s="315">
        <v>181296.05499999999</v>
      </c>
      <c r="N360" s="317">
        <f t="shared" si="305"/>
        <v>242.53652842809365</v>
      </c>
      <c r="O360" s="123"/>
      <c r="P360" s="123"/>
      <c r="Q360" s="123"/>
      <c r="R360" s="123"/>
      <c r="S360" s="119"/>
      <c r="T360" s="132"/>
    </row>
    <row r="361" spans="2:20">
      <c r="B361" s="119" t="s">
        <v>162</v>
      </c>
      <c r="C361" s="122"/>
      <c r="D361" s="123"/>
      <c r="E361" s="118"/>
      <c r="F361" s="123"/>
      <c r="G361" s="118"/>
      <c r="H361" s="123"/>
      <c r="I361" s="118"/>
      <c r="J361" s="123"/>
      <c r="K361" s="123"/>
      <c r="L361" s="123"/>
      <c r="M361" s="123"/>
      <c r="N361" s="123"/>
      <c r="O361" s="123"/>
      <c r="P361" s="123"/>
      <c r="Q361" s="123"/>
      <c r="R361" s="123"/>
      <c r="S361" s="119"/>
      <c r="T361" s="132"/>
    </row>
    <row r="362" spans="2:20">
      <c r="B362" s="119"/>
      <c r="C362" s="122"/>
      <c r="D362" s="123"/>
      <c r="E362" s="118"/>
      <c r="F362" s="123"/>
      <c r="G362" s="118"/>
      <c r="H362" s="123"/>
      <c r="I362" s="118"/>
      <c r="J362" s="123"/>
      <c r="K362" s="123"/>
      <c r="L362" s="123"/>
      <c r="M362" s="123"/>
      <c r="N362" s="123"/>
      <c r="O362" s="123"/>
      <c r="P362" s="123"/>
      <c r="Q362" s="123"/>
      <c r="R362" s="123"/>
      <c r="S362" s="119"/>
      <c r="T362" s="132"/>
    </row>
    <row r="363" spans="2:20" ht="18.75" thickBot="1">
      <c r="B363" s="1347" t="s">
        <v>333</v>
      </c>
      <c r="C363" s="1348"/>
      <c r="D363" s="1348"/>
      <c r="E363" s="1348"/>
      <c r="F363" s="1348"/>
      <c r="G363" s="1348"/>
      <c r="H363" s="1348"/>
      <c r="I363" s="1348"/>
      <c r="J363" s="1348"/>
      <c r="K363" s="1348"/>
      <c r="L363" s="1348"/>
      <c r="M363" s="1348"/>
      <c r="N363" s="1348"/>
      <c r="O363" s="1348"/>
      <c r="P363" s="1348"/>
      <c r="Q363" s="1348"/>
      <c r="R363" s="1348"/>
      <c r="S363" s="1348"/>
      <c r="T363" s="1348"/>
    </row>
    <row r="364" spans="2:20">
      <c r="B364" s="1337">
        <v>2012</v>
      </c>
      <c r="C364" s="1338"/>
      <c r="D364" s="394" t="s">
        <v>15</v>
      </c>
      <c r="E364" s="645">
        <v>2013</v>
      </c>
      <c r="F364" s="394" t="s">
        <v>15</v>
      </c>
      <c r="G364" s="645">
        <v>2014</v>
      </c>
      <c r="H364" s="394" t="s">
        <v>15</v>
      </c>
      <c r="I364" s="645">
        <v>2015</v>
      </c>
      <c r="J364" s="394" t="s">
        <v>15</v>
      </c>
      <c r="K364" s="645">
        <v>2016</v>
      </c>
      <c r="L364" s="394" t="s">
        <v>15</v>
      </c>
      <c r="M364" s="645">
        <v>2017</v>
      </c>
      <c r="N364" s="394" t="s">
        <v>15</v>
      </c>
      <c r="O364" s="645">
        <v>2018</v>
      </c>
      <c r="P364" s="394" t="s">
        <v>15</v>
      </c>
      <c r="Q364" s="645">
        <v>2019</v>
      </c>
      <c r="R364" s="394" t="s">
        <v>15</v>
      </c>
      <c r="S364" s="1269">
        <v>2020</v>
      </c>
      <c r="T364" s="394" t="s">
        <v>15</v>
      </c>
    </row>
    <row r="365" spans="2:20">
      <c r="B365" s="310" t="s">
        <v>0</v>
      </c>
      <c r="C365" s="385">
        <v>186496.05499999999</v>
      </c>
      <c r="D365" s="313">
        <f t="shared" ref="D365:D372" si="307">100*C365/74750</f>
        <v>249.49305016722408</v>
      </c>
      <c r="E365" s="385">
        <f>[9]PLANCUSr!$H$27</f>
        <v>211507.75</v>
      </c>
      <c r="F365" s="313">
        <f t="shared" ref="F365:F370" si="308">100*E365/74750</f>
        <v>282.95351170568563</v>
      </c>
      <c r="G365" s="385">
        <f>[10]PLANCUSr!$H$27</f>
        <v>210202.5</v>
      </c>
      <c r="H365" s="313">
        <f t="shared" ref="H365:H370" si="309">100*G365/74750</f>
        <v>281.20735785953178</v>
      </c>
      <c r="I365" s="385">
        <f>[11]PLANCUSr!$H$27</f>
        <v>195600</v>
      </c>
      <c r="J365" s="313">
        <f t="shared" ref="J365:J370" si="310">100*I365/74750</f>
        <v>261.67224080267556</v>
      </c>
      <c r="K365" s="385">
        <f>[12]PLANCUSr!$H$27</f>
        <v>194120</v>
      </c>
      <c r="L365" s="313">
        <f t="shared" ref="L365" si="311">100*K365/74750</f>
        <v>259.69230769230768</v>
      </c>
      <c r="M365" s="385">
        <f>[13]PLANCUSr!$H$27</f>
        <v>203666</v>
      </c>
      <c r="N365" s="313">
        <f t="shared" ref="N365" si="312">100*M365/74750</f>
        <v>272.46287625418063</v>
      </c>
      <c r="O365" s="385">
        <f>[14]PLANCUSr!$H$27</f>
        <v>245168</v>
      </c>
      <c r="P365" s="313">
        <f t="shared" ref="P365" si="313">100*O365/74750</f>
        <v>327.98394648829429</v>
      </c>
      <c r="Q365" s="385">
        <f>[15]PLANCUSr!$H$27</f>
        <v>252060</v>
      </c>
      <c r="R365" s="313">
        <f t="shared" ref="R365" si="314">100*Q365/74750</f>
        <v>337.2040133779264</v>
      </c>
      <c r="S365" s="385">
        <f>[16]PLANCUSr!$H$27</f>
        <v>292609</v>
      </c>
      <c r="T365" s="313">
        <f t="shared" ref="T365" si="315">100*S365/74750</f>
        <v>391.45016722408025</v>
      </c>
    </row>
    <row r="366" spans="2:20">
      <c r="B366" s="310" t="s">
        <v>1</v>
      </c>
      <c r="C366" s="385">
        <v>186496.05499999999</v>
      </c>
      <c r="D366" s="313">
        <f t="shared" si="307"/>
        <v>249.49305016722408</v>
      </c>
      <c r="E366" s="385">
        <f>[17]PLANCUSr!$H$27</f>
        <v>209507.75</v>
      </c>
      <c r="F366" s="313">
        <f t="shared" si="308"/>
        <v>280.27792642140469</v>
      </c>
      <c r="G366" s="660">
        <f>[18]PLANCUSr!$H$27</f>
        <v>210202.5</v>
      </c>
      <c r="H366" s="313">
        <f t="shared" si="309"/>
        <v>281.20735785953178</v>
      </c>
      <c r="I366" s="385">
        <f>[19]PLANCUSr!$H$27</f>
        <v>200250</v>
      </c>
      <c r="J366" s="313">
        <f t="shared" si="310"/>
        <v>267.89297658862876</v>
      </c>
      <c r="K366" s="660">
        <f>[20]PLANCUSr!$H$27</f>
        <v>192650</v>
      </c>
      <c r="L366" s="313">
        <f t="shared" ref="L366" si="316">100*K366/74750</f>
        <v>257.72575250836121</v>
      </c>
      <c r="M366" s="660">
        <f>[21]PLANCUSr!$H$27</f>
        <v>204390</v>
      </c>
      <c r="N366" s="313">
        <f t="shared" ref="N366" si="317">100*M366/74750</f>
        <v>273.4314381270903</v>
      </c>
      <c r="O366" s="385">
        <f>[22]PLANCUSr!$H$27</f>
        <v>244260</v>
      </c>
      <c r="P366" s="313">
        <f t="shared" ref="P366" si="318">100*O366/74750</f>
        <v>326.76923076923077</v>
      </c>
      <c r="Q366" s="660">
        <f>[23]PLANCUSr!$H$27</f>
        <v>255792</v>
      </c>
      <c r="R366" s="313">
        <f t="shared" ref="R366" si="319">100*Q366/74750</f>
        <v>342.19665551839466</v>
      </c>
      <c r="S366" s="385">
        <f>[24]PLANCUSr!$H$27</f>
        <v>289856</v>
      </c>
      <c r="T366" s="313">
        <f t="shared" ref="T366" si="320">100*S366/74750</f>
        <v>387.76722408026757</v>
      </c>
    </row>
    <row r="367" spans="2:20">
      <c r="B367" s="310" t="s">
        <v>2</v>
      </c>
      <c r="C367" s="385">
        <v>204332.75</v>
      </c>
      <c r="D367" s="313">
        <f t="shared" si="307"/>
        <v>273.35484949832778</v>
      </c>
      <c r="E367" s="385">
        <f>[25]PLANCUSr!$H$27</f>
        <v>209507.75</v>
      </c>
      <c r="F367" s="313">
        <f t="shared" si="308"/>
        <v>280.27792642140469</v>
      </c>
      <c r="G367" s="660">
        <f>[26]PLANCUSr!$H$27</f>
        <v>210202.5</v>
      </c>
      <c r="H367" s="313">
        <f t="shared" si="309"/>
        <v>281.20735785953178</v>
      </c>
      <c r="I367" s="385">
        <f>[27]PLANCUSr!$H$27</f>
        <v>202463</v>
      </c>
      <c r="J367" s="313">
        <f t="shared" si="310"/>
        <v>270.85351170568561</v>
      </c>
      <c r="K367" s="660">
        <f>[28]PLANCUSr!$H$27</f>
        <v>194510</v>
      </c>
      <c r="L367" s="313">
        <f t="shared" ref="L367" si="321">100*K367/74750</f>
        <v>260.21404682274249</v>
      </c>
      <c r="M367" s="660">
        <f>[29]PLANCUSr!$H$27</f>
        <v>203666</v>
      </c>
      <c r="N367" s="313">
        <f t="shared" ref="N367" si="322">100*M367/74750</f>
        <v>272.46287625418063</v>
      </c>
      <c r="O367" s="385">
        <f>[30]PLANCUSr!$H$27</f>
        <v>242384</v>
      </c>
      <c r="P367" s="313">
        <f t="shared" ref="P367" si="323">100*O367/74750</f>
        <v>324.25953177257526</v>
      </c>
      <c r="Q367" s="660">
        <f>[31]PLANCUSr!$H$27</f>
        <v>262368</v>
      </c>
      <c r="R367" s="313">
        <f t="shared" ref="R367" si="324">100*Q367/74750</f>
        <v>350.99397993311038</v>
      </c>
      <c r="S367" s="385">
        <f>[32]PLANCUSr!$H$27</f>
        <v>290481</v>
      </c>
      <c r="T367" s="313">
        <f t="shared" ref="T367" si="325">100*S367/74750</f>
        <v>388.60334448160535</v>
      </c>
    </row>
    <row r="368" spans="2:20">
      <c r="B368" s="310" t="s">
        <v>3</v>
      </c>
      <c r="C368" s="385">
        <v>204332.75</v>
      </c>
      <c r="D368" s="313">
        <f t="shared" si="307"/>
        <v>273.35484949832778</v>
      </c>
      <c r="E368" s="385">
        <f>[33]PLANCUSr!$H$27</f>
        <v>210282.75</v>
      </c>
      <c r="F368" s="313">
        <f t="shared" si="308"/>
        <v>281.31471571906354</v>
      </c>
      <c r="G368" s="660">
        <f>[34]PLANCUSr!$H$27</f>
        <v>206433</v>
      </c>
      <c r="H368" s="313">
        <f t="shared" si="309"/>
        <v>276.16454849498325</v>
      </c>
      <c r="I368" s="385">
        <f>[35]PLANCUSr!$H$27</f>
        <v>203470</v>
      </c>
      <c r="J368" s="313">
        <f t="shared" si="310"/>
        <v>272.20066889632108</v>
      </c>
      <c r="K368" s="660">
        <f>[36]PLANCUSr!$H$27</f>
        <v>196014</v>
      </c>
      <c r="L368" s="313">
        <f t="shared" ref="L368" si="326">100*K368/74750</f>
        <v>262.22608695652173</v>
      </c>
      <c r="M368" s="660">
        <f>[37]PLANCUSr!$H$27</f>
        <v>202944</v>
      </c>
      <c r="N368" s="313">
        <f t="shared" ref="N368" si="327">100*M368/74750</f>
        <v>271.49698996655519</v>
      </c>
      <c r="O368" s="385">
        <f>[38]PLANCUSr!$H$27</f>
        <v>240599</v>
      </c>
      <c r="P368" s="313">
        <f t="shared" ref="P368" si="328">100*O368/74750</f>
        <v>321.87157190635452</v>
      </c>
      <c r="Q368" s="660">
        <f>[39]PLANCUSr!$H$27</f>
        <v>261344</v>
      </c>
      <c r="R368" s="313">
        <f t="shared" ref="R368" si="329">100*Q368/74750</f>
        <v>349.62408026755855</v>
      </c>
      <c r="S368" s="385">
        <f>[40]PLANCUSr!$H$27</f>
        <v>292132</v>
      </c>
      <c r="T368" s="313">
        <f t="shared" ref="T368" si="330">100*S368/74750</f>
        <v>390.81204013377925</v>
      </c>
    </row>
    <row r="369" spans="2:20">
      <c r="B369" s="310" t="s">
        <v>4</v>
      </c>
      <c r="C369" s="385">
        <v>204332.75</v>
      </c>
      <c r="D369" s="313">
        <f t="shared" si="307"/>
        <v>273.35484949832778</v>
      </c>
      <c r="E369" s="385">
        <f>[41]PLANCUSr!$H$27</f>
        <v>209507.75</v>
      </c>
      <c r="F369" s="313">
        <f t="shared" si="308"/>
        <v>280.27792642140469</v>
      </c>
      <c r="G369" s="660">
        <f>[42]PLANCUSr!$H$27</f>
        <v>203960</v>
      </c>
      <c r="H369" s="313">
        <f t="shared" si="309"/>
        <v>272.8561872909699</v>
      </c>
      <c r="I369" s="385">
        <f>[43]PLANCUSr!$H$27</f>
        <v>199609</v>
      </c>
      <c r="J369" s="313">
        <f t="shared" si="310"/>
        <v>267.03545150501674</v>
      </c>
      <c r="K369" s="660">
        <f>[44]PLANCUSr!$H$27</f>
        <v>198125</v>
      </c>
      <c r="L369" s="313">
        <f t="shared" ref="L369" si="331">100*K369/74750</f>
        <v>265.05016722408027</v>
      </c>
      <c r="M369" s="660">
        <f>[45]PLANCUSr!$H$27</f>
        <v>202705</v>
      </c>
      <c r="N369" s="313">
        <f t="shared" ref="N369" si="332">100*M369/74750</f>
        <v>271.17725752508363</v>
      </c>
      <c r="O369" s="385">
        <f>[46]PLANCUSr!$H$27</f>
        <v>240878</v>
      </c>
      <c r="P369" s="313">
        <f t="shared" ref="P369" si="333">100*O369/74750</f>
        <v>322.24481605351173</v>
      </c>
      <c r="Q369" s="660">
        <f>[47]PLANCUSr!$H$27</f>
        <v>261376</v>
      </c>
      <c r="R369" s="313">
        <f t="shared" ref="R369" si="334">100*Q369/74750</f>
        <v>349.66688963210703</v>
      </c>
      <c r="S369" s="385">
        <f>[48]PLANCUSr!$H$27</f>
        <v>298574</v>
      </c>
      <c r="T369" s="313">
        <f t="shared" ref="T369" si="335">100*S369/74750</f>
        <v>399.43010033444818</v>
      </c>
    </row>
    <row r="370" spans="2:20">
      <c r="B370" s="310" t="s">
        <v>5</v>
      </c>
      <c r="C370" s="385">
        <v>204332.75</v>
      </c>
      <c r="D370" s="313">
        <f t="shared" si="307"/>
        <v>273.35484949832778</v>
      </c>
      <c r="E370" s="385">
        <f>[49]PLANCUSr!$H$27</f>
        <v>209507.75</v>
      </c>
      <c r="F370" s="313">
        <f t="shared" si="308"/>
        <v>280.27792642140469</v>
      </c>
      <c r="G370" s="660">
        <f>[50]PLANCUSr!$H$27</f>
        <v>203200</v>
      </c>
      <c r="H370" s="313">
        <f t="shared" si="309"/>
        <v>271.83946488294316</v>
      </c>
      <c r="I370" s="385">
        <f>[51]PLANCUSr!$H$27</f>
        <v>203266</v>
      </c>
      <c r="J370" s="313">
        <f t="shared" si="310"/>
        <v>271.92775919732441</v>
      </c>
      <c r="K370" s="660">
        <f>[52]PLANCUSr!$H$27</f>
        <v>199133</v>
      </c>
      <c r="L370" s="313">
        <f t="shared" ref="L370" si="336">100*K370/74750</f>
        <v>266.39866220735786</v>
      </c>
      <c r="M370" s="660">
        <f>[53]PLANCUSr!$H$27</f>
        <v>202462</v>
      </c>
      <c r="N370" s="313">
        <f t="shared" ref="N370" si="337">100*M370/74750</f>
        <v>270.85217391304349</v>
      </c>
      <c r="O370" s="385">
        <f>[54]PLANCUSr!$H$27</f>
        <v>241009</v>
      </c>
      <c r="P370" s="313">
        <f t="shared" ref="P370" si="338">100*O370/74750</f>
        <v>322.4200668896321</v>
      </c>
      <c r="Q370" s="660">
        <f>[55]PLANCUSr!$H$27</f>
        <v>263887</v>
      </c>
      <c r="R370" s="313">
        <f t="shared" ref="R370" si="339">100*Q370/74750</f>
        <v>353.02608695652174</v>
      </c>
      <c r="S370" s="385">
        <f>[56]PLANCUSr!$H$27</f>
        <v>301902</v>
      </c>
      <c r="T370" s="313">
        <f t="shared" ref="T370" si="340">100*S370/74750</f>
        <v>403.88227424749164</v>
      </c>
    </row>
    <row r="371" spans="2:20">
      <c r="B371" s="310" t="s">
        <v>6</v>
      </c>
      <c r="C371" s="385">
        <f>[57]PLANCUSr!$H$27</f>
        <v>209582.75</v>
      </c>
      <c r="D371" s="313">
        <f t="shared" si="307"/>
        <v>280.37826086956522</v>
      </c>
      <c r="E371" s="385">
        <f>[58]PLANCUSr!$H$27</f>
        <v>210625</v>
      </c>
      <c r="F371" s="313">
        <f t="shared" ref="F371:F376" si="341">100*E371/74750</f>
        <v>281.7725752508361</v>
      </c>
      <c r="G371" s="660">
        <f>[59]PLANCUSr!$H$27</f>
        <v>202025</v>
      </c>
      <c r="H371" s="313">
        <f t="shared" ref="H371:H376" si="342">100*G371/74750</f>
        <v>270.26755852842808</v>
      </c>
      <c r="I371" s="385">
        <f>[60]PLANCUSr!$H$27</f>
        <v>201162</v>
      </c>
      <c r="J371" s="313">
        <f t="shared" ref="J371:J376" si="343">100*I371/74750</f>
        <v>269.11304347826086</v>
      </c>
      <c r="K371" s="660">
        <f>[61]PLANCUSr!$H$27</f>
        <v>200160</v>
      </c>
      <c r="L371" s="313">
        <f t="shared" ref="L371" si="344">100*K371/74750</f>
        <v>267.7725752508361</v>
      </c>
      <c r="M371" s="660">
        <f>[62]PLANCUSr!$H$27</f>
        <v>235642</v>
      </c>
      <c r="N371" s="313">
        <f t="shared" ref="N371" si="345">100*M371/74750</f>
        <v>315.24013377926423</v>
      </c>
      <c r="O371" s="385">
        <f>[63]PLANCUSr!$H$27</f>
        <v>243375</v>
      </c>
      <c r="P371" s="313">
        <f t="shared" ref="P371" si="346">100*O371/74750</f>
        <v>325.58528428093643</v>
      </c>
      <c r="Q371" s="660">
        <f>[64]PLANCUSr!$H$27</f>
        <v>265006</v>
      </c>
      <c r="R371" s="313">
        <f t="shared" ref="R371" si="347">100*Q371/74750</f>
        <v>354.52307692307693</v>
      </c>
      <c r="S371" s="385">
        <f>[65]PLANCUSr!$H$27</f>
        <v>302130</v>
      </c>
      <c r="T371" s="313">
        <f t="shared" ref="T371" si="348">100*S371/74750</f>
        <v>404.18729096989966</v>
      </c>
    </row>
    <row r="372" spans="2:20">
      <c r="B372" s="310" t="s">
        <v>7</v>
      </c>
      <c r="C372" s="385">
        <f>[66]PLANCUSr!$H$27</f>
        <v>209582.75</v>
      </c>
      <c r="D372" s="313">
        <f t="shared" si="307"/>
        <v>280.37826086956522</v>
      </c>
      <c r="E372" s="385">
        <f>[67]PLANCUSr!$H$27</f>
        <v>211125</v>
      </c>
      <c r="F372" s="313">
        <f t="shared" si="341"/>
        <v>282.44147157190633</v>
      </c>
      <c r="G372" s="660">
        <f>[68]PLANCUSr!$H$27</f>
        <v>200183</v>
      </c>
      <c r="H372" s="313">
        <f t="shared" si="342"/>
        <v>267.80334448160534</v>
      </c>
      <c r="I372" s="385">
        <f>[69]PLANCUSr!$H$27</f>
        <v>199194</v>
      </c>
      <c r="J372" s="313">
        <f t="shared" si="343"/>
        <v>266.48026755852845</v>
      </c>
      <c r="K372" s="660">
        <f>[70]PLANCUSr!$H$27</f>
        <v>201180</v>
      </c>
      <c r="L372" s="313">
        <f t="shared" ref="L372" si="349">100*K372/74750</f>
        <v>269.13712374581939</v>
      </c>
      <c r="M372" s="660">
        <f>[71]PLANCUSr!$H$27</f>
        <v>237923</v>
      </c>
      <c r="N372" s="313">
        <f t="shared" ref="N372" si="350">100*M372/74750</f>
        <v>318.29163879598661</v>
      </c>
      <c r="O372" s="385">
        <f>[72]PLANCUSr!$H$27</f>
        <v>241892</v>
      </c>
      <c r="P372" s="313">
        <f t="shared" ref="P372" si="351">100*O372/74750</f>
        <v>323.60133779264214</v>
      </c>
      <c r="Q372" s="660">
        <f>[73]PLANCUSr!$H$27</f>
        <v>271642</v>
      </c>
      <c r="R372" s="313">
        <f t="shared" ref="R372" si="352">100*Q372/74750</f>
        <v>363.40066889632106</v>
      </c>
      <c r="S372" s="385">
        <f>[74]PLANCUSr!$H$27</f>
        <v>296114</v>
      </c>
      <c r="T372" s="313">
        <f t="shared" ref="T372" si="353">100*S372/74750</f>
        <v>396.1391304347826</v>
      </c>
    </row>
    <row r="373" spans="2:20">
      <c r="B373" s="310" t="s">
        <v>8</v>
      </c>
      <c r="C373" s="385">
        <f>[75]PLANCUSr!$H$27</f>
        <v>209582.75</v>
      </c>
      <c r="D373" s="313">
        <f>100*C373/74750</f>
        <v>280.37826086956522</v>
      </c>
      <c r="E373" s="385">
        <f>[76]PLANCUSr!$H$27</f>
        <v>211125</v>
      </c>
      <c r="F373" s="313">
        <f t="shared" si="341"/>
        <v>282.44147157190633</v>
      </c>
      <c r="G373" s="660">
        <f>[77]PLANCUSr!$H$27</f>
        <v>201845</v>
      </c>
      <c r="H373" s="313">
        <f t="shared" si="342"/>
        <v>270.02675585284283</v>
      </c>
      <c r="I373" s="385">
        <f>[78]PLANCUSr!$H$27</f>
        <v>197894</v>
      </c>
      <c r="J373" s="313">
        <f t="shared" si="343"/>
        <v>264.74113712374583</v>
      </c>
      <c r="K373" s="660">
        <f>[79]PLANCUSr!$H$27</f>
        <v>201020</v>
      </c>
      <c r="L373" s="313">
        <f t="shared" ref="L373" si="354">100*K373/74750</f>
        <v>268.92307692307691</v>
      </c>
      <c r="M373" s="660">
        <f>[80]PLANCUSr!$H$27</f>
        <v>239536</v>
      </c>
      <c r="N373" s="313">
        <f t="shared" ref="N373" si="355">100*M373/74750</f>
        <v>320.44949832775922</v>
      </c>
      <c r="O373" s="385">
        <f>[81]PLANCUSr!$H$27</f>
        <v>244232</v>
      </c>
      <c r="P373" s="313">
        <f t="shared" ref="P373" si="356">100*O373/74750</f>
        <v>326.73177257525083</v>
      </c>
      <c r="Q373" s="660">
        <f>[82]PLANCUSr!$H$27</f>
        <v>273550</v>
      </c>
      <c r="R373" s="313">
        <f t="shared" ref="R373" si="357">100*Q373/74750</f>
        <v>365.95317725752506</v>
      </c>
      <c r="S373" s="385">
        <f>[123]PLANCUSr!$H$27</f>
        <v>303834</v>
      </c>
      <c r="T373" s="313">
        <f t="shared" ref="T373" si="358">100*S373/74750</f>
        <v>406.46688963210704</v>
      </c>
    </row>
    <row r="374" spans="2:20">
      <c r="B374" s="310" t="s">
        <v>9</v>
      </c>
      <c r="C374" s="385">
        <f>[83]PLANCUSr!$H$27</f>
        <v>209582.75</v>
      </c>
      <c r="D374" s="313">
        <f>100*C374/74750</f>
        <v>280.37826086956522</v>
      </c>
      <c r="E374" s="385">
        <f>[84]PLANCUSr!$H$27</f>
        <v>211125</v>
      </c>
      <c r="F374" s="313">
        <f t="shared" si="341"/>
        <v>282.44147157190633</v>
      </c>
      <c r="G374" s="660">
        <f>[85]PLANCUSr!$H$27</f>
        <v>201150</v>
      </c>
      <c r="H374" s="313">
        <f t="shared" si="342"/>
        <v>269.09698996655516</v>
      </c>
      <c r="I374" s="385">
        <f>[86]PLANCUSr!$H$27</f>
        <v>197894</v>
      </c>
      <c r="J374" s="313">
        <f t="shared" si="343"/>
        <v>264.74113712374583</v>
      </c>
      <c r="K374" s="660">
        <f>[87]PLANCUSr!$H$27</f>
        <v>202114</v>
      </c>
      <c r="L374" s="313">
        <f t="shared" ref="L374" si="359">100*K374/74750</f>
        <v>270.38662207357862</v>
      </c>
      <c r="M374" s="660">
        <f>[88]PLANCUSr!$H$27</f>
        <v>239536</v>
      </c>
      <c r="N374" s="313">
        <f t="shared" ref="N374" si="360">100*M374/74750</f>
        <v>320.44949832775922</v>
      </c>
      <c r="O374" s="385">
        <f>[89]PLANCUSr!$H$27</f>
        <v>246430</v>
      </c>
      <c r="P374" s="313">
        <f t="shared" ref="P374" si="361">100*O374/74750</f>
        <v>329.67224080267556</v>
      </c>
      <c r="Q374" s="660">
        <f>[90]PLANCUSr!$H$27</f>
        <v>280196</v>
      </c>
      <c r="R374" s="313">
        <f t="shared" ref="R374" si="362">100*Q374/74750</f>
        <v>374.84414715719066</v>
      </c>
      <c r="S374" s="660"/>
      <c r="T374" s="313"/>
    </row>
    <row r="375" spans="2:20">
      <c r="B375" s="310" t="s">
        <v>10</v>
      </c>
      <c r="C375" s="385">
        <f>[91]PLANCUSr!$H$27</f>
        <v>211207.75</v>
      </c>
      <c r="D375" s="313">
        <f>100*C375/74750</f>
        <v>282.55217391304348</v>
      </c>
      <c r="E375" s="385">
        <f>[92]PLANCUSr!$H$27</f>
        <v>211125</v>
      </c>
      <c r="F375" s="313">
        <f t="shared" si="341"/>
        <v>282.44147157190633</v>
      </c>
      <c r="G375" s="660">
        <f>[93]PLANCUSr!$H$27</f>
        <v>199300</v>
      </c>
      <c r="H375" s="313">
        <f t="shared" si="342"/>
        <v>266.62207357859529</v>
      </c>
      <c r="I375" s="385">
        <f>[94]PLANCUSr!$H$27</f>
        <v>190000</v>
      </c>
      <c r="J375" s="313">
        <f t="shared" si="343"/>
        <v>254.18060200668896</v>
      </c>
      <c r="K375" s="660">
        <f>[95]PLANCUSr!$H$27</f>
        <v>202675</v>
      </c>
      <c r="L375" s="313">
        <f t="shared" ref="L375" si="363">100*K375/74750</f>
        <v>271.13712374581939</v>
      </c>
      <c r="M375" s="660">
        <f>[96]PLANCUSr!$H$27</f>
        <v>241260</v>
      </c>
      <c r="N375" s="313">
        <f t="shared" ref="N375" si="364">100*M375/74750</f>
        <v>322.75585284280936</v>
      </c>
      <c r="O375" s="385">
        <f>[97]PLANCUSr!$H$27</f>
        <v>246430</v>
      </c>
      <c r="P375" s="313">
        <f t="shared" ref="P375" si="365">100*O375/74750</f>
        <v>329.67224080267556</v>
      </c>
      <c r="Q375" s="660">
        <f>[98]PLANCUSr!$H$27</f>
        <v>285948</v>
      </c>
      <c r="R375" s="313">
        <f t="shared" ref="R375" si="366">100*Q375/74750</f>
        <v>382.53913043478263</v>
      </c>
      <c r="S375" s="660"/>
      <c r="T375" s="313"/>
    </row>
    <row r="376" spans="2:20" ht="15.75" thickBot="1">
      <c r="B376" s="314" t="s">
        <v>11</v>
      </c>
      <c r="C376" s="386">
        <f>[99]PLANCUSr!$H$27</f>
        <v>211207.75</v>
      </c>
      <c r="D376" s="317">
        <f>100*C376/74750</f>
        <v>282.55217391304348</v>
      </c>
      <c r="E376" s="681">
        <f>[100]PLANCUSr!$H$27</f>
        <v>211125</v>
      </c>
      <c r="F376" s="317">
        <f t="shared" si="341"/>
        <v>282.44147157190633</v>
      </c>
      <c r="G376" s="681">
        <f>[101]PLANCUSr!$H$27</f>
        <v>197266</v>
      </c>
      <c r="H376" s="317">
        <f t="shared" si="342"/>
        <v>263.90100334448158</v>
      </c>
      <c r="I376" s="681">
        <f>[102]PLANCUSr!$H$27</f>
        <v>190710</v>
      </c>
      <c r="J376" s="317">
        <f t="shared" si="343"/>
        <v>255.13043478260869</v>
      </c>
      <c r="K376" s="681">
        <f>[103]PLANCUSr!$H$27</f>
        <v>204399</v>
      </c>
      <c r="L376" s="317">
        <f t="shared" ref="L376" si="367">100*K376/74750</f>
        <v>273.44347826086954</v>
      </c>
      <c r="M376" s="681">
        <f>[104]PLANCUSr!$H$27</f>
        <v>242360</v>
      </c>
      <c r="N376" s="317">
        <f t="shared" ref="N376" si="368">100*M376/74750</f>
        <v>324.2274247491639</v>
      </c>
      <c r="O376" s="386">
        <f>[105]PLANCUSr!$H$27</f>
        <v>247456</v>
      </c>
      <c r="P376" s="317">
        <f t="shared" ref="P376" si="369">100*O376/74750</f>
        <v>331.04481605351168</v>
      </c>
      <c r="Q376" s="681">
        <f>[106]PLANCUSr!$H$27</f>
        <v>290121</v>
      </c>
      <c r="R376" s="317">
        <f t="shared" ref="R376" si="370">100*Q376/74750</f>
        <v>388.12173913043478</v>
      </c>
      <c r="S376" s="681"/>
      <c r="T376" s="317"/>
    </row>
    <row r="377" spans="2:20">
      <c r="B377" s="119" t="s">
        <v>309</v>
      </c>
      <c r="C377" s="122"/>
      <c r="D377" s="123"/>
      <c r="E377" s="118"/>
      <c r="F377" s="123"/>
      <c r="G377" s="118"/>
      <c r="H377" s="123"/>
      <c r="I377" s="118"/>
      <c r="J377" s="123"/>
      <c r="K377" s="123"/>
      <c r="L377" s="123"/>
      <c r="M377" s="123"/>
      <c r="N377" s="123"/>
      <c r="O377" s="123"/>
      <c r="P377" s="123"/>
      <c r="Q377" s="123"/>
      <c r="R377" s="123"/>
      <c r="S377" s="119"/>
      <c r="T377" s="132"/>
    </row>
    <row r="378" spans="2:20">
      <c r="B378" s="119"/>
      <c r="C378" s="122"/>
      <c r="D378" s="123"/>
      <c r="E378" s="118"/>
      <c r="F378" s="123"/>
      <c r="G378" s="118"/>
      <c r="H378" s="123"/>
      <c r="I378" s="118"/>
      <c r="J378" s="123"/>
      <c r="K378" s="123"/>
      <c r="L378" s="123"/>
      <c r="M378" s="123"/>
      <c r="N378" s="123"/>
      <c r="O378" s="123"/>
      <c r="P378" s="123"/>
      <c r="Q378" s="123"/>
      <c r="R378" s="123"/>
      <c r="S378" s="119"/>
      <c r="T378" s="132"/>
    </row>
    <row r="379" spans="2:20">
      <c r="B379" s="144"/>
      <c r="C379" s="161"/>
      <c r="D379" s="146"/>
      <c r="E379" s="159"/>
      <c r="F379" s="146"/>
      <c r="G379" s="159"/>
      <c r="H379" s="146"/>
      <c r="I379" s="159"/>
      <c r="J379" s="146"/>
      <c r="K379" s="146"/>
      <c r="L379" s="146"/>
      <c r="M379" s="146"/>
      <c r="N379" s="146"/>
      <c r="O379" s="123"/>
      <c r="P379" s="123"/>
      <c r="Q379" s="123"/>
      <c r="R379" s="123"/>
      <c r="S379" s="119"/>
      <c r="T379" s="132"/>
    </row>
    <row r="380" spans="2:20" ht="15.75" thickBot="1">
      <c r="B380" s="119"/>
      <c r="C380" s="122"/>
      <c r="D380" s="123"/>
      <c r="E380" s="118"/>
      <c r="F380" s="123"/>
      <c r="G380" s="118"/>
      <c r="H380" s="123"/>
      <c r="I380" s="118"/>
      <c r="J380" s="123"/>
      <c r="K380" s="123"/>
      <c r="L380" s="123"/>
      <c r="M380" s="123"/>
      <c r="N380" s="123"/>
      <c r="O380" s="123"/>
      <c r="P380" s="123"/>
      <c r="Q380" s="123"/>
      <c r="R380" s="123"/>
      <c r="S380" s="119"/>
      <c r="T380" s="132"/>
    </row>
    <row r="381" spans="2:20" ht="18.75" thickBot="1">
      <c r="B381" s="1323" t="s">
        <v>195</v>
      </c>
      <c r="C381" s="1324"/>
      <c r="D381" s="1324"/>
      <c r="E381" s="1324"/>
      <c r="F381" s="1324"/>
      <c r="G381" s="1324"/>
      <c r="H381" s="1324"/>
      <c r="I381" s="1324"/>
      <c r="J381" s="395" t="s">
        <v>17</v>
      </c>
      <c r="K381" s="363"/>
      <c r="L381" s="395"/>
      <c r="M381" s="1339">
        <v>5413.47</v>
      </c>
      <c r="N381" s="1340"/>
      <c r="O381" s="123"/>
      <c r="P381" s="123"/>
      <c r="Q381" s="123"/>
      <c r="R381" s="123"/>
      <c r="S381" s="119"/>
      <c r="T381" s="132"/>
    </row>
    <row r="382" spans="2:20" ht="15.75" thickBot="1">
      <c r="B382" s="1308">
        <v>1994</v>
      </c>
      <c r="C382" s="1309"/>
      <c r="D382" s="396" t="s">
        <v>15</v>
      </c>
      <c r="E382" s="396">
        <v>1995</v>
      </c>
      <c r="F382" s="396" t="s">
        <v>15</v>
      </c>
      <c r="G382" s="396">
        <v>1996</v>
      </c>
      <c r="H382" s="396" t="s">
        <v>15</v>
      </c>
      <c r="I382" s="396">
        <v>1997</v>
      </c>
      <c r="J382" s="396" t="s">
        <v>15</v>
      </c>
      <c r="K382" s="396">
        <v>1998</v>
      </c>
      <c r="L382" s="396" t="s">
        <v>15</v>
      </c>
      <c r="M382" s="396">
        <v>1999</v>
      </c>
      <c r="N382" s="397" t="s">
        <v>15</v>
      </c>
      <c r="O382" s="124"/>
      <c r="P382" s="124"/>
    </row>
    <row r="383" spans="2:20">
      <c r="B383" s="306" t="s">
        <v>0</v>
      </c>
      <c r="C383" s="388"/>
      <c r="D383" s="308"/>
      <c r="E383" s="307">
        <v>6242.14</v>
      </c>
      <c r="F383" s="308">
        <f>100*E383/$C$389</f>
        <v>115.30755689049722</v>
      </c>
      <c r="G383" s="307">
        <v>6308</v>
      </c>
      <c r="H383" s="308">
        <f>100*G383/$C$389</f>
        <v>116.52415179173431</v>
      </c>
      <c r="I383" s="307">
        <v>6718.4</v>
      </c>
      <c r="J383" s="308">
        <f>100*I383/$C$389</f>
        <v>124.10524118541342</v>
      </c>
      <c r="K383" s="307">
        <v>6240</v>
      </c>
      <c r="L383" s="308">
        <f>100*K383/$C$389</f>
        <v>115.26802586880503</v>
      </c>
      <c r="M383" s="307">
        <v>6550</v>
      </c>
      <c r="N383" s="309">
        <f>100*M383/$C$389</f>
        <v>120.99448228215913</v>
      </c>
      <c r="O383" s="123"/>
    </row>
    <row r="384" spans="2:20">
      <c r="B384" s="310" t="s">
        <v>1</v>
      </c>
      <c r="C384" s="385"/>
      <c r="D384" s="322"/>
      <c r="E384" s="311">
        <v>5869.17</v>
      </c>
      <c r="F384" s="312">
        <f t="shared" ref="F384:F394" si="371">100*E384/$C$389</f>
        <v>108.41789092763052</v>
      </c>
      <c r="G384" s="311">
        <v>6483</v>
      </c>
      <c r="H384" s="312">
        <f t="shared" ref="H384:H394" si="372">100*G384/$C$389</f>
        <v>119.75682879927292</v>
      </c>
      <c r="I384" s="311">
        <v>6466</v>
      </c>
      <c r="J384" s="312">
        <f t="shared" ref="J384:J394" si="373">100*I384/$C$389</f>
        <v>119.4427973185406</v>
      </c>
      <c r="K384" s="311">
        <v>6296.67</v>
      </c>
      <c r="L384" s="312">
        <f t="shared" ref="L384:L394" si="374">100*K384/$C$389</f>
        <v>116.31485904604625</v>
      </c>
      <c r="M384" s="311">
        <v>6917</v>
      </c>
      <c r="N384" s="313">
        <f t="shared" ref="N384:N394" si="375">100*M384/$C$389</f>
        <v>127.77386777796865</v>
      </c>
      <c r="O384" s="123"/>
      <c r="P384" s="123"/>
    </row>
    <row r="385" spans="2:20">
      <c r="B385" s="310" t="s">
        <v>2</v>
      </c>
      <c r="C385" s="385"/>
      <c r="D385" s="322"/>
      <c r="E385" s="311">
        <v>6498</v>
      </c>
      <c r="F385" s="312">
        <f t="shared" si="371"/>
        <v>120.03391539991908</v>
      </c>
      <c r="G385" s="311">
        <v>6060</v>
      </c>
      <c r="H385" s="312">
        <f t="shared" si="372"/>
        <v>111.94298666105104</v>
      </c>
      <c r="I385" s="311">
        <v>6576</v>
      </c>
      <c r="J385" s="312">
        <f t="shared" si="373"/>
        <v>121.47476572327915</v>
      </c>
      <c r="K385" s="311">
        <v>6276.75</v>
      </c>
      <c r="L385" s="312">
        <f t="shared" si="374"/>
        <v>115.94688804038813</v>
      </c>
      <c r="M385" s="311">
        <v>7001.86</v>
      </c>
      <c r="N385" s="313">
        <f t="shared" si="375"/>
        <v>129.34143904002423</v>
      </c>
      <c r="O385" s="123"/>
      <c r="P385" s="123"/>
    </row>
    <row r="386" spans="2:20">
      <c r="B386" s="310" t="s">
        <v>3</v>
      </c>
      <c r="C386" s="385"/>
      <c r="D386" s="312"/>
      <c r="E386" s="311">
        <v>6675</v>
      </c>
      <c r="F386" s="312">
        <f t="shared" si="371"/>
        <v>123.30353728754385</v>
      </c>
      <c r="G386" s="311">
        <v>6280</v>
      </c>
      <c r="H386" s="312">
        <f t="shared" si="372"/>
        <v>116.00692347052814</v>
      </c>
      <c r="I386" s="311">
        <v>6617</v>
      </c>
      <c r="J386" s="312">
        <f t="shared" si="373"/>
        <v>122.23213576504533</v>
      </c>
      <c r="K386" s="311">
        <v>6880</v>
      </c>
      <c r="L386" s="312">
        <f t="shared" si="374"/>
        <v>127.09038749637477</v>
      </c>
      <c r="M386" s="311">
        <v>6868.33</v>
      </c>
      <c r="N386" s="313">
        <f t="shared" si="375"/>
        <v>126.87481412107206</v>
      </c>
      <c r="O386" s="123"/>
      <c r="P386" s="123"/>
    </row>
    <row r="387" spans="2:20">
      <c r="B387" s="310" t="s">
        <v>4</v>
      </c>
      <c r="C387" s="385"/>
      <c r="D387" s="312"/>
      <c r="E387" s="311">
        <v>6400</v>
      </c>
      <c r="F387" s="312">
        <f t="shared" si="371"/>
        <v>118.22361627569747</v>
      </c>
      <c r="G387" s="311">
        <v>6722.14</v>
      </c>
      <c r="H387" s="312">
        <f t="shared" si="372"/>
        <v>124.17432811117453</v>
      </c>
      <c r="I387" s="311">
        <v>6258</v>
      </c>
      <c r="J387" s="312">
        <f t="shared" si="373"/>
        <v>115.60052978958043</v>
      </c>
      <c r="K387" s="311">
        <v>6273.2</v>
      </c>
      <c r="L387" s="312">
        <f t="shared" si="374"/>
        <v>115.88131087823521</v>
      </c>
      <c r="M387" s="311">
        <v>6948.6</v>
      </c>
      <c r="N387" s="313">
        <f t="shared" si="375"/>
        <v>128.3575968833299</v>
      </c>
      <c r="O387" s="123"/>
      <c r="P387" s="123"/>
    </row>
    <row r="388" spans="2:20">
      <c r="B388" s="310" t="s">
        <v>5</v>
      </c>
      <c r="C388" s="385"/>
      <c r="D388" s="312"/>
      <c r="E388" s="311">
        <v>7723.67</v>
      </c>
      <c r="F388" s="312">
        <f t="shared" si="371"/>
        <v>142.67503098751817</v>
      </c>
      <c r="G388" s="311">
        <v>6616.67</v>
      </c>
      <c r="H388" s="312">
        <f t="shared" si="372"/>
        <v>122.22603985983112</v>
      </c>
      <c r="I388" s="311">
        <v>6620</v>
      </c>
      <c r="J388" s="312">
        <f t="shared" si="373"/>
        <v>122.28755308517457</v>
      </c>
      <c r="K388" s="311">
        <v>6300</v>
      </c>
      <c r="L388" s="312">
        <f t="shared" si="374"/>
        <v>116.3763722713897</v>
      </c>
      <c r="M388" s="311">
        <v>6801.29</v>
      </c>
      <c r="N388" s="313">
        <f t="shared" si="375"/>
        <v>125.63642174058413</v>
      </c>
      <c r="O388" s="123"/>
      <c r="P388" s="123"/>
    </row>
    <row r="389" spans="2:20">
      <c r="B389" s="310" t="s">
        <v>6</v>
      </c>
      <c r="C389" s="385">
        <v>5413.47</v>
      </c>
      <c r="D389" s="312">
        <f ca="1">D389*10000/541347</f>
        <v>0</v>
      </c>
      <c r="E389" s="311">
        <v>7857.38</v>
      </c>
      <c r="F389" s="312">
        <f t="shared" si="371"/>
        <v>145.1449809456781</v>
      </c>
      <c r="G389" s="311">
        <v>6656.25</v>
      </c>
      <c r="H389" s="312">
        <f t="shared" si="372"/>
        <v>122.95717903673614</v>
      </c>
      <c r="I389" s="311">
        <v>6490</v>
      </c>
      <c r="J389" s="312">
        <f t="shared" si="373"/>
        <v>119.88613587957447</v>
      </c>
      <c r="K389" s="311">
        <v>6573.75</v>
      </c>
      <c r="L389" s="312">
        <f t="shared" si="374"/>
        <v>121.43320273318223</v>
      </c>
      <c r="M389" s="311">
        <v>6875</v>
      </c>
      <c r="N389" s="313">
        <f t="shared" si="375"/>
        <v>126.99802529615938</v>
      </c>
      <c r="O389" s="123"/>
      <c r="P389" s="123"/>
    </row>
    <row r="390" spans="2:20">
      <c r="B390" s="310" t="s">
        <v>7</v>
      </c>
      <c r="C390" s="385">
        <v>5695</v>
      </c>
      <c r="D390" s="312">
        <f>100*C390/$C$389</f>
        <v>105.20054604532767</v>
      </c>
      <c r="E390" s="311">
        <v>6861.67</v>
      </c>
      <c r="F390" s="312">
        <f t="shared" si="371"/>
        <v>126.75178767038517</v>
      </c>
      <c r="G390" s="311">
        <v>6470</v>
      </c>
      <c r="H390" s="312">
        <f t="shared" si="372"/>
        <v>119.51668707871291</v>
      </c>
      <c r="I390" s="311">
        <v>6019.2</v>
      </c>
      <c r="J390" s="312">
        <f t="shared" si="373"/>
        <v>111.18931110729346</v>
      </c>
      <c r="K390" s="311">
        <v>6434.17</v>
      </c>
      <c r="L390" s="312">
        <f t="shared" si="374"/>
        <v>118.85481955196943</v>
      </c>
      <c r="M390" s="311">
        <v>6804</v>
      </c>
      <c r="N390" s="313">
        <f t="shared" si="375"/>
        <v>125.68648205310087</v>
      </c>
      <c r="O390" s="123"/>
      <c r="P390" s="123"/>
    </row>
    <row r="391" spans="2:20">
      <c r="B391" s="310" t="s">
        <v>8</v>
      </c>
      <c r="C391" s="385">
        <v>5207.33</v>
      </c>
      <c r="D391" s="312">
        <f t="shared" ref="D391:D394" si="376">100*C391/$C$389</f>
        <v>96.192091209519958</v>
      </c>
      <c r="E391" s="311">
        <v>7805.62</v>
      </c>
      <c r="F391" s="312">
        <f t="shared" si="371"/>
        <v>144.18884744904838</v>
      </c>
      <c r="G391" s="311">
        <v>6270</v>
      </c>
      <c r="H391" s="312">
        <f t="shared" si="372"/>
        <v>115.82219907009737</v>
      </c>
      <c r="I391" s="311">
        <v>6437.5</v>
      </c>
      <c r="J391" s="312">
        <f t="shared" si="373"/>
        <v>118.91633277731289</v>
      </c>
      <c r="K391" s="311">
        <v>6315.83</v>
      </c>
      <c r="L391" s="312">
        <f t="shared" si="374"/>
        <v>116.66879099727161</v>
      </c>
      <c r="M391" s="311">
        <v>7108.33</v>
      </c>
      <c r="N391" s="313">
        <f t="shared" si="375"/>
        <v>131.30819973141072</v>
      </c>
      <c r="O391" s="123"/>
      <c r="P391" s="123"/>
    </row>
    <row r="392" spans="2:20">
      <c r="B392" s="310" t="s">
        <v>9</v>
      </c>
      <c r="C392" s="385">
        <v>5669.5</v>
      </c>
      <c r="D392" s="312">
        <f t="shared" si="376"/>
        <v>104.72949882422918</v>
      </c>
      <c r="E392" s="311">
        <v>6746</v>
      </c>
      <c r="F392" s="312">
        <f t="shared" si="371"/>
        <v>124.61508053060236</v>
      </c>
      <c r="G392" s="311">
        <v>6583.33</v>
      </c>
      <c r="H392" s="312">
        <f t="shared" si="372"/>
        <v>121.6101687087949</v>
      </c>
      <c r="I392" s="311">
        <v>6243.4</v>
      </c>
      <c r="J392" s="312">
        <f t="shared" si="373"/>
        <v>115.3308321649515</v>
      </c>
      <c r="K392" s="311">
        <v>6387</v>
      </c>
      <c r="L392" s="312">
        <f t="shared" si="374"/>
        <v>117.98347455513746</v>
      </c>
      <c r="M392" s="311">
        <v>7215</v>
      </c>
      <c r="N392" s="313">
        <f t="shared" si="375"/>
        <v>133.27865491080581</v>
      </c>
      <c r="O392" s="123"/>
      <c r="P392" s="123"/>
    </row>
    <row r="393" spans="2:20">
      <c r="B393" s="310" t="s">
        <v>10</v>
      </c>
      <c r="C393" s="385">
        <v>5706.86</v>
      </c>
      <c r="D393" s="312">
        <f t="shared" si="376"/>
        <v>105.41962918423857</v>
      </c>
      <c r="E393" s="311">
        <v>7044.43</v>
      </c>
      <c r="F393" s="312">
        <f t="shared" si="371"/>
        <v>130.12781081265805</v>
      </c>
      <c r="G393" s="311">
        <v>6534</v>
      </c>
      <c r="H393" s="312">
        <f t="shared" si="372"/>
        <v>120.69892324146988</v>
      </c>
      <c r="I393" s="311">
        <v>6257.5</v>
      </c>
      <c r="J393" s="312">
        <f t="shared" si="373"/>
        <v>115.59129356955889</v>
      </c>
      <c r="K393" s="311">
        <v>6562.4</v>
      </c>
      <c r="L393" s="312">
        <f t="shared" si="374"/>
        <v>121.22354053869329</v>
      </c>
      <c r="M393" s="311">
        <v>7300</v>
      </c>
      <c r="N393" s="313">
        <f t="shared" si="375"/>
        <v>134.84881231446744</v>
      </c>
      <c r="O393" s="123"/>
      <c r="P393" s="123"/>
    </row>
    <row r="394" spans="2:20" ht="15.75" thickBot="1">
      <c r="B394" s="314" t="s">
        <v>11</v>
      </c>
      <c r="C394" s="386">
        <v>6131.67</v>
      </c>
      <c r="D394" s="316">
        <f t="shared" si="376"/>
        <v>113.26690643893842</v>
      </c>
      <c r="E394" s="1288">
        <v>6828.33</v>
      </c>
      <c r="F394" s="316">
        <f t="shared" si="371"/>
        <v>126.13591651934895</v>
      </c>
      <c r="G394" s="1288">
        <v>6390</v>
      </c>
      <c r="H394" s="316">
        <f t="shared" si="372"/>
        <v>118.03889187526669</v>
      </c>
      <c r="I394" s="1288">
        <v>6270</v>
      </c>
      <c r="J394" s="316">
        <f t="shared" si="373"/>
        <v>115.82219907009737</v>
      </c>
      <c r="K394" s="1288">
        <v>6530.33</v>
      </c>
      <c r="L394" s="316">
        <f t="shared" si="374"/>
        <v>120.63112938651179</v>
      </c>
      <c r="M394" s="1288">
        <v>7516.67</v>
      </c>
      <c r="N394" s="317">
        <f t="shared" si="375"/>
        <v>138.85123589860109</v>
      </c>
      <c r="O394" s="123"/>
      <c r="P394" s="123"/>
    </row>
    <row r="395" spans="2:20" ht="15.75" thickBot="1">
      <c r="B395" s="167"/>
      <c r="C395" s="173"/>
      <c r="D395" s="171"/>
      <c r="E395" s="168"/>
      <c r="F395" s="171"/>
      <c r="G395" s="168"/>
      <c r="H395" s="175"/>
      <c r="I395" s="168"/>
      <c r="J395" s="171"/>
      <c r="K395" s="168"/>
      <c r="L395" s="171"/>
      <c r="M395" s="168"/>
      <c r="N395" s="171"/>
      <c r="O395" s="123"/>
      <c r="P395" s="123"/>
    </row>
    <row r="396" spans="2:20" ht="18.75" thickBot="1">
      <c r="B396" s="1323" t="s">
        <v>196</v>
      </c>
      <c r="C396" s="1324"/>
      <c r="D396" s="1324"/>
      <c r="E396" s="1324"/>
      <c r="F396" s="1324"/>
      <c r="G396" s="1324"/>
      <c r="H396" s="1324"/>
      <c r="I396" s="1324"/>
      <c r="J396" s="1324"/>
      <c r="K396" s="1324"/>
      <c r="L396" s="1324"/>
      <c r="M396" s="1324"/>
      <c r="N396" s="1403"/>
      <c r="O396" s="123"/>
      <c r="P396" s="123"/>
      <c r="Q396" s="132"/>
      <c r="R396" s="132"/>
      <c r="S396" s="122"/>
      <c r="T396" s="122"/>
    </row>
    <row r="397" spans="2:20" ht="15.75" thickBot="1">
      <c r="B397" s="1308">
        <v>2000</v>
      </c>
      <c r="C397" s="1309"/>
      <c r="D397" s="396" t="s">
        <v>15</v>
      </c>
      <c r="E397" s="396">
        <v>2001</v>
      </c>
      <c r="F397" s="396" t="s">
        <v>15</v>
      </c>
      <c r="G397" s="396">
        <v>2002</v>
      </c>
      <c r="H397" s="396" t="s">
        <v>15</v>
      </c>
      <c r="I397" s="396">
        <v>2003</v>
      </c>
      <c r="J397" s="396" t="s">
        <v>15</v>
      </c>
      <c r="K397" s="396">
        <v>2004</v>
      </c>
      <c r="L397" s="396" t="s">
        <v>15</v>
      </c>
      <c r="M397" s="375">
        <v>2005</v>
      </c>
      <c r="N397" s="397" t="s">
        <v>15</v>
      </c>
      <c r="O397" s="124"/>
      <c r="P397" s="124"/>
      <c r="Q397" s="132"/>
      <c r="R397" s="132"/>
      <c r="S397" s="122"/>
      <c r="T397" s="122"/>
    </row>
    <row r="398" spans="2:20">
      <c r="B398" s="398" t="s">
        <v>0</v>
      </c>
      <c r="C398" s="399">
        <v>7340</v>
      </c>
      <c r="D398" s="400">
        <f>100*C398/5413.47</f>
        <v>135.58770991619053</v>
      </c>
      <c r="E398" s="399">
        <v>8478</v>
      </c>
      <c r="F398" s="399">
        <f t="shared" ref="F398:F409" si="377">100*E398/5413.47</f>
        <v>156.60934668521298</v>
      </c>
      <c r="G398" s="399">
        <v>8880</v>
      </c>
      <c r="H398" s="399">
        <f t="shared" ref="H398:H409" si="378">100*G398/5413.47</f>
        <v>164.03526758253022</v>
      </c>
      <c r="I398" s="401">
        <v>10640</v>
      </c>
      <c r="J398" s="636">
        <f t="shared" ref="J398:L409" si="379">100*I398/5413.47</f>
        <v>196.54676205834704</v>
      </c>
      <c r="K398" s="401">
        <v>11460</v>
      </c>
      <c r="L398" s="399">
        <f t="shared" si="379"/>
        <v>211.69416289367078</v>
      </c>
      <c r="M398" s="401">
        <v>15838</v>
      </c>
      <c r="N398" s="402">
        <f t="shared" ref="N398:N409" si="380">100*M398/5413.47</f>
        <v>292.56650540226508</v>
      </c>
      <c r="O398" s="122"/>
      <c r="P398" s="122"/>
      <c r="Q398" s="132"/>
      <c r="R398" s="132"/>
      <c r="S398" s="122"/>
      <c r="T398" s="122"/>
    </row>
    <row r="399" spans="2:20">
      <c r="B399" s="403" t="s">
        <v>1</v>
      </c>
      <c r="C399" s="404">
        <v>7683.33</v>
      </c>
      <c r="D399" s="405">
        <f>100*C399/54134.47</f>
        <v>14.193045577060236</v>
      </c>
      <c r="E399" s="404">
        <v>8525</v>
      </c>
      <c r="F399" s="404">
        <f t="shared" si="377"/>
        <v>157.47755136723765</v>
      </c>
      <c r="G399" s="404">
        <v>8500</v>
      </c>
      <c r="H399" s="404">
        <f t="shared" si="378"/>
        <v>157.01574036616068</v>
      </c>
      <c r="I399" s="406">
        <v>10940</v>
      </c>
      <c r="J399" s="637">
        <f t="shared" si="379"/>
        <v>202.08849407127036</v>
      </c>
      <c r="K399" s="406">
        <v>11945</v>
      </c>
      <c r="L399" s="407">
        <f t="shared" si="379"/>
        <v>220.65329631456348</v>
      </c>
      <c r="M399" s="406">
        <v>15925</v>
      </c>
      <c r="N399" s="408">
        <f t="shared" si="380"/>
        <v>294.17360768601282</v>
      </c>
      <c r="O399" s="152"/>
      <c r="P399" s="152"/>
      <c r="Q399" s="132"/>
      <c r="R399" s="132"/>
      <c r="S399" s="122"/>
      <c r="T399" s="122"/>
    </row>
    <row r="400" spans="2:20">
      <c r="B400" s="403" t="s">
        <v>2</v>
      </c>
      <c r="C400" s="404">
        <v>7625</v>
      </c>
      <c r="D400" s="405">
        <f t="shared" ref="D400:D409" si="381">100*C400/5413.47</f>
        <v>140.8523553284677</v>
      </c>
      <c r="E400" s="404">
        <v>8025</v>
      </c>
      <c r="F400" s="404">
        <f t="shared" si="377"/>
        <v>148.24133134569877</v>
      </c>
      <c r="G400" s="404">
        <v>8790</v>
      </c>
      <c r="H400" s="404">
        <f t="shared" si="378"/>
        <v>162.37274797865325</v>
      </c>
      <c r="I400" s="406">
        <v>10740</v>
      </c>
      <c r="J400" s="637">
        <f t="shared" si="379"/>
        <v>198.39400606265482</v>
      </c>
      <c r="K400" s="406">
        <v>12280</v>
      </c>
      <c r="L400" s="407">
        <f t="shared" si="379"/>
        <v>226.84156372899452</v>
      </c>
      <c r="M400" s="406">
        <v>16000</v>
      </c>
      <c r="N400" s="408">
        <f t="shared" si="380"/>
        <v>295.55904068924366</v>
      </c>
      <c r="O400" s="152"/>
      <c r="P400" s="152"/>
      <c r="Q400" s="132"/>
      <c r="R400" s="132"/>
      <c r="S400" s="122"/>
      <c r="T400" s="122"/>
    </row>
    <row r="401" spans="2:20">
      <c r="B401" s="403" t="s">
        <v>3</v>
      </c>
      <c r="C401" s="404">
        <v>7680</v>
      </c>
      <c r="D401" s="405">
        <f t="shared" si="381"/>
        <v>141.86833953083695</v>
      </c>
      <c r="E401" s="404">
        <v>8063</v>
      </c>
      <c r="F401" s="404">
        <f t="shared" si="377"/>
        <v>148.94328406733572</v>
      </c>
      <c r="G401" s="404">
        <v>8634</v>
      </c>
      <c r="H401" s="404">
        <f t="shared" si="378"/>
        <v>159.49104733193312</v>
      </c>
      <c r="I401" s="406">
        <v>11300</v>
      </c>
      <c r="J401" s="637">
        <f t="shared" si="379"/>
        <v>208.73857248677834</v>
      </c>
      <c r="K401" s="406">
        <v>12420</v>
      </c>
      <c r="L401" s="409">
        <f>100*K401/5413.47</f>
        <v>229.42770533502539</v>
      </c>
      <c r="M401" s="406">
        <v>16346.67</v>
      </c>
      <c r="N401" s="410">
        <f t="shared" si="380"/>
        <v>301.96288147897741</v>
      </c>
      <c r="O401" s="156"/>
      <c r="P401" s="156"/>
      <c r="Q401" s="132"/>
      <c r="R401" s="132"/>
      <c r="S401" s="122"/>
      <c r="T401" s="122"/>
    </row>
    <row r="402" spans="2:20">
      <c r="B402" s="403" t="s">
        <v>4</v>
      </c>
      <c r="C402" s="404">
        <v>8020</v>
      </c>
      <c r="D402" s="405">
        <f t="shared" si="381"/>
        <v>148.14896914548339</v>
      </c>
      <c r="E402" s="404">
        <v>8220</v>
      </c>
      <c r="F402" s="404">
        <f t="shared" si="377"/>
        <v>151.84345715409893</v>
      </c>
      <c r="G402" s="404">
        <v>8493</v>
      </c>
      <c r="H402" s="404">
        <f t="shared" si="378"/>
        <v>156.88643328585914</v>
      </c>
      <c r="I402" s="406">
        <v>11240</v>
      </c>
      <c r="J402" s="638">
        <f t="shared" si="379"/>
        <v>207.63022608419368</v>
      </c>
      <c r="K402" s="406">
        <v>12082</v>
      </c>
      <c r="L402" s="409">
        <f t="shared" si="379"/>
        <v>223.18402060046512</v>
      </c>
      <c r="M402" s="406">
        <v>16208.33</v>
      </c>
      <c r="N402" s="410">
        <f t="shared" si="380"/>
        <v>299.40740412341808</v>
      </c>
      <c r="O402" s="156"/>
      <c r="P402" s="156"/>
      <c r="Q402" s="132"/>
      <c r="R402" s="132"/>
      <c r="S402" s="122"/>
      <c r="T402" s="122"/>
    </row>
    <row r="403" spans="2:20">
      <c r="B403" s="403" t="s">
        <v>5</v>
      </c>
      <c r="C403" s="404">
        <v>7923.5</v>
      </c>
      <c r="D403" s="405">
        <f t="shared" si="381"/>
        <v>146.36637868132638</v>
      </c>
      <c r="E403" s="404">
        <v>8416</v>
      </c>
      <c r="F403" s="404">
        <f t="shared" si="377"/>
        <v>155.46405540254216</v>
      </c>
      <c r="G403" s="404">
        <v>8553.4</v>
      </c>
      <c r="H403" s="404">
        <f t="shared" si="378"/>
        <v>158.00216866446104</v>
      </c>
      <c r="I403" s="406">
        <v>11560</v>
      </c>
      <c r="J403" s="638">
        <f t="shared" si="379"/>
        <v>213.54140689797856</v>
      </c>
      <c r="K403" s="406">
        <v>12258</v>
      </c>
      <c r="L403" s="409">
        <f t="shared" si="379"/>
        <v>226.43517004804681</v>
      </c>
      <c r="M403" s="406">
        <v>16210</v>
      </c>
      <c r="N403" s="410">
        <f t="shared" si="380"/>
        <v>299.43825309828998</v>
      </c>
      <c r="O403" s="156"/>
      <c r="P403" s="156"/>
      <c r="Q403" s="132"/>
      <c r="R403" s="132"/>
      <c r="S403" s="122"/>
      <c r="T403" s="122"/>
    </row>
    <row r="404" spans="2:20">
      <c r="B404" s="403" t="s">
        <v>6</v>
      </c>
      <c r="C404" s="404">
        <v>8058.33</v>
      </c>
      <c r="D404" s="405">
        <f t="shared" si="381"/>
        <v>148.85701777233456</v>
      </c>
      <c r="E404" s="404">
        <v>8286</v>
      </c>
      <c r="F404" s="404">
        <f t="shared" si="377"/>
        <v>153.06263819694206</v>
      </c>
      <c r="G404" s="404">
        <v>8577</v>
      </c>
      <c r="H404" s="404">
        <f t="shared" si="378"/>
        <v>158.4381182494777</v>
      </c>
      <c r="I404" s="406">
        <v>11775</v>
      </c>
      <c r="J404" s="638">
        <f t="shared" si="379"/>
        <v>217.51298150724026</v>
      </c>
      <c r="K404" s="406">
        <v>12648</v>
      </c>
      <c r="L404" s="409">
        <f t="shared" si="379"/>
        <v>233.63942166484713</v>
      </c>
      <c r="M404" s="406">
        <v>15783.33</v>
      </c>
      <c r="N404" s="410">
        <f t="shared" si="380"/>
        <v>291.55661710511004</v>
      </c>
      <c r="O404" s="156"/>
      <c r="P404" s="156"/>
      <c r="Q404" s="132"/>
      <c r="R404" s="132"/>
      <c r="S404" s="122"/>
      <c r="T404" s="122"/>
    </row>
    <row r="405" spans="2:20">
      <c r="B405" s="403" t="s">
        <v>7</v>
      </c>
      <c r="C405" s="404">
        <v>8160</v>
      </c>
      <c r="D405" s="405">
        <f t="shared" si="381"/>
        <v>150.73511075151427</v>
      </c>
      <c r="E405" s="404">
        <v>8401</v>
      </c>
      <c r="F405" s="404">
        <f t="shared" si="377"/>
        <v>155.186968801896</v>
      </c>
      <c r="G405" s="404">
        <v>8626</v>
      </c>
      <c r="H405" s="404">
        <f t="shared" si="378"/>
        <v>159.3432678115885</v>
      </c>
      <c r="I405" s="406">
        <v>12015</v>
      </c>
      <c r="J405" s="638">
        <f t="shared" si="379"/>
        <v>221.94636711757892</v>
      </c>
      <c r="K405" s="406">
        <v>12786</v>
      </c>
      <c r="L405" s="409">
        <f t="shared" si="379"/>
        <v>236.18861839079185</v>
      </c>
      <c r="M405" s="406">
        <v>15475.14</v>
      </c>
      <c r="N405" s="410">
        <f t="shared" si="380"/>
        <v>285.86359580823387</v>
      </c>
      <c r="O405" s="156"/>
      <c r="P405" s="156"/>
      <c r="Q405" s="132"/>
      <c r="R405" s="132"/>
      <c r="S405" s="122"/>
      <c r="T405" s="122"/>
    </row>
    <row r="406" spans="2:20">
      <c r="B406" s="403" t="s">
        <v>8</v>
      </c>
      <c r="C406" s="404">
        <v>7884</v>
      </c>
      <c r="D406" s="405">
        <f t="shared" si="381"/>
        <v>145.63671729962482</v>
      </c>
      <c r="E406" s="404">
        <v>8746</v>
      </c>
      <c r="F406" s="404">
        <f t="shared" si="377"/>
        <v>161.55996061675782</v>
      </c>
      <c r="G406" s="404">
        <v>8670</v>
      </c>
      <c r="H406" s="404">
        <f t="shared" si="378"/>
        <v>160.15605517348391</v>
      </c>
      <c r="I406" s="406">
        <v>11125</v>
      </c>
      <c r="J406" s="638">
        <f t="shared" si="379"/>
        <v>205.50589547923974</v>
      </c>
      <c r="K406" s="406">
        <v>13820</v>
      </c>
      <c r="L406" s="409">
        <f t="shared" si="379"/>
        <v>255.28912139533421</v>
      </c>
      <c r="M406" s="406">
        <v>15296.34</v>
      </c>
      <c r="N406" s="410">
        <f t="shared" si="380"/>
        <v>282.56072352853158</v>
      </c>
      <c r="O406" s="156"/>
      <c r="P406" s="156"/>
      <c r="Q406" s="132"/>
      <c r="R406" s="132"/>
      <c r="S406" s="122"/>
      <c r="T406" s="122"/>
    </row>
    <row r="407" spans="2:20">
      <c r="B407" s="403" t="s">
        <v>9</v>
      </c>
      <c r="C407" s="404">
        <v>8187.5</v>
      </c>
      <c r="D407" s="405">
        <f t="shared" si="381"/>
        <v>151.24310285269891</v>
      </c>
      <c r="E407" s="404">
        <v>8720</v>
      </c>
      <c r="F407" s="404">
        <f t="shared" si="377"/>
        <v>161.07967717563781</v>
      </c>
      <c r="G407" s="404">
        <v>8700</v>
      </c>
      <c r="H407" s="404">
        <f t="shared" si="378"/>
        <v>160.71022837477625</v>
      </c>
      <c r="I407" s="406">
        <v>11785</v>
      </c>
      <c r="J407" s="638">
        <f t="shared" si="379"/>
        <v>217.69770590767104</v>
      </c>
      <c r="K407" s="406">
        <v>14551</v>
      </c>
      <c r="L407" s="409">
        <f t="shared" si="379"/>
        <v>268.79247506682401</v>
      </c>
      <c r="M407" s="406">
        <v>15962.5</v>
      </c>
      <c r="N407" s="410">
        <f t="shared" si="380"/>
        <v>294.86632418762827</v>
      </c>
      <c r="O407" s="156"/>
      <c r="P407" s="156"/>
      <c r="Q407" s="132"/>
      <c r="R407" s="132"/>
      <c r="S407" s="122"/>
      <c r="T407" s="122"/>
    </row>
    <row r="408" spans="2:20">
      <c r="B408" s="403" t="s">
        <v>10</v>
      </c>
      <c r="C408" s="412">
        <v>8573.75</v>
      </c>
      <c r="D408" s="405">
        <f t="shared" si="381"/>
        <v>158.37808281933769</v>
      </c>
      <c r="E408" s="404">
        <v>8180</v>
      </c>
      <c r="F408" s="404">
        <f t="shared" si="377"/>
        <v>151.10455955237583</v>
      </c>
      <c r="G408" s="404">
        <v>10020</v>
      </c>
      <c r="H408" s="404">
        <f t="shared" si="378"/>
        <v>185.09384923163884</v>
      </c>
      <c r="I408" s="406">
        <v>11972</v>
      </c>
      <c r="J408" s="638">
        <f t="shared" si="379"/>
        <v>221.15205219572658</v>
      </c>
      <c r="K408" s="406">
        <v>15338</v>
      </c>
      <c r="L408" s="409">
        <f t="shared" si="379"/>
        <v>283.3302853807262</v>
      </c>
      <c r="M408" s="406">
        <v>15702.86</v>
      </c>
      <c r="N408" s="410">
        <f t="shared" si="380"/>
        <v>290.07013985484355</v>
      </c>
      <c r="O408" s="156"/>
      <c r="P408" s="156"/>
      <c r="Q408" s="132"/>
      <c r="R408" s="132"/>
      <c r="S408" s="122"/>
      <c r="T408" s="122"/>
    </row>
    <row r="409" spans="2:20" ht="15.75" thickBot="1">
      <c r="B409" s="413" t="s">
        <v>11</v>
      </c>
      <c r="C409" s="414">
        <v>8040</v>
      </c>
      <c r="D409" s="415">
        <f t="shared" si="381"/>
        <v>148.51841794634495</v>
      </c>
      <c r="E409" s="414">
        <v>8420</v>
      </c>
      <c r="F409" s="414">
        <f t="shared" si="377"/>
        <v>155.53794516271449</v>
      </c>
      <c r="G409" s="414">
        <v>10500</v>
      </c>
      <c r="H409" s="414">
        <f t="shared" si="378"/>
        <v>193.96062045231616</v>
      </c>
      <c r="I409" s="416">
        <v>12850</v>
      </c>
      <c r="J409" s="639">
        <f t="shared" si="379"/>
        <v>237.37085455354881</v>
      </c>
      <c r="K409" s="416">
        <v>15300</v>
      </c>
      <c r="L409" s="418">
        <f t="shared" si="379"/>
        <v>282.62833265908927</v>
      </c>
      <c r="M409" s="416">
        <v>15794</v>
      </c>
      <c r="N409" s="419">
        <f t="shared" si="380"/>
        <v>291.75371804036968</v>
      </c>
      <c r="O409" s="156"/>
      <c r="P409" s="156"/>
      <c r="Q409" s="132"/>
      <c r="R409" s="132"/>
      <c r="S409" s="122"/>
      <c r="T409" s="122"/>
    </row>
    <row r="410" spans="2:20" ht="15.75" thickBot="1">
      <c r="B410" s="119"/>
      <c r="C410" s="122"/>
      <c r="D410" s="123"/>
      <c r="E410" s="118"/>
      <c r="F410" s="123"/>
      <c r="G410" s="118"/>
      <c r="H410" s="123"/>
      <c r="I410" s="118"/>
      <c r="J410" s="123"/>
      <c r="K410" s="123"/>
      <c r="L410" s="123"/>
      <c r="M410" s="123"/>
      <c r="N410" s="123"/>
      <c r="O410" s="123"/>
      <c r="P410" s="123"/>
      <c r="Q410" s="123"/>
      <c r="R410" s="123"/>
      <c r="S410" s="119"/>
      <c r="T410" s="132"/>
    </row>
    <row r="411" spans="2:20" ht="18.75" thickBot="1">
      <c r="B411" s="1323" t="s">
        <v>196</v>
      </c>
      <c r="C411" s="1324"/>
      <c r="D411" s="1324"/>
      <c r="E411" s="1324"/>
      <c r="F411" s="1324"/>
      <c r="G411" s="1324"/>
      <c r="H411" s="1324"/>
      <c r="I411" s="1324"/>
      <c r="J411" s="1324"/>
      <c r="K411" s="1324"/>
      <c r="L411" s="1324"/>
      <c r="M411" s="1324"/>
      <c r="N411" s="1403"/>
      <c r="O411" s="123"/>
      <c r="P411" s="123"/>
      <c r="Q411" s="132"/>
      <c r="R411" s="132"/>
      <c r="S411" s="122"/>
      <c r="T411" s="122"/>
    </row>
    <row r="412" spans="2:20" ht="15.75" thickBot="1">
      <c r="B412" s="1308">
        <v>2006</v>
      </c>
      <c r="C412" s="1309"/>
      <c r="D412" s="396" t="s">
        <v>15</v>
      </c>
      <c r="E412" s="396">
        <v>2007</v>
      </c>
      <c r="F412" s="396" t="s">
        <v>15</v>
      </c>
      <c r="G412" s="396">
        <v>2008</v>
      </c>
      <c r="H412" s="396" t="s">
        <v>15</v>
      </c>
      <c r="I412" s="396">
        <v>2009</v>
      </c>
      <c r="J412" s="396" t="s">
        <v>15</v>
      </c>
      <c r="K412" s="396">
        <v>2009</v>
      </c>
      <c r="L412" s="396" t="s">
        <v>15</v>
      </c>
      <c r="M412" s="375">
        <v>2011</v>
      </c>
      <c r="N412" s="397" t="s">
        <v>15</v>
      </c>
      <c r="O412" s="124"/>
      <c r="P412" s="124"/>
      <c r="Q412" s="132"/>
      <c r="R412" s="132"/>
      <c r="S412" s="122"/>
      <c r="T412" s="122"/>
    </row>
    <row r="413" spans="2:20">
      <c r="B413" s="365" t="s">
        <v>0</v>
      </c>
      <c r="C413" s="420">
        <v>16443.330000000002</v>
      </c>
      <c r="D413" s="367">
        <f>100*C413/5413.47</f>
        <v>303.74842753354136</v>
      </c>
      <c r="E413" s="420">
        <v>16200</v>
      </c>
      <c r="F413" s="420">
        <f t="shared" ref="F413:F424" si="382">100*E413/5413.47</f>
        <v>299.25352869785922</v>
      </c>
      <c r="G413" s="420">
        <v>19872.5</v>
      </c>
      <c r="H413" s="420">
        <f t="shared" ref="H413:H423" si="383">100*G413/5413.47</f>
        <v>367.09356475606216</v>
      </c>
      <c r="I413" s="368">
        <v>21600</v>
      </c>
      <c r="J413" s="420">
        <f t="shared" ref="J413:J424" si="384">100*I413/5413.47</f>
        <v>399.00470493047897</v>
      </c>
      <c r="K413" s="368">
        <v>22690.5</v>
      </c>
      <c r="L413" s="420">
        <f t="shared" ref="L413:L424" si="385">100*K413/5413.47</f>
        <v>419.14890079745521</v>
      </c>
      <c r="M413" s="368">
        <v>22761.857142857141</v>
      </c>
      <c r="N413" s="420">
        <f t="shared" ref="N413:N424" si="386">100*M413/5413.47</f>
        <v>420.46704134052908</v>
      </c>
      <c r="O413" s="122"/>
      <c r="P413" s="174">
        <f>+G419/G414-1</f>
        <v>5.5991618127574805E-2</v>
      </c>
      <c r="Q413" s="132"/>
      <c r="R413" s="132"/>
      <c r="S413" s="122"/>
      <c r="T413" s="122"/>
    </row>
    <row r="414" spans="2:20">
      <c r="B414" s="320" t="s">
        <v>1</v>
      </c>
      <c r="C414" s="385">
        <v>15837.14</v>
      </c>
      <c r="D414" s="345">
        <f>100*C414/5413.47</f>
        <v>292.55061910382801</v>
      </c>
      <c r="E414" s="385">
        <v>16125</v>
      </c>
      <c r="F414" s="385">
        <f t="shared" si="382"/>
        <v>297.86809569462838</v>
      </c>
      <c r="G414" s="421">
        <v>20111.428571428572</v>
      </c>
      <c r="H414" s="385">
        <f t="shared" si="383"/>
        <v>371.50715846635472</v>
      </c>
      <c r="I414" s="311">
        <v>21568.75</v>
      </c>
      <c r="J414" s="385">
        <f t="shared" si="384"/>
        <v>398.42744117913276</v>
      </c>
      <c r="K414" s="311">
        <v>22690.5</v>
      </c>
      <c r="L414" s="356">
        <f t="shared" si="385"/>
        <v>419.14890079745521</v>
      </c>
      <c r="M414" s="311">
        <v>22761.857142857141</v>
      </c>
      <c r="N414" s="356">
        <f t="shared" si="386"/>
        <v>420.46704134052908</v>
      </c>
      <c r="O414" s="152"/>
      <c r="P414" s="152"/>
      <c r="Q414" s="132"/>
      <c r="R414" s="132"/>
      <c r="S414" s="122"/>
      <c r="T414" s="122"/>
    </row>
    <row r="415" spans="2:20">
      <c r="B415" s="320" t="s">
        <v>2</v>
      </c>
      <c r="C415" s="385">
        <v>15790.86</v>
      </c>
      <c r="D415" s="345">
        <f t="shared" ref="D415:D424" si="387">100*C415/5413.47</f>
        <v>291.69571457863441</v>
      </c>
      <c r="E415" s="385">
        <v>16358.33</v>
      </c>
      <c r="F415" s="385">
        <f t="shared" si="382"/>
        <v>302.17827012987971</v>
      </c>
      <c r="G415" s="385">
        <v>20342.857142857141</v>
      </c>
      <c r="H415" s="385">
        <f t="shared" si="383"/>
        <v>375.78220887632403</v>
      </c>
      <c r="I415" s="311">
        <v>21600</v>
      </c>
      <c r="J415" s="385">
        <f t="shared" si="384"/>
        <v>399.00470493047897</v>
      </c>
      <c r="K415" s="311">
        <v>21409.25</v>
      </c>
      <c r="L415" s="356">
        <f t="shared" si="385"/>
        <v>395.48108699226185</v>
      </c>
      <c r="M415" s="311">
        <v>22761.857142857141</v>
      </c>
      <c r="N415" s="356">
        <f t="shared" si="386"/>
        <v>420.46704134052908</v>
      </c>
      <c r="O415" s="152"/>
      <c r="P415" s="152"/>
      <c r="Q415" s="132"/>
      <c r="R415" s="132"/>
      <c r="S415" s="122"/>
      <c r="T415" s="122"/>
    </row>
    <row r="416" spans="2:20">
      <c r="B416" s="320" t="s">
        <v>3</v>
      </c>
      <c r="C416" s="385">
        <v>15936.67</v>
      </c>
      <c r="D416" s="345">
        <f t="shared" si="387"/>
        <v>294.38918106131558</v>
      </c>
      <c r="E416" s="385">
        <v>16800.669999999998</v>
      </c>
      <c r="F416" s="385">
        <f t="shared" si="382"/>
        <v>310.34936925853469</v>
      </c>
      <c r="G416" s="385">
        <v>20362.5</v>
      </c>
      <c r="H416" s="385">
        <f t="shared" si="383"/>
        <v>376.14506037717024</v>
      </c>
      <c r="I416" s="311">
        <v>21568.75</v>
      </c>
      <c r="J416" s="385">
        <f t="shared" si="384"/>
        <v>398.42744117913276</v>
      </c>
      <c r="K416" s="311">
        <v>20659.25</v>
      </c>
      <c r="L416" s="370">
        <f t="shared" si="385"/>
        <v>381.62675695995358</v>
      </c>
      <c r="M416" s="311">
        <v>22998.857142857141</v>
      </c>
      <c r="N416" s="370">
        <f t="shared" si="386"/>
        <v>424.8450096307385</v>
      </c>
      <c r="O416" s="156"/>
      <c r="P416" s="156"/>
      <c r="Q416" s="132"/>
      <c r="R416" s="132"/>
      <c r="S416" s="122"/>
      <c r="T416" s="122"/>
    </row>
    <row r="417" spans="2:20">
      <c r="B417" s="320" t="s">
        <v>4</v>
      </c>
      <c r="C417" s="385">
        <v>16416.2</v>
      </c>
      <c r="D417" s="345">
        <f t="shared" si="387"/>
        <v>303.24727023517261</v>
      </c>
      <c r="E417" s="385">
        <v>16666.669999999998</v>
      </c>
      <c r="F417" s="385">
        <f t="shared" si="382"/>
        <v>307.87406229276223</v>
      </c>
      <c r="G417" s="385">
        <v>20650</v>
      </c>
      <c r="H417" s="385">
        <f t="shared" si="383"/>
        <v>381.45588688955513</v>
      </c>
      <c r="I417" s="311">
        <v>21685.714285714286</v>
      </c>
      <c r="J417" s="370">
        <f t="shared" si="384"/>
        <v>400.58805693417133</v>
      </c>
      <c r="K417" s="311">
        <v>21182</v>
      </c>
      <c r="L417" s="370">
        <f t="shared" si="385"/>
        <v>391.28322499247247</v>
      </c>
      <c r="M417" s="311">
        <v>22998.857142857141</v>
      </c>
      <c r="N417" s="370">
        <f t="shared" si="386"/>
        <v>424.8450096307385</v>
      </c>
      <c r="O417" s="156"/>
      <c r="P417" s="156"/>
      <c r="Q417" s="132"/>
      <c r="R417" s="132"/>
      <c r="S417" s="122"/>
      <c r="T417" s="122"/>
    </row>
    <row r="418" spans="2:20">
      <c r="B418" s="320" t="s">
        <v>5</v>
      </c>
      <c r="C418" s="385">
        <v>16441.830000000002</v>
      </c>
      <c r="D418" s="345">
        <f t="shared" si="387"/>
        <v>303.72071887347676</v>
      </c>
      <c r="E418" s="385">
        <v>16870</v>
      </c>
      <c r="F418" s="385">
        <f t="shared" si="382"/>
        <v>311.6300635267213</v>
      </c>
      <c r="G418" s="385">
        <v>20762.5</v>
      </c>
      <c r="H418" s="385">
        <f t="shared" si="383"/>
        <v>383.53403639440137</v>
      </c>
      <c r="I418" s="311">
        <v>21875</v>
      </c>
      <c r="J418" s="370">
        <f t="shared" si="384"/>
        <v>404.08462594232532</v>
      </c>
      <c r="K418" s="311">
        <v>21182</v>
      </c>
      <c r="L418" s="370">
        <f t="shared" si="385"/>
        <v>391.28322499247247</v>
      </c>
      <c r="M418" s="311">
        <v>22998.857142857141</v>
      </c>
      <c r="N418" s="370">
        <f t="shared" si="386"/>
        <v>424.8450096307385</v>
      </c>
      <c r="O418" s="156"/>
      <c r="P418" s="156"/>
      <c r="Q418" s="132"/>
      <c r="R418" s="132"/>
      <c r="S418" s="122"/>
      <c r="T418" s="122"/>
    </row>
    <row r="419" spans="2:20">
      <c r="B419" s="320" t="s">
        <v>6</v>
      </c>
      <c r="C419" s="385">
        <v>16702.669999999998</v>
      </c>
      <c r="D419" s="345">
        <f t="shared" si="387"/>
        <v>308.53907013431308</v>
      </c>
      <c r="E419" s="385">
        <v>20045</v>
      </c>
      <c r="F419" s="385">
        <f t="shared" si="382"/>
        <v>370.28006066349309</v>
      </c>
      <c r="G419" s="385">
        <v>21237.5</v>
      </c>
      <c r="H419" s="385">
        <f t="shared" si="383"/>
        <v>392.30844541486329</v>
      </c>
      <c r="I419" s="311">
        <v>21912.5</v>
      </c>
      <c r="J419" s="370">
        <f t="shared" si="384"/>
        <v>404.77734244394077</v>
      </c>
      <c r="K419" s="311">
        <v>21853.428571428572</v>
      </c>
      <c r="L419" s="370">
        <f t="shared" si="385"/>
        <v>403.68614902139609</v>
      </c>
      <c r="M419" s="311">
        <v>22998.857142857141</v>
      </c>
      <c r="N419" s="370">
        <f t="shared" si="386"/>
        <v>424.8450096307385</v>
      </c>
      <c r="O419" s="156"/>
      <c r="P419" s="156"/>
      <c r="Q419" s="132"/>
      <c r="R419" s="132"/>
      <c r="S419" s="122"/>
      <c r="T419" s="122"/>
    </row>
    <row r="420" spans="2:20">
      <c r="B420" s="320" t="s">
        <v>7</v>
      </c>
      <c r="C420" s="385">
        <v>16524</v>
      </c>
      <c r="D420" s="345">
        <f t="shared" si="387"/>
        <v>305.23859927181638</v>
      </c>
      <c r="E420" s="385">
        <v>18576</v>
      </c>
      <c r="F420" s="385">
        <f t="shared" si="382"/>
        <v>343.14404624021188</v>
      </c>
      <c r="G420" s="385">
        <v>21335.714285714286</v>
      </c>
      <c r="H420" s="385">
        <f t="shared" si="383"/>
        <v>394.12270291909414</v>
      </c>
      <c r="I420" s="311">
        <v>22006.25</v>
      </c>
      <c r="J420" s="370">
        <f t="shared" si="384"/>
        <v>406.50913369797928</v>
      </c>
      <c r="K420" s="311">
        <v>21853.428571428572</v>
      </c>
      <c r="L420" s="370">
        <f t="shared" si="385"/>
        <v>403.68614902139609</v>
      </c>
      <c r="M420" s="311">
        <v>22998.857142857141</v>
      </c>
      <c r="N420" s="370">
        <f t="shared" si="386"/>
        <v>424.8450096307385</v>
      </c>
      <c r="O420" s="156"/>
      <c r="P420" s="156"/>
      <c r="Q420" s="132"/>
      <c r="R420" s="132"/>
      <c r="S420" s="122"/>
      <c r="T420" s="122"/>
    </row>
    <row r="421" spans="2:20">
      <c r="B421" s="320" t="s">
        <v>8</v>
      </c>
      <c r="C421" s="385">
        <v>16580</v>
      </c>
      <c r="D421" s="345">
        <f t="shared" si="387"/>
        <v>306.27305591422873</v>
      </c>
      <c r="E421" s="385">
        <v>19022.5</v>
      </c>
      <c r="F421" s="385">
        <f t="shared" si="382"/>
        <v>351.39199071944608</v>
      </c>
      <c r="G421" s="385">
        <v>21356.25</v>
      </c>
      <c r="H421" s="385">
        <f t="shared" si="383"/>
        <v>394.50204766997877</v>
      </c>
      <c r="I421" s="311">
        <v>22035.714285714286</v>
      </c>
      <c r="J421" s="370">
        <f t="shared" si="384"/>
        <v>407.05341094924853</v>
      </c>
      <c r="K421" s="311">
        <v>22282</v>
      </c>
      <c r="L421" s="370">
        <f t="shared" si="385"/>
        <v>411.60290903985799</v>
      </c>
      <c r="M421" s="311">
        <v>22998.857142857141</v>
      </c>
      <c r="N421" s="370">
        <f t="shared" si="386"/>
        <v>424.8450096307385</v>
      </c>
      <c r="O421" s="156"/>
      <c r="P421" s="156"/>
      <c r="Q421" s="132"/>
      <c r="R421" s="132"/>
      <c r="S421" s="122"/>
      <c r="T421" s="122"/>
    </row>
    <row r="422" spans="2:20">
      <c r="B422" s="320" t="s">
        <v>9</v>
      </c>
      <c r="C422" s="385">
        <v>16866.669999999998</v>
      </c>
      <c r="D422" s="345">
        <f t="shared" si="387"/>
        <v>311.5685503013778</v>
      </c>
      <c r="E422" s="385">
        <v>19200</v>
      </c>
      <c r="F422" s="385">
        <f t="shared" si="382"/>
        <v>354.67084882709241</v>
      </c>
      <c r="G422" s="385">
        <v>21456.25</v>
      </c>
      <c r="H422" s="385">
        <f t="shared" si="383"/>
        <v>396.34929167428652</v>
      </c>
      <c r="I422" s="311">
        <v>22468.75</v>
      </c>
      <c r="J422" s="370">
        <f t="shared" si="384"/>
        <v>415.05263721790271</v>
      </c>
      <c r="K422" s="311">
        <v>22282</v>
      </c>
      <c r="L422" s="370">
        <f t="shared" si="385"/>
        <v>411.60290903985799</v>
      </c>
      <c r="M422" s="311">
        <v>22998.857142857141</v>
      </c>
      <c r="N422" s="370">
        <f t="shared" si="386"/>
        <v>424.8450096307385</v>
      </c>
      <c r="O422" s="156"/>
      <c r="P422" s="156"/>
      <c r="Q422" s="132"/>
      <c r="R422" s="132"/>
      <c r="S422" s="122"/>
      <c r="T422" s="122"/>
    </row>
    <row r="423" spans="2:20">
      <c r="B423" s="320" t="s">
        <v>10</v>
      </c>
      <c r="C423" s="422">
        <v>16392.86</v>
      </c>
      <c r="D423" s="345">
        <f t="shared" si="387"/>
        <v>302.81612348456719</v>
      </c>
      <c r="E423" s="385">
        <v>19185</v>
      </c>
      <c r="F423" s="385">
        <f t="shared" si="382"/>
        <v>354.39376222644626</v>
      </c>
      <c r="G423" s="385">
        <v>21441.666666666668</v>
      </c>
      <c r="H423" s="385">
        <f t="shared" si="383"/>
        <v>396.07990192365838</v>
      </c>
      <c r="I423" s="311">
        <v>22768.75</v>
      </c>
      <c r="J423" s="370">
        <f t="shared" si="384"/>
        <v>420.59436923082603</v>
      </c>
      <c r="K423" s="311">
        <v>22282</v>
      </c>
      <c r="L423" s="370">
        <f t="shared" si="385"/>
        <v>411.60290903985799</v>
      </c>
      <c r="M423" s="311">
        <v>22998.857142857141</v>
      </c>
      <c r="N423" s="370">
        <f>100*M423/5413.47</f>
        <v>424.8450096307385</v>
      </c>
      <c r="O423" s="156"/>
      <c r="P423" s="156"/>
      <c r="Q423" s="132"/>
      <c r="R423" s="132"/>
      <c r="S423" s="122"/>
      <c r="T423" s="122"/>
    </row>
    <row r="424" spans="2:20">
      <c r="B424" s="320" t="s">
        <v>11</v>
      </c>
      <c r="C424" s="385">
        <v>17120</v>
      </c>
      <c r="D424" s="345">
        <f t="shared" si="387"/>
        <v>316.24817353749074</v>
      </c>
      <c r="E424" s="385">
        <v>19225.714285714286</v>
      </c>
      <c r="F424" s="385">
        <f t="shared" si="382"/>
        <v>355.14585442820015</v>
      </c>
      <c r="G424" s="385">
        <v>21575</v>
      </c>
      <c r="H424" s="385">
        <f>100*G424/5413.47</f>
        <v>398.542893929402</v>
      </c>
      <c r="I424" s="311">
        <v>23012.5</v>
      </c>
      <c r="J424" s="370">
        <f t="shared" si="384"/>
        <v>425.09702649132623</v>
      </c>
      <c r="K424" s="311">
        <v>22282</v>
      </c>
      <c r="L424" s="370">
        <f t="shared" si="385"/>
        <v>411.60290903985799</v>
      </c>
      <c r="M424" s="311">
        <v>22998.857142857141</v>
      </c>
      <c r="N424" s="370">
        <f t="shared" si="386"/>
        <v>424.8450096307385</v>
      </c>
      <c r="O424" s="156"/>
      <c r="P424" s="156"/>
      <c r="Q424" s="132"/>
      <c r="R424" s="132"/>
      <c r="S424" s="122"/>
      <c r="T424" s="122"/>
    </row>
    <row r="425" spans="2:20">
      <c r="B425" s="119"/>
      <c r="C425" s="122"/>
      <c r="D425" s="132"/>
      <c r="E425" s="122"/>
      <c r="F425" s="122"/>
      <c r="G425" s="122"/>
      <c r="H425" s="122"/>
      <c r="I425" s="118"/>
      <c r="J425" s="156"/>
      <c r="K425" s="118"/>
      <c r="L425" s="156"/>
      <c r="M425" s="118"/>
      <c r="N425" s="156"/>
      <c r="O425" s="156"/>
      <c r="P425" s="156"/>
      <c r="Q425" s="132"/>
      <c r="R425" s="132"/>
      <c r="S425" s="122"/>
      <c r="T425" s="122"/>
    </row>
    <row r="426" spans="2:20">
      <c r="B426" s="119"/>
      <c r="C426" s="122"/>
      <c r="D426" s="132"/>
      <c r="E426" s="122"/>
      <c r="F426" s="122"/>
      <c r="G426" s="122"/>
      <c r="H426" s="122"/>
      <c r="I426" s="118"/>
      <c r="J426" s="156"/>
      <c r="K426" s="118"/>
      <c r="L426" s="156"/>
      <c r="M426" s="118"/>
      <c r="N426" s="156"/>
      <c r="O426" s="156"/>
      <c r="P426" s="156"/>
      <c r="Q426" s="132"/>
      <c r="R426" s="132"/>
      <c r="S426" s="122"/>
      <c r="T426" s="122"/>
    </row>
    <row r="427" spans="2:20" ht="18.75" thickBot="1">
      <c r="B427" s="1296" t="s">
        <v>296</v>
      </c>
      <c r="C427" s="1297"/>
      <c r="D427" s="1297"/>
      <c r="E427" s="1297"/>
      <c r="F427" s="1297"/>
      <c r="G427" s="1297"/>
      <c r="H427" s="1297"/>
      <c r="I427" s="1297"/>
      <c r="J427" s="1297"/>
      <c r="K427" s="1297"/>
      <c r="L427" s="1297"/>
      <c r="M427" s="1297"/>
      <c r="N427" s="1297"/>
      <c r="O427" s="1297"/>
      <c r="P427" s="1297"/>
      <c r="Q427" s="1297"/>
      <c r="R427" s="1297"/>
      <c r="S427" s="1297"/>
      <c r="T427" s="1297"/>
    </row>
    <row r="428" spans="2:20" ht="15.75" thickBot="1">
      <c r="B428" s="1308">
        <v>2012</v>
      </c>
      <c r="C428" s="1309"/>
      <c r="D428" s="397" t="s">
        <v>15</v>
      </c>
      <c r="E428" s="646">
        <v>2013</v>
      </c>
      <c r="F428" s="397" t="s">
        <v>15</v>
      </c>
      <c r="G428" s="646">
        <v>2014</v>
      </c>
      <c r="H428" s="397" t="s">
        <v>15</v>
      </c>
      <c r="I428" s="646">
        <v>2015</v>
      </c>
      <c r="J428" s="397" t="s">
        <v>15</v>
      </c>
      <c r="K428" s="646">
        <v>2016</v>
      </c>
      <c r="L428" s="397" t="s">
        <v>15</v>
      </c>
      <c r="M428" s="646">
        <v>2017</v>
      </c>
      <c r="N428" s="397" t="s">
        <v>15</v>
      </c>
      <c r="O428" s="646">
        <v>2018</v>
      </c>
      <c r="P428" s="397" t="s">
        <v>15</v>
      </c>
      <c r="Q428" s="646">
        <v>2019</v>
      </c>
      <c r="R428" s="397" t="s">
        <v>15</v>
      </c>
      <c r="S428" s="1267">
        <v>2020</v>
      </c>
      <c r="T428" s="397" t="s">
        <v>15</v>
      </c>
    </row>
    <row r="429" spans="2:20">
      <c r="B429" s="306" t="s">
        <v>0</v>
      </c>
      <c r="C429" s="388">
        <v>22998.857142857141</v>
      </c>
      <c r="D429" s="343">
        <f t="shared" ref="D429:D436" si="388">100*C429/5413.47</f>
        <v>424.8450096307385</v>
      </c>
      <c r="E429" s="658">
        <f>[9]PLANCUSr!$H$28</f>
        <v>22801.5</v>
      </c>
      <c r="F429" s="659">
        <f t="shared" ref="F429:F434" si="389">100*E429/5413.47</f>
        <v>421.19934164223685</v>
      </c>
      <c r="G429" s="658">
        <f>[10]PLANCUSr!$H$28</f>
        <v>22801.5</v>
      </c>
      <c r="H429" s="659">
        <f t="shared" ref="H429:H434" si="390">100*G429/5413.47</f>
        <v>421.19934164223685</v>
      </c>
      <c r="I429" s="658">
        <f>[11]PLANCUSr!$H$28</f>
        <v>22696</v>
      </c>
      <c r="J429" s="659">
        <f t="shared" ref="J429:J434" si="391">100*I429/5413.47</f>
        <v>419.25049921769215</v>
      </c>
      <c r="K429" s="658">
        <f>[12]PLANCUSr!$H$28</f>
        <v>23053.924999999999</v>
      </c>
      <c r="L429" s="659">
        <f t="shared" ref="L429" si="392">100*K429/5413.47</f>
        <v>425.86224732011073</v>
      </c>
      <c r="M429" s="658">
        <f>[13]PLANCUSr!$H$28</f>
        <v>23165.05</v>
      </c>
      <c r="N429" s="659">
        <f t="shared" ref="N429" si="393">100*M429/5413.47</f>
        <v>427.91499721989777</v>
      </c>
      <c r="O429" s="658">
        <f>[14]PLANCUSr!$H$28</f>
        <v>23540.05</v>
      </c>
      <c r="P429" s="659">
        <f t="shared" ref="P429" si="394">100*O429/5413.47</f>
        <v>434.84216223605188</v>
      </c>
      <c r="Q429" s="658">
        <f>[15]PLANCUSr!$H$28</f>
        <v>24226.524999999998</v>
      </c>
      <c r="R429" s="659">
        <f t="shared" ref="R429" si="395">100*Q429/5413.47</f>
        <v>447.52303051462371</v>
      </c>
      <c r="S429" s="658">
        <f>[16]PLANCUSr!$H$28</f>
        <v>24693.587499999998</v>
      </c>
      <c r="T429" s="659">
        <f t="shared" ref="T429" si="396">100*S429/5413.47</f>
        <v>456.15081454224367</v>
      </c>
    </row>
    <row r="430" spans="2:20">
      <c r="B430" s="310" t="s">
        <v>1</v>
      </c>
      <c r="C430" s="385">
        <v>23235.857142857141</v>
      </c>
      <c r="D430" s="346">
        <f t="shared" si="388"/>
        <v>429.22297792094793</v>
      </c>
      <c r="E430" s="660">
        <f>[17]PLANCUSr!$H$28</f>
        <v>22801.5</v>
      </c>
      <c r="F430" s="346">
        <f t="shared" si="389"/>
        <v>421.19934164223685</v>
      </c>
      <c r="G430" s="660">
        <f>[18]PLANCUSr!$H$28</f>
        <v>22801.5</v>
      </c>
      <c r="H430" s="346">
        <f t="shared" si="390"/>
        <v>421.19934164223685</v>
      </c>
      <c r="I430" s="660">
        <f>[19]PLANCUSr!$H$28</f>
        <v>22696</v>
      </c>
      <c r="J430" s="346">
        <f t="shared" si="391"/>
        <v>419.25049921769215</v>
      </c>
      <c r="K430" s="660">
        <f>[20]PLANCUSr!$H$28</f>
        <v>23053.924999999999</v>
      </c>
      <c r="L430" s="346">
        <f t="shared" ref="L430" si="397">100*K430/5413.47</f>
        <v>425.86224732011073</v>
      </c>
      <c r="M430" s="660">
        <f>[21]PLANCUSr!$H$28</f>
        <v>23165.05</v>
      </c>
      <c r="N430" s="346">
        <f t="shared" ref="N430" si="398">100*M430/5413.47</f>
        <v>427.91499721989777</v>
      </c>
      <c r="O430" s="660">
        <f>[22]PLANCUSr!$H$28</f>
        <v>23540.05</v>
      </c>
      <c r="P430" s="346">
        <f t="shared" ref="P430" si="399">100*O430/5413.47</f>
        <v>434.84216223605188</v>
      </c>
      <c r="Q430" s="660">
        <f>[23]PLANCUSr!$H$28</f>
        <v>24693.587499999998</v>
      </c>
      <c r="R430" s="346">
        <f t="shared" ref="R430" si="400">100*Q430/5413.47</f>
        <v>456.15081454224367</v>
      </c>
      <c r="S430" s="660">
        <f>[24]PLANCUSr!$H$28</f>
        <v>24693.587499999998</v>
      </c>
      <c r="T430" s="346">
        <f t="shared" ref="T430" si="401">100*S430/5413.47</f>
        <v>456.15081454224367</v>
      </c>
    </row>
    <row r="431" spans="2:20">
      <c r="B431" s="310" t="s">
        <v>2</v>
      </c>
      <c r="C431" s="385">
        <v>23556.375</v>
      </c>
      <c r="D431" s="346">
        <f t="shared" si="388"/>
        <v>435.14372481975516</v>
      </c>
      <c r="E431" s="660">
        <f>[25]PLANCUSr!$H$28</f>
        <v>22801.5</v>
      </c>
      <c r="F431" s="346">
        <f t="shared" si="389"/>
        <v>421.19934164223685</v>
      </c>
      <c r="G431" s="660">
        <f>[26]PLANCUSr!$H$28</f>
        <v>22926.5</v>
      </c>
      <c r="H431" s="346">
        <f t="shared" si="390"/>
        <v>423.50839664762157</v>
      </c>
      <c r="I431" s="660">
        <f>[27]PLANCUSr!$H$28</f>
        <v>22696</v>
      </c>
      <c r="J431" s="346">
        <f t="shared" si="391"/>
        <v>419.25049921769215</v>
      </c>
      <c r="K431" s="660">
        <f>[28]PLANCUSr!$H$28</f>
        <v>23053.924999999999</v>
      </c>
      <c r="L431" s="346">
        <f t="shared" ref="L431" si="402">100*K431/5413.47</f>
        <v>425.86224732011073</v>
      </c>
      <c r="M431" s="660">
        <f>[29]PLANCUSr!$H$28</f>
        <v>23165.05</v>
      </c>
      <c r="N431" s="346">
        <f t="shared" ref="N431" si="403">100*M431/5413.47</f>
        <v>427.91499721989777</v>
      </c>
      <c r="O431" s="660">
        <f>[30]PLANCUSr!$H$28</f>
        <v>23540.05</v>
      </c>
      <c r="P431" s="346">
        <f t="shared" ref="P431" si="404">100*O431/5413.47</f>
        <v>434.84216223605188</v>
      </c>
      <c r="Q431" s="660">
        <f>[31]PLANCUSr!$H$28</f>
        <v>24693.587499999998</v>
      </c>
      <c r="R431" s="346">
        <f t="shared" ref="R431" si="405">100*Q431/5413.47</f>
        <v>456.15081454224367</v>
      </c>
      <c r="S431" s="660">
        <f>[32]PLANCUSr!$H$28</f>
        <v>24693.587499999998</v>
      </c>
      <c r="T431" s="346">
        <f t="shared" ref="T431" si="406">100*S431/5413.47</f>
        <v>456.15081454224367</v>
      </c>
    </row>
    <row r="432" spans="2:20">
      <c r="B432" s="310" t="s">
        <v>3</v>
      </c>
      <c r="C432" s="385">
        <v>23556.375</v>
      </c>
      <c r="D432" s="346">
        <f t="shared" si="388"/>
        <v>435.14372481975516</v>
      </c>
      <c r="E432" s="660">
        <f>[33]PLANCUSr!$H$28</f>
        <v>22801.5</v>
      </c>
      <c r="F432" s="346">
        <f t="shared" si="389"/>
        <v>421.19934164223685</v>
      </c>
      <c r="G432" s="660">
        <f>[34]PLANCUSr!$H$28</f>
        <v>23126.5</v>
      </c>
      <c r="H432" s="346">
        <f t="shared" si="390"/>
        <v>427.20288465623713</v>
      </c>
      <c r="I432" s="660">
        <f>[35]PLANCUSr!$H$28</f>
        <v>22696</v>
      </c>
      <c r="J432" s="346">
        <f t="shared" si="391"/>
        <v>419.25049921769215</v>
      </c>
      <c r="K432" s="660">
        <f>[36]PLANCUSr!$H$28</f>
        <v>23053.924999999999</v>
      </c>
      <c r="L432" s="346">
        <f t="shared" ref="L432" si="407">100*K432/5413.47</f>
        <v>425.86224732011073</v>
      </c>
      <c r="M432" s="660">
        <f>[37]PLANCUSr!$H$28</f>
        <v>23165.05</v>
      </c>
      <c r="N432" s="346">
        <f t="shared" ref="N432" si="408">100*M432/5413.47</f>
        <v>427.91499721989777</v>
      </c>
      <c r="O432" s="660">
        <f>[38]PLANCUSr!$H$28</f>
        <v>23910.05</v>
      </c>
      <c r="P432" s="346">
        <f t="shared" ref="P432" si="409">100*O432/5413.47</f>
        <v>441.67696505199063</v>
      </c>
      <c r="Q432" s="660">
        <f>[39]PLANCUSr!$H$28</f>
        <v>24693.587499999998</v>
      </c>
      <c r="R432" s="346">
        <f t="shared" ref="R432" si="410">100*Q432/5413.47</f>
        <v>456.15081454224367</v>
      </c>
      <c r="S432" s="660">
        <f>[40]PLANCUSr!$H$28</f>
        <v>24693.587499999998</v>
      </c>
      <c r="T432" s="346">
        <f t="shared" ref="T432" si="411">100*S432/5413.47</f>
        <v>456.15081454224367</v>
      </c>
    </row>
    <row r="433" spans="2:20">
      <c r="B433" s="310" t="s">
        <v>4</v>
      </c>
      <c r="C433" s="385">
        <v>23556.375</v>
      </c>
      <c r="D433" s="346">
        <f t="shared" si="388"/>
        <v>435.14372481975516</v>
      </c>
      <c r="E433" s="660">
        <f>[41]PLANCUSr!$H$28</f>
        <v>22801.5</v>
      </c>
      <c r="F433" s="346">
        <f t="shared" si="389"/>
        <v>421.19934164223685</v>
      </c>
      <c r="G433" s="660">
        <f>[42]PLANCUSr!$H$28</f>
        <v>23147.25</v>
      </c>
      <c r="H433" s="346">
        <f t="shared" si="390"/>
        <v>427.586187787131</v>
      </c>
      <c r="I433" s="660">
        <f>[43]PLANCUSr!$H$28</f>
        <v>22696</v>
      </c>
      <c r="J433" s="346">
        <f t="shared" si="391"/>
        <v>419.25049921769215</v>
      </c>
      <c r="K433" s="660">
        <f>[44]PLANCUSr!$H$28</f>
        <v>23053.924999999999</v>
      </c>
      <c r="L433" s="346">
        <f t="shared" ref="L433" si="412">100*K433/5413.47</f>
        <v>425.86224732011073</v>
      </c>
      <c r="M433" s="660">
        <f>[45]PLANCUSr!$H$28</f>
        <v>23165.05</v>
      </c>
      <c r="N433" s="346">
        <f t="shared" ref="N433" si="413">100*M433/5413.47</f>
        <v>427.91499721989777</v>
      </c>
      <c r="O433" s="660">
        <f>[46]PLANCUSr!$H$28</f>
        <v>23910.05</v>
      </c>
      <c r="P433" s="346">
        <f t="shared" ref="P433" si="414">100*O433/5413.47</f>
        <v>441.67696505199063</v>
      </c>
      <c r="Q433" s="660">
        <f>[47]PLANCUSr!$H$28</f>
        <v>24693.587499999998</v>
      </c>
      <c r="R433" s="346">
        <f t="shared" ref="R433" si="415">100*Q433/5413.47</f>
        <v>456.15081454224367</v>
      </c>
      <c r="S433" s="660">
        <f>[48]PLANCUSr!$H$28</f>
        <v>25428.587499999998</v>
      </c>
      <c r="T433" s="346">
        <f t="shared" ref="T433" si="416">100*S433/5413.47</f>
        <v>469.72805797390583</v>
      </c>
    </row>
    <row r="434" spans="2:20">
      <c r="B434" s="310" t="s">
        <v>5</v>
      </c>
      <c r="C434" s="385">
        <v>23556.375</v>
      </c>
      <c r="D434" s="346">
        <f t="shared" si="388"/>
        <v>435.14372481975516</v>
      </c>
      <c r="E434" s="660">
        <f>[49]PLANCUSr!$H$28</f>
        <v>22801.5</v>
      </c>
      <c r="F434" s="346">
        <f t="shared" si="389"/>
        <v>421.19934164223685</v>
      </c>
      <c r="G434" s="660">
        <f>[50]PLANCUSr!$H$28</f>
        <v>23173.5</v>
      </c>
      <c r="H434" s="346">
        <f t="shared" si="390"/>
        <v>428.07108933826174</v>
      </c>
      <c r="I434" s="660">
        <f>[51]PLANCUSr!$H$28</f>
        <v>22696</v>
      </c>
      <c r="J434" s="346">
        <f t="shared" si="391"/>
        <v>419.25049921769215</v>
      </c>
      <c r="K434" s="660">
        <f>[52]PLANCUSr!$H$28</f>
        <v>23053.924999999999</v>
      </c>
      <c r="L434" s="346">
        <f t="shared" ref="L434" si="417">100*K434/5413.47</f>
        <v>425.86224732011073</v>
      </c>
      <c r="M434" s="660">
        <f>[53]PLANCUSr!$H$28</f>
        <v>23165.05</v>
      </c>
      <c r="N434" s="346">
        <f t="shared" ref="N434" si="418">100*M434/5413.47</f>
        <v>427.91499721989777</v>
      </c>
      <c r="O434" s="660">
        <f>[54]PLANCUSr!$H$28</f>
        <v>23910.05</v>
      </c>
      <c r="P434" s="346">
        <f t="shared" ref="P434" si="419">100*O434/5413.47</f>
        <v>441.67696505199063</v>
      </c>
      <c r="Q434" s="660">
        <f>[55]PLANCUSr!$H$28</f>
        <v>24693.587499999998</v>
      </c>
      <c r="R434" s="346">
        <f t="shared" ref="R434" si="420">100*Q434/5413.47</f>
        <v>456.15081454224367</v>
      </c>
      <c r="S434" s="660">
        <f>[56]PLANCUSr!$H$28</f>
        <v>25428.587499999998</v>
      </c>
      <c r="T434" s="346">
        <f t="shared" ref="T434" si="421">100*S434/5413.47</f>
        <v>469.72805797390583</v>
      </c>
    </row>
    <row r="435" spans="2:20">
      <c r="B435" s="310" t="s">
        <v>6</v>
      </c>
      <c r="C435" s="385">
        <f>[57]PLANCUSr!$H$28</f>
        <v>23414</v>
      </c>
      <c r="D435" s="346">
        <f t="shared" si="388"/>
        <v>432.51371116862197</v>
      </c>
      <c r="E435" s="660">
        <f>[58]PLANCUSr!$H$28</f>
        <v>22801.5</v>
      </c>
      <c r="F435" s="346">
        <f t="shared" ref="F435:F440" si="422">100*E435/5413.47</f>
        <v>421.19934164223685</v>
      </c>
      <c r="G435" s="660">
        <f>[59]PLANCUSr!$H$28</f>
        <v>22696</v>
      </c>
      <c r="H435" s="346">
        <f t="shared" ref="H435:H440" si="423">100*G435/5413.47</f>
        <v>419.25049921769215</v>
      </c>
      <c r="I435" s="660">
        <f>[60]PLANCUSr!$H$28</f>
        <v>22696</v>
      </c>
      <c r="J435" s="346">
        <f t="shared" ref="J435:J440" si="424">100*I435/5413.47</f>
        <v>419.25049921769215</v>
      </c>
      <c r="K435" s="660">
        <f>[61]PLANCUSr!$H$28</f>
        <v>23141.3</v>
      </c>
      <c r="L435" s="346">
        <f t="shared" ref="L435" si="425">100*K435/5413.47</f>
        <v>427.47627676887464</v>
      </c>
      <c r="M435" s="660">
        <f>[62]PLANCUSr!$H$28</f>
        <v>23165.05</v>
      </c>
      <c r="N435" s="346">
        <f t="shared" ref="N435" si="426">100*M435/5413.47</f>
        <v>427.91499721989777</v>
      </c>
      <c r="O435" s="660">
        <f>[63]PLANCUSr!$H$28</f>
        <v>23910.05</v>
      </c>
      <c r="P435" s="346">
        <f t="shared" ref="P435" si="427">100*O435/5413.47</f>
        <v>441.67696505199063</v>
      </c>
      <c r="Q435" s="660">
        <f>[64]PLANCUSr!$H$28</f>
        <v>24693.587499999998</v>
      </c>
      <c r="R435" s="346">
        <f t="shared" ref="R435" si="428">100*Q435/5413.47</f>
        <v>456.15081454224367</v>
      </c>
      <c r="S435" s="660">
        <f>[65]PLANCUSr!$H$28</f>
        <v>25428.587499999998</v>
      </c>
      <c r="T435" s="346">
        <f t="shared" ref="T435" si="429">100*S435/5413.47</f>
        <v>469.72805797390583</v>
      </c>
    </row>
    <row r="436" spans="2:20">
      <c r="B436" s="310" t="s">
        <v>7</v>
      </c>
      <c r="C436" s="385">
        <f>[66]PLANCUSr!$H$28</f>
        <v>23414</v>
      </c>
      <c r="D436" s="346">
        <f t="shared" si="388"/>
        <v>432.51371116862197</v>
      </c>
      <c r="E436" s="660">
        <f>[67]PLANCUSr!$H$28</f>
        <v>22801.5</v>
      </c>
      <c r="F436" s="346">
        <f t="shared" si="422"/>
        <v>421.19934164223685</v>
      </c>
      <c r="G436" s="660">
        <f>[68]PLANCUSr!$H$28</f>
        <v>22696</v>
      </c>
      <c r="H436" s="346">
        <f t="shared" si="423"/>
        <v>419.25049921769215</v>
      </c>
      <c r="I436" s="660">
        <f>[69]PLANCUSr!$H$28</f>
        <v>22696</v>
      </c>
      <c r="J436" s="346">
        <f t="shared" si="424"/>
        <v>419.25049921769215</v>
      </c>
      <c r="K436" s="660">
        <f>[70]PLANCUSr!$H$28</f>
        <v>23141.3</v>
      </c>
      <c r="L436" s="346">
        <f t="shared" ref="L436" si="430">100*K436/5413.47</f>
        <v>427.47627676887464</v>
      </c>
      <c r="M436" s="660">
        <f>[71]PLANCUSr!$H$28</f>
        <v>23540.05</v>
      </c>
      <c r="N436" s="346">
        <f t="shared" ref="N436" si="431">100*M436/5413.47</f>
        <v>434.84216223605188</v>
      </c>
      <c r="O436" s="660">
        <f>[72]PLANCUSr!$H$28</f>
        <v>23910.05</v>
      </c>
      <c r="P436" s="346">
        <f t="shared" ref="P436" si="432">100*O436/5413.47</f>
        <v>441.67696505199063</v>
      </c>
      <c r="Q436" s="660">
        <f>[73]PLANCUSr!$H$28</f>
        <v>24693.587499999998</v>
      </c>
      <c r="R436" s="346">
        <f t="shared" ref="R436" si="433">100*Q436/5413.47</f>
        <v>456.15081454224367</v>
      </c>
      <c r="S436" s="660">
        <f>[74]PLANCUSr!$H$28</f>
        <v>25428.587499999998</v>
      </c>
      <c r="T436" s="346">
        <f t="shared" ref="T436" si="434">100*S436/5413.47</f>
        <v>469.72805797390583</v>
      </c>
    </row>
    <row r="437" spans="2:20">
      <c r="B437" s="310" t="s">
        <v>8</v>
      </c>
      <c r="C437" s="385">
        <f>[75]PLANCUSr!$H$28</f>
        <v>22876.5</v>
      </c>
      <c r="D437" s="346">
        <f>100*C437/5413.47</f>
        <v>422.58477464546769</v>
      </c>
      <c r="E437" s="660">
        <f>[76]PLANCUSr!$H$28</f>
        <v>22801.5</v>
      </c>
      <c r="F437" s="346">
        <f t="shared" si="422"/>
        <v>421.19934164223685</v>
      </c>
      <c r="G437" s="660">
        <f>[77]PLANCUSr!$H$28</f>
        <v>22696</v>
      </c>
      <c r="H437" s="346">
        <f t="shared" si="423"/>
        <v>419.25049921769215</v>
      </c>
      <c r="I437" s="660">
        <f>[78]PLANCUSr!$H$28</f>
        <v>22696</v>
      </c>
      <c r="J437" s="346">
        <f t="shared" si="424"/>
        <v>419.25049921769215</v>
      </c>
      <c r="K437" s="660">
        <f>[79]PLANCUSr!$H$28</f>
        <v>23141.3</v>
      </c>
      <c r="L437" s="346">
        <f t="shared" ref="L437" si="435">100*K437/5413.47</f>
        <v>427.47627676887464</v>
      </c>
      <c r="M437" s="660">
        <f>[80]PLANCUSr!$H$28</f>
        <v>23540.05</v>
      </c>
      <c r="N437" s="346">
        <f t="shared" ref="N437" si="436">100*M437/5413.47</f>
        <v>434.84216223605188</v>
      </c>
      <c r="O437" s="660">
        <f>[81]PLANCUSr!$H$28</f>
        <v>23910.05</v>
      </c>
      <c r="P437" s="346">
        <f t="shared" ref="P437" si="437">100*O437/5413.47</f>
        <v>441.67696505199063</v>
      </c>
      <c r="Q437" s="660">
        <f>[82]PLANCUSr!$H$28</f>
        <v>24693.587499999998</v>
      </c>
      <c r="R437" s="346">
        <f t="shared" ref="R437" si="438">100*Q437/5413.47</f>
        <v>456.15081454224367</v>
      </c>
      <c r="S437" s="660">
        <f>[123]PLANCUSr!$H$28</f>
        <v>25428.587499999998</v>
      </c>
      <c r="T437" s="346">
        <f t="shared" ref="T437" si="439">100*S437/5413.47</f>
        <v>469.72805797390583</v>
      </c>
    </row>
    <row r="438" spans="2:20">
      <c r="B438" s="310" t="s">
        <v>9</v>
      </c>
      <c r="C438" s="385">
        <f>[83]PLANCUSr!$H$28</f>
        <v>22876.5</v>
      </c>
      <c r="D438" s="346">
        <f>100*C438/5413.47</f>
        <v>422.58477464546769</v>
      </c>
      <c r="E438" s="660">
        <f>[84]PLANCUSr!$H$28</f>
        <v>22801.5</v>
      </c>
      <c r="F438" s="346">
        <f t="shared" si="422"/>
        <v>421.19934164223685</v>
      </c>
      <c r="G438" s="660">
        <f>[85]PLANCUSr!$H$28</f>
        <v>22696</v>
      </c>
      <c r="H438" s="346">
        <f t="shared" si="423"/>
        <v>419.25049921769215</v>
      </c>
      <c r="I438" s="660">
        <f>[86]PLANCUSr!$H$28</f>
        <v>22696</v>
      </c>
      <c r="J438" s="346">
        <f t="shared" si="424"/>
        <v>419.25049921769215</v>
      </c>
      <c r="K438" s="660">
        <f>[87]PLANCUSr!$H$28</f>
        <v>23141.3</v>
      </c>
      <c r="L438" s="346">
        <f t="shared" ref="L438" si="440">100*K438/5413.47</f>
        <v>427.47627676887464</v>
      </c>
      <c r="M438" s="660">
        <f>[88]PLANCUSr!$H$28</f>
        <v>23540.05</v>
      </c>
      <c r="N438" s="346">
        <f t="shared" ref="N438" si="441">100*M438/5413.47</f>
        <v>434.84216223605188</v>
      </c>
      <c r="O438" s="660">
        <f>[89]PLANCUSr!$H$28</f>
        <v>24226.524999999998</v>
      </c>
      <c r="P438" s="346">
        <f t="shared" ref="P438" si="442">100*O438/5413.47</f>
        <v>447.52303051462371</v>
      </c>
      <c r="Q438" s="660">
        <f>[90]PLANCUSr!$H$28</f>
        <v>24693.587499999998</v>
      </c>
      <c r="R438" s="346">
        <f t="shared" ref="R438" si="443">100*Q438/5413.47</f>
        <v>456.15081454224367</v>
      </c>
      <c r="S438" s="660"/>
      <c r="T438" s="346"/>
    </row>
    <row r="439" spans="2:20">
      <c r="B439" s="310" t="s">
        <v>10</v>
      </c>
      <c r="C439" s="385">
        <f>[91]PLANCUSr!$H$28</f>
        <v>22801.5</v>
      </c>
      <c r="D439" s="346">
        <f>100*C439/5413.47</f>
        <v>421.19934164223685</v>
      </c>
      <c r="E439" s="660">
        <f>[92]PLANCUSr!$H$28</f>
        <v>22801.5</v>
      </c>
      <c r="F439" s="346">
        <f t="shared" si="422"/>
        <v>421.19934164223685</v>
      </c>
      <c r="G439" s="660">
        <f>[93]PLANCUSr!$H$28</f>
        <v>22696</v>
      </c>
      <c r="H439" s="346">
        <f t="shared" si="423"/>
        <v>419.25049921769215</v>
      </c>
      <c r="I439" s="660">
        <f>[94]PLANCUSr!$H$28</f>
        <v>22696</v>
      </c>
      <c r="J439" s="346">
        <f t="shared" si="424"/>
        <v>419.25049921769215</v>
      </c>
      <c r="K439" s="660">
        <f>[95]PLANCUSr!$H$28</f>
        <v>23141.3</v>
      </c>
      <c r="L439" s="346">
        <f t="shared" ref="L439" si="444">100*K439/5413.47</f>
        <v>427.47627676887464</v>
      </c>
      <c r="M439" s="660">
        <f>[96]PLANCUSr!$H$28</f>
        <v>23540.05</v>
      </c>
      <c r="N439" s="346">
        <f t="shared" ref="N439" si="445">100*M439/5413.47</f>
        <v>434.84216223605188</v>
      </c>
      <c r="O439" s="660">
        <f>[97]PLANCUSr!$H$28</f>
        <v>24226.524999999998</v>
      </c>
      <c r="P439" s="346">
        <f t="shared" ref="P439" si="446">100*O439/5413.47</f>
        <v>447.52303051462371</v>
      </c>
      <c r="Q439" s="660">
        <f>[98]PLANCUSr!$H$28</f>
        <v>24693.587499999998</v>
      </c>
      <c r="R439" s="346">
        <f t="shared" ref="R439" si="447">100*Q439/5413.47</f>
        <v>456.15081454224367</v>
      </c>
      <c r="S439" s="660"/>
      <c r="T439" s="346"/>
    </row>
    <row r="440" spans="2:20" ht="15.75" thickBot="1">
      <c r="B440" s="314" t="s">
        <v>11</v>
      </c>
      <c r="C440" s="386">
        <f>[99]PLANCUSr!$H$28</f>
        <v>22801.5</v>
      </c>
      <c r="D440" s="349">
        <f>100*C440/5413.47</f>
        <v>421.19934164223685</v>
      </c>
      <c r="E440" s="681">
        <f>[100]PLANCUSr!$H$28</f>
        <v>22801.5</v>
      </c>
      <c r="F440" s="349">
        <f t="shared" si="422"/>
        <v>421.19934164223685</v>
      </c>
      <c r="G440" s="681">
        <f>[101]PLANCUSr!$H$28</f>
        <v>22696</v>
      </c>
      <c r="H440" s="349">
        <f t="shared" si="423"/>
        <v>419.25049921769215</v>
      </c>
      <c r="I440" s="681">
        <f>[102]PLANCUSr!$H$28</f>
        <v>22696</v>
      </c>
      <c r="J440" s="349">
        <f t="shared" si="424"/>
        <v>419.25049921769215</v>
      </c>
      <c r="K440" s="681">
        <f>[103]PLANCUSr!$H$28</f>
        <v>23141.3</v>
      </c>
      <c r="L440" s="349">
        <f t="shared" ref="L440" si="448">100*K440/5413.47</f>
        <v>427.47627676887464</v>
      </c>
      <c r="M440" s="681">
        <f>[104]PLANCUSr!$H$28</f>
        <v>23540.05</v>
      </c>
      <c r="N440" s="349">
        <f t="shared" ref="N440" si="449">100*M440/5413.47</f>
        <v>434.84216223605188</v>
      </c>
      <c r="O440" s="681">
        <f>[105]PLANCUSr!$H$28</f>
        <v>24226.524999999998</v>
      </c>
      <c r="P440" s="349">
        <f t="shared" ref="P440" si="450">100*O440/5413.47</f>
        <v>447.52303051462371</v>
      </c>
      <c r="Q440" s="681">
        <f>[106]PLANCUSr!$H$28</f>
        <v>24693.587499999998</v>
      </c>
      <c r="R440" s="349">
        <f t="shared" ref="R440" si="451">100*Q440/5413.47</f>
        <v>456.15081454224367</v>
      </c>
      <c r="S440" s="681"/>
      <c r="T440" s="349"/>
    </row>
    <row r="441" spans="2:20" hidden="1">
      <c r="B441" s="166" t="s">
        <v>197</v>
      </c>
      <c r="C441" s="125"/>
      <c r="D441" s="124"/>
      <c r="E441" s="118"/>
      <c r="F441" s="120" t="s">
        <v>39</v>
      </c>
      <c r="G441" s="125"/>
      <c r="H441" s="119"/>
      <c r="I441" s="122"/>
      <c r="J441" s="119"/>
      <c r="K441" s="122"/>
      <c r="L441" s="119"/>
      <c r="M441" s="122"/>
      <c r="N441" s="119"/>
      <c r="O441" s="119"/>
      <c r="P441" s="119"/>
      <c r="Q441" s="132"/>
      <c r="R441" s="132"/>
      <c r="S441" s="122"/>
      <c r="T441" s="122"/>
    </row>
    <row r="442" spans="2:20" hidden="1">
      <c r="B442" s="120"/>
      <c r="C442" s="125"/>
      <c r="D442" s="119"/>
      <c r="E442" s="118">
        <v>5337.5</v>
      </c>
      <c r="F442" s="125" t="s">
        <v>16</v>
      </c>
      <c r="G442" s="120"/>
      <c r="H442" s="125"/>
      <c r="I442" s="120"/>
      <c r="J442" s="119"/>
      <c r="K442" s="122"/>
      <c r="L442" s="119"/>
      <c r="M442" s="122"/>
      <c r="N442" s="119"/>
      <c r="O442" s="119"/>
      <c r="P442" s="119"/>
      <c r="Q442" s="132"/>
      <c r="R442" s="132"/>
      <c r="S442" s="122"/>
      <c r="T442" s="122"/>
    </row>
    <row r="443" spans="2:20" hidden="1">
      <c r="B443" s="176"/>
      <c r="C443" s="140">
        <v>1994</v>
      </c>
      <c r="D443" s="140" t="s">
        <v>15</v>
      </c>
      <c r="E443" s="140">
        <v>1995</v>
      </c>
      <c r="F443" s="140" t="s">
        <v>15</v>
      </c>
      <c r="G443" s="140">
        <v>1996</v>
      </c>
      <c r="H443" s="140" t="s">
        <v>15</v>
      </c>
      <c r="I443" s="140">
        <v>1997</v>
      </c>
      <c r="J443" s="140" t="s">
        <v>15</v>
      </c>
      <c r="K443" s="140">
        <v>1998</v>
      </c>
      <c r="L443" s="140" t="s">
        <v>15</v>
      </c>
      <c r="M443" s="140">
        <v>1999</v>
      </c>
      <c r="N443" s="140" t="s">
        <v>15</v>
      </c>
      <c r="O443" s="124"/>
      <c r="P443" s="124"/>
    </row>
    <row r="444" spans="2:20" hidden="1">
      <c r="B444" s="137" t="s">
        <v>0</v>
      </c>
      <c r="C444" s="165"/>
      <c r="D444" s="139"/>
      <c r="E444" s="157">
        <v>6100</v>
      </c>
      <c r="F444" s="139">
        <f>10000*$E$444/533750</f>
        <v>114.28571428571429</v>
      </c>
      <c r="G444" s="157">
        <v>6167.5</v>
      </c>
      <c r="H444" s="139">
        <f>10000*$G$444/533750</f>
        <v>115.55035128805621</v>
      </c>
      <c r="I444" s="157">
        <v>5912.5</v>
      </c>
      <c r="J444" s="139">
        <f>10000*$I$444/533750</f>
        <v>110.77283372365339</v>
      </c>
      <c r="K444" s="157">
        <v>6125</v>
      </c>
      <c r="L444" s="139">
        <f>10000*$K$444/533750</f>
        <v>114.75409836065573</v>
      </c>
      <c r="M444" s="157">
        <v>6300</v>
      </c>
      <c r="N444" s="139">
        <f>10000*$M$444/533750</f>
        <v>118.0327868852459</v>
      </c>
      <c r="O444" s="123"/>
      <c r="P444" s="123"/>
    </row>
    <row r="445" spans="2:20" hidden="1">
      <c r="B445" s="137" t="s">
        <v>1</v>
      </c>
      <c r="C445" s="165"/>
      <c r="D445" s="139"/>
      <c r="E445" s="157">
        <v>6540</v>
      </c>
      <c r="F445" s="139">
        <f>10000*$E$445/533750</f>
        <v>122.52927400468384</v>
      </c>
      <c r="G445" s="157">
        <v>6175</v>
      </c>
      <c r="H445" s="139">
        <f>10000*$G$445/533750</f>
        <v>115.69086651053864</v>
      </c>
      <c r="I445" s="157">
        <v>6137.5</v>
      </c>
      <c r="J445" s="139">
        <f>10000*$I$445/533750</f>
        <v>114.98829039812647</v>
      </c>
      <c r="K445" s="157">
        <v>6200</v>
      </c>
      <c r="L445" s="139">
        <f>10000*$K$445/533750</f>
        <v>116.15925058548009</v>
      </c>
      <c r="M445" s="157">
        <v>6636</v>
      </c>
      <c r="N445" s="139">
        <f>10000*$M$445/533750</f>
        <v>124.32786885245902</v>
      </c>
      <c r="O445" s="123"/>
      <c r="P445" s="123"/>
    </row>
    <row r="446" spans="2:20" hidden="1">
      <c r="B446" s="137" t="s">
        <v>2</v>
      </c>
      <c r="C446" s="165"/>
      <c r="D446" s="139"/>
      <c r="E446" s="157">
        <v>6460</v>
      </c>
      <c r="F446" s="139">
        <f>10000*$E$446/533750</f>
        <v>121.03044496487119</v>
      </c>
      <c r="G446" s="157">
        <v>6225</v>
      </c>
      <c r="H446" s="139">
        <f>10000*$G$446/533750</f>
        <v>116.62763466042155</v>
      </c>
      <c r="I446" s="157">
        <v>6025</v>
      </c>
      <c r="J446" s="139">
        <f>10000*$I$446/533750</f>
        <v>112.88056206088993</v>
      </c>
      <c r="K446" s="157">
        <v>6225</v>
      </c>
      <c r="L446" s="139">
        <f>10000*$K$446/533750</f>
        <v>116.62763466042155</v>
      </c>
      <c r="M446" s="157">
        <v>6586</v>
      </c>
      <c r="N446" s="139">
        <f>10000*$M$446/533750</f>
        <v>123.39110070257611</v>
      </c>
      <c r="O446" s="123"/>
      <c r="P446" s="123"/>
    </row>
    <row r="447" spans="2:20" hidden="1">
      <c r="B447" s="137" t="s">
        <v>3</v>
      </c>
      <c r="C447" s="165"/>
      <c r="D447" s="139"/>
      <c r="E447" s="157">
        <v>6675</v>
      </c>
      <c r="F447" s="139">
        <f>10000*$E$447/533750</f>
        <v>125.05854800936768</v>
      </c>
      <c r="G447" s="157">
        <v>6112.5</v>
      </c>
      <c r="H447" s="139">
        <f>10000*$G$447/533750</f>
        <v>114.51990632318501</v>
      </c>
      <c r="I447" s="157">
        <v>5887.5</v>
      </c>
      <c r="J447" s="139">
        <f>10000*$I$447/533750</f>
        <v>110.30444964871194</v>
      </c>
      <c r="K447" s="157">
        <v>6426</v>
      </c>
      <c r="L447" s="139">
        <f>10000*$K$447/533750</f>
        <v>120.39344262295081</v>
      </c>
      <c r="M447" s="157">
        <v>6420</v>
      </c>
      <c r="N447" s="139">
        <f>10000*$M$446/533750</f>
        <v>123.39110070257611</v>
      </c>
      <c r="O447" s="123"/>
      <c r="P447" s="123"/>
    </row>
    <row r="448" spans="2:20" hidden="1">
      <c r="B448" s="137" t="s">
        <v>4</v>
      </c>
      <c r="C448" s="165"/>
      <c r="D448" s="139"/>
      <c r="E448" s="157">
        <v>6400</v>
      </c>
      <c r="F448" s="139">
        <f>10000*$E$448/533750</f>
        <v>119.90632318501171</v>
      </c>
      <c r="G448" s="157">
        <v>5987.5</v>
      </c>
      <c r="H448" s="139">
        <f>10000*$G$448/533750</f>
        <v>112.17798594847775</v>
      </c>
      <c r="I448" s="157">
        <v>6175</v>
      </c>
      <c r="J448" s="139">
        <f>10000*$I$448/533750</f>
        <v>115.69086651053864</v>
      </c>
      <c r="K448" s="157">
        <v>6425</v>
      </c>
      <c r="L448" s="139">
        <f>10000*$K$448/533750</f>
        <v>120.37470725995315</v>
      </c>
      <c r="M448" s="157">
        <v>6250</v>
      </c>
      <c r="N448" s="139">
        <f>10000*$M$448/533750</f>
        <v>117.096018735363</v>
      </c>
      <c r="O448" s="123"/>
      <c r="P448" s="123"/>
    </row>
    <row r="449" spans="2:20" hidden="1">
      <c r="B449" s="137" t="s">
        <v>5</v>
      </c>
      <c r="C449" s="165"/>
      <c r="D449" s="139"/>
      <c r="E449" s="157">
        <v>6660</v>
      </c>
      <c r="F449" s="139">
        <f>10000*$E$449/533750</f>
        <v>124.77751756440281</v>
      </c>
      <c r="G449" s="157">
        <v>6237.5</v>
      </c>
      <c r="H449" s="139">
        <f>10000*$G$449/533750</f>
        <v>116.86182669789227</v>
      </c>
      <c r="I449" s="157">
        <v>6050</v>
      </c>
      <c r="J449" s="139">
        <f>10000*$I$449/533750</f>
        <v>113.34894613583138</v>
      </c>
      <c r="K449" s="157">
        <v>6383.33</v>
      </c>
      <c r="L449" s="139">
        <f>10000*$K$449/533750</f>
        <v>119.59400468384075</v>
      </c>
      <c r="M449" s="157">
        <v>6634</v>
      </c>
      <c r="N449" s="139">
        <f>10000*$M$449/533750</f>
        <v>124.2903981264637</v>
      </c>
      <c r="O449" s="123"/>
      <c r="P449" s="123"/>
    </row>
    <row r="450" spans="2:20" hidden="1">
      <c r="B450" s="137" t="s">
        <v>6</v>
      </c>
      <c r="C450" s="165">
        <v>5337.5</v>
      </c>
      <c r="D450" s="139">
        <f>10000*$C$450/533750</f>
        <v>100</v>
      </c>
      <c r="E450" s="157">
        <v>6766.67</v>
      </c>
      <c r="F450" s="139">
        <f>10000*$E$450/533750</f>
        <v>126.776018735363</v>
      </c>
      <c r="G450" s="157">
        <v>5883.33</v>
      </c>
      <c r="H450" s="139">
        <f>10000*$G$450/533750</f>
        <v>110.22632318501171</v>
      </c>
      <c r="I450" s="157">
        <v>6240</v>
      </c>
      <c r="J450" s="139">
        <f>10000*$I$450/533750</f>
        <v>116.90866510538642</v>
      </c>
      <c r="K450" s="157">
        <v>6358.33</v>
      </c>
      <c r="L450" s="139">
        <f>10000*$K$450/533750</f>
        <v>119.1256206088993</v>
      </c>
      <c r="M450" s="157">
        <v>6430</v>
      </c>
      <c r="N450" s="139">
        <f>10000*$M$450/533750</f>
        <v>120.46838407494145</v>
      </c>
      <c r="O450" s="123"/>
      <c r="P450" s="123"/>
    </row>
    <row r="451" spans="2:20" hidden="1">
      <c r="B451" s="137" t="s">
        <v>7</v>
      </c>
      <c r="C451" s="165">
        <v>5461.67</v>
      </c>
      <c r="D451" s="139">
        <f>10000*$C$451/533750</f>
        <v>102.3263700234192</v>
      </c>
      <c r="E451" s="157">
        <v>6260</v>
      </c>
      <c r="F451" s="139">
        <f>10000*$E$451/533750</f>
        <v>117.28337236533957</v>
      </c>
      <c r="G451" s="157">
        <v>5990</v>
      </c>
      <c r="H451" s="139">
        <f>10000*$G$451/533750</f>
        <v>112.22482435597189</v>
      </c>
      <c r="I451" s="157">
        <v>6220</v>
      </c>
      <c r="J451" s="139">
        <f>10000*$I$451/533750</f>
        <v>116.53395784543325</v>
      </c>
      <c r="K451" s="157">
        <v>6360</v>
      </c>
      <c r="L451" s="139">
        <f>10000*$K$451/533750</f>
        <v>119.15690866510539</v>
      </c>
      <c r="M451" s="157">
        <v>6600</v>
      </c>
      <c r="N451" s="139">
        <f>10000*$M$451/533750</f>
        <v>123.65339578454332</v>
      </c>
      <c r="O451" s="123"/>
      <c r="P451" s="123"/>
    </row>
    <row r="452" spans="2:20" hidden="1">
      <c r="B452" s="137" t="s">
        <v>8</v>
      </c>
      <c r="C452" s="165">
        <v>5360</v>
      </c>
      <c r="D452" s="139">
        <f>10000*$C$452/533750</f>
        <v>100.4215456674473</v>
      </c>
      <c r="E452" s="157">
        <v>6325.71</v>
      </c>
      <c r="F452" s="139">
        <f>10000*$E$452/533750</f>
        <v>118.51447306791569</v>
      </c>
      <c r="G452" s="157">
        <v>5960</v>
      </c>
      <c r="H452" s="139">
        <f>10000*$G$452/533750</f>
        <v>111.66276346604215</v>
      </c>
      <c r="I452" s="157">
        <v>6150</v>
      </c>
      <c r="J452" s="139">
        <f>10000*$I$452/533750</f>
        <v>115.22248243559719</v>
      </c>
      <c r="K452" s="157">
        <v>6315.83</v>
      </c>
      <c r="L452" s="139">
        <f>10000*$K$452/533750</f>
        <v>118.32936768149882</v>
      </c>
      <c r="M452" s="157">
        <v>6460</v>
      </c>
      <c r="N452" s="139">
        <f>10000*$M$452/533750</f>
        <v>121.03044496487119</v>
      </c>
      <c r="O452" s="123"/>
      <c r="P452" s="123"/>
    </row>
    <row r="453" spans="2:20" hidden="1">
      <c r="B453" s="137" t="s">
        <v>9</v>
      </c>
      <c r="C453" s="165">
        <v>5659.9</v>
      </c>
      <c r="D453" s="139">
        <f>10000*$C$453/533750</f>
        <v>106.04028103044496</v>
      </c>
      <c r="E453" s="157">
        <v>6140</v>
      </c>
      <c r="F453" s="139">
        <f>10000*$E$453/533750</f>
        <v>115.03512880562062</v>
      </c>
      <c r="G453" s="157">
        <v>6062.5</v>
      </c>
      <c r="H453" s="139">
        <f>10000*$G$453/533750</f>
        <v>113.5831381733021</v>
      </c>
      <c r="I453" s="157">
        <v>6280</v>
      </c>
      <c r="J453" s="139">
        <f>10000*$I$453/533750</f>
        <v>117.65807962529274</v>
      </c>
      <c r="K453" s="157">
        <v>6300</v>
      </c>
      <c r="L453" s="139">
        <f>10000*$K$453/533750</f>
        <v>118.0327868852459</v>
      </c>
      <c r="M453" s="157">
        <v>6250</v>
      </c>
      <c r="N453" s="139">
        <f>10000*$M$453/533750</f>
        <v>117.096018735363</v>
      </c>
      <c r="O453" s="123"/>
      <c r="P453" s="123"/>
    </row>
    <row r="454" spans="2:20" hidden="1">
      <c r="B454" s="137" t="s">
        <v>10</v>
      </c>
      <c r="C454" s="165">
        <v>5640</v>
      </c>
      <c r="D454" s="139">
        <f>10000*$C$454/533750</f>
        <v>105.66744730679157</v>
      </c>
      <c r="E454" s="157">
        <v>6174</v>
      </c>
      <c r="F454" s="139">
        <f>10000*$E$454/533750</f>
        <v>115.67213114754098</v>
      </c>
      <c r="G454" s="157">
        <v>6090</v>
      </c>
      <c r="H454" s="139">
        <f>10000*$G$454/533750</f>
        <v>114.09836065573771</v>
      </c>
      <c r="I454" s="157">
        <v>6150</v>
      </c>
      <c r="J454" s="139">
        <f>10000*$I$454/533750</f>
        <v>115.22248243559719</v>
      </c>
      <c r="K454" s="157">
        <v>6470</v>
      </c>
      <c r="L454" s="139">
        <f>10000*$K$454/533750</f>
        <v>121.21779859484778</v>
      </c>
      <c r="M454" s="157">
        <v>6420</v>
      </c>
      <c r="N454" s="139">
        <f>10000*$M$454/533750</f>
        <v>120.28103044496487</v>
      </c>
      <c r="O454" s="123"/>
      <c r="P454" s="123"/>
    </row>
    <row r="455" spans="2:20" hidden="1">
      <c r="B455" s="137" t="s">
        <v>11</v>
      </c>
      <c r="C455" s="165">
        <v>6012</v>
      </c>
      <c r="D455" s="139">
        <f>10000*$C$455/533750</f>
        <v>112.63700234192038</v>
      </c>
      <c r="E455" s="157">
        <v>6040</v>
      </c>
      <c r="F455" s="139">
        <f>10000*$E$455/533750</f>
        <v>113.1615925058548</v>
      </c>
      <c r="G455" s="157">
        <v>6125</v>
      </c>
      <c r="H455" s="139">
        <f>10000*$G$455/533750</f>
        <v>114.75409836065573</v>
      </c>
      <c r="I455" s="157">
        <v>6214</v>
      </c>
      <c r="J455" s="139">
        <f>10000*$I$455/533750</f>
        <v>116.4215456674473</v>
      </c>
      <c r="K455" s="157">
        <v>6260</v>
      </c>
      <c r="L455" s="139">
        <f>10000*$K$455/533750</f>
        <v>117.28337236533957</v>
      </c>
      <c r="M455" s="157">
        <v>6640</v>
      </c>
      <c r="N455" s="139">
        <f>10000*$M$455/533750</f>
        <v>124.40281030444964</v>
      </c>
      <c r="O455" s="123"/>
      <c r="P455" s="123"/>
      <c r="Q455" s="177"/>
      <c r="R455" s="132"/>
      <c r="S455" s="122"/>
      <c r="T455" s="122"/>
    </row>
    <row r="456" spans="2:20" hidden="1">
      <c r="B456" s="119"/>
      <c r="C456" s="122"/>
      <c r="D456" s="123"/>
      <c r="E456" s="118"/>
      <c r="F456" s="123"/>
      <c r="G456" s="118"/>
      <c r="H456" s="123"/>
      <c r="I456" s="118"/>
      <c r="J456" s="123"/>
      <c r="K456" s="118"/>
      <c r="L456" s="123"/>
      <c r="M456" s="118"/>
      <c r="N456" s="123"/>
      <c r="O456" s="123"/>
      <c r="P456" s="123"/>
      <c r="Q456" s="177"/>
      <c r="R456" s="132"/>
      <c r="S456" s="122"/>
      <c r="T456" s="122"/>
    </row>
    <row r="457" spans="2:20" hidden="1">
      <c r="B457" s="119"/>
      <c r="C457" s="122"/>
      <c r="D457" s="123"/>
      <c r="E457" s="118"/>
      <c r="F457" s="123"/>
      <c r="G457" s="118"/>
      <c r="H457" s="123"/>
      <c r="I457" s="118"/>
      <c r="J457" s="123"/>
      <c r="K457" s="118"/>
      <c r="L457" s="123"/>
      <c r="M457" s="118"/>
      <c r="N457" s="123"/>
      <c r="O457" s="123"/>
      <c r="P457" s="123"/>
      <c r="Q457" s="177"/>
      <c r="R457" s="132"/>
      <c r="S457" s="122"/>
      <c r="T457" s="122"/>
    </row>
    <row r="458" spans="2:20" hidden="1">
      <c r="B458" s="119"/>
      <c r="C458" s="122"/>
      <c r="D458" s="123"/>
      <c r="E458" s="118"/>
      <c r="F458" s="123"/>
      <c r="G458" s="118"/>
      <c r="H458" s="123"/>
      <c r="I458" s="118"/>
      <c r="J458" s="123"/>
      <c r="K458" s="118"/>
      <c r="L458" s="123"/>
      <c r="M458" s="118"/>
      <c r="N458" s="123"/>
      <c r="O458" s="123"/>
      <c r="P458" s="123"/>
      <c r="Q458" s="177"/>
      <c r="R458" s="132"/>
      <c r="S458" s="122"/>
      <c r="T458" s="122"/>
    </row>
    <row r="459" spans="2:20" hidden="1">
      <c r="B459" s="119"/>
      <c r="C459" s="122"/>
      <c r="D459" s="123"/>
      <c r="E459" s="118"/>
      <c r="F459" s="123"/>
      <c r="G459" s="118"/>
      <c r="H459" s="123"/>
      <c r="I459" s="118"/>
      <c r="J459" s="123"/>
      <c r="K459" s="118"/>
      <c r="L459" s="123"/>
      <c r="M459" s="118"/>
      <c r="N459" s="123"/>
      <c r="O459" s="123"/>
      <c r="P459" s="123"/>
      <c r="Q459" s="177"/>
      <c r="R459" s="132"/>
      <c r="S459" s="122"/>
      <c r="T459" s="122"/>
    </row>
    <row r="460" spans="2:20" hidden="1">
      <c r="B460" s="119"/>
      <c r="C460" s="122"/>
      <c r="D460" s="123"/>
      <c r="E460" s="118"/>
      <c r="F460" s="123"/>
      <c r="G460" s="118"/>
      <c r="H460" s="123"/>
      <c r="I460" s="118"/>
      <c r="J460" s="123"/>
      <c r="K460" s="118"/>
      <c r="L460" s="123"/>
      <c r="M460" s="118"/>
      <c r="N460" s="123"/>
      <c r="O460" s="123"/>
      <c r="P460" s="123"/>
      <c r="Q460" s="177"/>
      <c r="R460" s="132"/>
      <c r="S460" s="122"/>
      <c r="T460" s="122"/>
    </row>
    <row r="461" spans="2:20" hidden="1">
      <c r="B461" s="119"/>
      <c r="C461" s="122"/>
      <c r="D461" s="123"/>
      <c r="E461" s="118"/>
      <c r="F461" s="123"/>
      <c r="G461" s="118"/>
      <c r="H461" s="123"/>
      <c r="I461" s="118"/>
      <c r="J461" s="123"/>
      <c r="K461" s="118"/>
      <c r="L461" s="123"/>
      <c r="M461" s="118"/>
      <c r="N461" s="123"/>
      <c r="O461" s="123"/>
      <c r="P461" s="123"/>
      <c r="Q461" s="177"/>
      <c r="R461" s="132"/>
      <c r="S461" s="122"/>
      <c r="T461" s="122"/>
    </row>
    <row r="462" spans="2:20" hidden="1">
      <c r="B462" s="119" t="s">
        <v>218</v>
      </c>
      <c r="C462" s="125"/>
      <c r="D462" s="124"/>
      <c r="E462" s="118"/>
      <c r="F462" s="119"/>
      <c r="G462" s="118"/>
      <c r="H462" s="123"/>
      <c r="I462" s="118"/>
      <c r="J462" s="123"/>
      <c r="K462" s="118"/>
      <c r="L462" s="123"/>
      <c r="M462" s="118"/>
      <c r="N462" s="123"/>
      <c r="O462" s="123"/>
      <c r="P462" s="123"/>
      <c r="Q462" s="177"/>
      <c r="R462" s="132"/>
      <c r="S462" s="122"/>
      <c r="T462" s="122"/>
    </row>
    <row r="463" spans="2:20" hidden="1">
      <c r="B463" s="176"/>
      <c r="C463" s="140">
        <v>2000</v>
      </c>
      <c r="D463" s="140" t="s">
        <v>15</v>
      </c>
      <c r="E463" s="140">
        <v>2001</v>
      </c>
      <c r="F463" s="140" t="s">
        <v>15</v>
      </c>
      <c r="G463" s="140">
        <v>2002</v>
      </c>
      <c r="H463" s="140" t="s">
        <v>15</v>
      </c>
      <c r="I463" s="140">
        <v>2003</v>
      </c>
      <c r="J463" s="140" t="s">
        <v>15</v>
      </c>
      <c r="K463" s="118"/>
      <c r="L463" s="123"/>
      <c r="M463" s="118"/>
      <c r="N463" s="123"/>
      <c r="O463" s="123"/>
      <c r="P463" s="123"/>
      <c r="Q463" s="177"/>
      <c r="R463" s="132"/>
      <c r="S463" s="122"/>
      <c r="T463" s="122"/>
    </row>
    <row r="464" spans="2:20" hidden="1">
      <c r="B464" s="137" t="s">
        <v>0</v>
      </c>
      <c r="C464" s="165">
        <v>6460</v>
      </c>
      <c r="D464" s="141">
        <f>100*C464/E442</f>
        <v>121.03044496487119</v>
      </c>
      <c r="E464" s="165">
        <v>7260</v>
      </c>
      <c r="F464" s="165">
        <f t="shared" ref="F464:F475" si="452">100*E464/$E$442</f>
        <v>136.01873536299766</v>
      </c>
      <c r="G464" s="165">
        <v>6960</v>
      </c>
      <c r="H464" s="165">
        <f t="shared" ref="H464:H475" si="453">100*G464/$E$442</f>
        <v>130.39812646370024</v>
      </c>
      <c r="I464" s="157">
        <v>9780</v>
      </c>
      <c r="J464" s="165">
        <f>100*I464/$E$442</f>
        <v>183.23185011709603</v>
      </c>
      <c r="K464" s="118"/>
      <c r="L464" s="123"/>
      <c r="M464" s="118"/>
      <c r="N464" s="123"/>
      <c r="O464" s="123"/>
      <c r="P464" s="123"/>
      <c r="Q464" s="177"/>
      <c r="R464" s="132"/>
      <c r="S464" s="122"/>
      <c r="T464" s="122"/>
    </row>
    <row r="465" spans="2:20" hidden="1">
      <c r="B465" s="137" t="s">
        <v>1</v>
      </c>
      <c r="C465" s="165">
        <v>6620</v>
      </c>
      <c r="D465" s="141">
        <f>100*C465/E442</f>
        <v>124.02810304449649</v>
      </c>
      <c r="E465" s="165">
        <v>7250</v>
      </c>
      <c r="F465" s="165">
        <f t="shared" si="452"/>
        <v>135.83138173302109</v>
      </c>
      <c r="G465" s="165">
        <v>7420</v>
      </c>
      <c r="H465" s="165">
        <f t="shared" si="453"/>
        <v>139.01639344262296</v>
      </c>
      <c r="I465" s="157">
        <v>9280</v>
      </c>
      <c r="J465" s="165">
        <f>100*I465/$E$442</f>
        <v>173.86416861826697</v>
      </c>
      <c r="K465" s="118"/>
      <c r="L465" s="123"/>
      <c r="M465" s="118"/>
      <c r="N465" s="123"/>
      <c r="O465" s="123"/>
      <c r="P465" s="123"/>
      <c r="Q465" s="177"/>
      <c r="R465" s="132"/>
      <c r="S465" s="122"/>
      <c r="T465" s="122"/>
    </row>
    <row r="466" spans="2:20" hidden="1">
      <c r="B466" s="137" t="s">
        <v>2</v>
      </c>
      <c r="C466" s="165">
        <v>6700</v>
      </c>
      <c r="D466" s="141">
        <f>100*C466/E442</f>
        <v>125.52693208430914</v>
      </c>
      <c r="E466" s="165">
        <v>7112.5</v>
      </c>
      <c r="F466" s="165">
        <f t="shared" si="452"/>
        <v>133.2552693208431</v>
      </c>
      <c r="G466" s="165">
        <v>7200</v>
      </c>
      <c r="H466" s="165">
        <f t="shared" si="453"/>
        <v>134.89461358313818</v>
      </c>
      <c r="I466" s="163" t="s">
        <v>190</v>
      </c>
      <c r="J466" s="139"/>
      <c r="K466" s="118"/>
      <c r="L466" s="123"/>
      <c r="M466" s="118"/>
      <c r="N466" s="123"/>
      <c r="O466" s="123"/>
      <c r="P466" s="123"/>
      <c r="Q466" s="177"/>
      <c r="R466" s="132"/>
      <c r="S466" s="122"/>
      <c r="T466" s="122"/>
    </row>
    <row r="467" spans="2:20" hidden="1">
      <c r="B467" s="137" t="s">
        <v>3</v>
      </c>
      <c r="C467" s="165">
        <v>6660</v>
      </c>
      <c r="D467" s="141">
        <f>100*C467/E442</f>
        <v>124.77751756440281</v>
      </c>
      <c r="E467" s="165">
        <v>7270</v>
      </c>
      <c r="F467" s="165">
        <f t="shared" si="452"/>
        <v>136.20608899297423</v>
      </c>
      <c r="G467" s="165">
        <v>7460</v>
      </c>
      <c r="H467" s="165">
        <f t="shared" si="453"/>
        <v>139.76580796252927</v>
      </c>
      <c r="I467" s="157"/>
      <c r="J467" s="139"/>
      <c r="K467" s="118"/>
      <c r="L467" s="123"/>
      <c r="M467" s="118"/>
      <c r="N467" s="123"/>
      <c r="O467" s="123"/>
      <c r="P467" s="123"/>
      <c r="Q467" s="177"/>
      <c r="R467" s="132"/>
      <c r="S467" s="122"/>
      <c r="T467" s="122"/>
    </row>
    <row r="468" spans="2:20" hidden="1">
      <c r="B468" s="137" t="s">
        <v>4</v>
      </c>
      <c r="C468" s="165">
        <v>8020</v>
      </c>
      <c r="D468" s="141">
        <f>100*C468/E442</f>
        <v>150.2576112412178</v>
      </c>
      <c r="E468" s="165">
        <v>7375</v>
      </c>
      <c r="F468" s="165">
        <f t="shared" si="452"/>
        <v>138.17330210772835</v>
      </c>
      <c r="G468" s="165">
        <v>7140</v>
      </c>
      <c r="H468" s="165">
        <f t="shared" si="453"/>
        <v>133.7704918032787</v>
      </c>
      <c r="I468" s="157"/>
      <c r="J468" s="139"/>
      <c r="K468" s="118"/>
      <c r="L468" s="123"/>
      <c r="M468" s="118"/>
      <c r="N468" s="123"/>
      <c r="O468" s="123"/>
      <c r="P468" s="123"/>
      <c r="Q468" s="177"/>
      <c r="R468" s="132"/>
      <c r="S468" s="122"/>
      <c r="T468" s="122"/>
    </row>
    <row r="469" spans="2:20" hidden="1">
      <c r="B469" s="137" t="s">
        <v>5</v>
      </c>
      <c r="C469" s="165">
        <v>7923.5</v>
      </c>
      <c r="D469" s="141">
        <f>100*C469/E442</f>
        <v>148.44964871194378</v>
      </c>
      <c r="E469" s="165">
        <v>7375</v>
      </c>
      <c r="F469" s="165">
        <f t="shared" si="452"/>
        <v>138.17330210772835</v>
      </c>
      <c r="G469" s="165">
        <v>7800</v>
      </c>
      <c r="H469" s="165">
        <f t="shared" si="453"/>
        <v>146.13583138173303</v>
      </c>
      <c r="I469" s="157"/>
      <c r="J469" s="139"/>
      <c r="K469" s="118"/>
      <c r="L469" s="123"/>
      <c r="M469" s="118"/>
      <c r="N469" s="123"/>
      <c r="O469" s="123"/>
      <c r="P469" s="123"/>
      <c r="Q469" s="177"/>
      <c r="R469" s="132"/>
      <c r="S469" s="122"/>
      <c r="T469" s="122"/>
    </row>
    <row r="470" spans="2:20" hidden="1">
      <c r="B470" s="137" t="s">
        <v>6</v>
      </c>
      <c r="C470" s="165">
        <v>8058.33</v>
      </c>
      <c r="D470" s="141">
        <f>100*C470/E442</f>
        <v>150.97573770491803</v>
      </c>
      <c r="E470" s="165">
        <v>7260</v>
      </c>
      <c r="F470" s="165">
        <f t="shared" si="452"/>
        <v>136.01873536299766</v>
      </c>
      <c r="G470" s="165">
        <v>7789.2</v>
      </c>
      <c r="H470" s="165">
        <f t="shared" si="453"/>
        <v>145.93348946135831</v>
      </c>
      <c r="I470" s="157"/>
      <c r="J470" s="139"/>
      <c r="K470" s="118"/>
      <c r="L470" s="123"/>
      <c r="M470" s="118"/>
      <c r="N470" s="123"/>
      <c r="O470" s="123"/>
      <c r="P470" s="123"/>
      <c r="Q470" s="177"/>
      <c r="R470" s="132"/>
      <c r="S470" s="122"/>
      <c r="T470" s="122"/>
    </row>
    <row r="471" spans="2:20" hidden="1">
      <c r="B471" s="137" t="s">
        <v>7</v>
      </c>
      <c r="C471" s="165">
        <v>7275</v>
      </c>
      <c r="D471" s="141">
        <f>100*C471/5337.5</f>
        <v>136.29976580796253</v>
      </c>
      <c r="E471" s="165">
        <v>7283</v>
      </c>
      <c r="F471" s="165">
        <f t="shared" si="452"/>
        <v>136.44964871194378</v>
      </c>
      <c r="G471" s="165">
        <v>7480</v>
      </c>
      <c r="H471" s="165">
        <f t="shared" si="453"/>
        <v>140.14051522248243</v>
      </c>
      <c r="I471" s="157"/>
      <c r="J471" s="139"/>
      <c r="K471" s="118"/>
      <c r="L471" s="123"/>
      <c r="M471" s="118"/>
      <c r="N471" s="123"/>
      <c r="O471" s="123"/>
      <c r="P471" s="123"/>
      <c r="Q471" s="177"/>
      <c r="R471" s="132"/>
      <c r="S471" s="122"/>
      <c r="T471" s="122"/>
    </row>
    <row r="472" spans="2:20" hidden="1">
      <c r="B472" s="137" t="s">
        <v>8</v>
      </c>
      <c r="C472" s="165">
        <v>7366.67</v>
      </c>
      <c r="D472" s="141">
        <f>100*C472/5337.5</f>
        <v>138.01723653395786</v>
      </c>
      <c r="E472" s="165">
        <v>7280</v>
      </c>
      <c r="F472" s="165">
        <f t="shared" si="452"/>
        <v>136.39344262295083</v>
      </c>
      <c r="G472" s="165">
        <v>7300</v>
      </c>
      <c r="H472" s="165">
        <f t="shared" si="453"/>
        <v>136.76814988290397</v>
      </c>
      <c r="I472" s="157"/>
      <c r="J472" s="139"/>
      <c r="K472" s="118"/>
      <c r="L472" s="123"/>
      <c r="M472" s="118"/>
      <c r="N472" s="123"/>
      <c r="O472" s="123"/>
      <c r="P472" s="123"/>
      <c r="Q472" s="177"/>
      <c r="R472" s="132"/>
      <c r="S472" s="122"/>
      <c r="T472" s="122"/>
    </row>
    <row r="473" spans="2:20" hidden="1">
      <c r="B473" s="137" t="s">
        <v>9</v>
      </c>
      <c r="C473" s="165">
        <v>7443.33</v>
      </c>
      <c r="D473" s="141">
        <f>100*C473/5337.5</f>
        <v>139.45348946135832</v>
      </c>
      <c r="E473" s="165">
        <v>7420</v>
      </c>
      <c r="F473" s="165">
        <f t="shared" si="452"/>
        <v>139.01639344262296</v>
      </c>
      <c r="G473" s="165">
        <v>8200</v>
      </c>
      <c r="H473" s="165">
        <f t="shared" si="453"/>
        <v>153.62997658079624</v>
      </c>
      <c r="I473" s="157"/>
      <c r="J473" s="139"/>
      <c r="K473" s="122"/>
      <c r="L473" s="132"/>
      <c r="M473" s="122"/>
      <c r="N473" s="132"/>
      <c r="O473" s="132"/>
      <c r="P473" s="132"/>
      <c r="Q473" s="177"/>
      <c r="R473" s="132"/>
      <c r="S473" s="122"/>
      <c r="T473" s="122"/>
    </row>
    <row r="474" spans="2:20" hidden="1">
      <c r="B474" s="137" t="s">
        <v>10</v>
      </c>
      <c r="C474" s="178">
        <v>7375</v>
      </c>
      <c r="D474" s="141">
        <f>100*C474/5337.5</f>
        <v>138.17330210772835</v>
      </c>
      <c r="E474" s="165">
        <v>6920</v>
      </c>
      <c r="F474" s="165">
        <f t="shared" si="452"/>
        <v>129.6487119437939</v>
      </c>
      <c r="G474" s="165">
        <v>8260</v>
      </c>
      <c r="H474" s="165">
        <f t="shared" si="453"/>
        <v>154.75409836065575</v>
      </c>
      <c r="I474" s="165"/>
      <c r="J474" s="141"/>
      <c r="K474" s="122"/>
      <c r="L474" s="132"/>
      <c r="M474" s="122"/>
      <c r="N474" s="132"/>
      <c r="O474" s="132"/>
      <c r="P474" s="132"/>
      <c r="Q474" s="177"/>
      <c r="R474" s="132"/>
      <c r="S474" s="122"/>
      <c r="T474" s="122"/>
    </row>
    <row r="475" spans="2:20" hidden="1">
      <c r="B475" s="137" t="s">
        <v>11</v>
      </c>
      <c r="C475" s="178">
        <v>7050</v>
      </c>
      <c r="D475" s="141">
        <f>100*C475/5337.5</f>
        <v>132.08430913348946</v>
      </c>
      <c r="E475" s="165">
        <v>7240</v>
      </c>
      <c r="F475" s="165">
        <f t="shared" si="452"/>
        <v>135.64402810304449</v>
      </c>
      <c r="G475" s="165">
        <v>8480</v>
      </c>
      <c r="H475" s="165">
        <f t="shared" si="453"/>
        <v>158.87587822014052</v>
      </c>
      <c r="I475" s="165"/>
      <c r="J475" s="137"/>
      <c r="K475" s="122"/>
      <c r="L475" s="132"/>
      <c r="M475" s="122"/>
      <c r="N475" s="132"/>
      <c r="O475" s="132"/>
      <c r="P475" s="132"/>
      <c r="Q475" s="177"/>
      <c r="R475" s="132"/>
      <c r="S475" s="122"/>
      <c r="T475" s="122"/>
    </row>
    <row r="476" spans="2:20">
      <c r="B476" s="119"/>
      <c r="C476" s="177"/>
      <c r="D476" s="132"/>
      <c r="E476" s="122"/>
      <c r="F476" s="122"/>
      <c r="G476" s="122"/>
      <c r="H476" s="122"/>
      <c r="I476" s="122"/>
      <c r="J476" s="119"/>
      <c r="K476" s="122"/>
      <c r="L476" s="132"/>
      <c r="M476" s="122"/>
      <c r="N476" s="132"/>
      <c r="O476" s="132"/>
      <c r="P476" s="132"/>
      <c r="Q476" s="177"/>
      <c r="R476" s="132"/>
      <c r="S476" s="122"/>
      <c r="T476" s="122"/>
    </row>
    <row r="477" spans="2:20">
      <c r="B477" s="144"/>
      <c r="C477" s="179"/>
      <c r="D477" s="148"/>
      <c r="E477" s="161"/>
      <c r="F477" s="161"/>
      <c r="G477" s="161"/>
      <c r="H477" s="161"/>
      <c r="I477" s="161"/>
      <c r="J477" s="144"/>
      <c r="K477" s="161"/>
      <c r="L477" s="148"/>
      <c r="M477" s="161"/>
      <c r="N477" s="148"/>
      <c r="O477" s="132"/>
      <c r="P477" s="132"/>
      <c r="Q477" s="177"/>
      <c r="R477" s="132"/>
      <c r="S477" s="122"/>
      <c r="T477" s="122"/>
    </row>
    <row r="478" spans="2:20" ht="15.75" thickBot="1">
      <c r="B478" s="119"/>
      <c r="C478" s="125"/>
      <c r="D478" s="124"/>
      <c r="E478" s="118"/>
      <c r="F478" s="119"/>
      <c r="G478" s="122"/>
      <c r="H478" s="119"/>
      <c r="I478" s="122"/>
      <c r="J478" s="119"/>
      <c r="K478" s="122"/>
      <c r="L478" s="132"/>
      <c r="M478" s="122"/>
      <c r="N478" s="132"/>
      <c r="O478" s="132"/>
      <c r="P478" s="132"/>
      <c r="Q478" s="177"/>
      <c r="R478" s="132"/>
      <c r="S478" s="122"/>
      <c r="T478" s="122"/>
    </row>
    <row r="479" spans="2:20" hidden="1">
      <c r="B479" s="170"/>
      <c r="C479" s="173"/>
      <c r="D479" s="167"/>
      <c r="E479" s="168">
        <v>558.29999999999995</v>
      </c>
      <c r="F479" s="170" t="s">
        <v>24</v>
      </c>
      <c r="G479" s="170"/>
      <c r="H479" s="167"/>
      <c r="I479" s="167"/>
      <c r="J479" s="167"/>
      <c r="K479" s="173"/>
      <c r="L479" s="167"/>
      <c r="M479" s="173"/>
      <c r="N479" s="167"/>
      <c r="O479" s="119"/>
      <c r="P479" s="119"/>
      <c r="Q479" s="177"/>
      <c r="R479" s="132"/>
      <c r="S479" s="122"/>
      <c r="T479" s="122"/>
    </row>
    <row r="480" spans="2:20" hidden="1">
      <c r="B480" s="126"/>
      <c r="C480" s="128">
        <v>1994</v>
      </c>
      <c r="D480" s="128" t="s">
        <v>15</v>
      </c>
      <c r="E480" s="128">
        <v>1995</v>
      </c>
      <c r="F480" s="128" t="s">
        <v>15</v>
      </c>
      <c r="G480" s="128">
        <v>1996</v>
      </c>
      <c r="H480" s="128" t="s">
        <v>15</v>
      </c>
      <c r="I480" s="128">
        <v>1997</v>
      </c>
      <c r="J480" s="128" t="s">
        <v>15</v>
      </c>
      <c r="K480" s="128">
        <v>1998</v>
      </c>
      <c r="L480" s="128" t="s">
        <v>15</v>
      </c>
      <c r="M480" s="128">
        <v>1999</v>
      </c>
      <c r="N480" s="128" t="s">
        <v>15</v>
      </c>
      <c r="O480" s="124"/>
      <c r="P480" s="124"/>
    </row>
    <row r="481" spans="2:20" hidden="1">
      <c r="B481" s="126" t="s">
        <v>0</v>
      </c>
      <c r="C481" s="172"/>
      <c r="D481" s="130"/>
      <c r="E481" s="129">
        <v>685</v>
      </c>
      <c r="F481" s="130">
        <f>10000*$E$481/55830</f>
        <v>122.69389217266702</v>
      </c>
      <c r="G481" s="129">
        <v>846</v>
      </c>
      <c r="H481" s="130">
        <f>10000*$G$481/55830</f>
        <v>151.53143471252014</v>
      </c>
      <c r="I481" s="129">
        <v>689.6</v>
      </c>
      <c r="J481" s="130">
        <f>10000*$I$481/55830</f>
        <v>123.51782195951998</v>
      </c>
      <c r="K481" s="129">
        <v>632.07000000000005</v>
      </c>
      <c r="L481" s="130">
        <f>10000*$K$481/55830</f>
        <v>113.21332616872651</v>
      </c>
      <c r="M481" s="129">
        <v>621.57000000000005</v>
      </c>
      <c r="N481" s="130">
        <f>10000*$M$481/55830</f>
        <v>111.33261687264913</v>
      </c>
      <c r="O481" s="123"/>
      <c r="P481" s="123"/>
    </row>
    <row r="482" spans="2:20" hidden="1">
      <c r="B482" s="126" t="s">
        <v>1</v>
      </c>
      <c r="C482" s="129"/>
      <c r="D482" s="130"/>
      <c r="E482" s="129">
        <v>685</v>
      </c>
      <c r="F482" s="130">
        <f>10000*$E$482/55830</f>
        <v>122.69389217266702</v>
      </c>
      <c r="G482" s="129">
        <v>830</v>
      </c>
      <c r="H482" s="130">
        <f>10000*$G$482/55830</f>
        <v>148.66559197564033</v>
      </c>
      <c r="I482" s="129">
        <v>635</v>
      </c>
      <c r="J482" s="130">
        <f>10000*$I$482/55830</f>
        <v>113.7381336199176</v>
      </c>
      <c r="K482" s="129">
        <v>633.86</v>
      </c>
      <c r="L482" s="130">
        <f>10000*$K$482/55830</f>
        <v>113.53394232491492</v>
      </c>
      <c r="M482" s="129">
        <v>634.14</v>
      </c>
      <c r="N482" s="130">
        <f>10000*$M$482/55830</f>
        <v>113.58409457281032</v>
      </c>
      <c r="O482" s="123"/>
      <c r="P482" s="123"/>
    </row>
    <row r="483" spans="2:20" hidden="1">
      <c r="B483" s="126" t="s">
        <v>2</v>
      </c>
      <c r="C483" s="129"/>
      <c r="D483" s="130"/>
      <c r="E483" s="129">
        <v>660</v>
      </c>
      <c r="F483" s="130">
        <f>10000*$E$483/55830</f>
        <v>118.21601289629231</v>
      </c>
      <c r="G483" s="129">
        <v>830</v>
      </c>
      <c r="H483" s="130">
        <f>10000*$G$483/55830</f>
        <v>148.66559197564033</v>
      </c>
      <c r="I483" s="129">
        <v>642.33000000000004</v>
      </c>
      <c r="J483" s="130">
        <f>10000*$I$483/55830</f>
        <v>115.05104782375066</v>
      </c>
      <c r="K483" s="129">
        <v>620.14</v>
      </c>
      <c r="L483" s="130">
        <f>10000*$K$483/55830</f>
        <v>111.07648217804048</v>
      </c>
      <c r="M483" s="129">
        <v>635.80999999999995</v>
      </c>
      <c r="N483" s="130">
        <f>10000*$M$483/55830</f>
        <v>113.88321690847214</v>
      </c>
      <c r="O483" s="123"/>
      <c r="P483" s="123"/>
    </row>
    <row r="484" spans="2:20" hidden="1">
      <c r="B484" s="126" t="s">
        <v>3</v>
      </c>
      <c r="C484" s="129"/>
      <c r="D484" s="130"/>
      <c r="E484" s="129">
        <v>660</v>
      </c>
      <c r="F484" s="130">
        <f>10000*$E$484/55830</f>
        <v>118.21601289629231</v>
      </c>
      <c r="G484" s="129">
        <v>830</v>
      </c>
      <c r="H484" s="130">
        <f>10000*$G$484/55830</f>
        <v>148.66559197564033</v>
      </c>
      <c r="I484" s="129">
        <v>672.86</v>
      </c>
      <c r="J484" s="130">
        <f>10000*$I$484/55830</f>
        <v>120.51943399605946</v>
      </c>
      <c r="K484" s="129">
        <v>605</v>
      </c>
      <c r="L484" s="130">
        <f>10000*$K$484/55830</f>
        <v>108.36467848826796</v>
      </c>
      <c r="M484" s="129">
        <v>591.25</v>
      </c>
      <c r="N484" s="130">
        <f>10000*$M$484/55830</f>
        <v>105.90184488626187</v>
      </c>
      <c r="O484" s="123"/>
      <c r="P484" s="123"/>
    </row>
    <row r="485" spans="2:20" hidden="1">
      <c r="B485" s="126" t="s">
        <v>4</v>
      </c>
      <c r="C485" s="129"/>
      <c r="D485" s="130"/>
      <c r="E485" s="129">
        <v>685.78</v>
      </c>
      <c r="F485" s="130">
        <f>10000*$E$485/55830</f>
        <v>122.83360200608992</v>
      </c>
      <c r="G485" s="129">
        <v>805</v>
      </c>
      <c r="H485" s="130">
        <f>10000*$G$485/55830</f>
        <v>144.18771269926563</v>
      </c>
      <c r="I485" s="129">
        <v>640</v>
      </c>
      <c r="J485" s="130">
        <f>10000*$I$485/55830</f>
        <v>114.63370947519255</v>
      </c>
      <c r="K485" s="129">
        <v>607.14</v>
      </c>
      <c r="L485" s="130">
        <f>10000*$K$485/55830</f>
        <v>108.74798495432563</v>
      </c>
      <c r="M485" s="129">
        <v>654</v>
      </c>
      <c r="N485" s="130">
        <f>10000*$M$485/55830</f>
        <v>117.14132186996238</v>
      </c>
      <c r="O485" s="123"/>
      <c r="P485" s="123"/>
    </row>
    <row r="486" spans="2:20" hidden="1">
      <c r="B486" s="126" t="s">
        <v>5</v>
      </c>
      <c r="C486" s="129"/>
      <c r="D486" s="130"/>
      <c r="E486" s="129">
        <v>685</v>
      </c>
      <c r="F486" s="130">
        <f>10000*$E$486/55830</f>
        <v>122.69389217266702</v>
      </c>
      <c r="G486" s="129">
        <v>825</v>
      </c>
      <c r="H486" s="130">
        <f>10000*$G$486/55830</f>
        <v>147.7700161203654</v>
      </c>
      <c r="I486" s="129">
        <v>638.75</v>
      </c>
      <c r="J486" s="130">
        <f>10000*$I$486/55830</f>
        <v>114.40981551137381</v>
      </c>
      <c r="K486" s="129">
        <v>641.08000000000004</v>
      </c>
      <c r="L486" s="130">
        <f>10000*$K$486/55830</f>
        <v>114.82715385993194</v>
      </c>
      <c r="M486" s="129">
        <v>632.46</v>
      </c>
      <c r="N486" s="130">
        <f>10000*$M$486/55830</f>
        <v>113.28318108543793</v>
      </c>
      <c r="O486" s="123"/>
      <c r="P486" s="123"/>
    </row>
    <row r="487" spans="2:20" hidden="1">
      <c r="B487" s="126" t="s">
        <v>6</v>
      </c>
      <c r="C487" s="129">
        <v>558.29999999999995</v>
      </c>
      <c r="D487" s="130">
        <f>10000*$C$487/55830</f>
        <v>100</v>
      </c>
      <c r="E487" s="129">
        <v>685</v>
      </c>
      <c r="F487" s="130">
        <f>10000*$E$487/55830</f>
        <v>122.69389217266702</v>
      </c>
      <c r="G487" s="129">
        <v>738</v>
      </c>
      <c r="H487" s="130">
        <f>10000*$G$487/55830</f>
        <v>132.1869962385814</v>
      </c>
      <c r="I487" s="129">
        <v>672.75</v>
      </c>
      <c r="J487" s="130">
        <f>10000*$I$487/55830</f>
        <v>120.49973132724342</v>
      </c>
      <c r="K487" s="129">
        <v>616.66999999999996</v>
      </c>
      <c r="L487" s="130">
        <f>10000*$K$487/55830</f>
        <v>110.45495253447967</v>
      </c>
      <c r="M487" s="129">
        <v>645.54999999999995</v>
      </c>
      <c r="N487" s="130">
        <f>10000*$M$487/55830</f>
        <v>115.62779867454773</v>
      </c>
      <c r="O487" s="123"/>
      <c r="P487" s="123"/>
    </row>
    <row r="488" spans="2:20" hidden="1">
      <c r="B488" s="126" t="s">
        <v>7</v>
      </c>
      <c r="C488" s="129">
        <v>685.68</v>
      </c>
      <c r="D488" s="130">
        <f>10000*$C$488/55830</f>
        <v>122.8156904889844</v>
      </c>
      <c r="E488" s="129">
        <v>723</v>
      </c>
      <c r="F488" s="130">
        <f>10000*$E$488/55830</f>
        <v>129.50026867275659</v>
      </c>
      <c r="G488" s="129">
        <v>780</v>
      </c>
      <c r="H488" s="130">
        <f>10000*$G$488/55830</f>
        <v>139.70983342289091</v>
      </c>
      <c r="I488" s="129">
        <v>626</v>
      </c>
      <c r="J488" s="130">
        <f>10000*$I$488/55830</f>
        <v>112.12609708042271</v>
      </c>
      <c r="K488" s="129">
        <v>690</v>
      </c>
      <c r="L488" s="130">
        <f>10000*$K$488/55830</f>
        <v>123.58946802794196</v>
      </c>
      <c r="M488" s="129">
        <v>624.34</v>
      </c>
      <c r="N488" s="130">
        <f>10000*M488/55830</f>
        <v>111.82876589647144</v>
      </c>
      <c r="O488" s="123"/>
      <c r="P488" s="123"/>
    </row>
    <row r="489" spans="2:20" hidden="1">
      <c r="B489" s="126" t="s">
        <v>8</v>
      </c>
      <c r="C489" s="129">
        <v>685</v>
      </c>
      <c r="D489" s="130">
        <f>10000*$C$489/55830</f>
        <v>122.69389217266702</v>
      </c>
      <c r="E489" s="129">
        <v>700</v>
      </c>
      <c r="F489" s="130">
        <f>10000*$E$489/55830</f>
        <v>125.38061973849184</v>
      </c>
      <c r="G489" s="129">
        <v>715</v>
      </c>
      <c r="H489" s="130">
        <f>10000*$G$489/55830</f>
        <v>128.06734730431668</v>
      </c>
      <c r="I489" s="129">
        <v>623</v>
      </c>
      <c r="J489" s="130">
        <f>10000*$I$489/55830</f>
        <v>111.58875156725775</v>
      </c>
      <c r="K489" s="129">
        <v>627.11</v>
      </c>
      <c r="L489" s="130">
        <f>10000*$K$489/55830</f>
        <v>112.32491492029375</v>
      </c>
      <c r="M489" s="129">
        <v>654</v>
      </c>
      <c r="N489" s="130">
        <f>10000*M489/55830</f>
        <v>117.14132186996238</v>
      </c>
      <c r="O489" s="123"/>
      <c r="P489" s="123"/>
    </row>
    <row r="490" spans="2:20" hidden="1">
      <c r="B490" s="126" t="s">
        <v>9</v>
      </c>
      <c r="C490" s="129">
        <v>685</v>
      </c>
      <c r="D490" s="130">
        <f>10000*$C$490/55830</f>
        <v>122.69389217266702</v>
      </c>
      <c r="E490" s="129">
        <v>723</v>
      </c>
      <c r="F490" s="130">
        <f>10000*$E$490/55830</f>
        <v>129.50026867275659</v>
      </c>
      <c r="G490" s="129">
        <v>678.75</v>
      </c>
      <c r="H490" s="130">
        <f>10000*$G$490/55830</f>
        <v>121.57442235357335</v>
      </c>
      <c r="I490" s="129">
        <v>646.75</v>
      </c>
      <c r="J490" s="130">
        <f>10000*$I$490/55830</f>
        <v>115.84273687981371</v>
      </c>
      <c r="K490" s="129">
        <v>684.8</v>
      </c>
      <c r="L490" s="130">
        <f>10000*$K$490/55830</f>
        <v>122.65806913845603</v>
      </c>
      <c r="M490" s="129">
        <v>629.16999999999996</v>
      </c>
      <c r="N490" s="130">
        <f>10000*M490/55830</f>
        <v>112.69389217266702</v>
      </c>
      <c r="O490" s="123"/>
      <c r="P490" s="123"/>
    </row>
    <row r="491" spans="2:20" hidden="1">
      <c r="B491" s="126" t="s">
        <v>10</v>
      </c>
      <c r="C491" s="129">
        <v>685</v>
      </c>
      <c r="D491" s="130">
        <f>10000*$C$491/55830</f>
        <v>122.69389217266702</v>
      </c>
      <c r="E491" s="129">
        <v>700</v>
      </c>
      <c r="F491" s="130">
        <f>10000*$E$491/55830</f>
        <v>125.38061973849184</v>
      </c>
      <c r="G491" s="129">
        <v>663.75</v>
      </c>
      <c r="H491" s="130">
        <f>10000*$G$491/55830</f>
        <v>118.88769478774853</v>
      </c>
      <c r="I491" s="129">
        <v>660.71</v>
      </c>
      <c r="J491" s="130">
        <f>10000*$I$491/55830</f>
        <v>118.34318466774135</v>
      </c>
      <c r="K491" s="129">
        <v>643.72</v>
      </c>
      <c r="L491" s="130">
        <f>10000*$K$491/55830</f>
        <v>115.3000179115171</v>
      </c>
      <c r="M491" s="129">
        <v>680.86</v>
      </c>
      <c r="N491" s="130">
        <f>10000*M491/55830</f>
        <v>121.95235536449937</v>
      </c>
      <c r="O491" s="123"/>
      <c r="P491" s="123"/>
    </row>
    <row r="492" spans="2:20" hidden="1">
      <c r="B492" s="126" t="s">
        <v>11</v>
      </c>
      <c r="C492" s="129">
        <v>685</v>
      </c>
      <c r="D492" s="130">
        <f>10000*$C$492/55830</f>
        <v>122.69389217266702</v>
      </c>
      <c r="E492" s="129">
        <v>700</v>
      </c>
      <c r="F492" s="130">
        <f>10000*$E$492/55830</f>
        <v>125.38061973849184</v>
      </c>
      <c r="G492" s="129">
        <v>635</v>
      </c>
      <c r="H492" s="130">
        <f>10000*$G$492/55830</f>
        <v>113.7381336199176</v>
      </c>
      <c r="I492" s="129">
        <v>608.5</v>
      </c>
      <c r="J492" s="130">
        <f>10000*$I$492/55830</f>
        <v>108.99158158696042</v>
      </c>
      <c r="K492" s="129">
        <v>629.14</v>
      </c>
      <c r="L492" s="130">
        <f>10000*$K$492/55830</f>
        <v>112.68851871753537</v>
      </c>
      <c r="M492" s="129">
        <v>636.86</v>
      </c>
      <c r="N492" s="130">
        <f>10000*M492/55830</f>
        <v>114.07128783807988</v>
      </c>
      <c r="O492" s="123"/>
      <c r="P492" s="123"/>
      <c r="Q492" s="180"/>
      <c r="R492" s="123"/>
      <c r="S492" s="122"/>
      <c r="T492" s="122"/>
    </row>
    <row r="493" spans="2:20" s="167" customFormat="1" hidden="1">
      <c r="B493" s="167" t="s">
        <v>127</v>
      </c>
      <c r="C493" s="169"/>
      <c r="D493" s="171"/>
      <c r="E493" s="168"/>
      <c r="F493" s="171"/>
      <c r="G493" s="168"/>
      <c r="H493" s="171"/>
      <c r="I493" s="168"/>
      <c r="J493" s="171"/>
      <c r="K493" s="168"/>
      <c r="L493" s="171"/>
      <c r="M493" s="168"/>
      <c r="N493" s="171"/>
      <c r="O493" s="171"/>
      <c r="P493" s="171"/>
      <c r="Q493" s="181"/>
      <c r="R493" s="171"/>
      <c r="S493" s="173"/>
      <c r="T493" s="173"/>
    </row>
    <row r="494" spans="2:20" s="167" customFormat="1" hidden="1">
      <c r="C494" s="127">
        <v>2000</v>
      </c>
      <c r="D494" s="134" t="s">
        <v>15</v>
      </c>
      <c r="E494" s="128">
        <v>2001</v>
      </c>
      <c r="F494" s="128" t="s">
        <v>15</v>
      </c>
      <c r="G494" s="128">
        <v>2002</v>
      </c>
      <c r="H494" s="128" t="s">
        <v>15</v>
      </c>
      <c r="I494" s="128">
        <v>2003</v>
      </c>
      <c r="J494" s="128" t="s">
        <v>15</v>
      </c>
      <c r="K494" s="128">
        <v>2004</v>
      </c>
      <c r="L494" s="128" t="s">
        <v>15</v>
      </c>
      <c r="M494" s="128">
        <v>2004</v>
      </c>
      <c r="N494" s="128" t="s">
        <v>15</v>
      </c>
      <c r="O494" s="182"/>
      <c r="P494" s="182"/>
      <c r="Q494" s="181"/>
      <c r="R494" s="171"/>
      <c r="S494" s="173"/>
      <c r="T494" s="173"/>
    </row>
    <row r="495" spans="2:20" s="167" customFormat="1" hidden="1">
      <c r="B495" s="126" t="s">
        <v>0</v>
      </c>
      <c r="C495" s="183">
        <v>685.71</v>
      </c>
      <c r="D495" s="130">
        <f>100*C495/E479</f>
        <v>122.82106394411608</v>
      </c>
      <c r="E495" s="129">
        <v>512.5</v>
      </c>
      <c r="F495" s="155">
        <f>100*E495/E479</f>
        <v>91.796525165681544</v>
      </c>
      <c r="G495" s="129">
        <v>616</v>
      </c>
      <c r="H495" s="155">
        <f t="shared" ref="H495:H506" si="454">100*G495/$E$479</f>
        <v>110.33494536987284</v>
      </c>
      <c r="I495" s="129">
        <v>653.25</v>
      </c>
      <c r="J495" s="155">
        <f t="shared" ref="J495:J506" si="455">100*I495/$E$479</f>
        <v>117.00698549167116</v>
      </c>
      <c r="K495" s="129">
        <v>668.25</v>
      </c>
      <c r="L495" s="155">
        <f t="shared" ref="L495:L506" si="456">100*K495/$E$479</f>
        <v>119.69371305749598</v>
      </c>
      <c r="M495" s="129">
        <v>668.25</v>
      </c>
      <c r="N495" s="155">
        <f t="shared" ref="N495:N506" si="457">100*M495/$E$479</f>
        <v>119.69371305749598</v>
      </c>
      <c r="O495" s="184"/>
      <c r="P495" s="184"/>
      <c r="Q495" s="181"/>
      <c r="R495" s="171"/>
      <c r="S495" s="173"/>
      <c r="T495" s="173"/>
    </row>
    <row r="496" spans="2:20" s="167" customFormat="1" hidden="1">
      <c r="B496" s="126" t="s">
        <v>1</v>
      </c>
      <c r="C496" s="183">
        <v>609.33000000000004</v>
      </c>
      <c r="D496" s="130">
        <f>100*C496/E479</f>
        <v>109.14024717893608</v>
      </c>
      <c r="E496" s="129">
        <v>505.25</v>
      </c>
      <c r="F496" s="155">
        <f t="shared" ref="F496:F506" si="458">100*E496/$E$479</f>
        <v>90.497940175532875</v>
      </c>
      <c r="G496" s="129">
        <v>637.6</v>
      </c>
      <c r="H496" s="155">
        <f t="shared" si="454"/>
        <v>114.20383306466059</v>
      </c>
      <c r="I496" s="129">
        <v>711.23</v>
      </c>
      <c r="J496" s="155">
        <f t="shared" si="455"/>
        <v>127.39208310943938</v>
      </c>
      <c r="K496" s="129">
        <v>685.25</v>
      </c>
      <c r="L496" s="155">
        <f t="shared" si="456"/>
        <v>122.73867096543079</v>
      </c>
      <c r="M496" s="129">
        <v>685.25</v>
      </c>
      <c r="N496" s="155">
        <f t="shared" si="457"/>
        <v>122.73867096543079</v>
      </c>
      <c r="O496" s="184"/>
      <c r="P496" s="184"/>
      <c r="Q496" s="181"/>
      <c r="R496" s="171"/>
      <c r="S496" s="173"/>
      <c r="T496" s="173"/>
    </row>
    <row r="497" spans="2:20" s="167" customFormat="1" hidden="1">
      <c r="B497" s="126" t="s">
        <v>2</v>
      </c>
      <c r="C497" s="183">
        <v>639.83000000000004</v>
      </c>
      <c r="D497" s="130">
        <f>100*C497/E479</f>
        <v>114.60325989611323</v>
      </c>
      <c r="E497" s="129">
        <v>545</v>
      </c>
      <c r="F497" s="155">
        <f t="shared" si="458"/>
        <v>97.617768224968657</v>
      </c>
      <c r="G497" s="129">
        <v>607.20000000000005</v>
      </c>
      <c r="H497" s="155">
        <f t="shared" si="454"/>
        <v>108.75873186458895</v>
      </c>
      <c r="I497" s="129">
        <v>699.5</v>
      </c>
      <c r="J497" s="155">
        <f t="shared" si="455"/>
        <v>125.29106215296437</v>
      </c>
      <c r="K497" s="129">
        <v>791.4</v>
      </c>
      <c r="L497" s="134">
        <f t="shared" si="456"/>
        <v>141.75174637291781</v>
      </c>
      <c r="M497" s="129">
        <v>791.4</v>
      </c>
      <c r="N497" s="134">
        <f t="shared" si="457"/>
        <v>141.75174637291781</v>
      </c>
      <c r="O497" s="185"/>
      <c r="P497" s="185"/>
      <c r="Q497" s="181"/>
      <c r="R497" s="171"/>
      <c r="S497" s="173"/>
      <c r="T497" s="173"/>
    </row>
    <row r="498" spans="2:20" s="167" customFormat="1" hidden="1">
      <c r="B498" s="126" t="s">
        <v>3</v>
      </c>
      <c r="C498" s="183">
        <v>613.66999999999996</v>
      </c>
      <c r="D498" s="130">
        <f>100*C498/E479</f>
        <v>109.91760702131469</v>
      </c>
      <c r="E498" s="129">
        <v>552.5</v>
      </c>
      <c r="F498" s="155">
        <f t="shared" si="458"/>
        <v>98.961132007881076</v>
      </c>
      <c r="G498" s="129">
        <v>525</v>
      </c>
      <c r="H498" s="155">
        <f t="shared" si="454"/>
        <v>94.035464803868891</v>
      </c>
      <c r="I498" s="129">
        <v>638.5</v>
      </c>
      <c r="J498" s="155">
        <f t="shared" si="455"/>
        <v>114.36503671861007</v>
      </c>
      <c r="K498" s="129">
        <v>761</v>
      </c>
      <c r="L498" s="134">
        <f t="shared" si="456"/>
        <v>136.30664517284615</v>
      </c>
      <c r="M498" s="129">
        <v>761</v>
      </c>
      <c r="N498" s="134">
        <f t="shared" si="457"/>
        <v>136.30664517284615</v>
      </c>
      <c r="O498" s="185"/>
      <c r="P498" s="185"/>
      <c r="Q498" s="181"/>
      <c r="R498" s="171"/>
      <c r="S498" s="173"/>
      <c r="T498" s="173"/>
    </row>
    <row r="499" spans="2:20" s="167" customFormat="1" hidden="1">
      <c r="B499" s="126" t="s">
        <v>4</v>
      </c>
      <c r="C499" s="183">
        <v>652.14</v>
      </c>
      <c r="D499" s="130">
        <f>100*C499/E479</f>
        <v>116.80816765180012</v>
      </c>
      <c r="E499" s="129">
        <v>542.5</v>
      </c>
      <c r="F499" s="155">
        <f t="shared" si="458"/>
        <v>97.169980297331193</v>
      </c>
      <c r="G499" s="129">
        <v>552.5</v>
      </c>
      <c r="H499" s="155">
        <f t="shared" si="454"/>
        <v>98.961132007881076</v>
      </c>
      <c r="I499" s="129">
        <v>692.38</v>
      </c>
      <c r="J499" s="130">
        <f t="shared" si="455"/>
        <v>124.01576213505285</v>
      </c>
      <c r="K499" s="129">
        <v>800</v>
      </c>
      <c r="L499" s="134">
        <f t="shared" si="456"/>
        <v>143.2921368439907</v>
      </c>
      <c r="M499" s="129">
        <v>800</v>
      </c>
      <c r="N499" s="134">
        <f t="shared" si="457"/>
        <v>143.2921368439907</v>
      </c>
      <c r="O499" s="185"/>
      <c r="P499" s="185"/>
      <c r="Q499" s="181"/>
      <c r="R499" s="171"/>
      <c r="S499" s="173"/>
      <c r="T499" s="173"/>
    </row>
    <row r="500" spans="2:20" s="167" customFormat="1" hidden="1">
      <c r="B500" s="126" t="s">
        <v>5</v>
      </c>
      <c r="C500" s="183">
        <v>681.47</v>
      </c>
      <c r="D500" s="130">
        <f t="shared" ref="D500:D506" si="459">100*C500/558.3</f>
        <v>122.06161561884292</v>
      </c>
      <c r="E500" s="129">
        <v>537.5</v>
      </c>
      <c r="F500" s="151">
        <f t="shared" si="458"/>
        <v>96.274404442056252</v>
      </c>
      <c r="G500" s="129">
        <v>569.5</v>
      </c>
      <c r="H500" s="151">
        <f t="shared" si="454"/>
        <v>102.00608991581588</v>
      </c>
      <c r="I500" s="129">
        <v>683.16</v>
      </c>
      <c r="J500" s="130">
        <f t="shared" si="455"/>
        <v>122.36432025792585</v>
      </c>
      <c r="K500" s="129">
        <v>846.6</v>
      </c>
      <c r="L500" s="134">
        <f t="shared" si="456"/>
        <v>151.63890381515316</v>
      </c>
      <c r="M500" s="129">
        <v>846.6</v>
      </c>
      <c r="N500" s="134">
        <f t="shared" si="457"/>
        <v>151.63890381515316</v>
      </c>
      <c r="O500" s="185"/>
      <c r="P500" s="185"/>
      <c r="Q500" s="181"/>
      <c r="R500" s="171"/>
      <c r="S500" s="173"/>
      <c r="T500" s="173"/>
    </row>
    <row r="501" spans="2:20" s="167" customFormat="1" hidden="1">
      <c r="B501" s="126" t="s">
        <v>6</v>
      </c>
      <c r="C501" s="183">
        <v>619.83000000000004</v>
      </c>
      <c r="D501" s="130">
        <f t="shared" si="459"/>
        <v>111.02095647501345</v>
      </c>
      <c r="E501" s="129">
        <v>552.79999999999995</v>
      </c>
      <c r="F501" s="151">
        <f t="shared" si="458"/>
        <v>99.014866559197557</v>
      </c>
      <c r="G501" s="129">
        <v>560</v>
      </c>
      <c r="H501" s="151">
        <f t="shared" si="454"/>
        <v>100.30449579079348</v>
      </c>
      <c r="I501" s="129">
        <v>701.8</v>
      </c>
      <c r="J501" s="130">
        <f t="shared" si="455"/>
        <v>125.70302704639084</v>
      </c>
      <c r="K501" s="129">
        <v>803.64</v>
      </c>
      <c r="L501" s="134">
        <f t="shared" si="456"/>
        <v>143.94411606663087</v>
      </c>
      <c r="M501" s="129">
        <v>803.64</v>
      </c>
      <c r="N501" s="134">
        <f t="shared" si="457"/>
        <v>143.94411606663087</v>
      </c>
      <c r="O501" s="185"/>
      <c r="P501" s="185"/>
      <c r="Q501" s="181"/>
      <c r="R501" s="171"/>
      <c r="S501" s="173"/>
      <c r="T501" s="173"/>
    </row>
    <row r="502" spans="2:20" s="167" customFormat="1" hidden="1">
      <c r="B502" s="126" t="s">
        <v>7</v>
      </c>
      <c r="C502" s="183">
        <v>598.33000000000004</v>
      </c>
      <c r="D502" s="130">
        <f t="shared" si="459"/>
        <v>107.16998029733121</v>
      </c>
      <c r="E502" s="129">
        <v>576</v>
      </c>
      <c r="F502" s="151">
        <f t="shared" si="458"/>
        <v>103.17033852767331</v>
      </c>
      <c r="G502" s="129">
        <v>597.17999999999995</v>
      </c>
      <c r="H502" s="151">
        <f t="shared" si="454"/>
        <v>106.96399785061794</v>
      </c>
      <c r="I502" s="129">
        <v>711.2</v>
      </c>
      <c r="J502" s="130">
        <f t="shared" si="455"/>
        <v>127.38670965430774</v>
      </c>
      <c r="K502" s="129">
        <v>796.2</v>
      </c>
      <c r="L502" s="134">
        <f t="shared" si="456"/>
        <v>142.61149919398173</v>
      </c>
      <c r="M502" s="129">
        <v>796.2</v>
      </c>
      <c r="N502" s="134">
        <f t="shared" si="457"/>
        <v>142.61149919398173</v>
      </c>
      <c r="O502" s="185"/>
      <c r="P502" s="185"/>
      <c r="Q502" s="181"/>
      <c r="R502" s="171"/>
      <c r="S502" s="173"/>
      <c r="T502" s="173"/>
    </row>
    <row r="503" spans="2:20" s="167" customFormat="1" hidden="1">
      <c r="B503" s="126" t="s">
        <v>8</v>
      </c>
      <c r="C503" s="183">
        <v>632.71</v>
      </c>
      <c r="D503" s="130">
        <f t="shared" si="459"/>
        <v>113.3279598782017</v>
      </c>
      <c r="E503" s="129">
        <v>520.5</v>
      </c>
      <c r="F503" s="151">
        <f t="shared" si="458"/>
        <v>93.22944653412145</v>
      </c>
      <c r="G503" s="129">
        <v>632.5</v>
      </c>
      <c r="H503" s="151">
        <f t="shared" si="454"/>
        <v>113.29034569228014</v>
      </c>
      <c r="I503" s="129">
        <v>728.2</v>
      </c>
      <c r="J503" s="130">
        <f t="shared" si="455"/>
        <v>130.43166756224252</v>
      </c>
      <c r="K503" s="129">
        <v>804.4</v>
      </c>
      <c r="L503" s="134">
        <f t="shared" si="456"/>
        <v>144.08024359663264</v>
      </c>
      <c r="M503" s="129">
        <v>804.4</v>
      </c>
      <c r="N503" s="134">
        <f t="shared" si="457"/>
        <v>144.08024359663264</v>
      </c>
      <c r="O503" s="185"/>
      <c r="P503" s="185"/>
      <c r="Q503" s="181"/>
      <c r="R503" s="171"/>
      <c r="S503" s="173"/>
      <c r="T503" s="173"/>
    </row>
    <row r="504" spans="2:20" s="167" customFormat="1" hidden="1">
      <c r="B504" s="126" t="s">
        <v>9</v>
      </c>
      <c r="C504" s="183">
        <v>596.33000000000004</v>
      </c>
      <c r="D504" s="130">
        <f t="shared" si="459"/>
        <v>106.81174995522123</v>
      </c>
      <c r="E504" s="129">
        <v>610</v>
      </c>
      <c r="F504" s="151">
        <f t="shared" si="458"/>
        <v>109.26025434354291</v>
      </c>
      <c r="G504" s="129">
        <v>656.95</v>
      </c>
      <c r="H504" s="151">
        <f t="shared" si="454"/>
        <v>117.66971162457462</v>
      </c>
      <c r="I504" s="129">
        <v>663.4</v>
      </c>
      <c r="J504" s="130">
        <f t="shared" si="455"/>
        <v>118.82500447787929</v>
      </c>
      <c r="K504" s="129">
        <v>808.4</v>
      </c>
      <c r="L504" s="134">
        <f t="shared" si="456"/>
        <v>144.79670428085259</v>
      </c>
      <c r="M504" s="129">
        <v>808.4</v>
      </c>
      <c r="N504" s="134">
        <f t="shared" si="457"/>
        <v>144.79670428085259</v>
      </c>
      <c r="O504" s="185"/>
      <c r="P504" s="185"/>
      <c r="Q504" s="181"/>
      <c r="R504" s="171"/>
      <c r="S504" s="173"/>
      <c r="T504" s="173"/>
    </row>
    <row r="505" spans="2:20" s="167" customFormat="1" hidden="1">
      <c r="B505" s="126" t="s">
        <v>10</v>
      </c>
      <c r="C505" s="183">
        <v>564.29999999999995</v>
      </c>
      <c r="D505" s="130">
        <f t="shared" si="459"/>
        <v>101.07469102632993</v>
      </c>
      <c r="E505" s="129">
        <v>532.5</v>
      </c>
      <c r="F505" s="151">
        <f t="shared" si="458"/>
        <v>95.37882858678131</v>
      </c>
      <c r="G505" s="129">
        <v>679.2</v>
      </c>
      <c r="H505" s="151">
        <f t="shared" si="454"/>
        <v>121.6550241805481</v>
      </c>
      <c r="I505" s="129">
        <v>663.25</v>
      </c>
      <c r="J505" s="130">
        <f t="shared" si="455"/>
        <v>118.79813720222104</v>
      </c>
      <c r="K505" s="129">
        <v>847.4</v>
      </c>
      <c r="L505" s="134">
        <f t="shared" si="456"/>
        <v>151.78219595199715</v>
      </c>
      <c r="M505" s="129">
        <v>847.4</v>
      </c>
      <c r="N505" s="134">
        <f t="shared" si="457"/>
        <v>151.78219595199715</v>
      </c>
      <c r="O505" s="185"/>
      <c r="P505" s="185"/>
      <c r="Q505" s="181"/>
      <c r="R505" s="171"/>
      <c r="S505" s="173"/>
      <c r="T505" s="173"/>
    </row>
    <row r="506" spans="2:20" s="167" customFormat="1" hidden="1">
      <c r="B506" s="423" t="s">
        <v>11</v>
      </c>
      <c r="C506" s="424">
        <v>595</v>
      </c>
      <c r="D506" s="425">
        <f t="shared" si="459"/>
        <v>106.57352677771809</v>
      </c>
      <c r="E506" s="426">
        <v>569.5</v>
      </c>
      <c r="F506" s="427">
        <f t="shared" si="458"/>
        <v>102.00608991581588</v>
      </c>
      <c r="G506" s="426">
        <v>650</v>
      </c>
      <c r="H506" s="427">
        <f t="shared" si="454"/>
        <v>116.42486118574244</v>
      </c>
      <c r="I506" s="426">
        <v>690.25</v>
      </c>
      <c r="J506" s="425">
        <f t="shared" si="455"/>
        <v>123.63424682070573</v>
      </c>
      <c r="K506" s="426">
        <v>816.4</v>
      </c>
      <c r="L506" s="428">
        <f t="shared" si="456"/>
        <v>146.2296256492925</v>
      </c>
      <c r="M506" s="426">
        <v>816.4</v>
      </c>
      <c r="N506" s="428">
        <f t="shared" si="457"/>
        <v>146.2296256492925</v>
      </c>
      <c r="O506" s="185"/>
      <c r="P506" s="185"/>
      <c r="Q506" s="181"/>
      <c r="R506" s="171"/>
      <c r="S506" s="173"/>
      <c r="T506" s="173"/>
    </row>
    <row r="507" spans="2:20" ht="18.75" thickBot="1">
      <c r="B507" s="1323" t="s">
        <v>198</v>
      </c>
      <c r="C507" s="1324"/>
      <c r="D507" s="1324"/>
      <c r="E507" s="1324"/>
      <c r="F507" s="1324"/>
      <c r="G507" s="1324"/>
      <c r="H507" s="1324"/>
      <c r="I507" s="1324"/>
      <c r="J507" s="1324"/>
      <c r="K507" s="1324"/>
      <c r="L507" s="429" t="s">
        <v>17</v>
      </c>
      <c r="M507" s="395"/>
      <c r="N507" s="430"/>
      <c r="O507" s="123"/>
      <c r="P507" s="123"/>
      <c r="Q507" s="180"/>
      <c r="R507" s="123"/>
      <c r="S507" s="122"/>
      <c r="T507" s="122"/>
    </row>
    <row r="508" spans="2:20">
      <c r="B508" s="1343" t="s">
        <v>192</v>
      </c>
      <c r="C508" s="1344"/>
      <c r="D508" s="431" t="s">
        <v>15</v>
      </c>
      <c r="E508" s="432" t="s">
        <v>219</v>
      </c>
      <c r="F508" s="431" t="s">
        <v>15</v>
      </c>
      <c r="G508" s="431">
        <v>2007</v>
      </c>
      <c r="H508" s="431" t="s">
        <v>15</v>
      </c>
      <c r="I508" s="431">
        <v>2008</v>
      </c>
      <c r="J508" s="431" t="s">
        <v>15</v>
      </c>
      <c r="K508" s="431">
        <v>2009</v>
      </c>
      <c r="L508" s="431" t="s">
        <v>15</v>
      </c>
      <c r="M508" s="431">
        <v>2010</v>
      </c>
      <c r="N508" s="394" t="s">
        <v>15</v>
      </c>
      <c r="Q508" s="180"/>
      <c r="R508" s="123"/>
      <c r="S508" s="122"/>
      <c r="T508" s="122"/>
    </row>
    <row r="509" spans="2:20">
      <c r="B509" s="310" t="s">
        <v>0</v>
      </c>
      <c r="C509" s="433">
        <v>852.76</v>
      </c>
      <c r="D509" s="370">
        <f t="shared" ref="D509:D520" si="460">100*C509/$E$479</f>
        <v>152.7422532688519</v>
      </c>
      <c r="E509" s="433">
        <v>833.44</v>
      </c>
      <c r="F509" s="370">
        <f t="shared" ref="F509:F520" si="461">100*E509/$E$479</f>
        <v>149.28174816406951</v>
      </c>
      <c r="G509" s="311">
        <v>831.67</v>
      </c>
      <c r="H509" s="370">
        <f t="shared" ref="H509:H520" si="462">100*G509/$E$479</f>
        <v>148.96471431130217</v>
      </c>
      <c r="I509" s="311">
        <v>786.66666666666663</v>
      </c>
      <c r="J509" s="370">
        <f t="shared" ref="J509:J520" si="463">100*I509/$E$479</f>
        <v>140.90393456325751</v>
      </c>
      <c r="K509" s="311">
        <v>810</v>
      </c>
      <c r="L509" s="370">
        <f t="shared" ref="L509:L520" si="464">100*K509/$E$479</f>
        <v>145.08328855454059</v>
      </c>
      <c r="M509" s="311">
        <v>770</v>
      </c>
      <c r="N509" s="371">
        <f t="shared" ref="N509:N520" si="465">100*M509/$E$479</f>
        <v>137.91868171234105</v>
      </c>
      <c r="Q509" s="180"/>
      <c r="R509" s="123"/>
      <c r="S509" s="122"/>
      <c r="T509" s="122"/>
    </row>
    <row r="510" spans="2:20">
      <c r="B510" s="310" t="s">
        <v>1</v>
      </c>
      <c r="C510" s="433">
        <v>837.7</v>
      </c>
      <c r="D510" s="370">
        <f t="shared" si="460"/>
        <v>150.04477879276376</v>
      </c>
      <c r="E510" s="433">
        <v>850.71</v>
      </c>
      <c r="F510" s="370">
        <f t="shared" si="461"/>
        <v>152.37506716818916</v>
      </c>
      <c r="G510" s="311">
        <v>846.16</v>
      </c>
      <c r="H510" s="370">
        <f t="shared" si="462"/>
        <v>151.56009313988895</v>
      </c>
      <c r="I510" s="311">
        <v>786.66666666666663</v>
      </c>
      <c r="J510" s="370">
        <f t="shared" si="463"/>
        <v>140.90393456325751</v>
      </c>
      <c r="K510" s="311">
        <v>810</v>
      </c>
      <c r="L510" s="370">
        <f t="shared" si="464"/>
        <v>145.08328855454059</v>
      </c>
      <c r="M510" s="311">
        <v>770</v>
      </c>
      <c r="N510" s="371">
        <f t="shared" si="465"/>
        <v>137.91868171234105</v>
      </c>
      <c r="Q510" s="180"/>
      <c r="R510" s="123"/>
      <c r="S510" s="122"/>
      <c r="T510" s="122"/>
    </row>
    <row r="511" spans="2:20">
      <c r="B511" s="310" t="s">
        <v>2</v>
      </c>
      <c r="C511" s="433">
        <v>819.27</v>
      </c>
      <c r="D511" s="345">
        <f t="shared" si="460"/>
        <v>146.74368619022033</v>
      </c>
      <c r="E511" s="433">
        <v>908.22</v>
      </c>
      <c r="F511" s="345">
        <f t="shared" si="461"/>
        <v>162.67598065556155</v>
      </c>
      <c r="G511" s="311">
        <v>842</v>
      </c>
      <c r="H511" s="370">
        <f t="shared" si="462"/>
        <v>150.81497402830021</v>
      </c>
      <c r="I511" s="311">
        <v>793.33333333333337</v>
      </c>
      <c r="J511" s="370">
        <f t="shared" si="463"/>
        <v>142.09803570362413</v>
      </c>
      <c r="K511" s="311">
        <v>810</v>
      </c>
      <c r="L511" s="370">
        <f t="shared" si="464"/>
        <v>145.08328855454059</v>
      </c>
      <c r="M511" s="311">
        <v>770</v>
      </c>
      <c r="N511" s="371">
        <f t="shared" si="465"/>
        <v>137.91868171234105</v>
      </c>
      <c r="Q511" s="180"/>
      <c r="R511" s="123"/>
      <c r="S511" s="122"/>
      <c r="T511" s="122"/>
    </row>
    <row r="512" spans="2:20">
      <c r="B512" s="310" t="s">
        <v>3</v>
      </c>
      <c r="C512" s="433">
        <v>846.93</v>
      </c>
      <c r="D512" s="345">
        <f t="shared" si="460"/>
        <v>151.69801182160131</v>
      </c>
      <c r="E512" s="433">
        <v>876.38</v>
      </c>
      <c r="F512" s="345">
        <f t="shared" si="461"/>
        <v>156.9729536091707</v>
      </c>
      <c r="G512" s="311">
        <v>806.43</v>
      </c>
      <c r="H512" s="370">
        <f t="shared" si="462"/>
        <v>144.44384739387428</v>
      </c>
      <c r="I512" s="311">
        <v>793.33333333333337</v>
      </c>
      <c r="J512" s="370">
        <f t="shared" si="463"/>
        <v>142.09803570362413</v>
      </c>
      <c r="K512" s="311">
        <v>810</v>
      </c>
      <c r="L512" s="370">
        <f t="shared" si="464"/>
        <v>145.08328855454059</v>
      </c>
      <c r="M512" s="311">
        <v>770</v>
      </c>
      <c r="N512" s="371">
        <f t="shared" si="465"/>
        <v>137.91868171234105</v>
      </c>
      <c r="Q512" s="180"/>
      <c r="R512" s="123"/>
      <c r="S512" s="122"/>
      <c r="T512" s="122"/>
    </row>
    <row r="513" spans="2:22">
      <c r="B513" s="310" t="s">
        <v>4</v>
      </c>
      <c r="C513" s="433">
        <v>830.25</v>
      </c>
      <c r="D513" s="345">
        <f t="shared" si="460"/>
        <v>148.71037076840409</v>
      </c>
      <c r="E513" s="433">
        <v>824.6</v>
      </c>
      <c r="F513" s="345">
        <f t="shared" si="461"/>
        <v>147.69837005194341</v>
      </c>
      <c r="G513" s="311">
        <v>827.33</v>
      </c>
      <c r="H513" s="370">
        <f t="shared" si="462"/>
        <v>148.18735446892353</v>
      </c>
      <c r="I513" s="311">
        <v>793.33333333333337</v>
      </c>
      <c r="J513" s="370">
        <f t="shared" si="463"/>
        <v>142.09803570362413</v>
      </c>
      <c r="K513" s="311">
        <v>810</v>
      </c>
      <c r="L513" s="370">
        <f t="shared" si="464"/>
        <v>145.08328855454059</v>
      </c>
      <c r="M513" s="311">
        <v>743</v>
      </c>
      <c r="N513" s="371">
        <f t="shared" si="465"/>
        <v>133.08257209385636</v>
      </c>
      <c r="Q513" s="180"/>
      <c r="R513" s="123"/>
      <c r="S513" s="122"/>
      <c r="T513" s="122"/>
    </row>
    <row r="514" spans="2:22">
      <c r="B514" s="310" t="s">
        <v>5</v>
      </c>
      <c r="C514" s="433">
        <v>831</v>
      </c>
      <c r="D514" s="345">
        <f t="shared" si="460"/>
        <v>148.84470714669533</v>
      </c>
      <c r="E514" s="433">
        <v>815.8</v>
      </c>
      <c r="F514" s="345">
        <f t="shared" si="461"/>
        <v>146.12215654665951</v>
      </c>
      <c r="G514" s="311">
        <v>843.375</v>
      </c>
      <c r="H514" s="370">
        <f t="shared" si="462"/>
        <v>151.06125738850082</v>
      </c>
      <c r="I514" s="311">
        <v>800</v>
      </c>
      <c r="J514" s="370">
        <f t="shared" si="463"/>
        <v>143.2921368439907</v>
      </c>
      <c r="K514" s="311">
        <v>810</v>
      </c>
      <c r="L514" s="370">
        <f t="shared" si="464"/>
        <v>145.08328855454059</v>
      </c>
      <c r="M514" s="311">
        <v>743</v>
      </c>
      <c r="N514" s="371">
        <f t="shared" si="465"/>
        <v>133.08257209385636</v>
      </c>
      <c r="Q514" s="180"/>
      <c r="R514" s="123"/>
      <c r="S514" s="122"/>
      <c r="T514" s="122"/>
    </row>
    <row r="515" spans="2:22">
      <c r="B515" s="310" t="s">
        <v>6</v>
      </c>
      <c r="C515" s="433">
        <v>837.71</v>
      </c>
      <c r="D515" s="345">
        <f t="shared" si="460"/>
        <v>150.0465699444743</v>
      </c>
      <c r="E515" s="433">
        <v>811.13</v>
      </c>
      <c r="F515" s="345">
        <f t="shared" si="461"/>
        <v>145.28568869783271</v>
      </c>
      <c r="G515" s="311">
        <v>760</v>
      </c>
      <c r="H515" s="370">
        <f t="shared" si="462"/>
        <v>136.12753000179117</v>
      </c>
      <c r="I515" s="311">
        <v>810</v>
      </c>
      <c r="J515" s="370">
        <f t="shared" si="463"/>
        <v>145.08328855454059</v>
      </c>
      <c r="K515" s="311">
        <v>810</v>
      </c>
      <c r="L515" s="370">
        <f t="shared" si="464"/>
        <v>145.08328855454059</v>
      </c>
      <c r="M515" s="311">
        <v>743</v>
      </c>
      <c r="N515" s="371">
        <f t="shared" si="465"/>
        <v>133.08257209385636</v>
      </c>
      <c r="Q515" s="180"/>
      <c r="R515" s="123"/>
      <c r="S515" s="122"/>
      <c r="T515" s="122"/>
    </row>
    <row r="516" spans="2:22">
      <c r="B516" s="310" t="s">
        <v>7</v>
      </c>
      <c r="C516" s="433">
        <v>816.32</v>
      </c>
      <c r="D516" s="345">
        <f t="shared" si="460"/>
        <v>146.21529643560811</v>
      </c>
      <c r="E516" s="433">
        <v>840.29</v>
      </c>
      <c r="F516" s="345">
        <f t="shared" si="461"/>
        <v>150.50868708579617</v>
      </c>
      <c r="G516" s="311">
        <v>770</v>
      </c>
      <c r="H516" s="370">
        <f t="shared" si="462"/>
        <v>137.91868171234105</v>
      </c>
      <c r="I516" s="311">
        <v>810</v>
      </c>
      <c r="J516" s="370">
        <f t="shared" si="463"/>
        <v>145.08328855454059</v>
      </c>
      <c r="K516" s="311">
        <v>810</v>
      </c>
      <c r="L516" s="370">
        <f t="shared" si="464"/>
        <v>145.08328855454059</v>
      </c>
      <c r="M516" s="311">
        <v>743</v>
      </c>
      <c r="N516" s="371">
        <f t="shared" si="465"/>
        <v>133.08257209385636</v>
      </c>
      <c r="Q516" s="180"/>
      <c r="R516" s="123"/>
      <c r="S516" s="122"/>
      <c r="T516" s="122"/>
    </row>
    <row r="517" spans="2:22">
      <c r="B517" s="310" t="s">
        <v>8</v>
      </c>
      <c r="C517" s="433">
        <v>787.39</v>
      </c>
      <c r="D517" s="345">
        <f t="shared" si="460"/>
        <v>141.03349453698729</v>
      </c>
      <c r="E517" s="433">
        <v>816.33</v>
      </c>
      <c r="F517" s="345">
        <f t="shared" si="461"/>
        <v>146.21708758731864</v>
      </c>
      <c r="G517" s="311">
        <v>770</v>
      </c>
      <c r="H517" s="370">
        <f t="shared" si="462"/>
        <v>137.91868171234105</v>
      </c>
      <c r="I517" s="311">
        <v>810</v>
      </c>
      <c r="J517" s="370">
        <f t="shared" si="463"/>
        <v>145.08328855454059</v>
      </c>
      <c r="K517" s="311">
        <v>810</v>
      </c>
      <c r="L517" s="370">
        <f t="shared" si="464"/>
        <v>145.08328855454059</v>
      </c>
      <c r="M517" s="311">
        <v>743</v>
      </c>
      <c r="N517" s="371">
        <f t="shared" si="465"/>
        <v>133.08257209385636</v>
      </c>
      <c r="Q517" s="180"/>
      <c r="R517" s="123"/>
      <c r="S517" s="122"/>
      <c r="T517" s="122"/>
    </row>
    <row r="518" spans="2:22">
      <c r="B518" s="310" t="s">
        <v>9</v>
      </c>
      <c r="C518" s="433">
        <v>817.57</v>
      </c>
      <c r="D518" s="345">
        <f t="shared" si="460"/>
        <v>146.43919039942685</v>
      </c>
      <c r="E518" s="433">
        <v>783.33</v>
      </c>
      <c r="F518" s="345">
        <f t="shared" si="461"/>
        <v>140.30628694250404</v>
      </c>
      <c r="G518" s="311">
        <v>786.66666666666663</v>
      </c>
      <c r="H518" s="370">
        <f t="shared" si="462"/>
        <v>140.90393456325751</v>
      </c>
      <c r="I518" s="311">
        <v>810</v>
      </c>
      <c r="J518" s="370">
        <f t="shared" si="463"/>
        <v>145.08328855454059</v>
      </c>
      <c r="K518" s="311">
        <v>810</v>
      </c>
      <c r="L518" s="370">
        <f t="shared" si="464"/>
        <v>145.08328855454059</v>
      </c>
      <c r="M518" s="311">
        <v>759.66666666666663</v>
      </c>
      <c r="N518" s="371">
        <f t="shared" si="465"/>
        <v>136.06782494477281</v>
      </c>
      <c r="Q518" s="180"/>
      <c r="R518" s="123"/>
      <c r="S518" s="122"/>
      <c r="T518" s="122"/>
    </row>
    <row r="519" spans="2:22">
      <c r="B519" s="310" t="s">
        <v>10</v>
      </c>
      <c r="C519" s="433">
        <v>805.89</v>
      </c>
      <c r="D519" s="345">
        <f t="shared" si="460"/>
        <v>144.34712520150458</v>
      </c>
      <c r="E519" s="433">
        <v>805.22</v>
      </c>
      <c r="F519" s="345">
        <f t="shared" si="461"/>
        <v>144.22711803689774</v>
      </c>
      <c r="G519" s="311">
        <v>786.66666666666663</v>
      </c>
      <c r="H519" s="370">
        <f t="shared" si="462"/>
        <v>140.90393456325751</v>
      </c>
      <c r="I519" s="311">
        <v>810</v>
      </c>
      <c r="J519" s="370">
        <f t="shared" si="463"/>
        <v>145.08328855454059</v>
      </c>
      <c r="K519" s="311">
        <v>810</v>
      </c>
      <c r="L519" s="370">
        <f t="shared" si="464"/>
        <v>145.08328855454059</v>
      </c>
      <c r="M519" s="311">
        <v>759.66666666666663</v>
      </c>
      <c r="N519" s="371">
        <f t="shared" si="465"/>
        <v>136.06782494477281</v>
      </c>
      <c r="Q519" s="180"/>
      <c r="R519" s="123"/>
      <c r="S519" s="122"/>
      <c r="T519" s="122"/>
    </row>
    <row r="520" spans="2:22" ht="15.75" thickBot="1">
      <c r="B520" s="314" t="s">
        <v>11</v>
      </c>
      <c r="C520" s="434">
        <v>809.13</v>
      </c>
      <c r="D520" s="348">
        <f t="shared" si="460"/>
        <v>144.92745835572273</v>
      </c>
      <c r="E520" s="434">
        <v>819.63</v>
      </c>
      <c r="F520" s="348">
        <f t="shared" si="461"/>
        <v>146.80816765180012</v>
      </c>
      <c r="G520" s="315">
        <v>786.66666666666663</v>
      </c>
      <c r="H520" s="372">
        <f t="shared" si="462"/>
        <v>140.90393456325751</v>
      </c>
      <c r="I520" s="315">
        <v>810</v>
      </c>
      <c r="J520" s="372">
        <f t="shared" si="463"/>
        <v>145.08328855454059</v>
      </c>
      <c r="K520" s="315">
        <v>810</v>
      </c>
      <c r="L520" s="372">
        <f t="shared" si="464"/>
        <v>145.08328855454059</v>
      </c>
      <c r="M520" s="315">
        <v>759.66666666666663</v>
      </c>
      <c r="N520" s="373">
        <f t="shared" si="465"/>
        <v>136.06782494477281</v>
      </c>
      <c r="Q520" s="180"/>
      <c r="R520" s="123"/>
      <c r="S520" s="122"/>
      <c r="T520" s="122"/>
    </row>
    <row r="521" spans="2:22">
      <c r="B521" s="119"/>
      <c r="C521" s="180"/>
      <c r="D521" s="132"/>
      <c r="E521" s="180"/>
      <c r="F521" s="132"/>
      <c r="G521" s="118"/>
      <c r="H521" s="156"/>
      <c r="I521" s="118"/>
      <c r="J521" s="156"/>
      <c r="K521" s="118"/>
      <c r="L521" s="156"/>
      <c r="M521" s="118"/>
      <c r="N521" s="156"/>
      <c r="O521" s="118"/>
      <c r="P521" s="156"/>
      <c r="Q521" s="180"/>
      <c r="R521" s="123"/>
      <c r="S521" s="122"/>
      <c r="T521" s="122"/>
    </row>
    <row r="522" spans="2:22" ht="18.75" thickBot="1">
      <c r="B522" s="1296" t="s">
        <v>198</v>
      </c>
      <c r="C522" s="1297"/>
      <c r="D522" s="1297"/>
      <c r="E522" s="1297"/>
      <c r="F522" s="1297"/>
      <c r="G522" s="1297"/>
      <c r="H522" s="1297"/>
      <c r="I522" s="1297"/>
      <c r="J522" s="1297"/>
      <c r="K522" s="1297"/>
      <c r="L522" s="1297"/>
      <c r="M522" s="1297"/>
      <c r="N522" s="1297"/>
      <c r="O522" s="1297"/>
      <c r="P522" s="1297"/>
      <c r="Q522" s="1297"/>
      <c r="R522" s="1297"/>
      <c r="S522" s="1297"/>
      <c r="T522" s="1297"/>
      <c r="U522" s="1297"/>
      <c r="V522" s="1297"/>
    </row>
    <row r="523" spans="2:22" ht="15.75" thickBot="1">
      <c r="B523" s="1308">
        <v>2011</v>
      </c>
      <c r="C523" s="1309"/>
      <c r="D523" s="396" t="s">
        <v>15</v>
      </c>
      <c r="E523" s="396">
        <v>2012</v>
      </c>
      <c r="F523" s="397" t="s">
        <v>15</v>
      </c>
      <c r="G523" s="396">
        <v>2013</v>
      </c>
      <c r="H523" s="397" t="s">
        <v>15</v>
      </c>
      <c r="I523" s="396">
        <v>2014</v>
      </c>
      <c r="J523" s="397" t="s">
        <v>15</v>
      </c>
      <c r="K523" s="396">
        <v>2015</v>
      </c>
      <c r="L523" s="397" t="s">
        <v>15</v>
      </c>
      <c r="M523" s="396">
        <v>2016</v>
      </c>
      <c r="N523" s="397" t="s">
        <v>15</v>
      </c>
      <c r="O523" s="396">
        <v>2017</v>
      </c>
      <c r="P523" s="397" t="s">
        <v>15</v>
      </c>
      <c r="Q523" s="396">
        <v>2018</v>
      </c>
      <c r="R523" s="397" t="s">
        <v>15</v>
      </c>
      <c r="S523" s="396">
        <v>2019</v>
      </c>
      <c r="T523" s="397" t="s">
        <v>15</v>
      </c>
      <c r="U523" s="396">
        <v>2020</v>
      </c>
      <c r="V523" s="397" t="s">
        <v>15</v>
      </c>
    </row>
    <row r="524" spans="2:22">
      <c r="B524" s="306" t="s">
        <v>0</v>
      </c>
      <c r="C524" s="307">
        <v>760.66666666666663</v>
      </c>
      <c r="D524" s="435">
        <f t="shared" ref="D524:D535" si="466">100*C524/$E$479</f>
        <v>136.24694011582781</v>
      </c>
      <c r="E524" s="307">
        <v>776.33333333333337</v>
      </c>
      <c r="F524" s="436">
        <f t="shared" ref="F524:F532" si="467">100*E524/$E$479</f>
        <v>139.05307779568932</v>
      </c>
      <c r="G524" s="657">
        <f>[9]PLANCUSr!$H$29</f>
        <v>800</v>
      </c>
      <c r="H524" s="661">
        <f t="shared" ref="H524:H529" si="468">100*G524/$E$479</f>
        <v>143.2921368439907</v>
      </c>
      <c r="I524" s="657">
        <f>[10]PLANCUSr!$H$29</f>
        <v>770</v>
      </c>
      <c r="J524" s="661">
        <f t="shared" ref="J524:J529" si="469">100*I524/$E$479</f>
        <v>137.91868171234105</v>
      </c>
      <c r="K524" s="657">
        <f>[11]PLANCUSr!$H$29</f>
        <v>829.5</v>
      </c>
      <c r="L524" s="661">
        <f t="shared" ref="L524:L529" si="470">100*K524/$E$479</f>
        <v>148.57603439011285</v>
      </c>
      <c r="M524" s="657">
        <f>[12]PLANCUSr!$H$29</f>
        <v>829.5</v>
      </c>
      <c r="N524" s="661">
        <f t="shared" ref="N524" si="471">100*M524/$E$479</f>
        <v>148.57603439011285</v>
      </c>
      <c r="O524" s="657">
        <f>[13]PLANCUSr!$H$29</f>
        <v>839.95</v>
      </c>
      <c r="P524" s="661">
        <f t="shared" ref="P524" si="472">100*O524/$E$479</f>
        <v>150.44778792763748</v>
      </c>
      <c r="Q524" s="657">
        <f>[14]PLANCUSr!$H$29</f>
        <v>894.9</v>
      </c>
      <c r="R524" s="661">
        <f t="shared" ref="R524" si="473">100*Q524/$E$479</f>
        <v>160.29016657710909</v>
      </c>
      <c r="S524" s="657">
        <f>[15]PLANCUSr!$H$29</f>
        <v>899.9</v>
      </c>
      <c r="T524" s="661">
        <f t="shared" ref="T524" si="474">100*S524/$E$479</f>
        <v>161.18574243238405</v>
      </c>
      <c r="U524" s="657">
        <f>[16]PLANCUSr!$H$29</f>
        <v>912.9</v>
      </c>
      <c r="V524" s="661">
        <f t="shared" ref="V524" si="475">100*U524/$E$479</f>
        <v>163.51423965609888</v>
      </c>
    </row>
    <row r="525" spans="2:22">
      <c r="B525" s="310" t="s">
        <v>1</v>
      </c>
      <c r="C525" s="311">
        <v>760.66666666666663</v>
      </c>
      <c r="D525" s="370">
        <f t="shared" si="466"/>
        <v>136.24694011582781</v>
      </c>
      <c r="E525" s="311">
        <v>776.33333333333337</v>
      </c>
      <c r="F525" s="371">
        <f t="shared" si="467"/>
        <v>139.05307779568932</v>
      </c>
      <c r="G525" s="662">
        <f>[17]PLANCUSr!$H$29</f>
        <v>800</v>
      </c>
      <c r="H525" s="371">
        <f t="shared" si="468"/>
        <v>143.2921368439907</v>
      </c>
      <c r="I525" s="662">
        <f>[18]PLANCUSr!$H$29</f>
        <v>770</v>
      </c>
      <c r="J525" s="371">
        <f t="shared" si="469"/>
        <v>137.91868171234105</v>
      </c>
      <c r="K525" s="662">
        <f>[19]PLANCUSr!$H$29</f>
        <v>829.5</v>
      </c>
      <c r="L525" s="371">
        <f t="shared" si="470"/>
        <v>148.57603439011285</v>
      </c>
      <c r="M525" s="662">
        <f>[20]PLANCUSr!$H$29</f>
        <v>829.5</v>
      </c>
      <c r="N525" s="371">
        <f t="shared" ref="N525" si="476">100*M525/$E$479</f>
        <v>148.57603439011285</v>
      </c>
      <c r="O525" s="662">
        <f>[21]PLANCUSr!$H$29</f>
        <v>839.95</v>
      </c>
      <c r="P525" s="371">
        <f t="shared" ref="P525" si="477">100*O525/$E$479</f>
        <v>150.44778792763748</v>
      </c>
      <c r="Q525" s="662">
        <f>[22]PLANCUSr!$H$29</f>
        <v>894.9</v>
      </c>
      <c r="R525" s="371">
        <f t="shared" ref="R525" si="478">100*Q525/$E$479</f>
        <v>160.29016657710909</v>
      </c>
      <c r="S525" s="662">
        <f>[23]PLANCUSr!$H$29</f>
        <v>912.9</v>
      </c>
      <c r="T525" s="371">
        <f t="shared" ref="T525" si="479">100*S525/$E$479</f>
        <v>163.51423965609888</v>
      </c>
      <c r="U525" s="662">
        <f>[24]PLANCUSr!$H$29</f>
        <v>950.78535000000011</v>
      </c>
      <c r="V525" s="371">
        <f t="shared" ref="V525" si="480">100*U525/$E$479</f>
        <v>170.30008060182701</v>
      </c>
    </row>
    <row r="526" spans="2:22">
      <c r="B526" s="310" t="s">
        <v>2</v>
      </c>
      <c r="C526" s="311">
        <v>760.66666666666663</v>
      </c>
      <c r="D526" s="370">
        <f t="shared" si="466"/>
        <v>136.24694011582781</v>
      </c>
      <c r="E526" s="311">
        <v>776.33333333333337</v>
      </c>
      <c r="F526" s="371">
        <f t="shared" si="467"/>
        <v>139.05307779568932</v>
      </c>
      <c r="G526" s="662">
        <f>[25]PLANCUSr!$H$29</f>
        <v>800</v>
      </c>
      <c r="H526" s="371">
        <f t="shared" si="468"/>
        <v>143.2921368439907</v>
      </c>
      <c r="I526" s="662">
        <f>[26]PLANCUSr!$H$29</f>
        <v>770</v>
      </c>
      <c r="J526" s="371">
        <f t="shared" si="469"/>
        <v>137.91868171234105</v>
      </c>
      <c r="K526" s="662">
        <f>[27]PLANCUSr!$H$29</f>
        <v>829.5</v>
      </c>
      <c r="L526" s="371">
        <f t="shared" si="470"/>
        <v>148.57603439011285</v>
      </c>
      <c r="M526" s="662">
        <f>[28]PLANCUSr!$H$29</f>
        <v>829.5</v>
      </c>
      <c r="N526" s="371">
        <f t="shared" ref="N526" si="481">100*M526/$E$479</f>
        <v>148.57603439011285</v>
      </c>
      <c r="O526" s="662">
        <f>[29]PLANCUSr!$H$29</f>
        <v>862.4</v>
      </c>
      <c r="P526" s="371">
        <f t="shared" ref="P526" si="482">100*O526/$E$479</f>
        <v>154.46892351782196</v>
      </c>
      <c r="Q526" s="662">
        <f>[30]PLANCUSr!$H$29</f>
        <v>894.9</v>
      </c>
      <c r="R526" s="371">
        <f t="shared" ref="R526" si="483">100*Q526/$E$479</f>
        <v>160.29016657710909</v>
      </c>
      <c r="S526" s="662">
        <f>[31]PLANCUSr!$H$29</f>
        <v>912.9</v>
      </c>
      <c r="T526" s="371">
        <f t="shared" ref="T526" si="484">100*S526/$E$479</f>
        <v>163.51423965609888</v>
      </c>
      <c r="U526" s="662">
        <f>[32]PLANCUSr!$H$29</f>
        <v>950.78535000000011</v>
      </c>
      <c r="V526" s="371">
        <f t="shared" ref="V526" si="485">100*U526/$E$479</f>
        <v>170.30008060182701</v>
      </c>
    </row>
    <row r="527" spans="2:22">
      <c r="B527" s="310" t="s">
        <v>3</v>
      </c>
      <c r="C527" s="311">
        <v>760.66666666666663</v>
      </c>
      <c r="D527" s="370">
        <f t="shared" si="466"/>
        <v>136.24694011582781</v>
      </c>
      <c r="E527" s="311">
        <v>776.33333333333337</v>
      </c>
      <c r="F527" s="371">
        <f t="shared" si="467"/>
        <v>139.05307779568932</v>
      </c>
      <c r="G527" s="662">
        <f>[33]PLANCUSr!$H$29</f>
        <v>800</v>
      </c>
      <c r="H527" s="371">
        <f t="shared" si="468"/>
        <v>143.2921368439907</v>
      </c>
      <c r="I527" s="662">
        <f>[34]PLANCUSr!$H$29</f>
        <v>770</v>
      </c>
      <c r="J527" s="371">
        <f t="shared" si="469"/>
        <v>137.91868171234105</v>
      </c>
      <c r="K527" s="662">
        <f>[35]PLANCUSr!$H$29</f>
        <v>829.5</v>
      </c>
      <c r="L527" s="371">
        <f t="shared" si="470"/>
        <v>148.57603439011285</v>
      </c>
      <c r="M527" s="662">
        <f>[36]PLANCUSr!$H$29</f>
        <v>839.95</v>
      </c>
      <c r="N527" s="371">
        <f t="shared" ref="N527" si="486">100*M527/$E$479</f>
        <v>150.44778792763748</v>
      </c>
      <c r="O527" s="662">
        <f>[37]PLANCUSr!$H$29</f>
        <v>862.4</v>
      </c>
      <c r="P527" s="371">
        <f t="shared" ref="P527" si="487">100*O527/$E$479</f>
        <v>154.46892351782196</v>
      </c>
      <c r="Q527" s="662">
        <f>[38]PLANCUSr!$H$29</f>
        <v>899.9</v>
      </c>
      <c r="R527" s="371">
        <f t="shared" ref="R527" si="488">100*Q527/$E$479</f>
        <v>161.18574243238405</v>
      </c>
      <c r="S527" s="662">
        <f>[39]PLANCUSr!$H$29</f>
        <v>912.9</v>
      </c>
      <c r="T527" s="371">
        <f t="shared" ref="T527" si="489">100*S527/$E$479</f>
        <v>163.51423965609888</v>
      </c>
      <c r="U527" s="662">
        <f>[40]PLANCUSr!$H$29</f>
        <v>950.78535000000011</v>
      </c>
      <c r="V527" s="371">
        <f t="shared" ref="V527" si="490">100*U527/$E$479</f>
        <v>170.30008060182701</v>
      </c>
    </row>
    <row r="528" spans="2:22">
      <c r="B528" s="310" t="s">
        <v>4</v>
      </c>
      <c r="C528" s="311">
        <v>770</v>
      </c>
      <c r="D528" s="370">
        <f t="shared" si="466"/>
        <v>137.91868171234105</v>
      </c>
      <c r="E528" s="311">
        <v>791.66666666666663</v>
      </c>
      <c r="F528" s="371">
        <f t="shared" si="467"/>
        <v>141.79951041853244</v>
      </c>
      <c r="G528" s="662">
        <f>[41]PLANCUSr!$H$29</f>
        <v>800</v>
      </c>
      <c r="H528" s="371">
        <f t="shared" si="468"/>
        <v>143.2921368439907</v>
      </c>
      <c r="I528" s="662">
        <f>[42]PLANCUSr!$H$29</f>
        <v>770</v>
      </c>
      <c r="J528" s="371">
        <f t="shared" si="469"/>
        <v>137.91868171234105</v>
      </c>
      <c r="K528" s="662">
        <f>[43]PLANCUSr!$H$29</f>
        <v>829.5</v>
      </c>
      <c r="L528" s="371">
        <f t="shared" si="470"/>
        <v>148.57603439011285</v>
      </c>
      <c r="M528" s="662">
        <f>[44]PLANCUSr!$H$29</f>
        <v>839.95</v>
      </c>
      <c r="N528" s="371">
        <f t="shared" ref="N528" si="491">100*M528/$E$479</f>
        <v>150.44778792763748</v>
      </c>
      <c r="O528" s="662">
        <f>[45]PLANCUSr!$H$29</f>
        <v>862.4</v>
      </c>
      <c r="P528" s="371">
        <f t="shared" ref="P528" si="492">100*O528/$E$479</f>
        <v>154.46892351782196</v>
      </c>
      <c r="Q528" s="662">
        <f>[46]PLANCUSr!$H$29</f>
        <v>899.9</v>
      </c>
      <c r="R528" s="371">
        <f t="shared" ref="R528" si="493">100*Q528/$E$479</f>
        <v>161.18574243238405</v>
      </c>
      <c r="S528" s="662">
        <f>[47]PLANCUSr!$H$29</f>
        <v>912.9</v>
      </c>
      <c r="T528" s="371">
        <f t="shared" ref="T528" si="494">100*S528/$E$479</f>
        <v>163.51423965609888</v>
      </c>
      <c r="U528" s="662">
        <f>[48]PLANCUSr!$H$29</f>
        <v>950.78535000000011</v>
      </c>
      <c r="V528" s="371">
        <f t="shared" ref="V528" si="495">100*U528/$E$479</f>
        <v>170.30008060182701</v>
      </c>
    </row>
    <row r="529" spans="2:22">
      <c r="B529" s="310" t="s">
        <v>5</v>
      </c>
      <c r="C529" s="311">
        <v>770</v>
      </c>
      <c r="D529" s="370">
        <f t="shared" si="466"/>
        <v>137.91868171234105</v>
      </c>
      <c r="E529" s="311">
        <v>791.66666666666663</v>
      </c>
      <c r="F529" s="371">
        <f t="shared" si="467"/>
        <v>141.79951041853244</v>
      </c>
      <c r="G529" s="662">
        <f>[49]PLANCUSr!$H$29</f>
        <v>800</v>
      </c>
      <c r="H529" s="371">
        <f t="shared" si="468"/>
        <v>143.2921368439907</v>
      </c>
      <c r="I529" s="662">
        <f>[50]PLANCUSr!$H$29</f>
        <v>777.5</v>
      </c>
      <c r="J529" s="371">
        <f t="shared" si="469"/>
        <v>139.26204549525346</v>
      </c>
      <c r="K529" s="662">
        <f>[51]PLANCUSr!$H$29</f>
        <v>829.5</v>
      </c>
      <c r="L529" s="371">
        <f t="shared" si="470"/>
        <v>148.57603439011285</v>
      </c>
      <c r="M529" s="662">
        <f>[52]PLANCUSr!$H$29</f>
        <v>839.95</v>
      </c>
      <c r="N529" s="371">
        <f t="shared" ref="N529" si="496">100*M529/$E$479</f>
        <v>150.44778792763748</v>
      </c>
      <c r="O529" s="662">
        <f>[53]PLANCUSr!$H$29</f>
        <v>862.4</v>
      </c>
      <c r="P529" s="371">
        <f t="shared" ref="P529" si="497">100*O529/$E$479</f>
        <v>154.46892351782196</v>
      </c>
      <c r="Q529" s="662">
        <f>[54]PLANCUSr!$H$29</f>
        <v>899.9</v>
      </c>
      <c r="R529" s="371">
        <f t="shared" ref="R529" si="498">100*Q529/$E$479</f>
        <v>161.18574243238405</v>
      </c>
      <c r="S529" s="662">
        <f>[55]PLANCUSr!$H$29</f>
        <v>912.9</v>
      </c>
      <c r="T529" s="371">
        <f t="shared" ref="T529" si="499">100*S529/$E$479</f>
        <v>163.51423965609888</v>
      </c>
      <c r="U529" s="662">
        <f>[56]PLANCUSr!$H$29</f>
        <v>950.78535000000011</v>
      </c>
      <c r="V529" s="371">
        <f t="shared" ref="V529" si="500">100*U529/$E$479</f>
        <v>170.30008060182701</v>
      </c>
    </row>
    <row r="530" spans="2:22">
      <c r="B530" s="310" t="s">
        <v>6</v>
      </c>
      <c r="C530" s="311">
        <v>770</v>
      </c>
      <c r="D530" s="370">
        <f t="shared" si="466"/>
        <v>137.91868171234105</v>
      </c>
      <c r="E530" s="311">
        <f>[57]PLANCUSr!$H$29</f>
        <v>791.66666666666663</v>
      </c>
      <c r="F530" s="371">
        <f t="shared" si="467"/>
        <v>141.79951041853244</v>
      </c>
      <c r="G530" s="662">
        <f>[58]PLANCUSr!$H$29</f>
        <v>806.66666666666663</v>
      </c>
      <c r="H530" s="371">
        <f t="shared" ref="H530:H535" si="501">100*G530/$E$479</f>
        <v>144.48623798435727</v>
      </c>
      <c r="I530" s="662">
        <f>[59]PLANCUSr!$H$29</f>
        <v>777.5</v>
      </c>
      <c r="J530" s="371">
        <f t="shared" ref="J530:J535" si="502">100*I530/$E$479</f>
        <v>139.26204549525346</v>
      </c>
      <c r="K530" s="662">
        <f>[60]PLANCUSr!$H$29</f>
        <v>829.5</v>
      </c>
      <c r="L530" s="371">
        <f t="shared" ref="L530:L535" si="503">100*K530/$E$479</f>
        <v>148.57603439011285</v>
      </c>
      <c r="M530" s="662">
        <f>[61]PLANCUSr!$H$29</f>
        <v>839.95</v>
      </c>
      <c r="N530" s="371">
        <f t="shared" ref="N530" si="504">100*M530/$E$479</f>
        <v>150.44778792763748</v>
      </c>
      <c r="O530" s="662">
        <f>[62]PLANCUSr!$H$29</f>
        <v>862.4</v>
      </c>
      <c r="P530" s="371">
        <f t="shared" ref="P530" si="505">100*O530/$E$479</f>
        <v>154.46892351782196</v>
      </c>
      <c r="Q530" s="662">
        <f>[63]PLANCUSr!$H$29</f>
        <v>899.9</v>
      </c>
      <c r="R530" s="371">
        <f t="shared" ref="R530" si="506">100*Q530/$E$479</f>
        <v>161.18574243238405</v>
      </c>
      <c r="S530" s="662">
        <f>[64]PLANCUSr!$H$29</f>
        <v>912.9</v>
      </c>
      <c r="T530" s="371">
        <f t="shared" ref="T530" si="507">100*S530/$E$479</f>
        <v>163.51423965609888</v>
      </c>
      <c r="U530" s="662">
        <f>[65]PLANCUSr!$H$29</f>
        <v>950.78535000000011</v>
      </c>
      <c r="V530" s="371">
        <f t="shared" ref="V530" si="508">100*U530/$E$479</f>
        <v>170.30008060182701</v>
      </c>
    </row>
    <row r="531" spans="2:22">
      <c r="B531" s="310" t="s">
        <v>7</v>
      </c>
      <c r="C531" s="311">
        <v>770</v>
      </c>
      <c r="D531" s="370">
        <f t="shared" si="466"/>
        <v>137.91868171234105</v>
      </c>
      <c r="E531" s="311">
        <f>[66]PLANCUSr!$H$29</f>
        <v>791.66666666666663</v>
      </c>
      <c r="F531" s="371">
        <f t="shared" si="467"/>
        <v>141.79951041853244</v>
      </c>
      <c r="G531" s="662">
        <f>[67]PLANCUSr!$H$29</f>
        <v>806.66666666666663</v>
      </c>
      <c r="H531" s="371">
        <f t="shared" si="501"/>
        <v>144.48623798435727</v>
      </c>
      <c r="I531" s="662">
        <f>[68]PLANCUSr!$H$29</f>
        <v>777.5</v>
      </c>
      <c r="J531" s="371">
        <f t="shared" si="502"/>
        <v>139.26204549525346</v>
      </c>
      <c r="K531" s="662">
        <f>[69]PLANCUSr!$H$29</f>
        <v>829.5</v>
      </c>
      <c r="L531" s="371">
        <f t="shared" si="503"/>
        <v>148.57603439011285</v>
      </c>
      <c r="M531" s="662">
        <f>[70]PLANCUSr!$H$29</f>
        <v>839.95</v>
      </c>
      <c r="N531" s="371">
        <f t="shared" ref="N531" si="509">100*M531/$E$479</f>
        <v>150.44778792763748</v>
      </c>
      <c r="O531" s="662">
        <f>[71]PLANCUSr!$H$29</f>
        <v>882.4</v>
      </c>
      <c r="P531" s="371">
        <f t="shared" ref="P531" si="510">100*O531/$E$479</f>
        <v>158.05122693892173</v>
      </c>
      <c r="Q531" s="662">
        <f>[72]PLANCUSr!$H$29</f>
        <v>899.9</v>
      </c>
      <c r="R531" s="371">
        <f t="shared" ref="R531" si="511">100*Q531/$E$479</f>
        <v>161.18574243238405</v>
      </c>
      <c r="S531" s="662">
        <f>[73]PLANCUSr!$H$29</f>
        <v>912.9</v>
      </c>
      <c r="T531" s="371">
        <f t="shared" ref="T531" si="512">100*S531/$E$479</f>
        <v>163.51423965609888</v>
      </c>
      <c r="U531" s="662">
        <f>[74]PLANCUSr!$H$29</f>
        <v>950.78535000000011</v>
      </c>
      <c r="V531" s="371">
        <f t="shared" ref="V531" si="513">100*U531/$E$479</f>
        <v>170.30008060182701</v>
      </c>
    </row>
    <row r="532" spans="2:22">
      <c r="B532" s="310" t="s">
        <v>8</v>
      </c>
      <c r="C532" s="311">
        <v>770</v>
      </c>
      <c r="D532" s="370">
        <f t="shared" si="466"/>
        <v>137.91868171234105</v>
      </c>
      <c r="E532" s="311">
        <f>[75]PLANCUSr!$H$29</f>
        <v>791.66666666666663</v>
      </c>
      <c r="F532" s="371">
        <f t="shared" si="467"/>
        <v>141.79951041853244</v>
      </c>
      <c r="G532" s="662">
        <f>[76]PLANCUSr!$H$29</f>
        <v>806.66666666666663</v>
      </c>
      <c r="H532" s="371">
        <f t="shared" si="501"/>
        <v>144.48623798435727</v>
      </c>
      <c r="I532" s="662">
        <f>[77]PLANCUSr!$H$29</f>
        <v>777.5</v>
      </c>
      <c r="J532" s="371">
        <f t="shared" si="502"/>
        <v>139.26204549525346</v>
      </c>
      <c r="K532" s="662">
        <f>[78]PLANCUSr!$H$29</f>
        <v>829.5</v>
      </c>
      <c r="L532" s="371">
        <f t="shared" si="503"/>
        <v>148.57603439011285</v>
      </c>
      <c r="M532" s="662">
        <f>[79]PLANCUSr!$H$29</f>
        <v>839.95</v>
      </c>
      <c r="N532" s="371">
        <f t="shared" ref="N532" si="514">100*M532/$E$479</f>
        <v>150.44778792763748</v>
      </c>
      <c r="O532" s="662">
        <f>[80]PLANCUSr!$H$29</f>
        <v>882.4</v>
      </c>
      <c r="P532" s="371">
        <f t="shared" ref="P532" si="515">100*O532/$E$479</f>
        <v>158.05122693892173</v>
      </c>
      <c r="Q532" s="662">
        <f>[81]PLANCUSr!$H$29</f>
        <v>899.9</v>
      </c>
      <c r="R532" s="371">
        <f t="shared" ref="R532" si="516">100*Q532/$E$479</f>
        <v>161.18574243238405</v>
      </c>
      <c r="S532" s="662">
        <f>[82]PLANCUSr!$H$29</f>
        <v>912.9</v>
      </c>
      <c r="T532" s="371">
        <f t="shared" ref="T532" si="517">100*S532/$E$479</f>
        <v>163.51423965609888</v>
      </c>
      <c r="U532" s="662">
        <f>[123]PLANCUSr!$H$29</f>
        <v>950.78535000000011</v>
      </c>
      <c r="V532" s="371">
        <f t="shared" ref="V532" si="518">100*U532/$E$479</f>
        <v>170.30008060182701</v>
      </c>
    </row>
    <row r="533" spans="2:22">
      <c r="B533" s="310" t="s">
        <v>9</v>
      </c>
      <c r="C533" s="311">
        <v>776.33333333333337</v>
      </c>
      <c r="D533" s="370">
        <f t="shared" si="466"/>
        <v>139.05307779568932</v>
      </c>
      <c r="E533" s="311">
        <f>[83]PLANCUSr!$H$29</f>
        <v>791.66666666666663</v>
      </c>
      <c r="F533" s="371">
        <f>100*E533/$E$479</f>
        <v>141.79951041853244</v>
      </c>
      <c r="G533" s="662">
        <f>[84]PLANCUSr!$H$29</f>
        <v>806.66666666666663</v>
      </c>
      <c r="H533" s="371">
        <f t="shared" si="501"/>
        <v>144.48623798435727</v>
      </c>
      <c r="I533" s="662">
        <f>[85]PLANCUSr!$H$29</f>
        <v>777.5</v>
      </c>
      <c r="J533" s="371">
        <f t="shared" si="502"/>
        <v>139.26204549525346</v>
      </c>
      <c r="K533" s="662">
        <f>[86]PLANCUSr!$H$29</f>
        <v>829.5</v>
      </c>
      <c r="L533" s="371">
        <f t="shared" si="503"/>
        <v>148.57603439011285</v>
      </c>
      <c r="M533" s="662">
        <f>[87]PLANCUSr!$H$29</f>
        <v>839.95</v>
      </c>
      <c r="N533" s="371">
        <f t="shared" ref="N533" si="519">100*M533/$E$479</f>
        <v>150.44778792763748</v>
      </c>
      <c r="O533" s="662">
        <f>[88]PLANCUSr!$H$29</f>
        <v>882.4</v>
      </c>
      <c r="P533" s="371">
        <f t="shared" ref="P533" si="520">100*O533/$E$479</f>
        <v>158.05122693892173</v>
      </c>
      <c r="Q533" s="662">
        <f>[89]PLANCUSr!$H$29</f>
        <v>899.9</v>
      </c>
      <c r="R533" s="371">
        <f t="shared" ref="R533" si="521">100*Q533/$E$479</f>
        <v>161.18574243238405</v>
      </c>
      <c r="S533" s="662">
        <f>[90]PLANCUSr!$H$29</f>
        <v>912.9</v>
      </c>
      <c r="T533" s="371">
        <f t="shared" ref="T533" si="522">100*S533/$E$479</f>
        <v>163.51423965609888</v>
      </c>
      <c r="U533" s="662"/>
      <c r="V533" s="371"/>
    </row>
    <row r="534" spans="2:22">
      <c r="B534" s="310" t="s">
        <v>10</v>
      </c>
      <c r="C534" s="311">
        <v>776.33333333333337</v>
      </c>
      <c r="D534" s="370">
        <f t="shared" si="466"/>
        <v>139.05307779568932</v>
      </c>
      <c r="E534" s="311">
        <f>[91]PLANCUSr!$H$29</f>
        <v>791.66666666666663</v>
      </c>
      <c r="F534" s="371">
        <f>100*E534/$E$479</f>
        <v>141.79951041853244</v>
      </c>
      <c r="G534" s="662">
        <f>[92]PLANCUSr!$H$29</f>
        <v>806.66666666666663</v>
      </c>
      <c r="H534" s="371">
        <f t="shared" si="501"/>
        <v>144.48623798435727</v>
      </c>
      <c r="I534" s="662">
        <f>[93]PLANCUSr!$H$29</f>
        <v>777.5</v>
      </c>
      <c r="J534" s="371">
        <f t="shared" si="502"/>
        <v>139.26204549525346</v>
      </c>
      <c r="K534" s="662">
        <f>[94]PLANCUSr!$H$29</f>
        <v>829.5</v>
      </c>
      <c r="L534" s="371">
        <f t="shared" si="503"/>
        <v>148.57603439011285</v>
      </c>
      <c r="M534" s="662">
        <f>[95]PLANCUSr!$H$29</f>
        <v>839.95</v>
      </c>
      <c r="N534" s="371">
        <f t="shared" ref="N534" si="523">100*M534/$E$479</f>
        <v>150.44778792763748</v>
      </c>
      <c r="O534" s="662">
        <f>[96]PLANCUSr!$H$29</f>
        <v>894.9</v>
      </c>
      <c r="P534" s="371">
        <f t="shared" ref="P534" si="524">100*O534/$E$479</f>
        <v>160.29016657710909</v>
      </c>
      <c r="Q534" s="662">
        <f>[97]PLANCUSr!$H$29</f>
        <v>899.9</v>
      </c>
      <c r="R534" s="371">
        <f t="shared" ref="R534" si="525">100*Q534/$E$479</f>
        <v>161.18574243238405</v>
      </c>
      <c r="S534" s="662">
        <f>[98]PLANCUSr!$H$29</f>
        <v>912.9</v>
      </c>
      <c r="T534" s="371">
        <f t="shared" ref="T534" si="526">100*S534/$E$479</f>
        <v>163.51423965609888</v>
      </c>
      <c r="U534" s="662"/>
      <c r="V534" s="371"/>
    </row>
    <row r="535" spans="2:22" ht="15.75" thickBot="1">
      <c r="B535" s="314" t="s">
        <v>11</v>
      </c>
      <c r="C535" s="315">
        <v>776.33333333333337</v>
      </c>
      <c r="D535" s="372">
        <f t="shared" si="466"/>
        <v>139.05307779568932</v>
      </c>
      <c r="E535" s="315">
        <f>[99]PLANCUSr!$H$29</f>
        <v>791.66666666666663</v>
      </c>
      <c r="F535" s="373">
        <f>100*E535/$E$479</f>
        <v>141.79951041853244</v>
      </c>
      <c r="G535" s="682">
        <f>[100]PLANCUSr!$H$29</f>
        <v>806.66666666666663</v>
      </c>
      <c r="H535" s="373">
        <f t="shared" si="501"/>
        <v>144.48623798435727</v>
      </c>
      <c r="I535" s="682">
        <f>[101]PLANCUSr!$H$29</f>
        <v>777.5</v>
      </c>
      <c r="J535" s="373">
        <f t="shared" si="502"/>
        <v>139.26204549525346</v>
      </c>
      <c r="K535" s="682">
        <f>[102]PLANCUSr!$H$29</f>
        <v>829.5</v>
      </c>
      <c r="L535" s="373">
        <f t="shared" si="503"/>
        <v>148.57603439011285</v>
      </c>
      <c r="M535" s="682">
        <f>[103]PLANCUSr!$H$29</f>
        <v>839.95</v>
      </c>
      <c r="N535" s="373">
        <f t="shared" ref="N535" si="527">100*M535/$E$479</f>
        <v>150.44778792763748</v>
      </c>
      <c r="O535" s="682">
        <f>[104]PLANCUSr!$H$29</f>
        <v>894.9</v>
      </c>
      <c r="P535" s="373">
        <f t="shared" ref="P535" si="528">100*O535/$E$479</f>
        <v>160.29016657710909</v>
      </c>
      <c r="Q535" s="682">
        <f>[105]PLANCUSr!$H$29</f>
        <v>899.9</v>
      </c>
      <c r="R535" s="373">
        <f t="shared" ref="R535" si="529">100*Q535/$E$479</f>
        <v>161.18574243238405</v>
      </c>
      <c r="S535" s="682">
        <f>[106]PLANCUSr!$H$29</f>
        <v>912.9</v>
      </c>
      <c r="T535" s="373">
        <f t="shared" ref="T535" si="530">100*S535/$E$479</f>
        <v>163.51423965609888</v>
      </c>
      <c r="U535" s="682"/>
      <c r="V535" s="373"/>
    </row>
    <row r="536" spans="2:22">
      <c r="B536" s="119"/>
      <c r="C536" s="180"/>
      <c r="D536" s="132"/>
      <c r="E536" s="118"/>
      <c r="F536" s="152"/>
      <c r="G536" s="118"/>
      <c r="H536" s="152"/>
      <c r="I536" s="118"/>
      <c r="J536" s="123"/>
      <c r="K536" s="118"/>
      <c r="L536" s="132"/>
      <c r="M536" s="118"/>
      <c r="N536" s="132"/>
      <c r="O536" s="132"/>
      <c r="P536" s="132"/>
      <c r="Q536" s="180"/>
      <c r="R536" s="123"/>
      <c r="S536" s="122"/>
      <c r="T536" s="122"/>
    </row>
    <row r="537" spans="2:22">
      <c r="B537" s="144"/>
      <c r="C537" s="186"/>
      <c r="D537" s="148"/>
      <c r="E537" s="159"/>
      <c r="F537" s="154"/>
      <c r="G537" s="159"/>
      <c r="H537" s="154"/>
      <c r="I537" s="159"/>
      <c r="J537" s="146"/>
      <c r="K537" s="159"/>
      <c r="L537" s="148"/>
      <c r="M537" s="159"/>
      <c r="N537" s="148"/>
      <c r="O537" s="132"/>
      <c r="P537" s="132"/>
      <c r="Q537" s="180"/>
      <c r="R537" s="123"/>
      <c r="S537" s="122"/>
      <c r="T537" s="122"/>
    </row>
    <row r="538" spans="2:22" ht="15.75" thickBot="1">
      <c r="B538" s="119"/>
      <c r="C538" s="180"/>
      <c r="D538" s="132"/>
      <c r="E538" s="118"/>
      <c r="F538" s="152"/>
      <c r="G538" s="118"/>
      <c r="H538" s="152"/>
      <c r="I538" s="118"/>
      <c r="J538" s="123"/>
      <c r="K538" s="118"/>
      <c r="L538" s="132"/>
      <c r="M538" s="118"/>
      <c r="N538" s="132"/>
      <c r="O538" s="132"/>
      <c r="P538" s="132"/>
      <c r="Q538" s="180"/>
      <c r="R538" s="123"/>
      <c r="S538" s="122"/>
      <c r="T538" s="122"/>
    </row>
    <row r="539" spans="2:22" ht="15.75">
      <c r="B539" s="1399" t="s">
        <v>250</v>
      </c>
      <c r="C539" s="1400"/>
      <c r="D539" s="1400"/>
      <c r="E539" s="1400"/>
      <c r="F539" s="1400"/>
      <c r="G539" s="1400"/>
      <c r="H539" s="1400"/>
      <c r="I539" s="1400"/>
      <c r="J539" s="1400"/>
      <c r="K539" s="1400"/>
      <c r="L539" s="1400"/>
      <c r="M539" s="437">
        <v>0.1205</v>
      </c>
      <c r="N539" s="438" t="s">
        <v>176</v>
      </c>
      <c r="O539" s="439"/>
      <c r="P539" s="440"/>
      <c r="Q539" s="180"/>
      <c r="R539" s="123"/>
      <c r="S539" s="122"/>
      <c r="T539" s="122"/>
    </row>
    <row r="540" spans="2:22" ht="15.75" hidden="1">
      <c r="B540" s="441"/>
      <c r="C540" s="442">
        <v>2000</v>
      </c>
      <c r="D540" s="442" t="s">
        <v>15</v>
      </c>
      <c r="E540" s="443" t="s">
        <v>63</v>
      </c>
      <c r="F540" s="443" t="s">
        <v>15</v>
      </c>
      <c r="G540" s="443" t="s">
        <v>134</v>
      </c>
      <c r="H540" s="443" t="s">
        <v>15</v>
      </c>
      <c r="I540" s="443" t="s">
        <v>159</v>
      </c>
      <c r="J540" s="443" t="s">
        <v>15</v>
      </c>
      <c r="K540" s="443" t="s">
        <v>168</v>
      </c>
      <c r="L540" s="443" t="s">
        <v>15</v>
      </c>
      <c r="M540" s="444"/>
      <c r="N540" s="445"/>
      <c r="O540" s="445"/>
      <c r="P540" s="446"/>
      <c r="Q540" s="180"/>
      <c r="R540" s="123"/>
      <c r="S540" s="122"/>
      <c r="T540" s="122"/>
    </row>
    <row r="541" spans="2:22" ht="15.75" hidden="1">
      <c r="B541" s="447" t="s">
        <v>0</v>
      </c>
      <c r="C541" s="448"/>
      <c r="D541" s="449"/>
      <c r="E541" s="450">
        <v>0.12479999999999999</v>
      </c>
      <c r="F541" s="449">
        <f t="shared" ref="F541:F552" si="531">100*E541/$M$539</f>
        <v>103.56846473029044</v>
      </c>
      <c r="G541" s="451">
        <v>0.13420000000000001</v>
      </c>
      <c r="H541" s="449">
        <f t="shared" ref="H541:H552" si="532">100*G541/$M$539</f>
        <v>111.36929460580915</v>
      </c>
      <c r="I541" s="451">
        <v>0.15809999999999999</v>
      </c>
      <c r="J541" s="449">
        <f t="shared" ref="J541:J552" si="533">100*I541/$M$539</f>
        <v>131.20331950207469</v>
      </c>
      <c r="K541" s="450">
        <v>0.17430000000000001</v>
      </c>
      <c r="L541" s="449">
        <f t="shared" ref="L541:L547" si="534">100*K541/$M$539</f>
        <v>144.64730290456433</v>
      </c>
      <c r="M541" s="444"/>
      <c r="N541" s="445"/>
      <c r="O541" s="445"/>
      <c r="P541" s="446"/>
      <c r="Q541" s="180"/>
      <c r="R541" s="123"/>
      <c r="S541" s="122"/>
      <c r="T541" s="122"/>
    </row>
    <row r="542" spans="2:22" ht="15.75" hidden="1">
      <c r="B542" s="447" t="s">
        <v>1</v>
      </c>
      <c r="C542" s="448"/>
      <c r="D542" s="449"/>
      <c r="E542" s="450">
        <v>0.12429999999999999</v>
      </c>
      <c r="F542" s="449">
        <f t="shared" si="531"/>
        <v>103.15352697095436</v>
      </c>
      <c r="G542" s="451">
        <v>0.13650000000000001</v>
      </c>
      <c r="H542" s="449">
        <f t="shared" si="532"/>
        <v>113.2780082987552</v>
      </c>
      <c r="I542" s="451">
        <v>0.15859999999999999</v>
      </c>
      <c r="J542" s="449">
        <f t="shared" si="533"/>
        <v>131.61825726141078</v>
      </c>
      <c r="K542" s="450">
        <v>0.1779</v>
      </c>
      <c r="L542" s="449">
        <f t="shared" si="534"/>
        <v>147.63485477178423</v>
      </c>
      <c r="M542" s="444"/>
      <c r="N542" s="445"/>
      <c r="O542" s="445"/>
      <c r="P542" s="446"/>
      <c r="Q542" s="180"/>
      <c r="R542" s="123"/>
      <c r="S542" s="122"/>
      <c r="T542" s="122"/>
    </row>
    <row r="543" spans="2:22" ht="15.75" hidden="1">
      <c r="B543" s="447" t="s">
        <v>2</v>
      </c>
      <c r="C543" s="448"/>
      <c r="D543" s="449"/>
      <c r="E543" s="450">
        <v>0.1268</v>
      </c>
      <c r="F543" s="449">
        <f t="shared" si="531"/>
        <v>105.22821576763485</v>
      </c>
      <c r="G543" s="451">
        <v>0.13239999999999999</v>
      </c>
      <c r="H543" s="449">
        <f t="shared" si="532"/>
        <v>109.87551867219916</v>
      </c>
      <c r="I543" s="451">
        <v>0.1535</v>
      </c>
      <c r="J543" s="449">
        <f t="shared" si="533"/>
        <v>127.38589211618257</v>
      </c>
      <c r="K543" s="451">
        <v>0.185</v>
      </c>
      <c r="L543" s="449">
        <f t="shared" si="534"/>
        <v>153.52697095435684</v>
      </c>
      <c r="M543" s="444"/>
      <c r="N543" s="445"/>
      <c r="O543" s="445"/>
      <c r="P543" s="446"/>
      <c r="Q543" s="180"/>
      <c r="R543" s="123"/>
      <c r="S543" s="122"/>
      <c r="T543" s="122"/>
    </row>
    <row r="544" spans="2:22" ht="15.75" hidden="1">
      <c r="B544" s="447" t="s">
        <v>3</v>
      </c>
      <c r="C544" s="452">
        <v>0.1205</v>
      </c>
      <c r="D544" s="449">
        <v>100</v>
      </c>
      <c r="E544" s="450">
        <v>0.13009999999999999</v>
      </c>
      <c r="F544" s="449">
        <f t="shared" si="531"/>
        <v>107.96680497925311</v>
      </c>
      <c r="G544" s="451">
        <v>0.13519999999999999</v>
      </c>
      <c r="H544" s="449">
        <f t="shared" si="532"/>
        <v>112.19917012448133</v>
      </c>
      <c r="I544" s="451">
        <v>0.15409999999999999</v>
      </c>
      <c r="J544" s="449">
        <f t="shared" si="533"/>
        <v>127.88381742738588</v>
      </c>
      <c r="K544" s="451">
        <v>0.18490000000000001</v>
      </c>
      <c r="L544" s="449">
        <f t="shared" si="534"/>
        <v>153.44398340248964</v>
      </c>
      <c r="M544" s="444"/>
      <c r="N544" s="445"/>
      <c r="O544" s="445"/>
      <c r="P544" s="446"/>
      <c r="Q544" s="180"/>
      <c r="R544" s="123"/>
      <c r="S544" s="122"/>
      <c r="T544" s="122"/>
    </row>
    <row r="545" spans="2:20" ht="15.75" hidden="1">
      <c r="B545" s="447" t="s">
        <v>4</v>
      </c>
      <c r="C545" s="452">
        <v>0.1225</v>
      </c>
      <c r="D545" s="449">
        <f>100*((C545/0.1205))</f>
        <v>101.65975103734439</v>
      </c>
      <c r="E545" s="450">
        <v>0.13159999999999999</v>
      </c>
      <c r="F545" s="449">
        <f t="shared" si="531"/>
        <v>109.21161825726142</v>
      </c>
      <c r="G545" s="451">
        <v>0.13519999999999999</v>
      </c>
      <c r="H545" s="449">
        <f t="shared" si="532"/>
        <v>112.19917012448133</v>
      </c>
      <c r="I545" s="451">
        <v>0.1555</v>
      </c>
      <c r="J545" s="449">
        <f t="shared" si="533"/>
        <v>129.04564315352698</v>
      </c>
      <c r="K545" s="451">
        <v>0.19020000000000001</v>
      </c>
      <c r="L545" s="449">
        <f t="shared" si="534"/>
        <v>157.84232365145229</v>
      </c>
      <c r="M545" s="444"/>
      <c r="N545" s="445"/>
      <c r="O545" s="445"/>
      <c r="P545" s="446"/>
      <c r="Q545" s="180"/>
      <c r="R545" s="123"/>
      <c r="S545" s="122"/>
      <c r="T545" s="122"/>
    </row>
    <row r="546" spans="2:20" ht="15.75" hidden="1">
      <c r="B546" s="447" t="s">
        <v>5</v>
      </c>
      <c r="C546" s="452">
        <v>0.12659999999999999</v>
      </c>
      <c r="D546" s="449">
        <f t="shared" ref="D546:D552" si="535">100*((C546/0.1205))</f>
        <v>105.06224066390043</v>
      </c>
      <c r="E546" s="450">
        <v>0.13320000000000001</v>
      </c>
      <c r="F546" s="449">
        <f t="shared" si="531"/>
        <v>110.53941908713695</v>
      </c>
      <c r="G546" s="451">
        <v>0.13789999999999999</v>
      </c>
      <c r="H546" s="449">
        <f t="shared" si="532"/>
        <v>114.43983402489626</v>
      </c>
      <c r="I546" s="451">
        <v>0.15609999999999999</v>
      </c>
      <c r="J546" s="449">
        <f t="shared" si="533"/>
        <v>129.5435684647303</v>
      </c>
      <c r="K546" s="451">
        <v>0.19470000000000001</v>
      </c>
      <c r="L546" s="449">
        <f t="shared" si="534"/>
        <v>161.57676348547722</v>
      </c>
      <c r="M546" s="444"/>
      <c r="N546" s="445"/>
      <c r="O546" s="445"/>
      <c r="P546" s="446"/>
      <c r="Q546" s="180"/>
      <c r="R546" s="123"/>
      <c r="S546" s="122"/>
      <c r="T546" s="122"/>
    </row>
    <row r="547" spans="2:20" ht="15.75" hidden="1">
      <c r="B547" s="447" t="s">
        <v>6</v>
      </c>
      <c r="C547" s="453">
        <v>0.1278</v>
      </c>
      <c r="D547" s="449">
        <f t="shared" si="535"/>
        <v>106.05809128630706</v>
      </c>
      <c r="E547" s="450">
        <v>0.1328</v>
      </c>
      <c r="F547" s="449">
        <f t="shared" si="531"/>
        <v>110.20746887966804</v>
      </c>
      <c r="G547" s="451">
        <v>0.1371</v>
      </c>
      <c r="H547" s="449">
        <f t="shared" si="532"/>
        <v>113.77593360995851</v>
      </c>
      <c r="I547" s="450">
        <v>0.16650000000000001</v>
      </c>
      <c r="J547" s="449">
        <f t="shared" si="533"/>
        <v>138.1742738589212</v>
      </c>
      <c r="K547" s="451">
        <v>0.1973</v>
      </c>
      <c r="L547" s="449">
        <f t="shared" si="534"/>
        <v>163.7344398340249</v>
      </c>
      <c r="M547" s="444"/>
      <c r="N547" s="445"/>
      <c r="O547" s="445"/>
      <c r="P547" s="446"/>
      <c r="Q547" s="180"/>
      <c r="R547" s="123"/>
      <c r="S547" s="122"/>
      <c r="T547" s="122"/>
    </row>
    <row r="548" spans="2:20" ht="15.75" hidden="1">
      <c r="B548" s="447" t="s">
        <v>7</v>
      </c>
      <c r="C548" s="453">
        <v>0.1249</v>
      </c>
      <c r="D548" s="449">
        <f t="shared" si="535"/>
        <v>103.65145228215769</v>
      </c>
      <c r="E548" s="450">
        <v>0.1323</v>
      </c>
      <c r="F548" s="449">
        <f t="shared" si="531"/>
        <v>109.79253112033196</v>
      </c>
      <c r="G548" s="451">
        <v>0.1363</v>
      </c>
      <c r="H548" s="449">
        <f t="shared" si="532"/>
        <v>113.11203319502076</v>
      </c>
      <c r="I548" s="450">
        <v>0.1646</v>
      </c>
      <c r="J548" s="449">
        <f t="shared" si="533"/>
        <v>136.59751037344398</v>
      </c>
      <c r="K548" s="448" t="s">
        <v>164</v>
      </c>
      <c r="L548" s="449"/>
      <c r="M548" s="444"/>
      <c r="N548" s="445"/>
      <c r="O548" s="445"/>
      <c r="P548" s="446"/>
      <c r="Q548" s="180"/>
      <c r="R548" s="123"/>
      <c r="S548" s="122"/>
      <c r="T548" s="122"/>
    </row>
    <row r="549" spans="2:20" ht="15.75" hidden="1">
      <c r="B549" s="447" t="s">
        <v>8</v>
      </c>
      <c r="C549" s="453">
        <v>0.1232</v>
      </c>
      <c r="D549" s="449">
        <f t="shared" si="535"/>
        <v>102.24066390041496</v>
      </c>
      <c r="E549" s="450">
        <v>0.13420000000000001</v>
      </c>
      <c r="F549" s="449">
        <f t="shared" si="531"/>
        <v>111.36929460580915</v>
      </c>
      <c r="G549" s="451">
        <v>0.13830000000000001</v>
      </c>
      <c r="H549" s="449">
        <f t="shared" si="532"/>
        <v>114.77178423236515</v>
      </c>
      <c r="I549" s="450">
        <v>0.1651</v>
      </c>
      <c r="J549" s="449">
        <f t="shared" si="533"/>
        <v>137.01244813278007</v>
      </c>
      <c r="K549" s="448"/>
      <c r="L549" s="449"/>
      <c r="M549" s="444"/>
      <c r="N549" s="445"/>
      <c r="O549" s="445"/>
      <c r="P549" s="446"/>
      <c r="Q549" s="180"/>
      <c r="R549" s="123"/>
      <c r="S549" s="122"/>
      <c r="T549" s="122"/>
    </row>
    <row r="550" spans="2:20" ht="15.75" hidden="1">
      <c r="B550" s="447" t="s">
        <v>9</v>
      </c>
      <c r="C550" s="453">
        <v>0.1215</v>
      </c>
      <c r="D550" s="449">
        <f t="shared" si="535"/>
        <v>100.8298755186722</v>
      </c>
      <c r="E550" s="451">
        <v>0.13300000000000001</v>
      </c>
      <c r="F550" s="449">
        <f t="shared" si="531"/>
        <v>110.3734439834025</v>
      </c>
      <c r="G550" s="451">
        <v>0.1416</v>
      </c>
      <c r="H550" s="449">
        <f t="shared" si="532"/>
        <v>117.51037344398341</v>
      </c>
      <c r="I550" s="450">
        <v>0.1721</v>
      </c>
      <c r="J550" s="449">
        <f t="shared" si="533"/>
        <v>142.8215767634855</v>
      </c>
      <c r="K550" s="448"/>
      <c r="L550" s="449"/>
      <c r="M550" s="444"/>
      <c r="N550" s="445"/>
      <c r="O550" s="445"/>
      <c r="P550" s="446"/>
      <c r="Q550" s="180"/>
      <c r="R550" s="123"/>
      <c r="S550" s="122"/>
      <c r="T550" s="122"/>
    </row>
    <row r="551" spans="2:20" ht="15.75" hidden="1">
      <c r="B551" s="447" t="s">
        <v>10</v>
      </c>
      <c r="C551" s="453">
        <v>0.122</v>
      </c>
      <c r="D551" s="449">
        <f t="shared" si="535"/>
        <v>101.24481327800829</v>
      </c>
      <c r="E551" s="451">
        <v>0.13070000000000001</v>
      </c>
      <c r="F551" s="449">
        <f t="shared" si="531"/>
        <v>108.46473029045644</v>
      </c>
      <c r="G551" s="451">
        <v>0.14530000000000001</v>
      </c>
      <c r="H551" s="449">
        <f t="shared" si="532"/>
        <v>120.58091286307055</v>
      </c>
      <c r="I551" s="450">
        <v>0.16950000000000001</v>
      </c>
      <c r="J551" s="449">
        <f t="shared" si="533"/>
        <v>140.66390041493779</v>
      </c>
      <c r="K551" s="448"/>
      <c r="L551" s="449"/>
      <c r="M551" s="444"/>
      <c r="N551" s="445"/>
      <c r="O551" s="445"/>
      <c r="P551" s="446"/>
      <c r="Q551" s="180"/>
      <c r="R551" s="123"/>
      <c r="S551" s="122"/>
      <c r="T551" s="122"/>
    </row>
    <row r="552" spans="2:20" ht="15.75" hidden="1">
      <c r="B552" s="454" t="s">
        <v>11</v>
      </c>
      <c r="C552" s="455">
        <v>0.12089999999999999</v>
      </c>
      <c r="D552" s="456">
        <f t="shared" si="535"/>
        <v>100.33195020746888</v>
      </c>
      <c r="E552" s="457">
        <v>0.12970000000000001</v>
      </c>
      <c r="F552" s="456">
        <f t="shared" si="531"/>
        <v>107.63485477178425</v>
      </c>
      <c r="G552" s="457">
        <v>0.1464</v>
      </c>
      <c r="H552" s="456">
        <f t="shared" si="532"/>
        <v>121.49377593360997</v>
      </c>
      <c r="I552" s="458">
        <v>0.16950000000000001</v>
      </c>
      <c r="J552" s="456">
        <f t="shared" si="533"/>
        <v>140.66390041493779</v>
      </c>
      <c r="K552" s="459"/>
      <c r="L552" s="456"/>
      <c r="M552" s="444"/>
      <c r="N552" s="445"/>
      <c r="O552" s="445"/>
      <c r="P552" s="446"/>
      <c r="Q552" s="180"/>
      <c r="R552" s="123"/>
      <c r="S552" s="122"/>
      <c r="T552" s="122"/>
    </row>
    <row r="553" spans="2:20" ht="16.5" thickBot="1">
      <c r="B553" s="1394" t="s">
        <v>180</v>
      </c>
      <c r="C553" s="1395"/>
      <c r="D553" s="1395"/>
      <c r="E553" s="1395"/>
      <c r="F553" s="1395"/>
      <c r="G553" s="1395"/>
      <c r="H553" s="1395"/>
      <c r="I553" s="1395"/>
      <c r="J553" s="1395"/>
      <c r="K553" s="1395"/>
      <c r="L553" s="1395"/>
      <c r="M553" s="303"/>
      <c r="N553" s="303" t="s">
        <v>40</v>
      </c>
      <c r="O553" s="460"/>
      <c r="P553" s="461"/>
      <c r="Q553" s="180"/>
      <c r="R553" s="123"/>
      <c r="S553" s="122"/>
      <c r="T553" s="122"/>
    </row>
    <row r="554" spans="2:20" ht="15.75" thickBot="1">
      <c r="B554" s="1308">
        <v>2004</v>
      </c>
      <c r="C554" s="1309"/>
      <c r="D554" s="396" t="s">
        <v>15</v>
      </c>
      <c r="E554" s="462" t="s">
        <v>192</v>
      </c>
      <c r="F554" s="462" t="s">
        <v>15</v>
      </c>
      <c r="G554" s="462" t="s">
        <v>219</v>
      </c>
      <c r="H554" s="462" t="s">
        <v>15</v>
      </c>
      <c r="I554" s="462" t="s">
        <v>220</v>
      </c>
      <c r="J554" s="462" t="s">
        <v>15</v>
      </c>
      <c r="K554" s="462" t="s">
        <v>221</v>
      </c>
      <c r="L554" s="462" t="s">
        <v>15</v>
      </c>
      <c r="M554" s="462" t="s">
        <v>222</v>
      </c>
      <c r="N554" s="462" t="s">
        <v>15</v>
      </c>
      <c r="O554" s="462" t="s">
        <v>223</v>
      </c>
      <c r="P554" s="463" t="s">
        <v>15</v>
      </c>
      <c r="Q554" s="180"/>
      <c r="R554" s="123"/>
      <c r="S554" s="122"/>
      <c r="T554" s="122"/>
    </row>
    <row r="555" spans="2:20">
      <c r="B555" s="306" t="s">
        <v>0</v>
      </c>
      <c r="C555" s="307"/>
      <c r="D555" s="308"/>
      <c r="E555" s="464">
        <v>0.1411</v>
      </c>
      <c r="F555" s="308">
        <f t="shared" ref="F555:F566" si="536">100*E555/$M$539</f>
        <v>117.0954356846473</v>
      </c>
      <c r="G555" s="464">
        <v>0.14280000000000001</v>
      </c>
      <c r="H555" s="308">
        <f t="shared" ref="H555:H566" si="537">100*G555/$M$539</f>
        <v>118.50622406639006</v>
      </c>
      <c r="I555" s="464">
        <v>0.14829999999999999</v>
      </c>
      <c r="J555" s="308">
        <f t="shared" ref="J555:J566" si="538">100*I555/$M$539</f>
        <v>123.07053941908713</v>
      </c>
      <c r="K555" s="465">
        <v>0.15394033572907415</v>
      </c>
      <c r="L555" s="308">
        <f t="shared" ref="L555:L566" si="539">100*K555/$M$539</f>
        <v>127.75131595773789</v>
      </c>
      <c r="M555" s="465">
        <v>0.16391789837583134</v>
      </c>
      <c r="N555" s="308">
        <f t="shared" ref="N555:N566" si="540">100*M555/$M$539</f>
        <v>136.03145093429987</v>
      </c>
      <c r="O555" s="465">
        <v>0.16948993001688095</v>
      </c>
      <c r="P555" s="309">
        <f t="shared" ref="P555:P566" si="541">100*O555/$M$539</f>
        <v>140.65554358247383</v>
      </c>
      <c r="Q555" s="180"/>
      <c r="R555" s="123"/>
      <c r="S555" s="122"/>
      <c r="T555" s="122"/>
    </row>
    <row r="556" spans="2:20">
      <c r="B556" s="310" t="s">
        <v>1</v>
      </c>
      <c r="C556" s="311"/>
      <c r="D556" s="312"/>
      <c r="E556" s="466">
        <v>0.14169999999999999</v>
      </c>
      <c r="F556" s="312">
        <f t="shared" si="536"/>
        <v>117.59336099585063</v>
      </c>
      <c r="G556" s="466">
        <v>0.14410000000000001</v>
      </c>
      <c r="H556" s="312">
        <f t="shared" si="537"/>
        <v>119.5850622406639</v>
      </c>
      <c r="I556" s="466">
        <v>0.14910000000000001</v>
      </c>
      <c r="J556" s="312">
        <f t="shared" si="538"/>
        <v>123.7344398340249</v>
      </c>
      <c r="K556" s="467">
        <v>0.15497173597845892</v>
      </c>
      <c r="L556" s="312">
        <f t="shared" si="539"/>
        <v>128.60724977465472</v>
      </c>
      <c r="M556" s="467">
        <v>0.16496697292543666</v>
      </c>
      <c r="N556" s="312">
        <f t="shared" si="540"/>
        <v>136.90205222027939</v>
      </c>
      <c r="O556" s="467">
        <v>0.17091364542902274</v>
      </c>
      <c r="P556" s="313">
        <f t="shared" si="541"/>
        <v>141.83705014856659</v>
      </c>
      <c r="Q556" s="180"/>
      <c r="R556" s="123"/>
      <c r="S556" s="122"/>
      <c r="T556" s="122"/>
    </row>
    <row r="557" spans="2:20">
      <c r="B557" s="310" t="s">
        <v>2</v>
      </c>
      <c r="C557" s="311"/>
      <c r="D557" s="312"/>
      <c r="E557" s="466">
        <v>0.1421</v>
      </c>
      <c r="F557" s="312">
        <f t="shared" si="536"/>
        <v>117.92531120331951</v>
      </c>
      <c r="G557" s="466">
        <v>0.14410000000000001</v>
      </c>
      <c r="H557" s="312">
        <f t="shared" si="537"/>
        <v>119.5850622406639</v>
      </c>
      <c r="I557" s="466">
        <v>0.14949999999999999</v>
      </c>
      <c r="J557" s="312">
        <f t="shared" si="538"/>
        <v>124.06639004149378</v>
      </c>
      <c r="K557" s="467">
        <v>0.15574653616102363</v>
      </c>
      <c r="L557" s="312">
        <f t="shared" si="539"/>
        <v>129.25023747802791</v>
      </c>
      <c r="M557" s="467">
        <v>0.16549486723879808</v>
      </c>
      <c r="N557" s="312">
        <f t="shared" si="540"/>
        <v>137.34013878738432</v>
      </c>
      <c r="O557" s="467">
        <v>0.17217831149083668</v>
      </c>
      <c r="P557" s="313">
        <f t="shared" si="541"/>
        <v>142.88656555256156</v>
      </c>
      <c r="Q557" s="180"/>
      <c r="R557" s="123"/>
      <c r="S557" s="122"/>
      <c r="T557" s="122"/>
    </row>
    <row r="558" spans="2:20">
      <c r="B558" s="310" t="s">
        <v>3</v>
      </c>
      <c r="C558" s="468"/>
      <c r="D558" s="312"/>
      <c r="E558" s="466">
        <v>0.14330000000000001</v>
      </c>
      <c r="F558" s="312">
        <f t="shared" si="536"/>
        <v>118.92116182572616</v>
      </c>
      <c r="G558" s="466">
        <v>0.14380000000000001</v>
      </c>
      <c r="H558" s="312">
        <f t="shared" si="537"/>
        <v>119.33609958506226</v>
      </c>
      <c r="I558" s="467">
        <v>0.15</v>
      </c>
      <c r="J558" s="312">
        <f t="shared" si="538"/>
        <v>124.48132780082987</v>
      </c>
      <c r="K558" s="467">
        <v>0.15654084349544486</v>
      </c>
      <c r="L558" s="312">
        <f t="shared" si="539"/>
        <v>129.90941368916586</v>
      </c>
      <c r="M558" s="467">
        <v>0.16582585697327568</v>
      </c>
      <c r="N558" s="312">
        <f t="shared" si="540"/>
        <v>137.61481906495905</v>
      </c>
      <c r="O558" s="467">
        <v>0.17340077750242164</v>
      </c>
      <c r="P558" s="313">
        <f t="shared" si="541"/>
        <v>143.90106016798475</v>
      </c>
      <c r="Q558" s="180"/>
      <c r="R558" s="123"/>
      <c r="S558" s="122"/>
      <c r="T558" s="122"/>
    </row>
    <row r="559" spans="2:20">
      <c r="B559" s="310" t="s">
        <v>4</v>
      </c>
      <c r="C559" s="468"/>
      <c r="D559" s="312"/>
      <c r="E559" s="466">
        <v>0.14449999999999999</v>
      </c>
      <c r="F559" s="312">
        <f t="shared" si="536"/>
        <v>119.91701244813278</v>
      </c>
      <c r="G559" s="466">
        <v>0.14319999999999999</v>
      </c>
      <c r="H559" s="312">
        <f t="shared" si="537"/>
        <v>118.83817427385893</v>
      </c>
      <c r="I559" s="467">
        <v>0.15</v>
      </c>
      <c r="J559" s="312">
        <f t="shared" si="538"/>
        <v>124.48132780082987</v>
      </c>
      <c r="K559" s="467">
        <v>0.15754270489381569</v>
      </c>
      <c r="L559" s="312">
        <f t="shared" si="539"/>
        <v>130.74083393677651</v>
      </c>
      <c r="M559" s="467">
        <v>0.16557711818781576</v>
      </c>
      <c r="N559" s="312">
        <f t="shared" si="540"/>
        <v>137.40839683636165</v>
      </c>
      <c r="O559" s="467">
        <v>0.17466660317818933</v>
      </c>
      <c r="P559" s="313">
        <f t="shared" si="541"/>
        <v>144.95153790721105</v>
      </c>
      <c r="Q559" s="180"/>
      <c r="R559" s="123"/>
      <c r="S559" s="122"/>
      <c r="T559" s="122"/>
    </row>
    <row r="560" spans="2:20">
      <c r="B560" s="310" t="s">
        <v>5</v>
      </c>
      <c r="C560" s="468"/>
      <c r="D560" s="312"/>
      <c r="E560" s="466">
        <v>0.14419999999999999</v>
      </c>
      <c r="F560" s="312">
        <f t="shared" si="536"/>
        <v>119.66804979253112</v>
      </c>
      <c r="G560" s="466">
        <v>0.14369999999999999</v>
      </c>
      <c r="H560" s="312">
        <f t="shared" si="537"/>
        <v>119.25311203319502</v>
      </c>
      <c r="I560" s="467">
        <v>0.15</v>
      </c>
      <c r="J560" s="312">
        <f t="shared" si="538"/>
        <v>124.48132780082987</v>
      </c>
      <c r="K560" s="467">
        <v>0.15909999999999999</v>
      </c>
      <c r="L560" s="312">
        <f t="shared" si="539"/>
        <v>132.03319502074689</v>
      </c>
      <c r="M560" s="467">
        <v>0.16657058089694265</v>
      </c>
      <c r="N560" s="312">
        <f t="shared" si="540"/>
        <v>138.23284721737983</v>
      </c>
      <c r="O560" s="467">
        <v>0.17541766957185553</v>
      </c>
      <c r="P560" s="313">
        <f t="shared" si="541"/>
        <v>145.57482952021209</v>
      </c>
      <c r="Q560" s="180"/>
      <c r="R560" s="123"/>
      <c r="S560" s="122"/>
      <c r="T560" s="122"/>
    </row>
    <row r="561" spans="2:22">
      <c r="B561" s="310" t="s">
        <v>6</v>
      </c>
      <c r="C561" s="469"/>
      <c r="D561" s="312"/>
      <c r="E561" s="466">
        <v>0.14360000000000001</v>
      </c>
      <c r="F561" s="312">
        <f t="shared" si="536"/>
        <v>119.17012448132782</v>
      </c>
      <c r="G561" s="466">
        <v>0.14480000000000001</v>
      </c>
      <c r="H561" s="312">
        <f t="shared" si="537"/>
        <v>120.16597510373445</v>
      </c>
      <c r="I561" s="467">
        <v>0.15009163479854343</v>
      </c>
      <c r="J561" s="312">
        <f t="shared" si="538"/>
        <v>124.55737327679952</v>
      </c>
      <c r="K561" s="467">
        <v>0.1605</v>
      </c>
      <c r="L561" s="312">
        <f t="shared" si="539"/>
        <v>133.19502074688799</v>
      </c>
      <c r="M561" s="467">
        <v>0.1673</v>
      </c>
      <c r="N561" s="312">
        <f t="shared" si="540"/>
        <v>138.83817427385893</v>
      </c>
      <c r="O561" s="467">
        <v>0.17522471013532651</v>
      </c>
      <c r="P561" s="313">
        <f t="shared" si="541"/>
        <v>145.41469720773986</v>
      </c>
      <c r="Q561" s="180"/>
      <c r="R561" s="123"/>
      <c r="S561" s="122"/>
      <c r="T561" s="122"/>
    </row>
    <row r="562" spans="2:22">
      <c r="B562" s="310" t="s">
        <v>7</v>
      </c>
      <c r="C562" s="469">
        <v>0.14000000000000001</v>
      </c>
      <c r="D562" s="312">
        <v>100</v>
      </c>
      <c r="E562" s="466">
        <v>0.1431</v>
      </c>
      <c r="F562" s="312">
        <f t="shared" si="536"/>
        <v>118.75518672199171</v>
      </c>
      <c r="G562" s="466">
        <v>0.14510000000000001</v>
      </c>
      <c r="H562" s="312">
        <f t="shared" si="537"/>
        <v>120.41493775933611</v>
      </c>
      <c r="I562" s="467">
        <v>0.15057192802989836</v>
      </c>
      <c r="J562" s="312">
        <f t="shared" si="538"/>
        <v>124.95595687128494</v>
      </c>
      <c r="K562" s="467">
        <v>0.16143343100118457</v>
      </c>
      <c r="L562" s="312">
        <f t="shared" si="539"/>
        <v>133.96965228314073</v>
      </c>
      <c r="M562" s="467">
        <v>0.16765489874458425</v>
      </c>
      <c r="N562" s="312">
        <f t="shared" si="540"/>
        <v>139.13269605359687</v>
      </c>
      <c r="O562" s="467">
        <v>0.17510000000000001</v>
      </c>
      <c r="P562" s="313">
        <f t="shared" si="541"/>
        <v>145.31120331950208</v>
      </c>
      <c r="Q562" s="180"/>
      <c r="R562" s="123"/>
      <c r="S562" s="122"/>
      <c r="T562" s="122"/>
    </row>
    <row r="563" spans="2:22">
      <c r="B563" s="310" t="s">
        <v>8</v>
      </c>
      <c r="C563" s="469">
        <v>0.14000000000000001</v>
      </c>
      <c r="D563" s="312">
        <f>100*C563/$C$562</f>
        <v>100</v>
      </c>
      <c r="E563" s="466">
        <v>0.14219999999999999</v>
      </c>
      <c r="F563" s="312">
        <f t="shared" si="536"/>
        <v>118.00829875518671</v>
      </c>
      <c r="G563" s="466">
        <v>0.14560000000000001</v>
      </c>
      <c r="H563" s="312">
        <f t="shared" si="537"/>
        <v>120.82987551867221</v>
      </c>
      <c r="I563" s="467">
        <v>0.15097717544385442</v>
      </c>
      <c r="J563" s="312">
        <f t="shared" si="538"/>
        <v>125.29226177913229</v>
      </c>
      <c r="K563" s="467">
        <v>0.16177244120628706</v>
      </c>
      <c r="L563" s="312">
        <f t="shared" si="539"/>
        <v>134.25098855293533</v>
      </c>
      <c r="M563" s="467">
        <v>0.1677890226635799</v>
      </c>
      <c r="N563" s="312">
        <f t="shared" si="540"/>
        <v>139.24400221043973</v>
      </c>
      <c r="O563" s="467">
        <v>0.17499999999999999</v>
      </c>
      <c r="P563" s="313">
        <f t="shared" si="541"/>
        <v>145.22821576763485</v>
      </c>
      <c r="Q563" s="180"/>
      <c r="R563" s="123"/>
      <c r="S563" s="122"/>
      <c r="T563" s="122"/>
    </row>
    <row r="564" spans="2:22">
      <c r="B564" s="310" t="s">
        <v>9</v>
      </c>
      <c r="C564" s="469">
        <v>0.14000000000000001</v>
      </c>
      <c r="D564" s="312">
        <f>100*C564/$C$562</f>
        <v>100</v>
      </c>
      <c r="E564" s="467">
        <v>0.1414</v>
      </c>
      <c r="F564" s="312">
        <f t="shared" si="536"/>
        <v>117.34439834024897</v>
      </c>
      <c r="G564" s="467">
        <v>0.14610000000000001</v>
      </c>
      <c r="H564" s="312">
        <f t="shared" si="537"/>
        <v>121.24481327800831</v>
      </c>
      <c r="I564" s="467">
        <v>0.15135461838246406</v>
      </c>
      <c r="J564" s="312">
        <f t="shared" si="538"/>
        <v>125.60549243358012</v>
      </c>
      <c r="K564" s="467">
        <v>0.16201509986809651</v>
      </c>
      <c r="L564" s="312">
        <f t="shared" si="539"/>
        <v>134.45236503576473</v>
      </c>
      <c r="M564" s="467">
        <v>0.16805748509984164</v>
      </c>
      <c r="N564" s="312">
        <f t="shared" si="540"/>
        <v>139.46679261397645</v>
      </c>
      <c r="O564" s="467">
        <v>0.17592437060081173</v>
      </c>
      <c r="P564" s="313">
        <f t="shared" si="541"/>
        <v>145.99532829942885</v>
      </c>
      <c r="Q564" s="180"/>
      <c r="R564" s="123"/>
      <c r="S564" s="122"/>
      <c r="T564" s="122"/>
    </row>
    <row r="565" spans="2:22">
      <c r="B565" s="310" t="s">
        <v>10</v>
      </c>
      <c r="C565" s="469">
        <v>0.14000000000000001</v>
      </c>
      <c r="D565" s="312">
        <f>100*C565/$C$562</f>
        <v>100</v>
      </c>
      <c r="E565" s="467">
        <v>0.14219999999999999</v>
      </c>
      <c r="F565" s="312">
        <f t="shared" si="536"/>
        <v>118.00829875518671</v>
      </c>
      <c r="G565" s="467">
        <v>0.1467</v>
      </c>
      <c r="H565" s="312">
        <f t="shared" si="537"/>
        <v>121.74273858921163</v>
      </c>
      <c r="I565" s="467">
        <v>0.15180868223761143</v>
      </c>
      <c r="J565" s="312">
        <f t="shared" si="538"/>
        <v>125.98230891088086</v>
      </c>
      <c r="K565" s="467">
        <v>0.16282517536743699</v>
      </c>
      <c r="L565" s="312">
        <f t="shared" si="539"/>
        <v>135.12462686094355</v>
      </c>
      <c r="M565" s="467">
        <v>0.16846082306408125</v>
      </c>
      <c r="N565" s="312">
        <f t="shared" si="540"/>
        <v>139.80151291625</v>
      </c>
      <c r="O565" s="467">
        <v>0.1775428748103392</v>
      </c>
      <c r="P565" s="313">
        <f t="shared" si="541"/>
        <v>147.33848531978359</v>
      </c>
      <c r="Q565" s="180"/>
      <c r="R565" s="123"/>
      <c r="S565" s="122"/>
      <c r="T565" s="122"/>
    </row>
    <row r="566" spans="2:22" ht="15.75" thickBot="1">
      <c r="B566" s="314" t="s">
        <v>11</v>
      </c>
      <c r="C566" s="470">
        <v>0.14000000000000001</v>
      </c>
      <c r="D566" s="316">
        <f>100*C566/$C$562</f>
        <v>100</v>
      </c>
      <c r="E566" s="471">
        <v>0.14280000000000001</v>
      </c>
      <c r="F566" s="316">
        <f t="shared" si="536"/>
        <v>118.50622406639006</v>
      </c>
      <c r="G566" s="471">
        <v>0.14779999999999999</v>
      </c>
      <c r="H566" s="316">
        <f t="shared" si="537"/>
        <v>122.65560165975104</v>
      </c>
      <c r="I566" s="471">
        <v>0.15246145957123317</v>
      </c>
      <c r="J566" s="316">
        <f t="shared" si="538"/>
        <v>126.52403283919764</v>
      </c>
      <c r="K566" s="471">
        <v>0.16344391103383324</v>
      </c>
      <c r="L566" s="316">
        <f t="shared" si="539"/>
        <v>135.63810044301513</v>
      </c>
      <c r="M566" s="471">
        <v>0.16908412810941836</v>
      </c>
      <c r="N566" s="316">
        <f t="shared" si="540"/>
        <v>140.31877851404013</v>
      </c>
      <c r="O566" s="471">
        <v>0.1794</v>
      </c>
      <c r="P566" s="317">
        <f t="shared" si="541"/>
        <v>148.87966804979254</v>
      </c>
      <c r="Q566" s="180"/>
      <c r="R566" s="123"/>
      <c r="S566" s="122"/>
      <c r="T566" s="122"/>
    </row>
    <row r="567" spans="2:22">
      <c r="B567" s="119"/>
      <c r="C567" s="188"/>
      <c r="D567" s="123"/>
      <c r="E567" s="187"/>
      <c r="F567" s="123"/>
      <c r="G567" s="187"/>
      <c r="H567" s="123"/>
      <c r="I567" s="187"/>
      <c r="J567" s="123"/>
      <c r="K567" s="187"/>
      <c r="L567" s="123"/>
      <c r="M567" s="187"/>
      <c r="N567" s="123"/>
      <c r="O567" s="187"/>
      <c r="P567" s="123"/>
      <c r="Q567" s="180"/>
      <c r="R567" s="123"/>
      <c r="S567" s="122"/>
      <c r="T567" s="122"/>
    </row>
    <row r="568" spans="2:22">
      <c r="B568" s="118"/>
      <c r="C568" s="124"/>
      <c r="D568" s="118"/>
      <c r="E568" s="119"/>
      <c r="F568" s="122"/>
      <c r="G568" s="119"/>
      <c r="H568" s="131"/>
      <c r="I568" s="120"/>
      <c r="J568" s="125"/>
      <c r="K568" s="119"/>
      <c r="L568" s="123"/>
      <c r="M568" s="187"/>
      <c r="N568" s="123"/>
      <c r="O568" s="187"/>
      <c r="P568" s="123"/>
      <c r="Q568" s="180"/>
      <c r="R568" s="123"/>
      <c r="S568" s="122"/>
      <c r="T568" s="122"/>
    </row>
    <row r="569" spans="2:22" ht="18.75" thickBot="1">
      <c r="B569" s="1298" t="s">
        <v>180</v>
      </c>
      <c r="C569" s="1299"/>
      <c r="D569" s="1299"/>
      <c r="E569" s="1299"/>
      <c r="F569" s="1299"/>
      <c r="G569" s="1299"/>
      <c r="H569" s="1299"/>
      <c r="I569" s="1299"/>
      <c r="J569" s="1299"/>
      <c r="K569" s="1299"/>
      <c r="L569" s="1299"/>
      <c r="M569" s="1299"/>
      <c r="N569" s="1299"/>
      <c r="O569" s="1299"/>
      <c r="P569" s="1299"/>
      <c r="Q569" s="1299"/>
      <c r="R569" s="1299"/>
      <c r="S569" s="1299"/>
      <c r="T569" s="1299"/>
      <c r="U569" s="1299"/>
      <c r="V569" s="1299"/>
    </row>
    <row r="570" spans="2:22">
      <c r="B570" s="1337">
        <v>2011</v>
      </c>
      <c r="C570" s="1338"/>
      <c r="D570" s="431" t="s">
        <v>15</v>
      </c>
      <c r="E570" s="431">
        <v>2012</v>
      </c>
      <c r="F570" s="394" t="s">
        <v>15</v>
      </c>
      <c r="G570" s="431">
        <v>2013</v>
      </c>
      <c r="H570" s="394" t="s">
        <v>15</v>
      </c>
      <c r="I570" s="431">
        <v>2014</v>
      </c>
      <c r="J570" s="394" t="s">
        <v>15</v>
      </c>
      <c r="K570" s="431">
        <v>2015</v>
      </c>
      <c r="L570" s="394" t="s">
        <v>15</v>
      </c>
      <c r="M570" s="431">
        <v>2016</v>
      </c>
      <c r="N570" s="394" t="s">
        <v>15</v>
      </c>
      <c r="O570" s="431">
        <v>2017</v>
      </c>
      <c r="P570" s="394" t="s">
        <v>15</v>
      </c>
      <c r="Q570" s="431">
        <v>2018</v>
      </c>
      <c r="R570" s="394" t="s">
        <v>15</v>
      </c>
      <c r="S570" s="431">
        <v>2019</v>
      </c>
      <c r="T570" s="394" t="s">
        <v>15</v>
      </c>
      <c r="U570" s="431">
        <v>2020</v>
      </c>
      <c r="V570" s="394" t="s">
        <v>15</v>
      </c>
    </row>
    <row r="571" spans="2:22">
      <c r="B571" s="310" t="s">
        <v>0</v>
      </c>
      <c r="C571" s="472">
        <v>0.18044779581941101</v>
      </c>
      <c r="D571" s="312">
        <f t="shared" ref="D571:D582" si="542">100*C571/$M$539</f>
        <v>149.74920814888881</v>
      </c>
      <c r="E571" s="472">
        <v>0.19141883080273753</v>
      </c>
      <c r="F571" s="313">
        <f t="shared" ref="F571:F579" si="543">100*E571/$M$539</f>
        <v>158.85380149604777</v>
      </c>
      <c r="G571" s="472">
        <f>[9]PLANCUSr!$H$176</f>
        <v>0.20328255796737682</v>
      </c>
      <c r="H571" s="313">
        <f t="shared" ref="H571:H576" si="544">100*G571/$M$539</f>
        <v>168.69921823018825</v>
      </c>
      <c r="I571" s="472">
        <f>[10]PLANCUSr!$H$176</f>
        <v>0.21459048304155379</v>
      </c>
      <c r="J571" s="313">
        <f t="shared" ref="J571:J576" si="545">100*I571/$M$539</f>
        <v>178.08338841622719</v>
      </c>
      <c r="K571" s="472">
        <f>[11]PLANCUSr!$H$183</f>
        <v>0.22795575603572141</v>
      </c>
      <c r="L571" s="313">
        <f t="shared" ref="L571:L576" si="546">100*K571/$M$539</f>
        <v>189.1749012744576</v>
      </c>
      <c r="M571" s="472">
        <f>[12]PLANCUSr!$H$184</f>
        <v>0.25366042594493093</v>
      </c>
      <c r="N571" s="313">
        <f t="shared" ref="N571" si="547">100*M571/$M$539</f>
        <v>210.50657754766056</v>
      </c>
      <c r="O571" s="472">
        <f>[13]PLANCUSr!$H$184</f>
        <v>0.27035118967367322</v>
      </c>
      <c r="P571" s="313">
        <f t="shared" ref="P571" si="548">100*O571/$M$539</f>
        <v>224.35783375408565</v>
      </c>
      <c r="Q571" s="472">
        <f>[14]PLANCUSr!$H$184</f>
        <v>0.27593916212551328</v>
      </c>
      <c r="R571" s="313">
        <f t="shared" ref="R571" si="549">100*Q571/$M$539</f>
        <v>228.99515529088239</v>
      </c>
      <c r="S571" s="472">
        <f>[15]PLANCUSr!$H$184</f>
        <v>0.28541465947597811</v>
      </c>
      <c r="T571" s="313">
        <f t="shared" ref="T571" si="550">100*S571/$M$539</f>
        <v>236.85863856927645</v>
      </c>
      <c r="U571" s="472">
        <f>[16]PLANCUSr!$H$184</f>
        <v>0.29820526318222634</v>
      </c>
      <c r="V571" s="313">
        <f t="shared" ref="V571" si="551">100*U571/$M$539</f>
        <v>247.47324745412973</v>
      </c>
    </row>
    <row r="572" spans="2:22">
      <c r="B572" s="310" t="s">
        <v>1</v>
      </c>
      <c r="C572" s="472">
        <v>0.18210000000000001</v>
      </c>
      <c r="D572" s="312">
        <f t="shared" si="542"/>
        <v>151.12033195020749</v>
      </c>
      <c r="E572" s="472">
        <v>0.19239506683983151</v>
      </c>
      <c r="F572" s="313">
        <f t="shared" si="543"/>
        <v>159.6639558836776</v>
      </c>
      <c r="G572" s="663">
        <f>[17]PLANCUSr!$H$176</f>
        <v>0.20515275750067671</v>
      </c>
      <c r="H572" s="313">
        <f t="shared" si="544"/>
        <v>170.251251037906</v>
      </c>
      <c r="I572" s="663">
        <f>[18]PLANCUSr!$H$176</f>
        <v>0.21594240308471557</v>
      </c>
      <c r="J572" s="313">
        <f t="shared" si="545"/>
        <v>179.20531376324945</v>
      </c>
      <c r="K572" s="472">
        <f>[19]PLANCUSr!$H$183</f>
        <v>0.23132950122505005</v>
      </c>
      <c r="L572" s="313">
        <f t="shared" si="546"/>
        <v>191.97468981331954</v>
      </c>
      <c r="M572" s="663">
        <f>[20]PLANCUSr!$H$184</f>
        <v>0.25749069837669936</v>
      </c>
      <c r="N572" s="313">
        <f t="shared" ref="N572" si="552">100*M572/$M$539</f>
        <v>213.68522686863017</v>
      </c>
      <c r="O572" s="663">
        <f>[21]PLANCUSr!$H$184</f>
        <v>0.27148666467030264</v>
      </c>
      <c r="P572" s="313">
        <f t="shared" ref="P572" si="553">100*O572/$M$539</f>
        <v>225.30013665585281</v>
      </c>
      <c r="Q572" s="472">
        <f>[22]PLANCUSr!$H$184</f>
        <v>0.27657382219840193</v>
      </c>
      <c r="R572" s="313">
        <f t="shared" ref="R572" si="554">100*Q572/$M$539</f>
        <v>229.5218441480514</v>
      </c>
      <c r="S572" s="663">
        <f>[23]PLANCUSr!$H$184</f>
        <v>0.28644215225009162</v>
      </c>
      <c r="T572" s="313">
        <f t="shared" ref="T572" si="555">100*S572/$M$539</f>
        <v>237.71132966812584</v>
      </c>
      <c r="U572" s="472">
        <f>[24]PLANCUSr!$H$184</f>
        <v>0.29877159622575444</v>
      </c>
      <c r="V572" s="313">
        <f t="shared" ref="V572" si="556">100*U572/$M$539</f>
        <v>247.94323338236885</v>
      </c>
    </row>
    <row r="573" spans="2:22">
      <c r="B573" s="310" t="s">
        <v>2</v>
      </c>
      <c r="C573" s="322">
        <v>0.18310000000000001</v>
      </c>
      <c r="D573" s="312">
        <f t="shared" si="542"/>
        <v>151.95020746887968</v>
      </c>
      <c r="E573" s="344">
        <v>0.19314540760050686</v>
      </c>
      <c r="F573" s="313">
        <f t="shared" si="543"/>
        <v>160.28664531162397</v>
      </c>
      <c r="G573" s="663">
        <f>[25]PLANCUSr!$H$176</f>
        <v>0.20621955183968024</v>
      </c>
      <c r="H573" s="313">
        <f t="shared" si="544"/>
        <v>171.1365575433031</v>
      </c>
      <c r="I573" s="663">
        <f>[26]PLANCUSr!$H$176</f>
        <v>0.21732443446445773</v>
      </c>
      <c r="J573" s="313">
        <f t="shared" si="545"/>
        <v>180.35222777133424</v>
      </c>
      <c r="K573" s="472">
        <f>[27]PLANCUSr!$H$183</f>
        <v>0.23401292343926064</v>
      </c>
      <c r="L573" s="313">
        <f t="shared" si="546"/>
        <v>194.20159621515404</v>
      </c>
      <c r="M573" s="663">
        <f>[28]PLANCUSr!$H$184</f>
        <v>0.25993686001127803</v>
      </c>
      <c r="N573" s="313">
        <f t="shared" ref="N573" si="557">100*M573/$M$539</f>
        <v>215.71523652388217</v>
      </c>
      <c r="O573" s="663">
        <f>[29]PLANCUSr!$H$184</f>
        <v>0.27213823266551135</v>
      </c>
      <c r="P573" s="313">
        <f t="shared" ref="P573" si="558">100*O573/$M$539</f>
        <v>225.84085698382685</v>
      </c>
      <c r="Q573" s="472">
        <f>[30]PLANCUSr!$H$184</f>
        <v>0.27707165507835907</v>
      </c>
      <c r="R573" s="313">
        <f t="shared" ref="R573" si="559">100*Q573/$M$539</f>
        <v>229.9349834675179</v>
      </c>
      <c r="S573" s="663">
        <f>[31]PLANCUSr!$H$184</f>
        <v>0.28798893987224211</v>
      </c>
      <c r="T573" s="313">
        <f t="shared" ref="T573" si="560">100*S573/$M$539</f>
        <v>238.99497084833371</v>
      </c>
      <c r="U573" s="472">
        <f>[32]PLANCUSr!$H$184</f>
        <v>0.2992793808290331</v>
      </c>
      <c r="V573" s="313">
        <f t="shared" ref="V573" si="561">100*U573/$M$539</f>
        <v>248.36463139338846</v>
      </c>
    </row>
    <row r="574" spans="2:22">
      <c r="B574" s="310" t="s">
        <v>3</v>
      </c>
      <c r="C574" s="473">
        <v>0.1843362247736566</v>
      </c>
      <c r="D574" s="312">
        <f t="shared" si="542"/>
        <v>152.97612014411337</v>
      </c>
      <c r="E574" s="473">
        <v>0.19349306933418778</v>
      </c>
      <c r="F574" s="313">
        <f t="shared" si="543"/>
        <v>160.57516127318488</v>
      </c>
      <c r="G574" s="663">
        <f>[33]PLANCUSr!$H$176</f>
        <v>0.20745686915071831</v>
      </c>
      <c r="H574" s="313">
        <f t="shared" si="544"/>
        <v>172.16337688856294</v>
      </c>
      <c r="I574" s="663">
        <f>[34]PLANCUSr!$H$176</f>
        <v>0.21910649482706629</v>
      </c>
      <c r="J574" s="313">
        <f t="shared" si="545"/>
        <v>181.83111603905917</v>
      </c>
      <c r="K574" s="472">
        <f>[35]PLANCUSr!$H$183</f>
        <v>0.23754651858319345</v>
      </c>
      <c r="L574" s="313">
        <f t="shared" si="546"/>
        <v>197.13404031800286</v>
      </c>
      <c r="M574" s="663">
        <f>[36]PLANCUSr!$H$184</f>
        <v>0.26108058219532765</v>
      </c>
      <c r="N574" s="313">
        <f t="shared" ref="N574" si="562">100*M574/$M$539</f>
        <v>216.66438356458727</v>
      </c>
      <c r="O574" s="663">
        <f>[37]PLANCUSr!$H$184</f>
        <v>0.27300907501004101</v>
      </c>
      <c r="P574" s="313">
        <f t="shared" ref="P574" si="563">100*O574/$M$539</f>
        <v>226.56354772617513</v>
      </c>
      <c r="Q574" s="472">
        <f>[38]PLANCUSr!$H$184</f>
        <v>0.2772656052369139</v>
      </c>
      <c r="R574" s="313">
        <f t="shared" ref="R574" si="564">100*Q574/$M$539</f>
        <v>230.09593795594515</v>
      </c>
      <c r="S574" s="663">
        <f>[39]PLANCUSr!$H$184</f>
        <v>0.29020645470925838</v>
      </c>
      <c r="T574" s="313">
        <f t="shared" ref="T574" si="565">100*S574/$M$539</f>
        <v>240.83523212386589</v>
      </c>
      <c r="U574" s="472">
        <f>[40]PLANCUSr!$H$184</f>
        <v>0.29981835478833296</v>
      </c>
      <c r="V574" s="313">
        <f t="shared" ref="V574" si="566">100*U574/$M$539</f>
        <v>248.81191268741327</v>
      </c>
    </row>
    <row r="575" spans="2:22">
      <c r="B575" s="310" t="s">
        <v>4</v>
      </c>
      <c r="C575" s="473">
        <v>0.1857</v>
      </c>
      <c r="D575" s="312">
        <f t="shared" si="542"/>
        <v>154.10788381742739</v>
      </c>
      <c r="E575" s="473">
        <v>0.19473142497792656</v>
      </c>
      <c r="F575" s="313">
        <f t="shared" si="543"/>
        <v>161.60284230533324</v>
      </c>
      <c r="G575" s="663">
        <f>[41]PLANCUSr!$H$176</f>
        <v>0.20868086467870756</v>
      </c>
      <c r="H575" s="313">
        <f t="shared" si="544"/>
        <v>173.17914081220545</v>
      </c>
      <c r="I575" s="663">
        <f>[42]PLANCUSr!$H$176</f>
        <v>0.2208155254867174</v>
      </c>
      <c r="J575" s="313">
        <f t="shared" si="545"/>
        <v>183.24939874416384</v>
      </c>
      <c r="K575" s="472">
        <f>[43]PLANCUSr!$H$183</f>
        <v>0.23923309886513414</v>
      </c>
      <c r="L575" s="313">
        <f t="shared" si="546"/>
        <v>198.5336920042607</v>
      </c>
      <c r="M575" s="663">
        <f>[44]PLANCUSr!$H$184</f>
        <v>0.26275149792137775</v>
      </c>
      <c r="N575" s="313">
        <f t="shared" ref="N575" si="567">100*M575/$M$539</f>
        <v>218.05103561940064</v>
      </c>
      <c r="O575" s="663">
        <f>[45]PLANCUSr!$H$184</f>
        <v>0.273227482270049</v>
      </c>
      <c r="P575" s="313">
        <f t="shared" ref="P575" si="568">100*O575/$M$539</f>
        <v>226.74479856435605</v>
      </c>
      <c r="Q575" s="472">
        <f>[46]PLANCUSr!$H$184</f>
        <v>0.27784786300791142</v>
      </c>
      <c r="R575" s="313">
        <f t="shared" ref="R575" si="569">100*Q575/$M$539</f>
        <v>230.57913942565264</v>
      </c>
      <c r="S575" s="663">
        <f>[47]PLANCUSr!$H$184</f>
        <v>0.29194769343751392</v>
      </c>
      <c r="T575" s="313">
        <f t="shared" ref="T575" si="570">100*S575/$M$539</f>
        <v>242.28024351660906</v>
      </c>
      <c r="U575" s="472">
        <f>[48]PLANCUSr!$H$184</f>
        <v>0.29912890586577806</v>
      </c>
      <c r="V575" s="313">
        <f t="shared" ref="V575" si="571">100*U575/$M$539</f>
        <v>248.23975590521002</v>
      </c>
    </row>
    <row r="576" spans="2:22">
      <c r="B576" s="310" t="s">
        <v>5</v>
      </c>
      <c r="C576" s="473">
        <v>0.1867</v>
      </c>
      <c r="D576" s="312">
        <f t="shared" si="542"/>
        <v>154.93775933609962</v>
      </c>
      <c r="E576" s="473">
        <v>0.19580244781530518</v>
      </c>
      <c r="F576" s="313">
        <f t="shared" si="543"/>
        <v>162.49165793801259</v>
      </c>
      <c r="G576" s="663">
        <f>[49]PLANCUSr!$H$176</f>
        <v>0.20941124770508304</v>
      </c>
      <c r="H576" s="313">
        <f t="shared" si="544"/>
        <v>173.78526780504816</v>
      </c>
      <c r="I576" s="663">
        <f>[50]PLANCUSr!$H$176</f>
        <v>0.22214041863963771</v>
      </c>
      <c r="J576" s="313">
        <f t="shared" si="545"/>
        <v>184.34889513662881</v>
      </c>
      <c r="K576" s="472">
        <f>[51]PLANCUSr!$H$183</f>
        <v>0.24160150654389898</v>
      </c>
      <c r="L576" s="313">
        <f t="shared" si="546"/>
        <v>200.49917555510291</v>
      </c>
      <c r="M576" s="663">
        <f>[52]PLANCUSr!$H$184</f>
        <v>0.26532646260100728</v>
      </c>
      <c r="N576" s="313">
        <f t="shared" ref="N576" si="572">100*M576/$M$539</f>
        <v>220.18793576847079</v>
      </c>
      <c r="O576" s="663">
        <f>[53]PLANCUSr!$H$184</f>
        <v>0.27421110120622122</v>
      </c>
      <c r="P576" s="313">
        <f t="shared" ref="P576" si="573">100*O576/$M$539</f>
        <v>227.56107983918773</v>
      </c>
      <c r="Q576" s="472">
        <f>[54]PLANCUSr!$H$184</f>
        <v>0.27904260881884541</v>
      </c>
      <c r="R576" s="313">
        <f t="shared" ref="R576" si="574">100*Q576/$M$539</f>
        <v>231.5706297251829</v>
      </c>
      <c r="S576" s="663">
        <f>[55]PLANCUSr!$H$184</f>
        <v>0.29238543878516726</v>
      </c>
      <c r="T576" s="313">
        <f t="shared" ref="T576" si="575">100*S576/$M$539</f>
        <v>242.64351766403922</v>
      </c>
      <c r="U576" s="472">
        <f>[56]PLANCUSr!$H$184</f>
        <v>0.29912890586577806</v>
      </c>
      <c r="V576" s="313">
        <f t="shared" ref="V576" si="576">100*U576/$M$539</f>
        <v>248.23975590521002</v>
      </c>
    </row>
    <row r="577" spans="2:22">
      <c r="B577" s="310" t="s">
        <v>6</v>
      </c>
      <c r="C577" s="473">
        <v>0.18709999999999999</v>
      </c>
      <c r="D577" s="312">
        <f t="shared" si="542"/>
        <v>155.26970954356844</v>
      </c>
      <c r="E577" s="473">
        <f>[57]PLANCUSr!$H$176</f>
        <v>0.19631153417962496</v>
      </c>
      <c r="F577" s="313">
        <f t="shared" si="543"/>
        <v>162.91413624865143</v>
      </c>
      <c r="G577" s="663">
        <f>[58]PLANCUSr!$H$176</f>
        <v>0.20999759919865726</v>
      </c>
      <c r="H577" s="313">
        <f t="shared" ref="H577:H582" si="577">100*G577/$M$539</f>
        <v>174.27186655490232</v>
      </c>
      <c r="I577" s="663">
        <f>[59]PLANCUSr!$H$176</f>
        <v>0.22271798372810075</v>
      </c>
      <c r="J577" s="313">
        <f t="shared" ref="J577:J582" si="578">100*I577/$M$539</f>
        <v>184.82820226398402</v>
      </c>
      <c r="K577" s="472">
        <f>[60]PLANCUSr!$H$183</f>
        <v>0.24346183814428701</v>
      </c>
      <c r="L577" s="313">
        <f t="shared" ref="L577:L582" si="579">100*K577/$M$539</f>
        <v>202.0430192068772</v>
      </c>
      <c r="M577" s="663">
        <f>[61]PLANCUSr!$H$184</f>
        <v>0.26657349697523197</v>
      </c>
      <c r="N577" s="313">
        <f t="shared" ref="N577" si="580">100*M577/$M$539</f>
        <v>221.22281906658256</v>
      </c>
      <c r="O577" s="663">
        <f>[62]PLANCUSr!$H$184</f>
        <v>0.27338846790260257</v>
      </c>
      <c r="P577" s="313">
        <f t="shared" ref="P577" si="581">100*O577/$M$539</f>
        <v>226.87839659967017</v>
      </c>
      <c r="Q577" s="472">
        <f>[63]PLANCUSr!$H$184</f>
        <v>0.2830329181249549</v>
      </c>
      <c r="R577" s="313">
        <f t="shared" ref="R577" si="582">100*Q577/$M$539</f>
        <v>234.88208973025306</v>
      </c>
      <c r="S577" s="663">
        <f>[64]PLANCUSr!$H$184</f>
        <v>0.29241443941444989</v>
      </c>
      <c r="T577" s="313">
        <f t="shared" ref="T577" si="583">100*S577/$M$539</f>
        <v>242.66758457630695</v>
      </c>
      <c r="U577" s="472">
        <f>[65]PLANCUSr!$H$184</f>
        <v>0.30002633921041366</v>
      </c>
      <c r="V577" s="313">
        <f t="shared" ref="V577" si="584">100*U577/$M$539</f>
        <v>248.98451386756321</v>
      </c>
    </row>
    <row r="578" spans="2:22">
      <c r="B578" s="310" t="s">
        <v>7</v>
      </c>
      <c r="C578" s="473">
        <v>0.18713251503181169</v>
      </c>
      <c r="D578" s="312">
        <f t="shared" si="542"/>
        <v>155.29669297245783</v>
      </c>
      <c r="E578" s="473">
        <f>[66]PLANCUSr!$H$176</f>
        <v>0.19715567377659735</v>
      </c>
      <c r="F578" s="313">
        <f t="shared" si="543"/>
        <v>163.61466703452064</v>
      </c>
      <c r="G578" s="663">
        <f>[67]PLANCUSr!$H$176</f>
        <v>0.20972460231969903</v>
      </c>
      <c r="H578" s="313">
        <f t="shared" si="577"/>
        <v>174.04531312838097</v>
      </c>
      <c r="I578" s="663">
        <f>[68]PLANCUSr!$H$176</f>
        <v>0.2230075171069473</v>
      </c>
      <c r="J578" s="313">
        <f t="shared" si="578"/>
        <v>185.06847892692721</v>
      </c>
      <c r="K578" s="472">
        <f>[69]PLANCUSr!$H$183</f>
        <v>0.24487391680552389</v>
      </c>
      <c r="L578" s="313">
        <f t="shared" si="579"/>
        <v>203.21486871827707</v>
      </c>
      <c r="M578" s="663">
        <f>[70]PLANCUSr!$H$184</f>
        <v>0.26827956735587344</v>
      </c>
      <c r="N578" s="313">
        <f t="shared" ref="N578" si="585">100*M578/$M$539</f>
        <v>222.63864510860867</v>
      </c>
      <c r="O578" s="663">
        <f>[71]PLANCUSr!$H$184</f>
        <v>0.27385322829803699</v>
      </c>
      <c r="P578" s="313">
        <f t="shared" ref="P578" si="586">100*O578/$M$539</f>
        <v>227.26408987388962</v>
      </c>
      <c r="Q578" s="472">
        <f>[72]PLANCUSr!$H$184</f>
        <v>0.28374050042026727</v>
      </c>
      <c r="R578" s="313">
        <f t="shared" ref="R578" si="587">100*Q578/$M$539</f>
        <v>235.46929495457866</v>
      </c>
      <c r="S578" s="663">
        <f>[73]PLANCUSr!$H$184</f>
        <v>0.29270663443400807</v>
      </c>
      <c r="T578" s="313">
        <f t="shared" ref="T578" si="588">100*S578/$M$539</f>
        <v>242.91007006971626</v>
      </c>
      <c r="U578" s="472">
        <f>[74]PLANCUSr!$H$184</f>
        <v>0.3013467072180786</v>
      </c>
      <c r="V578" s="313">
        <f t="shared" ref="V578" si="589">100*U578/$M$539</f>
        <v>250.08025495276235</v>
      </c>
    </row>
    <row r="579" spans="2:22">
      <c r="B579" s="310" t="s">
        <v>8</v>
      </c>
      <c r="C579" s="473">
        <v>0.18791847159494529</v>
      </c>
      <c r="D579" s="312">
        <f t="shared" si="542"/>
        <v>155.94893908294216</v>
      </c>
      <c r="E579" s="473">
        <f>[75]PLANCUSr!$H$176</f>
        <v>0.19804287430859202</v>
      </c>
      <c r="F579" s="313">
        <f t="shared" si="543"/>
        <v>164.35093303617595</v>
      </c>
      <c r="G579" s="663">
        <f>[76]PLANCUSr!$H$176</f>
        <v>0.21006016168341055</v>
      </c>
      <c r="H579" s="313">
        <f t="shared" si="577"/>
        <v>174.32378562938635</v>
      </c>
      <c r="I579" s="663">
        <f>[77]PLANCUSr!$H$183</f>
        <v>0.22340893063773981</v>
      </c>
      <c r="J579" s="313">
        <f t="shared" si="578"/>
        <v>185.40160218899572</v>
      </c>
      <c r="K579" s="472">
        <f>[78]PLANCUSr!$H$183</f>
        <v>0.2454861015975377</v>
      </c>
      <c r="L579" s="313">
        <f t="shared" si="579"/>
        <v>203.72290589007281</v>
      </c>
      <c r="M579" s="663">
        <f>[79]PLANCUSr!$H$184</f>
        <v>0.26911123401467668</v>
      </c>
      <c r="N579" s="313">
        <f t="shared" ref="N579" si="590">100*M579/$M$539</f>
        <v>223.3288249084454</v>
      </c>
      <c r="O579" s="663">
        <f>[80]PLANCUSr!$H$184</f>
        <v>0.27377107232954756</v>
      </c>
      <c r="P579" s="313">
        <f t="shared" ref="P579" si="591">100*O579/$M$539</f>
        <v>227.19591064692744</v>
      </c>
      <c r="Q579" s="472">
        <f>[81]PLANCUSr!$H$184</f>
        <v>0.28374050042026727</v>
      </c>
      <c r="R579" s="313">
        <f t="shared" ref="R579" si="592">100*Q579/$M$539</f>
        <v>235.46929495457866</v>
      </c>
      <c r="S579" s="663">
        <f>[82]PLANCUSr!$H$184</f>
        <v>0.29305792507550088</v>
      </c>
      <c r="T579" s="313">
        <f t="shared" ref="T579" si="593">100*S579/$M$539</f>
        <v>243.20159757302977</v>
      </c>
      <c r="U579" s="472">
        <f>[123]PLANCUSr!$H$184</f>
        <v>0.30243174582180021</v>
      </c>
      <c r="V579" s="313">
        <f t="shared" ref="V579" si="594">100*U579/$M$539</f>
        <v>250.98070192680515</v>
      </c>
    </row>
    <row r="580" spans="2:22">
      <c r="B580" s="310" t="s">
        <v>9</v>
      </c>
      <c r="C580" s="473">
        <v>0.18876410471712254</v>
      </c>
      <c r="D580" s="312">
        <f t="shared" si="542"/>
        <v>156.65070930881541</v>
      </c>
      <c r="E580" s="473">
        <f>[83]PLANCUSr!$H$176</f>
        <v>0.19929054441673613</v>
      </c>
      <c r="F580" s="313">
        <f>100*E580/$M$539</f>
        <v>165.38634391430386</v>
      </c>
      <c r="G580" s="663">
        <f>[84]PLANCUSr!$H$176</f>
        <v>0.21062732411995574</v>
      </c>
      <c r="H580" s="313">
        <f t="shared" si="577"/>
        <v>174.7944598505857</v>
      </c>
      <c r="I580" s="663">
        <f>[85]PLANCUSr!$H$183</f>
        <v>0.22450363439786472</v>
      </c>
      <c r="J580" s="313">
        <f t="shared" si="578"/>
        <v>186.31007003972175</v>
      </c>
      <c r="K580" s="472">
        <f>[86]PLANCUSr!$H$183</f>
        <v>0.24673808071568518</v>
      </c>
      <c r="L580" s="313">
        <f t="shared" si="579"/>
        <v>204.76189271011219</v>
      </c>
      <c r="M580" s="663">
        <f>[87]PLANCUSr!$H$184</f>
        <v>0.26932652300188842</v>
      </c>
      <c r="N580" s="313">
        <f t="shared" ref="N580" si="595">100*M580/$M$539</f>
        <v>223.50748796837215</v>
      </c>
      <c r="O580" s="663">
        <f>[88]PLANCUSr!$H$184</f>
        <v>0.27371631811508168</v>
      </c>
      <c r="P580" s="313">
        <f t="shared" ref="P580" si="596">100*O580/$M$539</f>
        <v>227.15047146479807</v>
      </c>
      <c r="Q580" s="472">
        <f>[89]PLANCUSr!$H$184</f>
        <v>0.28459172192152804</v>
      </c>
      <c r="R580" s="313">
        <f t="shared" ref="R580" si="597">100*Q580/$M$539</f>
        <v>236.17570283944235</v>
      </c>
      <c r="S580" s="663">
        <f>[90]PLANCUSr!$H$184</f>
        <v>0.29291128038403685</v>
      </c>
      <c r="T580" s="313">
        <f t="shared" ref="T580" si="598">100*S580/$M$539</f>
        <v>243.07990073364053</v>
      </c>
      <c r="U580" s="663"/>
      <c r="V580" s="313"/>
    </row>
    <row r="581" spans="2:22">
      <c r="B581" s="310" t="s">
        <v>10</v>
      </c>
      <c r="C581" s="473">
        <v>0.18936814985221737</v>
      </c>
      <c r="D581" s="312">
        <f t="shared" si="542"/>
        <v>157.15199157860363</v>
      </c>
      <c r="E581" s="473">
        <f>[91]PLANCUSr!$H$176</f>
        <v>0.20070550728209499</v>
      </c>
      <c r="F581" s="313">
        <f>100*E581/$M$539</f>
        <v>166.56058695609545</v>
      </c>
      <c r="G581" s="663">
        <f>[92]PLANCUSr!$H$176</f>
        <v>0.21191215079708747</v>
      </c>
      <c r="H581" s="313">
        <f t="shared" si="577"/>
        <v>175.86070605567426</v>
      </c>
      <c r="I581" s="663">
        <f>[93]PLANCUSr!$H$183</f>
        <v>0.22535674820857662</v>
      </c>
      <c r="J581" s="313">
        <f t="shared" si="578"/>
        <v>187.01804830587272</v>
      </c>
      <c r="K581" s="472">
        <f>[94]PLANCUSr!$H$183</f>
        <v>0.24863796393719595</v>
      </c>
      <c r="L581" s="313">
        <f t="shared" si="579"/>
        <v>206.33855928398006</v>
      </c>
      <c r="M581" s="663">
        <f>[95]PLANCUSr!$H$184</f>
        <v>0.26978437809099165</v>
      </c>
      <c r="N581" s="313">
        <f t="shared" ref="N581" si="599">100*M581/$M$539</f>
        <v>223.88745069791841</v>
      </c>
      <c r="O581" s="663">
        <f>[96]PLANCUSr!$H$184</f>
        <v>0.27472906849210749</v>
      </c>
      <c r="P581" s="313">
        <f t="shared" ref="P581" si="600">100*O581/$M$539</f>
        <v>227.99092820921783</v>
      </c>
      <c r="Q581" s="472">
        <f>[97]PLANCUSr!$H$184</f>
        <v>0.28573008880921413</v>
      </c>
      <c r="R581" s="313">
        <f t="shared" ref="R581" si="601">100*Q581/$M$539</f>
        <v>237.12040565080011</v>
      </c>
      <c r="S581" s="663">
        <f>[98]PLANCUSr!$H$184</f>
        <v>0.29302837726453407</v>
      </c>
      <c r="T581" s="313">
        <f t="shared" ref="T581" si="602">100*S581/$M$539</f>
        <v>243.17707656807809</v>
      </c>
      <c r="U581" s="663"/>
      <c r="V581" s="313"/>
    </row>
    <row r="582" spans="2:22" ht="15.75" thickBot="1">
      <c r="B582" s="314" t="s">
        <v>11</v>
      </c>
      <c r="C582" s="474">
        <v>0.190447548306375</v>
      </c>
      <c r="D582" s="316">
        <f t="shared" si="542"/>
        <v>158.04775793060168</v>
      </c>
      <c r="E582" s="474">
        <f>[99]PLANCUSr!$H$176</f>
        <v>0.20178931702141831</v>
      </c>
      <c r="F582" s="317">
        <f>100*E582/$M$539</f>
        <v>167.46001412565835</v>
      </c>
      <c r="G582" s="683">
        <f>[100]PLANCUSr!$H$176</f>
        <v>0.21305647641139175</v>
      </c>
      <c r="H582" s="317">
        <f t="shared" si="577"/>
        <v>176.8103538683749</v>
      </c>
      <c r="I582" s="683">
        <f>[101]PLANCUSr!$H$183</f>
        <v>0.22655113897408211</v>
      </c>
      <c r="J582" s="317">
        <f t="shared" si="578"/>
        <v>188.00924396189387</v>
      </c>
      <c r="K582" s="683">
        <f>[94]PLANCUSr!$H$183</f>
        <v>0.24863796393719595</v>
      </c>
      <c r="L582" s="317">
        <f t="shared" si="579"/>
        <v>206.33855928398006</v>
      </c>
      <c r="M582" s="683">
        <f>[103]PLANCUSr!$H$184</f>
        <v>0.2699732271556553</v>
      </c>
      <c r="N582" s="317">
        <f t="shared" ref="N582" si="603">100*M582/$M$539</f>
        <v>224.0441719134069</v>
      </c>
      <c r="O582" s="683">
        <f>[104]PLANCUSr!$H$184</f>
        <v>0.27522358081539328</v>
      </c>
      <c r="P582" s="317">
        <f t="shared" ref="P582" si="604">100*O582/$M$539</f>
        <v>228.40131187999441</v>
      </c>
      <c r="Q582" s="616">
        <f>[105]PLANCUSr!$H$184</f>
        <v>0.28501576358719111</v>
      </c>
      <c r="R582" s="317">
        <f t="shared" ref="R582" si="605">100*Q582/$M$539</f>
        <v>236.52760463667312</v>
      </c>
      <c r="S582" s="683">
        <f>[106]PLANCUSr!$H$184</f>
        <v>0.29461082669630362</v>
      </c>
      <c r="T582" s="317">
        <f t="shared" ref="T582" si="606">100*S582/$M$539</f>
        <v>244.49031261104034</v>
      </c>
      <c r="U582" s="683"/>
      <c r="V582" s="317"/>
    </row>
    <row r="583" spans="2:22" s="686" customFormat="1">
      <c r="B583" s="687"/>
      <c r="C583" s="688"/>
      <c r="D583" s="562"/>
      <c r="E583" s="688"/>
      <c r="F583" s="562"/>
      <c r="G583" s="689"/>
      <c r="H583" s="562"/>
      <c r="I583" s="689"/>
      <c r="J583" s="562"/>
      <c r="K583" s="690"/>
      <c r="L583" s="687"/>
      <c r="M583" s="690"/>
      <c r="N583" s="687"/>
      <c r="O583" s="687"/>
      <c r="P583" s="687"/>
      <c r="Q583" s="691"/>
      <c r="R583" s="562"/>
      <c r="S583" s="690"/>
      <c r="T583" s="690"/>
    </row>
    <row r="584" spans="2:22">
      <c r="B584" s="144"/>
      <c r="C584" s="189"/>
      <c r="D584" s="146"/>
      <c r="E584" s="190"/>
      <c r="F584" s="144"/>
      <c r="G584" s="144"/>
      <c r="H584" s="144"/>
      <c r="I584" s="161"/>
      <c r="J584" s="144"/>
      <c r="K584" s="161"/>
      <c r="L584" s="144"/>
      <c r="M584" s="161"/>
      <c r="N584" s="144"/>
      <c r="O584" s="119"/>
      <c r="P584" s="119"/>
      <c r="Q584" s="180"/>
      <c r="R584" s="123"/>
      <c r="S584" s="122"/>
      <c r="T584" s="122"/>
    </row>
    <row r="585" spans="2:22">
      <c r="B585" s="119"/>
      <c r="C585" s="188"/>
      <c r="D585" s="123"/>
      <c r="E585" s="187"/>
      <c r="F585" s="119"/>
      <c r="G585" s="119"/>
      <c r="H585" s="119"/>
      <c r="I585" s="122"/>
      <c r="J585" s="119"/>
      <c r="K585" s="122"/>
      <c r="L585" s="119"/>
      <c r="M585" s="122"/>
      <c r="N585" s="119"/>
      <c r="O585" s="119"/>
      <c r="P585" s="119"/>
      <c r="Q585" s="180"/>
      <c r="R585" s="123"/>
      <c r="S585" s="122"/>
      <c r="T585" s="122"/>
    </row>
    <row r="586" spans="2:22" ht="16.5" thickBot="1">
      <c r="B586" s="1300" t="s">
        <v>320</v>
      </c>
      <c r="C586" s="1301"/>
      <c r="D586" s="1301"/>
      <c r="E586" s="1301"/>
      <c r="F586" s="1301"/>
      <c r="G586" s="1301"/>
      <c r="H586" s="1301"/>
      <c r="I586" s="1301"/>
      <c r="J586" s="1301"/>
      <c r="K586" s="1301"/>
      <c r="L586" s="1301"/>
      <c r="M586" s="1301"/>
      <c r="N586" s="1301"/>
      <c r="O586" s="1301"/>
      <c r="P586" s="1301"/>
      <c r="Q586" s="1301"/>
      <c r="R586" s="1301"/>
      <c r="S586" s="122"/>
      <c r="T586" s="122"/>
    </row>
    <row r="587" spans="2:22">
      <c r="B587" s="1343" t="s">
        <v>311</v>
      </c>
      <c r="C587" s="1344"/>
      <c r="D587" s="501" t="s">
        <v>15</v>
      </c>
      <c r="E587" s="645">
        <v>2014</v>
      </c>
      <c r="F587" s="501" t="s">
        <v>15</v>
      </c>
      <c r="G587" s="645">
        <v>2015</v>
      </c>
      <c r="H587" s="501" t="s">
        <v>15</v>
      </c>
      <c r="I587" s="645">
        <v>2016</v>
      </c>
      <c r="J587" s="501" t="s">
        <v>15</v>
      </c>
      <c r="K587" s="645">
        <v>2017</v>
      </c>
      <c r="L587" s="501" t="s">
        <v>15</v>
      </c>
      <c r="M587" s="645">
        <v>2018</v>
      </c>
      <c r="N587" s="501" t="s">
        <v>15</v>
      </c>
      <c r="O587" s="645">
        <v>2019</v>
      </c>
      <c r="P587" s="501" t="s">
        <v>15</v>
      </c>
      <c r="Q587" s="1269">
        <v>2020</v>
      </c>
      <c r="R587" s="501" t="s">
        <v>15</v>
      </c>
      <c r="S587" s="122"/>
      <c r="T587" s="122"/>
    </row>
    <row r="588" spans="2:22">
      <c r="B588" s="310" t="s">
        <v>0</v>
      </c>
      <c r="C588" s="311">
        <f>[107]Janeiro!$J$28</f>
        <v>1409.1533333333334</v>
      </c>
      <c r="D588" s="313">
        <f t="shared" ref="D588:D595" si="607">100*C588/$F$618</f>
        <v>315.95366218236177</v>
      </c>
      <c r="E588" s="311">
        <f>'[108]jan-14'!$I$33</f>
        <v>1669.53</v>
      </c>
      <c r="F588" s="313">
        <f t="shared" ref="F588:F593" si="608">100*E588/$F$618</f>
        <v>374.3340807174888</v>
      </c>
      <c r="G588" s="311">
        <f>'[109]jan-15'!$I$33</f>
        <v>1536.0400000000002</v>
      </c>
      <c r="H588" s="313">
        <f t="shared" ref="H588:H593" si="609">100*G588/$F$618</f>
        <v>344.40358744394626</v>
      </c>
      <c r="I588" s="311">
        <f>'[110]jan-16'!$I$33</f>
        <v>1727.54</v>
      </c>
      <c r="J588" s="313">
        <f t="shared" ref="J588" si="610">100*I588/$F$618</f>
        <v>387.34080717488791</v>
      </c>
      <c r="K588" s="311">
        <f>'[111]jan-17'!$I$33</f>
        <v>1723.6079999999997</v>
      </c>
      <c r="L588" s="313">
        <f t="shared" ref="L588" si="611">100*K588/$F$618</f>
        <v>386.45919282511204</v>
      </c>
      <c r="M588" s="311">
        <f>'[112]jan-18'!$I$33</f>
        <v>1874.3420000000001</v>
      </c>
      <c r="N588" s="313">
        <f t="shared" ref="N588" si="612">100*M588/$F$618</f>
        <v>420.25605381165923</v>
      </c>
      <c r="O588" s="311">
        <f>'[113]jan-19'!$I$33</f>
        <v>2011.4159999999999</v>
      </c>
      <c r="P588" s="313">
        <f t="shared" ref="P588" si="613">100*O588/$F$618</f>
        <v>450.99013452914801</v>
      </c>
      <c r="Q588" s="311">
        <f>'[114]jan-20'!$I$33</f>
        <v>2020.4659999999999</v>
      </c>
      <c r="R588" s="313">
        <f t="shared" ref="R588" si="614">100*Q588/$F$618</f>
        <v>453.01928251121069</v>
      </c>
      <c r="S588" s="122"/>
      <c r="T588" s="122"/>
    </row>
    <row r="589" spans="2:22">
      <c r="B589" s="310" t="s">
        <v>1</v>
      </c>
      <c r="C589" s="311">
        <f>[107]Fevereiro!$J$28</f>
        <v>1411.8333333333333</v>
      </c>
      <c r="D589" s="313">
        <f t="shared" si="607"/>
        <v>316.55455904334826</v>
      </c>
      <c r="E589" s="662">
        <f>'[108]fev-14'!$I$33</f>
        <v>1692.6133333333335</v>
      </c>
      <c r="F589" s="313">
        <f t="shared" si="608"/>
        <v>379.50971599402095</v>
      </c>
      <c r="G589" s="311">
        <f>'[109]fev-15'!$I$33</f>
        <v>1607.04</v>
      </c>
      <c r="H589" s="313">
        <f t="shared" si="609"/>
        <v>360.32286995515693</v>
      </c>
      <c r="I589" s="662">
        <f>'[110]fev-16'!$I$33</f>
        <v>1686.5800000000002</v>
      </c>
      <c r="J589" s="313">
        <f t="shared" ref="J589" si="615">100*I589/$F$618</f>
        <v>378.15695067264579</v>
      </c>
      <c r="K589" s="662">
        <f>'[111]fev-17'!$I$33</f>
        <v>1691.732</v>
      </c>
      <c r="L589" s="313">
        <f t="shared" ref="L589" si="616">100*K589/$F$618</f>
        <v>379.31210762331841</v>
      </c>
      <c r="M589" s="311">
        <f>'[112]fev-18'!$I$33</f>
        <v>1891.1880000000001</v>
      </c>
      <c r="N589" s="313">
        <f t="shared" ref="N589" si="617">100*M589/$F$618</f>
        <v>424.03318385650226</v>
      </c>
      <c r="O589" s="662">
        <f>'[113]fev-19'!$I$33</f>
        <v>2048.02</v>
      </c>
      <c r="P589" s="313">
        <f t="shared" ref="P589" si="618">100*O589/$F$618</f>
        <v>459.19730941704034</v>
      </c>
      <c r="Q589" s="311">
        <f>'[114]fev-20'!$I$33</f>
        <v>2044.33</v>
      </c>
      <c r="R589" s="313">
        <f t="shared" ref="R589" si="619">100*Q589/$F$618</f>
        <v>458.36995515695065</v>
      </c>
      <c r="S589" s="122"/>
      <c r="T589" s="122"/>
    </row>
    <row r="590" spans="2:22">
      <c r="B590" s="310" t="s">
        <v>2</v>
      </c>
      <c r="C590" s="311">
        <f>[107]Março!$J$28</f>
        <v>1431</v>
      </c>
      <c r="D590" s="313">
        <f t="shared" si="607"/>
        <v>320.85201793721973</v>
      </c>
      <c r="E590" s="662">
        <f>'[108]mar-14'!$I$33</f>
        <v>1699.47</v>
      </c>
      <c r="F590" s="313">
        <f t="shared" si="608"/>
        <v>381.04708520179372</v>
      </c>
      <c r="G590" s="311">
        <f>'[109]mar-15'!$I$33</f>
        <v>1627.7533333333333</v>
      </c>
      <c r="H590" s="313">
        <f t="shared" si="609"/>
        <v>364.96711509715999</v>
      </c>
      <c r="I590" s="662">
        <f>'[110]mar-16'!$I$33</f>
        <v>1666.95</v>
      </c>
      <c r="J590" s="313">
        <f t="shared" ref="J590" si="620">100*I590/$F$618</f>
        <v>373.75560538116594</v>
      </c>
      <c r="K590" s="662">
        <f>'[111]mar-17'!$I$33</f>
        <v>1690.3879999999997</v>
      </c>
      <c r="L590" s="313">
        <f t="shared" ref="L590" si="621">100*K590/$F$618</f>
        <v>379.01076233183846</v>
      </c>
      <c r="M590" s="311">
        <f>'[112]mar-18'!$I$33</f>
        <v>1875.9480000000003</v>
      </c>
      <c r="N590" s="313">
        <f t="shared" ref="N590" si="622">100*M590/$F$618</f>
        <v>420.61614349775795</v>
      </c>
      <c r="O590" s="662">
        <f>'[113]mar-19'!$I$33</f>
        <v>2036.0400000000002</v>
      </c>
      <c r="P590" s="313">
        <f t="shared" ref="P590" si="623">100*O590/$F$618</f>
        <v>456.51121076233193</v>
      </c>
      <c r="Q590" s="311">
        <f>'[114]mar-20'!$I$33</f>
        <v>2044.5319999999999</v>
      </c>
      <c r="R590" s="313">
        <f t="shared" ref="R590" si="624">100*Q590/$F$618</f>
        <v>458.41524663677126</v>
      </c>
      <c r="S590" s="122"/>
      <c r="T590" s="122"/>
    </row>
    <row r="591" spans="2:22">
      <c r="B591" s="310" t="s">
        <v>3</v>
      </c>
      <c r="C591" s="311">
        <f>[107]Abril!$J$28</f>
        <v>1472.4433333333334</v>
      </c>
      <c r="D591" s="313">
        <f t="shared" si="607"/>
        <v>330.144245142003</v>
      </c>
      <c r="E591" s="662">
        <f>'[108]abr-14'!$I$33</f>
        <v>1556.4099999999999</v>
      </c>
      <c r="F591" s="313">
        <f t="shared" si="608"/>
        <v>348.9708520179372</v>
      </c>
      <c r="G591" s="311">
        <f>'[109]abr-15'!$I$33</f>
        <v>1584.29</v>
      </c>
      <c r="H591" s="313">
        <f t="shared" si="609"/>
        <v>355.22197309417038</v>
      </c>
      <c r="I591" s="662">
        <f>'[110]abr-16'!$I$33</f>
        <v>1682.7560000000001</v>
      </c>
      <c r="J591" s="313">
        <f t="shared" ref="J591" si="625">100*I591/$F$618</f>
        <v>377.29955156950672</v>
      </c>
      <c r="K591" s="662">
        <f>'[111]abr-17'!$I$33</f>
        <v>1690.3879999999997</v>
      </c>
      <c r="L591" s="313">
        <f t="shared" ref="L591" si="626">100*K591/$F$618</f>
        <v>379.01076233183846</v>
      </c>
      <c r="M591" s="311">
        <f>'[112]abr-18'!$I$33</f>
        <v>1889.0060000000001</v>
      </c>
      <c r="N591" s="313">
        <f t="shared" ref="N591" si="627">100*M591/$F$618</f>
        <v>423.54394618834084</v>
      </c>
      <c r="O591" s="662">
        <f>'[113]abr-19'!$I$33</f>
        <v>2036.0400000000002</v>
      </c>
      <c r="P591" s="313">
        <f t="shared" ref="P591" si="628">100*O591/$F$618</f>
        <v>456.51121076233193</v>
      </c>
      <c r="Q591" s="311">
        <f>'[114]abr-20'!$I$33</f>
        <v>2022.15</v>
      </c>
      <c r="R591" s="313">
        <f t="shared" ref="R591" si="629">100*Q591/$F$618</f>
        <v>453.3968609865471</v>
      </c>
      <c r="S591" s="122"/>
      <c r="T591" s="122"/>
    </row>
    <row r="592" spans="2:22">
      <c r="B592" s="310" t="s">
        <v>4</v>
      </c>
      <c r="C592" s="311">
        <f>[107]Maio!$J$28</f>
        <v>1476.1133333333335</v>
      </c>
      <c r="D592" s="313">
        <f t="shared" si="607"/>
        <v>330.96711509715999</v>
      </c>
      <c r="E592" s="662">
        <f>'[108]mai-14'!$I$33</f>
        <v>1556.4099999999999</v>
      </c>
      <c r="F592" s="313">
        <f t="shared" si="608"/>
        <v>348.9708520179372</v>
      </c>
      <c r="G592" s="311">
        <f>'[109]mai-15'!$I$33</f>
        <v>1614.6233333333332</v>
      </c>
      <c r="H592" s="313">
        <f t="shared" si="609"/>
        <v>362.02316890881912</v>
      </c>
      <c r="I592" s="662">
        <f>'[115]mai-16'!$I$33</f>
        <v>1682.7560000000001</v>
      </c>
      <c r="J592" s="313">
        <f t="shared" ref="J592" si="630">100*I592/$F$618</f>
        <v>377.29955156950672</v>
      </c>
      <c r="K592" s="662">
        <f>'[111]mai-17'!$I$33</f>
        <v>1697.9920000000002</v>
      </c>
      <c r="L592" s="313">
        <f t="shared" ref="L592" si="631">100*K592/$F$618</f>
        <v>380.71569506726462</v>
      </c>
      <c r="M592" s="311">
        <f>'[112]mai-18'!$I$33</f>
        <v>1917.9879999999998</v>
      </c>
      <c r="N592" s="313">
        <f t="shared" ref="N592" si="632">100*M592/$F$618</f>
        <v>430.04215246636767</v>
      </c>
      <c r="O592" s="662">
        <f>'[113]mai-19'!$I$33</f>
        <v>2037.3200000000002</v>
      </c>
      <c r="P592" s="313">
        <f t="shared" ref="P592" si="633">100*O592/$F$618</f>
        <v>456.79820627802695</v>
      </c>
      <c r="Q592" s="311">
        <f>'[114]mai-20'!$I$33</f>
        <v>2033.4240000000002</v>
      </c>
      <c r="R592" s="313">
        <f t="shared" ref="R592" si="634">100*Q592/$F$618</f>
        <v>455.92466367713007</v>
      </c>
      <c r="S592" s="122"/>
      <c r="T592" s="122"/>
    </row>
    <row r="593" spans="2:20">
      <c r="B593" s="310" t="s">
        <v>5</v>
      </c>
      <c r="C593" s="311">
        <f>[107]Junho!$J$28</f>
        <v>1476.1133333333335</v>
      </c>
      <c r="D593" s="313">
        <f t="shared" si="607"/>
        <v>330.96711509715999</v>
      </c>
      <c r="E593" s="662">
        <f>'[108]jun-14'!$I$33</f>
        <v>1511.2333333333336</v>
      </c>
      <c r="F593" s="313">
        <f t="shared" si="608"/>
        <v>338.84155455904346</v>
      </c>
      <c r="G593" s="311">
        <f>'[109]jun-15'!$I$33</f>
        <v>1634.3866666666665</v>
      </c>
      <c r="H593" s="313">
        <f t="shared" si="609"/>
        <v>366.45440956651714</v>
      </c>
      <c r="I593" s="662">
        <f>'[115]jun-16'!$I$33</f>
        <v>1682.7560000000001</v>
      </c>
      <c r="J593" s="313">
        <f t="shared" ref="J593" si="635">100*I593/$F$618</f>
        <v>377.29955156950672</v>
      </c>
      <c r="K593" s="662">
        <f>'[111]jun-17'!$I$33</f>
        <v>1682.7860000000001</v>
      </c>
      <c r="L593" s="313">
        <f t="shared" ref="L593" si="636">100*K593/$F$618</f>
        <v>377.30627802690583</v>
      </c>
      <c r="M593" s="311">
        <f>'[112]jun-18'!$I$33</f>
        <v>1917.9879999999998</v>
      </c>
      <c r="N593" s="313">
        <f t="shared" ref="N593" si="637">100*M593/$F$618</f>
        <v>430.04215246636767</v>
      </c>
      <c r="O593" s="662">
        <f>'[113]jun-19'!$I$33</f>
        <v>2012.4299999999998</v>
      </c>
      <c r="P593" s="313">
        <f t="shared" ref="P593" si="638">100*O593/$F$618</f>
        <v>451.21748878923762</v>
      </c>
      <c r="Q593" s="311">
        <f>'[114]jun-20'!$I$33</f>
        <v>2067.7159999999999</v>
      </c>
      <c r="R593" s="313">
        <f t="shared" ref="R593" si="639">100*Q593/$F$618</f>
        <v>463.61345291479813</v>
      </c>
      <c r="S593" s="122"/>
      <c r="T593" s="122"/>
    </row>
    <row r="594" spans="2:20">
      <c r="B594" s="310" t="s">
        <v>6</v>
      </c>
      <c r="C594" s="311">
        <f>[107]Julho!$J$28</f>
        <v>1476.9716666666664</v>
      </c>
      <c r="D594" s="313">
        <f t="shared" si="607"/>
        <v>331.15956651718977</v>
      </c>
      <c r="E594" s="662">
        <f>'[108]jul-14'!$I$33</f>
        <v>1511.2333333333336</v>
      </c>
      <c r="F594" s="313">
        <f t="shared" ref="F594:F599" si="640">100*E594/$F$618</f>
        <v>338.84155455904346</v>
      </c>
      <c r="G594" s="311">
        <f>'[109]jul-15'!$I$33</f>
        <v>1679.5433333333333</v>
      </c>
      <c r="H594" s="313">
        <f t="shared" ref="H594:H599" si="641">100*G594/$F$618</f>
        <v>376.57922272047836</v>
      </c>
      <c r="I594" s="662">
        <f>'[115]jul-16'!$I$33</f>
        <v>1685.0360000000001</v>
      </c>
      <c r="J594" s="313">
        <f t="shared" ref="J594" si="642">100*I594/$F$618</f>
        <v>377.81076233183859</v>
      </c>
      <c r="K594" s="662">
        <f>'[111]jul-17'!$I$33</f>
        <v>1676.0060000000001</v>
      </c>
      <c r="L594" s="313">
        <f t="shared" ref="L594" si="643">100*K594/$F$618</f>
        <v>375.78609865470855</v>
      </c>
      <c r="M594" s="311">
        <f>'[112]jul-18'!$I$33</f>
        <v>1935.816</v>
      </c>
      <c r="N594" s="313">
        <f t="shared" ref="N594" si="644">100*M594/$F$618</f>
        <v>434.03946188340808</v>
      </c>
      <c r="O594" s="662">
        <f>'[113]jul-19'!$I$33</f>
        <v>2012.4299999999998</v>
      </c>
      <c r="P594" s="313">
        <f t="shared" ref="P594" si="645">100*O594/$F$618</f>
        <v>451.21748878923762</v>
      </c>
      <c r="Q594" s="311">
        <f>'[114]jul-20'!$I$33</f>
        <v>2112.3020000000001</v>
      </c>
      <c r="R594" s="313">
        <f t="shared" ref="R594" si="646">100*Q594/$F$618</f>
        <v>473.61031390134531</v>
      </c>
      <c r="S594" s="122"/>
      <c r="T594" s="122"/>
    </row>
    <row r="595" spans="2:20">
      <c r="B595" s="310" t="s">
        <v>7</v>
      </c>
      <c r="C595" s="311">
        <f>[107]Agosto!$J$28</f>
        <v>1482.0266666666666</v>
      </c>
      <c r="D595" s="313">
        <f t="shared" si="607"/>
        <v>332.2929745889387</v>
      </c>
      <c r="E595" s="662">
        <f>'[108]ago-14'!$I$33</f>
        <v>1511.2333333333336</v>
      </c>
      <c r="F595" s="313">
        <f t="shared" si="640"/>
        <v>338.84155455904346</v>
      </c>
      <c r="G595" s="311">
        <f>'[109]ago-15'!$I$33</f>
        <v>1678.1933333333334</v>
      </c>
      <c r="H595" s="313">
        <f t="shared" si="641"/>
        <v>376.2765321375187</v>
      </c>
      <c r="I595" s="662">
        <f>'[115]ago-16'!$I$33</f>
        <v>1691.8340000000001</v>
      </c>
      <c r="J595" s="313">
        <f t="shared" ref="J595" si="647">100*I595/$F$618</f>
        <v>379.33497757847533</v>
      </c>
      <c r="K595" s="662">
        <f>'[111]ago-17'!$I$33</f>
        <v>1706.2040000000002</v>
      </c>
      <c r="L595" s="313">
        <f t="shared" ref="L595" si="648">100*K595/$F$618</f>
        <v>382.55695067264577</v>
      </c>
      <c r="M595" s="311">
        <f>'[112]ago-18'!$I$33</f>
        <v>1985.248</v>
      </c>
      <c r="N595" s="313">
        <f t="shared" ref="N595" si="649">100*M595/$F$618</f>
        <v>445.122869955157</v>
      </c>
      <c r="O595" s="662">
        <f>'[113]ago-19'!$I$33</f>
        <v>2015.1419999999998</v>
      </c>
      <c r="P595" s="313">
        <f t="shared" ref="P595" si="650">100*O595/$F$618</f>
        <v>451.82556053811658</v>
      </c>
      <c r="Q595" s="311">
        <f>'[114]ago-20'!$I$33</f>
        <v>2121.4360000000001</v>
      </c>
      <c r="R595" s="313">
        <f t="shared" ref="R595" si="651">100*Q595/$F$618</f>
        <v>475.65829596412556</v>
      </c>
      <c r="S595" s="122"/>
      <c r="T595" s="122"/>
    </row>
    <row r="596" spans="2:20">
      <c r="B596" s="310" t="s">
        <v>8</v>
      </c>
      <c r="C596" s="311">
        <f>[107]Setembro!$J$28</f>
        <v>1525.8433333333335</v>
      </c>
      <c r="D596" s="313">
        <f>100*C596/$F$618</f>
        <v>342.11733931240661</v>
      </c>
      <c r="E596" s="662">
        <f>'[108]set-14'!$I$33</f>
        <v>1511.2333333333336</v>
      </c>
      <c r="F596" s="313">
        <f t="shared" si="640"/>
        <v>338.84155455904346</v>
      </c>
      <c r="G596" s="311">
        <f>'[109]set-15'!$I$33</f>
        <v>1682.7166666666665</v>
      </c>
      <c r="H596" s="313">
        <f t="shared" si="641"/>
        <v>377.2907324364723</v>
      </c>
      <c r="I596" s="662">
        <f>'[115]set-16'!$I$33</f>
        <v>1693.6560000000002</v>
      </c>
      <c r="J596" s="313">
        <f t="shared" ref="J596" si="652">100*I596/$F$618</f>
        <v>379.74349775784754</v>
      </c>
      <c r="K596" s="662">
        <f>'[111]set-17'!$I$33</f>
        <v>1706.2040000000002</v>
      </c>
      <c r="L596" s="313">
        <f t="shared" ref="L596" si="653">100*K596/$F$618</f>
        <v>382.55695067264577</v>
      </c>
      <c r="M596" s="311">
        <f>'[112]set-18'!$I$33</f>
        <v>1985.248</v>
      </c>
      <c r="N596" s="313">
        <f t="shared" ref="N596" si="654">100*M596/$F$618</f>
        <v>445.122869955157</v>
      </c>
      <c r="O596" s="662">
        <f>'[113]set-19'!$I$33</f>
        <v>2006.8380000000002</v>
      </c>
      <c r="P596" s="313">
        <f t="shared" ref="P596" si="655">100*O596/$F$618</f>
        <v>449.96367713004486</v>
      </c>
      <c r="Q596" s="311">
        <f>'[114]set-20'!$I$33</f>
        <v>2194.8460000000005</v>
      </c>
      <c r="R596" s="313">
        <f t="shared" ref="R596" si="656">100*Q596/$F$618</f>
        <v>492.117937219731</v>
      </c>
      <c r="S596" s="122"/>
      <c r="T596" s="122"/>
    </row>
    <row r="597" spans="2:20">
      <c r="B597" s="310" t="s">
        <v>9</v>
      </c>
      <c r="C597" s="311">
        <f>[107]Outubro!$J$28</f>
        <v>1557.3516666666667</v>
      </c>
      <c r="D597" s="313">
        <f>100*C597/$F$618</f>
        <v>349.18198804185351</v>
      </c>
      <c r="E597" s="662">
        <f>'[108]out-14'!$I$33</f>
        <v>1511.2333333333336</v>
      </c>
      <c r="F597" s="313">
        <f t="shared" si="640"/>
        <v>338.84155455904346</v>
      </c>
      <c r="G597" s="311">
        <f>'[109]out-15'!$I$33</f>
        <v>1755.6366666666665</v>
      </c>
      <c r="H597" s="313">
        <f t="shared" si="641"/>
        <v>393.64050822122567</v>
      </c>
      <c r="I597" s="662">
        <f>'[115]out-16'!$I$33</f>
        <v>1687.818</v>
      </c>
      <c r="J597" s="313">
        <f t="shared" ref="J597" si="657">100*I597/$F$618</f>
        <v>378.43452914798206</v>
      </c>
      <c r="K597" s="662">
        <f>'[111]out-17'!$I$33</f>
        <v>1872.3920000000003</v>
      </c>
      <c r="L597" s="313">
        <f t="shared" ref="L597" si="658">100*K597/$F$618</f>
        <v>419.81883408071758</v>
      </c>
      <c r="M597" s="311">
        <f>'[112]out-18'!$I$33</f>
        <v>2000.3759999999997</v>
      </c>
      <c r="N597" s="313">
        <f t="shared" ref="N597" si="659">100*M597/$F$618</f>
        <v>448.51479820627799</v>
      </c>
      <c r="O597" s="662">
        <f>'[113]out-19'!$I$33</f>
        <v>2037.9</v>
      </c>
      <c r="P597" s="313">
        <f t="shared" ref="P597" si="660">100*O597/$F$618</f>
        <v>456.92825112107624</v>
      </c>
      <c r="Q597" s="662"/>
      <c r="R597" s="313"/>
      <c r="S597" s="122"/>
      <c r="T597" s="122"/>
    </row>
    <row r="598" spans="2:20">
      <c r="B598" s="310" t="s">
        <v>10</v>
      </c>
      <c r="C598" s="311">
        <f>[107]Novembro!$J$28</f>
        <v>1580.8116666666665</v>
      </c>
      <c r="D598" s="313">
        <f>100*C598/$F$618</f>
        <v>354.44207772795215</v>
      </c>
      <c r="E598" s="662">
        <f>'[108]nov-14'!$I$33</f>
        <v>1453.6333333333332</v>
      </c>
      <c r="F598" s="313">
        <f t="shared" si="640"/>
        <v>325.92675635276527</v>
      </c>
      <c r="G598" s="311">
        <f>'[109]nov-15'!$I$33</f>
        <v>1717.5100000000002</v>
      </c>
      <c r="H598" s="313">
        <f t="shared" si="641"/>
        <v>385.09192825112115</v>
      </c>
      <c r="I598" s="662">
        <f>'[115]nov-16'!$I$33</f>
        <v>1719.9899999999998</v>
      </c>
      <c r="J598" s="313">
        <f t="shared" ref="J598" si="661">100*I598/$F$618</f>
        <v>385.64798206278022</v>
      </c>
      <c r="K598" s="662">
        <f>'[111]nov-17'!$I$33</f>
        <v>1871.7819999999999</v>
      </c>
      <c r="L598" s="313">
        <f t="shared" ref="L598" si="662">100*K598/$F$618</f>
        <v>419.68206278026901</v>
      </c>
      <c r="M598" s="311">
        <f>'[112]nov-18'!$I$33</f>
        <v>2000.3759999999997</v>
      </c>
      <c r="N598" s="313">
        <f t="shared" ref="N598" si="663">100*M598/$F$618</f>
        <v>448.51479820627799</v>
      </c>
      <c r="O598" s="662">
        <f>'[113]nov-19'!$I$33</f>
        <v>2023.3559999999998</v>
      </c>
      <c r="P598" s="313">
        <f t="shared" ref="P598" si="664">100*O598/$F$618</f>
        <v>453.66726457399096</v>
      </c>
      <c r="Q598" s="662"/>
      <c r="R598" s="313"/>
      <c r="S598" s="122"/>
      <c r="T598" s="122"/>
    </row>
    <row r="599" spans="2:20" ht="15.75" thickBot="1">
      <c r="B599" s="314" t="s">
        <v>11</v>
      </c>
      <c r="C599" s="315">
        <f>[107]Dezembro!$J$28</f>
        <v>1590.8116666666665</v>
      </c>
      <c r="D599" s="317">
        <f>100*C599/$F$618</f>
        <v>356.68423019431987</v>
      </c>
      <c r="E599" s="682">
        <f>'[108]dez-14'!$I$33</f>
        <v>1453.6333333333332</v>
      </c>
      <c r="F599" s="317">
        <f t="shared" si="640"/>
        <v>325.92675635276527</v>
      </c>
      <c r="G599" s="682">
        <f>'[109]dez-15'!$I$33</f>
        <v>1711.7300000000002</v>
      </c>
      <c r="H599" s="317">
        <f t="shared" si="641"/>
        <v>383.7959641255606</v>
      </c>
      <c r="I599" s="682">
        <f>'[115]dez-16'!$I$33</f>
        <v>1723.6079999999997</v>
      </c>
      <c r="J599" s="317">
        <f t="shared" ref="J599" si="665">100*I599/$F$618</f>
        <v>386.45919282511204</v>
      </c>
      <c r="K599" s="682">
        <f>'[111]dez-17'!$I$33</f>
        <v>1874.3420000000001</v>
      </c>
      <c r="L599" s="317">
        <f t="shared" ref="L599" si="666">100*K599/$F$618</f>
        <v>420.25605381165923</v>
      </c>
      <c r="M599" s="315">
        <f>'[112]dez-18'!$I$33</f>
        <v>1960.4580000000001</v>
      </c>
      <c r="N599" s="317">
        <f t="shared" ref="N599" si="667">100*M599/$F$618</f>
        <v>439.56457399103141</v>
      </c>
      <c r="O599" s="682">
        <f>'[113]dez-19'!$I$33</f>
        <v>2012.8759999999997</v>
      </c>
      <c r="P599" s="317">
        <f t="shared" ref="P599" si="668">100*O599/$F$618</f>
        <v>451.31748878923764</v>
      </c>
      <c r="Q599" s="682"/>
      <c r="R599" s="317"/>
      <c r="S599" s="122"/>
      <c r="T599" s="122"/>
    </row>
    <row r="600" spans="2:20">
      <c r="B600" s="119"/>
      <c r="C600" s="188"/>
      <c r="D600" s="123"/>
      <c r="E600" s="187"/>
      <c r="F600" s="119"/>
      <c r="G600" s="119"/>
      <c r="H600" s="119"/>
      <c r="I600" s="122"/>
      <c r="J600" s="119"/>
      <c r="K600" s="122"/>
      <c r="L600" s="119"/>
      <c r="M600" s="122"/>
      <c r="N600" s="119"/>
      <c r="O600" s="119"/>
      <c r="P600" s="119"/>
      <c r="Q600" s="180"/>
      <c r="R600" s="123"/>
      <c r="S600" s="122"/>
      <c r="T600" s="122"/>
    </row>
    <row r="601" spans="2:20">
      <c r="B601" s="144"/>
      <c r="C601" s="189"/>
      <c r="D601" s="146"/>
      <c r="E601" s="190"/>
      <c r="F601" s="144"/>
      <c r="G601" s="144"/>
      <c r="H601" s="144"/>
      <c r="I601" s="161"/>
      <c r="J601" s="144"/>
      <c r="K601" s="161"/>
      <c r="L601" s="144"/>
      <c r="M601" s="161"/>
      <c r="N601" s="144"/>
      <c r="O601" s="119"/>
      <c r="P601" s="119"/>
      <c r="Q601" s="180"/>
      <c r="R601" s="123"/>
      <c r="S601" s="122"/>
      <c r="T601" s="122"/>
    </row>
    <row r="602" spans="2:20">
      <c r="B602" s="119"/>
      <c r="C602" s="188"/>
      <c r="D602" s="123"/>
      <c r="E602" s="187"/>
      <c r="F602" s="119"/>
      <c r="G602" s="119"/>
      <c r="H602" s="119"/>
      <c r="I602" s="122"/>
      <c r="J602" s="119"/>
      <c r="K602" s="122"/>
      <c r="L602" s="119"/>
      <c r="M602" s="122"/>
      <c r="N602" s="119"/>
      <c r="O602" s="119"/>
      <c r="P602" s="119"/>
      <c r="Q602" s="180"/>
      <c r="R602" s="123"/>
      <c r="S602" s="122"/>
      <c r="T602" s="122"/>
    </row>
    <row r="603" spans="2:20" ht="18.75" hidden="1" thickBot="1">
      <c r="B603" s="1320" t="s">
        <v>33</v>
      </c>
      <c r="C603" s="1321"/>
      <c r="D603" s="1321"/>
      <c r="E603" s="1321"/>
      <c r="F603" s="1321"/>
      <c r="G603" s="1321"/>
      <c r="H603" s="1321"/>
      <c r="I603" s="475">
        <v>271.12</v>
      </c>
      <c r="J603" s="389" t="s">
        <v>18</v>
      </c>
      <c r="K603" s="476"/>
      <c r="L603" s="395"/>
      <c r="M603" s="476"/>
      <c r="N603" s="363"/>
      <c r="O603" s="477" t="s">
        <v>17</v>
      </c>
      <c r="P603" s="478"/>
      <c r="Q603" s="180"/>
      <c r="R603" s="123"/>
      <c r="S603" s="122"/>
      <c r="T603" s="122"/>
    </row>
    <row r="604" spans="2:20" ht="15.75" hidden="1" thickBot="1">
      <c r="B604" s="1312">
        <v>1994</v>
      </c>
      <c r="C604" s="1313"/>
      <c r="D604" s="479" t="s">
        <v>15</v>
      </c>
      <c r="E604" s="480">
        <v>1995</v>
      </c>
      <c r="F604" s="480" t="s">
        <v>15</v>
      </c>
      <c r="G604" s="480">
        <v>1996</v>
      </c>
      <c r="H604" s="480" t="s">
        <v>15</v>
      </c>
      <c r="I604" s="480">
        <v>1997</v>
      </c>
      <c r="J604" s="480" t="s">
        <v>15</v>
      </c>
      <c r="K604" s="480">
        <v>1998</v>
      </c>
      <c r="L604" s="480" t="s">
        <v>15</v>
      </c>
      <c r="M604" s="480">
        <v>1999</v>
      </c>
      <c r="N604" s="481" t="s">
        <v>15</v>
      </c>
      <c r="O604" s="480" t="s">
        <v>230</v>
      </c>
      <c r="P604" s="482" t="s">
        <v>15</v>
      </c>
      <c r="Q604" s="180"/>
      <c r="R604" s="191"/>
      <c r="S604" s="124"/>
      <c r="T604" s="124"/>
    </row>
    <row r="605" spans="2:20" hidden="1">
      <c r="B605" s="306" t="s">
        <v>0</v>
      </c>
      <c r="C605" s="307"/>
      <c r="D605" s="308"/>
      <c r="E605" s="307">
        <v>328.17</v>
      </c>
      <c r="F605" s="308">
        <f>100*328.17/$I$603</f>
        <v>121.04234287400413</v>
      </c>
      <c r="G605" s="307">
        <v>325.93</v>
      </c>
      <c r="H605" s="308">
        <f>325.93*100/$I$603</f>
        <v>120.21614045441133</v>
      </c>
      <c r="I605" s="307">
        <v>317.17</v>
      </c>
      <c r="J605" s="308">
        <f>317.17*100/$I$603</f>
        <v>116.98509884921806</v>
      </c>
      <c r="K605" s="307">
        <v>308.17</v>
      </c>
      <c r="L605" s="308">
        <f>308.17*100/$I$603</f>
        <v>113.66553555621127</v>
      </c>
      <c r="M605" s="307">
        <v>328.49</v>
      </c>
      <c r="N605" s="378">
        <f>328.49*100/$I$603</f>
        <v>121.16037179108882</v>
      </c>
      <c r="O605" s="504">
        <v>396.67</v>
      </c>
      <c r="P605" s="309">
        <f>328.49*100/$I$603</f>
        <v>121.16037179108882</v>
      </c>
      <c r="Q605" s="180"/>
      <c r="R605" s="123"/>
      <c r="S605" s="122"/>
      <c r="T605" s="122"/>
    </row>
    <row r="606" spans="2:20" hidden="1">
      <c r="B606" s="310" t="s">
        <v>1</v>
      </c>
      <c r="C606" s="311"/>
      <c r="D606" s="312"/>
      <c r="E606" s="311">
        <v>317.56</v>
      </c>
      <c r="F606" s="312">
        <f>317.56*100/$I$603</f>
        <v>117.12894659191501</v>
      </c>
      <c r="G606" s="311">
        <v>320.67</v>
      </c>
      <c r="H606" s="312">
        <f>320.67*100/$I$603</f>
        <v>118.27604012983181</v>
      </c>
      <c r="I606" s="311">
        <v>316</v>
      </c>
      <c r="J606" s="312">
        <f>316*100/$I$603</f>
        <v>116.55355562112717</v>
      </c>
      <c r="K606" s="311">
        <v>298.83</v>
      </c>
      <c r="L606" s="312">
        <f>298.83*100/$I$603</f>
        <v>110.220566538802</v>
      </c>
      <c r="M606" s="311">
        <v>342.13</v>
      </c>
      <c r="N606" s="379">
        <f>342.13*100/$I$603</f>
        <v>126.19135438182354</v>
      </c>
      <c r="O606" s="433">
        <v>383</v>
      </c>
      <c r="P606" s="313">
        <f>342.13*100/$I$603</f>
        <v>126.19135438182354</v>
      </c>
      <c r="Q606" s="180"/>
      <c r="R606" s="123"/>
      <c r="S606" s="122"/>
      <c r="T606" s="122"/>
    </row>
    <row r="607" spans="2:20" hidden="1">
      <c r="B607" s="310" t="s">
        <v>2</v>
      </c>
      <c r="C607" s="311"/>
      <c r="D607" s="312"/>
      <c r="E607" s="311">
        <v>336.75</v>
      </c>
      <c r="F607" s="312">
        <f>100*336.75/$I$603</f>
        <v>124.20699321333727</v>
      </c>
      <c r="G607" s="311">
        <v>319.32</v>
      </c>
      <c r="H607" s="312">
        <f>319.32*100/$I$603</f>
        <v>117.77810563588079</v>
      </c>
      <c r="I607" s="311">
        <v>314.57</v>
      </c>
      <c r="J607" s="312">
        <f>314.57*100/$I$603</f>
        <v>116.02611389790499</v>
      </c>
      <c r="K607" s="311">
        <v>313</v>
      </c>
      <c r="L607" s="312">
        <f>313*100/$I$603</f>
        <v>115.44703452345824</v>
      </c>
      <c r="M607" s="311">
        <v>355.69</v>
      </c>
      <c r="N607" s="379">
        <f>355.69*100/$I$603</f>
        <v>131.19282974328709</v>
      </c>
      <c r="O607" s="433">
        <v>391.67</v>
      </c>
      <c r="P607" s="313">
        <f>355.69*100/$I$603</f>
        <v>131.19282974328709</v>
      </c>
      <c r="Q607" s="180"/>
      <c r="R607" s="123"/>
      <c r="S607" s="122"/>
      <c r="T607" s="122"/>
    </row>
    <row r="608" spans="2:20" ht="15.75" hidden="1" thickBot="1">
      <c r="B608" s="310" t="s">
        <v>3</v>
      </c>
      <c r="C608" s="311"/>
      <c r="D608" s="312"/>
      <c r="E608" s="311">
        <v>324.17</v>
      </c>
      <c r="F608" s="312">
        <f>100*324.17/$I$603</f>
        <v>119.56698141044556</v>
      </c>
      <c r="G608" s="311">
        <v>323.55</v>
      </c>
      <c r="H608" s="312">
        <f>100*323.55/$I$603</f>
        <v>119.33830038359397</v>
      </c>
      <c r="I608" s="311">
        <v>302.07</v>
      </c>
      <c r="J608" s="312">
        <f>100*302.07/$I$603</f>
        <v>111.41560932428445</v>
      </c>
      <c r="K608" s="311">
        <v>301.83</v>
      </c>
      <c r="L608" s="312">
        <f>301.83*100/$I$603</f>
        <v>111.32708763647094</v>
      </c>
      <c r="M608" s="311">
        <v>367</v>
      </c>
      <c r="N608" s="379">
        <f>367*100/$I$603</f>
        <v>135.36441428149897</v>
      </c>
      <c r="O608" s="505" t="s">
        <v>59</v>
      </c>
      <c r="P608" s="317"/>
      <c r="Q608" s="192"/>
      <c r="R608" s="123"/>
      <c r="S608" s="122"/>
      <c r="T608" s="122"/>
    </row>
    <row r="609" spans="2:20" hidden="1">
      <c r="B609" s="310" t="s">
        <v>4</v>
      </c>
      <c r="C609" s="311"/>
      <c r="D609" s="312"/>
      <c r="E609" s="311">
        <v>353.14</v>
      </c>
      <c r="F609" s="312">
        <f>353.14*100/$I$603</f>
        <v>130.25228681026852</v>
      </c>
      <c r="G609" s="311">
        <v>318.75</v>
      </c>
      <c r="H609" s="312">
        <f>318.75*100/$I$603</f>
        <v>117.5678666273237</v>
      </c>
      <c r="I609" s="311">
        <v>317.77</v>
      </c>
      <c r="J609" s="312">
        <f>317.77*100/$I$603</f>
        <v>117.20640306875184</v>
      </c>
      <c r="K609" s="311">
        <v>306.67</v>
      </c>
      <c r="L609" s="312">
        <f>306.67*100/$I$603</f>
        <v>113.11227500737681</v>
      </c>
      <c r="M609" s="311">
        <v>373.86</v>
      </c>
      <c r="N609" s="313">
        <f>373.86*100/$I$603</f>
        <v>137.89465919150192</v>
      </c>
      <c r="O609" s="171"/>
      <c r="P609" s="171"/>
      <c r="Q609" s="180"/>
      <c r="R609" s="123"/>
      <c r="S609" s="122"/>
      <c r="T609" s="122"/>
    </row>
    <row r="610" spans="2:20" hidden="1">
      <c r="B610" s="310" t="s">
        <v>5</v>
      </c>
      <c r="C610" s="311"/>
      <c r="D610" s="312"/>
      <c r="E610" s="311">
        <v>341.67</v>
      </c>
      <c r="F610" s="312">
        <f>341.67*100/$I$603</f>
        <v>126.0216878135143</v>
      </c>
      <c r="G610" s="311">
        <v>301.12</v>
      </c>
      <c r="H610" s="312">
        <f>301.12*100/$I$603</f>
        <v>111.06521097668929</v>
      </c>
      <c r="I610" s="311">
        <v>305.8</v>
      </c>
      <c r="J610" s="312">
        <f>305.8*100/$I$603</f>
        <v>112.79138388905281</v>
      </c>
      <c r="K610" s="311">
        <v>310.29000000000002</v>
      </c>
      <c r="L610" s="312">
        <f>310.29*100/$I$603</f>
        <v>114.44747713189733</v>
      </c>
      <c r="M610" s="311">
        <v>365.71</v>
      </c>
      <c r="N610" s="313">
        <f>365.71*100/$I$603</f>
        <v>134.88861020950134</v>
      </c>
      <c r="O610" s="171"/>
      <c r="P610" s="171"/>
      <c r="Q610" s="180"/>
      <c r="R610" s="123"/>
      <c r="S610" s="122"/>
      <c r="T610" s="122"/>
    </row>
    <row r="611" spans="2:20" hidden="1">
      <c r="B611" s="310" t="s">
        <v>6</v>
      </c>
      <c r="C611" s="311">
        <v>271.12</v>
      </c>
      <c r="D611" s="312">
        <f>100*271.12/271.12</f>
        <v>100</v>
      </c>
      <c r="E611" s="311">
        <v>349.75</v>
      </c>
      <c r="F611" s="312">
        <f>349.75*100/$I$603</f>
        <v>129.00191796990262</v>
      </c>
      <c r="G611" s="311">
        <v>316.38</v>
      </c>
      <c r="H611" s="312">
        <f>316.38*100/$I$603</f>
        <v>116.69371496016524</v>
      </c>
      <c r="I611" s="311">
        <v>296.83</v>
      </c>
      <c r="J611" s="312">
        <f>296.83*100/$I$603</f>
        <v>109.48288580702273</v>
      </c>
      <c r="K611" s="311">
        <v>294.2</v>
      </c>
      <c r="L611" s="312">
        <f>294.2*100/$I$603</f>
        <v>108.51283564473296</v>
      </c>
      <c r="M611" s="311">
        <v>357.3</v>
      </c>
      <c r="N611" s="313">
        <f>$M$611*100/271.12</f>
        <v>131.78666273236942</v>
      </c>
      <c r="O611" s="171"/>
      <c r="P611" s="171"/>
      <c r="Q611" s="180"/>
      <c r="R611" s="123"/>
      <c r="S611" s="122"/>
      <c r="T611" s="122"/>
    </row>
    <row r="612" spans="2:20" hidden="1">
      <c r="B612" s="310" t="s">
        <v>7</v>
      </c>
      <c r="C612" s="311">
        <v>266.17</v>
      </c>
      <c r="D612" s="312">
        <f>100*266.17/$I$603</f>
        <v>98.174240188846269</v>
      </c>
      <c r="E612" s="311">
        <v>331.18</v>
      </c>
      <c r="F612" s="312">
        <f>331.18*100/$I$603</f>
        <v>122.15255237533195</v>
      </c>
      <c r="G612" s="311">
        <v>308.87</v>
      </c>
      <c r="H612" s="312">
        <f>308.87*100/$I$603</f>
        <v>113.92372381233402</v>
      </c>
      <c r="I612" s="311">
        <v>308.33</v>
      </c>
      <c r="J612" s="312">
        <f>308.33*100/$I$603</f>
        <v>113.72455001475362</v>
      </c>
      <c r="K612" s="311">
        <v>329.78</v>
      </c>
      <c r="L612" s="312">
        <f>329.78*100/$I$603</f>
        <v>121.63617586308645</v>
      </c>
      <c r="M612" s="311">
        <v>372.43</v>
      </c>
      <c r="N612" s="313">
        <f>M612*100/271.12</f>
        <v>137.36721746827973</v>
      </c>
      <c r="O612" s="171"/>
      <c r="P612" s="171"/>
      <c r="Q612" s="180"/>
      <c r="R612" s="123"/>
      <c r="S612" s="122"/>
      <c r="T612" s="122"/>
    </row>
    <row r="613" spans="2:20" hidden="1">
      <c r="B613" s="310" t="s">
        <v>8</v>
      </c>
      <c r="C613" s="311">
        <v>321.87</v>
      </c>
      <c r="D613" s="312">
        <f>100*321.87/$I$603</f>
        <v>118.71864856889938</v>
      </c>
      <c r="E613" s="311">
        <v>341.71</v>
      </c>
      <c r="F613" s="312">
        <f>341.71*100/$I$603</f>
        <v>126.0364414281499</v>
      </c>
      <c r="G613" s="311">
        <v>326.86</v>
      </c>
      <c r="H613" s="312">
        <f>326.86*100/$I$603</f>
        <v>120.55916199468869</v>
      </c>
      <c r="I613" s="311">
        <v>302</v>
      </c>
      <c r="J613" s="312">
        <f>302*100/$I$603</f>
        <v>111.38979049867217</v>
      </c>
      <c r="K613" s="311">
        <v>314.73</v>
      </c>
      <c r="L613" s="312">
        <f>314.73*100/$I$603</f>
        <v>116.08512835644733</v>
      </c>
      <c r="M613" s="311">
        <v>363.83</v>
      </c>
      <c r="N613" s="313">
        <f>M613*100/271.12</f>
        <v>134.19519032162879</v>
      </c>
      <c r="O613" s="171"/>
      <c r="P613" s="171"/>
      <c r="Q613" s="180"/>
      <c r="R613" s="123"/>
      <c r="S613" s="122"/>
      <c r="T613" s="122"/>
    </row>
    <row r="614" spans="2:20" hidden="1">
      <c r="B614" s="310" t="s">
        <v>9</v>
      </c>
      <c r="C614" s="311">
        <v>291.14</v>
      </c>
      <c r="D614" s="312">
        <f>100*291.14/$I$603</f>
        <v>107.38418412511065</v>
      </c>
      <c r="E614" s="311">
        <v>303.31</v>
      </c>
      <c r="F614" s="312">
        <f>303.31*100/$I$603</f>
        <v>111.87297137798761</v>
      </c>
      <c r="G614" s="311">
        <v>309.2</v>
      </c>
      <c r="H614" s="312">
        <f>309.2*100/$I$603</f>
        <v>114.0454411330776</v>
      </c>
      <c r="I614" s="311">
        <v>298</v>
      </c>
      <c r="J614" s="312">
        <f>298*100/$I$603</f>
        <v>109.9144290351136</v>
      </c>
      <c r="K614" s="311">
        <v>313.95999999999998</v>
      </c>
      <c r="L614" s="312">
        <f>313.96*100/$I$603</f>
        <v>115.80112127471229</v>
      </c>
      <c r="M614" s="311">
        <v>361.64</v>
      </c>
      <c r="N614" s="313">
        <f>M614*100/271.12</f>
        <v>133.38742992033048</v>
      </c>
      <c r="O614" s="171"/>
      <c r="P614" s="171"/>
      <c r="Q614" s="180"/>
      <c r="R614" s="123"/>
      <c r="S614" s="122"/>
      <c r="T614" s="122"/>
    </row>
    <row r="615" spans="2:20" hidden="1">
      <c r="B615" s="310" t="s">
        <v>10</v>
      </c>
      <c r="C615" s="311">
        <v>306</v>
      </c>
      <c r="D615" s="312">
        <f>306*100/$I$603</f>
        <v>112.86515196223074</v>
      </c>
      <c r="E615" s="311">
        <v>331.95</v>
      </c>
      <c r="F615" s="312">
        <f>331.95*100/$I$603</f>
        <v>122.43655945706698</v>
      </c>
      <c r="G615" s="311">
        <v>308.39999999999998</v>
      </c>
      <c r="H615" s="312">
        <f>308.4*100/$I$603</f>
        <v>113.75036884036588</v>
      </c>
      <c r="I615" s="311">
        <v>305.8</v>
      </c>
      <c r="J615" s="312">
        <f>305.8*100/$I$603</f>
        <v>112.79138388905281</v>
      </c>
      <c r="K615" s="311">
        <v>321.7</v>
      </c>
      <c r="L615" s="312">
        <f>321.7*100/$I$603</f>
        <v>118.65594570669813</v>
      </c>
      <c r="M615" s="311">
        <v>413</v>
      </c>
      <c r="N615" s="313">
        <f>M615*100/271.12</f>
        <v>152.33107111242253</v>
      </c>
      <c r="O615" s="171"/>
      <c r="P615" s="171"/>
      <c r="Q615" s="180"/>
      <c r="R615" s="123"/>
      <c r="S615" s="122"/>
      <c r="T615" s="122"/>
    </row>
    <row r="616" spans="2:20" ht="15.75" hidden="1" thickBot="1">
      <c r="B616" s="314" t="s">
        <v>11</v>
      </c>
      <c r="C616" s="315">
        <v>312</v>
      </c>
      <c r="D616" s="316">
        <f>100*312/$I$603</f>
        <v>115.0781941575686</v>
      </c>
      <c r="E616" s="315">
        <v>311.83</v>
      </c>
      <c r="F616" s="316">
        <f>311.83*100/$I$603</f>
        <v>115.01549129536737</v>
      </c>
      <c r="G616" s="315">
        <v>310.83</v>
      </c>
      <c r="H616" s="316">
        <f>310.83*100/$I$603</f>
        <v>114.64665092947772</v>
      </c>
      <c r="I616" s="315">
        <v>305</v>
      </c>
      <c r="J616" s="316">
        <f>305*100/$I$603</f>
        <v>112.4963115963411</v>
      </c>
      <c r="K616" s="315">
        <v>300.82</v>
      </c>
      <c r="L616" s="316">
        <f>300.82*100/$I$603</f>
        <v>110.9545588669224</v>
      </c>
      <c r="M616" s="315">
        <v>384.86</v>
      </c>
      <c r="N616" s="317">
        <f>M616*100/271.12</f>
        <v>141.951903216288</v>
      </c>
      <c r="O616" s="171"/>
      <c r="P616" s="171"/>
      <c r="Q616" s="180"/>
      <c r="R616" s="123"/>
      <c r="S616" s="122"/>
      <c r="T616" s="122"/>
    </row>
    <row r="617" spans="2:20" ht="15.75" hidden="1" thickBot="1">
      <c r="B617" s="167"/>
      <c r="C617" s="168"/>
      <c r="D617" s="182"/>
      <c r="E617" s="168"/>
      <c r="F617" s="167"/>
      <c r="G617" s="167"/>
      <c r="H617" s="167"/>
      <c r="I617" s="173"/>
      <c r="J617" s="167"/>
      <c r="K617" s="173"/>
      <c r="L617" s="167"/>
      <c r="M617" s="173"/>
      <c r="N617" s="167"/>
      <c r="O617" s="167"/>
      <c r="P617" s="167"/>
      <c r="Q617" s="180"/>
      <c r="R617" s="123"/>
      <c r="S617" s="122"/>
      <c r="T617" s="122"/>
    </row>
    <row r="618" spans="2:20" ht="16.5" hidden="1" thickBot="1">
      <c r="B618" s="483" t="s">
        <v>193</v>
      </c>
      <c r="C618" s="484"/>
      <c r="D618" s="395"/>
      <c r="E618" s="395"/>
      <c r="F618" s="485">
        <v>446</v>
      </c>
      <c r="G618" s="486" t="s">
        <v>203</v>
      </c>
      <c r="H618" s="476"/>
      <c r="I618" s="395"/>
      <c r="J618" s="395"/>
      <c r="K618" s="476"/>
      <c r="L618" s="1389" t="s">
        <v>40</v>
      </c>
      <c r="M618" s="1389"/>
      <c r="N618" s="1390"/>
      <c r="O618" s="167"/>
      <c r="P618" s="167"/>
      <c r="Q618" s="180"/>
      <c r="R618" s="123"/>
      <c r="S618" s="122"/>
      <c r="T618" s="122"/>
    </row>
    <row r="619" spans="2:20" ht="15.75" hidden="1" thickBot="1">
      <c r="B619" s="1312">
        <v>2000</v>
      </c>
      <c r="C619" s="1313"/>
      <c r="D619" s="479" t="s">
        <v>15</v>
      </c>
      <c r="E619" s="480" t="s">
        <v>63</v>
      </c>
      <c r="F619" s="480" t="s">
        <v>15</v>
      </c>
      <c r="G619" s="480" t="s">
        <v>134</v>
      </c>
      <c r="H619" s="480" t="s">
        <v>15</v>
      </c>
      <c r="I619" s="480" t="s">
        <v>159</v>
      </c>
      <c r="J619" s="480" t="s">
        <v>15</v>
      </c>
      <c r="K619" s="480" t="s">
        <v>168</v>
      </c>
      <c r="L619" s="480" t="s">
        <v>15</v>
      </c>
      <c r="M619" s="487" t="s">
        <v>192</v>
      </c>
      <c r="N619" s="482" t="s">
        <v>15</v>
      </c>
      <c r="O619" s="193"/>
      <c r="P619" s="193"/>
      <c r="S619" s="122"/>
      <c r="T619" s="122"/>
    </row>
    <row r="620" spans="2:20" hidden="1">
      <c r="B620" s="398" t="s">
        <v>0</v>
      </c>
      <c r="C620" s="401"/>
      <c r="D620" s="488"/>
      <c r="E620" s="401">
        <v>448.67</v>
      </c>
      <c r="F620" s="488">
        <f t="shared" ref="F620:F631" si="669">100*E620/$F$618</f>
        <v>100.59865470852019</v>
      </c>
      <c r="G620" s="401">
        <v>516.20000000000005</v>
      </c>
      <c r="H620" s="488">
        <f t="shared" ref="H620:H631" si="670">100*G620/$F$618</f>
        <v>115.73991031390136</v>
      </c>
      <c r="I620" s="401">
        <v>726.88</v>
      </c>
      <c r="J620" s="488">
        <f t="shared" ref="J620:J631" si="671">100*I620/$F$618</f>
        <v>162.97757847533632</v>
      </c>
      <c r="K620" s="401">
        <v>875.93</v>
      </c>
      <c r="L620" s="488">
        <f t="shared" ref="L620:L631" si="672">100*K620/$F$618</f>
        <v>196.3968609865471</v>
      </c>
      <c r="M620" s="489">
        <v>1017</v>
      </c>
      <c r="N620" s="490">
        <f t="shared" ref="N620:N631" si="673">100*M620/$F$618</f>
        <v>228.02690582959642</v>
      </c>
      <c r="O620" s="171"/>
      <c r="P620" s="171"/>
      <c r="S620" s="122"/>
      <c r="T620" s="122"/>
    </row>
    <row r="621" spans="2:20" hidden="1">
      <c r="B621" s="403" t="s">
        <v>1</v>
      </c>
      <c r="C621" s="406"/>
      <c r="D621" s="411"/>
      <c r="E621" s="406">
        <v>476.25</v>
      </c>
      <c r="F621" s="411">
        <f t="shared" si="669"/>
        <v>106.78251121076234</v>
      </c>
      <c r="G621" s="406">
        <v>525.4</v>
      </c>
      <c r="H621" s="411">
        <f t="shared" si="670"/>
        <v>117.80269058295964</v>
      </c>
      <c r="I621" s="406">
        <v>690</v>
      </c>
      <c r="J621" s="411">
        <f t="shared" si="671"/>
        <v>154.70852017937219</v>
      </c>
      <c r="K621" s="406">
        <v>881.25</v>
      </c>
      <c r="L621" s="411">
        <f t="shared" si="672"/>
        <v>197.58968609865471</v>
      </c>
      <c r="M621" s="407">
        <v>1021.77</v>
      </c>
      <c r="N621" s="491">
        <f t="shared" si="673"/>
        <v>229.09641255605382</v>
      </c>
      <c r="O621" s="171"/>
      <c r="P621" s="171"/>
      <c r="S621" s="122"/>
      <c r="T621" s="122"/>
    </row>
    <row r="622" spans="2:20" hidden="1">
      <c r="B622" s="403" t="s">
        <v>2</v>
      </c>
      <c r="C622" s="406"/>
      <c r="D622" s="411"/>
      <c r="E622" s="406">
        <v>512.23</v>
      </c>
      <c r="F622" s="411">
        <f t="shared" si="669"/>
        <v>114.84977578475336</v>
      </c>
      <c r="G622" s="406">
        <v>545.79999999999995</v>
      </c>
      <c r="H622" s="411">
        <f t="shared" si="670"/>
        <v>122.37668161434976</v>
      </c>
      <c r="I622" s="406">
        <v>818.8</v>
      </c>
      <c r="J622" s="411">
        <f t="shared" si="671"/>
        <v>183.58744394618833</v>
      </c>
      <c r="K622" s="406">
        <v>918.4</v>
      </c>
      <c r="L622" s="411">
        <f t="shared" si="672"/>
        <v>205.91928251121075</v>
      </c>
      <c r="M622" s="407">
        <v>1061.57</v>
      </c>
      <c r="N622" s="491">
        <f t="shared" si="673"/>
        <v>238.0201793721973</v>
      </c>
      <c r="O622" s="171"/>
      <c r="P622" s="171"/>
      <c r="S622" s="122"/>
      <c r="T622" s="122"/>
    </row>
    <row r="623" spans="2:20" hidden="1">
      <c r="B623" s="403" t="s">
        <v>3</v>
      </c>
      <c r="C623" s="406">
        <v>446</v>
      </c>
      <c r="D623" s="411">
        <v>100</v>
      </c>
      <c r="E623" s="406">
        <v>469</v>
      </c>
      <c r="F623" s="411">
        <f t="shared" si="669"/>
        <v>105.15695067264573</v>
      </c>
      <c r="G623" s="406">
        <v>575.79999999999995</v>
      </c>
      <c r="H623" s="411">
        <f t="shared" si="670"/>
        <v>129.1031390134529</v>
      </c>
      <c r="I623" s="406">
        <v>822.6</v>
      </c>
      <c r="J623" s="411">
        <f t="shared" si="671"/>
        <v>184.43946188340809</v>
      </c>
      <c r="K623" s="406">
        <v>933.8</v>
      </c>
      <c r="L623" s="411">
        <f t="shared" si="672"/>
        <v>209.37219730941703</v>
      </c>
      <c r="M623" s="407">
        <v>1095</v>
      </c>
      <c r="N623" s="491">
        <f t="shared" si="673"/>
        <v>245.51569506726457</v>
      </c>
      <c r="O623" s="171"/>
      <c r="P623" s="171"/>
      <c r="S623" s="122"/>
      <c r="T623" s="122"/>
    </row>
    <row r="624" spans="2:20" hidden="1">
      <c r="B624" s="403" t="s">
        <v>4</v>
      </c>
      <c r="C624" s="492">
        <v>455.17</v>
      </c>
      <c r="D624" s="411">
        <f t="shared" ref="D624:D630" si="674">100*((C624/446))</f>
        <v>102.05605381165918</v>
      </c>
      <c r="E624" s="411">
        <v>497.5</v>
      </c>
      <c r="F624" s="411">
        <f t="shared" si="669"/>
        <v>111.54708520179372</v>
      </c>
      <c r="G624" s="411">
        <v>540.20000000000005</v>
      </c>
      <c r="H624" s="411">
        <f t="shared" si="670"/>
        <v>121.12107623318387</v>
      </c>
      <c r="I624" s="406">
        <v>823.01</v>
      </c>
      <c r="J624" s="411">
        <f t="shared" si="671"/>
        <v>184.53139013452915</v>
      </c>
      <c r="K624" s="406">
        <v>954.8</v>
      </c>
      <c r="L624" s="411">
        <f t="shared" si="672"/>
        <v>214.08071748878925</v>
      </c>
      <c r="M624" s="407">
        <v>1053.67</v>
      </c>
      <c r="N624" s="491">
        <f t="shared" si="673"/>
        <v>236.24887892376682</v>
      </c>
      <c r="O624" s="171"/>
      <c r="P624" s="171"/>
      <c r="S624" s="122"/>
      <c r="T624" s="122"/>
    </row>
    <row r="625" spans="2:20" hidden="1">
      <c r="B625" s="403" t="s">
        <v>5</v>
      </c>
      <c r="C625" s="406">
        <v>432.67</v>
      </c>
      <c r="D625" s="411">
        <f t="shared" si="674"/>
        <v>97.011210762331842</v>
      </c>
      <c r="E625" s="411">
        <v>544.4</v>
      </c>
      <c r="F625" s="411">
        <f t="shared" si="669"/>
        <v>122.06278026905829</v>
      </c>
      <c r="G625" s="411">
        <v>526.20000000000005</v>
      </c>
      <c r="H625" s="411">
        <f t="shared" si="670"/>
        <v>117.98206278026908</v>
      </c>
      <c r="I625" s="406">
        <v>823.73</v>
      </c>
      <c r="J625" s="411">
        <f t="shared" si="671"/>
        <v>184.69282511210761</v>
      </c>
      <c r="K625" s="406">
        <v>977.2</v>
      </c>
      <c r="L625" s="411">
        <f t="shared" si="672"/>
        <v>219.1031390134529</v>
      </c>
      <c r="M625" s="407">
        <v>1055.67</v>
      </c>
      <c r="N625" s="491">
        <f t="shared" si="673"/>
        <v>236.69730941704037</v>
      </c>
      <c r="O625" s="171"/>
      <c r="P625" s="171"/>
      <c r="S625" s="122"/>
      <c r="T625" s="122"/>
    </row>
    <row r="626" spans="2:20" hidden="1">
      <c r="B626" s="403" t="s">
        <v>6</v>
      </c>
      <c r="C626" s="406">
        <v>451.5</v>
      </c>
      <c r="D626" s="411">
        <f t="shared" si="674"/>
        <v>101.23318385650224</v>
      </c>
      <c r="E626" s="411">
        <v>518.20000000000005</v>
      </c>
      <c r="F626" s="411">
        <f t="shared" si="669"/>
        <v>116.18834080717491</v>
      </c>
      <c r="G626" s="411">
        <v>543.62</v>
      </c>
      <c r="H626" s="411">
        <f t="shared" si="670"/>
        <v>121.88789237668162</v>
      </c>
      <c r="I626" s="406">
        <v>821.8</v>
      </c>
      <c r="J626" s="411">
        <f t="shared" si="671"/>
        <v>184.26008968609867</v>
      </c>
      <c r="K626" s="406">
        <v>990.6</v>
      </c>
      <c r="L626" s="411">
        <f t="shared" si="672"/>
        <v>222.10762331838566</v>
      </c>
      <c r="M626" s="407">
        <v>1080.29</v>
      </c>
      <c r="N626" s="491">
        <f t="shared" si="673"/>
        <v>242.21748878923768</v>
      </c>
      <c r="O626" s="171"/>
      <c r="P626" s="171"/>
      <c r="S626" s="122"/>
      <c r="T626" s="122"/>
    </row>
    <row r="627" spans="2:20" hidden="1">
      <c r="B627" s="403" t="s">
        <v>7</v>
      </c>
      <c r="C627" s="406">
        <v>437.4</v>
      </c>
      <c r="D627" s="411">
        <f t="shared" si="674"/>
        <v>98.071748878923756</v>
      </c>
      <c r="E627" s="411">
        <v>526.1</v>
      </c>
      <c r="F627" s="411">
        <f t="shared" si="669"/>
        <v>117.95964125560538</v>
      </c>
      <c r="G627" s="411">
        <v>591.6</v>
      </c>
      <c r="H627" s="411">
        <f t="shared" si="670"/>
        <v>132.64573991031389</v>
      </c>
      <c r="I627" s="406">
        <v>806.3</v>
      </c>
      <c r="J627" s="411">
        <f t="shared" si="671"/>
        <v>180.7847533632287</v>
      </c>
      <c r="K627" s="406">
        <v>952.63</v>
      </c>
      <c r="L627" s="411">
        <f t="shared" si="672"/>
        <v>213.59417040358744</v>
      </c>
      <c r="M627" s="407">
        <v>1003.59</v>
      </c>
      <c r="N627" s="491">
        <f t="shared" si="673"/>
        <v>225.0201793721973</v>
      </c>
      <c r="O627" s="171"/>
      <c r="P627" s="171"/>
      <c r="S627" s="122"/>
      <c r="T627" s="122"/>
    </row>
    <row r="628" spans="2:20" hidden="1">
      <c r="B628" s="403" t="s">
        <v>8</v>
      </c>
      <c r="C628" s="406">
        <v>479.67</v>
      </c>
      <c r="D628" s="411">
        <f t="shared" si="674"/>
        <v>107.54932735426009</v>
      </c>
      <c r="E628" s="411">
        <v>527.75</v>
      </c>
      <c r="F628" s="411">
        <f t="shared" si="669"/>
        <v>118.32959641255606</v>
      </c>
      <c r="G628" s="411">
        <v>577.5</v>
      </c>
      <c r="H628" s="411">
        <f t="shared" si="670"/>
        <v>129.48430493273543</v>
      </c>
      <c r="I628" s="406">
        <v>802.64</v>
      </c>
      <c r="J628" s="411">
        <f t="shared" si="671"/>
        <v>179.96412556053812</v>
      </c>
      <c r="K628" s="406">
        <v>968.6</v>
      </c>
      <c r="L628" s="411">
        <f t="shared" si="672"/>
        <v>217.17488789237669</v>
      </c>
      <c r="M628" s="407">
        <v>1011.18</v>
      </c>
      <c r="N628" s="491">
        <f t="shared" si="673"/>
        <v>226.72197309417041</v>
      </c>
      <c r="O628" s="171"/>
      <c r="P628" s="171"/>
      <c r="S628" s="122"/>
      <c r="T628" s="122"/>
    </row>
    <row r="629" spans="2:20" hidden="1">
      <c r="B629" s="403" t="s">
        <v>9</v>
      </c>
      <c r="C629" s="406">
        <v>433.96</v>
      </c>
      <c r="D629" s="411">
        <f t="shared" si="674"/>
        <v>97.300448430493276</v>
      </c>
      <c r="E629" s="411">
        <v>590</v>
      </c>
      <c r="F629" s="411">
        <f t="shared" si="669"/>
        <v>132.28699551569505</v>
      </c>
      <c r="G629" s="411">
        <v>599.6</v>
      </c>
      <c r="H629" s="411">
        <f t="shared" si="670"/>
        <v>134.43946188340809</v>
      </c>
      <c r="I629" s="406">
        <v>775.79</v>
      </c>
      <c r="J629" s="411">
        <f t="shared" si="671"/>
        <v>173.94394618834082</v>
      </c>
      <c r="K629" s="406">
        <v>967.4</v>
      </c>
      <c r="L629" s="411">
        <f t="shared" si="672"/>
        <v>216.90582959641256</v>
      </c>
      <c r="M629" s="407">
        <v>1050.22</v>
      </c>
      <c r="N629" s="491">
        <f t="shared" si="673"/>
        <v>235.47533632286996</v>
      </c>
      <c r="O629" s="171"/>
      <c r="P629" s="171"/>
      <c r="S629" s="122"/>
      <c r="T629" s="122"/>
    </row>
    <row r="630" spans="2:20" hidden="1">
      <c r="B630" s="403" t="s">
        <v>10</v>
      </c>
      <c r="C630" s="406">
        <v>449.6</v>
      </c>
      <c r="D630" s="411">
        <f t="shared" si="674"/>
        <v>100.80717488789239</v>
      </c>
      <c r="E630" s="411">
        <v>543</v>
      </c>
      <c r="F630" s="411">
        <f t="shared" si="669"/>
        <v>121.74887892376681</v>
      </c>
      <c r="G630" s="411">
        <v>676.87</v>
      </c>
      <c r="H630" s="411">
        <f t="shared" si="670"/>
        <v>151.7645739910314</v>
      </c>
      <c r="I630" s="406">
        <v>857.04</v>
      </c>
      <c r="J630" s="411">
        <f t="shared" si="671"/>
        <v>192.16143497757847</v>
      </c>
      <c r="K630" s="406">
        <v>1104.3</v>
      </c>
      <c r="L630" s="411">
        <f t="shared" si="672"/>
        <v>247.60089686098655</v>
      </c>
      <c r="M630" s="407">
        <v>1036.76</v>
      </c>
      <c r="N630" s="491">
        <f t="shared" si="673"/>
        <v>232.45739910313901</v>
      </c>
      <c r="O630" s="171"/>
      <c r="P630" s="171"/>
      <c r="S630" s="122"/>
      <c r="T630" s="122"/>
    </row>
    <row r="631" spans="2:20" ht="15.75" hidden="1" thickBot="1">
      <c r="B631" s="413" t="s">
        <v>11</v>
      </c>
      <c r="C631" s="416">
        <v>452.6</v>
      </c>
      <c r="D631" s="417">
        <f>100*((C631/446))</f>
        <v>101.4798206278027</v>
      </c>
      <c r="E631" s="417">
        <v>509.76</v>
      </c>
      <c r="F631" s="417">
        <f t="shared" si="669"/>
        <v>114.29596412556054</v>
      </c>
      <c r="G631" s="417">
        <v>678.23</v>
      </c>
      <c r="H631" s="417">
        <f t="shared" si="670"/>
        <v>152.0695067264574</v>
      </c>
      <c r="I631" s="416">
        <v>808</v>
      </c>
      <c r="J631" s="417">
        <f t="shared" si="671"/>
        <v>181.1659192825112</v>
      </c>
      <c r="K631" s="416">
        <v>971.17</v>
      </c>
      <c r="L631" s="417">
        <f t="shared" si="672"/>
        <v>217.75112107623318</v>
      </c>
      <c r="M631" s="493">
        <v>1025.5</v>
      </c>
      <c r="N631" s="494">
        <f t="shared" si="673"/>
        <v>229.93273542600897</v>
      </c>
      <c r="O631" s="171"/>
      <c r="P631" s="171"/>
      <c r="S631" s="122"/>
      <c r="T631" s="122"/>
    </row>
    <row r="632" spans="2:20" ht="15.75" hidden="1" thickBot="1">
      <c r="B632" s="119"/>
      <c r="C632" s="118"/>
      <c r="D632" s="123"/>
      <c r="E632" s="123"/>
      <c r="F632" s="132"/>
      <c r="G632" s="132"/>
      <c r="H632" s="132"/>
      <c r="I632" s="122"/>
      <c r="J632" s="132"/>
      <c r="K632" s="122"/>
      <c r="L632" s="132"/>
      <c r="M632" s="122"/>
      <c r="N632" s="132"/>
      <c r="O632" s="132"/>
      <c r="P632" s="132"/>
      <c r="Q632" s="180"/>
      <c r="R632" s="123"/>
      <c r="S632" s="122"/>
      <c r="T632" s="122"/>
    </row>
    <row r="633" spans="2:20" ht="16.5" hidden="1" thickBot="1">
      <c r="B633" s="483" t="s">
        <v>193</v>
      </c>
      <c r="C633" s="495"/>
      <c r="D633" s="496"/>
      <c r="E633" s="496"/>
      <c r="F633" s="497">
        <v>446</v>
      </c>
      <c r="G633" s="1398" t="s">
        <v>203</v>
      </c>
      <c r="H633" s="1398"/>
      <c r="I633" s="1398"/>
      <c r="J633" s="1398"/>
      <c r="K633" s="1398"/>
      <c r="L633" s="1396" t="s">
        <v>40</v>
      </c>
      <c r="M633" s="1396"/>
      <c r="N633" s="1397"/>
      <c r="O633" s="132"/>
      <c r="P633" s="132"/>
      <c r="Q633" s="180"/>
      <c r="R633" s="123"/>
      <c r="S633" s="122"/>
      <c r="T633" s="122"/>
    </row>
    <row r="634" spans="2:20" ht="15.75" hidden="1" thickBot="1">
      <c r="B634" s="1380" t="s">
        <v>219</v>
      </c>
      <c r="C634" s="1381"/>
      <c r="D634" s="498" t="s">
        <v>15</v>
      </c>
      <c r="E634" s="374">
        <v>2007</v>
      </c>
      <c r="F634" s="499" t="s">
        <v>232</v>
      </c>
      <c r="G634" s="374">
        <v>2008</v>
      </c>
      <c r="H634" s="499" t="s">
        <v>232</v>
      </c>
      <c r="I634" s="374">
        <v>2009</v>
      </c>
      <c r="J634" s="499" t="s">
        <v>232</v>
      </c>
      <c r="K634" s="374">
        <v>2010</v>
      </c>
      <c r="L634" s="499" t="s">
        <v>232</v>
      </c>
      <c r="M634" s="374">
        <v>2011</v>
      </c>
      <c r="N634" s="500" t="s">
        <v>232</v>
      </c>
      <c r="O634" s="132"/>
      <c r="P634" s="132"/>
      <c r="Q634" s="180"/>
      <c r="R634" s="123"/>
      <c r="S634" s="122"/>
      <c r="T634" s="122"/>
    </row>
    <row r="635" spans="2:20" hidden="1">
      <c r="B635" s="306" t="s">
        <v>0</v>
      </c>
      <c r="C635" s="355">
        <v>975.14</v>
      </c>
      <c r="D635" s="308">
        <f t="shared" ref="D635:D646" si="675">100*C635/$F$618</f>
        <v>218.64125560538116</v>
      </c>
      <c r="E635" s="308">
        <v>942.83</v>
      </c>
      <c r="F635" s="308">
        <f t="shared" ref="F635:F646" si="676">100*E635/$F$618</f>
        <v>211.3968609865471</v>
      </c>
      <c r="G635" s="307">
        <v>971.06</v>
      </c>
      <c r="H635" s="308">
        <f t="shared" ref="H635:H646" si="677">100*G635/$F$618</f>
        <v>217.72645739910314</v>
      </c>
      <c r="I635" s="307">
        <v>1095.5999999999999</v>
      </c>
      <c r="J635" s="308">
        <f t="shared" ref="J635:J646" si="678">100*I635/$F$618</f>
        <v>245.6502242152466</v>
      </c>
      <c r="K635" s="307">
        <v>1170</v>
      </c>
      <c r="L635" s="308">
        <f t="shared" ref="L635:L646" si="679">100*K635/$F$618</f>
        <v>262.33183856502239</v>
      </c>
      <c r="M635" s="308">
        <v>1389.152</v>
      </c>
      <c r="N635" s="309">
        <f t="shared" ref="N635:N646" si="680">100*M635/$F$618</f>
        <v>311.46905829596415</v>
      </c>
      <c r="O635" s="132"/>
      <c r="P635" s="174">
        <f>+G641/G636-1</f>
        <v>2.8313738663083621E-2</v>
      </c>
      <c r="Q635" s="180"/>
      <c r="R635" s="123"/>
      <c r="S635" s="122"/>
      <c r="T635" s="122"/>
    </row>
    <row r="636" spans="2:20" hidden="1">
      <c r="B636" s="310" t="s">
        <v>1</v>
      </c>
      <c r="C636" s="356">
        <v>1003</v>
      </c>
      <c r="D636" s="312">
        <f t="shared" si="675"/>
        <v>224.88789237668161</v>
      </c>
      <c r="E636" s="312">
        <v>921.29</v>
      </c>
      <c r="F636" s="312">
        <f t="shared" si="676"/>
        <v>206.56726457399103</v>
      </c>
      <c r="G636" s="311">
        <v>992.33333333333337</v>
      </c>
      <c r="H636" s="312">
        <f t="shared" si="677"/>
        <v>222.49626307922273</v>
      </c>
      <c r="I636" s="311">
        <v>1099</v>
      </c>
      <c r="J636" s="312">
        <f t="shared" si="678"/>
        <v>246.41255605381167</v>
      </c>
      <c r="K636" s="311">
        <v>1116.24</v>
      </c>
      <c r="L636" s="312">
        <f t="shared" si="679"/>
        <v>250.27802690582959</v>
      </c>
      <c r="M636" s="312">
        <v>1387.69</v>
      </c>
      <c r="N636" s="313">
        <f t="shared" si="680"/>
        <v>311.14125560538116</v>
      </c>
      <c r="O636" s="132"/>
      <c r="P636" s="132"/>
      <c r="Q636" s="180"/>
      <c r="R636" s="123"/>
      <c r="S636" s="122"/>
      <c r="T636" s="122"/>
    </row>
    <row r="637" spans="2:20" hidden="1">
      <c r="B637" s="310" t="s">
        <v>2</v>
      </c>
      <c r="C637" s="356">
        <v>1003.97</v>
      </c>
      <c r="D637" s="312">
        <f t="shared" si="675"/>
        <v>225.10538116591928</v>
      </c>
      <c r="E637" s="312">
        <v>896</v>
      </c>
      <c r="F637" s="312">
        <f t="shared" si="676"/>
        <v>200.8968609865471</v>
      </c>
      <c r="G637" s="311">
        <v>1003.8333333333334</v>
      </c>
      <c r="H637" s="312">
        <f t="shared" si="677"/>
        <v>225.07473841554562</v>
      </c>
      <c r="I637" s="311">
        <v>1108.5999999999999</v>
      </c>
      <c r="J637" s="312">
        <f t="shared" si="678"/>
        <v>248.56502242152462</v>
      </c>
      <c r="K637" s="311">
        <v>1193.0266666666666</v>
      </c>
      <c r="L637" s="312">
        <f t="shared" si="679"/>
        <v>267.49476831091181</v>
      </c>
      <c r="M637" s="312">
        <v>1448.25</v>
      </c>
      <c r="N637" s="313">
        <f t="shared" si="680"/>
        <v>324.71973094170403</v>
      </c>
      <c r="O637" s="132"/>
      <c r="P637" s="132"/>
      <c r="Q637" s="180"/>
      <c r="R637" s="123"/>
      <c r="S637" s="122"/>
      <c r="T637" s="122"/>
    </row>
    <row r="638" spans="2:20" hidden="1">
      <c r="B638" s="310" t="s">
        <v>3</v>
      </c>
      <c r="C638" s="356">
        <v>999.21</v>
      </c>
      <c r="D638" s="312">
        <f t="shared" si="675"/>
        <v>224.03811659192826</v>
      </c>
      <c r="E638" s="312">
        <v>962.8</v>
      </c>
      <c r="F638" s="312">
        <f t="shared" si="676"/>
        <v>215.87443946188341</v>
      </c>
      <c r="G638" s="311">
        <v>998.42857142857144</v>
      </c>
      <c r="H638" s="312">
        <f t="shared" si="677"/>
        <v>223.86290839205637</v>
      </c>
      <c r="I638" s="311">
        <v>1115.5</v>
      </c>
      <c r="J638" s="312">
        <f t="shared" si="678"/>
        <v>250.11210762331839</v>
      </c>
      <c r="K638" s="311">
        <v>1170</v>
      </c>
      <c r="L638" s="312">
        <f t="shared" si="679"/>
        <v>262.33183856502239</v>
      </c>
      <c r="M638" s="312">
        <v>1420.6860000000001</v>
      </c>
      <c r="N638" s="313">
        <f t="shared" si="680"/>
        <v>318.53946188340808</v>
      </c>
      <c r="O638" s="132"/>
      <c r="P638" s="132"/>
      <c r="Q638" s="180"/>
      <c r="R638" s="123"/>
      <c r="S638" s="122"/>
      <c r="T638" s="122"/>
    </row>
    <row r="639" spans="2:20" hidden="1">
      <c r="B639" s="310" t="s">
        <v>4</v>
      </c>
      <c r="C639" s="356">
        <v>994.88</v>
      </c>
      <c r="D639" s="312">
        <f t="shared" si="675"/>
        <v>223.06726457399103</v>
      </c>
      <c r="E639" s="312">
        <v>948.7</v>
      </c>
      <c r="F639" s="312">
        <f t="shared" si="676"/>
        <v>212.71300448430495</v>
      </c>
      <c r="G639" s="311">
        <v>1028</v>
      </c>
      <c r="H639" s="312">
        <f t="shared" si="677"/>
        <v>230.49327354260089</v>
      </c>
      <c r="I639" s="311">
        <v>1128.2857142857142</v>
      </c>
      <c r="J639" s="312">
        <f t="shared" si="678"/>
        <v>252.97885970531709</v>
      </c>
      <c r="K639" s="311">
        <v>1188</v>
      </c>
      <c r="L639" s="312">
        <f t="shared" si="679"/>
        <v>266.3677130044843</v>
      </c>
      <c r="M639" s="312">
        <v>1493.43</v>
      </c>
      <c r="N639" s="313">
        <f t="shared" si="680"/>
        <v>334.84977578475338</v>
      </c>
      <c r="O639" s="132"/>
      <c r="P639" s="132"/>
      <c r="Q639" s="180"/>
      <c r="R639" s="123"/>
      <c r="S639" s="122"/>
      <c r="T639" s="122"/>
    </row>
    <row r="640" spans="2:20" hidden="1">
      <c r="B640" s="310" t="s">
        <v>5</v>
      </c>
      <c r="C640" s="356">
        <v>978.75</v>
      </c>
      <c r="D640" s="312">
        <f t="shared" si="675"/>
        <v>219.4506726457399</v>
      </c>
      <c r="E640" s="312">
        <v>933.22222222222217</v>
      </c>
      <c r="F640" s="312">
        <f t="shared" si="676"/>
        <v>209.24265072247135</v>
      </c>
      <c r="G640" s="311">
        <v>1015.8</v>
      </c>
      <c r="H640" s="312">
        <f t="shared" si="677"/>
        <v>227.75784753363229</v>
      </c>
      <c r="I640" s="311">
        <v>1134.1428571428571</v>
      </c>
      <c r="J640" s="312">
        <f t="shared" si="678"/>
        <v>254.29212043561819</v>
      </c>
      <c r="K640" s="311">
        <v>1060.6666666666667</v>
      </c>
      <c r="L640" s="312">
        <f t="shared" si="679"/>
        <v>237.81763826606877</v>
      </c>
      <c r="M640" s="312">
        <v>1656.27</v>
      </c>
      <c r="N640" s="313">
        <f t="shared" si="680"/>
        <v>371.36098654708519</v>
      </c>
      <c r="O640" s="132"/>
      <c r="P640" s="132"/>
      <c r="Q640" s="180"/>
      <c r="R640" s="123"/>
      <c r="S640" s="122"/>
      <c r="T640" s="122"/>
    </row>
    <row r="641" spans="2:20" hidden="1">
      <c r="B641" s="310" t="s">
        <v>6</v>
      </c>
      <c r="C641" s="356">
        <v>992.33</v>
      </c>
      <c r="D641" s="312">
        <f t="shared" si="675"/>
        <v>222.49551569506727</v>
      </c>
      <c r="E641" s="312">
        <v>995</v>
      </c>
      <c r="F641" s="312">
        <f t="shared" si="676"/>
        <v>223.09417040358744</v>
      </c>
      <c r="G641" s="311">
        <v>1020.43</v>
      </c>
      <c r="H641" s="312">
        <f t="shared" si="677"/>
        <v>228.79596412556054</v>
      </c>
      <c r="I641" s="311">
        <v>1129</v>
      </c>
      <c r="J641" s="312">
        <f t="shared" si="678"/>
        <v>253.13901345291481</v>
      </c>
      <c r="K641" s="311">
        <v>1202.5899999999999</v>
      </c>
      <c r="L641" s="312">
        <f t="shared" si="679"/>
        <v>269.63901345291475</v>
      </c>
      <c r="M641" s="312">
        <v>1444.8740000000003</v>
      </c>
      <c r="N641" s="313">
        <f t="shared" si="680"/>
        <v>323.96278026905833</v>
      </c>
      <c r="O641" s="132"/>
      <c r="P641" s="132"/>
      <c r="Q641" s="180"/>
      <c r="R641" s="123"/>
      <c r="S641" s="122"/>
      <c r="T641" s="122"/>
    </row>
    <row r="642" spans="2:20" hidden="1">
      <c r="B642" s="310" t="s">
        <v>7</v>
      </c>
      <c r="C642" s="356">
        <v>982.43</v>
      </c>
      <c r="D642" s="312">
        <f t="shared" si="675"/>
        <v>220.27578475336324</v>
      </c>
      <c r="E642" s="312">
        <v>1004</v>
      </c>
      <c r="F642" s="312">
        <f t="shared" si="676"/>
        <v>225.11210762331839</v>
      </c>
      <c r="G642" s="311">
        <v>1026.5714285714287</v>
      </c>
      <c r="H642" s="312">
        <f t="shared" si="677"/>
        <v>230.17296604740554</v>
      </c>
      <c r="I642" s="311">
        <v>1142</v>
      </c>
      <c r="J642" s="312">
        <f t="shared" si="678"/>
        <v>256.05381165919283</v>
      </c>
      <c r="K642" s="311">
        <v>1265.1866666666665</v>
      </c>
      <c r="L642" s="312">
        <f t="shared" si="679"/>
        <v>283.67414050822123</v>
      </c>
      <c r="M642" s="312">
        <v>1564.8770000000004</v>
      </c>
      <c r="N642" s="313">
        <f t="shared" si="680"/>
        <v>350.86928251121083</v>
      </c>
      <c r="O642" s="132"/>
      <c r="P642" s="132"/>
      <c r="Q642" s="180"/>
      <c r="R642" s="123"/>
      <c r="S642" s="122"/>
      <c r="T642" s="122"/>
    </row>
    <row r="643" spans="2:20" hidden="1">
      <c r="B643" s="310" t="s">
        <v>8</v>
      </c>
      <c r="C643" s="356">
        <v>945.5</v>
      </c>
      <c r="D643" s="312">
        <f t="shared" si="675"/>
        <v>211.99551569506727</v>
      </c>
      <c r="E643" s="312">
        <v>989.8</v>
      </c>
      <c r="F643" s="312">
        <f t="shared" si="676"/>
        <v>221.92825112107624</v>
      </c>
      <c r="G643" s="311">
        <v>1025.5999999999999</v>
      </c>
      <c r="H643" s="312">
        <f t="shared" si="677"/>
        <v>229.9551569506726</v>
      </c>
      <c r="I643" s="311">
        <v>1147.7142857142858</v>
      </c>
      <c r="J643" s="312">
        <f t="shared" si="678"/>
        <v>257.33504163997441</v>
      </c>
      <c r="K643" s="311">
        <v>1394.1179999999999</v>
      </c>
      <c r="L643" s="312">
        <f t="shared" si="679"/>
        <v>312.58251121076233</v>
      </c>
      <c r="M643" s="312">
        <v>1564.8770000000004</v>
      </c>
      <c r="N643" s="313">
        <f t="shared" si="680"/>
        <v>350.86928251121083</v>
      </c>
      <c r="O643" s="132"/>
      <c r="P643" s="132"/>
      <c r="Q643" s="180"/>
      <c r="R643" s="123"/>
      <c r="S643" s="122"/>
      <c r="T643" s="122"/>
    </row>
    <row r="644" spans="2:20" hidden="1">
      <c r="B644" s="310" t="s">
        <v>9</v>
      </c>
      <c r="C644" s="356">
        <v>950.53</v>
      </c>
      <c r="D644" s="312">
        <f t="shared" si="675"/>
        <v>213.12331838565024</v>
      </c>
      <c r="E644" s="312">
        <v>991.14285714285711</v>
      </c>
      <c r="F644" s="312">
        <f t="shared" si="676"/>
        <v>222.22934016655989</v>
      </c>
      <c r="G644" s="311">
        <v>1078.8571428571429</v>
      </c>
      <c r="H644" s="312">
        <f t="shared" si="677"/>
        <v>241.89622037155669</v>
      </c>
      <c r="I644" s="311">
        <v>1153.4285714285713</v>
      </c>
      <c r="J644" s="312">
        <f t="shared" si="678"/>
        <v>258.61627162075592</v>
      </c>
      <c r="K644" s="311">
        <v>1361.9683333333332</v>
      </c>
      <c r="L644" s="312">
        <f t="shared" si="679"/>
        <v>305.37406576980561</v>
      </c>
      <c r="M644" s="312">
        <v>1474.5139999999999</v>
      </c>
      <c r="N644" s="313">
        <f t="shared" si="680"/>
        <v>330.60852017937219</v>
      </c>
      <c r="O644" s="132"/>
      <c r="P644" s="132"/>
      <c r="Q644" s="180"/>
      <c r="R644" s="123"/>
      <c r="S644" s="122"/>
      <c r="T644" s="122"/>
    </row>
    <row r="645" spans="2:20" hidden="1">
      <c r="B645" s="310" t="s">
        <v>10</v>
      </c>
      <c r="C645" s="356">
        <v>969.38</v>
      </c>
      <c r="D645" s="312">
        <f t="shared" si="675"/>
        <v>217.34977578475338</v>
      </c>
      <c r="E645" s="312">
        <v>989</v>
      </c>
      <c r="F645" s="312">
        <f t="shared" si="676"/>
        <v>221.74887892376682</v>
      </c>
      <c r="G645" s="311">
        <v>1095.5999999999999</v>
      </c>
      <c r="H645" s="312">
        <f t="shared" si="677"/>
        <v>245.6502242152466</v>
      </c>
      <c r="I645" s="311">
        <v>1156.5</v>
      </c>
      <c r="J645" s="312">
        <f t="shared" si="678"/>
        <v>259.30493273542601</v>
      </c>
      <c r="K645" s="311">
        <v>1384.355</v>
      </c>
      <c r="L645" s="312">
        <f t="shared" si="679"/>
        <v>310.39349775784751</v>
      </c>
      <c r="M645" s="312">
        <v>1387.5139999999999</v>
      </c>
      <c r="N645" s="313">
        <f t="shared" si="680"/>
        <v>311.10179372197308</v>
      </c>
      <c r="O645" s="132"/>
      <c r="P645" s="132"/>
      <c r="Q645" s="180"/>
      <c r="R645" s="123"/>
      <c r="S645" s="122"/>
      <c r="T645" s="122"/>
    </row>
    <row r="646" spans="2:20" ht="15.75" hidden="1" thickBot="1">
      <c r="B646" s="314" t="s">
        <v>11</v>
      </c>
      <c r="C646" s="357">
        <v>921</v>
      </c>
      <c r="D646" s="316">
        <f t="shared" si="675"/>
        <v>206.50224215246638</v>
      </c>
      <c r="E646" s="316">
        <v>997</v>
      </c>
      <c r="F646" s="316">
        <f t="shared" si="676"/>
        <v>223.54260089686099</v>
      </c>
      <c r="G646" s="315">
        <v>1097.5714285714287</v>
      </c>
      <c r="H646" s="316">
        <f t="shared" si="677"/>
        <v>246.09224855861629</v>
      </c>
      <c r="I646" s="315">
        <v>1170</v>
      </c>
      <c r="J646" s="316">
        <f t="shared" si="678"/>
        <v>262.33183856502239</v>
      </c>
      <c r="K646" s="315">
        <v>1361.2566666666669</v>
      </c>
      <c r="L646" s="316">
        <f t="shared" si="679"/>
        <v>305.21449925261589</v>
      </c>
      <c r="M646" s="316">
        <v>1348.1760000000002</v>
      </c>
      <c r="N646" s="317">
        <f t="shared" si="680"/>
        <v>302.28161434977579</v>
      </c>
      <c r="O646" s="132"/>
      <c r="P646" s="132"/>
      <c r="Q646" s="180"/>
      <c r="R646" s="123"/>
      <c r="S646" s="122"/>
      <c r="T646" s="122"/>
    </row>
    <row r="647" spans="2:20">
      <c r="B647" s="119"/>
      <c r="C647" s="152"/>
      <c r="D647" s="123"/>
      <c r="E647" s="123"/>
      <c r="F647" s="123"/>
      <c r="G647" s="118"/>
      <c r="H647" s="123"/>
      <c r="I647" s="118"/>
      <c r="J647" s="123"/>
      <c r="K647" s="118"/>
      <c r="L647" s="123"/>
      <c r="M647" s="123"/>
      <c r="N647" s="123"/>
      <c r="O647" s="132"/>
      <c r="P647" s="132"/>
      <c r="Q647" s="180"/>
      <c r="R647" s="123"/>
      <c r="S647" s="122"/>
      <c r="T647" s="122"/>
    </row>
    <row r="648" spans="2:20" ht="16.5" thickBot="1">
      <c r="B648" s="1300" t="s">
        <v>321</v>
      </c>
      <c r="C648" s="1301"/>
      <c r="D648" s="1301"/>
      <c r="E648" s="1301"/>
      <c r="F648" s="1301"/>
      <c r="G648" s="1301"/>
      <c r="H648" s="1301"/>
      <c r="I648" s="1301"/>
      <c r="J648" s="1301"/>
      <c r="K648" s="1301"/>
      <c r="L648" s="1301"/>
      <c r="M648" s="1301"/>
      <c r="N648" s="1301"/>
      <c r="O648" s="1301"/>
      <c r="P648" s="1301"/>
      <c r="Q648" s="1301"/>
      <c r="R648" s="1301"/>
      <c r="S648" s="122"/>
      <c r="T648" s="122"/>
    </row>
    <row r="649" spans="2:20">
      <c r="B649" s="1343" t="s">
        <v>311</v>
      </c>
      <c r="C649" s="1344"/>
      <c r="D649" s="501" t="s">
        <v>15</v>
      </c>
      <c r="E649" s="645">
        <v>2014</v>
      </c>
      <c r="F649" s="501" t="s">
        <v>15</v>
      </c>
      <c r="G649" s="645">
        <v>2015</v>
      </c>
      <c r="H649" s="501" t="s">
        <v>15</v>
      </c>
      <c r="I649" s="645">
        <v>2016</v>
      </c>
      <c r="J649" s="501" t="s">
        <v>15</v>
      </c>
      <c r="K649" s="645">
        <v>2017</v>
      </c>
      <c r="L649" s="501" t="s">
        <v>15</v>
      </c>
      <c r="M649" s="645">
        <v>2018</v>
      </c>
      <c r="N649" s="501" t="s">
        <v>15</v>
      </c>
      <c r="O649" s="1269">
        <v>2019</v>
      </c>
      <c r="P649" s="501" t="s">
        <v>15</v>
      </c>
      <c r="Q649" s="1269">
        <v>2020</v>
      </c>
      <c r="R649" s="501" t="s">
        <v>15</v>
      </c>
      <c r="S649" s="122"/>
      <c r="T649" s="122"/>
    </row>
    <row r="650" spans="2:20">
      <c r="B650" s="310" t="s">
        <v>0</v>
      </c>
      <c r="C650" s="311">
        <f>[107]Janeiro!$J$30</f>
        <v>886.03833333333341</v>
      </c>
      <c r="D650" s="313">
        <f t="shared" ref="D650:D657" si="681">100*C650/$F$618</f>
        <v>198.66330343796713</v>
      </c>
      <c r="E650" s="311">
        <f>'[108]jan-14'!$I$36</f>
        <v>935.04</v>
      </c>
      <c r="F650" s="313">
        <f t="shared" ref="F650:F655" si="682">100*E650/$F$618</f>
        <v>209.65022421524662</v>
      </c>
      <c r="G650" s="311">
        <f>'[109]jan-15'!$I$36</f>
        <v>883.09399999999982</v>
      </c>
      <c r="H650" s="313">
        <f t="shared" ref="H650:H655" si="683">100*G650/$F$618</f>
        <v>198.00313901345288</v>
      </c>
      <c r="I650" s="311">
        <f>'[110]jan-16'!$I$36</f>
        <v>928.88800000000015</v>
      </c>
      <c r="J650" s="313">
        <f t="shared" ref="J650" si="684">100*I650/$F$618</f>
        <v>208.27085201793727</v>
      </c>
      <c r="K650" s="311">
        <f>'[111]jan-17'!$I$36</f>
        <v>952.08400000000006</v>
      </c>
      <c r="L650" s="313">
        <f t="shared" ref="L650" si="685">100*K650/$F$618</f>
        <v>213.47174887892379</v>
      </c>
      <c r="M650" s="311">
        <f>'[112]jan-18'!$I$36</f>
        <v>1084.336</v>
      </c>
      <c r="N650" s="313">
        <f t="shared" ref="N650" si="686">100*M650/$F$618</f>
        <v>243.12466367713006</v>
      </c>
      <c r="O650" s="311">
        <f>'[113]jan-19'!$I$36</f>
        <v>1054.0059999999999</v>
      </c>
      <c r="P650" s="313">
        <f t="shared" ref="P650:P661" si="687">100*O650/$F$618</f>
        <v>236.32421524663675</v>
      </c>
      <c r="Q650" s="311">
        <f>'[114]jan-20'!$I$36</f>
        <v>1070.7180000000001</v>
      </c>
      <c r="R650" s="313">
        <f t="shared" ref="R650" si="688">100*Q650/$F$618</f>
        <v>240.07130044843049</v>
      </c>
      <c r="S650" s="122"/>
      <c r="T650" s="122"/>
    </row>
    <row r="651" spans="2:20">
      <c r="B651" s="310" t="s">
        <v>1</v>
      </c>
      <c r="C651" s="311">
        <f>[107]Fevereiro!$J$30</f>
        <v>845.64333333333343</v>
      </c>
      <c r="D651" s="313">
        <f t="shared" si="681"/>
        <v>189.60612855007477</v>
      </c>
      <c r="E651" s="662">
        <f>'[108]fev-14'!$I$36</f>
        <v>935.97200000000009</v>
      </c>
      <c r="F651" s="313">
        <f t="shared" si="682"/>
        <v>209.85919282511213</v>
      </c>
      <c r="G651" s="311">
        <f>'[109]fev-15'!$I$36</f>
        <v>907.15399999999988</v>
      </c>
      <c r="H651" s="313">
        <f t="shared" si="683"/>
        <v>203.39775784753363</v>
      </c>
      <c r="I651" s="662">
        <f>'[110]fev-16'!$I$36</f>
        <v>944.81600000000003</v>
      </c>
      <c r="J651" s="313">
        <f t="shared" ref="J651" si="689">100*I651/$F$618</f>
        <v>211.84215246636774</v>
      </c>
      <c r="K651" s="662">
        <f>'[111]fev-17'!$I$36</f>
        <v>958.41199999999992</v>
      </c>
      <c r="L651" s="313">
        <f t="shared" ref="L651" si="690">100*K651/$F$618</f>
        <v>214.89058295964125</v>
      </c>
      <c r="M651" s="311">
        <f>'[112]fev-18'!$I$36</f>
        <v>1084.336</v>
      </c>
      <c r="N651" s="313">
        <f t="shared" ref="N651" si="691">100*M651/$F$618</f>
        <v>243.12466367713006</v>
      </c>
      <c r="O651" s="311">
        <f>'[113]fev-19'!$I$36</f>
        <v>1075.8820000000001</v>
      </c>
      <c r="P651" s="313">
        <f t="shared" si="687"/>
        <v>241.22914798206281</v>
      </c>
      <c r="Q651" s="311">
        <f>'[114]fev-20'!$I$36</f>
        <v>1070.7180000000001</v>
      </c>
      <c r="R651" s="313">
        <f t="shared" ref="R651" si="692">100*Q651/$F$618</f>
        <v>240.07130044843049</v>
      </c>
      <c r="S651" s="122"/>
      <c r="T651" s="122"/>
    </row>
    <row r="652" spans="2:20">
      <c r="B652" s="310" t="s">
        <v>2</v>
      </c>
      <c r="C652" s="311">
        <f>[107]Março!$J$30</f>
        <v>876.84500000000014</v>
      </c>
      <c r="D652" s="313">
        <f t="shared" si="681"/>
        <v>196.60201793721976</v>
      </c>
      <c r="E652" s="662">
        <f>'[108]mar-14'!$I$36</f>
        <v>940.47799999999984</v>
      </c>
      <c r="F652" s="313">
        <f t="shared" si="682"/>
        <v>210.86950672645736</v>
      </c>
      <c r="G652" s="311">
        <f>'[109]mar-15'!$I$36</f>
        <v>915.36199999999985</v>
      </c>
      <c r="H652" s="313">
        <f t="shared" si="683"/>
        <v>205.23811659192822</v>
      </c>
      <c r="I652" s="662">
        <f>'[110]mar-16'!$I$36</f>
        <v>933.32999999999993</v>
      </c>
      <c r="J652" s="313">
        <f t="shared" ref="J652" si="693">100*I652/$F$618</f>
        <v>209.26681614349775</v>
      </c>
      <c r="K652" s="662">
        <f>'[111]mar-17'!$I$36</f>
        <v>958.41199999999992</v>
      </c>
      <c r="L652" s="313">
        <f t="shared" ref="L652" si="694">100*K652/$F$618</f>
        <v>214.89058295964125</v>
      </c>
      <c r="M652" s="311">
        <f>'[112]mar-18'!$I$36</f>
        <v>1094.4939999999999</v>
      </c>
      <c r="N652" s="313">
        <f t="shared" ref="N652" si="695">100*M652/$F$618</f>
        <v>245.40224215246636</v>
      </c>
      <c r="O652" s="311">
        <f>'[113]mar-19'!$I$36</f>
        <v>1075.8820000000001</v>
      </c>
      <c r="P652" s="313">
        <f t="shared" si="687"/>
        <v>241.22914798206281</v>
      </c>
      <c r="Q652" s="311">
        <f>'[114]mar-20'!$I$36</f>
        <v>1097.48</v>
      </c>
      <c r="R652" s="313">
        <f t="shared" ref="R652" si="696">100*Q652/$F$618</f>
        <v>246.07174887892376</v>
      </c>
      <c r="S652" s="122"/>
      <c r="T652" s="122"/>
    </row>
    <row r="653" spans="2:20">
      <c r="B653" s="310" t="s">
        <v>3</v>
      </c>
      <c r="C653" s="311">
        <f>[107]Abril!$J$30</f>
        <v>882.64166666666677</v>
      </c>
      <c r="D653" s="313">
        <f t="shared" si="681"/>
        <v>197.90171898355757</v>
      </c>
      <c r="E653" s="662">
        <f>'[108]abr-14'!$I$36</f>
        <v>940.47799999999984</v>
      </c>
      <c r="F653" s="313">
        <f t="shared" si="682"/>
        <v>210.86950672645736</v>
      </c>
      <c r="G653" s="311">
        <f>'[109]abr-15'!$I$36</f>
        <v>870.41199999999992</v>
      </c>
      <c r="H653" s="313">
        <f t="shared" si="683"/>
        <v>195.15964125560538</v>
      </c>
      <c r="I653" s="662">
        <f>'[110]abr-16'!$I$36</f>
        <v>940.14399999999989</v>
      </c>
      <c r="J653" s="313">
        <f t="shared" ref="J653" si="697">100*I653/$F$618</f>
        <v>210.79461883408069</v>
      </c>
      <c r="K653" s="662">
        <f>'[111]abr-17'!$I$36</f>
        <v>993.79200000000003</v>
      </c>
      <c r="L653" s="313">
        <f t="shared" ref="L653" si="698">100*K653/$F$618</f>
        <v>222.82331838565023</v>
      </c>
      <c r="M653" s="311">
        <f>'[112]abr-18'!$I$36</f>
        <v>1094.4939999999999</v>
      </c>
      <c r="N653" s="313">
        <f t="shared" ref="N653" si="699">100*M653/$F$618</f>
        <v>245.40224215246636</v>
      </c>
      <c r="O653" s="311">
        <f>'[113]abr-19'!$I$36</f>
        <v>1075.8820000000001</v>
      </c>
      <c r="P653" s="313">
        <f t="shared" si="687"/>
        <v>241.22914798206281</v>
      </c>
      <c r="Q653" s="311">
        <f>'[114]abr-20'!$I$36</f>
        <v>1064.03</v>
      </c>
      <c r="R653" s="313">
        <f t="shared" ref="R653" si="700">100*Q653/$F$618</f>
        <v>238.57174887892376</v>
      </c>
      <c r="S653" s="122"/>
      <c r="T653" s="122"/>
    </row>
    <row r="654" spans="2:20">
      <c r="B654" s="310" t="s">
        <v>4</v>
      </c>
      <c r="C654" s="311">
        <f>[107]Maio!$J$30</f>
        <v>903.62999999999988</v>
      </c>
      <c r="D654" s="313">
        <f t="shared" si="681"/>
        <v>202.60762331838561</v>
      </c>
      <c r="E654" s="662">
        <f>'[108]mai-14'!$I$36</f>
        <v>920.81600000000003</v>
      </c>
      <c r="F654" s="313">
        <f t="shared" si="682"/>
        <v>206.46098654708521</v>
      </c>
      <c r="G654" s="311">
        <f>'[109]mai-15'!$I$36</f>
        <v>888.41199999999992</v>
      </c>
      <c r="H654" s="313">
        <f t="shared" si="683"/>
        <v>199.19551569506726</v>
      </c>
      <c r="I654" s="662">
        <f>'[115]mai-16'!$I$36</f>
        <v>958.61</v>
      </c>
      <c r="J654" s="313">
        <f t="shared" ref="J654" si="701">100*I654/$F$618</f>
        <v>214.93497757847533</v>
      </c>
      <c r="K654" s="662">
        <f>'[111]mai-17'!$I$36</f>
        <v>992.69400000000007</v>
      </c>
      <c r="L654" s="313">
        <f t="shared" ref="L654" si="702">100*K654/$F$618</f>
        <v>222.57713004484307</v>
      </c>
      <c r="M654" s="311">
        <f>'[112]mai-18'!$I$36</f>
        <v>1112.4459999999999</v>
      </c>
      <c r="N654" s="313">
        <f t="shared" ref="N654" si="703">100*M654/$F$618</f>
        <v>249.42735426008966</v>
      </c>
      <c r="O654" s="311">
        <f>'[113]mai-19'!$I$36</f>
        <v>1069.5520000000001</v>
      </c>
      <c r="P654" s="313">
        <f t="shared" si="687"/>
        <v>239.80986547085203</v>
      </c>
      <c r="Q654" s="311">
        <f>'[114]mai-20'!$I$36</f>
        <v>1079.8399999999999</v>
      </c>
      <c r="R654" s="313">
        <f t="shared" ref="R654" si="704">100*Q654/$F$618</f>
        <v>242.1165919282511</v>
      </c>
      <c r="S654" s="122"/>
      <c r="T654" s="122"/>
    </row>
    <row r="655" spans="2:20">
      <c r="B655" s="310" t="s">
        <v>5</v>
      </c>
      <c r="C655" s="311">
        <f>[107]Junho!$J$30</f>
        <v>913.62999999999988</v>
      </c>
      <c r="D655" s="313">
        <f t="shared" si="681"/>
        <v>204.84977578475332</v>
      </c>
      <c r="E655" s="662">
        <f>'[108]jun-14'!$I$36</f>
        <v>924.13199999999995</v>
      </c>
      <c r="F655" s="313">
        <f t="shared" si="682"/>
        <v>207.20448430493272</v>
      </c>
      <c r="G655" s="311">
        <f>'[109]jun-15'!$I$36</f>
        <v>890.80200000000002</v>
      </c>
      <c r="H655" s="313">
        <f t="shared" si="683"/>
        <v>199.73139013452914</v>
      </c>
      <c r="I655" s="662">
        <f>'[115]jun-16'!$I$36</f>
        <v>962.87000000000012</v>
      </c>
      <c r="J655" s="313">
        <f t="shared" ref="J655" si="705">100*I655/$F$618</f>
        <v>215.89013452914801</v>
      </c>
      <c r="K655" s="662">
        <f>'[111]jun-17'!$I$36</f>
        <v>991.94599999999991</v>
      </c>
      <c r="L655" s="313">
        <f t="shared" ref="L655" si="706">100*K655/$F$618</f>
        <v>222.40941704035873</v>
      </c>
      <c r="M655" s="311">
        <f>'[112]jun-18'!$I$36</f>
        <v>1127.2459999999999</v>
      </c>
      <c r="N655" s="313">
        <f t="shared" ref="N655" si="707">100*M655/$F$618</f>
        <v>252.74573991031389</v>
      </c>
      <c r="O655" s="311">
        <f>'[113]jun-19'!$I$36</f>
        <v>1053.5319999999999</v>
      </c>
      <c r="P655" s="313">
        <f t="shared" si="687"/>
        <v>236.21793721973094</v>
      </c>
      <c r="Q655" s="311">
        <f>'[114]jun-20'!$I$36</f>
        <v>1076.306</v>
      </c>
      <c r="R655" s="313">
        <f t="shared" ref="R655" si="708">100*Q655/$F$618</f>
        <v>241.32421524663678</v>
      </c>
      <c r="S655" s="122"/>
      <c r="T655" s="122"/>
    </row>
    <row r="656" spans="2:20">
      <c r="B656" s="310" t="s">
        <v>6</v>
      </c>
      <c r="C656" s="311">
        <f>[107]Julho!$J$30</f>
        <v>922.26800000000003</v>
      </c>
      <c r="D656" s="313">
        <f t="shared" si="681"/>
        <v>206.78654708520179</v>
      </c>
      <c r="E656" s="662">
        <f>'[108]jul-14'!$I$36</f>
        <v>923.00800000000004</v>
      </c>
      <c r="F656" s="313">
        <f t="shared" ref="F656:F661" si="709">100*E656/$F$618</f>
        <v>206.95246636771301</v>
      </c>
      <c r="G656" s="311">
        <f>'[109]jul-15'!$I$36</f>
        <v>902.07399999999996</v>
      </c>
      <c r="H656" s="313">
        <f t="shared" ref="H656:H661" si="710">100*G656/$F$618</f>
        <v>202.25874439461882</v>
      </c>
      <c r="I656" s="662">
        <f>'[115]jul-16'!$I$36</f>
        <v>957.24199999999996</v>
      </c>
      <c r="J656" s="313">
        <f t="shared" ref="J656" si="711">100*I656/$F$618</f>
        <v>214.62825112107623</v>
      </c>
      <c r="K656" s="662">
        <f>'[111]jul-17'!$I$36</f>
        <v>996.26999999999987</v>
      </c>
      <c r="L656" s="313">
        <f t="shared" ref="L656" si="712">100*K656/$F$618</f>
        <v>223.37892376681611</v>
      </c>
      <c r="M656" s="311">
        <f>'[112]jul-18'!$I$36</f>
        <v>1126.9759999999999</v>
      </c>
      <c r="N656" s="313">
        <f t="shared" ref="N656" si="713">100*M656/$F$618</f>
        <v>252.68520179372194</v>
      </c>
      <c r="O656" s="311">
        <f>'[113]jul-19'!$I$36</f>
        <v>1027.5520000000001</v>
      </c>
      <c r="P656" s="313">
        <f t="shared" si="687"/>
        <v>230.39282511210766</v>
      </c>
      <c r="Q656" s="311">
        <f>'[114]jul-20'!$I$36</f>
        <v>1092.6299999999999</v>
      </c>
      <c r="R656" s="313">
        <f t="shared" ref="R656" si="714">100*Q656/$F$618</f>
        <v>244.9843049327354</v>
      </c>
      <c r="S656" s="122"/>
      <c r="T656" s="122"/>
    </row>
    <row r="657" spans="2:20">
      <c r="B657" s="310" t="s">
        <v>7</v>
      </c>
      <c r="C657" s="311">
        <f>[107]Agosto!$J$30</f>
        <v>917.77200000000016</v>
      </c>
      <c r="D657" s="313">
        <f t="shared" si="681"/>
        <v>205.77847533632288</v>
      </c>
      <c r="E657" s="662">
        <f>'[108]ago-14'!$I$36</f>
        <v>923.00800000000004</v>
      </c>
      <c r="F657" s="313">
        <f t="shared" si="709"/>
        <v>206.95246636771301</v>
      </c>
      <c r="G657" s="311">
        <f>'[109]ago-15'!$I$36</f>
        <v>907.79599999999994</v>
      </c>
      <c r="H657" s="313">
        <f t="shared" si="710"/>
        <v>203.54170403587443</v>
      </c>
      <c r="I657" s="662">
        <f>'[115]ago-16'!$I$36</f>
        <v>961.02600000000007</v>
      </c>
      <c r="J657" s="313">
        <f t="shared" ref="J657" si="715">100*I657/$F$618</f>
        <v>215.47668161434979</v>
      </c>
      <c r="K657" s="662">
        <f>'[111]ago-17'!$I$36</f>
        <v>991.89599999999996</v>
      </c>
      <c r="L657" s="313">
        <f t="shared" ref="L657" si="716">100*K657/$F$618</f>
        <v>222.39820627802689</v>
      </c>
      <c r="M657" s="311">
        <f>'[112]ago-18'!$I$36</f>
        <v>1133.3420000000001</v>
      </c>
      <c r="N657" s="313">
        <f t="shared" ref="N657" si="717">100*M657/$F$618</f>
        <v>254.11255605381169</v>
      </c>
      <c r="O657" s="311">
        <f>'[113]ago-19'!$I$36</f>
        <v>1028.5639999999999</v>
      </c>
      <c r="P657" s="313">
        <f t="shared" si="687"/>
        <v>230.61973094170398</v>
      </c>
      <c r="Q657" s="311">
        <f>'[114]ago-20'!$I$36</f>
        <v>1117.402</v>
      </c>
      <c r="R657" s="313">
        <f t="shared" ref="R657" si="718">100*Q657/$F$618</f>
        <v>250.53856502242155</v>
      </c>
      <c r="S657" s="122"/>
      <c r="T657" s="122"/>
    </row>
    <row r="658" spans="2:20">
      <c r="B658" s="310" t="s">
        <v>8</v>
      </c>
      <c r="C658" s="311">
        <f>[107]Setembro!$J$30</f>
        <v>929.952</v>
      </c>
      <c r="D658" s="313">
        <f>100*C658/$F$618</f>
        <v>208.50941704035873</v>
      </c>
      <c r="E658" s="662">
        <f>'[108]set-14'!$I$36</f>
        <v>923.00800000000004</v>
      </c>
      <c r="F658" s="313">
        <f t="shared" si="709"/>
        <v>206.95246636771301</v>
      </c>
      <c r="G658" s="311">
        <f>'[109]set-15'!$I$36</f>
        <v>901.87800000000004</v>
      </c>
      <c r="H658" s="313">
        <f t="shared" si="710"/>
        <v>202.21479820627803</v>
      </c>
      <c r="I658" s="662">
        <f>'[115]set-16'!$I$36</f>
        <v>963.06600000000003</v>
      </c>
      <c r="J658" s="313">
        <f t="shared" ref="J658" si="719">100*I658/$F$618</f>
        <v>215.9340807174888</v>
      </c>
      <c r="K658" s="662">
        <f>'[111]set-17'!$I$36</f>
        <v>991.89599999999996</v>
      </c>
      <c r="L658" s="313">
        <f t="shared" ref="L658" si="720">100*K658/$F$618</f>
        <v>222.39820627802689</v>
      </c>
      <c r="M658" s="311">
        <f>'[112]set-18'!$I$36</f>
        <v>1050.028</v>
      </c>
      <c r="N658" s="313">
        <f t="shared" ref="N658" si="721">100*M658/$F$618</f>
        <v>235.43228699551571</v>
      </c>
      <c r="O658" s="311">
        <f>'[113]set-19'!$I$36</f>
        <v>1037.2459999999999</v>
      </c>
      <c r="P658" s="313">
        <f t="shared" si="687"/>
        <v>232.56636771300447</v>
      </c>
      <c r="Q658" s="311">
        <f>'[114]set-20'!$I$36</f>
        <v>1087.2360000000001</v>
      </c>
      <c r="R658" s="313">
        <f t="shared" ref="R658" si="722">100*Q658/$F$618</f>
        <v>243.77488789237668</v>
      </c>
      <c r="S658" s="122"/>
      <c r="T658" s="122"/>
    </row>
    <row r="659" spans="2:20">
      <c r="B659" s="310" t="s">
        <v>9</v>
      </c>
      <c r="C659" s="311">
        <f>[107]Outubro!$J$30</f>
        <v>945.21800000000007</v>
      </c>
      <c r="D659" s="313">
        <f>100*C659/$F$618</f>
        <v>211.93228699551571</v>
      </c>
      <c r="E659" s="662">
        <f>'[108]out-14'!$I$36</f>
        <v>923.00800000000004</v>
      </c>
      <c r="F659" s="313">
        <f t="shared" si="709"/>
        <v>206.95246636771301</v>
      </c>
      <c r="G659" s="311">
        <f>'[109]out-15'!$I$36</f>
        <v>945.12400000000002</v>
      </c>
      <c r="H659" s="313">
        <f t="shared" si="710"/>
        <v>211.91121076233185</v>
      </c>
      <c r="I659" s="662">
        <f>'[115]out-16'!$I$36</f>
        <v>963.048</v>
      </c>
      <c r="J659" s="313">
        <f t="shared" ref="J659" si="723">100*I659/$F$618</f>
        <v>215.93004484304933</v>
      </c>
      <c r="K659" s="662">
        <f>'[111]out-17'!$I$36</f>
        <v>1083.46</v>
      </c>
      <c r="L659" s="313">
        <f t="shared" ref="L659" si="724">100*K659/$F$618</f>
        <v>242.92825112107624</v>
      </c>
      <c r="M659" s="311">
        <f>'[112]out-18'!$I$36</f>
        <v>1059.0999999999999</v>
      </c>
      <c r="N659" s="313">
        <f t="shared" ref="N659" si="725">100*M659/$F$618</f>
        <v>237.46636771300444</v>
      </c>
      <c r="O659" s="311">
        <f>'[113]out-19'!$I$36</f>
        <v>1107.1380000000001</v>
      </c>
      <c r="P659" s="313">
        <f t="shared" si="687"/>
        <v>248.23721973094175</v>
      </c>
      <c r="Q659" s="311"/>
      <c r="R659" s="313"/>
      <c r="S659" s="122"/>
      <c r="T659" s="122"/>
    </row>
    <row r="660" spans="2:20">
      <c r="B660" s="310" t="s">
        <v>10</v>
      </c>
      <c r="C660" s="311">
        <f>[107]Novembro!$J$30</f>
        <v>947.04</v>
      </c>
      <c r="D660" s="313">
        <f>100*C660/$F$618</f>
        <v>212.34080717488789</v>
      </c>
      <c r="E660" s="662">
        <f>'[108]nov-14'!$I$36</f>
        <v>903.50800000000004</v>
      </c>
      <c r="F660" s="313">
        <f t="shared" si="709"/>
        <v>202.58026905829598</v>
      </c>
      <c r="G660" s="311">
        <f>'[109]nov-15'!$I$36</f>
        <v>931.45999999999981</v>
      </c>
      <c r="H660" s="313">
        <f t="shared" si="710"/>
        <v>208.84753363228697</v>
      </c>
      <c r="I660" s="662">
        <f>'[115]nov-16'!$I$36</f>
        <v>964.73800000000006</v>
      </c>
      <c r="J660" s="313">
        <f t="shared" ref="J660" si="726">100*I660/$F$618</f>
        <v>216.30896860986547</v>
      </c>
      <c r="K660" s="662">
        <f>'[111]nov-17'!$I$36</f>
        <v>1083.46</v>
      </c>
      <c r="L660" s="313">
        <f t="shared" ref="L660" si="727">100*K660/$F$618</f>
        <v>242.92825112107624</v>
      </c>
      <c r="M660" s="311">
        <f>'[112]nov-18'!$I$36</f>
        <v>1051.4280000000001</v>
      </c>
      <c r="N660" s="313">
        <f t="shared" ref="N660" si="728">100*M660/$F$618</f>
        <v>235.74618834080721</v>
      </c>
      <c r="O660" s="311">
        <f>'[113]nov-19'!$I$36</f>
        <v>1089.828</v>
      </c>
      <c r="P660" s="313">
        <f t="shared" si="687"/>
        <v>244.35605381165919</v>
      </c>
      <c r="Q660" s="311"/>
      <c r="R660" s="313"/>
      <c r="S660" s="122"/>
      <c r="T660" s="122"/>
    </row>
    <row r="661" spans="2:20" ht="15.75" thickBot="1">
      <c r="B661" s="314" t="s">
        <v>11</v>
      </c>
      <c r="C661" s="315">
        <f>[107]Dezembro!$J$30</f>
        <v>947.04</v>
      </c>
      <c r="D661" s="317">
        <f>100*C661/$F$618</f>
        <v>212.34080717488789</v>
      </c>
      <c r="E661" s="682">
        <f>'[108]dez-14'!$I$36</f>
        <v>886.77799999999991</v>
      </c>
      <c r="F661" s="317">
        <f t="shared" si="709"/>
        <v>198.82914798206275</v>
      </c>
      <c r="G661" s="682">
        <f>'[109]dez-15'!$I$36</f>
        <v>915.48400000000004</v>
      </c>
      <c r="H661" s="317">
        <f t="shared" si="710"/>
        <v>205.26547085201796</v>
      </c>
      <c r="I661" s="682">
        <f>'[115]dez-16'!$I$36</f>
        <v>964.73800000000006</v>
      </c>
      <c r="J661" s="317">
        <f t="shared" ref="J661" si="729">100*I661/$F$618</f>
        <v>216.30896860986547</v>
      </c>
      <c r="K661" s="682">
        <f>'[111]dez-17'!$I$36</f>
        <v>1087.136</v>
      </c>
      <c r="L661" s="317">
        <f t="shared" ref="L661" si="730">100*K661/$F$618</f>
        <v>243.752466367713</v>
      </c>
      <c r="M661" s="315">
        <f>'[112]dez-18'!$I$36</f>
        <v>1023.2280000000001</v>
      </c>
      <c r="N661" s="317">
        <f t="shared" ref="N661" si="731">100*M661/$F$618</f>
        <v>229.42331838565022</v>
      </c>
      <c r="O661" s="1271">
        <f>'[113]dez-19'!$I$36</f>
        <v>1075.828</v>
      </c>
      <c r="P661" s="317">
        <f t="shared" si="687"/>
        <v>241.21704035874441</v>
      </c>
      <c r="Q661" s="1271"/>
      <c r="R661" s="317"/>
      <c r="S661" s="122"/>
      <c r="T661" s="122"/>
    </row>
    <row r="662" spans="2:20">
      <c r="B662" s="119"/>
      <c r="C662" s="152"/>
      <c r="D662" s="123"/>
      <c r="E662" s="123"/>
      <c r="F662" s="123"/>
      <c r="G662" s="118"/>
      <c r="H662" s="123"/>
      <c r="I662" s="118"/>
      <c r="J662" s="123"/>
      <c r="K662" s="118"/>
      <c r="L662" s="123"/>
      <c r="M662" s="123"/>
      <c r="N662" s="123"/>
      <c r="O662" s="132"/>
      <c r="P662" s="132"/>
      <c r="Q662" s="180"/>
      <c r="R662" s="123"/>
      <c r="S662" s="122"/>
      <c r="T662" s="122"/>
    </row>
    <row r="663" spans="2:20" ht="15.75" hidden="1" thickBot="1">
      <c r="C663" s="118"/>
      <c r="D663" s="124"/>
      <c r="F663" s="119"/>
      <c r="G663" s="122"/>
      <c r="H663" s="119"/>
      <c r="I663" s="122"/>
      <c r="J663" s="119"/>
      <c r="K663" s="122"/>
      <c r="L663" s="119"/>
      <c r="M663" s="122"/>
      <c r="N663" s="119"/>
      <c r="O663" s="119"/>
      <c r="P663" s="119"/>
      <c r="Q663" s="180"/>
      <c r="R663" s="123"/>
      <c r="S663" s="122"/>
      <c r="T663" s="122"/>
    </row>
    <row r="664" spans="2:20" ht="18.75" hidden="1" thickBot="1">
      <c r="B664" s="1320" t="s">
        <v>170</v>
      </c>
      <c r="C664" s="1321"/>
      <c r="D664" s="1321"/>
      <c r="E664" s="1321"/>
      <c r="F664" s="1321"/>
      <c r="G664" s="1321"/>
      <c r="H664" s="1321"/>
      <c r="I664" s="1321"/>
      <c r="J664" s="476" t="s">
        <v>17</v>
      </c>
      <c r="K664" s="363"/>
      <c r="L664" s="363"/>
      <c r="M664" s="502">
        <v>25.86</v>
      </c>
      <c r="N664" s="503" t="s">
        <v>19</v>
      </c>
      <c r="O664" s="363"/>
      <c r="P664" s="478"/>
      <c r="Q664" s="180"/>
      <c r="R664" s="123"/>
      <c r="S664" s="119"/>
      <c r="T664" s="132"/>
    </row>
    <row r="665" spans="2:20" ht="15.75" hidden="1" thickBot="1">
      <c r="B665" s="1308">
        <v>1994</v>
      </c>
      <c r="C665" s="1309"/>
      <c r="D665" s="396" t="s">
        <v>15</v>
      </c>
      <c r="E665" s="396">
        <v>1995</v>
      </c>
      <c r="F665" s="396" t="s">
        <v>15</v>
      </c>
      <c r="G665" s="396">
        <v>1996</v>
      </c>
      <c r="H665" s="396" t="s">
        <v>15</v>
      </c>
      <c r="I665" s="396">
        <v>1997</v>
      </c>
      <c r="J665" s="396" t="s">
        <v>15</v>
      </c>
      <c r="K665" s="396">
        <v>1998</v>
      </c>
      <c r="L665" s="396" t="s">
        <v>15</v>
      </c>
      <c r="M665" s="396">
        <v>1999</v>
      </c>
      <c r="N665" s="396" t="s">
        <v>15</v>
      </c>
      <c r="O665" s="462">
        <v>2000</v>
      </c>
      <c r="P665" s="376" t="s">
        <v>15</v>
      </c>
      <c r="S665" s="124"/>
      <c r="T665" s="124"/>
    </row>
    <row r="666" spans="2:20" hidden="1">
      <c r="B666" s="306" t="s">
        <v>0</v>
      </c>
      <c r="C666" s="307"/>
      <c r="D666" s="308"/>
      <c r="E666" s="307">
        <v>25.17</v>
      </c>
      <c r="F666" s="308">
        <f>25.17*100/$M$664</f>
        <v>97.331786542923439</v>
      </c>
      <c r="G666" s="307">
        <v>26.97</v>
      </c>
      <c r="H666" s="308">
        <f>26.97*100/$M$664</f>
        <v>104.29234338747099</v>
      </c>
      <c r="I666" s="307">
        <v>25.17</v>
      </c>
      <c r="J666" s="308">
        <f>25.17*100/$M$664</f>
        <v>97.331786542923439</v>
      </c>
      <c r="K666" s="307">
        <v>25.83</v>
      </c>
      <c r="L666" s="308">
        <f>25.83*100/$M$664</f>
        <v>99.88399071925754</v>
      </c>
      <c r="M666" s="307">
        <v>25.52</v>
      </c>
      <c r="N666" s="308">
        <f>25.52*100/$M$664</f>
        <v>98.685228151585463</v>
      </c>
      <c r="O666" s="504">
        <v>30.7</v>
      </c>
      <c r="P666" s="309">
        <f>100*O666/M664</f>
        <v>118.71616395978346</v>
      </c>
      <c r="S666" s="119"/>
      <c r="T666" s="132"/>
    </row>
    <row r="667" spans="2:20" hidden="1">
      <c r="B667" s="310" t="s">
        <v>1</v>
      </c>
      <c r="C667" s="311"/>
      <c r="D667" s="312"/>
      <c r="E667" s="311">
        <v>26.62</v>
      </c>
      <c r="F667" s="312">
        <f>26.62*100/$M$664</f>
        <v>102.93890177880897</v>
      </c>
      <c r="G667" s="311">
        <v>26.62</v>
      </c>
      <c r="H667" s="312">
        <f>26.62*100/$M$664</f>
        <v>102.93890177880897</v>
      </c>
      <c r="I667" s="311">
        <v>26.5</v>
      </c>
      <c r="J667" s="312">
        <f>26.5*100/$M$664</f>
        <v>102.47486465583914</v>
      </c>
      <c r="K667" s="311">
        <v>25.08</v>
      </c>
      <c r="L667" s="312">
        <f>25.08*100/$M$664</f>
        <v>96.983758700696058</v>
      </c>
      <c r="M667" s="311">
        <v>25.14</v>
      </c>
      <c r="N667" s="312">
        <f>25.14*100/$M$664</f>
        <v>97.215777262180978</v>
      </c>
      <c r="O667" s="433">
        <v>28.5</v>
      </c>
      <c r="P667" s="313">
        <f>100*O667/M664</f>
        <v>110.20881670533643</v>
      </c>
      <c r="S667" s="119"/>
      <c r="T667" s="132"/>
    </row>
    <row r="668" spans="2:20" hidden="1">
      <c r="B668" s="310" t="s">
        <v>2</v>
      </c>
      <c r="C668" s="311"/>
      <c r="D668" s="312"/>
      <c r="E668" s="311">
        <v>24.95</v>
      </c>
      <c r="F668" s="312">
        <f>24.95*100/$M$664</f>
        <v>96.481051817478729</v>
      </c>
      <c r="G668" s="311">
        <v>24.04</v>
      </c>
      <c r="H668" s="312">
        <f>24.04*100/$M$664</f>
        <v>92.962103634957472</v>
      </c>
      <c r="I668" s="311">
        <v>26.29</v>
      </c>
      <c r="J668" s="312">
        <f>26.29*100/$M$664</f>
        <v>101.66279969064192</v>
      </c>
      <c r="K668" s="311">
        <v>24.49</v>
      </c>
      <c r="L668" s="312">
        <f>24.99*100/$M$664</f>
        <v>96.635730858468676</v>
      </c>
      <c r="M668" s="311">
        <v>27.46</v>
      </c>
      <c r="N668" s="312">
        <f>27.46*100/$M$664</f>
        <v>106.18716163959783</v>
      </c>
      <c r="O668" s="433">
        <v>29.22</v>
      </c>
      <c r="P668" s="313">
        <f>100*O668/M664</f>
        <v>112.99303944315545</v>
      </c>
      <c r="S668" s="119"/>
      <c r="T668" s="132"/>
    </row>
    <row r="669" spans="2:20" ht="15.75" hidden="1" thickBot="1">
      <c r="B669" s="310" t="s">
        <v>3</v>
      </c>
      <c r="C669" s="311"/>
      <c r="D669" s="312"/>
      <c r="E669" s="311">
        <v>27.72</v>
      </c>
      <c r="F669" s="312">
        <f>27.72*100/$M$664</f>
        <v>107.19257540603249</v>
      </c>
      <c r="G669" s="311">
        <f>24.04*100.15/92.96</f>
        <v>25.899376075731503</v>
      </c>
      <c r="H669" s="312">
        <v>100.15</v>
      </c>
      <c r="I669" s="311">
        <v>25.905999999999999</v>
      </c>
      <c r="J669" s="312">
        <f>25.96*100/$M$664</f>
        <v>100.38669760247487</v>
      </c>
      <c r="K669" s="311">
        <v>25.85</v>
      </c>
      <c r="L669" s="312">
        <f>25.85*100/$M$664</f>
        <v>99.961330239752513</v>
      </c>
      <c r="M669" s="311">
        <v>27.2</v>
      </c>
      <c r="N669" s="312">
        <f>27.2*100/$M$664</f>
        <v>105.18174787316319</v>
      </c>
      <c r="O669" s="505" t="s">
        <v>59</v>
      </c>
      <c r="P669" s="317"/>
      <c r="S669" s="119"/>
      <c r="T669" s="132"/>
    </row>
    <row r="670" spans="2:20" hidden="1">
      <c r="B670" s="310" t="s">
        <v>4</v>
      </c>
      <c r="C670" s="311"/>
      <c r="D670" s="312"/>
      <c r="E670" s="311">
        <v>30.15</v>
      </c>
      <c r="F670" s="312">
        <f>30.15*100/$M$664</f>
        <v>116.5893271461717</v>
      </c>
      <c r="G670" s="311">
        <v>29.63</v>
      </c>
      <c r="H670" s="312">
        <f>29.63*100/$M$664</f>
        <v>114.5784996133024</v>
      </c>
      <c r="I670" s="311">
        <v>25.45</v>
      </c>
      <c r="J670" s="312">
        <f>25.45*100/$M$664</f>
        <v>98.414539829853055</v>
      </c>
      <c r="K670" s="311">
        <v>24</v>
      </c>
      <c r="L670" s="312">
        <f>24*100/$M$664</f>
        <v>92.807424593967525</v>
      </c>
      <c r="M670" s="311">
        <v>27.41</v>
      </c>
      <c r="N670" s="313">
        <f>27.41*100/$M$664</f>
        <v>105.9938128383604</v>
      </c>
      <c r="O670" s="171"/>
      <c r="P670" s="171"/>
      <c r="Q670" s="180"/>
      <c r="R670" s="123"/>
      <c r="S670" s="119"/>
      <c r="T670" s="132"/>
    </row>
    <row r="671" spans="2:20" hidden="1">
      <c r="B671" s="310" t="s">
        <v>5</v>
      </c>
      <c r="C671" s="311"/>
      <c r="D671" s="312"/>
      <c r="E671" s="311">
        <v>27.28</v>
      </c>
      <c r="F671" s="312">
        <f>27.28*100/$M$664</f>
        <v>105.49110595514308</v>
      </c>
      <c r="G671" s="311">
        <v>25.59</v>
      </c>
      <c r="H671" s="312">
        <f>25.59*100/$M$664</f>
        <v>98.95591647331787</v>
      </c>
      <c r="I671" s="311">
        <v>25.2</v>
      </c>
      <c r="J671" s="312">
        <f>25.2*100/$M$664</f>
        <v>97.447795823665899</v>
      </c>
      <c r="K671" s="311">
        <v>24.9</v>
      </c>
      <c r="L671" s="312">
        <f>24.9*100/$M$664</f>
        <v>96.287703016241295</v>
      </c>
      <c r="M671" s="311">
        <v>27.59</v>
      </c>
      <c r="N671" s="313">
        <f>27.59*100/$M$664</f>
        <v>106.68986852281516</v>
      </c>
      <c r="O671" s="171"/>
      <c r="P671" s="171"/>
      <c r="Q671" s="180"/>
      <c r="R671" s="123"/>
      <c r="S671" s="119"/>
      <c r="T671" s="132"/>
    </row>
    <row r="672" spans="2:20" hidden="1">
      <c r="B672" s="310" t="s">
        <v>6</v>
      </c>
      <c r="C672" s="311">
        <v>25.86</v>
      </c>
      <c r="D672" s="312">
        <f>100*$C$672/$C$672</f>
        <v>100</v>
      </c>
      <c r="E672" s="311">
        <v>29.32</v>
      </c>
      <c r="F672" s="312">
        <f>29.32*100/$M$664</f>
        <v>113.37973704563032</v>
      </c>
      <c r="G672" s="311">
        <v>25.29</v>
      </c>
      <c r="H672" s="312">
        <f>25.29*100/$M$664</f>
        <v>97.79582366589328</v>
      </c>
      <c r="I672" s="311">
        <v>24.92</v>
      </c>
      <c r="J672" s="312">
        <f>24.92*100/$M$664</f>
        <v>96.365042536736269</v>
      </c>
      <c r="K672" s="311">
        <v>25.6</v>
      </c>
      <c r="L672" s="312">
        <f>25.6*100/$M$664</f>
        <v>98.994586233565357</v>
      </c>
      <c r="M672" s="311">
        <v>28.66</v>
      </c>
      <c r="N672" s="313">
        <f>$M$672*100/25.86</f>
        <v>110.82753286929621</v>
      </c>
      <c r="O672" s="171"/>
      <c r="P672" s="171"/>
      <c r="Q672" s="180"/>
      <c r="R672" s="123"/>
      <c r="S672" s="119"/>
      <c r="T672" s="132"/>
    </row>
    <row r="673" spans="2:20" hidden="1">
      <c r="B673" s="310" t="s">
        <v>7</v>
      </c>
      <c r="C673" s="311">
        <v>24.12</v>
      </c>
      <c r="D673" s="312">
        <f>100*24.12/$M$664</f>
        <v>93.271461716937353</v>
      </c>
      <c r="E673" s="311">
        <v>28.53</v>
      </c>
      <c r="F673" s="312">
        <f>28.53*100/$M$664</f>
        <v>110.32482598607889</v>
      </c>
      <c r="G673" s="311">
        <v>25.62</v>
      </c>
      <c r="H673" s="312">
        <f>25.62*100/$M$664</f>
        <v>99.071925754060331</v>
      </c>
      <c r="I673" s="311">
        <v>25.28</v>
      </c>
      <c r="J673" s="312">
        <f>25.28*100/$M$664</f>
        <v>97.757153905645794</v>
      </c>
      <c r="K673" s="311">
        <v>26.41</v>
      </c>
      <c r="L673" s="312">
        <f>26.41*100/$M$664</f>
        <v>102.12683681361176</v>
      </c>
      <c r="M673" s="311">
        <v>29.37</v>
      </c>
      <c r="N673" s="313">
        <f>M673*100/25.86</f>
        <v>113.57308584686776</v>
      </c>
      <c r="O673" s="171"/>
      <c r="P673" s="171"/>
      <c r="Q673" s="180"/>
      <c r="R673" s="123"/>
      <c r="S673" s="119"/>
      <c r="T673" s="132"/>
    </row>
    <row r="674" spans="2:20" hidden="1">
      <c r="B674" s="310" t="s">
        <v>8</v>
      </c>
      <c r="C674" s="311">
        <v>23.92</v>
      </c>
      <c r="D674" s="312">
        <f>23.92*100/$M$664</f>
        <v>92.498066511987631</v>
      </c>
      <c r="E674" s="311">
        <v>27.53</v>
      </c>
      <c r="F674" s="312">
        <f>27.53*100/$M$664</f>
        <v>106.45784996133024</v>
      </c>
      <c r="G674" s="311">
        <v>26.58</v>
      </c>
      <c r="H674" s="312">
        <f>26.58*100/$M$664</f>
        <v>102.78422273781902</v>
      </c>
      <c r="I674" s="311">
        <v>26.87</v>
      </c>
      <c r="J674" s="312">
        <f>26.87*100/$M$664</f>
        <v>103.90564578499614</v>
      </c>
      <c r="K674" s="311">
        <v>24.62</v>
      </c>
      <c r="L674" s="312">
        <f>24.62*100/$M$664</f>
        <v>95.204949729311679</v>
      </c>
      <c r="M674" s="311">
        <v>28.59</v>
      </c>
      <c r="N674" s="313">
        <f>M674*100/25.86</f>
        <v>110.55684454756381</v>
      </c>
      <c r="O674" s="171"/>
      <c r="P674" s="171"/>
      <c r="Q674" s="180"/>
      <c r="R674" s="123"/>
      <c r="S674" s="119"/>
      <c r="T674" s="132"/>
    </row>
    <row r="675" spans="2:20" hidden="1">
      <c r="B675" s="310" t="s">
        <v>9</v>
      </c>
      <c r="C675" s="311">
        <v>23.7</v>
      </c>
      <c r="D675" s="312">
        <f>23.7*100/$M$664</f>
        <v>91.647331786542921</v>
      </c>
      <c r="E675" s="311">
        <v>28.41</v>
      </c>
      <c r="F675" s="312">
        <f>28.41*100/$M$664</f>
        <v>109.86078886310905</v>
      </c>
      <c r="G675" s="311">
        <v>27.8</v>
      </c>
      <c r="H675" s="312">
        <f>27.8*100/$M$664</f>
        <v>107.50193348801238</v>
      </c>
      <c r="I675" s="311">
        <v>26.71</v>
      </c>
      <c r="J675" s="312">
        <f>26.71*100/$M$664</f>
        <v>103.28692962103635</v>
      </c>
      <c r="K675" s="311">
        <v>24.91</v>
      </c>
      <c r="L675" s="312">
        <f>24.91*100/$M$664</f>
        <v>96.326372776488782</v>
      </c>
      <c r="M675" s="311">
        <v>29.22</v>
      </c>
      <c r="N675" s="313">
        <f>M675*100/25.86</f>
        <v>112.99303944315545</v>
      </c>
      <c r="O675" s="171"/>
      <c r="P675" s="171"/>
      <c r="Q675" s="180"/>
      <c r="R675" s="123"/>
      <c r="S675" s="119"/>
      <c r="T675" s="132"/>
    </row>
    <row r="676" spans="2:20" hidden="1">
      <c r="B676" s="310" t="s">
        <v>10</v>
      </c>
      <c r="C676" s="311">
        <v>25.43</v>
      </c>
      <c r="D676" s="312">
        <f>25.43*100/$M$664</f>
        <v>98.337200309358082</v>
      </c>
      <c r="E676" s="311">
        <v>25.54</v>
      </c>
      <c r="F676" s="312">
        <f>25.54*100/$M$664</f>
        <v>98.762567672080436</v>
      </c>
      <c r="G676" s="311">
        <v>25</v>
      </c>
      <c r="H676" s="312">
        <f>25*100/$M$664</f>
        <v>96.674400618716163</v>
      </c>
      <c r="I676" s="311">
        <v>24.46</v>
      </c>
      <c r="J676" s="312">
        <f>24.46*100/$M$664</f>
        <v>94.586233565351904</v>
      </c>
      <c r="K676" s="311">
        <v>26.46</v>
      </c>
      <c r="L676" s="312">
        <f>26.46*100/$M$664</f>
        <v>102.32018561484919</v>
      </c>
      <c r="M676" s="311">
        <v>29.29</v>
      </c>
      <c r="N676" s="313">
        <f>M676*100/25.86</f>
        <v>113.26372776488786</v>
      </c>
      <c r="O676" s="171"/>
      <c r="P676" s="171"/>
      <c r="Q676" s="180"/>
      <c r="R676" s="123"/>
      <c r="S676" s="119"/>
      <c r="T676" s="132"/>
    </row>
    <row r="677" spans="2:20" ht="15.75" hidden="1" thickBot="1">
      <c r="B677" s="314" t="s">
        <v>11</v>
      </c>
      <c r="C677" s="315">
        <v>25</v>
      </c>
      <c r="D677" s="316">
        <f>25*100/$M$664</f>
        <v>96.674400618716163</v>
      </c>
      <c r="E677" s="315">
        <v>26.22</v>
      </c>
      <c r="F677" s="316">
        <f>26.22*100/$M$664</f>
        <v>101.39211136890951</v>
      </c>
      <c r="G677" s="315">
        <v>26.5</v>
      </c>
      <c r="H677" s="316">
        <f>26.5*100/$M$664</f>
        <v>102.47486465583914</v>
      </c>
      <c r="I677" s="315">
        <v>25.8</v>
      </c>
      <c r="J677" s="316">
        <f>25.8*100/$M$664</f>
        <v>99.767981438515079</v>
      </c>
      <c r="K677" s="315">
        <v>26.7</v>
      </c>
      <c r="L677" s="316">
        <f>26.7*100/$M$664</f>
        <v>103.24825986078886</v>
      </c>
      <c r="M677" s="315">
        <v>28.56</v>
      </c>
      <c r="N677" s="317">
        <f>M677*100/25.86</f>
        <v>110.44083526682135</v>
      </c>
      <c r="O677" s="171"/>
      <c r="P677" s="171"/>
      <c r="Q677" s="180"/>
      <c r="R677" s="123"/>
      <c r="S677" s="119"/>
      <c r="T677" s="132"/>
    </row>
    <row r="678" spans="2:20" hidden="1">
      <c r="B678" s="167"/>
      <c r="C678" s="168"/>
      <c r="D678" s="182"/>
      <c r="E678" s="168"/>
      <c r="F678" s="167"/>
      <c r="G678" s="173"/>
      <c r="H678" s="167"/>
      <c r="I678" s="173"/>
      <c r="J678" s="167"/>
      <c r="K678" s="173"/>
      <c r="L678" s="167"/>
      <c r="M678" s="173"/>
      <c r="N678" s="167"/>
      <c r="O678" s="167"/>
      <c r="P678" s="167"/>
      <c r="Q678" s="180"/>
      <c r="R678" s="123"/>
      <c r="S678" s="119"/>
      <c r="T678" s="132"/>
    </row>
    <row r="679" spans="2:20" ht="15.75" hidden="1" thickBot="1">
      <c r="C679" s="168"/>
      <c r="D679" s="182"/>
      <c r="F679" s="167"/>
      <c r="G679" s="173"/>
      <c r="H679" s="167"/>
      <c r="I679" s="173"/>
      <c r="J679" s="167"/>
      <c r="K679" s="173"/>
      <c r="L679" s="167"/>
      <c r="M679" s="173"/>
      <c r="N679" s="167"/>
      <c r="O679" s="167"/>
      <c r="P679" s="167"/>
      <c r="Q679" s="180"/>
      <c r="R679" s="123"/>
      <c r="S679" s="119"/>
      <c r="T679" s="132"/>
    </row>
    <row r="680" spans="2:20" ht="15.75" hidden="1" thickBot="1">
      <c r="B680" s="506" t="s">
        <v>199</v>
      </c>
      <c r="C680" s="507"/>
      <c r="D680" s="363"/>
      <c r="E680" s="363"/>
      <c r="F680" s="508"/>
      <c r="G680" s="509" t="s">
        <v>228</v>
      </c>
      <c r="H680" s="363"/>
      <c r="I680" s="363"/>
      <c r="J680" s="510">
        <v>34.75</v>
      </c>
      <c r="K680" s="503" t="s">
        <v>41</v>
      </c>
      <c r="L680" s="363"/>
      <c r="M680" s="509"/>
      <c r="N680" s="478"/>
      <c r="O680" s="167"/>
      <c r="P680" s="167"/>
      <c r="Q680" s="180"/>
      <c r="R680" s="123"/>
      <c r="S680" s="119"/>
      <c r="T680" s="132"/>
    </row>
    <row r="681" spans="2:20" ht="15.75" hidden="1" thickBot="1">
      <c r="B681" s="1312">
        <v>2000</v>
      </c>
      <c r="C681" s="1313"/>
      <c r="D681" s="479" t="s">
        <v>15</v>
      </c>
      <c r="E681" s="479">
        <v>2001</v>
      </c>
      <c r="F681" s="479" t="s">
        <v>15</v>
      </c>
      <c r="G681" s="479">
        <v>2002</v>
      </c>
      <c r="H681" s="479" t="s">
        <v>15</v>
      </c>
      <c r="I681" s="479">
        <v>2003</v>
      </c>
      <c r="J681" s="479" t="s">
        <v>15</v>
      </c>
      <c r="K681" s="479">
        <v>2004</v>
      </c>
      <c r="L681" s="479" t="s">
        <v>15</v>
      </c>
      <c r="M681" s="511">
        <v>2005</v>
      </c>
      <c r="N681" s="512" t="s">
        <v>15</v>
      </c>
      <c r="O681" s="182"/>
      <c r="P681" s="182"/>
      <c r="S681" s="119"/>
      <c r="T681" s="132"/>
    </row>
    <row r="682" spans="2:20" hidden="1">
      <c r="B682" s="306" t="s">
        <v>0</v>
      </c>
      <c r="C682" s="307"/>
      <c r="D682" s="308"/>
      <c r="E682" s="307">
        <v>38.9</v>
      </c>
      <c r="F682" s="308">
        <f t="shared" ref="F682:F693" si="732">100*E682/$J$680</f>
        <v>111.94244604316546</v>
      </c>
      <c r="G682" s="307">
        <v>43</v>
      </c>
      <c r="H682" s="308">
        <f t="shared" ref="H682:H693" si="733">100*G682/$J$680</f>
        <v>123.7410071942446</v>
      </c>
      <c r="I682" s="307">
        <v>53.85</v>
      </c>
      <c r="J682" s="308">
        <f t="shared" ref="J682:J693" si="734">100*I682/$J$680</f>
        <v>154.96402877697841</v>
      </c>
      <c r="K682" s="307">
        <v>57.1</v>
      </c>
      <c r="L682" s="308">
        <f t="shared" ref="L682:L693" si="735">100*K682/$J$680</f>
        <v>164.31654676258992</v>
      </c>
      <c r="M682" s="355">
        <v>74</v>
      </c>
      <c r="N682" s="309">
        <f t="shared" ref="N682:N693" si="736">100*M682/$J$680</f>
        <v>212.9496402877698</v>
      </c>
      <c r="O682" s="171"/>
      <c r="P682" s="171"/>
      <c r="S682" s="119"/>
      <c r="T682" s="132"/>
    </row>
    <row r="683" spans="2:20" hidden="1">
      <c r="B683" s="310" t="s">
        <v>1</v>
      </c>
      <c r="C683" s="311"/>
      <c r="D683" s="312"/>
      <c r="E683" s="311">
        <v>39.5</v>
      </c>
      <c r="F683" s="312">
        <f t="shared" si="732"/>
        <v>113.66906474820144</v>
      </c>
      <c r="G683" s="311">
        <v>42.6</v>
      </c>
      <c r="H683" s="312">
        <f t="shared" si="733"/>
        <v>122.58992805755396</v>
      </c>
      <c r="I683" s="311">
        <v>52.22</v>
      </c>
      <c r="J683" s="312">
        <f t="shared" si="734"/>
        <v>150.27338129496403</v>
      </c>
      <c r="K683" s="311">
        <v>76.099999999999994</v>
      </c>
      <c r="L683" s="312">
        <f t="shared" si="735"/>
        <v>218.99280575539566</v>
      </c>
      <c r="M683" s="356">
        <v>73.08</v>
      </c>
      <c r="N683" s="313">
        <f t="shared" si="736"/>
        <v>210.30215827338131</v>
      </c>
      <c r="O683" s="171"/>
      <c r="P683" s="171"/>
      <c r="S683" s="119"/>
      <c r="T683" s="132"/>
    </row>
    <row r="684" spans="2:20" hidden="1">
      <c r="B684" s="310" t="s">
        <v>2</v>
      </c>
      <c r="C684" s="311"/>
      <c r="D684" s="312"/>
      <c r="E684" s="311">
        <v>42</v>
      </c>
      <c r="F684" s="312">
        <f t="shared" si="732"/>
        <v>120.86330935251799</v>
      </c>
      <c r="G684" s="311">
        <v>43.48</v>
      </c>
      <c r="H684" s="312">
        <f t="shared" si="733"/>
        <v>125.12230215827338</v>
      </c>
      <c r="I684" s="311">
        <v>58.2</v>
      </c>
      <c r="J684" s="312">
        <f t="shared" si="734"/>
        <v>167.4820143884892</v>
      </c>
      <c r="K684" s="311">
        <v>76.400000000000006</v>
      </c>
      <c r="L684" s="312">
        <f t="shared" si="735"/>
        <v>219.85611510791369</v>
      </c>
      <c r="M684" s="356">
        <v>75.349999999999994</v>
      </c>
      <c r="N684" s="313">
        <f t="shared" si="736"/>
        <v>216.83453237410069</v>
      </c>
      <c r="O684" s="171"/>
      <c r="P684" s="171"/>
      <c r="S684" s="119"/>
      <c r="T684" s="132"/>
    </row>
    <row r="685" spans="2:20" hidden="1">
      <c r="B685" s="310" t="s">
        <v>3</v>
      </c>
      <c r="C685" s="311">
        <v>34.75</v>
      </c>
      <c r="D685" s="312">
        <v>100</v>
      </c>
      <c r="E685" s="311">
        <v>37.200000000000003</v>
      </c>
      <c r="F685" s="312">
        <f t="shared" si="732"/>
        <v>107.05035971223023</v>
      </c>
      <c r="G685" s="311">
        <v>49.2</v>
      </c>
      <c r="H685" s="312">
        <f t="shared" si="733"/>
        <v>141.58273381294964</v>
      </c>
      <c r="I685" s="311">
        <v>63.2</v>
      </c>
      <c r="J685" s="312">
        <f t="shared" si="734"/>
        <v>181.87050359712231</v>
      </c>
      <c r="K685" s="311">
        <v>79.680000000000007</v>
      </c>
      <c r="L685" s="312">
        <f t="shared" si="735"/>
        <v>229.294964028777</v>
      </c>
      <c r="M685" s="356">
        <v>79.180000000000007</v>
      </c>
      <c r="N685" s="313">
        <f t="shared" si="736"/>
        <v>227.85611510791369</v>
      </c>
      <c r="O685" s="171"/>
      <c r="P685" s="171"/>
      <c r="S685" s="119"/>
      <c r="T685" s="132"/>
    </row>
    <row r="686" spans="2:20" hidden="1">
      <c r="B686" s="310" t="s">
        <v>4</v>
      </c>
      <c r="C686" s="311">
        <v>34.33</v>
      </c>
      <c r="D686" s="312">
        <f t="shared" ref="D686:D693" si="737">100*((C686/34.75))</f>
        <v>98.791366906474821</v>
      </c>
      <c r="E686" s="311">
        <v>36</v>
      </c>
      <c r="F686" s="312">
        <f t="shared" si="732"/>
        <v>103.59712230215827</v>
      </c>
      <c r="G686" s="311">
        <v>50.6</v>
      </c>
      <c r="H686" s="312">
        <f t="shared" si="733"/>
        <v>145.6115107913669</v>
      </c>
      <c r="I686" s="311">
        <v>58</v>
      </c>
      <c r="J686" s="312">
        <f t="shared" si="734"/>
        <v>166.9064748201439</v>
      </c>
      <c r="K686" s="311">
        <v>75.27</v>
      </c>
      <c r="L686" s="312">
        <f t="shared" si="735"/>
        <v>216.60431654676259</v>
      </c>
      <c r="M686" s="356">
        <v>75.34</v>
      </c>
      <c r="N686" s="313">
        <f t="shared" si="736"/>
        <v>216.80575539568346</v>
      </c>
      <c r="O686" s="171"/>
      <c r="P686" s="171"/>
      <c r="S686" s="119"/>
      <c r="T686" s="132"/>
    </row>
    <row r="687" spans="2:20" hidden="1">
      <c r="B687" s="310" t="s">
        <v>5</v>
      </c>
      <c r="C687" s="311">
        <v>36.5</v>
      </c>
      <c r="D687" s="312">
        <f t="shared" si="737"/>
        <v>105.03597122302158</v>
      </c>
      <c r="E687" s="311">
        <v>41.8</v>
      </c>
      <c r="F687" s="312">
        <f t="shared" si="732"/>
        <v>120.28776978417267</v>
      </c>
      <c r="G687" s="311">
        <v>47.75</v>
      </c>
      <c r="H687" s="312">
        <f t="shared" si="733"/>
        <v>137.41007194244605</v>
      </c>
      <c r="I687" s="311">
        <v>57.29</v>
      </c>
      <c r="J687" s="312">
        <f t="shared" si="734"/>
        <v>164.86330935251797</v>
      </c>
      <c r="K687" s="311">
        <v>75.8</v>
      </c>
      <c r="L687" s="312">
        <f t="shared" si="735"/>
        <v>218.12949640287769</v>
      </c>
      <c r="M687" s="356">
        <v>75.680000000000007</v>
      </c>
      <c r="N687" s="313">
        <f t="shared" si="736"/>
        <v>217.78417266187054</v>
      </c>
      <c r="O687" s="171"/>
      <c r="P687" s="171"/>
      <c r="S687" s="119"/>
      <c r="T687" s="132"/>
    </row>
    <row r="688" spans="2:20" hidden="1">
      <c r="B688" s="310" t="s">
        <v>6</v>
      </c>
      <c r="C688" s="311">
        <v>33.36</v>
      </c>
      <c r="D688" s="312">
        <f t="shared" si="737"/>
        <v>96</v>
      </c>
      <c r="E688" s="311">
        <v>39.4</v>
      </c>
      <c r="F688" s="312">
        <f t="shared" si="732"/>
        <v>113.38129496402878</v>
      </c>
      <c r="G688" s="311">
        <v>44.97</v>
      </c>
      <c r="H688" s="312">
        <f t="shared" si="733"/>
        <v>129.41007194244605</v>
      </c>
      <c r="I688" s="311">
        <v>62.8</v>
      </c>
      <c r="J688" s="312">
        <f t="shared" si="734"/>
        <v>180.71942446043167</v>
      </c>
      <c r="K688" s="311">
        <v>76.400000000000006</v>
      </c>
      <c r="L688" s="312">
        <f t="shared" si="735"/>
        <v>219.85611510791369</v>
      </c>
      <c r="M688" s="356">
        <v>78.569999999999993</v>
      </c>
      <c r="N688" s="313">
        <f t="shared" si="736"/>
        <v>226.10071942446041</v>
      </c>
      <c r="O688" s="171"/>
      <c r="P688" s="171"/>
      <c r="S688" s="119"/>
      <c r="T688" s="132"/>
    </row>
    <row r="689" spans="2:20" hidden="1">
      <c r="B689" s="310" t="s">
        <v>7</v>
      </c>
      <c r="C689" s="311">
        <v>32.6</v>
      </c>
      <c r="D689" s="312">
        <f t="shared" si="737"/>
        <v>93.812949640287783</v>
      </c>
      <c r="E689" s="311">
        <v>40.520000000000003</v>
      </c>
      <c r="F689" s="312">
        <f t="shared" si="732"/>
        <v>116.6043165467626</v>
      </c>
      <c r="G689" s="311">
        <v>49.13</v>
      </c>
      <c r="H689" s="312">
        <f t="shared" si="733"/>
        <v>141.38129496402877</v>
      </c>
      <c r="I689" s="311">
        <v>63.71</v>
      </c>
      <c r="J689" s="312">
        <f t="shared" si="734"/>
        <v>183.33812949640287</v>
      </c>
      <c r="K689" s="311">
        <v>72.5</v>
      </c>
      <c r="L689" s="312">
        <f t="shared" si="735"/>
        <v>208.63309352517985</v>
      </c>
      <c r="M689" s="356">
        <v>74.400000000000006</v>
      </c>
      <c r="N689" s="313">
        <f t="shared" si="736"/>
        <v>214.10071942446046</v>
      </c>
      <c r="O689" s="171"/>
      <c r="P689" s="171"/>
      <c r="S689" s="119"/>
      <c r="T689" s="132"/>
    </row>
    <row r="690" spans="2:20" hidden="1">
      <c r="B690" s="310" t="s">
        <v>8</v>
      </c>
      <c r="C690" s="311">
        <v>37.67</v>
      </c>
      <c r="D690" s="312">
        <f t="shared" si="737"/>
        <v>108.40287769784173</v>
      </c>
      <c r="E690" s="311">
        <v>44.9</v>
      </c>
      <c r="F690" s="312">
        <f t="shared" si="732"/>
        <v>129.20863309352518</v>
      </c>
      <c r="G690" s="311">
        <v>49</v>
      </c>
      <c r="H690" s="312">
        <f t="shared" si="733"/>
        <v>141.00719424460431</v>
      </c>
      <c r="I690" s="311">
        <v>63.48</v>
      </c>
      <c r="J690" s="312">
        <f t="shared" si="734"/>
        <v>182.67625899280574</v>
      </c>
      <c r="K690" s="311">
        <v>76.95</v>
      </c>
      <c r="L690" s="312">
        <f t="shared" si="735"/>
        <v>221.43884892086331</v>
      </c>
      <c r="M690" s="356">
        <v>69.459999999999994</v>
      </c>
      <c r="N690" s="313">
        <f t="shared" si="736"/>
        <v>199.88489208633092</v>
      </c>
      <c r="O690" s="171"/>
      <c r="P690" s="171"/>
      <c r="S690" s="119"/>
      <c r="T690" s="132"/>
    </row>
    <row r="691" spans="2:20" hidden="1">
      <c r="B691" s="310" t="s">
        <v>9</v>
      </c>
      <c r="C691" s="311">
        <v>33.270000000000003</v>
      </c>
      <c r="D691" s="312">
        <f t="shared" si="737"/>
        <v>95.741007194244617</v>
      </c>
      <c r="E691" s="311">
        <v>47.33</v>
      </c>
      <c r="F691" s="312">
        <f t="shared" si="732"/>
        <v>136.20143884892087</v>
      </c>
      <c r="G691" s="311">
        <v>45.56</v>
      </c>
      <c r="H691" s="312">
        <f t="shared" si="733"/>
        <v>131.10791366906474</v>
      </c>
      <c r="I691" s="311">
        <v>63.37</v>
      </c>
      <c r="J691" s="312">
        <f t="shared" si="734"/>
        <v>182.35971223021582</v>
      </c>
      <c r="K691" s="311">
        <v>75</v>
      </c>
      <c r="L691" s="312">
        <f t="shared" si="735"/>
        <v>215.82733812949641</v>
      </c>
      <c r="M691" s="356">
        <v>75.86</v>
      </c>
      <c r="N691" s="313">
        <f t="shared" si="736"/>
        <v>218.30215827338131</v>
      </c>
      <c r="O691" s="171"/>
      <c r="P691" s="171"/>
      <c r="S691" s="119"/>
      <c r="T691" s="132"/>
    </row>
    <row r="692" spans="2:20" hidden="1">
      <c r="B692" s="310" t="s">
        <v>10</v>
      </c>
      <c r="C692" s="311">
        <v>40.25</v>
      </c>
      <c r="D692" s="312">
        <f t="shared" si="737"/>
        <v>115.8273381294964</v>
      </c>
      <c r="E692" s="311">
        <v>43</v>
      </c>
      <c r="F692" s="312">
        <f t="shared" si="732"/>
        <v>123.7410071942446</v>
      </c>
      <c r="G692" s="311">
        <v>56.5</v>
      </c>
      <c r="H692" s="312">
        <f t="shared" si="733"/>
        <v>162.58992805755395</v>
      </c>
      <c r="I692" s="311">
        <v>58.25</v>
      </c>
      <c r="J692" s="312">
        <f t="shared" si="734"/>
        <v>167.62589928057554</v>
      </c>
      <c r="K692" s="311">
        <v>72.75</v>
      </c>
      <c r="L692" s="312">
        <f t="shared" si="735"/>
        <v>209.35251798561151</v>
      </c>
      <c r="M692" s="356">
        <v>75.81</v>
      </c>
      <c r="N692" s="313">
        <f t="shared" si="736"/>
        <v>218.15827338129498</v>
      </c>
      <c r="O692" s="171"/>
      <c r="P692" s="171"/>
      <c r="S692" s="119"/>
      <c r="T692" s="132"/>
    </row>
    <row r="693" spans="2:20" ht="15.75" hidden="1" thickBot="1">
      <c r="B693" s="314" t="s">
        <v>11</v>
      </c>
      <c r="C693" s="315">
        <v>37.25</v>
      </c>
      <c r="D693" s="316">
        <f t="shared" si="737"/>
        <v>107.19424460431655</v>
      </c>
      <c r="E693" s="315">
        <v>39</v>
      </c>
      <c r="F693" s="316">
        <f t="shared" si="732"/>
        <v>112.23021582733813</v>
      </c>
      <c r="G693" s="315">
        <v>61.48</v>
      </c>
      <c r="H693" s="316">
        <f t="shared" si="733"/>
        <v>176.92086330935251</v>
      </c>
      <c r="I693" s="315">
        <v>53.8</v>
      </c>
      <c r="J693" s="316">
        <f t="shared" si="734"/>
        <v>154.82014388489208</v>
      </c>
      <c r="K693" s="315">
        <v>74.08</v>
      </c>
      <c r="L693" s="316">
        <f t="shared" si="735"/>
        <v>213.17985611510792</v>
      </c>
      <c r="M693" s="357">
        <v>75.64</v>
      </c>
      <c r="N693" s="317">
        <f t="shared" si="736"/>
        <v>217.66906474820144</v>
      </c>
      <c r="O693" s="171"/>
      <c r="P693" s="171"/>
      <c r="S693" s="119"/>
      <c r="T693" s="132"/>
    </row>
    <row r="694" spans="2:20" ht="15.75" hidden="1" thickBot="1">
      <c r="B694" s="119"/>
      <c r="C694" s="118"/>
      <c r="D694" s="123"/>
      <c r="E694" s="118"/>
      <c r="F694" s="123"/>
      <c r="G694" s="118"/>
      <c r="H694" s="123"/>
      <c r="I694" s="118"/>
      <c r="J694" s="123"/>
      <c r="K694" s="118"/>
      <c r="L694" s="123"/>
      <c r="M694" s="152"/>
      <c r="N694" s="123"/>
      <c r="O694" s="123"/>
      <c r="P694" s="123"/>
      <c r="Q694" s="152"/>
      <c r="R694" s="123"/>
      <c r="S694" s="119"/>
      <c r="T694" s="132"/>
    </row>
    <row r="695" spans="2:20" ht="15.75" hidden="1" thickBot="1">
      <c r="B695" s="506" t="s">
        <v>199</v>
      </c>
      <c r="C695" s="507"/>
      <c r="D695" s="363"/>
      <c r="E695" s="363"/>
      <c r="F695" s="508"/>
      <c r="G695" s="509" t="s">
        <v>228</v>
      </c>
      <c r="H695" s="363"/>
      <c r="I695" s="363"/>
      <c r="J695" s="510">
        <v>34.75</v>
      </c>
      <c r="K695" s="503" t="s">
        <v>41</v>
      </c>
      <c r="L695" s="363"/>
      <c r="M695" s="509"/>
      <c r="N695" s="478"/>
      <c r="O695" s="123"/>
      <c r="P695" s="123"/>
      <c r="Q695" s="152"/>
      <c r="R695" s="123"/>
      <c r="S695" s="119"/>
      <c r="T695" s="132"/>
    </row>
    <row r="696" spans="2:20" ht="15.75" hidden="1" thickBot="1">
      <c r="B696" s="1308">
        <v>2006</v>
      </c>
      <c r="C696" s="1309"/>
      <c r="D696" s="396" t="s">
        <v>15</v>
      </c>
      <c r="E696" s="513">
        <v>2007</v>
      </c>
      <c r="F696" s="396" t="s">
        <v>15</v>
      </c>
      <c r="G696" s="513">
        <v>2008</v>
      </c>
      <c r="H696" s="396" t="s">
        <v>15</v>
      </c>
      <c r="I696" s="513">
        <v>2009</v>
      </c>
      <c r="J696" s="396" t="s">
        <v>15</v>
      </c>
      <c r="K696" s="513">
        <v>2010</v>
      </c>
      <c r="L696" s="396" t="s">
        <v>15</v>
      </c>
      <c r="M696" s="513">
        <v>2011</v>
      </c>
      <c r="N696" s="397" t="s">
        <v>15</v>
      </c>
      <c r="O696" s="277"/>
      <c r="P696" s="124"/>
      <c r="Q696" s="277"/>
      <c r="R696" s="124"/>
      <c r="S696" s="119"/>
      <c r="T696" s="132"/>
    </row>
    <row r="697" spans="2:20" hidden="1">
      <c r="B697" s="306" t="s">
        <v>0</v>
      </c>
      <c r="C697" s="355">
        <v>74</v>
      </c>
      <c r="D697" s="308">
        <f t="shared" ref="D697:D708" si="738">100*C697/$J$680</f>
        <v>212.9496402877698</v>
      </c>
      <c r="E697" s="355">
        <v>57.33</v>
      </c>
      <c r="F697" s="308">
        <f t="shared" ref="F697:F708" si="739">100*E697/$J$680</f>
        <v>164.97841726618705</v>
      </c>
      <c r="G697" s="355">
        <v>59.08</v>
      </c>
      <c r="H697" s="308">
        <f t="shared" ref="H697:H708" si="740">100*G697/$J$680</f>
        <v>170.01438848920864</v>
      </c>
      <c r="I697" s="355">
        <v>65.2</v>
      </c>
      <c r="J697" s="308">
        <f t="shared" ref="J697:J708" si="741">100*I697/$J$680</f>
        <v>187.62589928057554</v>
      </c>
      <c r="K697" s="355">
        <v>67.14</v>
      </c>
      <c r="L697" s="308">
        <f t="shared" ref="L697:L708" si="742">100*K697/$J$680</f>
        <v>193.20863309352518</v>
      </c>
      <c r="M697" s="355">
        <v>87.174000000000007</v>
      </c>
      <c r="N697" s="309">
        <f t="shared" ref="N697:N708" si="743">100*M697/$J$680</f>
        <v>250.86043165467629</v>
      </c>
      <c r="O697" s="152"/>
      <c r="P697" s="123"/>
      <c r="Q697" s="152"/>
      <c r="R697" s="123"/>
      <c r="S697" s="119"/>
      <c r="T697" s="132"/>
    </row>
    <row r="698" spans="2:20" hidden="1">
      <c r="B698" s="310" t="s">
        <v>1</v>
      </c>
      <c r="C698" s="356">
        <v>56.16</v>
      </c>
      <c r="D698" s="312">
        <f t="shared" si="738"/>
        <v>161.6115107913669</v>
      </c>
      <c r="E698" s="356">
        <v>54.64</v>
      </c>
      <c r="F698" s="312">
        <f t="shared" si="739"/>
        <v>157.23741007194243</v>
      </c>
      <c r="G698" s="356">
        <v>59.566666666666663</v>
      </c>
      <c r="H698" s="312">
        <f t="shared" si="740"/>
        <v>171.41486810551558</v>
      </c>
      <c r="I698" s="356">
        <v>66</v>
      </c>
      <c r="J698" s="312">
        <f t="shared" si="741"/>
        <v>189.92805755395685</v>
      </c>
      <c r="K698" s="356">
        <v>68.516666666666666</v>
      </c>
      <c r="L698" s="312">
        <f t="shared" si="742"/>
        <v>197.17026378896884</v>
      </c>
      <c r="M698" s="356">
        <v>87.174000000000007</v>
      </c>
      <c r="N698" s="313">
        <f t="shared" si="743"/>
        <v>250.86043165467629</v>
      </c>
      <c r="O698" s="152"/>
      <c r="P698" s="123"/>
      <c r="Q698" s="152"/>
      <c r="R698" s="123"/>
      <c r="S698" s="119"/>
      <c r="T698" s="132"/>
    </row>
    <row r="699" spans="2:20" hidden="1">
      <c r="B699" s="310" t="s">
        <v>2</v>
      </c>
      <c r="C699" s="356">
        <v>57</v>
      </c>
      <c r="D699" s="312">
        <f t="shared" si="738"/>
        <v>164.02877697841726</v>
      </c>
      <c r="E699" s="356">
        <v>55.37</v>
      </c>
      <c r="F699" s="312">
        <f t="shared" si="739"/>
        <v>159.33812949640287</v>
      </c>
      <c r="G699" s="356">
        <v>61.233333333333327</v>
      </c>
      <c r="H699" s="312">
        <f t="shared" si="740"/>
        <v>176.21103117505993</v>
      </c>
      <c r="I699" s="356">
        <v>65.400000000000006</v>
      </c>
      <c r="J699" s="312">
        <f t="shared" si="741"/>
        <v>188.2014388489209</v>
      </c>
      <c r="K699" s="356">
        <v>68.516666666666666</v>
      </c>
      <c r="L699" s="312">
        <f t="shared" si="742"/>
        <v>197.17026378896884</v>
      </c>
      <c r="M699" s="356">
        <v>87.174000000000007</v>
      </c>
      <c r="N699" s="313">
        <f t="shared" si="743"/>
        <v>250.86043165467629</v>
      </c>
      <c r="O699" s="152"/>
      <c r="P699" s="123"/>
      <c r="Q699" s="152"/>
      <c r="R699" s="123"/>
      <c r="S699" s="119"/>
      <c r="T699" s="132"/>
    </row>
    <row r="700" spans="2:20" hidden="1">
      <c r="B700" s="310" t="s">
        <v>3</v>
      </c>
      <c r="C700" s="356">
        <v>50.67</v>
      </c>
      <c r="D700" s="312">
        <f t="shared" si="738"/>
        <v>145.81294964028777</v>
      </c>
      <c r="E700" s="356">
        <v>57.6</v>
      </c>
      <c r="F700" s="312">
        <f t="shared" si="739"/>
        <v>165.75539568345323</v>
      </c>
      <c r="G700" s="356">
        <v>60.571428571428569</v>
      </c>
      <c r="H700" s="312">
        <f t="shared" si="740"/>
        <v>174.30626927029803</v>
      </c>
      <c r="I700" s="356">
        <v>66</v>
      </c>
      <c r="J700" s="312">
        <f t="shared" si="741"/>
        <v>189.92805755395685</v>
      </c>
      <c r="K700" s="356">
        <v>67.180000000000007</v>
      </c>
      <c r="L700" s="312">
        <f t="shared" si="742"/>
        <v>193.32374100719426</v>
      </c>
      <c r="M700" s="356">
        <v>87.174000000000007</v>
      </c>
      <c r="N700" s="313">
        <f t="shared" si="743"/>
        <v>250.86043165467629</v>
      </c>
      <c r="O700" s="152"/>
      <c r="P700" s="123"/>
      <c r="Q700" s="152"/>
      <c r="R700" s="123"/>
      <c r="S700" s="119"/>
      <c r="T700" s="132"/>
    </row>
    <row r="701" spans="2:20" hidden="1">
      <c r="B701" s="310" t="s">
        <v>4</v>
      </c>
      <c r="C701" s="356">
        <v>51.38</v>
      </c>
      <c r="D701" s="312">
        <f t="shared" si="738"/>
        <v>147.85611510791367</v>
      </c>
      <c r="E701" s="356">
        <v>55.67</v>
      </c>
      <c r="F701" s="312">
        <f t="shared" si="739"/>
        <v>160.20143884892087</v>
      </c>
      <c r="G701" s="356">
        <v>63.2</v>
      </c>
      <c r="H701" s="312">
        <f t="shared" si="740"/>
        <v>181.87050359712231</v>
      </c>
      <c r="I701" s="356">
        <v>66</v>
      </c>
      <c r="J701" s="312">
        <f t="shared" si="741"/>
        <v>189.92805755395685</v>
      </c>
      <c r="K701" s="356">
        <v>71.78</v>
      </c>
      <c r="L701" s="312">
        <f t="shared" si="742"/>
        <v>206.56115107913669</v>
      </c>
      <c r="M701" s="356">
        <v>85.17</v>
      </c>
      <c r="N701" s="313">
        <f t="shared" si="743"/>
        <v>245.0935251798561</v>
      </c>
      <c r="O701" s="152"/>
      <c r="P701" s="123"/>
      <c r="Q701" s="152"/>
      <c r="R701" s="123"/>
      <c r="S701" s="119"/>
      <c r="T701" s="132"/>
    </row>
    <row r="702" spans="2:20" hidden="1">
      <c r="B702" s="310" t="s">
        <v>5</v>
      </c>
      <c r="C702" s="356">
        <v>49.4</v>
      </c>
      <c r="D702" s="312">
        <f t="shared" si="738"/>
        <v>142.15827338129498</v>
      </c>
      <c r="E702" s="356">
        <v>59.4</v>
      </c>
      <c r="F702" s="312">
        <f t="shared" si="739"/>
        <v>170.93525179856115</v>
      </c>
      <c r="G702" s="356">
        <v>60</v>
      </c>
      <c r="H702" s="312">
        <f t="shared" si="740"/>
        <v>172.66187050359713</v>
      </c>
      <c r="I702" s="356">
        <v>66.142857142857139</v>
      </c>
      <c r="J702" s="312">
        <f t="shared" si="741"/>
        <v>190.33915724563204</v>
      </c>
      <c r="K702" s="356">
        <v>65.183333333333337</v>
      </c>
      <c r="L702" s="312">
        <f t="shared" si="742"/>
        <v>187.57793764988011</v>
      </c>
      <c r="M702" s="356">
        <v>90.238333333333344</v>
      </c>
      <c r="N702" s="313">
        <f t="shared" si="743"/>
        <v>259.67865707434055</v>
      </c>
      <c r="O702" s="152"/>
      <c r="P702" s="123"/>
      <c r="Q702" s="152"/>
      <c r="R702" s="123"/>
      <c r="S702" s="119"/>
      <c r="T702" s="132"/>
    </row>
    <row r="703" spans="2:20" hidden="1">
      <c r="B703" s="310" t="s">
        <v>6</v>
      </c>
      <c r="C703" s="356">
        <v>57.33</v>
      </c>
      <c r="D703" s="312">
        <f t="shared" si="738"/>
        <v>164.97841726618705</v>
      </c>
      <c r="E703" s="356">
        <v>62</v>
      </c>
      <c r="F703" s="312">
        <f t="shared" si="739"/>
        <v>178.41726618705036</v>
      </c>
      <c r="G703" s="356">
        <v>61.142857142857146</v>
      </c>
      <c r="H703" s="312">
        <f t="shared" si="740"/>
        <v>175.95066803699899</v>
      </c>
      <c r="I703" s="356">
        <v>65.7</v>
      </c>
      <c r="J703" s="312">
        <f t="shared" si="741"/>
        <v>189.06474820143885</v>
      </c>
      <c r="K703" s="356">
        <v>78.209999999999994</v>
      </c>
      <c r="L703" s="312">
        <f t="shared" si="742"/>
        <v>225.06474820143882</v>
      </c>
      <c r="M703" s="356">
        <v>90.238333333333344</v>
      </c>
      <c r="N703" s="313">
        <f t="shared" si="743"/>
        <v>259.67865707434055</v>
      </c>
      <c r="O703" s="152"/>
      <c r="P703" s="123"/>
      <c r="Q703" s="152"/>
      <c r="R703" s="123"/>
      <c r="S703" s="119"/>
      <c r="T703" s="132"/>
    </row>
    <row r="704" spans="2:20" hidden="1">
      <c r="B704" s="310" t="s">
        <v>7</v>
      </c>
      <c r="C704" s="356">
        <v>53.18</v>
      </c>
      <c r="D704" s="312">
        <f t="shared" si="738"/>
        <v>153.03597122302159</v>
      </c>
      <c r="E704" s="356">
        <v>63</v>
      </c>
      <c r="F704" s="312">
        <f t="shared" si="739"/>
        <v>181.29496402877697</v>
      </c>
      <c r="G704" s="356">
        <v>62.057142857142857</v>
      </c>
      <c r="H704" s="312">
        <f t="shared" si="740"/>
        <v>178.58170606372045</v>
      </c>
      <c r="I704" s="356">
        <v>67</v>
      </c>
      <c r="J704" s="312">
        <f t="shared" si="741"/>
        <v>192.80575539568346</v>
      </c>
      <c r="K704" s="356">
        <v>79.981666666666669</v>
      </c>
      <c r="L704" s="312">
        <f t="shared" si="742"/>
        <v>230.1630695443645</v>
      </c>
      <c r="M704" s="356">
        <v>82.698000000000008</v>
      </c>
      <c r="N704" s="313">
        <f t="shared" si="743"/>
        <v>237.97985611510794</v>
      </c>
      <c r="O704" s="152"/>
      <c r="P704" s="123"/>
      <c r="Q704" s="152"/>
      <c r="R704" s="123"/>
      <c r="S704" s="119"/>
      <c r="T704" s="132"/>
    </row>
    <row r="705" spans="2:20" hidden="1">
      <c r="B705" s="310" t="s">
        <v>8</v>
      </c>
      <c r="C705" s="356">
        <v>54.15</v>
      </c>
      <c r="D705" s="312">
        <f t="shared" si="738"/>
        <v>155.82733812949641</v>
      </c>
      <c r="E705" s="356">
        <v>64</v>
      </c>
      <c r="F705" s="312">
        <f t="shared" si="739"/>
        <v>184.17266187050359</v>
      </c>
      <c r="G705" s="356">
        <v>63.36</v>
      </c>
      <c r="H705" s="312">
        <f t="shared" si="740"/>
        <v>182.33093525179856</v>
      </c>
      <c r="I705" s="356">
        <v>67</v>
      </c>
      <c r="J705" s="312">
        <f t="shared" si="741"/>
        <v>192.80575539568346</v>
      </c>
      <c r="K705" s="356">
        <v>83.378</v>
      </c>
      <c r="L705" s="312">
        <f t="shared" si="742"/>
        <v>239.93669064748198</v>
      </c>
      <c r="M705" s="356">
        <v>82.698000000000008</v>
      </c>
      <c r="N705" s="313">
        <f t="shared" si="743"/>
        <v>237.97985611510794</v>
      </c>
      <c r="O705" s="152"/>
      <c r="P705" s="123"/>
      <c r="Q705" s="152"/>
      <c r="R705" s="123"/>
      <c r="S705" s="119"/>
      <c r="T705" s="132"/>
    </row>
    <row r="706" spans="2:20" hidden="1">
      <c r="B706" s="310" t="s">
        <v>9</v>
      </c>
      <c r="C706" s="356">
        <v>55.5</v>
      </c>
      <c r="D706" s="312">
        <f t="shared" si="738"/>
        <v>159.71223021582733</v>
      </c>
      <c r="E706" s="356">
        <v>63.428571428571431</v>
      </c>
      <c r="F706" s="312">
        <f t="shared" si="739"/>
        <v>182.52826310380269</v>
      </c>
      <c r="G706" s="356">
        <v>64.542857142857144</v>
      </c>
      <c r="H706" s="312">
        <f t="shared" si="740"/>
        <v>185.73484069886948</v>
      </c>
      <c r="I706" s="356">
        <v>67.16</v>
      </c>
      <c r="J706" s="312">
        <f t="shared" si="741"/>
        <v>193.26618705035972</v>
      </c>
      <c r="K706" s="356">
        <v>83.28</v>
      </c>
      <c r="L706" s="312">
        <f t="shared" si="742"/>
        <v>239.65467625899279</v>
      </c>
      <c r="M706" s="356">
        <v>82.698000000000008</v>
      </c>
      <c r="N706" s="313">
        <f t="shared" si="743"/>
        <v>237.97985611510794</v>
      </c>
      <c r="O706" s="152"/>
      <c r="P706" s="123"/>
      <c r="Q706" s="152"/>
      <c r="R706" s="123"/>
      <c r="S706" s="119"/>
      <c r="T706" s="132"/>
    </row>
    <row r="707" spans="2:20" hidden="1">
      <c r="B707" s="310" t="s">
        <v>10</v>
      </c>
      <c r="C707" s="356">
        <v>57.64</v>
      </c>
      <c r="D707" s="312">
        <f t="shared" si="738"/>
        <v>165.87050359712231</v>
      </c>
      <c r="E707" s="356">
        <v>61.142857142857146</v>
      </c>
      <c r="F707" s="312">
        <f t="shared" si="739"/>
        <v>175.95066803699899</v>
      </c>
      <c r="G707" s="356">
        <v>65.2</v>
      </c>
      <c r="H707" s="312">
        <f t="shared" si="740"/>
        <v>187.62589928057554</v>
      </c>
      <c r="I707" s="356">
        <v>67</v>
      </c>
      <c r="J707" s="312">
        <f t="shared" si="741"/>
        <v>192.80575539568346</v>
      </c>
      <c r="K707" s="356">
        <v>79.481999999999999</v>
      </c>
      <c r="L707" s="312">
        <f t="shared" si="742"/>
        <v>228.72517985611509</v>
      </c>
      <c r="M707" s="356">
        <v>82.698000000000008</v>
      </c>
      <c r="N707" s="313">
        <f t="shared" si="743"/>
        <v>237.97985611510794</v>
      </c>
      <c r="O707" s="152"/>
      <c r="P707" s="123"/>
      <c r="Q707" s="152"/>
      <c r="R707" s="123"/>
      <c r="S707" s="119"/>
      <c r="T707" s="132"/>
    </row>
    <row r="708" spans="2:20" ht="15.75" hidden="1" thickBot="1">
      <c r="B708" s="314" t="s">
        <v>11</v>
      </c>
      <c r="C708" s="357">
        <v>54.6</v>
      </c>
      <c r="D708" s="316">
        <f t="shared" si="738"/>
        <v>157.12230215827338</v>
      </c>
      <c r="E708" s="357">
        <v>61</v>
      </c>
      <c r="F708" s="316">
        <f t="shared" si="739"/>
        <v>175.53956834532374</v>
      </c>
      <c r="G708" s="357">
        <v>65.785714285714292</v>
      </c>
      <c r="H708" s="316">
        <f t="shared" si="740"/>
        <v>189.31140801644401</v>
      </c>
      <c r="I708" s="357">
        <v>67.14</v>
      </c>
      <c r="J708" s="316">
        <f t="shared" si="741"/>
        <v>193.20863309352518</v>
      </c>
      <c r="K708" s="357">
        <v>83.478333333333339</v>
      </c>
      <c r="L708" s="316">
        <f t="shared" si="742"/>
        <v>240.2254196642686</v>
      </c>
      <c r="M708" s="357">
        <v>82.698000000000008</v>
      </c>
      <c r="N708" s="317">
        <f t="shared" si="743"/>
        <v>237.97985611510794</v>
      </c>
      <c r="O708" s="152"/>
      <c r="P708" s="123"/>
      <c r="Q708" s="152"/>
      <c r="R708" s="123"/>
      <c r="S708" s="119"/>
      <c r="T708" s="132"/>
    </row>
    <row r="709" spans="2:20" ht="15.75" hidden="1" thickBot="1">
      <c r="B709" s="119"/>
      <c r="C709" s="152"/>
      <c r="D709" s="123"/>
      <c r="E709" s="152"/>
      <c r="F709" s="123"/>
      <c r="G709" s="152"/>
      <c r="H709" s="123"/>
      <c r="I709" s="152"/>
      <c r="J709" s="123"/>
      <c r="K709" s="152"/>
      <c r="L709" s="123"/>
      <c r="M709" s="152"/>
      <c r="N709" s="123"/>
      <c r="O709" s="152"/>
      <c r="P709" s="123"/>
      <c r="Q709" s="152"/>
      <c r="R709" s="123"/>
      <c r="S709" s="119"/>
      <c r="T709" s="132"/>
    </row>
    <row r="710" spans="2:20" ht="16.5" hidden="1" thickBot="1">
      <c r="B710" s="1356" t="s">
        <v>297</v>
      </c>
      <c r="C710" s="1357"/>
      <c r="D710" s="1357"/>
      <c r="E710" s="1357"/>
      <c r="F710" s="1357"/>
      <c r="G710" s="647"/>
      <c r="H710" s="123"/>
      <c r="I710" s="152"/>
      <c r="J710" s="123"/>
      <c r="K710" s="152"/>
      <c r="L710" s="123"/>
      <c r="M710" s="152"/>
      <c r="N710" s="123"/>
      <c r="O710" s="152"/>
      <c r="P710" s="123"/>
      <c r="Q710" s="152"/>
      <c r="R710" s="123"/>
      <c r="S710" s="119"/>
      <c r="T710" s="132"/>
    </row>
    <row r="711" spans="2:20" ht="15.75" hidden="1" thickBot="1">
      <c r="B711" s="1308">
        <v>2012</v>
      </c>
      <c r="C711" s="1309"/>
      <c r="D711" s="397" t="s">
        <v>15</v>
      </c>
      <c r="E711" s="646">
        <v>2013</v>
      </c>
      <c r="F711" s="397" t="s">
        <v>15</v>
      </c>
      <c r="H711" s="123"/>
      <c r="I711" s="152"/>
      <c r="J711" s="123"/>
      <c r="K711" s="152"/>
      <c r="L711" s="123"/>
      <c r="M711" s="152"/>
      <c r="N711" s="123"/>
      <c r="O711" s="152"/>
      <c r="P711" s="123"/>
      <c r="Q711" s="152"/>
      <c r="R711" s="123"/>
      <c r="S711" s="119"/>
      <c r="T711" s="132"/>
    </row>
    <row r="712" spans="2:20" hidden="1">
      <c r="B712" s="306" t="s">
        <v>0</v>
      </c>
      <c r="C712" s="307">
        <v>82.698000000000008</v>
      </c>
      <c r="D712" s="309">
        <f t="shared" ref="D712:D720" si="744">100*C712/$J$680</f>
        <v>237.97985611510794</v>
      </c>
      <c r="E712" s="657">
        <f>[107]Janeiro!$I$19</f>
        <v>80.412000000000006</v>
      </c>
      <c r="F712" s="655">
        <f t="shared" ref="F712:F717" si="745">100*E712/$J$680</f>
        <v>231.40143884892089</v>
      </c>
      <c r="H712" s="123"/>
      <c r="I712" s="152"/>
      <c r="J712" s="123"/>
      <c r="K712" s="152"/>
      <c r="L712" s="123"/>
      <c r="M712" s="152"/>
      <c r="N712" s="123"/>
      <c r="O712" s="152"/>
      <c r="P712" s="123"/>
      <c r="Q712" s="152"/>
      <c r="R712" s="123"/>
      <c r="S712" s="119"/>
      <c r="T712" s="132"/>
    </row>
    <row r="713" spans="2:20" hidden="1">
      <c r="B713" s="310" t="s">
        <v>1</v>
      </c>
      <c r="C713" s="311">
        <f>[116]Fevereiro!$I$19</f>
        <v>79.412000000000006</v>
      </c>
      <c r="D713" s="313">
        <f t="shared" si="744"/>
        <v>228.52374100719427</v>
      </c>
      <c r="E713" s="662">
        <f>[107]Fevereiro!$I$19</f>
        <v>80.412000000000006</v>
      </c>
      <c r="F713" s="313">
        <f t="shared" si="745"/>
        <v>231.40143884892089</v>
      </c>
      <c r="H713" s="123"/>
      <c r="I713" s="152"/>
      <c r="J713" s="123"/>
      <c r="K713" s="152"/>
      <c r="L713" s="123"/>
      <c r="M713" s="152"/>
      <c r="N713" s="123"/>
      <c r="O713" s="152"/>
      <c r="P713" s="123"/>
      <c r="Q713" s="152"/>
      <c r="R713" s="123"/>
      <c r="S713" s="119"/>
      <c r="T713" s="132"/>
    </row>
    <row r="714" spans="2:20" hidden="1">
      <c r="B714" s="310" t="s">
        <v>2</v>
      </c>
      <c r="C714" s="311">
        <f>[116]Março!$I$19</f>
        <v>83.412000000000006</v>
      </c>
      <c r="D714" s="313">
        <f t="shared" si="744"/>
        <v>240.03453237410073</v>
      </c>
      <c r="E714" s="662">
        <f>[107]Março!$I$19</f>
        <v>80.412000000000006</v>
      </c>
      <c r="F714" s="313">
        <f t="shared" si="745"/>
        <v>231.40143884892089</v>
      </c>
      <c r="H714" s="123"/>
      <c r="I714" s="152"/>
      <c r="J714" s="123"/>
      <c r="K714" s="152"/>
      <c r="L714" s="123"/>
      <c r="M714" s="152"/>
      <c r="N714" s="123"/>
      <c r="O714" s="152"/>
      <c r="P714" s="123"/>
      <c r="Q714" s="152"/>
      <c r="R714" s="123"/>
      <c r="S714" s="119"/>
      <c r="T714" s="132"/>
    </row>
    <row r="715" spans="2:20" hidden="1">
      <c r="B715" s="310" t="s">
        <v>3</v>
      </c>
      <c r="C715" s="311">
        <f>[116]Abril!$I$19</f>
        <v>83.412000000000006</v>
      </c>
      <c r="D715" s="313">
        <f t="shared" si="744"/>
        <v>240.03453237410073</v>
      </c>
      <c r="E715" s="662">
        <f>[107]Abril!$I$19</f>
        <v>80.412000000000006</v>
      </c>
      <c r="F715" s="313">
        <f t="shared" si="745"/>
        <v>231.40143884892089</v>
      </c>
      <c r="H715" s="123"/>
      <c r="I715" s="152"/>
      <c r="J715" s="123"/>
      <c r="K715" s="152"/>
      <c r="L715" s="123"/>
      <c r="M715" s="152"/>
      <c r="N715" s="123"/>
      <c r="O715" s="152"/>
      <c r="P715" s="123"/>
      <c r="Q715" s="152"/>
      <c r="R715" s="123"/>
      <c r="S715" s="119"/>
      <c r="T715" s="132"/>
    </row>
    <row r="716" spans="2:20" hidden="1">
      <c r="B716" s="310" t="s">
        <v>4</v>
      </c>
      <c r="C716" s="311">
        <f>[116]Maio!$I$19</f>
        <v>83.412000000000006</v>
      </c>
      <c r="D716" s="313">
        <f t="shared" si="744"/>
        <v>240.03453237410073</v>
      </c>
      <c r="E716" s="662">
        <f>[107]Maio!$I$19</f>
        <v>80.412000000000006</v>
      </c>
      <c r="F716" s="313">
        <f t="shared" si="745"/>
        <v>231.40143884892089</v>
      </c>
      <c r="H716" s="123"/>
      <c r="I716" s="152"/>
      <c r="J716" s="123"/>
      <c r="K716" s="152"/>
      <c r="L716" s="123"/>
      <c r="M716" s="152"/>
      <c r="N716" s="123"/>
      <c r="O716" s="152"/>
      <c r="P716" s="123"/>
      <c r="Q716" s="152"/>
      <c r="R716" s="123"/>
      <c r="S716" s="119"/>
      <c r="T716" s="132"/>
    </row>
    <row r="717" spans="2:20" hidden="1">
      <c r="B717" s="310" t="s">
        <v>5</v>
      </c>
      <c r="C717" s="311">
        <f>[116]Junho!$I$19</f>
        <v>83.412000000000006</v>
      </c>
      <c r="D717" s="313">
        <f t="shared" si="744"/>
        <v>240.03453237410073</v>
      </c>
      <c r="E717" s="662">
        <f>[107]Junho!$I$19</f>
        <v>80.412000000000006</v>
      </c>
      <c r="F717" s="313">
        <f t="shared" si="745"/>
        <v>231.40143884892089</v>
      </c>
      <c r="H717" s="123"/>
      <c r="I717" s="152"/>
      <c r="J717" s="123"/>
      <c r="K717" s="152"/>
      <c r="L717" s="123"/>
      <c r="M717" s="152"/>
      <c r="N717" s="123"/>
      <c r="O717" s="152"/>
      <c r="P717" s="123"/>
      <c r="Q717" s="152"/>
      <c r="R717" s="123"/>
      <c r="S717" s="119"/>
      <c r="T717" s="132"/>
    </row>
    <row r="718" spans="2:20" hidden="1">
      <c r="B718" s="310" t="s">
        <v>6</v>
      </c>
      <c r="C718" s="311">
        <f>[116]Julho!$I$19</f>
        <v>79.412000000000006</v>
      </c>
      <c r="D718" s="313">
        <f t="shared" si="744"/>
        <v>228.52374100719427</v>
      </c>
      <c r="E718" s="662">
        <f>[107]Julho!$I$19</f>
        <v>80.412000000000006</v>
      </c>
      <c r="F718" s="313">
        <f t="shared" ref="F718:F723" si="746">100*E718/$J$680</f>
        <v>231.40143884892089</v>
      </c>
      <c r="H718" s="123"/>
      <c r="I718" s="152"/>
      <c r="J718" s="123"/>
      <c r="K718" s="152"/>
      <c r="L718" s="123"/>
      <c r="M718" s="152"/>
      <c r="N718" s="123"/>
      <c r="O718" s="152"/>
      <c r="P718" s="123"/>
      <c r="Q718" s="152"/>
      <c r="R718" s="123"/>
      <c r="S718" s="119"/>
      <c r="T718" s="132"/>
    </row>
    <row r="719" spans="2:20" hidden="1">
      <c r="B719" s="310" t="s">
        <v>7</v>
      </c>
      <c r="C719" s="311">
        <f>[116]Agosto!$I$19</f>
        <v>79.412000000000006</v>
      </c>
      <c r="D719" s="313">
        <f t="shared" si="744"/>
        <v>228.52374100719427</v>
      </c>
      <c r="E719" s="662">
        <f>[107]Agosto!$I$19</f>
        <v>80.412000000000006</v>
      </c>
      <c r="F719" s="313">
        <f t="shared" si="746"/>
        <v>231.40143884892089</v>
      </c>
      <c r="H719" s="123"/>
      <c r="I719" s="152"/>
      <c r="J719" s="123"/>
      <c r="K719" s="152"/>
      <c r="L719" s="123"/>
      <c r="M719" s="152"/>
      <c r="N719" s="123"/>
      <c r="O719" s="152"/>
      <c r="P719" s="123"/>
      <c r="Q719" s="152"/>
      <c r="R719" s="123"/>
      <c r="S719" s="119"/>
      <c r="T719" s="132"/>
    </row>
    <row r="720" spans="2:20" hidden="1">
      <c r="B720" s="310" t="s">
        <v>8</v>
      </c>
      <c r="C720" s="311">
        <f>[116]Setembro!$I$19</f>
        <v>79.412000000000006</v>
      </c>
      <c r="D720" s="313">
        <f t="shared" si="744"/>
        <v>228.52374100719427</v>
      </c>
      <c r="E720" s="662">
        <f>[107]Setembro!$I$19</f>
        <v>81.412000000000006</v>
      </c>
      <c r="F720" s="313">
        <f t="shared" si="746"/>
        <v>234.2791366906475</v>
      </c>
      <c r="H720" s="123"/>
      <c r="I720" s="152"/>
      <c r="J720" s="123"/>
      <c r="K720" s="152"/>
      <c r="L720" s="123"/>
      <c r="M720" s="152"/>
      <c r="N720" s="123"/>
      <c r="O720" s="152"/>
      <c r="P720" s="123"/>
      <c r="Q720" s="152"/>
      <c r="R720" s="123"/>
      <c r="S720" s="119"/>
      <c r="T720" s="132"/>
    </row>
    <row r="721" spans="2:20" hidden="1">
      <c r="B721" s="310" t="s">
        <v>9</v>
      </c>
      <c r="C721" s="311">
        <f>[116]Outubro!$I$19</f>
        <v>80.412000000000006</v>
      </c>
      <c r="D721" s="313">
        <f>100*C721/$J$680</f>
        <v>231.40143884892089</v>
      </c>
      <c r="E721" s="662">
        <f>[107]Outubro!$I$19</f>
        <v>86.652000000000015</v>
      </c>
      <c r="F721" s="313">
        <f t="shared" si="746"/>
        <v>249.35827338129499</v>
      </c>
      <c r="H721" s="123"/>
      <c r="I721" s="152"/>
      <c r="J721" s="123"/>
      <c r="K721" s="152"/>
      <c r="L721" s="123"/>
      <c r="M721" s="152"/>
      <c r="N721" s="123"/>
      <c r="O721" s="152"/>
      <c r="P721" s="123"/>
      <c r="Q721" s="152"/>
      <c r="R721" s="123"/>
      <c r="S721" s="119"/>
      <c r="T721" s="132"/>
    </row>
    <row r="722" spans="2:20" hidden="1">
      <c r="B722" s="310" t="s">
        <v>10</v>
      </c>
      <c r="C722" s="311">
        <f>[116]Novembro!$I$19</f>
        <v>80.412000000000006</v>
      </c>
      <c r="D722" s="313">
        <f>100*C722/$J$680</f>
        <v>231.40143884892089</v>
      </c>
      <c r="E722" s="662">
        <f>[107]Novembro!$I$19</f>
        <v>86.652000000000015</v>
      </c>
      <c r="F722" s="313">
        <f t="shared" si="746"/>
        <v>249.35827338129499</v>
      </c>
      <c r="H722" s="123"/>
      <c r="I722" s="152"/>
      <c r="J722" s="123"/>
      <c r="K722" s="152"/>
      <c r="L722" s="123"/>
      <c r="M722" s="152"/>
      <c r="N722" s="123"/>
      <c r="O722" s="152"/>
      <c r="P722" s="123"/>
      <c r="Q722" s="152"/>
      <c r="R722" s="123"/>
      <c r="S722" s="119"/>
      <c r="T722" s="132"/>
    </row>
    <row r="723" spans="2:20" ht="15.75" hidden="1" thickBot="1">
      <c r="B723" s="314" t="s">
        <v>11</v>
      </c>
      <c r="C723" s="315">
        <f>[116]Dezembro!$I$19</f>
        <v>80.412000000000006</v>
      </c>
      <c r="D723" s="317">
        <f>100*C723/$J$680</f>
        <v>231.40143884892089</v>
      </c>
      <c r="E723" s="682">
        <f>[107]Dezembro!$I$19</f>
        <v>86.652000000000015</v>
      </c>
      <c r="F723" s="317">
        <f t="shared" si="746"/>
        <v>249.35827338129499</v>
      </c>
      <c r="H723" s="123"/>
      <c r="I723" s="152"/>
      <c r="J723" s="123"/>
      <c r="K723" s="152"/>
      <c r="L723" s="123"/>
      <c r="M723" s="152"/>
      <c r="N723" s="123"/>
      <c r="O723" s="152"/>
      <c r="P723" s="123"/>
      <c r="Q723" s="152"/>
      <c r="R723" s="123"/>
      <c r="S723" s="119"/>
      <c r="T723" s="132"/>
    </row>
    <row r="724" spans="2:20" hidden="1">
      <c r="B724" s="119"/>
      <c r="C724" s="152"/>
      <c r="D724" s="123"/>
      <c r="E724" s="152"/>
      <c r="F724" s="123"/>
      <c r="G724" s="152"/>
      <c r="H724" s="123"/>
      <c r="I724" s="152"/>
      <c r="J724" s="123"/>
      <c r="K724" s="152"/>
      <c r="L724" s="123"/>
      <c r="M724" s="152"/>
      <c r="N724" s="123"/>
      <c r="O724" s="152"/>
      <c r="P724" s="123"/>
      <c r="Q724" s="152"/>
      <c r="R724" s="123"/>
      <c r="S724" s="119"/>
      <c r="T724" s="132"/>
    </row>
    <row r="725" spans="2:20" hidden="1">
      <c r="B725" s="144"/>
      <c r="C725" s="154"/>
      <c r="D725" s="146"/>
      <c r="E725" s="154"/>
      <c r="F725" s="146"/>
      <c r="G725" s="154"/>
      <c r="H725" s="146"/>
      <c r="I725" s="154"/>
      <c r="J725" s="146"/>
      <c r="K725" s="154"/>
      <c r="L725" s="146"/>
      <c r="M725" s="154"/>
      <c r="N725" s="146"/>
      <c r="O725" s="154"/>
      <c r="P725" s="146"/>
      <c r="Q725" s="154"/>
      <c r="R725" s="146"/>
      <c r="S725" s="119"/>
      <c r="T725" s="132"/>
    </row>
    <row r="726" spans="2:20" hidden="1">
      <c r="B726" s="119"/>
      <c r="C726" s="118"/>
      <c r="D726" s="123"/>
      <c r="E726" s="118"/>
      <c r="F726" s="123"/>
      <c r="G726" s="118"/>
      <c r="H726" s="123"/>
      <c r="I726" s="118"/>
      <c r="J726" s="123"/>
      <c r="K726" s="118"/>
      <c r="L726" s="123"/>
      <c r="M726" s="152"/>
      <c r="N726" s="123"/>
      <c r="O726" s="123"/>
      <c r="P726" s="123"/>
      <c r="Q726" s="180"/>
      <c r="R726" s="123"/>
      <c r="S726" s="119"/>
      <c r="T726" s="132"/>
    </row>
    <row r="727" spans="2:20" ht="15.75" hidden="1" thickBot="1">
      <c r="C727" s="118"/>
      <c r="D727" s="124"/>
      <c r="E727" s="118"/>
      <c r="G727" s="125"/>
      <c r="H727" s="119"/>
      <c r="I727" s="122"/>
      <c r="J727" s="119"/>
      <c r="K727" s="122"/>
      <c r="L727" s="119"/>
      <c r="M727" s="122"/>
      <c r="N727" s="119"/>
      <c r="O727" s="119"/>
      <c r="P727" s="119"/>
      <c r="Q727" s="180"/>
      <c r="R727" s="123"/>
      <c r="S727" s="119"/>
      <c r="T727" s="132"/>
    </row>
    <row r="728" spans="2:20" ht="18.75" hidden="1" thickBot="1">
      <c r="B728" s="1320" t="s">
        <v>34</v>
      </c>
      <c r="C728" s="1321"/>
      <c r="D728" s="1321"/>
      <c r="E728" s="1321"/>
      <c r="F728" s="1321"/>
      <c r="G728" s="1321"/>
      <c r="H728" s="1321"/>
      <c r="I728" s="1321"/>
      <c r="J728" s="502">
        <v>10.73</v>
      </c>
      <c r="K728" s="503" t="s">
        <v>20</v>
      </c>
      <c r="L728" s="363"/>
      <c r="M728" s="509"/>
      <c r="N728" s="363"/>
      <c r="O728" s="503" t="s">
        <v>17</v>
      </c>
      <c r="P728" s="478"/>
      <c r="Q728" s="180"/>
      <c r="R728" s="123"/>
      <c r="S728" s="119"/>
      <c r="T728" s="132"/>
    </row>
    <row r="729" spans="2:20" ht="15.75" hidden="1" thickBot="1">
      <c r="B729" s="1312">
        <v>1994</v>
      </c>
      <c r="C729" s="1313"/>
      <c r="D729" s="479" t="s">
        <v>15</v>
      </c>
      <c r="E729" s="479">
        <v>1995</v>
      </c>
      <c r="F729" s="479" t="s">
        <v>15</v>
      </c>
      <c r="G729" s="479">
        <v>1996</v>
      </c>
      <c r="H729" s="479" t="s">
        <v>15</v>
      </c>
      <c r="I729" s="479">
        <v>1997</v>
      </c>
      <c r="J729" s="479" t="s">
        <v>15</v>
      </c>
      <c r="K729" s="479">
        <v>1998</v>
      </c>
      <c r="L729" s="479" t="s">
        <v>15</v>
      </c>
      <c r="M729" s="479">
        <v>1999</v>
      </c>
      <c r="N729" s="479" t="s">
        <v>15</v>
      </c>
      <c r="O729" s="514">
        <v>2000</v>
      </c>
      <c r="P729" s="515" t="s">
        <v>15</v>
      </c>
      <c r="S729" s="124"/>
      <c r="T729" s="124"/>
    </row>
    <row r="730" spans="2:20" hidden="1">
      <c r="B730" s="306" t="s">
        <v>0</v>
      </c>
      <c r="C730" s="307"/>
      <c r="D730" s="308"/>
      <c r="E730" s="307">
        <v>14.9</v>
      </c>
      <c r="F730" s="308">
        <f>14.9*100/$J$728</f>
        <v>138.86300093196644</v>
      </c>
      <c r="G730" s="307">
        <v>17.329999999999998</v>
      </c>
      <c r="H730" s="308">
        <f>17.33*100/$J$728</f>
        <v>161.50978564771665</v>
      </c>
      <c r="I730" s="307">
        <v>16.329999999999998</v>
      </c>
      <c r="J730" s="308">
        <f>16.33*100/$J$728</f>
        <v>152.19012115563837</v>
      </c>
      <c r="K730" s="307">
        <v>16.5</v>
      </c>
      <c r="L730" s="308">
        <f>16.5*100/$J$728</f>
        <v>153.77446411929171</v>
      </c>
      <c r="M730" s="307">
        <v>15.72</v>
      </c>
      <c r="N730" s="308">
        <f>15.72*100/$J$728</f>
        <v>146.50512581547065</v>
      </c>
      <c r="O730" s="504">
        <v>18.850000000000001</v>
      </c>
      <c r="P730" s="309">
        <f>100*O730/J728</f>
        <v>175.67567567567568</v>
      </c>
      <c r="S730" s="119"/>
      <c r="T730" s="132"/>
    </row>
    <row r="731" spans="2:20" hidden="1">
      <c r="B731" s="310" t="s">
        <v>1</v>
      </c>
      <c r="C731" s="311"/>
      <c r="D731" s="312"/>
      <c r="E731" s="311">
        <v>13.74</v>
      </c>
      <c r="F731" s="312">
        <f>100*13.74/$J$728</f>
        <v>128.05219012115563</v>
      </c>
      <c r="G731" s="311">
        <v>16.329999999999998</v>
      </c>
      <c r="H731" s="312">
        <f>16.33*100/$J$728</f>
        <v>152.19012115563837</v>
      </c>
      <c r="I731" s="311">
        <v>18.170000000000002</v>
      </c>
      <c r="J731" s="312">
        <f>18.17*100/$J$728</f>
        <v>169.33830382106245</v>
      </c>
      <c r="K731" s="311">
        <v>17.75</v>
      </c>
      <c r="L731" s="312">
        <f>17.75*100/$J$728</f>
        <v>165.42404473438955</v>
      </c>
      <c r="M731" s="311">
        <v>15.06</v>
      </c>
      <c r="N731" s="312">
        <f>15.06*100/$J$728</f>
        <v>140.35414725069896</v>
      </c>
      <c r="O731" s="433">
        <v>14.93</v>
      </c>
      <c r="P731" s="313">
        <f>100*O731/J728</f>
        <v>139.1425908667288</v>
      </c>
      <c r="S731" s="119"/>
      <c r="T731" s="132"/>
    </row>
    <row r="732" spans="2:20" hidden="1">
      <c r="B732" s="310" t="s">
        <v>2</v>
      </c>
      <c r="C732" s="311"/>
      <c r="D732" s="312"/>
      <c r="E732" s="311">
        <v>15.4</v>
      </c>
      <c r="F732" s="312">
        <f>100*15.4/$J$728</f>
        <v>143.52283317800558</v>
      </c>
      <c r="G732" s="311">
        <v>24.02</v>
      </c>
      <c r="H732" s="312">
        <f>24.02*100/$J$728</f>
        <v>223.85834109972041</v>
      </c>
      <c r="I732" s="311">
        <v>18.05</v>
      </c>
      <c r="J732" s="312">
        <f>18.05*100/$J$728</f>
        <v>168.21994408201303</v>
      </c>
      <c r="K732" s="311">
        <v>14.55</v>
      </c>
      <c r="L732" s="312">
        <f>14.55*100/$J$728</f>
        <v>135.60111835973905</v>
      </c>
      <c r="M732" s="311">
        <v>15.62</v>
      </c>
      <c r="N732" s="312">
        <f>15.62*100/$J$728</f>
        <v>145.57315936626281</v>
      </c>
      <c r="O732" s="433">
        <v>18.64</v>
      </c>
      <c r="P732" s="313">
        <f>100*O732/J728</f>
        <v>173.71854613233924</v>
      </c>
      <c r="S732" s="119"/>
      <c r="T732" s="132"/>
    </row>
    <row r="733" spans="2:20" ht="15.75" hidden="1" thickBot="1">
      <c r="B733" s="310" t="s">
        <v>3</v>
      </c>
      <c r="C733" s="311"/>
      <c r="D733" s="312"/>
      <c r="E733" s="311">
        <v>18.14</v>
      </c>
      <c r="F733" s="312">
        <f>100*18.14/$J$728</f>
        <v>169.0587138863001</v>
      </c>
      <c r="G733" s="311">
        <v>18.850000000000001</v>
      </c>
      <c r="H733" s="312">
        <f>100*18.85/$J$728</f>
        <v>175.67567567567568</v>
      </c>
      <c r="I733" s="311">
        <v>16.899999999999999</v>
      </c>
      <c r="J733" s="312">
        <f>16.9*100/$J$728</f>
        <v>157.50232991612299</v>
      </c>
      <c r="K733" s="311">
        <v>15.24</v>
      </c>
      <c r="L733" s="312">
        <f>15.24*100/$J$728</f>
        <v>142.03168685927307</v>
      </c>
      <c r="M733" s="311">
        <v>15.25</v>
      </c>
      <c r="N733" s="312">
        <f>15.25*100/$J$728</f>
        <v>142.12488350419383</v>
      </c>
      <c r="O733" s="505" t="s">
        <v>59</v>
      </c>
      <c r="P733" s="317"/>
      <c r="S733" s="119"/>
      <c r="T733" s="132"/>
    </row>
    <row r="734" spans="2:20" hidden="1">
      <c r="B734" s="310" t="s">
        <v>4</v>
      </c>
      <c r="C734" s="311"/>
      <c r="D734" s="312"/>
      <c r="E734" s="311">
        <v>18.27</v>
      </c>
      <c r="F734" s="312">
        <f>100*18.27/$J$728</f>
        <v>170.27027027027026</v>
      </c>
      <c r="G734" s="311">
        <v>26.93</v>
      </c>
      <c r="H734" s="312">
        <f>26.93*100/$J$728</f>
        <v>250.9785647716682</v>
      </c>
      <c r="I734" s="311">
        <v>17.489999999999998</v>
      </c>
      <c r="J734" s="312">
        <f>17.49*100/$J$728</f>
        <v>163.00093196644917</v>
      </c>
      <c r="K734" s="311">
        <v>13.83</v>
      </c>
      <c r="L734" s="312">
        <f>13.83*100/$J$728</f>
        <v>128.89095992544267</v>
      </c>
      <c r="M734" s="311">
        <v>27.42</v>
      </c>
      <c r="N734" s="313">
        <f>27.42*100/$J$728</f>
        <v>255.54520037278658</v>
      </c>
      <c r="O734" s="123"/>
      <c r="P734" s="180"/>
      <c r="S734" s="119"/>
      <c r="T734" s="132"/>
    </row>
    <row r="735" spans="2:20" hidden="1">
      <c r="B735" s="310" t="s">
        <v>5</v>
      </c>
      <c r="C735" s="311"/>
      <c r="D735" s="312"/>
      <c r="E735" s="311">
        <v>15.49</v>
      </c>
      <c r="F735" s="312">
        <f>100*15.49/$J$728</f>
        <v>144.36160298229262</v>
      </c>
      <c r="G735" s="311">
        <v>16.760000000000002</v>
      </c>
      <c r="H735" s="312">
        <f>16.76*100/$J$728</f>
        <v>156.19757688723209</v>
      </c>
      <c r="I735" s="311">
        <v>14.46</v>
      </c>
      <c r="J735" s="312">
        <f>14.46*100/$J$728</f>
        <v>134.76234855545201</v>
      </c>
      <c r="K735" s="311">
        <v>13.76</v>
      </c>
      <c r="L735" s="312">
        <f>13.76*100/$J$728</f>
        <v>128.23858341099719</v>
      </c>
      <c r="M735" s="311">
        <v>17.649999999999999</v>
      </c>
      <c r="N735" s="313">
        <f>17.76*100/$J$728</f>
        <v>165.51724137931035</v>
      </c>
      <c r="O735" s="123"/>
      <c r="P735" s="180"/>
      <c r="S735" s="119"/>
      <c r="T735" s="132"/>
    </row>
    <row r="736" spans="2:20" hidden="1">
      <c r="B736" s="310" t="s">
        <v>6</v>
      </c>
      <c r="C736" s="311">
        <v>10.73</v>
      </c>
      <c r="D736" s="312">
        <f>100*$J$728/$J$728</f>
        <v>100</v>
      </c>
      <c r="E736" s="311">
        <v>17.350000000000001</v>
      </c>
      <c r="F736" s="312">
        <f>100*17.35/$J$728</f>
        <v>161.69617893755827</v>
      </c>
      <c r="G736" s="311">
        <v>16.5</v>
      </c>
      <c r="H736" s="312">
        <f>16.5*100/$J$728</f>
        <v>153.77446411929171</v>
      </c>
      <c r="I736" s="311">
        <v>15.42</v>
      </c>
      <c r="J736" s="312">
        <f>15.42*100/$J$728</f>
        <v>143.70922646784715</v>
      </c>
      <c r="K736" s="311">
        <v>16.489999999999998</v>
      </c>
      <c r="L736" s="312">
        <f>16.49*100/$J$728</f>
        <v>153.68126747437088</v>
      </c>
      <c r="M736" s="311">
        <v>12.47</v>
      </c>
      <c r="N736" s="313">
        <f>$M$736*100/10.73</f>
        <v>116.21621621621621</v>
      </c>
      <c r="O736" s="123"/>
      <c r="P736" s="180"/>
      <c r="S736" s="119"/>
      <c r="T736" s="132"/>
    </row>
    <row r="737" spans="2:20" hidden="1">
      <c r="B737" s="310" t="s">
        <v>7</v>
      </c>
      <c r="C737" s="311">
        <v>14.4</v>
      </c>
      <c r="D737" s="312">
        <f>100*14.4/$J$728</f>
        <v>134.2031686859273</v>
      </c>
      <c r="E737" s="311">
        <v>17.23</v>
      </c>
      <c r="F737" s="312">
        <f>100*17.23/$J$728</f>
        <v>160.57781919850885</v>
      </c>
      <c r="G737" s="311">
        <v>15.51</v>
      </c>
      <c r="H737" s="312">
        <f>15.51*100/$J$728</f>
        <v>144.54799627213418</v>
      </c>
      <c r="I737" s="311">
        <v>14.69</v>
      </c>
      <c r="J737" s="312">
        <f>14.69*100/$J$728</f>
        <v>136.90587138863</v>
      </c>
      <c r="K737" s="311">
        <v>14.81</v>
      </c>
      <c r="L737" s="312">
        <f>14.81*100/$J$728</f>
        <v>138.0242311276794</v>
      </c>
      <c r="M737" s="311">
        <v>18.149999999999999</v>
      </c>
      <c r="N737" s="313">
        <f>M737*100/10.73</f>
        <v>169.15191053122084</v>
      </c>
      <c r="O737" s="123"/>
      <c r="P737" s="180"/>
      <c r="S737" s="119"/>
      <c r="T737" s="132"/>
    </row>
    <row r="738" spans="2:20" hidden="1">
      <c r="B738" s="310" t="s">
        <v>8</v>
      </c>
      <c r="C738" s="311">
        <v>15.25</v>
      </c>
      <c r="D738" s="312">
        <f>100*15.25/$J$728</f>
        <v>142.12488350419383</v>
      </c>
      <c r="E738" s="311">
        <v>17.78</v>
      </c>
      <c r="F738" s="312">
        <f>100*17.78/$J$728</f>
        <v>165.70363466915191</v>
      </c>
      <c r="G738" s="311">
        <v>17.309999999999999</v>
      </c>
      <c r="H738" s="312">
        <f>17.31*100/$J$728</f>
        <v>161.32339235787509</v>
      </c>
      <c r="I738" s="311">
        <v>17.03</v>
      </c>
      <c r="J738" s="312">
        <f>17.03*100/$J$728</f>
        <v>158.71388630009318</v>
      </c>
      <c r="K738" s="311">
        <v>15.75</v>
      </c>
      <c r="L738" s="312">
        <f>15.75*100/$J$728</f>
        <v>146.78471575023298</v>
      </c>
      <c r="M738" s="311">
        <v>15.95</v>
      </c>
      <c r="N738" s="313">
        <f>M738*100/10.73</f>
        <v>148.64864864864865</v>
      </c>
      <c r="O738" s="123"/>
      <c r="P738" s="180"/>
      <c r="S738" s="119"/>
      <c r="T738" s="132"/>
    </row>
    <row r="739" spans="2:20" hidden="1">
      <c r="B739" s="310" t="s">
        <v>9</v>
      </c>
      <c r="C739" s="311">
        <v>16.02</v>
      </c>
      <c r="D739" s="312">
        <f>100*16.02/$J$728</f>
        <v>149.30102516309412</v>
      </c>
      <c r="E739" s="311">
        <v>17.32</v>
      </c>
      <c r="F739" s="312">
        <f>100*17.32/$J$728</f>
        <v>161.41658900279589</v>
      </c>
      <c r="G739" s="311">
        <v>16.440000000000001</v>
      </c>
      <c r="H739" s="312">
        <f>16.44*100/$J$728</f>
        <v>153.21528424976702</v>
      </c>
      <c r="I739" s="311">
        <v>14</v>
      </c>
      <c r="J739" s="312">
        <f>14*100/$J$728</f>
        <v>130.47530288909599</v>
      </c>
      <c r="K739" s="311">
        <v>17.329999999999998</v>
      </c>
      <c r="L739" s="312">
        <f>17.33*100/$J$728</f>
        <v>161.50978564771665</v>
      </c>
      <c r="M739" s="311">
        <v>15.6</v>
      </c>
      <c r="N739" s="313">
        <f>M739*100/10.73</f>
        <v>145.38676607642125</v>
      </c>
      <c r="O739" s="123"/>
      <c r="P739" s="180"/>
      <c r="S739" s="119"/>
      <c r="T739" s="132"/>
    </row>
    <row r="740" spans="2:20" hidden="1">
      <c r="B740" s="310" t="s">
        <v>10</v>
      </c>
      <c r="C740" s="311">
        <v>12.7</v>
      </c>
      <c r="D740" s="312">
        <f>12.7*100/$J$728</f>
        <v>118.35973904939422</v>
      </c>
      <c r="E740" s="311">
        <v>25.54</v>
      </c>
      <c r="F740" s="312">
        <f>100*25.54/$J$728</f>
        <v>238.0242311276794</v>
      </c>
      <c r="G740" s="311">
        <v>12.2</v>
      </c>
      <c r="H740" s="312">
        <f>12.2*100/$J$728</f>
        <v>113.69990680335508</v>
      </c>
      <c r="I740" s="311">
        <v>14.1</v>
      </c>
      <c r="J740" s="312">
        <f>14.1*100/$J$728</f>
        <v>131.40726933830382</v>
      </c>
      <c r="K740" s="311">
        <v>15.64</v>
      </c>
      <c r="L740" s="312">
        <f>100*15.64/$J$728</f>
        <v>145.75955265610438</v>
      </c>
      <c r="M740" s="311">
        <v>15.64</v>
      </c>
      <c r="N740" s="313">
        <f>M740*100/10.73</f>
        <v>145.75955265610438</v>
      </c>
      <c r="O740" s="123"/>
      <c r="P740" s="180"/>
      <c r="S740" s="119"/>
      <c r="T740" s="132"/>
    </row>
    <row r="741" spans="2:20" ht="15.75" hidden="1" thickBot="1">
      <c r="B741" s="314" t="s">
        <v>11</v>
      </c>
      <c r="C741" s="315">
        <v>14.21</v>
      </c>
      <c r="D741" s="316">
        <f>14.21*100/$J$728</f>
        <v>132.43243243243242</v>
      </c>
      <c r="E741" s="315">
        <v>16.16</v>
      </c>
      <c r="F741" s="316">
        <f>16.16*100/$J$728</f>
        <v>150.60577819198508</v>
      </c>
      <c r="G741" s="315">
        <v>18.670000000000002</v>
      </c>
      <c r="H741" s="316">
        <f>18.67*100/$J$728</f>
        <v>173.9981360671016</v>
      </c>
      <c r="I741" s="315">
        <v>19.600000000000001</v>
      </c>
      <c r="J741" s="316">
        <f>19.6*100/$J$728</f>
        <v>182.66542404473441</v>
      </c>
      <c r="K741" s="315">
        <v>16.7</v>
      </c>
      <c r="L741" s="316">
        <f>16.7*100/$J$728</f>
        <v>155.63839701770735</v>
      </c>
      <c r="M741" s="315">
        <v>16.05</v>
      </c>
      <c r="N741" s="317">
        <f>M741*100/10.73</f>
        <v>149.58061509785648</v>
      </c>
      <c r="O741" s="123"/>
      <c r="P741" s="180"/>
      <c r="S741" s="119"/>
      <c r="T741" s="132"/>
    </row>
    <row r="742" spans="2:20" ht="15.75" hidden="1" thickBot="1">
      <c r="B742" s="167"/>
      <c r="C742" s="168"/>
      <c r="D742" s="182"/>
      <c r="E742" s="168"/>
      <c r="F742" s="167"/>
      <c r="G742" s="173"/>
      <c r="H742" s="167"/>
      <c r="I742" s="173"/>
      <c r="J742" s="167"/>
      <c r="K742" s="173"/>
      <c r="L742" s="167"/>
      <c r="M742" s="173"/>
      <c r="N742" s="167"/>
      <c r="O742" s="167"/>
      <c r="P742" s="167"/>
      <c r="Q742" s="180"/>
      <c r="R742" s="123"/>
      <c r="S742" s="119"/>
      <c r="T742" s="132"/>
    </row>
    <row r="743" spans="2:20" ht="18" hidden="1" thickBot="1">
      <c r="B743" s="524" t="s">
        <v>200</v>
      </c>
      <c r="C743" s="525"/>
      <c r="D743" s="526"/>
      <c r="E743" s="526"/>
      <c r="F743" s="527"/>
      <c r="G743" s="363"/>
      <c r="H743" s="528">
        <v>15.08</v>
      </c>
      <c r="I743" s="529" t="s">
        <v>298</v>
      </c>
      <c r="J743" s="526"/>
      <c r="K743" s="530"/>
      <c r="L743" s="529" t="s">
        <v>39</v>
      </c>
      <c r="M743" s="526"/>
      <c r="N743" s="531"/>
      <c r="O743" s="167"/>
      <c r="P743" s="167"/>
      <c r="Q743" s="180"/>
      <c r="R743" s="123"/>
      <c r="S743" s="119"/>
      <c r="T743" s="132"/>
    </row>
    <row r="744" spans="2:20" ht="15.75" hidden="1" thickBot="1">
      <c r="B744" s="1306">
        <v>2000</v>
      </c>
      <c r="C744" s="1307"/>
      <c r="D744" s="336" t="s">
        <v>15</v>
      </c>
      <c r="E744" s="336">
        <v>2001</v>
      </c>
      <c r="F744" s="336" t="s">
        <v>15</v>
      </c>
      <c r="G744" s="336">
        <v>2002</v>
      </c>
      <c r="H744" s="336" t="s">
        <v>15</v>
      </c>
      <c r="I744" s="336">
        <v>2003</v>
      </c>
      <c r="J744" s="336" t="s">
        <v>15</v>
      </c>
      <c r="K744" s="336">
        <v>2004</v>
      </c>
      <c r="L744" s="336" t="s">
        <v>15</v>
      </c>
      <c r="M744" s="336">
        <v>2005</v>
      </c>
      <c r="N744" s="354" t="s">
        <v>15</v>
      </c>
      <c r="O744" s="182"/>
      <c r="P744" s="182"/>
      <c r="S744" s="119"/>
      <c r="T744" s="132"/>
    </row>
    <row r="745" spans="2:20" hidden="1">
      <c r="B745" s="306" t="s">
        <v>0</v>
      </c>
      <c r="C745" s="307"/>
      <c r="D745" s="308"/>
      <c r="E745" s="307">
        <v>15.96</v>
      </c>
      <c r="F745" s="308">
        <f t="shared" ref="F745:F756" si="747">100*E745/$H$743</f>
        <v>105.83554376657825</v>
      </c>
      <c r="G745" s="307">
        <v>17.399999999999999</v>
      </c>
      <c r="H745" s="308">
        <f t="shared" ref="H745:H756" si="748">100*G745/$H$743</f>
        <v>115.38461538461537</v>
      </c>
      <c r="I745" s="307">
        <v>22</v>
      </c>
      <c r="J745" s="308">
        <f t="shared" ref="J745:J756" si="749">100*I745/$H$743</f>
        <v>145.88859416445624</v>
      </c>
      <c r="K745" s="307">
        <v>26.31</v>
      </c>
      <c r="L745" s="308">
        <f t="shared" ref="L745:L756" si="750">100*K745/$H$743</f>
        <v>174.46949602122015</v>
      </c>
      <c r="M745" s="307">
        <v>38.799999999999997</v>
      </c>
      <c r="N745" s="309">
        <f t="shared" ref="N745:N756" si="751">100*M745/$H$743</f>
        <v>257.29442970822276</v>
      </c>
      <c r="O745" s="171"/>
      <c r="P745" s="171"/>
      <c r="S745" s="119"/>
      <c r="T745" s="132"/>
    </row>
    <row r="746" spans="2:20" hidden="1">
      <c r="B746" s="310" t="s">
        <v>1</v>
      </c>
      <c r="C746" s="311"/>
      <c r="D746" s="312"/>
      <c r="E746" s="311">
        <v>17</v>
      </c>
      <c r="F746" s="312">
        <f t="shared" si="747"/>
        <v>112.73209549071618</v>
      </c>
      <c r="G746" s="311">
        <v>20</v>
      </c>
      <c r="H746" s="312">
        <f t="shared" si="748"/>
        <v>132.62599469496021</v>
      </c>
      <c r="I746" s="311">
        <v>21.76</v>
      </c>
      <c r="J746" s="312">
        <f t="shared" si="749"/>
        <v>144.29708222811672</v>
      </c>
      <c r="K746" s="311">
        <v>38.44</v>
      </c>
      <c r="L746" s="312">
        <f t="shared" si="750"/>
        <v>254.90716180371354</v>
      </c>
      <c r="M746" s="311">
        <v>39.700000000000003</v>
      </c>
      <c r="N746" s="313">
        <f t="shared" si="751"/>
        <v>263.26259946949602</v>
      </c>
      <c r="O746" s="171"/>
      <c r="P746" s="171"/>
      <c r="S746" s="119"/>
      <c r="T746" s="132"/>
    </row>
    <row r="747" spans="2:20" hidden="1">
      <c r="B747" s="310" t="s">
        <v>2</v>
      </c>
      <c r="C747" s="311"/>
      <c r="D747" s="312"/>
      <c r="E747" s="311">
        <v>23</v>
      </c>
      <c r="F747" s="312">
        <f t="shared" si="747"/>
        <v>152.51989389920425</v>
      </c>
      <c r="G747" s="311">
        <v>21.18</v>
      </c>
      <c r="H747" s="312">
        <f t="shared" si="748"/>
        <v>140.45092838196285</v>
      </c>
      <c r="I747" s="311">
        <v>28.8</v>
      </c>
      <c r="J747" s="312">
        <f t="shared" si="749"/>
        <v>190.9814323607427</v>
      </c>
      <c r="K747" s="311">
        <v>38.6</v>
      </c>
      <c r="L747" s="312">
        <f t="shared" si="750"/>
        <v>255.9681697612732</v>
      </c>
      <c r="M747" s="311">
        <v>42.06</v>
      </c>
      <c r="N747" s="313">
        <f t="shared" si="751"/>
        <v>278.91246684350131</v>
      </c>
      <c r="O747" s="171"/>
      <c r="P747" s="171"/>
      <c r="S747" s="119"/>
      <c r="T747" s="132"/>
    </row>
    <row r="748" spans="2:20" hidden="1">
      <c r="B748" s="310" t="s">
        <v>3</v>
      </c>
      <c r="C748" s="311">
        <v>15.08</v>
      </c>
      <c r="D748" s="312">
        <v>100</v>
      </c>
      <c r="E748" s="311">
        <v>15.42</v>
      </c>
      <c r="F748" s="312">
        <f t="shared" si="747"/>
        <v>102.25464190981432</v>
      </c>
      <c r="G748" s="311">
        <v>18.5</v>
      </c>
      <c r="H748" s="312">
        <f t="shared" si="748"/>
        <v>122.67904509283819</v>
      </c>
      <c r="I748" s="311">
        <v>29.4</v>
      </c>
      <c r="J748" s="312">
        <f t="shared" si="749"/>
        <v>194.9602122015915</v>
      </c>
      <c r="K748" s="311">
        <v>35.25</v>
      </c>
      <c r="L748" s="312">
        <f t="shared" si="750"/>
        <v>233.75331564986737</v>
      </c>
      <c r="M748" s="311">
        <v>44.05</v>
      </c>
      <c r="N748" s="313">
        <f t="shared" si="751"/>
        <v>292.10875331564989</v>
      </c>
      <c r="O748" s="171"/>
      <c r="P748" s="171"/>
      <c r="S748" s="119"/>
      <c r="T748" s="132"/>
    </row>
    <row r="749" spans="2:20" hidden="1">
      <c r="B749" s="310" t="s">
        <v>4</v>
      </c>
      <c r="C749" s="311">
        <v>15.92</v>
      </c>
      <c r="D749" s="312">
        <f>100*((C749/150.08))</f>
        <v>10.607675906183369</v>
      </c>
      <c r="E749" s="311">
        <v>18</v>
      </c>
      <c r="F749" s="312">
        <f t="shared" si="747"/>
        <v>119.36339522546419</v>
      </c>
      <c r="G749" s="311">
        <v>23</v>
      </c>
      <c r="H749" s="312">
        <f t="shared" si="748"/>
        <v>152.51989389920425</v>
      </c>
      <c r="I749" s="311">
        <v>22</v>
      </c>
      <c r="J749" s="312">
        <f t="shared" si="749"/>
        <v>145.88859416445624</v>
      </c>
      <c r="K749" s="311">
        <v>33.42</v>
      </c>
      <c r="L749" s="312">
        <f t="shared" si="750"/>
        <v>221.61803713527851</v>
      </c>
      <c r="M749" s="311">
        <v>40.86</v>
      </c>
      <c r="N749" s="313">
        <f t="shared" si="751"/>
        <v>270.9549071618037</v>
      </c>
      <c r="O749" s="171"/>
      <c r="P749" s="171"/>
      <c r="S749" s="119"/>
      <c r="T749" s="132"/>
    </row>
    <row r="750" spans="2:20" hidden="1">
      <c r="B750" s="310" t="s">
        <v>5</v>
      </c>
      <c r="C750" s="311">
        <v>18.97</v>
      </c>
      <c r="D750" s="312">
        <f t="shared" ref="D750:D756" si="752">100*((C750/15.08))</f>
        <v>125.79575596816974</v>
      </c>
      <c r="E750" s="311">
        <v>22.5</v>
      </c>
      <c r="F750" s="312">
        <f t="shared" si="747"/>
        <v>149.20424403183023</v>
      </c>
      <c r="G750" s="311">
        <v>17</v>
      </c>
      <c r="H750" s="312">
        <f t="shared" si="748"/>
        <v>112.73209549071618</v>
      </c>
      <c r="I750" s="311">
        <v>22.54</v>
      </c>
      <c r="J750" s="312">
        <f t="shared" si="749"/>
        <v>149.46949602122015</v>
      </c>
      <c r="K750" s="311">
        <v>39.200000000000003</v>
      </c>
      <c r="L750" s="312">
        <f t="shared" si="750"/>
        <v>259.94694960212206</v>
      </c>
      <c r="M750" s="311">
        <v>41.93</v>
      </c>
      <c r="N750" s="313">
        <f t="shared" si="751"/>
        <v>278.0503978779841</v>
      </c>
      <c r="O750" s="171"/>
      <c r="P750" s="171"/>
      <c r="S750" s="119"/>
      <c r="T750" s="132"/>
    </row>
    <row r="751" spans="2:20" hidden="1">
      <c r="B751" s="310" t="s">
        <v>6</v>
      </c>
      <c r="C751" s="311">
        <v>14.37</v>
      </c>
      <c r="D751" s="312">
        <f t="shared" si="752"/>
        <v>95.291777188328908</v>
      </c>
      <c r="E751" s="311">
        <v>20.8</v>
      </c>
      <c r="F751" s="312">
        <f t="shared" si="747"/>
        <v>137.93103448275863</v>
      </c>
      <c r="G751" s="311">
        <v>18.98</v>
      </c>
      <c r="H751" s="312">
        <f t="shared" si="748"/>
        <v>125.86206896551724</v>
      </c>
      <c r="I751" s="311">
        <v>20.75</v>
      </c>
      <c r="J751" s="312">
        <f t="shared" si="749"/>
        <v>137.59946949602121</v>
      </c>
      <c r="K751" s="311">
        <v>40.5</v>
      </c>
      <c r="L751" s="312">
        <f t="shared" si="750"/>
        <v>268.56763925729445</v>
      </c>
      <c r="M751" s="311">
        <v>21.29</v>
      </c>
      <c r="N751" s="313">
        <f t="shared" si="751"/>
        <v>141.18037135278516</v>
      </c>
      <c r="O751" s="171"/>
      <c r="P751" s="171"/>
      <c r="S751" s="119"/>
      <c r="T751" s="132"/>
    </row>
    <row r="752" spans="2:20" hidden="1">
      <c r="B752" s="310" t="s">
        <v>7</v>
      </c>
      <c r="C752" s="311">
        <v>14.4</v>
      </c>
      <c r="D752" s="312">
        <f t="shared" si="752"/>
        <v>95.490716180371365</v>
      </c>
      <c r="E752" s="311">
        <v>17.86</v>
      </c>
      <c r="F752" s="312">
        <f t="shared" si="747"/>
        <v>118.43501326259947</v>
      </c>
      <c r="G752" s="311">
        <v>23.13</v>
      </c>
      <c r="H752" s="312">
        <f t="shared" si="748"/>
        <v>153.38196286472149</v>
      </c>
      <c r="I752" s="311">
        <v>25.93</v>
      </c>
      <c r="J752" s="312">
        <f t="shared" si="749"/>
        <v>171.9496021220159</v>
      </c>
      <c r="K752" s="311">
        <v>37.9</v>
      </c>
      <c r="L752" s="312">
        <f t="shared" si="750"/>
        <v>251.32625994694959</v>
      </c>
      <c r="M752" s="311">
        <v>22.01</v>
      </c>
      <c r="N752" s="313">
        <f t="shared" si="751"/>
        <v>145.9549071618037</v>
      </c>
      <c r="O752" s="171"/>
      <c r="P752" s="171"/>
      <c r="S752" s="119"/>
      <c r="T752" s="132"/>
    </row>
    <row r="753" spans="2:20" hidden="1">
      <c r="B753" s="310" t="s">
        <v>8</v>
      </c>
      <c r="C753" s="311">
        <v>19.37</v>
      </c>
      <c r="D753" s="312">
        <f t="shared" si="752"/>
        <v>128.44827586206898</v>
      </c>
      <c r="E753" s="311">
        <v>17.18</v>
      </c>
      <c r="F753" s="312">
        <f t="shared" si="747"/>
        <v>113.92572944297082</v>
      </c>
      <c r="G753" s="311">
        <v>22.2</v>
      </c>
      <c r="H753" s="312">
        <f t="shared" si="748"/>
        <v>147.21485411140583</v>
      </c>
      <c r="I753" s="311">
        <v>26.62</v>
      </c>
      <c r="J753" s="312">
        <f t="shared" si="749"/>
        <v>176.52519893899205</v>
      </c>
      <c r="K753" s="311">
        <v>41.2</v>
      </c>
      <c r="L753" s="312">
        <f t="shared" si="750"/>
        <v>273.20954907161803</v>
      </c>
      <c r="M753" s="311">
        <v>24.24</v>
      </c>
      <c r="N753" s="313">
        <f t="shared" si="751"/>
        <v>160.74270557029178</v>
      </c>
      <c r="O753" s="171"/>
      <c r="P753" s="171"/>
      <c r="S753" s="119"/>
      <c r="T753" s="132"/>
    </row>
    <row r="754" spans="2:20" hidden="1">
      <c r="B754" s="310" t="s">
        <v>9</v>
      </c>
      <c r="C754" s="311">
        <v>13.28</v>
      </c>
      <c r="D754" s="312">
        <f t="shared" si="752"/>
        <v>88.063660477453581</v>
      </c>
      <c r="E754" s="311">
        <v>15.33</v>
      </c>
      <c r="F754" s="312">
        <f t="shared" si="747"/>
        <v>101.657824933687</v>
      </c>
      <c r="G754" s="311">
        <v>20.350000000000001</v>
      </c>
      <c r="H754" s="312">
        <f t="shared" si="748"/>
        <v>134.94694960212203</v>
      </c>
      <c r="I754" s="311">
        <v>26.83</v>
      </c>
      <c r="J754" s="312">
        <f t="shared" si="749"/>
        <v>177.91777188328913</v>
      </c>
      <c r="K754" s="311">
        <v>39.049999999999997</v>
      </c>
      <c r="L754" s="312">
        <f t="shared" si="750"/>
        <v>258.9522546419098</v>
      </c>
      <c r="M754" s="311">
        <v>23.17</v>
      </c>
      <c r="N754" s="313">
        <f t="shared" si="751"/>
        <v>153.64721485411141</v>
      </c>
      <c r="O754" s="171"/>
      <c r="P754" s="171"/>
      <c r="S754" s="119"/>
      <c r="T754" s="132"/>
    </row>
    <row r="755" spans="2:20" hidden="1">
      <c r="B755" s="310" t="s">
        <v>10</v>
      </c>
      <c r="C755" s="311">
        <v>18.16</v>
      </c>
      <c r="D755" s="312">
        <f t="shared" si="752"/>
        <v>120.42440318302387</v>
      </c>
      <c r="E755" s="311">
        <v>18.93</v>
      </c>
      <c r="F755" s="312">
        <f t="shared" si="747"/>
        <v>125.53050397877983</v>
      </c>
      <c r="G755" s="311">
        <v>26.5</v>
      </c>
      <c r="H755" s="312">
        <f t="shared" si="748"/>
        <v>175.72944297082228</v>
      </c>
      <c r="I755" s="311">
        <v>22.86</v>
      </c>
      <c r="J755" s="312">
        <f t="shared" si="749"/>
        <v>151.59151193633951</v>
      </c>
      <c r="K755" s="311">
        <v>39.380000000000003</v>
      </c>
      <c r="L755" s="312">
        <f t="shared" si="750"/>
        <v>261.14058355437669</v>
      </c>
      <c r="M755" s="311">
        <v>23.21</v>
      </c>
      <c r="N755" s="313">
        <f t="shared" si="751"/>
        <v>153.91246684350133</v>
      </c>
      <c r="O755" s="171"/>
      <c r="P755" s="171"/>
      <c r="S755" s="119"/>
      <c r="T755" s="132"/>
    </row>
    <row r="756" spans="2:20" ht="15.75" hidden="1" thickBot="1">
      <c r="B756" s="314" t="s">
        <v>11</v>
      </c>
      <c r="C756" s="315">
        <v>15.71</v>
      </c>
      <c r="D756" s="316">
        <f t="shared" si="752"/>
        <v>104.17771883289124</v>
      </c>
      <c r="E756" s="315">
        <v>17.75</v>
      </c>
      <c r="F756" s="316">
        <f t="shared" si="747"/>
        <v>117.70557029177719</v>
      </c>
      <c r="G756" s="315">
        <v>17.600000000000001</v>
      </c>
      <c r="H756" s="316">
        <f t="shared" si="748"/>
        <v>116.71087533156501</v>
      </c>
      <c r="I756" s="315">
        <v>17.5</v>
      </c>
      <c r="J756" s="316">
        <f t="shared" si="749"/>
        <v>116.04774535809018</v>
      </c>
      <c r="K756" s="315">
        <v>40.43</v>
      </c>
      <c r="L756" s="316">
        <f t="shared" si="750"/>
        <v>268.10344827586209</v>
      </c>
      <c r="M756" s="315">
        <v>24.85</v>
      </c>
      <c r="N756" s="317">
        <f t="shared" si="751"/>
        <v>164.78779840848807</v>
      </c>
      <c r="O756" s="171"/>
      <c r="P756" s="171"/>
      <c r="S756" s="119"/>
      <c r="T756" s="132"/>
    </row>
    <row r="757" spans="2:20" ht="15.75" hidden="1" thickBot="1">
      <c r="B757" s="119"/>
      <c r="C757" s="118"/>
      <c r="D757" s="123"/>
      <c r="E757" s="118"/>
      <c r="F757" s="123"/>
      <c r="G757" s="118"/>
      <c r="H757" s="123"/>
      <c r="I757" s="118"/>
      <c r="J757" s="123"/>
      <c r="K757" s="118"/>
      <c r="L757" s="123"/>
      <c r="M757" s="118"/>
      <c r="N757" s="123"/>
      <c r="O757" s="123"/>
      <c r="P757" s="123"/>
      <c r="Q757" s="118"/>
      <c r="R757" s="123"/>
      <c r="S757" s="119"/>
      <c r="T757" s="132"/>
    </row>
    <row r="758" spans="2:20" ht="18" hidden="1" thickBot="1">
      <c r="B758" s="524" t="s">
        <v>200</v>
      </c>
      <c r="C758" s="525"/>
      <c r="D758" s="526"/>
      <c r="E758" s="526"/>
      <c r="F758" s="527"/>
      <c r="G758" s="363"/>
      <c r="H758" s="528">
        <v>15.08</v>
      </c>
      <c r="I758" s="529" t="s">
        <v>298</v>
      </c>
      <c r="J758" s="526"/>
      <c r="K758" s="530"/>
      <c r="L758" s="529" t="s">
        <v>39</v>
      </c>
      <c r="M758" s="526"/>
      <c r="N758" s="531"/>
      <c r="O758" s="123"/>
      <c r="P758" s="123"/>
      <c r="Q758" s="118"/>
      <c r="R758" s="123"/>
      <c r="S758" s="119"/>
      <c r="T758" s="132"/>
    </row>
    <row r="759" spans="2:20" ht="15.75" hidden="1" thickBot="1">
      <c r="B759" s="1306">
        <v>2006</v>
      </c>
      <c r="C759" s="1307"/>
      <c r="D759" s="336" t="s">
        <v>15</v>
      </c>
      <c r="E759" s="336">
        <v>2007</v>
      </c>
      <c r="F759" s="336" t="s">
        <v>15</v>
      </c>
      <c r="G759" s="336">
        <v>2008</v>
      </c>
      <c r="H759" s="336" t="s">
        <v>15</v>
      </c>
      <c r="I759" s="336">
        <v>2009</v>
      </c>
      <c r="J759" s="336" t="s">
        <v>15</v>
      </c>
      <c r="K759" s="336">
        <v>2010</v>
      </c>
      <c r="L759" s="336" t="s">
        <v>15</v>
      </c>
      <c r="M759" s="336">
        <v>2011</v>
      </c>
      <c r="N759" s="354" t="s">
        <v>15</v>
      </c>
      <c r="O759" s="123"/>
      <c r="P759" s="123"/>
      <c r="Q759" s="118"/>
      <c r="R759" s="123"/>
      <c r="S759" s="119"/>
      <c r="T759" s="132"/>
    </row>
    <row r="760" spans="2:20" hidden="1">
      <c r="B760" s="306" t="s">
        <v>0</v>
      </c>
      <c r="C760" s="307">
        <v>23.66</v>
      </c>
      <c r="D760" s="308">
        <f t="shared" ref="D760:D771" si="753">100*C760/$H$743</f>
        <v>156.89655172413794</v>
      </c>
      <c r="E760" s="307">
        <v>25.58</v>
      </c>
      <c r="F760" s="308">
        <f t="shared" ref="F760:F771" si="754">100*E760/$H$743</f>
        <v>169.62864721485411</v>
      </c>
      <c r="G760" s="307">
        <v>22.96</v>
      </c>
      <c r="H760" s="308">
        <f t="shared" ref="H760:H771" si="755">100*G760/$H$743</f>
        <v>152.25464190981432</v>
      </c>
      <c r="I760" s="307">
        <v>29</v>
      </c>
      <c r="J760" s="308">
        <f t="shared" ref="J760:J771" si="756">100*I760/$H$743</f>
        <v>192.30769230769232</v>
      </c>
      <c r="K760" s="307">
        <v>29</v>
      </c>
      <c r="L760" s="308">
        <f t="shared" ref="L760:L771" si="757">100*K760/$H$743</f>
        <v>192.30769230769232</v>
      </c>
      <c r="M760" s="307">
        <v>32.491666666666667</v>
      </c>
      <c r="N760" s="309">
        <f t="shared" ref="N760:N771" si="758">100*M760/$H$743</f>
        <v>215.46198054818743</v>
      </c>
      <c r="O760" s="123"/>
      <c r="P760" s="123"/>
      <c r="Q760" s="118"/>
      <c r="R760" s="123"/>
      <c r="S760" s="119"/>
      <c r="T760" s="132"/>
    </row>
    <row r="761" spans="2:20" hidden="1">
      <c r="B761" s="310" t="s">
        <v>1</v>
      </c>
      <c r="C761" s="311">
        <v>23.36</v>
      </c>
      <c r="D761" s="312">
        <f t="shared" si="753"/>
        <v>154.90716180371354</v>
      </c>
      <c r="E761" s="311">
        <v>25.5</v>
      </c>
      <c r="F761" s="312">
        <f t="shared" si="754"/>
        <v>169.09814323607426</v>
      </c>
      <c r="G761" s="311">
        <v>25.916666666666668</v>
      </c>
      <c r="H761" s="312">
        <f t="shared" si="755"/>
        <v>171.86118479221929</v>
      </c>
      <c r="I761" s="311">
        <v>28</v>
      </c>
      <c r="J761" s="312">
        <f t="shared" si="756"/>
        <v>185.67639257294431</v>
      </c>
      <c r="K761" s="311">
        <v>29</v>
      </c>
      <c r="L761" s="312">
        <f t="shared" si="757"/>
        <v>192.30769230769232</v>
      </c>
      <c r="M761" s="311">
        <v>38.487499999999997</v>
      </c>
      <c r="N761" s="313">
        <f t="shared" si="758"/>
        <v>255.22214854111402</v>
      </c>
      <c r="O761" s="123"/>
      <c r="P761" s="123"/>
      <c r="Q761" s="118"/>
      <c r="R761" s="123"/>
      <c r="S761" s="119"/>
      <c r="T761" s="132"/>
    </row>
    <row r="762" spans="2:20" hidden="1">
      <c r="B762" s="310" t="s">
        <v>2</v>
      </c>
      <c r="C762" s="311">
        <v>23.11</v>
      </c>
      <c r="D762" s="312">
        <f t="shared" si="753"/>
        <v>153.24933687002653</v>
      </c>
      <c r="E762" s="311">
        <v>25.5</v>
      </c>
      <c r="F762" s="312">
        <f t="shared" si="754"/>
        <v>169.09814323607426</v>
      </c>
      <c r="G762" s="311">
        <v>26</v>
      </c>
      <c r="H762" s="312">
        <f t="shared" si="755"/>
        <v>172.41379310344828</v>
      </c>
      <c r="I762" s="311">
        <v>28.4</v>
      </c>
      <c r="J762" s="312">
        <f t="shared" si="756"/>
        <v>188.32891246684349</v>
      </c>
      <c r="K762" s="311">
        <v>29</v>
      </c>
      <c r="L762" s="312">
        <f t="shared" si="757"/>
        <v>192.30769230769232</v>
      </c>
      <c r="M762" s="311">
        <v>38.487499999999997</v>
      </c>
      <c r="N762" s="313">
        <f t="shared" si="758"/>
        <v>255.22214854111402</v>
      </c>
      <c r="O762" s="123"/>
      <c r="P762" s="123"/>
      <c r="Q762" s="118"/>
      <c r="R762" s="123"/>
      <c r="S762" s="119"/>
      <c r="T762" s="132"/>
    </row>
    <row r="763" spans="2:20" hidden="1">
      <c r="B763" s="310" t="s">
        <v>3</v>
      </c>
      <c r="C763" s="311">
        <v>23.15</v>
      </c>
      <c r="D763" s="312">
        <f t="shared" si="753"/>
        <v>153.51458885941645</v>
      </c>
      <c r="E763" s="311">
        <v>25.79</v>
      </c>
      <c r="F763" s="312">
        <f t="shared" si="754"/>
        <v>171.0212201591512</v>
      </c>
      <c r="G763" s="311">
        <v>25.085714285714289</v>
      </c>
      <c r="H763" s="312">
        <f t="shared" si="755"/>
        <v>166.35089048882153</v>
      </c>
      <c r="I763" s="311">
        <v>28.67</v>
      </c>
      <c r="J763" s="312">
        <f t="shared" si="756"/>
        <v>190.11936339522546</v>
      </c>
      <c r="K763" s="311">
        <v>30</v>
      </c>
      <c r="L763" s="312">
        <f t="shared" si="757"/>
        <v>198.9389920424403</v>
      </c>
      <c r="M763" s="311">
        <v>38.487499999999997</v>
      </c>
      <c r="N763" s="313">
        <f t="shared" si="758"/>
        <v>255.22214854111402</v>
      </c>
      <c r="O763" s="123"/>
      <c r="P763" s="123"/>
      <c r="Q763" s="118"/>
      <c r="R763" s="123"/>
      <c r="S763" s="119"/>
      <c r="T763" s="132"/>
    </row>
    <row r="764" spans="2:20" hidden="1">
      <c r="B764" s="310" t="s">
        <v>4</v>
      </c>
      <c r="C764" s="311">
        <v>22.5</v>
      </c>
      <c r="D764" s="312">
        <f t="shared" si="753"/>
        <v>149.20424403183023</v>
      </c>
      <c r="E764" s="311">
        <v>25</v>
      </c>
      <c r="F764" s="312">
        <f t="shared" si="754"/>
        <v>165.78249336870027</v>
      </c>
      <c r="G764" s="311">
        <v>25.52</v>
      </c>
      <c r="H764" s="312">
        <f t="shared" si="755"/>
        <v>169.23076923076923</v>
      </c>
      <c r="I764" s="311">
        <v>28</v>
      </c>
      <c r="J764" s="312">
        <f t="shared" si="756"/>
        <v>185.67639257294431</v>
      </c>
      <c r="K764" s="311">
        <v>32.5</v>
      </c>
      <c r="L764" s="312">
        <f t="shared" si="757"/>
        <v>215.51724137931035</v>
      </c>
      <c r="M764" s="311">
        <v>38.130000000000003</v>
      </c>
      <c r="N764" s="313">
        <f t="shared" si="758"/>
        <v>252.85145888594167</v>
      </c>
      <c r="O764" s="123"/>
      <c r="P764" s="123"/>
      <c r="Q764" s="118"/>
      <c r="R764" s="123"/>
      <c r="S764" s="119"/>
      <c r="T764" s="132"/>
    </row>
    <row r="765" spans="2:20" hidden="1">
      <c r="B765" s="310" t="s">
        <v>5</v>
      </c>
      <c r="C765" s="311">
        <v>21.73</v>
      </c>
      <c r="D765" s="312">
        <f t="shared" si="753"/>
        <v>144.09814323607426</v>
      </c>
      <c r="E765" s="311">
        <v>26.071428571428573</v>
      </c>
      <c r="F765" s="312">
        <f t="shared" si="754"/>
        <v>172.887457370216</v>
      </c>
      <c r="G765" s="311">
        <v>27.1</v>
      </c>
      <c r="H765" s="312">
        <f t="shared" si="755"/>
        <v>179.70822281167108</v>
      </c>
      <c r="I765" s="311">
        <v>28.12857142857143</v>
      </c>
      <c r="J765" s="312">
        <f t="shared" si="756"/>
        <v>186.52898825312619</v>
      </c>
      <c r="K765" s="311">
        <v>31.25</v>
      </c>
      <c r="L765" s="312">
        <f t="shared" si="757"/>
        <v>207.22811671087533</v>
      </c>
      <c r="M765" s="311">
        <v>41.85</v>
      </c>
      <c r="N765" s="313">
        <f t="shared" si="758"/>
        <v>277.51989389920425</v>
      </c>
      <c r="O765" s="123"/>
      <c r="P765" s="123"/>
      <c r="Q765" s="118"/>
      <c r="R765" s="123"/>
      <c r="S765" s="119"/>
      <c r="T765" s="132"/>
    </row>
    <row r="766" spans="2:20" hidden="1">
      <c r="B766" s="310" t="s">
        <v>6</v>
      </c>
      <c r="C766" s="311">
        <v>24.1</v>
      </c>
      <c r="D766" s="312">
        <f t="shared" si="753"/>
        <v>159.81432360742704</v>
      </c>
      <c r="E766" s="532">
        <v>20.65</v>
      </c>
      <c r="F766" s="312">
        <f t="shared" si="754"/>
        <v>136.9363395225464</v>
      </c>
      <c r="G766" s="532">
        <v>26.057142857142853</v>
      </c>
      <c r="H766" s="312">
        <f t="shared" si="755"/>
        <v>172.79272451686242</v>
      </c>
      <c r="I766" s="532">
        <v>28</v>
      </c>
      <c r="J766" s="312">
        <f t="shared" si="756"/>
        <v>185.67639257294431</v>
      </c>
      <c r="K766" s="311">
        <v>29.21</v>
      </c>
      <c r="L766" s="312">
        <f t="shared" si="757"/>
        <v>193.70026525198938</v>
      </c>
      <c r="M766" s="311">
        <v>41.85</v>
      </c>
      <c r="N766" s="313">
        <f t="shared" si="758"/>
        <v>277.51989389920425</v>
      </c>
      <c r="O766" s="123"/>
      <c r="P766" s="123"/>
      <c r="Q766" s="118"/>
      <c r="R766" s="123"/>
      <c r="S766" s="119"/>
      <c r="T766" s="132"/>
    </row>
    <row r="767" spans="2:20" hidden="1">
      <c r="B767" s="310" t="s">
        <v>7</v>
      </c>
      <c r="C767" s="311">
        <v>23</v>
      </c>
      <c r="D767" s="312">
        <f t="shared" si="753"/>
        <v>152.51989389920425</v>
      </c>
      <c r="E767" s="311">
        <v>24</v>
      </c>
      <c r="F767" s="312">
        <f t="shared" si="754"/>
        <v>159.15119363395226</v>
      </c>
      <c r="G767" s="311">
        <v>27.25714285714286</v>
      </c>
      <c r="H767" s="312">
        <f t="shared" si="755"/>
        <v>180.75028419856005</v>
      </c>
      <c r="I767" s="311">
        <v>28.3</v>
      </c>
      <c r="J767" s="312">
        <f t="shared" si="756"/>
        <v>187.66578249336871</v>
      </c>
      <c r="K767" s="311">
        <v>29.21</v>
      </c>
      <c r="L767" s="312">
        <f t="shared" si="757"/>
        <v>193.70026525198938</v>
      </c>
      <c r="M767" s="311">
        <v>37.305</v>
      </c>
      <c r="N767" s="313">
        <f t="shared" si="758"/>
        <v>247.38063660477454</v>
      </c>
      <c r="O767" s="123"/>
      <c r="P767" s="123"/>
      <c r="Q767" s="118"/>
      <c r="R767" s="123"/>
      <c r="S767" s="119"/>
      <c r="T767" s="132"/>
    </row>
    <row r="768" spans="2:20" hidden="1">
      <c r="B768" s="310" t="s">
        <v>8</v>
      </c>
      <c r="C768" s="311">
        <v>24.56</v>
      </c>
      <c r="D768" s="312">
        <f t="shared" si="753"/>
        <v>162.86472148541114</v>
      </c>
      <c r="E768" s="311">
        <v>25.1</v>
      </c>
      <c r="F768" s="312">
        <f t="shared" si="754"/>
        <v>166.44562334217505</v>
      </c>
      <c r="G768" s="311">
        <v>31.18</v>
      </c>
      <c r="H768" s="312">
        <f t="shared" si="755"/>
        <v>206.76392572944297</v>
      </c>
      <c r="I768" s="311">
        <v>28.3</v>
      </c>
      <c r="J768" s="312">
        <f t="shared" si="756"/>
        <v>187.66578249336871</v>
      </c>
      <c r="K768" s="311">
        <v>31.157499999999999</v>
      </c>
      <c r="L768" s="312">
        <f t="shared" si="757"/>
        <v>206.61472148541114</v>
      </c>
      <c r="M768" s="311">
        <v>37.305</v>
      </c>
      <c r="N768" s="313">
        <f t="shared" si="758"/>
        <v>247.38063660477454</v>
      </c>
      <c r="O768" s="123"/>
      <c r="P768" s="123"/>
      <c r="Q768" s="118"/>
      <c r="R768" s="123"/>
      <c r="S768" s="119"/>
      <c r="T768" s="132"/>
    </row>
    <row r="769" spans="2:20" hidden="1">
      <c r="B769" s="310" t="s">
        <v>9</v>
      </c>
      <c r="C769" s="311">
        <v>23.71</v>
      </c>
      <c r="D769" s="312">
        <f t="shared" si="753"/>
        <v>157.22811671087533</v>
      </c>
      <c r="E769" s="311">
        <v>24.214285714285715</v>
      </c>
      <c r="F769" s="312">
        <f t="shared" si="754"/>
        <v>160.5721864342554</v>
      </c>
      <c r="G769" s="311">
        <v>27.571428571428573</v>
      </c>
      <c r="H769" s="312">
        <f t="shared" si="755"/>
        <v>182.83440697233803</v>
      </c>
      <c r="I769" s="311">
        <v>28.87</v>
      </c>
      <c r="J769" s="312">
        <f t="shared" si="756"/>
        <v>191.44562334217505</v>
      </c>
      <c r="K769" s="311">
        <v>28.876666666666665</v>
      </c>
      <c r="L769" s="312">
        <f t="shared" si="757"/>
        <v>191.48983200707337</v>
      </c>
      <c r="M769" s="311">
        <v>37.305</v>
      </c>
      <c r="N769" s="313">
        <f t="shared" si="758"/>
        <v>247.38063660477454</v>
      </c>
      <c r="O769" s="123"/>
      <c r="P769" s="123"/>
      <c r="Q769" s="118"/>
      <c r="R769" s="123"/>
      <c r="S769" s="119"/>
      <c r="T769" s="132"/>
    </row>
    <row r="770" spans="2:20" hidden="1">
      <c r="B770" s="310" t="s">
        <v>10</v>
      </c>
      <c r="C770" s="311">
        <v>23.29</v>
      </c>
      <c r="D770" s="312">
        <f t="shared" si="753"/>
        <v>154.44297082228115</v>
      </c>
      <c r="E770" s="311">
        <v>24.7</v>
      </c>
      <c r="F770" s="312">
        <f t="shared" si="754"/>
        <v>163.79310344827587</v>
      </c>
      <c r="G770" s="311">
        <v>29</v>
      </c>
      <c r="H770" s="312">
        <f t="shared" si="755"/>
        <v>192.30769230769232</v>
      </c>
      <c r="I770" s="311">
        <v>29</v>
      </c>
      <c r="J770" s="312">
        <f t="shared" si="756"/>
        <v>192.30769230769232</v>
      </c>
      <c r="K770" s="311">
        <v>32.775999999999996</v>
      </c>
      <c r="L770" s="312">
        <f t="shared" si="757"/>
        <v>217.34748010610076</v>
      </c>
      <c r="M770" s="311">
        <v>37.305</v>
      </c>
      <c r="N770" s="313">
        <f t="shared" si="758"/>
        <v>247.38063660477454</v>
      </c>
      <c r="O770" s="123"/>
      <c r="P770" s="123"/>
      <c r="Q770" s="118"/>
      <c r="R770" s="123"/>
      <c r="S770" s="119"/>
      <c r="T770" s="132"/>
    </row>
    <row r="771" spans="2:20" ht="15.75" hidden="1" thickBot="1">
      <c r="B771" s="314" t="s">
        <v>11</v>
      </c>
      <c r="C771" s="315">
        <v>24.58</v>
      </c>
      <c r="D771" s="316">
        <f t="shared" si="753"/>
        <v>162.9973474801061</v>
      </c>
      <c r="E771" s="315">
        <v>24.67</v>
      </c>
      <c r="F771" s="316">
        <f t="shared" si="754"/>
        <v>163.59416445623341</v>
      </c>
      <c r="G771" s="315">
        <v>27.285714285714285</v>
      </c>
      <c r="H771" s="316">
        <f t="shared" si="755"/>
        <v>180.93974990526715</v>
      </c>
      <c r="I771" s="315">
        <v>29</v>
      </c>
      <c r="J771" s="316">
        <f t="shared" si="756"/>
        <v>192.30769230769232</v>
      </c>
      <c r="K771" s="315">
        <v>32.158333333333331</v>
      </c>
      <c r="L771" s="316">
        <f t="shared" si="757"/>
        <v>213.25154730327142</v>
      </c>
      <c r="M771" s="315">
        <v>37.305</v>
      </c>
      <c r="N771" s="317">
        <f t="shared" si="758"/>
        <v>247.38063660477454</v>
      </c>
      <c r="O771" s="123"/>
      <c r="P771" s="123"/>
      <c r="Q771" s="118"/>
      <c r="R771" s="123"/>
      <c r="S771" s="119"/>
      <c r="T771" s="132"/>
    </row>
    <row r="772" spans="2:20" ht="15.75" hidden="1" thickBot="1">
      <c r="B772" s="119"/>
      <c r="C772" s="118"/>
      <c r="D772" s="123"/>
      <c r="E772" s="118"/>
      <c r="F772" s="123"/>
      <c r="G772" s="118"/>
      <c r="H772" s="123"/>
      <c r="I772" s="118"/>
      <c r="J772" s="123"/>
      <c r="K772" s="118"/>
      <c r="L772" s="123"/>
      <c r="M772" s="118"/>
      <c r="N772" s="123"/>
      <c r="O772" s="123"/>
      <c r="P772" s="123"/>
      <c r="Q772" s="118"/>
      <c r="R772" s="123"/>
      <c r="S772" s="119"/>
      <c r="T772" s="132"/>
    </row>
    <row r="773" spans="2:20" ht="16.5" hidden="1" thickBot="1">
      <c r="B773" s="1356" t="s">
        <v>299</v>
      </c>
      <c r="C773" s="1357"/>
      <c r="D773" s="1357"/>
      <c r="E773" s="1357"/>
      <c r="F773" s="1358"/>
      <c r="G773" s="647"/>
      <c r="H773" s="122"/>
      <c r="I773" s="118"/>
      <c r="J773" s="123"/>
      <c r="K773" s="118"/>
      <c r="L773" s="123"/>
      <c r="M773" s="118"/>
      <c r="N773" s="123"/>
      <c r="O773" s="123"/>
      <c r="P773" s="123"/>
      <c r="Q773" s="118"/>
      <c r="R773" s="123"/>
      <c r="S773" s="119"/>
      <c r="T773" s="132"/>
    </row>
    <row r="774" spans="2:20" hidden="1">
      <c r="B774" s="1353">
        <v>2012</v>
      </c>
      <c r="C774" s="1354"/>
      <c r="D774" s="533" t="s">
        <v>15</v>
      </c>
      <c r="E774" s="644">
        <v>2013</v>
      </c>
      <c r="F774" s="533" t="s">
        <v>15</v>
      </c>
      <c r="H774" s="123"/>
      <c r="I774" s="118"/>
      <c r="J774" s="123"/>
      <c r="K774" s="118"/>
      <c r="L774" s="123"/>
      <c r="M774" s="118"/>
      <c r="N774" s="123"/>
      <c r="O774" s="123"/>
      <c r="P774" s="123"/>
      <c r="Q774" s="118"/>
      <c r="R774" s="123"/>
      <c r="S774" s="119"/>
      <c r="T774" s="132"/>
    </row>
    <row r="775" spans="2:20" hidden="1">
      <c r="B775" s="310" t="s">
        <v>0</v>
      </c>
      <c r="C775" s="311">
        <v>37.305</v>
      </c>
      <c r="D775" s="313">
        <f t="shared" ref="D775:D780" si="759">100*C775/$H$743</f>
        <v>247.38063660477454</v>
      </c>
      <c r="E775" s="311">
        <f>[107]Janeiro!$I$20</f>
        <v>37.381666666666668</v>
      </c>
      <c r="F775" s="313">
        <f t="shared" ref="F775:F780" si="760">100*E775/$H$743</f>
        <v>247.88903625110524</v>
      </c>
      <c r="H775" s="123"/>
      <c r="I775" s="118"/>
      <c r="J775" s="123"/>
      <c r="K775" s="118"/>
      <c r="L775" s="123"/>
      <c r="M775" s="118"/>
      <c r="N775" s="123"/>
      <c r="O775" s="123"/>
      <c r="P775" s="123"/>
      <c r="Q775" s="118"/>
      <c r="R775" s="123"/>
      <c r="S775" s="119"/>
      <c r="T775" s="132"/>
    </row>
    <row r="776" spans="2:20" hidden="1">
      <c r="B776" s="310" t="s">
        <v>1</v>
      </c>
      <c r="C776" s="311">
        <f>[116]Fevereiro!$I$20</f>
        <v>34.036666666666669</v>
      </c>
      <c r="D776" s="313">
        <f t="shared" si="759"/>
        <v>225.70733863837313</v>
      </c>
      <c r="E776" s="311">
        <f>[107]Fevereiro!$I$20</f>
        <v>37.381666666666668</v>
      </c>
      <c r="F776" s="313">
        <f t="shared" si="760"/>
        <v>247.88903625110524</v>
      </c>
      <c r="H776" s="123"/>
      <c r="I776" s="118"/>
      <c r="J776" s="123"/>
      <c r="K776" s="118"/>
      <c r="L776" s="123"/>
      <c r="M776" s="118"/>
      <c r="N776" s="123"/>
      <c r="O776" s="123"/>
      <c r="P776" s="123"/>
      <c r="Q776" s="118"/>
      <c r="R776" s="123"/>
      <c r="S776" s="119"/>
      <c r="T776" s="132"/>
    </row>
    <row r="777" spans="2:20" hidden="1">
      <c r="B777" s="310" t="s">
        <v>2</v>
      </c>
      <c r="C777" s="311">
        <f>[116]Março!$I$20</f>
        <v>34.036666666666669</v>
      </c>
      <c r="D777" s="313">
        <f t="shared" si="759"/>
        <v>225.70733863837313</v>
      </c>
      <c r="E777" s="311">
        <f>[107]Março!$I$20</f>
        <v>37.381666666666668</v>
      </c>
      <c r="F777" s="313">
        <f t="shared" si="760"/>
        <v>247.88903625110524</v>
      </c>
      <c r="H777" s="123"/>
      <c r="I777" s="118"/>
      <c r="J777" s="123"/>
      <c r="K777" s="118"/>
      <c r="L777" s="123"/>
      <c r="M777" s="118"/>
      <c r="N777" s="123"/>
      <c r="O777" s="123"/>
      <c r="P777" s="123"/>
      <c r="Q777" s="118"/>
      <c r="R777" s="123"/>
      <c r="S777" s="119"/>
      <c r="T777" s="132"/>
    </row>
    <row r="778" spans="2:20" hidden="1">
      <c r="B778" s="310" t="s">
        <v>3</v>
      </c>
      <c r="C778" s="311">
        <f>[116]Abril!$I$20</f>
        <v>34.036666666666669</v>
      </c>
      <c r="D778" s="313">
        <f t="shared" si="759"/>
        <v>225.70733863837313</v>
      </c>
      <c r="E778" s="311">
        <f>[107]Abril!$I$20</f>
        <v>37.381666666666668</v>
      </c>
      <c r="F778" s="313">
        <f t="shared" si="760"/>
        <v>247.88903625110524</v>
      </c>
      <c r="H778" s="123"/>
      <c r="I778" s="118"/>
      <c r="J778" s="123"/>
      <c r="K778" s="118"/>
      <c r="L778" s="123"/>
      <c r="M778" s="118"/>
      <c r="N778" s="123"/>
      <c r="O778" s="123"/>
      <c r="P778" s="123"/>
      <c r="Q778" s="118"/>
      <c r="R778" s="123"/>
      <c r="S778" s="119"/>
      <c r="T778" s="132"/>
    </row>
    <row r="779" spans="2:20" hidden="1">
      <c r="B779" s="310" t="s">
        <v>4</v>
      </c>
      <c r="C779" s="311">
        <f>[116]Maio!$I$20</f>
        <v>34.186666666666667</v>
      </c>
      <c r="D779" s="313">
        <f t="shared" si="759"/>
        <v>226.70203359858533</v>
      </c>
      <c r="E779" s="311">
        <f>[107]Maio!$I$20</f>
        <v>37.381666666666668</v>
      </c>
      <c r="F779" s="313">
        <f t="shared" si="760"/>
        <v>247.88903625110524</v>
      </c>
      <c r="H779" s="123"/>
      <c r="I779" s="118"/>
      <c r="J779" s="123"/>
      <c r="K779" s="118"/>
      <c r="L779" s="123"/>
      <c r="M779" s="118"/>
      <c r="N779" s="123"/>
      <c r="O779" s="123"/>
      <c r="P779" s="123"/>
      <c r="Q779" s="118"/>
      <c r="R779" s="123"/>
      <c r="S779" s="119"/>
      <c r="T779" s="132"/>
    </row>
    <row r="780" spans="2:20" hidden="1">
      <c r="B780" s="310" t="s">
        <v>5</v>
      </c>
      <c r="C780" s="311">
        <f>[116]Junho!$I$20</f>
        <v>34.186666666666667</v>
      </c>
      <c r="D780" s="313">
        <f t="shared" si="759"/>
        <v>226.70203359858533</v>
      </c>
      <c r="E780" s="311">
        <f>[107]Junho!$I$20</f>
        <v>37.381666666666668</v>
      </c>
      <c r="F780" s="313">
        <f t="shared" si="760"/>
        <v>247.88903625110524</v>
      </c>
      <c r="H780" s="123"/>
      <c r="I780" s="118"/>
      <c r="J780" s="123"/>
      <c r="K780" s="118"/>
      <c r="L780" s="123"/>
      <c r="M780" s="118"/>
      <c r="N780" s="123"/>
      <c r="O780" s="123"/>
      <c r="P780" s="123"/>
      <c r="Q780" s="118"/>
      <c r="R780" s="123"/>
      <c r="S780" s="119"/>
      <c r="T780" s="132"/>
    </row>
    <row r="781" spans="2:20" hidden="1">
      <c r="B781" s="310" t="s">
        <v>6</v>
      </c>
      <c r="C781" s="311">
        <f>[116]Julho!$I$20</f>
        <v>36.580000000000005</v>
      </c>
      <c r="D781" s="313">
        <f t="shared" ref="D781:D786" si="761">100*C781/$H$743</f>
        <v>242.57294429708224</v>
      </c>
      <c r="E781" s="311">
        <f>[107]Julho!$I$20</f>
        <v>37.831666666666671</v>
      </c>
      <c r="F781" s="313">
        <f t="shared" ref="F781:F786" si="762">100*E781/$H$743</f>
        <v>250.87312113174184</v>
      </c>
      <c r="H781" s="123"/>
      <c r="I781" s="118"/>
      <c r="J781" s="123"/>
      <c r="K781" s="118"/>
      <c r="L781" s="123"/>
      <c r="M781" s="118"/>
      <c r="N781" s="123"/>
      <c r="O781" s="123"/>
      <c r="P781" s="123"/>
      <c r="Q781" s="118"/>
      <c r="R781" s="123"/>
      <c r="S781" s="119"/>
      <c r="T781" s="132"/>
    </row>
    <row r="782" spans="2:20" hidden="1">
      <c r="B782" s="310" t="s">
        <v>7</v>
      </c>
      <c r="C782" s="311">
        <f>[116]Agosto!$I$20</f>
        <v>37.708333333333336</v>
      </c>
      <c r="D782" s="313">
        <f t="shared" si="761"/>
        <v>250.05526083112292</v>
      </c>
      <c r="E782" s="311">
        <f>[107]Agosto!$I$20</f>
        <v>37.831666666666671</v>
      </c>
      <c r="F782" s="313">
        <f t="shared" si="762"/>
        <v>250.87312113174184</v>
      </c>
      <c r="H782" s="123"/>
      <c r="I782" s="118"/>
      <c r="J782" s="123"/>
      <c r="K782" s="118"/>
      <c r="L782" s="123"/>
      <c r="M782" s="118"/>
      <c r="N782" s="123"/>
      <c r="O782" s="123"/>
      <c r="P782" s="123"/>
      <c r="Q782" s="118"/>
      <c r="R782" s="123"/>
      <c r="S782" s="119"/>
      <c r="T782" s="132"/>
    </row>
    <row r="783" spans="2:20" hidden="1">
      <c r="B783" s="310" t="s">
        <v>8</v>
      </c>
      <c r="C783" s="311">
        <f>[116]Setembro!$I$20</f>
        <v>37.708333333333336</v>
      </c>
      <c r="D783" s="313">
        <f t="shared" si="761"/>
        <v>250.05526083112292</v>
      </c>
      <c r="E783" s="311">
        <f>[107]Setembro!$I$20</f>
        <v>36.498333333333335</v>
      </c>
      <c r="F783" s="313">
        <f t="shared" si="762"/>
        <v>242.03138815207782</v>
      </c>
      <c r="H783" s="123"/>
      <c r="I783" s="118"/>
      <c r="J783" s="123"/>
      <c r="K783" s="118"/>
      <c r="L783" s="123"/>
      <c r="M783" s="118"/>
      <c r="N783" s="123"/>
      <c r="O783" s="123"/>
      <c r="P783" s="123"/>
      <c r="Q783" s="118"/>
      <c r="R783" s="123"/>
      <c r="S783" s="119"/>
      <c r="T783" s="132"/>
    </row>
    <row r="784" spans="2:20" hidden="1">
      <c r="B784" s="310" t="s">
        <v>9</v>
      </c>
      <c r="C784" s="311">
        <f>[116]Outubro!$I$20</f>
        <v>37.143333333333338</v>
      </c>
      <c r="D784" s="313">
        <f t="shared" si="761"/>
        <v>246.30857648099033</v>
      </c>
      <c r="E784" s="311">
        <f>[107]Outubro!$I$20</f>
        <v>36.498333333333335</v>
      </c>
      <c r="F784" s="313">
        <f t="shared" si="762"/>
        <v>242.03138815207782</v>
      </c>
      <c r="H784" s="123"/>
      <c r="I784" s="118"/>
      <c r="J784" s="123"/>
      <c r="K784" s="118"/>
      <c r="L784" s="123"/>
      <c r="M784" s="118"/>
      <c r="N784" s="123"/>
      <c r="O784" s="123"/>
      <c r="P784" s="123"/>
      <c r="Q784" s="118"/>
      <c r="R784" s="123"/>
      <c r="S784" s="119"/>
      <c r="T784" s="132"/>
    </row>
    <row r="785" spans="2:20" hidden="1">
      <c r="B785" s="310" t="s">
        <v>10</v>
      </c>
      <c r="C785" s="311">
        <f>[116]Novembro!$I$20</f>
        <v>37.143333333333338</v>
      </c>
      <c r="D785" s="313">
        <f t="shared" si="761"/>
        <v>246.30857648099033</v>
      </c>
      <c r="E785" s="311">
        <f>[107]Novembro!$I$20</f>
        <v>36.498333333333335</v>
      </c>
      <c r="F785" s="313">
        <f t="shared" si="762"/>
        <v>242.03138815207782</v>
      </c>
      <c r="H785" s="123"/>
      <c r="I785" s="118"/>
      <c r="J785" s="123"/>
      <c r="K785" s="118"/>
      <c r="L785" s="123"/>
      <c r="M785" s="118"/>
      <c r="N785" s="123"/>
      <c r="O785" s="123"/>
      <c r="P785" s="123"/>
      <c r="Q785" s="118"/>
      <c r="R785" s="123"/>
      <c r="S785" s="119"/>
      <c r="T785" s="132"/>
    </row>
    <row r="786" spans="2:20" ht="15.75" hidden="1" thickBot="1">
      <c r="B786" s="314" t="s">
        <v>11</v>
      </c>
      <c r="C786" s="315">
        <f>[116]Dezembro!$I$20</f>
        <v>37.381666666666668</v>
      </c>
      <c r="D786" s="317">
        <f t="shared" si="761"/>
        <v>247.88903625110524</v>
      </c>
      <c r="E786" s="682">
        <f>[107]Dezembro!$I$20</f>
        <v>36.498333333333335</v>
      </c>
      <c r="F786" s="317">
        <f t="shared" si="762"/>
        <v>242.03138815207782</v>
      </c>
      <c r="H786" s="123"/>
      <c r="I786" s="118"/>
      <c r="J786" s="123"/>
      <c r="K786" s="118"/>
      <c r="L786" s="123"/>
      <c r="M786" s="118"/>
      <c r="N786" s="123"/>
      <c r="O786" s="123"/>
      <c r="P786" s="123"/>
      <c r="Q786" s="118"/>
      <c r="R786" s="123"/>
      <c r="S786" s="119"/>
      <c r="T786" s="132"/>
    </row>
    <row r="787" spans="2:20">
      <c r="B787" s="119"/>
      <c r="C787" s="118"/>
      <c r="D787" s="123"/>
      <c r="E787" s="118"/>
      <c r="F787" s="123"/>
      <c r="G787" s="118"/>
      <c r="H787" s="123"/>
      <c r="I787" s="118"/>
      <c r="J787" s="123"/>
      <c r="K787" s="118"/>
      <c r="L787" s="123"/>
      <c r="M787" s="118"/>
      <c r="N787" s="123"/>
      <c r="O787" s="123"/>
      <c r="P787" s="123"/>
      <c r="Q787" s="118"/>
      <c r="R787" s="123"/>
      <c r="S787" s="119"/>
      <c r="T787" s="132"/>
    </row>
    <row r="788" spans="2:20">
      <c r="B788" s="144"/>
      <c r="C788" s="159"/>
      <c r="D788" s="146"/>
      <c r="E788" s="159"/>
      <c r="F788" s="146"/>
      <c r="G788" s="159"/>
      <c r="H788" s="146"/>
      <c r="I788" s="159"/>
      <c r="J788" s="146"/>
      <c r="K788" s="159"/>
      <c r="L788" s="146"/>
      <c r="M788" s="159"/>
      <c r="N788" s="146"/>
      <c r="O788" s="123"/>
      <c r="P788" s="123"/>
      <c r="Q788" s="118"/>
      <c r="R788" s="123"/>
      <c r="S788" s="119"/>
      <c r="T788" s="132"/>
    </row>
    <row r="789" spans="2:20" ht="15.75" thickBot="1">
      <c r="B789" s="119"/>
      <c r="C789" s="118"/>
      <c r="D789" s="123"/>
      <c r="E789" s="118"/>
      <c r="F789" s="123"/>
      <c r="G789" s="118"/>
      <c r="H789" s="123"/>
      <c r="I789" s="118"/>
      <c r="J789" s="123"/>
      <c r="K789" s="118"/>
      <c r="L789" s="123"/>
      <c r="M789" s="118"/>
      <c r="N789" s="123"/>
      <c r="O789" s="123"/>
      <c r="P789" s="123"/>
      <c r="Q789" s="118"/>
      <c r="R789" s="123"/>
      <c r="S789" s="119"/>
      <c r="T789" s="132"/>
    </row>
    <row r="790" spans="2:20" ht="21" thickBot="1">
      <c r="B790" s="534" t="s">
        <v>35</v>
      </c>
      <c r="C790" s="520"/>
      <c r="D790" s="519"/>
      <c r="E790" s="535"/>
      <c r="F790" s="536"/>
      <c r="G790" s="537"/>
      <c r="H790" s="535"/>
      <c r="I790" s="538"/>
      <c r="J790" s="535"/>
      <c r="K790" s="535"/>
      <c r="L790" s="361">
        <v>85.55</v>
      </c>
      <c r="M790" s="538"/>
      <c r="N790" s="429" t="s">
        <v>17</v>
      </c>
      <c r="O790" s="363"/>
      <c r="P790" s="539"/>
      <c r="Q790" s="180"/>
      <c r="R790" s="123"/>
      <c r="S790" s="119"/>
      <c r="T790" s="132"/>
    </row>
    <row r="791" spans="2:20" ht="15.75" thickBot="1">
      <c r="B791" s="1306">
        <v>1994</v>
      </c>
      <c r="C791" s="1355"/>
      <c r="D791" s="517" t="s">
        <v>15</v>
      </c>
      <c r="E791" s="336">
        <v>1995</v>
      </c>
      <c r="F791" s="336" t="s">
        <v>15</v>
      </c>
      <c r="G791" s="336">
        <v>1996</v>
      </c>
      <c r="H791" s="336" t="s">
        <v>15</v>
      </c>
      <c r="I791" s="336">
        <v>1997</v>
      </c>
      <c r="J791" s="336" t="s">
        <v>15</v>
      </c>
      <c r="K791" s="336">
        <v>1998</v>
      </c>
      <c r="L791" s="336" t="s">
        <v>15</v>
      </c>
      <c r="M791" s="336">
        <v>1999</v>
      </c>
      <c r="N791" s="336" t="s">
        <v>15</v>
      </c>
      <c r="O791" s="337">
        <v>2000</v>
      </c>
      <c r="P791" s="353" t="s">
        <v>15</v>
      </c>
      <c r="S791" s="124"/>
      <c r="T791" s="124"/>
    </row>
    <row r="792" spans="2:20">
      <c r="B792" s="306" t="s">
        <v>0</v>
      </c>
      <c r="C792" s="307"/>
      <c r="D792" s="308"/>
      <c r="E792" s="307">
        <v>96</v>
      </c>
      <c r="F792" s="308">
        <f>100*$E$793/85.55</f>
        <v>106.3354763296318</v>
      </c>
      <c r="G792" s="307">
        <v>93.13</v>
      </c>
      <c r="H792" s="308">
        <f>100*$G$792/85.55</f>
        <v>108.86031560490942</v>
      </c>
      <c r="I792" s="308">
        <v>98</v>
      </c>
      <c r="J792" s="308">
        <f>100*$I$792/85.55</f>
        <v>114.55289304500293</v>
      </c>
      <c r="K792" s="307">
        <v>92</v>
      </c>
      <c r="L792" s="308">
        <f>100*$K$792/85.55</f>
        <v>107.53945061367622</v>
      </c>
      <c r="M792" s="307">
        <v>96.04</v>
      </c>
      <c r="N792" s="378">
        <f>100*$M$792/85.55</f>
        <v>112.26183518410286</v>
      </c>
      <c r="O792" s="504">
        <v>111.67</v>
      </c>
      <c r="P792" s="309">
        <f>100*O792/L790</f>
        <v>130.53185271770894</v>
      </c>
      <c r="S792" s="119"/>
      <c r="T792" s="132"/>
    </row>
    <row r="793" spans="2:20">
      <c r="B793" s="310" t="s">
        <v>1</v>
      </c>
      <c r="C793" s="311"/>
      <c r="D793" s="312"/>
      <c r="E793" s="311">
        <v>90.97</v>
      </c>
      <c r="F793" s="312">
        <f>100*$E$793/85.55</f>
        <v>106.3354763296318</v>
      </c>
      <c r="G793" s="311">
        <v>111.6</v>
      </c>
      <c r="H793" s="312">
        <f>100*$G$793/85.55</f>
        <v>130.45002922267679</v>
      </c>
      <c r="I793" s="312">
        <v>99</v>
      </c>
      <c r="J793" s="312">
        <f>100*$I$793/85.55</f>
        <v>115.72180011689071</v>
      </c>
      <c r="K793" s="311">
        <v>106.83</v>
      </c>
      <c r="L793" s="312">
        <f>100*$K$793/85.55</f>
        <v>124.87434248977206</v>
      </c>
      <c r="M793" s="311">
        <v>106.86</v>
      </c>
      <c r="N793" s="379">
        <f>100*$M$793/85.55</f>
        <v>124.90940970192869</v>
      </c>
      <c r="O793" s="433">
        <v>118.5</v>
      </c>
      <c r="P793" s="313">
        <f>100*O793/L790</f>
        <v>138.51548801870251</v>
      </c>
      <c r="S793" s="119"/>
      <c r="T793" s="132"/>
    </row>
    <row r="794" spans="2:20">
      <c r="B794" s="310" t="s">
        <v>2</v>
      </c>
      <c r="C794" s="311"/>
      <c r="D794" s="312"/>
      <c r="E794" s="311">
        <v>95.01</v>
      </c>
      <c r="F794" s="312">
        <f>100*$E$794/85.55</f>
        <v>111.05786090005844</v>
      </c>
      <c r="G794" s="311">
        <v>99</v>
      </c>
      <c r="H794" s="312">
        <f>100*$G$794/85.55</f>
        <v>115.72180011689071</v>
      </c>
      <c r="I794" s="312">
        <v>96.2</v>
      </c>
      <c r="J794" s="312">
        <f>100*$I$794/85.55</f>
        <v>112.44886031560492</v>
      </c>
      <c r="K794" s="311">
        <v>90.81</v>
      </c>
      <c r="L794" s="312">
        <f>100*$K$794/85.55</f>
        <v>106.14845119812975</v>
      </c>
      <c r="M794" s="311">
        <v>113</v>
      </c>
      <c r="N794" s="379">
        <f>100*$M$794/85.55</f>
        <v>132.0864991233197</v>
      </c>
      <c r="O794" s="433">
        <v>119.93</v>
      </c>
      <c r="P794" s="313">
        <f>100*O794/L790</f>
        <v>140.18702513150205</v>
      </c>
      <c r="S794" s="119"/>
      <c r="T794" s="132"/>
    </row>
    <row r="795" spans="2:20" ht="15.75" thickBot="1">
      <c r="B795" s="310" t="s">
        <v>3</v>
      </c>
      <c r="C795" s="311"/>
      <c r="D795" s="312"/>
      <c r="E795" s="311">
        <v>102.78</v>
      </c>
      <c r="F795" s="312">
        <f>100*$E$795/85.55</f>
        <v>120.14026884862653</v>
      </c>
      <c r="G795" s="311">
        <v>99.6</v>
      </c>
      <c r="H795" s="312">
        <f>100*$G$795/85.55</f>
        <v>116.42314436002339</v>
      </c>
      <c r="I795" s="312">
        <v>96.83</v>
      </c>
      <c r="J795" s="312">
        <f>100*$I$795/85.55</f>
        <v>113.18527177089422</v>
      </c>
      <c r="K795" s="311">
        <v>106.62</v>
      </c>
      <c r="L795" s="312">
        <f>100*$K$795/85.55</f>
        <v>124.62887200467563</v>
      </c>
      <c r="M795" s="311">
        <v>105.17</v>
      </c>
      <c r="N795" s="379">
        <f>100*$M$795/85.55</f>
        <v>122.93395675043834</v>
      </c>
      <c r="O795" s="505" t="s">
        <v>59</v>
      </c>
      <c r="P795" s="317"/>
      <c r="S795" s="119"/>
      <c r="T795" s="132"/>
    </row>
    <row r="796" spans="2:20">
      <c r="B796" s="310" t="s">
        <v>4</v>
      </c>
      <c r="C796" s="311"/>
      <c r="D796" s="312"/>
      <c r="E796" s="311">
        <v>96.38</v>
      </c>
      <c r="F796" s="312">
        <f>100*$E$796/85.55</f>
        <v>112.65926358854472</v>
      </c>
      <c r="G796" s="311">
        <v>94.57</v>
      </c>
      <c r="H796" s="312">
        <f>100*$G$796/85.55</f>
        <v>110.54354178842782</v>
      </c>
      <c r="I796" s="312">
        <v>104.6</v>
      </c>
      <c r="J796" s="312">
        <f>100*$I$796/85.55</f>
        <v>122.26767971946231</v>
      </c>
      <c r="K796" s="311">
        <v>101.5</v>
      </c>
      <c r="L796" s="312">
        <f>100*$K$796/85.55</f>
        <v>118.64406779661017</v>
      </c>
      <c r="M796" s="311">
        <v>108.57</v>
      </c>
      <c r="N796" s="313">
        <f>100*$M$796/85.55</f>
        <v>126.90824079485681</v>
      </c>
      <c r="O796" s="123"/>
      <c r="P796" s="123"/>
      <c r="Q796" s="180"/>
      <c r="R796" s="123"/>
      <c r="S796" s="119"/>
      <c r="T796" s="132"/>
    </row>
    <row r="797" spans="2:20">
      <c r="B797" s="310" t="s">
        <v>5</v>
      </c>
      <c r="C797" s="311"/>
      <c r="D797" s="312"/>
      <c r="E797" s="311">
        <v>102.05</v>
      </c>
      <c r="F797" s="312">
        <f>100*$E$797/85.55</f>
        <v>119.28696668614846</v>
      </c>
      <c r="G797" s="311">
        <v>102.67</v>
      </c>
      <c r="H797" s="312">
        <f>100*$G$797/85.55</f>
        <v>120.01168907071889</v>
      </c>
      <c r="I797" s="312">
        <v>103.5</v>
      </c>
      <c r="J797" s="312">
        <f>100*$I$797/85.55</f>
        <v>120.98188194038575</v>
      </c>
      <c r="K797" s="311">
        <v>105.39</v>
      </c>
      <c r="L797" s="312">
        <f>100*$K$797/85.55</f>
        <v>123.19111630625366</v>
      </c>
      <c r="M797" s="311">
        <v>102.39</v>
      </c>
      <c r="N797" s="313">
        <f>100*$M$797/85.55</f>
        <v>119.6843950905903</v>
      </c>
      <c r="O797" s="123"/>
      <c r="P797" s="123"/>
      <c r="Q797" s="180"/>
      <c r="R797" s="123"/>
      <c r="S797" s="119"/>
      <c r="T797" s="132"/>
    </row>
    <row r="798" spans="2:20">
      <c r="B798" s="310" t="s">
        <v>6</v>
      </c>
      <c r="C798" s="311">
        <v>85.55</v>
      </c>
      <c r="D798" s="312">
        <f>100*$C$798/85.55</f>
        <v>100</v>
      </c>
      <c r="E798" s="311">
        <v>114.49</v>
      </c>
      <c r="F798" s="312">
        <f>100*$E$798/85.55</f>
        <v>133.82817066043251</v>
      </c>
      <c r="G798" s="311">
        <v>97.25</v>
      </c>
      <c r="H798" s="312">
        <f>100*$G$798/85.55</f>
        <v>113.67621274108708</v>
      </c>
      <c r="I798" s="312">
        <v>91.2</v>
      </c>
      <c r="J798" s="312">
        <f>100*$I$798/85.55</f>
        <v>106.60432495616598</v>
      </c>
      <c r="K798" s="311">
        <v>105.32</v>
      </c>
      <c r="L798" s="312">
        <f>100*$K$798/85.55</f>
        <v>123.10929281122151</v>
      </c>
      <c r="M798" s="311">
        <v>109.9</v>
      </c>
      <c r="N798" s="313">
        <f>$M$798*100/85.55</f>
        <v>128.46288720046758</v>
      </c>
      <c r="O798" s="123"/>
      <c r="P798" s="123"/>
      <c r="Q798" s="180"/>
      <c r="R798" s="123"/>
      <c r="S798" s="119"/>
      <c r="T798" s="132"/>
    </row>
    <row r="799" spans="2:20">
      <c r="B799" s="310" t="s">
        <v>7</v>
      </c>
      <c r="C799" s="311">
        <v>104.44</v>
      </c>
      <c r="D799" s="312">
        <f>100*$C$799/85.55</f>
        <v>122.08065458796027</v>
      </c>
      <c r="E799" s="311">
        <v>105.78</v>
      </c>
      <c r="F799" s="312">
        <f>100*$E$799/85.55</f>
        <v>123.64699006428989</v>
      </c>
      <c r="G799" s="311">
        <v>98.28</v>
      </c>
      <c r="H799" s="312">
        <f>100*$G$799/85.55</f>
        <v>114.88018702513151</v>
      </c>
      <c r="I799" s="312">
        <v>100.83</v>
      </c>
      <c r="J799" s="312">
        <f>100*$I$799/85.55</f>
        <v>117.86090005844535</v>
      </c>
      <c r="K799" s="311">
        <v>108.69</v>
      </c>
      <c r="L799" s="312">
        <f>100*$K$799/85.55</f>
        <v>127.04850964348334</v>
      </c>
      <c r="M799" s="311">
        <v>109.71</v>
      </c>
      <c r="N799" s="313">
        <f>M799*100/85.55</f>
        <v>128.24079485680889</v>
      </c>
      <c r="O799" s="123"/>
      <c r="P799" s="123"/>
      <c r="Q799" s="180"/>
      <c r="R799" s="123"/>
      <c r="S799" s="119"/>
      <c r="T799" s="132"/>
    </row>
    <row r="800" spans="2:20">
      <c r="B800" s="310" t="s">
        <v>8</v>
      </c>
      <c r="C800" s="311">
        <v>107.03</v>
      </c>
      <c r="D800" s="312">
        <f>100*$C$800/85.55</f>
        <v>125.10812390414962</v>
      </c>
      <c r="E800" s="311">
        <v>116.27</v>
      </c>
      <c r="F800" s="312">
        <f>100*$E$800/85.55</f>
        <v>135.90882524839276</v>
      </c>
      <c r="G800" s="311">
        <v>107</v>
      </c>
      <c r="H800" s="312">
        <f>100*$G$800/85.55</f>
        <v>125.07305669199299</v>
      </c>
      <c r="I800" s="312">
        <v>103</v>
      </c>
      <c r="J800" s="312">
        <f>100*$I$800/85.55</f>
        <v>120.39742840444185</v>
      </c>
      <c r="K800" s="311">
        <v>94.5</v>
      </c>
      <c r="L800" s="312">
        <f>100*$K$800/85.55</f>
        <v>110.46171829339568</v>
      </c>
      <c r="M800" s="311">
        <v>109.29</v>
      </c>
      <c r="N800" s="313">
        <f>M800*100/85.55</f>
        <v>127.74985388661602</v>
      </c>
      <c r="O800" s="123"/>
      <c r="P800" s="123"/>
      <c r="Q800" s="180"/>
      <c r="R800" s="123"/>
      <c r="S800" s="119"/>
      <c r="T800" s="132"/>
    </row>
    <row r="801" spans="2:20">
      <c r="B801" s="310" t="s">
        <v>9</v>
      </c>
      <c r="C801" s="311">
        <v>110.84</v>
      </c>
      <c r="D801" s="312">
        <f>100*$C$801/85.55</f>
        <v>129.5616598480421</v>
      </c>
      <c r="E801" s="311">
        <v>93.8</v>
      </c>
      <c r="F801" s="312">
        <f>100*$E$801/85.55</f>
        <v>109.64348334307422</v>
      </c>
      <c r="G801" s="311">
        <v>86.25</v>
      </c>
      <c r="H801" s="312">
        <f>100*$G$801/85.55</f>
        <v>100.81823495032145</v>
      </c>
      <c r="I801" s="312">
        <v>90.8</v>
      </c>
      <c r="J801" s="312">
        <f>100*$I$801/85.55</f>
        <v>106.13676212741088</v>
      </c>
      <c r="K801" s="311">
        <v>100.71</v>
      </c>
      <c r="L801" s="312">
        <f>100*$K$801/85.55</f>
        <v>117.72063120981882</v>
      </c>
      <c r="M801" s="311">
        <v>118.33</v>
      </c>
      <c r="N801" s="313">
        <f>M801*100/85.55</f>
        <v>138.3167738164816</v>
      </c>
      <c r="O801" s="123"/>
      <c r="P801" s="123"/>
      <c r="Q801" s="180"/>
      <c r="R801" s="123"/>
      <c r="S801" s="119"/>
      <c r="T801" s="132"/>
    </row>
    <row r="802" spans="2:20">
      <c r="B802" s="310" t="s">
        <v>10</v>
      </c>
      <c r="C802" s="311">
        <v>99.32</v>
      </c>
      <c r="D802" s="312">
        <f>100*$C$802/85.55</f>
        <v>116.0958503798948</v>
      </c>
      <c r="E802" s="311">
        <v>95.37</v>
      </c>
      <c r="F802" s="312">
        <f>100*$E$802/85.55</f>
        <v>111.47866744593806</v>
      </c>
      <c r="G802" s="311">
        <v>109.8</v>
      </c>
      <c r="H802" s="312">
        <f>100*$G$802/85.55</f>
        <v>128.34599649327879</v>
      </c>
      <c r="I802" s="312">
        <v>109.5</v>
      </c>
      <c r="J802" s="312">
        <f>100*$I$802/85.55</f>
        <v>127.99532437171246</v>
      </c>
      <c r="K802" s="311">
        <v>105</v>
      </c>
      <c r="L802" s="312">
        <f>100*$K$802/85.55</f>
        <v>122.73524254821741</v>
      </c>
      <c r="M802" s="311">
        <v>110.33</v>
      </c>
      <c r="N802" s="313">
        <f>M802*100/85.55</f>
        <v>128.9655172413793</v>
      </c>
      <c r="O802" s="123"/>
      <c r="P802" s="123"/>
      <c r="Q802" s="180"/>
      <c r="R802" s="123"/>
      <c r="S802" s="119"/>
      <c r="T802" s="132"/>
    </row>
    <row r="803" spans="2:20" ht="15.75" thickBot="1">
      <c r="B803" s="314" t="s">
        <v>11</v>
      </c>
      <c r="C803" s="315">
        <v>93.79</v>
      </c>
      <c r="D803" s="316">
        <f>100*$C$803/85.55</f>
        <v>109.63179427235535</v>
      </c>
      <c r="E803" s="315">
        <v>101.5</v>
      </c>
      <c r="F803" s="316">
        <f>100*$E$803/85.55</f>
        <v>118.64406779661017</v>
      </c>
      <c r="G803" s="315">
        <v>96</v>
      </c>
      <c r="H803" s="316">
        <f>100*$G$803/85.55</f>
        <v>112.21507890122736</v>
      </c>
      <c r="I803" s="316">
        <v>99</v>
      </c>
      <c r="J803" s="316">
        <f>100*$I$803/85.55</f>
        <v>115.72180011689071</v>
      </c>
      <c r="K803" s="315">
        <v>95.17</v>
      </c>
      <c r="L803" s="316">
        <f>100*$K$803/85.55</f>
        <v>111.2448860315605</v>
      </c>
      <c r="M803" s="315">
        <v>111.86</v>
      </c>
      <c r="N803" s="317">
        <f>M803*100/85.55</f>
        <v>130.75394506136763</v>
      </c>
      <c r="O803" s="123"/>
      <c r="P803" s="123"/>
      <c r="Q803" s="180"/>
      <c r="R803" s="123"/>
      <c r="S803" s="119"/>
      <c r="T803" s="132"/>
    </row>
    <row r="804" spans="2:20">
      <c r="B804" s="167"/>
      <c r="C804" s="168"/>
      <c r="D804" s="171"/>
      <c r="E804" s="168"/>
      <c r="F804" s="171"/>
      <c r="G804" s="168"/>
      <c r="H804" s="171"/>
      <c r="I804" s="171"/>
      <c r="J804" s="171"/>
      <c r="K804" s="168"/>
      <c r="L804" s="171"/>
      <c r="M804" s="168"/>
      <c r="N804" s="171"/>
      <c r="O804" s="171"/>
      <c r="P804" s="171"/>
      <c r="Q804" s="180"/>
      <c r="R804" s="123"/>
      <c r="S804" s="119"/>
      <c r="T804" s="132"/>
    </row>
    <row r="805" spans="2:20" ht="15.75" thickBot="1">
      <c r="C805" s="168"/>
      <c r="D805" s="182"/>
      <c r="E805" s="168"/>
      <c r="F805" s="167"/>
      <c r="H805" s="170"/>
      <c r="I805" s="173"/>
      <c r="J805" s="167"/>
      <c r="K805" s="173"/>
      <c r="L805" s="167"/>
      <c r="M805" s="173"/>
      <c r="N805" s="167"/>
      <c r="O805" s="167"/>
      <c r="P805" s="167"/>
      <c r="Q805" s="180"/>
      <c r="R805" s="123"/>
      <c r="S805" s="119"/>
      <c r="T805" s="132"/>
    </row>
    <row r="806" spans="2:20" ht="18.75" thickBot="1">
      <c r="B806" s="540" t="s">
        <v>300</v>
      </c>
      <c r="C806" s="521"/>
      <c r="D806" s="361"/>
      <c r="E806" s="358"/>
      <c r="F806" s="358"/>
      <c r="G806" s="361">
        <v>127.6</v>
      </c>
      <c r="H806" s="362" t="s">
        <v>62</v>
      </c>
      <c r="I806" s="358"/>
      <c r="J806" s="358"/>
      <c r="K806" s="358"/>
      <c r="L806" s="541" t="s">
        <v>42</v>
      </c>
      <c r="M806" s="358"/>
      <c r="N806" s="359"/>
      <c r="O806" s="167"/>
      <c r="P806" s="167"/>
      <c r="Q806" s="180"/>
      <c r="R806" s="123"/>
      <c r="S806" s="119"/>
      <c r="T806" s="132"/>
    </row>
    <row r="807" spans="2:20" ht="15.75" thickBot="1">
      <c r="B807" s="1306">
        <v>2000</v>
      </c>
      <c r="C807" s="1307"/>
      <c r="D807" s="336" t="s">
        <v>15</v>
      </c>
      <c r="E807" s="336">
        <v>2001</v>
      </c>
      <c r="F807" s="336" t="s">
        <v>15</v>
      </c>
      <c r="G807" s="336">
        <v>2002</v>
      </c>
      <c r="H807" s="336" t="s">
        <v>15</v>
      </c>
      <c r="I807" s="336">
        <v>2003</v>
      </c>
      <c r="J807" s="336" t="s">
        <v>15</v>
      </c>
      <c r="K807" s="336">
        <v>2004</v>
      </c>
      <c r="L807" s="336" t="s">
        <v>15</v>
      </c>
      <c r="M807" s="336">
        <v>2005</v>
      </c>
      <c r="N807" s="354" t="s">
        <v>15</v>
      </c>
      <c r="O807" s="182"/>
      <c r="P807" s="182"/>
      <c r="S807" s="119"/>
      <c r="T807" s="132"/>
    </row>
    <row r="808" spans="2:20">
      <c r="B808" s="306" t="s">
        <v>0</v>
      </c>
      <c r="C808" s="307"/>
      <c r="D808" s="308"/>
      <c r="E808" s="307">
        <v>163</v>
      </c>
      <c r="F808" s="308">
        <f t="shared" ref="F808:F819" si="763">100*E808/$G$806</f>
        <v>127.74294670846396</v>
      </c>
      <c r="G808" s="307">
        <v>170.2</v>
      </c>
      <c r="H808" s="308">
        <f t="shared" ref="H808:H819" si="764">100*G808/$G$806</f>
        <v>133.38557993730407</v>
      </c>
      <c r="I808" s="308">
        <v>201.78</v>
      </c>
      <c r="J808" s="308">
        <f t="shared" ref="J808:J819" si="765">100*I808/$G$806</f>
        <v>158.13479623824452</v>
      </c>
      <c r="K808" s="308">
        <v>212.2</v>
      </c>
      <c r="L808" s="308">
        <f t="shared" ref="L808:L819" si="766">100*K808/$G$806</f>
        <v>166.30094043887149</v>
      </c>
      <c r="M808" s="308">
        <v>273.74</v>
      </c>
      <c r="N808" s="309">
        <f t="shared" ref="N808:N819" si="767">100*M808/$G$806</f>
        <v>214.52978056426332</v>
      </c>
      <c r="O808" s="171"/>
      <c r="P808" s="171"/>
      <c r="S808" s="119"/>
      <c r="T808" s="132"/>
    </row>
    <row r="809" spans="2:20">
      <c r="B809" s="310" t="s">
        <v>1</v>
      </c>
      <c r="C809" s="311"/>
      <c r="D809" s="312"/>
      <c r="E809" s="311">
        <v>162.5</v>
      </c>
      <c r="F809" s="312">
        <f t="shared" si="763"/>
        <v>127.35109717868339</v>
      </c>
      <c r="G809" s="311">
        <v>168.2</v>
      </c>
      <c r="H809" s="312">
        <f t="shared" si="764"/>
        <v>131.81818181818181</v>
      </c>
      <c r="I809" s="312">
        <v>248.52</v>
      </c>
      <c r="J809" s="312">
        <f t="shared" si="765"/>
        <v>194.76489028213166</v>
      </c>
      <c r="K809" s="312">
        <v>239.5</v>
      </c>
      <c r="L809" s="312">
        <f t="shared" si="766"/>
        <v>187.69592476489029</v>
      </c>
      <c r="M809" s="312">
        <v>279.67</v>
      </c>
      <c r="N809" s="313">
        <f t="shared" si="767"/>
        <v>219.17711598746084</v>
      </c>
      <c r="O809" s="171"/>
      <c r="P809" s="171"/>
      <c r="S809" s="119"/>
      <c r="T809" s="132"/>
    </row>
    <row r="810" spans="2:20">
      <c r="B810" s="310" t="s">
        <v>2</v>
      </c>
      <c r="C810" s="311"/>
      <c r="D810" s="312"/>
      <c r="E810" s="311">
        <v>154.25</v>
      </c>
      <c r="F810" s="312">
        <f t="shared" si="763"/>
        <v>120.88557993730409</v>
      </c>
      <c r="G810" s="311">
        <v>167.2</v>
      </c>
      <c r="H810" s="312">
        <f t="shared" si="764"/>
        <v>131.0344827586207</v>
      </c>
      <c r="I810" s="312">
        <v>211.6</v>
      </c>
      <c r="J810" s="312">
        <f t="shared" si="765"/>
        <v>165.83072100313481</v>
      </c>
      <c r="K810" s="312">
        <v>248.25</v>
      </c>
      <c r="L810" s="312">
        <f t="shared" si="766"/>
        <v>194.55329153605015</v>
      </c>
      <c r="M810" s="312">
        <v>278.55</v>
      </c>
      <c r="N810" s="313">
        <f t="shared" si="767"/>
        <v>218.29937304075236</v>
      </c>
      <c r="O810" s="171"/>
      <c r="P810" s="171"/>
      <c r="S810" s="119"/>
      <c r="T810" s="132"/>
    </row>
    <row r="811" spans="2:20">
      <c r="B811" s="310" t="s">
        <v>3</v>
      </c>
      <c r="C811" s="311">
        <v>127.6</v>
      </c>
      <c r="D811" s="312">
        <v>100</v>
      </c>
      <c r="E811" s="311">
        <v>163.80000000000001</v>
      </c>
      <c r="F811" s="312">
        <f t="shared" si="763"/>
        <v>128.36990595611286</v>
      </c>
      <c r="G811" s="311">
        <v>172.4</v>
      </c>
      <c r="H811" s="312">
        <f t="shared" si="764"/>
        <v>135.10971786833858</v>
      </c>
      <c r="I811" s="312">
        <v>204.75</v>
      </c>
      <c r="J811" s="312">
        <f t="shared" si="765"/>
        <v>160.46238244514106</v>
      </c>
      <c r="K811" s="312">
        <v>242.5</v>
      </c>
      <c r="L811" s="312">
        <f t="shared" si="766"/>
        <v>190.04702194357367</v>
      </c>
      <c r="M811" s="312">
        <v>287.22000000000003</v>
      </c>
      <c r="N811" s="313">
        <f t="shared" si="767"/>
        <v>225.09404388714736</v>
      </c>
      <c r="O811" s="171"/>
      <c r="P811" s="171"/>
      <c r="S811" s="119"/>
      <c r="T811" s="132"/>
    </row>
    <row r="812" spans="2:20">
      <c r="B812" s="310" t="s">
        <v>4</v>
      </c>
      <c r="C812" s="311">
        <v>141</v>
      </c>
      <c r="D812" s="312">
        <f t="shared" ref="D812:D819" si="768">100*((C812/127.6))</f>
        <v>110.50156739811914</v>
      </c>
      <c r="E812" s="311">
        <v>159</v>
      </c>
      <c r="F812" s="312">
        <f t="shared" si="763"/>
        <v>124.60815047021944</v>
      </c>
      <c r="G812" s="311">
        <v>175.8</v>
      </c>
      <c r="H812" s="312">
        <f t="shared" si="764"/>
        <v>137.77429467084639</v>
      </c>
      <c r="I812" s="312">
        <v>237.92</v>
      </c>
      <c r="J812" s="312">
        <f t="shared" si="765"/>
        <v>186.45768025078371</v>
      </c>
      <c r="K812" s="312">
        <v>243.09</v>
      </c>
      <c r="L812" s="312">
        <f t="shared" si="766"/>
        <v>190.50940438871473</v>
      </c>
      <c r="M812" s="312">
        <v>281.52999999999997</v>
      </c>
      <c r="N812" s="313">
        <f t="shared" si="767"/>
        <v>220.63479623824449</v>
      </c>
      <c r="O812" s="171"/>
      <c r="P812" s="171"/>
      <c r="S812" s="119"/>
      <c r="T812" s="132"/>
    </row>
    <row r="813" spans="2:20">
      <c r="B813" s="310" t="s">
        <v>5</v>
      </c>
      <c r="C813" s="311">
        <v>153.16999999999999</v>
      </c>
      <c r="D813" s="312">
        <f t="shared" si="768"/>
        <v>120.03918495297805</v>
      </c>
      <c r="E813" s="311">
        <v>166.4</v>
      </c>
      <c r="F813" s="312">
        <f t="shared" si="763"/>
        <v>130.4075235109718</v>
      </c>
      <c r="G813" s="311">
        <v>170.4</v>
      </c>
      <c r="H813" s="312">
        <f t="shared" si="764"/>
        <v>133.54231974921632</v>
      </c>
      <c r="I813" s="312">
        <v>234</v>
      </c>
      <c r="J813" s="312">
        <f t="shared" si="765"/>
        <v>183.38557993730407</v>
      </c>
      <c r="K813" s="312">
        <v>243.6</v>
      </c>
      <c r="L813" s="312">
        <f t="shared" si="766"/>
        <v>190.90909090909091</v>
      </c>
      <c r="M813" s="312">
        <v>286.14999999999998</v>
      </c>
      <c r="N813" s="313">
        <f t="shared" si="767"/>
        <v>224.2554858934169</v>
      </c>
      <c r="O813" s="171"/>
      <c r="P813" s="171"/>
      <c r="S813" s="119"/>
      <c r="T813" s="132"/>
    </row>
    <row r="814" spans="2:20">
      <c r="B814" s="310" t="s">
        <v>6</v>
      </c>
      <c r="C814" s="311">
        <v>138.29</v>
      </c>
      <c r="D814" s="312">
        <f t="shared" si="768"/>
        <v>108.37774294670845</v>
      </c>
      <c r="E814" s="311">
        <v>163</v>
      </c>
      <c r="F814" s="312">
        <f t="shared" si="763"/>
        <v>127.74294670846396</v>
      </c>
      <c r="G814" s="311">
        <v>168.8</v>
      </c>
      <c r="H814" s="312">
        <f t="shared" si="764"/>
        <v>132.28840125391849</v>
      </c>
      <c r="I814" s="312">
        <v>231.82</v>
      </c>
      <c r="J814" s="312">
        <f t="shared" si="765"/>
        <v>181.67711598746084</v>
      </c>
      <c r="K814" s="312">
        <v>258.60000000000002</v>
      </c>
      <c r="L814" s="312">
        <f t="shared" si="766"/>
        <v>202.66457680250787</v>
      </c>
      <c r="M814" s="312">
        <v>277.25</v>
      </c>
      <c r="N814" s="313">
        <f t="shared" si="767"/>
        <v>217.2805642633229</v>
      </c>
      <c r="O814" s="171"/>
      <c r="P814" s="171"/>
      <c r="S814" s="119"/>
      <c r="T814" s="132"/>
    </row>
    <row r="815" spans="2:20">
      <c r="B815" s="310" t="s">
        <v>7</v>
      </c>
      <c r="C815" s="311">
        <v>153.4</v>
      </c>
      <c r="D815" s="312">
        <f t="shared" si="768"/>
        <v>120.21943573667713</v>
      </c>
      <c r="E815" s="311">
        <v>168</v>
      </c>
      <c r="F815" s="312">
        <f t="shared" si="763"/>
        <v>131.6614420062696</v>
      </c>
      <c r="G815" s="311">
        <v>178.2</v>
      </c>
      <c r="H815" s="312">
        <f t="shared" si="764"/>
        <v>139.65517241379311</v>
      </c>
      <c r="I815" s="312">
        <v>235.4</v>
      </c>
      <c r="J815" s="312">
        <f t="shared" si="765"/>
        <v>184.48275862068965</v>
      </c>
      <c r="K815" s="312">
        <v>260.39999999999998</v>
      </c>
      <c r="L815" s="312">
        <f t="shared" si="766"/>
        <v>204.07523510971785</v>
      </c>
      <c r="M815" s="312">
        <v>286.08</v>
      </c>
      <c r="N815" s="313">
        <f t="shared" si="767"/>
        <v>224.20062695924767</v>
      </c>
      <c r="O815" s="171"/>
      <c r="P815" s="171"/>
      <c r="S815" s="119"/>
      <c r="T815" s="132"/>
    </row>
    <row r="816" spans="2:20">
      <c r="B816" s="310" t="s">
        <v>8</v>
      </c>
      <c r="C816" s="311">
        <v>151.66999999999999</v>
      </c>
      <c r="D816" s="312">
        <f t="shared" si="768"/>
        <v>118.86363636363635</v>
      </c>
      <c r="E816" s="311">
        <v>162.6</v>
      </c>
      <c r="F816" s="312">
        <f t="shared" si="763"/>
        <v>127.4294670846395</v>
      </c>
      <c r="G816" s="311">
        <v>198</v>
      </c>
      <c r="H816" s="312">
        <f t="shared" si="764"/>
        <v>155.17241379310346</v>
      </c>
      <c r="I816" s="312">
        <v>240.78</v>
      </c>
      <c r="J816" s="312">
        <f t="shared" si="765"/>
        <v>188.69905956112854</v>
      </c>
      <c r="K816" s="312">
        <v>257.75</v>
      </c>
      <c r="L816" s="312">
        <f t="shared" si="766"/>
        <v>201.99843260188089</v>
      </c>
      <c r="M816" s="312">
        <v>285.11</v>
      </c>
      <c r="N816" s="313">
        <f t="shared" si="767"/>
        <v>223.44043887147336</v>
      </c>
      <c r="O816" s="171"/>
      <c r="P816" s="171"/>
      <c r="S816" s="119"/>
      <c r="T816" s="132"/>
    </row>
    <row r="817" spans="2:20">
      <c r="B817" s="310" t="s">
        <v>9</v>
      </c>
      <c r="C817" s="311">
        <v>144.6</v>
      </c>
      <c r="D817" s="312">
        <f t="shared" si="768"/>
        <v>113.32288401253918</v>
      </c>
      <c r="E817" s="311">
        <v>170</v>
      </c>
      <c r="F817" s="312">
        <f t="shared" si="763"/>
        <v>133.22884012539186</v>
      </c>
      <c r="G817" s="311">
        <v>190</v>
      </c>
      <c r="H817" s="312">
        <f t="shared" si="764"/>
        <v>148.90282131661442</v>
      </c>
      <c r="I817" s="312">
        <v>232.4</v>
      </c>
      <c r="J817" s="312">
        <f t="shared" si="765"/>
        <v>182.13166144200628</v>
      </c>
      <c r="K817" s="312">
        <v>270.60000000000002</v>
      </c>
      <c r="L817" s="312">
        <f t="shared" si="766"/>
        <v>212.06896551724142</v>
      </c>
      <c r="M817" s="312">
        <v>279.44</v>
      </c>
      <c r="N817" s="313">
        <f t="shared" si="767"/>
        <v>218.99686520376176</v>
      </c>
      <c r="O817" s="171"/>
      <c r="P817" s="171"/>
      <c r="S817" s="119"/>
      <c r="T817" s="132"/>
    </row>
    <row r="818" spans="2:20">
      <c r="B818" s="310" t="s">
        <v>10</v>
      </c>
      <c r="C818" s="311">
        <v>156.4</v>
      </c>
      <c r="D818" s="312">
        <f t="shared" si="768"/>
        <v>122.5705329153605</v>
      </c>
      <c r="E818" s="311">
        <v>166.4</v>
      </c>
      <c r="F818" s="312">
        <f t="shared" si="763"/>
        <v>130.4075235109718</v>
      </c>
      <c r="G818" s="311">
        <v>194.6</v>
      </c>
      <c r="H818" s="312">
        <f t="shared" si="764"/>
        <v>152.50783699059562</v>
      </c>
      <c r="I818" s="312">
        <v>227.8</v>
      </c>
      <c r="J818" s="312">
        <f t="shared" si="765"/>
        <v>178.52664576802508</v>
      </c>
      <c r="K818" s="312">
        <v>279.39999999999998</v>
      </c>
      <c r="L818" s="312">
        <f t="shared" si="766"/>
        <v>218.9655172413793</v>
      </c>
      <c r="M818" s="312">
        <v>286.25</v>
      </c>
      <c r="N818" s="313">
        <f t="shared" si="767"/>
        <v>224.33385579937305</v>
      </c>
      <c r="O818" s="171"/>
      <c r="P818" s="171"/>
      <c r="S818" s="119"/>
      <c r="T818" s="132"/>
    </row>
    <row r="819" spans="2:20" ht="15.75" thickBot="1">
      <c r="B819" s="314" t="s">
        <v>11</v>
      </c>
      <c r="C819" s="315">
        <v>156.75</v>
      </c>
      <c r="D819" s="316">
        <f t="shared" si="768"/>
        <v>122.84482758620689</v>
      </c>
      <c r="E819" s="315">
        <v>159</v>
      </c>
      <c r="F819" s="316">
        <f t="shared" si="763"/>
        <v>124.60815047021944</v>
      </c>
      <c r="G819" s="315">
        <v>205.57</v>
      </c>
      <c r="H819" s="316">
        <f t="shared" si="764"/>
        <v>161.1050156739812</v>
      </c>
      <c r="I819" s="316">
        <v>226.7</v>
      </c>
      <c r="J819" s="316">
        <f t="shared" si="765"/>
        <v>177.66457680250784</v>
      </c>
      <c r="K819" s="316">
        <v>270</v>
      </c>
      <c r="L819" s="316">
        <f t="shared" si="766"/>
        <v>211.59874608150471</v>
      </c>
      <c r="M819" s="316">
        <v>287.36</v>
      </c>
      <c r="N819" s="317">
        <f t="shared" si="767"/>
        <v>225.20376175548591</v>
      </c>
      <c r="O819" s="171"/>
      <c r="P819" s="171"/>
      <c r="S819" s="119"/>
      <c r="T819" s="132"/>
    </row>
    <row r="820" spans="2:20" ht="15.75" thickBot="1">
      <c r="B820" s="119"/>
      <c r="C820" s="118"/>
      <c r="D820" s="123"/>
      <c r="E820" s="118"/>
      <c r="F820" s="123"/>
      <c r="G820" s="118"/>
      <c r="H820" s="123"/>
      <c r="I820" s="123"/>
      <c r="J820" s="123"/>
      <c r="K820" s="123"/>
      <c r="L820" s="123"/>
      <c r="M820" s="123"/>
      <c r="N820" s="123"/>
      <c r="O820" s="123"/>
      <c r="P820" s="123"/>
      <c r="Q820" s="123"/>
      <c r="R820" s="123"/>
      <c r="S820" s="119"/>
      <c r="T820" s="132"/>
    </row>
    <row r="821" spans="2:20" ht="18.75" thickBot="1">
      <c r="B821" s="540" t="s">
        <v>300</v>
      </c>
      <c r="C821" s="521"/>
      <c r="D821" s="361"/>
      <c r="E821" s="358"/>
      <c r="F821" s="358"/>
      <c r="G821" s="361">
        <v>127.6</v>
      </c>
      <c r="H821" s="362" t="s">
        <v>62</v>
      </c>
      <c r="I821" s="358"/>
      <c r="J821" s="358"/>
      <c r="K821" s="358"/>
      <c r="L821" s="541" t="s">
        <v>42</v>
      </c>
      <c r="M821" s="358"/>
      <c r="N821" s="359"/>
      <c r="O821" s="123"/>
      <c r="P821" s="123"/>
      <c r="Q821" s="123"/>
      <c r="R821" s="123"/>
      <c r="S821" s="119"/>
      <c r="T821" s="132"/>
    </row>
    <row r="822" spans="2:20" ht="15.75" thickBot="1">
      <c r="B822" s="1306">
        <v>2006</v>
      </c>
      <c r="C822" s="1307"/>
      <c r="D822" s="336" t="s">
        <v>15</v>
      </c>
      <c r="E822" s="336">
        <v>2007</v>
      </c>
      <c r="F822" s="336" t="s">
        <v>15</v>
      </c>
      <c r="G822" s="336">
        <v>2008</v>
      </c>
      <c r="H822" s="336" t="s">
        <v>15</v>
      </c>
      <c r="I822" s="336">
        <v>2009</v>
      </c>
      <c r="J822" s="336" t="s">
        <v>15</v>
      </c>
      <c r="K822" s="336">
        <v>2010</v>
      </c>
      <c r="L822" s="336" t="s">
        <v>15</v>
      </c>
      <c r="M822" s="336">
        <v>2011</v>
      </c>
      <c r="N822" s="354" t="s">
        <v>15</v>
      </c>
      <c r="O822" s="123"/>
      <c r="P822" s="123"/>
      <c r="Q822" s="123"/>
      <c r="R822" s="123"/>
      <c r="S822" s="119"/>
      <c r="T822" s="132"/>
    </row>
    <row r="823" spans="2:20">
      <c r="B823" s="306" t="s">
        <v>0</v>
      </c>
      <c r="C823" s="308">
        <v>282.5</v>
      </c>
      <c r="D823" s="308">
        <f t="shared" ref="D823:D834" si="769">100*C823/$G$806</f>
        <v>221.39498432601883</v>
      </c>
      <c r="E823" s="308">
        <v>278</v>
      </c>
      <c r="F823" s="308">
        <f t="shared" ref="F823:F834" si="770">100*E823/$G$806</f>
        <v>217.86833855799375</v>
      </c>
      <c r="G823" s="308">
        <v>275</v>
      </c>
      <c r="H823" s="308">
        <f t="shared" ref="H823:H834" si="771">100*G823/$G$806</f>
        <v>215.51724137931035</v>
      </c>
      <c r="I823" s="308">
        <v>302</v>
      </c>
      <c r="J823" s="308">
        <f t="shared" ref="J823:J834" si="772">100*I823/$G$806</f>
        <v>236.67711598746084</v>
      </c>
      <c r="K823" s="308">
        <v>333.33333333333331</v>
      </c>
      <c r="L823" s="308">
        <f t="shared" ref="L823:L834" si="773">100*K823/$G$806</f>
        <v>261.23301985370949</v>
      </c>
      <c r="M823" s="308">
        <v>350.75166666666672</v>
      </c>
      <c r="N823" s="309">
        <f t="shared" ref="N823:N834" si="774">100*M823/$G$806</f>
        <v>274.88375130616515</v>
      </c>
      <c r="O823" s="123"/>
      <c r="P823" s="174">
        <f>+G829/G824-1</f>
        <v>5.8994901675163858E-2</v>
      </c>
      <c r="Q823" s="123"/>
      <c r="R823" s="123"/>
      <c r="S823" s="119"/>
      <c r="T823" s="132"/>
    </row>
    <row r="824" spans="2:20">
      <c r="B824" s="310" t="s">
        <v>1</v>
      </c>
      <c r="C824" s="312">
        <v>282.43</v>
      </c>
      <c r="D824" s="312">
        <f t="shared" si="769"/>
        <v>221.34012539184954</v>
      </c>
      <c r="E824" s="312">
        <v>283</v>
      </c>
      <c r="F824" s="312">
        <f t="shared" si="770"/>
        <v>221.78683385579939</v>
      </c>
      <c r="G824" s="312">
        <v>274.60000000000002</v>
      </c>
      <c r="H824" s="312">
        <f t="shared" si="771"/>
        <v>215.20376175548594</v>
      </c>
      <c r="I824" s="312">
        <v>305</v>
      </c>
      <c r="J824" s="312">
        <f t="shared" si="772"/>
        <v>239.02821316614421</v>
      </c>
      <c r="K824" s="312">
        <v>329.66666666666669</v>
      </c>
      <c r="L824" s="312">
        <f t="shared" si="773"/>
        <v>258.35945663531874</v>
      </c>
      <c r="M824" s="312">
        <v>350.75166666666672</v>
      </c>
      <c r="N824" s="313">
        <f t="shared" si="774"/>
        <v>274.88375130616515</v>
      </c>
      <c r="O824" s="123"/>
      <c r="P824" s="123"/>
      <c r="Q824" s="123"/>
      <c r="R824" s="123"/>
      <c r="S824" s="119"/>
      <c r="T824" s="132"/>
    </row>
    <row r="825" spans="2:20">
      <c r="B825" s="310" t="s">
        <v>2</v>
      </c>
      <c r="C825" s="312">
        <v>284.43</v>
      </c>
      <c r="D825" s="312">
        <f t="shared" si="769"/>
        <v>222.9075235109718</v>
      </c>
      <c r="E825" s="312">
        <v>287.5</v>
      </c>
      <c r="F825" s="312">
        <f t="shared" si="770"/>
        <v>225.31347962382446</v>
      </c>
      <c r="G825" s="312">
        <v>280.60000000000002</v>
      </c>
      <c r="H825" s="312">
        <f t="shared" si="771"/>
        <v>219.90595611285269</v>
      </c>
      <c r="I825" s="312">
        <v>309</v>
      </c>
      <c r="J825" s="312">
        <f t="shared" si="772"/>
        <v>242.16300940438873</v>
      </c>
      <c r="K825" s="312">
        <v>326.5</v>
      </c>
      <c r="L825" s="312">
        <f t="shared" si="773"/>
        <v>255.87774294670848</v>
      </c>
      <c r="M825" s="312">
        <v>350.75166666666672</v>
      </c>
      <c r="N825" s="313">
        <f t="shared" si="774"/>
        <v>274.88375130616515</v>
      </c>
      <c r="O825" s="123"/>
      <c r="P825" s="123"/>
      <c r="Q825" s="123"/>
      <c r="R825" s="123"/>
      <c r="S825" s="119"/>
      <c r="T825" s="132"/>
    </row>
    <row r="826" spans="2:20">
      <c r="B826" s="310" t="s">
        <v>3</v>
      </c>
      <c r="C826" s="312">
        <v>287.43</v>
      </c>
      <c r="D826" s="312">
        <f t="shared" si="769"/>
        <v>225.25862068965517</v>
      </c>
      <c r="E826" s="312">
        <v>279.43</v>
      </c>
      <c r="F826" s="312">
        <f t="shared" si="770"/>
        <v>218.98902821316616</v>
      </c>
      <c r="G826" s="312">
        <v>280</v>
      </c>
      <c r="H826" s="312">
        <f t="shared" si="771"/>
        <v>219.43573667711598</v>
      </c>
      <c r="I826" s="312">
        <v>309</v>
      </c>
      <c r="J826" s="312">
        <f t="shared" si="772"/>
        <v>242.16300940438873</v>
      </c>
      <c r="K826" s="312">
        <v>316.37</v>
      </c>
      <c r="L826" s="312">
        <f t="shared" si="773"/>
        <v>247.93887147335425</v>
      </c>
      <c r="M826" s="312">
        <v>350.75166666666672</v>
      </c>
      <c r="N826" s="313">
        <f t="shared" si="774"/>
        <v>274.88375130616515</v>
      </c>
      <c r="O826" s="123"/>
      <c r="P826" s="123"/>
      <c r="Q826" s="123"/>
      <c r="R826" s="123"/>
      <c r="S826" s="119"/>
      <c r="T826" s="132"/>
    </row>
    <row r="827" spans="2:20">
      <c r="B827" s="310" t="s">
        <v>4</v>
      </c>
      <c r="C827" s="312">
        <v>278.86</v>
      </c>
      <c r="D827" s="312">
        <f t="shared" si="769"/>
        <v>218.54231974921632</v>
      </c>
      <c r="E827" s="312">
        <v>298.86</v>
      </c>
      <c r="F827" s="312">
        <f t="shared" si="770"/>
        <v>234.21630094043888</v>
      </c>
      <c r="G827" s="312">
        <v>282</v>
      </c>
      <c r="H827" s="312">
        <f t="shared" si="771"/>
        <v>221.00313479623824</v>
      </c>
      <c r="I827" s="312">
        <v>311</v>
      </c>
      <c r="J827" s="312">
        <f t="shared" si="772"/>
        <v>243.73040752351099</v>
      </c>
      <c r="K827" s="312">
        <v>325.91166666666669</v>
      </c>
      <c r="L827" s="312">
        <f t="shared" si="773"/>
        <v>255.41666666666669</v>
      </c>
      <c r="M827" s="312">
        <v>350.75166666666672</v>
      </c>
      <c r="N827" s="313">
        <f t="shared" si="774"/>
        <v>274.88375130616515</v>
      </c>
      <c r="O827" s="123"/>
      <c r="P827" s="123"/>
      <c r="Q827" s="123"/>
      <c r="R827" s="123"/>
      <c r="S827" s="119"/>
      <c r="T827" s="132"/>
    </row>
    <row r="828" spans="2:20">
      <c r="B828" s="310" t="s">
        <v>5</v>
      </c>
      <c r="C828" s="312">
        <v>291.33</v>
      </c>
      <c r="D828" s="312">
        <f t="shared" si="769"/>
        <v>228.31504702194357</v>
      </c>
      <c r="E828" s="312">
        <v>302.14285714285717</v>
      </c>
      <c r="F828" s="312">
        <f t="shared" si="770"/>
        <v>236.78907299596958</v>
      </c>
      <c r="G828" s="312">
        <v>282.2</v>
      </c>
      <c r="H828" s="312">
        <f t="shared" si="771"/>
        <v>221.15987460815049</v>
      </c>
      <c r="I828" s="312">
        <v>314</v>
      </c>
      <c r="J828" s="312">
        <f t="shared" si="772"/>
        <v>246.08150470219437</v>
      </c>
      <c r="K828" s="312">
        <v>342.56833333333333</v>
      </c>
      <c r="L828" s="312">
        <f t="shared" si="773"/>
        <v>268.47048066875658</v>
      </c>
      <c r="M828" s="312">
        <v>350.75166666666672</v>
      </c>
      <c r="N828" s="313">
        <f t="shared" si="774"/>
        <v>274.88375130616515</v>
      </c>
      <c r="O828" s="123"/>
      <c r="P828" s="123"/>
      <c r="Q828" s="123"/>
      <c r="R828" s="123"/>
      <c r="S828" s="119"/>
      <c r="T828" s="132"/>
    </row>
    <row r="829" spans="2:20">
      <c r="B829" s="310" t="s">
        <v>6</v>
      </c>
      <c r="C829" s="312">
        <v>269.17</v>
      </c>
      <c r="D829" s="312">
        <f t="shared" si="769"/>
        <v>210.94827586206898</v>
      </c>
      <c r="E829" s="312">
        <v>270.39999999999998</v>
      </c>
      <c r="F829" s="312">
        <f t="shared" si="770"/>
        <v>211.91222570532912</v>
      </c>
      <c r="G829" s="312">
        <v>290.8</v>
      </c>
      <c r="H829" s="312">
        <f t="shared" si="771"/>
        <v>227.89968652037618</v>
      </c>
      <c r="I829" s="312">
        <v>316.5</v>
      </c>
      <c r="J829" s="312">
        <f t="shared" si="772"/>
        <v>248.04075235109718</v>
      </c>
      <c r="K829" s="312">
        <v>342.56833333333333</v>
      </c>
      <c r="L829" s="312">
        <f t="shared" si="773"/>
        <v>268.47048066875658</v>
      </c>
      <c r="M829" s="312">
        <v>350.75166666666672</v>
      </c>
      <c r="N829" s="313">
        <f t="shared" si="774"/>
        <v>274.88375130616515</v>
      </c>
      <c r="O829" s="123"/>
      <c r="P829" s="123"/>
      <c r="Q829" s="123"/>
      <c r="R829" s="123"/>
      <c r="S829" s="119"/>
      <c r="T829" s="132"/>
    </row>
    <row r="830" spans="2:20">
      <c r="B830" s="310" t="s">
        <v>7</v>
      </c>
      <c r="C830" s="312">
        <v>271.60000000000002</v>
      </c>
      <c r="D830" s="312">
        <f t="shared" si="769"/>
        <v>212.85266457680254</v>
      </c>
      <c r="E830" s="312">
        <v>269.39999999999998</v>
      </c>
      <c r="F830" s="312">
        <f t="shared" si="770"/>
        <v>211.12852664576801</v>
      </c>
      <c r="G830" s="312">
        <v>288.16666666666669</v>
      </c>
      <c r="H830" s="312">
        <f t="shared" si="771"/>
        <v>225.8359456635319</v>
      </c>
      <c r="I830" s="312">
        <v>320.67</v>
      </c>
      <c r="J830" s="312">
        <f t="shared" si="772"/>
        <v>251.30877742946709</v>
      </c>
      <c r="K830" s="312">
        <v>344.12</v>
      </c>
      <c r="L830" s="312">
        <f t="shared" si="773"/>
        <v>269.68652037617557</v>
      </c>
      <c r="M830" s="312">
        <v>350.75166666666672</v>
      </c>
      <c r="N830" s="313">
        <f t="shared" si="774"/>
        <v>274.88375130616515</v>
      </c>
      <c r="O830" s="123"/>
      <c r="P830" s="123"/>
      <c r="Q830" s="123"/>
      <c r="R830" s="123"/>
      <c r="S830" s="119"/>
      <c r="T830" s="132"/>
    </row>
    <row r="831" spans="2:20">
      <c r="B831" s="310" t="s">
        <v>8</v>
      </c>
      <c r="C831" s="312">
        <v>280.5</v>
      </c>
      <c r="D831" s="312">
        <f t="shared" si="769"/>
        <v>219.82758620689657</v>
      </c>
      <c r="E831" s="312">
        <v>267.5</v>
      </c>
      <c r="F831" s="312">
        <f t="shared" si="770"/>
        <v>209.6394984326019</v>
      </c>
      <c r="G831" s="312">
        <v>295.8</v>
      </c>
      <c r="H831" s="312">
        <f t="shared" si="771"/>
        <v>231.81818181818184</v>
      </c>
      <c r="I831" s="312">
        <v>322.33</v>
      </c>
      <c r="J831" s="312">
        <f t="shared" si="772"/>
        <v>252.60971786833858</v>
      </c>
      <c r="K831" s="312">
        <v>344.12</v>
      </c>
      <c r="L831" s="312">
        <f t="shared" si="773"/>
        <v>269.68652037617557</v>
      </c>
      <c r="M831" s="312">
        <v>375.375</v>
      </c>
      <c r="N831" s="313">
        <f t="shared" si="774"/>
        <v>294.18103448275866</v>
      </c>
      <c r="O831" s="123"/>
      <c r="P831" s="123"/>
      <c r="Q831" s="123"/>
      <c r="R831" s="123"/>
      <c r="S831" s="119"/>
      <c r="T831" s="132"/>
    </row>
    <row r="832" spans="2:20">
      <c r="B832" s="310" t="s">
        <v>9</v>
      </c>
      <c r="C832" s="312">
        <v>276.8</v>
      </c>
      <c r="D832" s="312">
        <f t="shared" si="769"/>
        <v>216.92789968652039</v>
      </c>
      <c r="E832" s="312">
        <v>269</v>
      </c>
      <c r="F832" s="312">
        <f t="shared" si="770"/>
        <v>210.81504702194357</v>
      </c>
      <c r="G832" s="312">
        <v>295</v>
      </c>
      <c r="H832" s="312">
        <f t="shared" si="771"/>
        <v>231.19122257053291</v>
      </c>
      <c r="I832" s="312">
        <v>325</v>
      </c>
      <c r="J832" s="312">
        <f t="shared" si="772"/>
        <v>254.70219435736678</v>
      </c>
      <c r="K832" s="312">
        <v>344.12</v>
      </c>
      <c r="L832" s="312">
        <f t="shared" si="773"/>
        <v>269.68652037617557</v>
      </c>
      <c r="M832" s="312">
        <v>377.04166666666669</v>
      </c>
      <c r="N832" s="313">
        <f t="shared" si="774"/>
        <v>295.48719958202724</v>
      </c>
      <c r="O832" s="123"/>
      <c r="P832" s="123"/>
      <c r="Q832" s="123"/>
      <c r="R832" s="123"/>
      <c r="S832" s="119"/>
      <c r="T832" s="132"/>
    </row>
    <row r="833" spans="2:20">
      <c r="B833" s="310" t="s">
        <v>10</v>
      </c>
      <c r="C833" s="312">
        <v>287</v>
      </c>
      <c r="D833" s="312">
        <f t="shared" si="769"/>
        <v>224.92163009404391</v>
      </c>
      <c r="E833" s="312">
        <v>275</v>
      </c>
      <c r="F833" s="312">
        <f t="shared" si="770"/>
        <v>215.51724137931035</v>
      </c>
      <c r="G833" s="312">
        <v>300</v>
      </c>
      <c r="H833" s="312">
        <f t="shared" si="771"/>
        <v>235.10971786833858</v>
      </c>
      <c r="I833" s="312">
        <v>322</v>
      </c>
      <c r="J833" s="312">
        <f t="shared" si="772"/>
        <v>252.3510971786834</v>
      </c>
      <c r="K833" s="312">
        <v>344.79</v>
      </c>
      <c r="L833" s="312">
        <f t="shared" si="773"/>
        <v>270.21159874608151</v>
      </c>
      <c r="M833" s="312">
        <v>385.5</v>
      </c>
      <c r="N833" s="313">
        <f t="shared" si="774"/>
        <v>302.11598746081506</v>
      </c>
      <c r="O833" s="123"/>
      <c r="P833" s="123"/>
      <c r="Q833" s="123"/>
      <c r="R833" s="123"/>
      <c r="S833" s="119"/>
      <c r="T833" s="132"/>
    </row>
    <row r="834" spans="2:20" ht="15.75" thickBot="1">
      <c r="B834" s="314" t="s">
        <v>11</v>
      </c>
      <c r="C834" s="316">
        <v>260</v>
      </c>
      <c r="D834" s="316">
        <f t="shared" si="769"/>
        <v>203.76175548589342</v>
      </c>
      <c r="E834" s="316">
        <v>274.5</v>
      </c>
      <c r="F834" s="316">
        <f t="shared" si="770"/>
        <v>215.12539184952979</v>
      </c>
      <c r="G834" s="316">
        <v>302.5</v>
      </c>
      <c r="H834" s="316">
        <f t="shared" si="771"/>
        <v>237.06896551724139</v>
      </c>
      <c r="I834" s="316">
        <v>333.33333333333331</v>
      </c>
      <c r="J834" s="316">
        <f t="shared" si="772"/>
        <v>261.23301985370949</v>
      </c>
      <c r="K834" s="316">
        <v>347.45833333333331</v>
      </c>
      <c r="L834" s="316">
        <f t="shared" si="773"/>
        <v>272.30276907001041</v>
      </c>
      <c r="M834" s="316">
        <v>385.5</v>
      </c>
      <c r="N834" s="317">
        <f t="shared" si="774"/>
        <v>302.11598746081506</v>
      </c>
      <c r="O834" s="123"/>
      <c r="P834" s="123"/>
      <c r="Q834" s="123"/>
      <c r="R834" s="123"/>
      <c r="S834" s="119"/>
      <c r="T834" s="132"/>
    </row>
    <row r="835" spans="2:20">
      <c r="B835" s="119"/>
      <c r="C835" s="123"/>
      <c r="D835" s="123"/>
      <c r="E835" s="123"/>
      <c r="F835" s="123"/>
      <c r="G835" s="123"/>
      <c r="H835" s="123"/>
      <c r="I835" s="123"/>
      <c r="J835" s="123"/>
      <c r="K835" s="123"/>
      <c r="L835" s="123"/>
      <c r="M835" s="123"/>
      <c r="N835" s="123"/>
      <c r="O835" s="123"/>
      <c r="P835" s="123"/>
      <c r="Q835" s="123"/>
      <c r="R835" s="123"/>
      <c r="S835" s="119"/>
      <c r="T835" s="132"/>
    </row>
    <row r="836" spans="2:20" ht="15.75" thickBot="1">
      <c r="B836" s="1302" t="s">
        <v>301</v>
      </c>
      <c r="C836" s="1303"/>
      <c r="D836" s="1303"/>
      <c r="E836" s="1303"/>
      <c r="F836" s="1303"/>
      <c r="G836" s="1303"/>
      <c r="H836" s="1303"/>
      <c r="I836" s="1303"/>
      <c r="J836" s="1303"/>
      <c r="K836" s="1303"/>
      <c r="L836" s="1303"/>
      <c r="M836" s="1303"/>
      <c r="N836" s="1303"/>
      <c r="O836" s="1303"/>
      <c r="P836" s="1303"/>
      <c r="Q836" s="1303"/>
      <c r="R836" s="1303"/>
      <c r="S836" s="1303"/>
      <c r="T836" s="1303"/>
    </row>
    <row r="837" spans="2:20" ht="15.75" thickBot="1">
      <c r="B837" s="1306">
        <v>2012</v>
      </c>
      <c r="C837" s="1307"/>
      <c r="D837" s="354" t="s">
        <v>15</v>
      </c>
      <c r="E837" s="643">
        <v>2013</v>
      </c>
      <c r="F837" s="354" t="s">
        <v>15</v>
      </c>
      <c r="G837" s="643">
        <v>2014</v>
      </c>
      <c r="H837" s="354" t="s">
        <v>15</v>
      </c>
      <c r="I837" s="643">
        <v>2015</v>
      </c>
      <c r="J837" s="354" t="s">
        <v>15</v>
      </c>
      <c r="K837" s="643">
        <v>2016</v>
      </c>
      <c r="L837" s="354" t="s">
        <v>15</v>
      </c>
      <c r="M837" s="643">
        <v>2017</v>
      </c>
      <c r="N837" s="354" t="s">
        <v>15</v>
      </c>
      <c r="O837" s="643">
        <v>2018</v>
      </c>
      <c r="P837" s="354" t="s">
        <v>15</v>
      </c>
      <c r="Q837" s="643">
        <v>2019</v>
      </c>
      <c r="R837" s="354" t="s">
        <v>15</v>
      </c>
      <c r="S837" s="1264">
        <v>2020</v>
      </c>
      <c r="T837" s="354" t="s">
        <v>15</v>
      </c>
    </row>
    <row r="838" spans="2:20">
      <c r="B838" s="306" t="s">
        <v>0</v>
      </c>
      <c r="C838" s="308">
        <v>385.5</v>
      </c>
      <c r="D838" s="309">
        <f t="shared" ref="D838:D845" si="775">100*C838/$G$806</f>
        <v>302.11598746081506</v>
      </c>
      <c r="E838" s="350">
        <f>[9]PLANCUSr!$H$33</f>
        <v>484.98333333333335</v>
      </c>
      <c r="F838" s="655">
        <f t="shared" ref="F838:F843" si="776">100*E838/$G$806</f>
        <v>380.08098223615468</v>
      </c>
      <c r="G838" s="350">
        <f>[10]PLANCUSr!$H$33</f>
        <v>493</v>
      </c>
      <c r="H838" s="655">
        <f t="shared" ref="H838:H843" si="777">100*G838/$G$806</f>
        <v>386.36363636363637</v>
      </c>
      <c r="I838" s="350">
        <f>[11]PLANCUSr!$H$33</f>
        <v>489.66666666666669</v>
      </c>
      <c r="J838" s="655">
        <f t="shared" ref="J838:J843" si="778">100*I838/$G$806</f>
        <v>383.75130616509932</v>
      </c>
      <c r="K838" s="350">
        <f>[12]PLANCUSr!$H$33</f>
        <v>469.22500000000002</v>
      </c>
      <c r="L838" s="655">
        <f t="shared" ref="L838" si="779">100*K838/$G$806</f>
        <v>367.73119122257054</v>
      </c>
      <c r="M838" s="350">
        <f>[13]PLANCUSr!$H$33</f>
        <v>484.70000000000005</v>
      </c>
      <c r="N838" s="655">
        <f t="shared" ref="N838" si="780">100*M838/$G$806</f>
        <v>379.85893416927905</v>
      </c>
      <c r="O838" s="350">
        <f>[14]PLANCUSr!$H$33</f>
        <v>501.15</v>
      </c>
      <c r="P838" s="655">
        <f t="shared" ref="P838" si="781">100*O838/$G$806</f>
        <v>392.75078369905958</v>
      </c>
      <c r="Q838" s="350">
        <f>[15]PLANCUSr!$H$33</f>
        <v>512.4</v>
      </c>
      <c r="R838" s="655">
        <f t="shared" ref="R838" si="782">100*Q838/$G$806</f>
        <v>401.56739811912229</v>
      </c>
      <c r="S838" s="350">
        <f>[16]PLANCUSr!$H$33</f>
        <v>524.9</v>
      </c>
      <c r="T838" s="655">
        <f t="shared" ref="T838" si="783">100*S838/$G$806</f>
        <v>411.36363636363637</v>
      </c>
    </row>
    <row r="839" spans="2:20">
      <c r="B839" s="310" t="s">
        <v>1</v>
      </c>
      <c r="C839" s="312">
        <v>385.5</v>
      </c>
      <c r="D839" s="313">
        <f t="shared" si="775"/>
        <v>302.11598746081506</v>
      </c>
      <c r="E839" s="656">
        <f>[17]PLANCUSr!$H$33</f>
        <v>484.98333333333335</v>
      </c>
      <c r="F839" s="313">
        <f t="shared" si="776"/>
        <v>380.08098223615468</v>
      </c>
      <c r="G839" s="656">
        <f>[18]PLANCUSr!$H$33</f>
        <v>493</v>
      </c>
      <c r="H839" s="313">
        <f t="shared" si="777"/>
        <v>386.36363636363637</v>
      </c>
      <c r="I839" s="656">
        <f>[19]PLANCUSr!$H$33</f>
        <v>492.3</v>
      </c>
      <c r="J839" s="313">
        <f t="shared" si="778"/>
        <v>385.8150470219436</v>
      </c>
      <c r="K839" s="656">
        <f>[20]PLANCUSr!$H$33</f>
        <v>469.22500000000002</v>
      </c>
      <c r="L839" s="313">
        <f t="shared" ref="L839" si="784">100*K839/$G$806</f>
        <v>367.73119122257054</v>
      </c>
      <c r="M839" s="656">
        <f>[21]PLANCUSr!$H$33</f>
        <v>484.70000000000005</v>
      </c>
      <c r="N839" s="313">
        <f t="shared" ref="N839" si="785">100*M839/$G$806</f>
        <v>379.85893416927905</v>
      </c>
      <c r="O839" s="656">
        <f>[22]PLANCUSr!$H$33</f>
        <v>501.15</v>
      </c>
      <c r="P839" s="313">
        <f t="shared" ref="P839" si="786">100*O839/$G$806</f>
        <v>392.75078369905958</v>
      </c>
      <c r="Q839" s="656">
        <f>[23]PLANCUSr!$H$33</f>
        <v>524.9</v>
      </c>
      <c r="R839" s="313">
        <f t="shared" ref="R839" si="787">100*Q839/$G$806</f>
        <v>411.36363636363637</v>
      </c>
      <c r="S839" s="656">
        <f>[24]PLANCUSr!$H$33</f>
        <v>554.92427999999984</v>
      </c>
      <c r="T839" s="313">
        <f t="shared" ref="T839" si="788">100*S839/$G$806</f>
        <v>434.89363636363629</v>
      </c>
    </row>
    <row r="840" spans="2:20">
      <c r="B840" s="310" t="s">
        <v>2</v>
      </c>
      <c r="C840" s="312">
        <v>397</v>
      </c>
      <c r="D840" s="313">
        <f t="shared" si="775"/>
        <v>311.12852664576803</v>
      </c>
      <c r="E840" s="656">
        <f>[25]PLANCUSr!$H$33</f>
        <v>484.98333333333335</v>
      </c>
      <c r="F840" s="313">
        <f t="shared" si="776"/>
        <v>380.08098223615468</v>
      </c>
      <c r="G840" s="656">
        <f>[26]PLANCUSr!$H$33</f>
        <v>493</v>
      </c>
      <c r="H840" s="313">
        <f t="shared" si="777"/>
        <v>386.36363636363637</v>
      </c>
      <c r="I840" s="656">
        <f>[27]PLANCUSr!$H$33</f>
        <v>469.22500000000002</v>
      </c>
      <c r="J840" s="313">
        <f t="shared" si="778"/>
        <v>367.73119122257054</v>
      </c>
      <c r="K840" s="656">
        <f>[28]PLANCUSr!$H$33</f>
        <v>469.22500000000002</v>
      </c>
      <c r="L840" s="313">
        <f t="shared" ref="L840" si="789">100*K840/$G$806</f>
        <v>367.73119122257054</v>
      </c>
      <c r="M840" s="656">
        <f>[29]PLANCUSr!$H$33</f>
        <v>484.70000000000005</v>
      </c>
      <c r="N840" s="313">
        <f t="shared" ref="N840" si="790">100*M840/$G$806</f>
        <v>379.85893416927905</v>
      </c>
      <c r="O840" s="656">
        <f>[30]PLANCUSr!$H$33</f>
        <v>501.15</v>
      </c>
      <c r="P840" s="313">
        <f t="shared" ref="P840" si="791">100*O840/$G$806</f>
        <v>392.75078369905958</v>
      </c>
      <c r="Q840" s="656">
        <f>[31]PLANCUSr!$H$33</f>
        <v>524.9</v>
      </c>
      <c r="R840" s="313">
        <f t="shared" ref="R840" si="792">100*Q840/$G$806</f>
        <v>411.36363636363637</v>
      </c>
      <c r="S840" s="656">
        <f>[32]PLANCUSr!$H$33</f>
        <v>554.92427999999984</v>
      </c>
      <c r="T840" s="313">
        <f t="shared" ref="T840" si="793">100*S840/$G$806</f>
        <v>434.89363636363629</v>
      </c>
    </row>
    <row r="841" spans="2:20">
      <c r="B841" s="310" t="s">
        <v>3</v>
      </c>
      <c r="C841" s="312">
        <v>397</v>
      </c>
      <c r="D841" s="313">
        <f t="shared" si="775"/>
        <v>311.12852664576803</v>
      </c>
      <c r="E841" s="656">
        <f>[33]PLANCUSr!$H$33</f>
        <v>484.98333333333335</v>
      </c>
      <c r="F841" s="313">
        <f t="shared" si="776"/>
        <v>380.08098223615468</v>
      </c>
      <c r="G841" s="656">
        <f>[34]PLANCUSr!$H$33</f>
        <v>493</v>
      </c>
      <c r="H841" s="313">
        <f t="shared" si="777"/>
        <v>386.36363636363637</v>
      </c>
      <c r="I841" s="656">
        <f>[35]PLANCUSr!$H$33</f>
        <v>469.22500000000002</v>
      </c>
      <c r="J841" s="313">
        <f t="shared" si="778"/>
        <v>367.73119122257054</v>
      </c>
      <c r="K841" s="656">
        <f>[36]PLANCUSr!$H$33</f>
        <v>469.22500000000002</v>
      </c>
      <c r="L841" s="313">
        <f t="shared" ref="L841" si="794">100*K841/$G$806</f>
        <v>367.73119122257054</v>
      </c>
      <c r="M841" s="656">
        <f>[37]PLANCUSr!$H$33</f>
        <v>484.70000000000005</v>
      </c>
      <c r="N841" s="313">
        <f t="shared" ref="N841" si="795">100*M841/$G$806</f>
        <v>379.85893416927905</v>
      </c>
      <c r="O841" s="656">
        <f>[38]PLANCUSr!$H$33</f>
        <v>504.9</v>
      </c>
      <c r="P841" s="313">
        <f t="shared" ref="P841" si="796">100*O841/$G$806</f>
        <v>395.68965517241384</v>
      </c>
      <c r="Q841" s="656">
        <f>[39]PLANCUSr!$H$33</f>
        <v>524.9</v>
      </c>
      <c r="R841" s="313">
        <f t="shared" ref="R841" si="797">100*Q841/$G$806</f>
        <v>411.36363636363637</v>
      </c>
      <c r="S841" s="656">
        <f>[40]PLANCUSr!$H$33</f>
        <v>554.92427999999984</v>
      </c>
      <c r="T841" s="313">
        <f t="shared" ref="T841" si="798">100*S841/$G$806</f>
        <v>434.89363636363629</v>
      </c>
    </row>
    <row r="842" spans="2:20">
      <c r="B842" s="310" t="s">
        <v>4</v>
      </c>
      <c r="C842" s="312">
        <v>397</v>
      </c>
      <c r="D842" s="313">
        <f t="shared" si="775"/>
        <v>311.12852664576803</v>
      </c>
      <c r="E842" s="656">
        <f>[41]PLANCUSr!$H$33</f>
        <v>486.66666666666669</v>
      </c>
      <c r="F842" s="313">
        <f t="shared" si="776"/>
        <v>381.40020898641592</v>
      </c>
      <c r="G842" s="656">
        <f>[42]PLANCUSr!$H$33</f>
        <v>493</v>
      </c>
      <c r="H842" s="313">
        <f t="shared" si="777"/>
        <v>386.36363636363637</v>
      </c>
      <c r="I842" s="656">
        <f>[43]PLANCUSr!$H$33</f>
        <v>469.22500000000002</v>
      </c>
      <c r="J842" s="313">
        <f t="shared" si="778"/>
        <v>367.73119122257054</v>
      </c>
      <c r="K842" s="656">
        <f>[44]PLANCUSr!$H$33</f>
        <v>474.20000000000005</v>
      </c>
      <c r="L842" s="313">
        <f t="shared" ref="L842" si="799">100*K842/$G$806</f>
        <v>371.6300940438872</v>
      </c>
      <c r="M842" s="656">
        <f>[45]PLANCUSr!$H$33</f>
        <v>484.70000000000005</v>
      </c>
      <c r="N842" s="313">
        <f t="shared" ref="N842" si="800">100*M842/$G$806</f>
        <v>379.85893416927905</v>
      </c>
      <c r="O842" s="656">
        <f>[46]PLANCUSr!$H$33</f>
        <v>504.9</v>
      </c>
      <c r="P842" s="313">
        <f t="shared" ref="P842" si="801">100*O842/$G$806</f>
        <v>395.68965517241384</v>
      </c>
      <c r="Q842" s="656">
        <f>[47]PLANCUSr!$H$33</f>
        <v>524.9</v>
      </c>
      <c r="R842" s="313">
        <f t="shared" ref="R842" si="802">100*Q842/$G$806</f>
        <v>411.36363636363637</v>
      </c>
      <c r="S842" s="656">
        <f>[48]PLANCUSr!$H$33</f>
        <v>554.92427999999984</v>
      </c>
      <c r="T842" s="313">
        <f t="shared" ref="T842" si="803">100*S842/$G$806</f>
        <v>434.89363636363629</v>
      </c>
    </row>
    <row r="843" spans="2:20">
      <c r="B843" s="310" t="s">
        <v>5</v>
      </c>
      <c r="C843" s="312">
        <v>397</v>
      </c>
      <c r="D843" s="313">
        <f t="shared" si="775"/>
        <v>311.12852664576803</v>
      </c>
      <c r="E843" s="656">
        <f>[49]PLANCUSr!$H$33</f>
        <v>486.66666666666669</v>
      </c>
      <c r="F843" s="313">
        <f t="shared" si="776"/>
        <v>381.40020898641592</v>
      </c>
      <c r="G843" s="656">
        <f>[50]PLANCUSr!$H$33</f>
        <v>494.66666666666669</v>
      </c>
      <c r="H843" s="313">
        <f t="shared" si="777"/>
        <v>387.66980146290496</v>
      </c>
      <c r="I843" s="656">
        <f>[51]PLANCUSr!$H$33</f>
        <v>469.22500000000002</v>
      </c>
      <c r="J843" s="313">
        <f t="shared" si="778"/>
        <v>367.73119122257054</v>
      </c>
      <c r="K843" s="656">
        <f>[52]PLANCUSr!$H$33</f>
        <v>474.20000000000005</v>
      </c>
      <c r="L843" s="313">
        <f t="shared" ref="L843" si="804">100*K843/$G$806</f>
        <v>371.6300940438872</v>
      </c>
      <c r="M843" s="656">
        <f>[53]PLANCUSr!$H$33</f>
        <v>484.70000000000005</v>
      </c>
      <c r="N843" s="313">
        <f t="shared" ref="N843" si="805">100*M843/$G$806</f>
        <v>379.85893416927905</v>
      </c>
      <c r="O843" s="656">
        <f>[54]PLANCUSr!$H$33</f>
        <v>504.9</v>
      </c>
      <c r="P843" s="313">
        <f t="shared" ref="P843" si="806">100*O843/$G$806</f>
        <v>395.68965517241384</v>
      </c>
      <c r="Q843" s="656">
        <f>[55]PLANCUSr!$H$33</f>
        <v>524.9</v>
      </c>
      <c r="R843" s="313">
        <f t="shared" ref="R843" si="807">100*Q843/$G$806</f>
        <v>411.36363636363637</v>
      </c>
      <c r="S843" s="656">
        <f>[56]PLANCUSr!$H$33</f>
        <v>554.92427999999984</v>
      </c>
      <c r="T843" s="313">
        <f t="shared" ref="T843" si="808">100*S843/$G$806</f>
        <v>434.89363636363629</v>
      </c>
    </row>
    <row r="844" spans="2:20">
      <c r="B844" s="310" t="s">
        <v>6</v>
      </c>
      <c r="C844" s="312">
        <f>[57]PLANCUSr!$H$33</f>
        <v>485.47500000000002</v>
      </c>
      <c r="D844" s="313">
        <f t="shared" si="775"/>
        <v>380.46630094043888</v>
      </c>
      <c r="E844" s="656">
        <f>[58]PLANCUSr!$H$33</f>
        <v>486.66666666666669</v>
      </c>
      <c r="F844" s="313">
        <f t="shared" ref="F844:F849" si="809">100*E844/$G$806</f>
        <v>381.40020898641592</v>
      </c>
      <c r="G844" s="656">
        <f>[59]PLANCUSr!$H$33</f>
        <v>489.66666666666669</v>
      </c>
      <c r="H844" s="313">
        <f t="shared" ref="H844:H849" si="810">100*G844/$G$806</f>
        <v>383.75130616509932</v>
      </c>
      <c r="I844" s="656">
        <f>[60]PLANCUSr!$H$33</f>
        <v>469.22500000000002</v>
      </c>
      <c r="J844" s="313">
        <f t="shared" ref="J844:J849" si="811">100*I844/$G$806</f>
        <v>367.73119122257054</v>
      </c>
      <c r="K844" s="656">
        <f>[61]PLANCUSr!$H$33</f>
        <v>474.20000000000005</v>
      </c>
      <c r="L844" s="313">
        <f t="shared" ref="L844" si="812">100*K844/$G$806</f>
        <v>371.6300940438872</v>
      </c>
      <c r="M844" s="656">
        <f>[62]PLANCUSr!$H$33</f>
        <v>484.70000000000005</v>
      </c>
      <c r="N844" s="313">
        <f t="shared" ref="N844" si="813">100*M844/$G$806</f>
        <v>379.85893416927905</v>
      </c>
      <c r="O844" s="656">
        <f>[63]PLANCUSr!$H$33</f>
        <v>504.9</v>
      </c>
      <c r="P844" s="313">
        <f t="shared" ref="P844" si="814">100*O844/$G$806</f>
        <v>395.68965517241384</v>
      </c>
      <c r="Q844" s="656">
        <f>[64]PLANCUSr!$H$33</f>
        <v>524.9</v>
      </c>
      <c r="R844" s="313">
        <f t="shared" ref="R844" si="815">100*Q844/$G$806</f>
        <v>411.36363636363637</v>
      </c>
      <c r="S844" s="656">
        <f>[65]PLANCUSr!$H$33</f>
        <v>554.92427999999984</v>
      </c>
      <c r="T844" s="313">
        <f t="shared" ref="T844" si="816">100*S844/$G$806</f>
        <v>434.89363636363629</v>
      </c>
    </row>
    <row r="845" spans="2:20">
      <c r="B845" s="310" t="s">
        <v>7</v>
      </c>
      <c r="C845" s="312">
        <f>[66]PLANCUSr!$H$33</f>
        <v>485.47500000000002</v>
      </c>
      <c r="D845" s="313">
        <f t="shared" si="775"/>
        <v>380.46630094043888</v>
      </c>
      <c r="E845" s="656">
        <f>[67]PLANCUSr!$H$33</f>
        <v>486.66666666666669</v>
      </c>
      <c r="F845" s="313">
        <f t="shared" si="809"/>
        <v>381.40020898641592</v>
      </c>
      <c r="G845" s="656">
        <f>[68]PLANCUSr!$H$33</f>
        <v>489.66666666666669</v>
      </c>
      <c r="H845" s="313">
        <f t="shared" si="810"/>
        <v>383.75130616509932</v>
      </c>
      <c r="I845" s="656">
        <f>[69]PLANCUSr!$H$33</f>
        <v>469.22500000000002</v>
      </c>
      <c r="J845" s="313">
        <f t="shared" si="811"/>
        <v>367.73119122257054</v>
      </c>
      <c r="K845" s="656">
        <f>[70]PLANCUSr!$H$33</f>
        <v>474.20000000000005</v>
      </c>
      <c r="L845" s="313">
        <f t="shared" ref="L845" si="817">100*K845/$G$806</f>
        <v>371.6300940438872</v>
      </c>
      <c r="M845" s="656">
        <f>[71]PLANCUSr!$H$33</f>
        <v>501.15</v>
      </c>
      <c r="N845" s="313">
        <f t="shared" ref="N845" si="818">100*M845/$G$806</f>
        <v>392.75078369905958</v>
      </c>
      <c r="O845" s="656">
        <f>[72]PLANCUSr!$H$33</f>
        <v>504.9</v>
      </c>
      <c r="P845" s="313">
        <f t="shared" ref="P845" si="819">100*O845/$G$806</f>
        <v>395.68965517241384</v>
      </c>
      <c r="Q845" s="656">
        <f>[73]PLANCUSr!$H$33</f>
        <v>524.9</v>
      </c>
      <c r="R845" s="313">
        <f t="shared" ref="R845" si="820">100*Q845/$G$806</f>
        <v>411.36363636363637</v>
      </c>
      <c r="S845" s="656">
        <f>[74]PLANCUSr!$H$33</f>
        <v>554.92427999999984</v>
      </c>
      <c r="T845" s="313">
        <f t="shared" ref="T845" si="821">100*S845/$G$806</f>
        <v>434.89363636363629</v>
      </c>
    </row>
    <row r="846" spans="2:20">
      <c r="B846" s="310" t="s">
        <v>8</v>
      </c>
      <c r="C846" s="312">
        <f>[75]PLANCUSr!$H$33</f>
        <v>485.47500000000002</v>
      </c>
      <c r="D846" s="313">
        <f>100*C846/$G$806</f>
        <v>380.46630094043888</v>
      </c>
      <c r="E846" s="656">
        <f>[76]PLANCUSr!$H$33</f>
        <v>486.66666666666669</v>
      </c>
      <c r="F846" s="313">
        <f t="shared" si="809"/>
        <v>381.40020898641592</v>
      </c>
      <c r="G846" s="656">
        <f>[77]PLANCUSr!$H$33</f>
        <v>489.66666666666669</v>
      </c>
      <c r="H846" s="313">
        <f t="shared" si="810"/>
        <v>383.75130616509932</v>
      </c>
      <c r="I846" s="656">
        <f>[78]PLANCUSr!$H$33</f>
        <v>469.22500000000002</v>
      </c>
      <c r="J846" s="313">
        <f t="shared" si="811"/>
        <v>367.73119122257054</v>
      </c>
      <c r="K846" s="656">
        <f>[79]PLANCUSr!$H$33</f>
        <v>474.20000000000005</v>
      </c>
      <c r="L846" s="313">
        <f t="shared" ref="L846" si="822">100*K846/$G$806</f>
        <v>371.6300940438872</v>
      </c>
      <c r="M846" s="656">
        <f>[80]PLANCUSr!$H$33</f>
        <v>501.15</v>
      </c>
      <c r="N846" s="313">
        <f t="shared" ref="N846" si="823">100*M846/$G$806</f>
        <v>392.75078369905958</v>
      </c>
      <c r="O846" s="656">
        <f>[81]PLANCUSr!$H$33</f>
        <v>504.9</v>
      </c>
      <c r="P846" s="313">
        <f t="shared" ref="P846" si="824">100*O846/$G$806</f>
        <v>395.68965517241384</v>
      </c>
      <c r="Q846" s="656">
        <f>[82]PLANCUSr!$H$33</f>
        <v>524.9</v>
      </c>
      <c r="R846" s="313">
        <f t="shared" ref="R846" si="825">100*Q846/$G$806</f>
        <v>411.36363636363637</v>
      </c>
      <c r="S846" s="656">
        <f>[123]PLANCUSr!$H$33</f>
        <v>554.92427999999984</v>
      </c>
      <c r="T846" s="313">
        <f t="shared" ref="T846" si="826">100*S846/$G$806</f>
        <v>434.89363636363629</v>
      </c>
    </row>
    <row r="847" spans="2:20">
      <c r="B847" s="310" t="s">
        <v>9</v>
      </c>
      <c r="C847" s="312">
        <f>[83]PLANCUSr!$H$33</f>
        <v>485.47500000000002</v>
      </c>
      <c r="D847" s="313">
        <f>100*C847/$G$806</f>
        <v>380.46630094043888</v>
      </c>
      <c r="E847" s="656">
        <f>[84]PLANCUSr!$H$33</f>
        <v>486.66666666666669</v>
      </c>
      <c r="F847" s="313">
        <f t="shared" si="809"/>
        <v>381.40020898641592</v>
      </c>
      <c r="G847" s="656">
        <f>[85]PLANCUSr!$H$33</f>
        <v>489.66666666666669</v>
      </c>
      <c r="H847" s="313">
        <f t="shared" si="810"/>
        <v>383.75130616509932</v>
      </c>
      <c r="I847" s="656">
        <f>[86]PLANCUSr!$H$33</f>
        <v>469.22500000000002</v>
      </c>
      <c r="J847" s="313">
        <f t="shared" si="811"/>
        <v>367.73119122257054</v>
      </c>
      <c r="K847" s="656">
        <f>[87]PLANCUSr!$H$33</f>
        <v>474.20000000000005</v>
      </c>
      <c r="L847" s="313">
        <f t="shared" ref="L847" si="827">100*K847/$G$806</f>
        <v>371.6300940438872</v>
      </c>
      <c r="M847" s="656">
        <f>[88]PLANCUSr!$H$33</f>
        <v>501.15</v>
      </c>
      <c r="N847" s="313">
        <f t="shared" ref="N847" si="828">100*M847/$G$806</f>
        <v>392.75078369905958</v>
      </c>
      <c r="O847" s="656">
        <f>[89]PLANCUSr!$H$33</f>
        <v>512.4</v>
      </c>
      <c r="P847" s="313">
        <f t="shared" ref="P847" si="829">100*O847/$G$806</f>
        <v>401.56739811912229</v>
      </c>
      <c r="Q847" s="656">
        <f>[90]PLANCUSr!$H$33</f>
        <v>524.9</v>
      </c>
      <c r="R847" s="313">
        <f t="shared" ref="R847" si="830">100*Q847/$G$806</f>
        <v>411.36363636363637</v>
      </c>
      <c r="S847" s="656"/>
      <c r="T847" s="313"/>
    </row>
    <row r="848" spans="2:20">
      <c r="B848" s="310" t="s">
        <v>10</v>
      </c>
      <c r="C848" s="312">
        <f>[91]PLANCUSr!$H$33</f>
        <v>485.47500000000002</v>
      </c>
      <c r="D848" s="313">
        <f>100*C848/$G$806</f>
        <v>380.46630094043888</v>
      </c>
      <c r="E848" s="656">
        <f>[92]PLANCUSr!$H$33</f>
        <v>486.66666666666669</v>
      </c>
      <c r="F848" s="313">
        <f t="shared" si="809"/>
        <v>381.40020898641592</v>
      </c>
      <c r="G848" s="656">
        <f>[93]PLANCUSr!$H$33</f>
        <v>489.66666666666669</v>
      </c>
      <c r="H848" s="313">
        <f t="shared" si="810"/>
        <v>383.75130616509932</v>
      </c>
      <c r="I848" s="656">
        <f>[94]PLANCUSr!$H$33</f>
        <v>469.22500000000002</v>
      </c>
      <c r="J848" s="313">
        <f t="shared" si="811"/>
        <v>367.73119122257054</v>
      </c>
      <c r="K848" s="656">
        <f>[95]PLANCUSr!$H$33</f>
        <v>474.20000000000005</v>
      </c>
      <c r="L848" s="313">
        <f t="shared" ref="L848" si="831">100*K848/$G$806</f>
        <v>371.6300940438872</v>
      </c>
      <c r="M848" s="656">
        <f>[96]PLANCUSr!$H$33</f>
        <v>501.15</v>
      </c>
      <c r="N848" s="313">
        <f t="shared" ref="N848" si="832">100*M848/$G$806</f>
        <v>392.75078369905958</v>
      </c>
      <c r="O848" s="656">
        <f>[97]PLANCUSr!$H$33</f>
        <v>512.4</v>
      </c>
      <c r="P848" s="313">
        <f t="shared" ref="P848" si="833">100*O848/$G$806</f>
        <v>401.56739811912229</v>
      </c>
      <c r="Q848" s="656">
        <f>[98]PLANCUSr!$H$33</f>
        <v>524.9</v>
      </c>
      <c r="R848" s="313">
        <f t="shared" ref="R848" si="834">100*Q848/$G$806</f>
        <v>411.36363636363637</v>
      </c>
      <c r="S848" s="656"/>
      <c r="T848" s="313"/>
    </row>
    <row r="849" spans="2:21" ht="15.75" thickBot="1">
      <c r="B849" s="314" t="s">
        <v>11</v>
      </c>
      <c r="C849" s="316">
        <f>[99]PLANCUSr!$H$33</f>
        <v>485.47500000000002</v>
      </c>
      <c r="D849" s="317">
        <f>100*C849/$G$806</f>
        <v>380.46630094043888</v>
      </c>
      <c r="E849" s="680">
        <f>[100]PLANCUSr!$H$33</f>
        <v>493</v>
      </c>
      <c r="F849" s="317">
        <f t="shared" si="809"/>
        <v>386.36363636363637</v>
      </c>
      <c r="G849" s="680">
        <f>[101]PLANCUSr!$H$33</f>
        <v>489.66666666666669</v>
      </c>
      <c r="H849" s="317">
        <f t="shared" si="810"/>
        <v>383.75130616509932</v>
      </c>
      <c r="I849" s="680">
        <f>[102]PLANCUSr!$H$33</f>
        <v>469.22500000000002</v>
      </c>
      <c r="J849" s="317">
        <f t="shared" si="811"/>
        <v>367.73119122257054</v>
      </c>
      <c r="K849" s="680">
        <f>[103]PLANCUSr!$H$33</f>
        <v>474.20000000000005</v>
      </c>
      <c r="L849" s="317">
        <f t="shared" ref="L849" si="835">100*K849/$G$806</f>
        <v>371.6300940438872</v>
      </c>
      <c r="M849" s="680">
        <f>[104]PLANCUSr!$H$33</f>
        <v>501.15</v>
      </c>
      <c r="N849" s="317">
        <f t="shared" ref="N849" si="836">100*M849/$G$806</f>
        <v>392.75078369905958</v>
      </c>
      <c r="O849" s="680">
        <f>[105]PLANCUSr!$H$33</f>
        <v>512.4</v>
      </c>
      <c r="P849" s="317">
        <f t="shared" ref="P849" si="837">100*O849/$G$806</f>
        <v>401.56739811912229</v>
      </c>
      <c r="Q849" s="680">
        <f>[106]PLANCUSr!$H$33</f>
        <v>524.9</v>
      </c>
      <c r="R849" s="317">
        <f t="shared" ref="R849" si="838">100*Q849/$G$806</f>
        <v>411.36363636363637</v>
      </c>
      <c r="S849" s="680"/>
      <c r="T849" s="317"/>
    </row>
    <row r="850" spans="2:21">
      <c r="B850" s="119"/>
      <c r="C850" s="118"/>
      <c r="D850" s="123"/>
      <c r="E850" s="118"/>
      <c r="F850" s="123"/>
      <c r="G850" s="118"/>
      <c r="H850" s="123"/>
      <c r="I850" s="123"/>
      <c r="J850" s="123"/>
      <c r="K850" s="123"/>
      <c r="L850" s="123"/>
      <c r="M850" s="123"/>
      <c r="N850" s="123"/>
      <c r="O850" s="123"/>
      <c r="P850" s="123"/>
      <c r="Q850" s="123"/>
      <c r="R850" s="123"/>
      <c r="S850" s="119"/>
      <c r="T850" s="132"/>
    </row>
    <row r="851" spans="2:21">
      <c r="B851" s="144"/>
      <c r="C851" s="159"/>
      <c r="D851" s="146"/>
      <c r="E851" s="159"/>
      <c r="F851" s="146"/>
      <c r="G851" s="159"/>
      <c r="H851" s="146"/>
      <c r="I851" s="146"/>
      <c r="J851" s="146"/>
      <c r="K851" s="146"/>
      <c r="L851" s="146"/>
      <c r="M851" s="146"/>
      <c r="N851" s="146"/>
      <c r="O851" s="123"/>
      <c r="P851" s="123"/>
      <c r="Q851" s="123"/>
      <c r="R851" s="123"/>
      <c r="S851" s="119"/>
      <c r="T851" s="132"/>
    </row>
    <row r="852" spans="2:21" ht="15.75" thickBot="1">
      <c r="B852" s="119"/>
      <c r="C852" s="118"/>
      <c r="D852" s="124"/>
      <c r="E852" s="118"/>
      <c r="F852" s="119"/>
      <c r="G852" s="122"/>
      <c r="H852" s="119"/>
      <c r="I852" s="122"/>
      <c r="J852" s="119"/>
      <c r="K852" s="122"/>
      <c r="L852" s="119"/>
      <c r="M852" s="122"/>
      <c r="N852" s="119"/>
      <c r="O852" s="119"/>
      <c r="P852" s="119"/>
      <c r="Q852" s="180"/>
      <c r="R852" s="123"/>
      <c r="S852" s="119"/>
      <c r="T852" s="132"/>
    </row>
    <row r="853" spans="2:21" ht="20.25" thickBot="1">
      <c r="B853" s="544" t="s">
        <v>201</v>
      </c>
      <c r="C853" s="545"/>
      <c r="D853" s="546"/>
      <c r="E853" s="546"/>
      <c r="F853" s="547"/>
      <c r="G853" s="548">
        <v>55</v>
      </c>
      <c r="H853" s="549" t="s">
        <v>21</v>
      </c>
      <c r="I853" s="546"/>
      <c r="J853" s="546"/>
      <c r="K853" s="550"/>
      <c r="L853" s="550" t="s">
        <v>52</v>
      </c>
      <c r="M853" s="546"/>
      <c r="N853" s="551"/>
      <c r="O853" s="119"/>
      <c r="P853" s="119"/>
      <c r="Q853" s="180"/>
      <c r="R853" s="123"/>
      <c r="S853" s="119"/>
      <c r="T853" s="132"/>
    </row>
    <row r="854" spans="2:21" ht="15.75" thickBot="1">
      <c r="B854" s="1306">
        <v>1994</v>
      </c>
      <c r="C854" s="1307"/>
      <c r="D854" s="336" t="s">
        <v>15</v>
      </c>
      <c r="E854" s="336">
        <v>1995</v>
      </c>
      <c r="F854" s="336" t="s">
        <v>15</v>
      </c>
      <c r="G854" s="336">
        <v>1996</v>
      </c>
      <c r="H854" s="336" t="s">
        <v>15</v>
      </c>
      <c r="I854" s="336">
        <v>1997</v>
      </c>
      <c r="J854" s="336" t="s">
        <v>15</v>
      </c>
      <c r="K854" s="336">
        <v>1998</v>
      </c>
      <c r="L854" s="336" t="s">
        <v>15</v>
      </c>
      <c r="M854" s="336">
        <v>1999</v>
      </c>
      <c r="N854" s="354" t="s">
        <v>15</v>
      </c>
      <c r="O854" s="124"/>
      <c r="P854" s="124"/>
    </row>
    <row r="855" spans="2:21">
      <c r="B855" s="306" t="s">
        <v>0</v>
      </c>
      <c r="C855" s="307"/>
      <c r="D855" s="308"/>
      <c r="E855" s="307">
        <v>71.599999999999994</v>
      </c>
      <c r="F855" s="308">
        <f>100*$E$855/55</f>
        <v>130.18181818181816</v>
      </c>
      <c r="G855" s="307">
        <v>95.7</v>
      </c>
      <c r="H855" s="308">
        <f>100*$G$855/55</f>
        <v>174</v>
      </c>
      <c r="I855" s="307">
        <v>105.83</v>
      </c>
      <c r="J855" s="308">
        <f>100*$I$855/55</f>
        <v>192.41818181818181</v>
      </c>
      <c r="K855" s="307">
        <v>96.6</v>
      </c>
      <c r="L855" s="308">
        <f>100*$K$855/55</f>
        <v>175.63636363636363</v>
      </c>
      <c r="M855" s="307">
        <v>81.25</v>
      </c>
      <c r="N855" s="309">
        <f>100*$M$855/55</f>
        <v>147.72727272727272</v>
      </c>
      <c r="O855" s="123"/>
      <c r="P855" s="123"/>
      <c r="U855" s="206"/>
    </row>
    <row r="856" spans="2:21">
      <c r="B856" s="310" t="s">
        <v>1</v>
      </c>
      <c r="C856" s="311"/>
      <c r="D856" s="312"/>
      <c r="E856" s="311">
        <v>77.23</v>
      </c>
      <c r="F856" s="312">
        <f>100*$E$856/55</f>
        <v>140.41818181818181</v>
      </c>
      <c r="G856" s="311">
        <v>79.33</v>
      </c>
      <c r="H856" s="312">
        <f>100*$G$856/55</f>
        <v>144.23636363636365</v>
      </c>
      <c r="I856" s="311">
        <v>97.13</v>
      </c>
      <c r="J856" s="312">
        <f>100*$I$856/55</f>
        <v>176.6</v>
      </c>
      <c r="K856" s="311">
        <v>78.75</v>
      </c>
      <c r="L856" s="312">
        <f>100*$K$856/55</f>
        <v>143.18181818181819</v>
      </c>
      <c r="M856" s="311">
        <v>83.25</v>
      </c>
      <c r="N856" s="313">
        <f>100*$M$856/55</f>
        <v>151.36363636363637</v>
      </c>
      <c r="O856" s="123"/>
      <c r="P856" s="123"/>
      <c r="U856" s="206"/>
    </row>
    <row r="857" spans="2:21">
      <c r="B857" s="310" t="s">
        <v>2</v>
      </c>
      <c r="C857" s="311"/>
      <c r="D857" s="312"/>
      <c r="E857" s="311">
        <v>79.599999999999994</v>
      </c>
      <c r="F857" s="312">
        <f>100*$E$857/55</f>
        <v>144.72727272727272</v>
      </c>
      <c r="G857" s="311">
        <v>90.8</v>
      </c>
      <c r="H857" s="312">
        <f>100*$G$857/55</f>
        <v>165.09090909090909</v>
      </c>
      <c r="I857" s="311">
        <v>100.33</v>
      </c>
      <c r="J857" s="312">
        <f>100*$I$857/55</f>
        <v>182.41818181818181</v>
      </c>
      <c r="K857" s="311">
        <v>85.5</v>
      </c>
      <c r="L857" s="312">
        <f>100*$K$857/55</f>
        <v>155.45454545454547</v>
      </c>
      <c r="M857" s="311">
        <v>89.67</v>
      </c>
      <c r="N857" s="313">
        <f>100*$M$857/55</f>
        <v>163.03636363636363</v>
      </c>
      <c r="O857" s="123"/>
      <c r="P857" s="123"/>
      <c r="U857" s="206"/>
    </row>
    <row r="858" spans="2:21">
      <c r="B858" s="310" t="s">
        <v>3</v>
      </c>
      <c r="C858" s="311"/>
      <c r="D858" s="312"/>
      <c r="E858" s="311">
        <v>94.7</v>
      </c>
      <c r="F858" s="312">
        <f>100*$E$858/55</f>
        <v>172.18181818181819</v>
      </c>
      <c r="G858" s="311">
        <v>90.13</v>
      </c>
      <c r="H858" s="312">
        <f>100*$G$858/55</f>
        <v>163.87272727272727</v>
      </c>
      <c r="I858" s="311">
        <v>103.25</v>
      </c>
      <c r="J858" s="312">
        <f>100*$I$858/55</f>
        <v>187.72727272727272</v>
      </c>
      <c r="K858" s="311">
        <v>79.290000000000006</v>
      </c>
      <c r="L858" s="312">
        <f>100*$K$858/55</f>
        <v>144.16363636363639</v>
      </c>
      <c r="M858" s="311">
        <v>80.64</v>
      </c>
      <c r="N858" s="313">
        <f>100*$M$858/55</f>
        <v>146.61818181818182</v>
      </c>
      <c r="O858" s="123"/>
      <c r="P858" s="123"/>
      <c r="U858" s="206"/>
    </row>
    <row r="859" spans="2:21">
      <c r="B859" s="310" t="s">
        <v>4</v>
      </c>
      <c r="C859" s="311"/>
      <c r="D859" s="312"/>
      <c r="E859" s="311">
        <v>77.5</v>
      </c>
      <c r="F859" s="312">
        <f>100*$E$859/55</f>
        <v>140.90909090909091</v>
      </c>
      <c r="G859" s="311">
        <v>94.8</v>
      </c>
      <c r="H859" s="312">
        <f>100*$G$859/55</f>
        <v>172.36363636363637</v>
      </c>
      <c r="I859" s="311">
        <v>93</v>
      </c>
      <c r="J859" s="312">
        <f>100*$I$859/55</f>
        <v>169.09090909090909</v>
      </c>
      <c r="K859" s="311">
        <v>82.5</v>
      </c>
      <c r="L859" s="312">
        <f>100*$K$859/55</f>
        <v>150</v>
      </c>
      <c r="M859" s="311">
        <v>78.75</v>
      </c>
      <c r="N859" s="313">
        <f>100*$M$859/55</f>
        <v>143.18181818181819</v>
      </c>
      <c r="O859" s="123"/>
      <c r="P859" s="123"/>
      <c r="U859" s="206"/>
    </row>
    <row r="860" spans="2:21">
      <c r="B860" s="310" t="s">
        <v>5</v>
      </c>
      <c r="C860" s="311"/>
      <c r="D860" s="312"/>
      <c r="E860" s="311">
        <v>72</v>
      </c>
      <c r="F860" s="312">
        <f>100*$E$860/55</f>
        <v>130.90909090909091</v>
      </c>
      <c r="G860" s="311">
        <v>86.83</v>
      </c>
      <c r="H860" s="312">
        <f>100*$G$860/55</f>
        <v>157.87272727272727</v>
      </c>
      <c r="I860" s="311">
        <v>105</v>
      </c>
      <c r="J860" s="312">
        <f>100*$I$860/55</f>
        <v>190.90909090909091</v>
      </c>
      <c r="K860" s="311">
        <v>82.5</v>
      </c>
      <c r="L860" s="312">
        <f>100*$K$860/55</f>
        <v>150</v>
      </c>
      <c r="M860" s="311">
        <v>88.57</v>
      </c>
      <c r="N860" s="313">
        <f>100*$M$860/55</f>
        <v>161.03636363636363</v>
      </c>
      <c r="O860" s="123"/>
      <c r="P860" s="123"/>
      <c r="U860" s="206"/>
    </row>
    <row r="861" spans="2:21">
      <c r="B861" s="310" t="s">
        <v>6</v>
      </c>
      <c r="C861" s="311">
        <v>55</v>
      </c>
      <c r="D861" s="312">
        <f>100*$C$861/55</f>
        <v>100</v>
      </c>
      <c r="E861" s="311">
        <v>74.75</v>
      </c>
      <c r="F861" s="312">
        <f>100*$E$861/55</f>
        <v>135.90909090909091</v>
      </c>
      <c r="G861" s="311">
        <v>95.92</v>
      </c>
      <c r="H861" s="312">
        <f>100*$G$861/55</f>
        <v>174.4</v>
      </c>
      <c r="I861" s="311">
        <v>100.8</v>
      </c>
      <c r="J861" s="312">
        <f>100*$I$861/55</f>
        <v>183.27272727272728</v>
      </c>
      <c r="K861" s="311">
        <v>88.33</v>
      </c>
      <c r="L861" s="312">
        <f>100*$K$861/55</f>
        <v>160.6</v>
      </c>
      <c r="M861" s="311">
        <v>80.33</v>
      </c>
      <c r="N861" s="313">
        <f>$M$861*100/55</f>
        <v>146.05454545454546</v>
      </c>
      <c r="O861" s="123"/>
      <c r="P861" s="123"/>
      <c r="U861" s="206"/>
    </row>
    <row r="862" spans="2:21">
      <c r="B862" s="310" t="s">
        <v>7</v>
      </c>
      <c r="C862" s="311">
        <v>62.97</v>
      </c>
      <c r="D862" s="312">
        <f>100*$C$862/55</f>
        <v>114.49090909090908</v>
      </c>
      <c r="E862" s="311">
        <v>100.2</v>
      </c>
      <c r="F862" s="312">
        <f>100*$E$862/55</f>
        <v>182.18181818181819</v>
      </c>
      <c r="G862" s="311">
        <v>106</v>
      </c>
      <c r="H862" s="312">
        <f>100*$G$862/55</f>
        <v>192.72727272727272</v>
      </c>
      <c r="I862" s="311">
        <v>96.8</v>
      </c>
      <c r="J862" s="312">
        <f>100*$I$862/55</f>
        <v>176</v>
      </c>
      <c r="K862" s="311">
        <v>83.3</v>
      </c>
      <c r="L862" s="312">
        <f>100*$K$862/55</f>
        <v>151.45454545454547</v>
      </c>
      <c r="M862" s="311">
        <v>85.71</v>
      </c>
      <c r="N862" s="313">
        <f>M862*100/55</f>
        <v>155.83636363636364</v>
      </c>
      <c r="O862" s="123"/>
      <c r="P862" s="123"/>
      <c r="U862" s="206"/>
    </row>
    <row r="863" spans="2:21">
      <c r="B863" s="310" t="s">
        <v>8</v>
      </c>
      <c r="C863" s="311">
        <v>58.02</v>
      </c>
      <c r="D863" s="312">
        <f>100*$C$863/55</f>
        <v>105.49090909090908</v>
      </c>
      <c r="E863" s="311">
        <v>80.08</v>
      </c>
      <c r="F863" s="312">
        <f>100*$E$863/55</f>
        <v>145.6</v>
      </c>
      <c r="G863" s="311">
        <v>96.67</v>
      </c>
      <c r="H863" s="312">
        <f>100*$G$863/55</f>
        <v>175.76363636363635</v>
      </c>
      <c r="I863" s="311">
        <v>88.4</v>
      </c>
      <c r="J863" s="312">
        <f>100*$I$863/55</f>
        <v>160.72727272727272</v>
      </c>
      <c r="K863" s="311">
        <v>89.6</v>
      </c>
      <c r="L863" s="312">
        <f>100*$K$863/55</f>
        <v>162.90909090909091</v>
      </c>
      <c r="M863" s="311">
        <v>88</v>
      </c>
      <c r="N863" s="313">
        <f>M863*100/55</f>
        <v>160</v>
      </c>
      <c r="O863" s="123"/>
      <c r="P863" s="123"/>
      <c r="U863" s="206"/>
    </row>
    <row r="864" spans="2:21">
      <c r="B864" s="310" t="s">
        <v>9</v>
      </c>
      <c r="C864" s="311">
        <v>67.819999999999993</v>
      </c>
      <c r="D864" s="312">
        <f>100*$C$864/55</f>
        <v>123.3090909090909</v>
      </c>
      <c r="E864" s="311">
        <v>105</v>
      </c>
      <c r="F864" s="312">
        <f>100*$E$864/55</f>
        <v>190.90909090909091</v>
      </c>
      <c r="G864" s="311">
        <v>101.83</v>
      </c>
      <c r="H864" s="312">
        <f>100*$G$864/55</f>
        <v>185.14545454545456</v>
      </c>
      <c r="I864" s="311">
        <v>93.8</v>
      </c>
      <c r="J864" s="312">
        <f>100*$I$864/55</f>
        <v>170.54545454545453</v>
      </c>
      <c r="K864" s="311">
        <v>80.400000000000006</v>
      </c>
      <c r="L864" s="312">
        <f>100*$K$864/55</f>
        <v>146.18181818181819</v>
      </c>
      <c r="M864" s="311">
        <v>76.25</v>
      </c>
      <c r="N864" s="313">
        <f>M864*100/55</f>
        <v>138.63636363636363</v>
      </c>
      <c r="O864" s="123"/>
      <c r="P864" s="123"/>
      <c r="U864" s="206"/>
    </row>
    <row r="865" spans="2:21">
      <c r="B865" s="310" t="s">
        <v>10</v>
      </c>
      <c r="C865" s="311">
        <v>73.45</v>
      </c>
      <c r="D865" s="312">
        <f>100*$C$865/55</f>
        <v>133.54545454545453</v>
      </c>
      <c r="E865" s="311">
        <v>84.58</v>
      </c>
      <c r="F865" s="312">
        <f>100*$E$865/55</f>
        <v>153.78181818181818</v>
      </c>
      <c r="G865" s="311">
        <v>112.2</v>
      </c>
      <c r="H865" s="312">
        <f>100*$G$865/55</f>
        <v>204</v>
      </c>
      <c r="I865" s="311">
        <v>85.6</v>
      </c>
      <c r="J865" s="312">
        <f>100*$I$865/55</f>
        <v>155.63636363636363</v>
      </c>
      <c r="K865" s="311">
        <v>81.25</v>
      </c>
      <c r="L865" s="312">
        <f>100*$K$865/55</f>
        <v>147.72727272727272</v>
      </c>
      <c r="M865" s="311">
        <v>82.57</v>
      </c>
      <c r="N865" s="313">
        <f>M865*100/55</f>
        <v>150.12727272727273</v>
      </c>
      <c r="O865" s="123"/>
      <c r="P865" s="123"/>
      <c r="U865" s="206"/>
    </row>
    <row r="866" spans="2:21" ht="15.75" thickBot="1">
      <c r="B866" s="314" t="s">
        <v>11</v>
      </c>
      <c r="C866" s="315">
        <v>82.73</v>
      </c>
      <c r="D866" s="316">
        <f>100*$C$866/55</f>
        <v>150.41818181818181</v>
      </c>
      <c r="E866" s="315">
        <v>102.83</v>
      </c>
      <c r="F866" s="316">
        <f>100*$E$866/55</f>
        <v>186.96363636363637</v>
      </c>
      <c r="G866" s="315">
        <v>80.25</v>
      </c>
      <c r="H866" s="316">
        <f>100*$G$866/55</f>
        <v>145.90909090909091</v>
      </c>
      <c r="I866" s="315">
        <v>107.25</v>
      </c>
      <c r="J866" s="316">
        <f>100*$I$866/55</f>
        <v>195</v>
      </c>
      <c r="K866" s="315">
        <v>81.25</v>
      </c>
      <c r="L866" s="316">
        <f>100*$K$866/55</f>
        <v>147.72727272727272</v>
      </c>
      <c r="M866" s="315">
        <v>85.4</v>
      </c>
      <c r="N866" s="317">
        <f>M866*100/55</f>
        <v>155.27272727272728</v>
      </c>
      <c r="O866" s="123"/>
      <c r="P866" s="123"/>
      <c r="Q866" s="180"/>
      <c r="R866" s="123"/>
      <c r="S866" s="132"/>
      <c r="T866" s="132"/>
      <c r="U866" s="206"/>
    </row>
    <row r="867" spans="2:21" ht="15.75" thickBot="1">
      <c r="B867" s="167"/>
      <c r="C867" s="168"/>
      <c r="D867" s="171"/>
      <c r="E867" s="168"/>
      <c r="F867" s="171"/>
      <c r="G867" s="168"/>
      <c r="H867" s="171"/>
      <c r="I867" s="168"/>
      <c r="J867" s="171"/>
      <c r="K867" s="168"/>
      <c r="L867" s="171"/>
      <c r="M867" s="168"/>
      <c r="N867" s="171"/>
      <c r="O867" s="123"/>
      <c r="P867" s="123"/>
      <c r="Q867" s="180"/>
      <c r="R867" s="123"/>
      <c r="S867" s="132"/>
      <c r="T867" s="132"/>
      <c r="U867" s="206"/>
    </row>
    <row r="868" spans="2:21" ht="20.25" thickBot="1">
      <c r="B868" s="544" t="s">
        <v>201</v>
      </c>
      <c r="C868" s="545"/>
      <c r="D868" s="546"/>
      <c r="E868" s="546"/>
      <c r="F868" s="547"/>
      <c r="G868" s="548">
        <v>55</v>
      </c>
      <c r="H868" s="549" t="s">
        <v>21</v>
      </c>
      <c r="I868" s="546"/>
      <c r="J868" s="546"/>
      <c r="K868" s="550"/>
      <c r="L868" s="550" t="s">
        <v>52</v>
      </c>
      <c r="M868" s="546"/>
      <c r="N868" s="551"/>
      <c r="O868" s="123"/>
      <c r="P868" s="123"/>
      <c r="Q868" s="180"/>
      <c r="R868" s="123"/>
      <c r="S868" s="132"/>
      <c r="T868" s="132"/>
      <c r="U868" s="206"/>
    </row>
    <row r="869" spans="2:21" ht="15.75" thickBot="1">
      <c r="B869" s="1310">
        <v>2000</v>
      </c>
      <c r="C869" s="1311"/>
      <c r="D869" s="334" t="s">
        <v>15</v>
      </c>
      <c r="E869" s="336">
        <v>2001</v>
      </c>
      <c r="F869" s="336" t="s">
        <v>15</v>
      </c>
      <c r="G869" s="336">
        <v>2002</v>
      </c>
      <c r="H869" s="336" t="s">
        <v>15</v>
      </c>
      <c r="I869" s="336">
        <v>2003</v>
      </c>
      <c r="J869" s="336" t="s">
        <v>15</v>
      </c>
      <c r="K869" s="336">
        <v>2004</v>
      </c>
      <c r="L869" s="336" t="s">
        <v>15</v>
      </c>
      <c r="M869" s="336">
        <v>2005</v>
      </c>
      <c r="N869" s="354" t="s">
        <v>15</v>
      </c>
      <c r="O869" s="124"/>
      <c r="P869" s="124"/>
      <c r="S869" s="132"/>
      <c r="T869" s="132"/>
      <c r="U869" s="206"/>
    </row>
    <row r="870" spans="2:21">
      <c r="B870" s="306" t="s">
        <v>0</v>
      </c>
      <c r="C870" s="504">
        <v>73.67</v>
      </c>
      <c r="D870" s="308">
        <f>100*C870/G853</f>
        <v>133.94545454545454</v>
      </c>
      <c r="E870" s="308">
        <v>89</v>
      </c>
      <c r="F870" s="342">
        <f t="shared" ref="F870:F881" si="839">100*E870/$G$853</f>
        <v>161.81818181818181</v>
      </c>
      <c r="G870" s="308">
        <v>83.8</v>
      </c>
      <c r="H870" s="308">
        <f t="shared" ref="H870:H881" si="840">100*G870/$G$853</f>
        <v>152.36363636363637</v>
      </c>
      <c r="I870" s="307">
        <v>85.8</v>
      </c>
      <c r="J870" s="308">
        <f t="shared" ref="J870:J881" si="841">100*I870/$G$853</f>
        <v>156</v>
      </c>
      <c r="K870" s="307">
        <v>91.4</v>
      </c>
      <c r="L870" s="308">
        <f t="shared" ref="L870:L881" si="842">100*K870/$G$853</f>
        <v>166.18181818181819</v>
      </c>
      <c r="M870" s="307">
        <v>95.4</v>
      </c>
      <c r="N870" s="309">
        <f t="shared" ref="N870:N881" si="843">100*M870/$G$853</f>
        <v>173.45454545454547</v>
      </c>
      <c r="O870" s="123"/>
      <c r="P870" s="123"/>
      <c r="S870" s="132"/>
      <c r="T870" s="132"/>
      <c r="U870" s="206"/>
    </row>
    <row r="871" spans="2:21">
      <c r="B871" s="310" t="s">
        <v>1</v>
      </c>
      <c r="C871" s="433">
        <v>79.19</v>
      </c>
      <c r="D871" s="312">
        <f>100*C871/G853</f>
        <v>143.98181818181817</v>
      </c>
      <c r="E871" s="312">
        <v>77.5</v>
      </c>
      <c r="F871" s="345">
        <f t="shared" si="839"/>
        <v>140.90909090909091</v>
      </c>
      <c r="G871" s="312">
        <v>84</v>
      </c>
      <c r="H871" s="312">
        <f t="shared" si="840"/>
        <v>152.72727272727272</v>
      </c>
      <c r="I871" s="311">
        <v>85</v>
      </c>
      <c r="J871" s="312">
        <f t="shared" si="841"/>
        <v>154.54545454545453</v>
      </c>
      <c r="K871" s="311">
        <v>91.4</v>
      </c>
      <c r="L871" s="312">
        <f t="shared" si="842"/>
        <v>166.18181818181819</v>
      </c>
      <c r="M871" s="311">
        <v>96.4</v>
      </c>
      <c r="N871" s="313">
        <f t="shared" si="843"/>
        <v>175.27272727272728</v>
      </c>
      <c r="O871" s="123"/>
      <c r="P871" s="123"/>
      <c r="S871" s="132"/>
      <c r="T871" s="132"/>
      <c r="U871" s="206"/>
    </row>
    <row r="872" spans="2:21">
      <c r="B872" s="310" t="s">
        <v>2</v>
      </c>
      <c r="C872" s="433">
        <v>72.5</v>
      </c>
      <c r="D872" s="312">
        <f>100*C872/G853</f>
        <v>131.81818181818181</v>
      </c>
      <c r="E872" s="312">
        <v>78.75</v>
      </c>
      <c r="F872" s="345">
        <f t="shared" si="839"/>
        <v>143.18181818181819</v>
      </c>
      <c r="G872" s="312">
        <v>87.5</v>
      </c>
      <c r="H872" s="312">
        <f t="shared" si="840"/>
        <v>159.09090909090909</v>
      </c>
      <c r="I872" s="311">
        <v>85</v>
      </c>
      <c r="J872" s="312">
        <f t="shared" si="841"/>
        <v>154.54545454545453</v>
      </c>
      <c r="K872" s="311">
        <v>93</v>
      </c>
      <c r="L872" s="312">
        <f t="shared" si="842"/>
        <v>169.09090909090909</v>
      </c>
      <c r="M872" s="311">
        <v>95.4</v>
      </c>
      <c r="N872" s="313">
        <f t="shared" si="843"/>
        <v>173.45454545454547</v>
      </c>
      <c r="O872" s="123"/>
      <c r="P872" s="123"/>
      <c r="S872" s="132"/>
      <c r="T872" s="132"/>
      <c r="U872" s="206"/>
    </row>
    <row r="873" spans="2:21">
      <c r="B873" s="310" t="s">
        <v>3</v>
      </c>
      <c r="C873" s="433">
        <v>82.67</v>
      </c>
      <c r="D873" s="312">
        <f t="shared" ref="D873:D881" si="844">100*C873/55</f>
        <v>150.30909090909091</v>
      </c>
      <c r="E873" s="312">
        <v>72.5</v>
      </c>
      <c r="F873" s="345">
        <f t="shared" si="839"/>
        <v>131.81818181818181</v>
      </c>
      <c r="G873" s="312">
        <v>86.25</v>
      </c>
      <c r="H873" s="312">
        <f t="shared" si="840"/>
        <v>156.81818181818181</v>
      </c>
      <c r="I873" s="311">
        <v>85</v>
      </c>
      <c r="J873" s="312">
        <f t="shared" si="841"/>
        <v>154.54545454545453</v>
      </c>
      <c r="K873" s="311">
        <v>93</v>
      </c>
      <c r="L873" s="312">
        <f t="shared" si="842"/>
        <v>169.09090909090909</v>
      </c>
      <c r="M873" s="311">
        <v>98.4</v>
      </c>
      <c r="N873" s="313">
        <f t="shared" si="843"/>
        <v>178.90909090909091</v>
      </c>
      <c r="O873" s="123"/>
      <c r="P873" s="123"/>
      <c r="S873" s="132"/>
      <c r="T873" s="132"/>
      <c r="U873" s="206"/>
    </row>
    <row r="874" spans="2:21">
      <c r="B874" s="310" t="s">
        <v>4</v>
      </c>
      <c r="C874" s="433">
        <v>81.5</v>
      </c>
      <c r="D874" s="312">
        <f t="shared" si="844"/>
        <v>148.18181818181819</v>
      </c>
      <c r="E874" s="312">
        <v>83.75</v>
      </c>
      <c r="F874" s="345">
        <f t="shared" si="839"/>
        <v>152.27272727272728</v>
      </c>
      <c r="G874" s="312">
        <v>88.8</v>
      </c>
      <c r="H874" s="312">
        <f t="shared" si="840"/>
        <v>161.45454545454547</v>
      </c>
      <c r="I874" s="311">
        <v>85</v>
      </c>
      <c r="J874" s="312">
        <f t="shared" si="841"/>
        <v>154.54545454545453</v>
      </c>
      <c r="K874" s="311">
        <v>93</v>
      </c>
      <c r="L874" s="312">
        <f t="shared" si="842"/>
        <v>169.09090909090909</v>
      </c>
      <c r="M874" s="311">
        <v>92.5</v>
      </c>
      <c r="N874" s="313">
        <f t="shared" si="843"/>
        <v>168.18181818181819</v>
      </c>
      <c r="O874" s="123"/>
      <c r="P874" s="123"/>
      <c r="S874" s="132"/>
      <c r="T874" s="132"/>
      <c r="U874" s="206"/>
    </row>
    <row r="875" spans="2:21">
      <c r="B875" s="310" t="s">
        <v>5</v>
      </c>
      <c r="C875" s="433">
        <v>85.83</v>
      </c>
      <c r="D875" s="312">
        <f t="shared" si="844"/>
        <v>156.05454545454546</v>
      </c>
      <c r="E875" s="312">
        <v>86</v>
      </c>
      <c r="F875" s="345">
        <f t="shared" si="839"/>
        <v>156.36363636363637</v>
      </c>
      <c r="G875" s="312">
        <v>86.8</v>
      </c>
      <c r="H875" s="312">
        <f t="shared" si="840"/>
        <v>157.81818181818181</v>
      </c>
      <c r="I875" s="311">
        <v>86</v>
      </c>
      <c r="J875" s="312">
        <f t="shared" si="841"/>
        <v>156.36363636363637</v>
      </c>
      <c r="K875" s="311">
        <v>93</v>
      </c>
      <c r="L875" s="312">
        <f t="shared" si="842"/>
        <v>169.09090909090909</v>
      </c>
      <c r="M875" s="311">
        <v>101</v>
      </c>
      <c r="N875" s="313">
        <f t="shared" si="843"/>
        <v>183.63636363636363</v>
      </c>
      <c r="O875" s="123"/>
      <c r="P875" s="123"/>
      <c r="S875" s="132"/>
      <c r="T875" s="132"/>
      <c r="U875" s="206"/>
    </row>
    <row r="876" spans="2:21">
      <c r="B876" s="310" t="s">
        <v>6</v>
      </c>
      <c r="C876" s="433">
        <v>78.98</v>
      </c>
      <c r="D876" s="312">
        <f t="shared" si="844"/>
        <v>143.6</v>
      </c>
      <c r="E876" s="312">
        <v>80.400000000000006</v>
      </c>
      <c r="F876" s="345">
        <f t="shared" si="839"/>
        <v>146.18181818181819</v>
      </c>
      <c r="G876" s="312">
        <v>89</v>
      </c>
      <c r="H876" s="312">
        <f t="shared" si="840"/>
        <v>161.81818181818181</v>
      </c>
      <c r="I876" s="311">
        <v>87.5</v>
      </c>
      <c r="J876" s="312">
        <f t="shared" si="841"/>
        <v>159.09090909090909</v>
      </c>
      <c r="K876" s="311">
        <v>93</v>
      </c>
      <c r="L876" s="312">
        <f t="shared" si="842"/>
        <v>169.09090909090909</v>
      </c>
      <c r="M876" s="311">
        <v>98.2</v>
      </c>
      <c r="N876" s="313">
        <f t="shared" si="843"/>
        <v>178.54545454545453</v>
      </c>
      <c r="O876" s="123"/>
      <c r="P876" s="123"/>
      <c r="S876" s="132"/>
      <c r="T876" s="132"/>
      <c r="U876" s="206"/>
    </row>
    <row r="877" spans="2:21">
      <c r="B877" s="310" t="s">
        <v>7</v>
      </c>
      <c r="C877" s="433">
        <v>85.98</v>
      </c>
      <c r="D877" s="312">
        <f t="shared" si="844"/>
        <v>156.32727272727271</v>
      </c>
      <c r="E877" s="312">
        <v>88.75</v>
      </c>
      <c r="F877" s="345">
        <f t="shared" si="839"/>
        <v>161.36363636363637</v>
      </c>
      <c r="G877" s="312">
        <v>88.8</v>
      </c>
      <c r="H877" s="312">
        <f t="shared" si="840"/>
        <v>161.45454545454547</v>
      </c>
      <c r="I877" s="311">
        <v>87.4</v>
      </c>
      <c r="J877" s="312">
        <f t="shared" si="841"/>
        <v>158.90909090909091</v>
      </c>
      <c r="K877" s="311">
        <v>89</v>
      </c>
      <c r="L877" s="312">
        <f t="shared" si="842"/>
        <v>161.81818181818181</v>
      </c>
      <c r="M877" s="311">
        <v>98.33</v>
      </c>
      <c r="N877" s="313">
        <f t="shared" si="843"/>
        <v>178.78181818181818</v>
      </c>
      <c r="O877" s="123"/>
      <c r="P877" s="123"/>
      <c r="S877" s="132"/>
      <c r="T877" s="132"/>
      <c r="U877" s="206"/>
    </row>
    <row r="878" spans="2:21">
      <c r="B878" s="310" t="s">
        <v>8</v>
      </c>
      <c r="C878" s="433">
        <v>83</v>
      </c>
      <c r="D878" s="312">
        <f t="shared" si="844"/>
        <v>150.90909090909091</v>
      </c>
      <c r="E878" s="312">
        <v>85</v>
      </c>
      <c r="F878" s="345">
        <f t="shared" si="839"/>
        <v>154.54545454545453</v>
      </c>
      <c r="G878" s="312">
        <v>87.8</v>
      </c>
      <c r="H878" s="312">
        <f t="shared" si="840"/>
        <v>159.63636363636363</v>
      </c>
      <c r="I878" s="311">
        <v>84.2</v>
      </c>
      <c r="J878" s="312">
        <f t="shared" si="841"/>
        <v>153.09090909090909</v>
      </c>
      <c r="K878" s="311">
        <v>94</v>
      </c>
      <c r="L878" s="312">
        <f t="shared" si="842"/>
        <v>170.90909090909091</v>
      </c>
      <c r="M878" s="311">
        <v>98</v>
      </c>
      <c r="N878" s="313">
        <f t="shared" si="843"/>
        <v>178.18181818181819</v>
      </c>
      <c r="O878" s="123"/>
      <c r="P878" s="123"/>
      <c r="S878" s="132"/>
      <c r="T878" s="132"/>
      <c r="U878" s="206"/>
    </row>
    <row r="879" spans="2:21">
      <c r="B879" s="310" t="s">
        <v>9</v>
      </c>
      <c r="C879" s="433">
        <v>78.8</v>
      </c>
      <c r="D879" s="312">
        <f t="shared" si="844"/>
        <v>143.27272727272728</v>
      </c>
      <c r="E879" s="312">
        <v>81</v>
      </c>
      <c r="F879" s="345">
        <f t="shared" si="839"/>
        <v>147.27272727272728</v>
      </c>
      <c r="G879" s="312">
        <v>84.2</v>
      </c>
      <c r="H879" s="312">
        <f t="shared" si="840"/>
        <v>153.09090909090909</v>
      </c>
      <c r="I879" s="311">
        <v>89.48</v>
      </c>
      <c r="J879" s="312">
        <f t="shared" si="841"/>
        <v>162.69090909090909</v>
      </c>
      <c r="K879" s="311">
        <v>91.25</v>
      </c>
      <c r="L879" s="312">
        <f t="shared" si="842"/>
        <v>165.90909090909091</v>
      </c>
      <c r="M879" s="311">
        <v>105</v>
      </c>
      <c r="N879" s="313">
        <f t="shared" si="843"/>
        <v>190.90909090909091</v>
      </c>
      <c r="O879" s="123"/>
      <c r="P879" s="123"/>
      <c r="S879" s="132"/>
      <c r="T879" s="132"/>
      <c r="U879" s="206"/>
    </row>
    <row r="880" spans="2:21">
      <c r="B880" s="310" t="s">
        <v>10</v>
      </c>
      <c r="C880" s="433">
        <v>89.6</v>
      </c>
      <c r="D880" s="312">
        <f t="shared" si="844"/>
        <v>162.90909090909091</v>
      </c>
      <c r="E880" s="312">
        <v>90</v>
      </c>
      <c r="F880" s="345">
        <f t="shared" si="839"/>
        <v>163.63636363636363</v>
      </c>
      <c r="G880" s="312">
        <v>83.5</v>
      </c>
      <c r="H880" s="312">
        <f t="shared" si="840"/>
        <v>151.81818181818181</v>
      </c>
      <c r="I880" s="311">
        <v>88</v>
      </c>
      <c r="J880" s="312">
        <f t="shared" si="841"/>
        <v>160</v>
      </c>
      <c r="K880" s="311">
        <v>91.25</v>
      </c>
      <c r="L880" s="312">
        <f t="shared" si="842"/>
        <v>165.90909090909091</v>
      </c>
      <c r="M880" s="311">
        <v>105</v>
      </c>
      <c r="N880" s="313">
        <f t="shared" si="843"/>
        <v>190.90909090909091</v>
      </c>
      <c r="O880" s="123"/>
      <c r="P880" s="123"/>
      <c r="S880" s="132"/>
      <c r="T880" s="132"/>
      <c r="U880" s="206"/>
    </row>
    <row r="881" spans="2:21" ht="15.75" thickBot="1">
      <c r="B881" s="314" t="s">
        <v>11</v>
      </c>
      <c r="C881" s="434">
        <v>83.75</v>
      </c>
      <c r="D881" s="316">
        <f t="shared" si="844"/>
        <v>152.27272727272728</v>
      </c>
      <c r="E881" s="316">
        <v>87.5</v>
      </c>
      <c r="F881" s="348">
        <f t="shared" si="839"/>
        <v>159.09090909090909</v>
      </c>
      <c r="G881" s="316">
        <v>86</v>
      </c>
      <c r="H881" s="316">
        <f t="shared" si="840"/>
        <v>156.36363636363637</v>
      </c>
      <c r="I881" s="315">
        <v>88.4</v>
      </c>
      <c r="J881" s="316">
        <f t="shared" si="841"/>
        <v>160.72727272727272</v>
      </c>
      <c r="K881" s="315">
        <v>91.25</v>
      </c>
      <c r="L881" s="316">
        <f t="shared" si="842"/>
        <v>165.90909090909091</v>
      </c>
      <c r="M881" s="315">
        <v>99.17</v>
      </c>
      <c r="N881" s="317">
        <f t="shared" si="843"/>
        <v>180.30909090909091</v>
      </c>
      <c r="O881" s="123"/>
      <c r="P881" s="123"/>
      <c r="S881" s="132"/>
      <c r="T881" s="132"/>
      <c r="U881" s="206"/>
    </row>
    <row r="882" spans="2:21" ht="15.75" thickBot="1">
      <c r="B882" s="119"/>
      <c r="C882" s="180"/>
      <c r="D882" s="123"/>
      <c r="E882" s="123"/>
      <c r="F882" s="132"/>
      <c r="G882" s="123"/>
      <c r="H882" s="123"/>
      <c r="I882" s="118"/>
      <c r="J882" s="123"/>
      <c r="K882" s="118"/>
      <c r="L882" s="123"/>
      <c r="M882" s="118"/>
      <c r="N882" s="123"/>
      <c r="O882" s="123"/>
      <c r="P882" s="123"/>
      <c r="Q882" s="118"/>
      <c r="R882" s="123"/>
      <c r="S882" s="132"/>
      <c r="T882" s="132"/>
      <c r="U882" s="206"/>
    </row>
    <row r="883" spans="2:21" ht="20.25" thickBot="1">
      <c r="B883" s="544" t="s">
        <v>201</v>
      </c>
      <c r="C883" s="545"/>
      <c r="D883" s="546"/>
      <c r="E883" s="546"/>
      <c r="F883" s="547"/>
      <c r="G883" s="548">
        <v>55</v>
      </c>
      <c r="H883" s="549" t="s">
        <v>21</v>
      </c>
      <c r="I883" s="546"/>
      <c r="J883" s="546"/>
      <c r="K883" s="550"/>
      <c r="L883" s="550" t="s">
        <v>52</v>
      </c>
      <c r="M883" s="546"/>
      <c r="N883" s="551"/>
      <c r="O883" s="123"/>
      <c r="P883" s="123"/>
      <c r="Q883" s="118"/>
      <c r="R883" s="123"/>
      <c r="S883" s="132"/>
      <c r="T883" s="132"/>
      <c r="U883" s="206"/>
    </row>
    <row r="884" spans="2:21" ht="15.75" thickBot="1">
      <c r="B884" s="1306">
        <v>2006</v>
      </c>
      <c r="C884" s="1307"/>
      <c r="D884" s="336" t="s">
        <v>15</v>
      </c>
      <c r="E884" s="336">
        <v>2007</v>
      </c>
      <c r="F884" s="336" t="s">
        <v>15</v>
      </c>
      <c r="G884" s="336">
        <v>2008</v>
      </c>
      <c r="H884" s="336" t="s">
        <v>15</v>
      </c>
      <c r="I884" s="336">
        <v>2009</v>
      </c>
      <c r="J884" s="336" t="s">
        <v>15</v>
      </c>
      <c r="K884" s="336">
        <v>2010</v>
      </c>
      <c r="L884" s="336" t="s">
        <v>15</v>
      </c>
      <c r="M884" s="336">
        <v>2011</v>
      </c>
      <c r="N884" s="354" t="s">
        <v>15</v>
      </c>
      <c r="O884" s="123"/>
      <c r="P884" s="123"/>
      <c r="Q884" s="118"/>
      <c r="R884" s="123"/>
      <c r="S884" s="132"/>
      <c r="T884" s="132"/>
      <c r="U884" s="206"/>
    </row>
    <row r="885" spans="2:21">
      <c r="B885" s="306" t="s">
        <v>0</v>
      </c>
      <c r="C885" s="307">
        <v>102.5</v>
      </c>
      <c r="D885" s="308">
        <f t="shared" ref="D885:D896" si="845">100*C885/$G$853</f>
        <v>186.36363636363637</v>
      </c>
      <c r="E885" s="307">
        <v>109.17</v>
      </c>
      <c r="F885" s="308">
        <f t="shared" ref="F885:F896" si="846">100*E885/$G$853</f>
        <v>198.4909090909091</v>
      </c>
      <c r="G885" s="307">
        <v>97.5</v>
      </c>
      <c r="H885" s="308">
        <f t="shared" ref="H885:H896" si="847">100*G885/$G$853</f>
        <v>177.27272727272728</v>
      </c>
      <c r="I885" s="307">
        <v>114.2</v>
      </c>
      <c r="J885" s="308">
        <f t="shared" ref="J885:J896" si="848">100*I885/$G$853</f>
        <v>207.63636363636363</v>
      </c>
      <c r="K885" s="307">
        <v>114.2</v>
      </c>
      <c r="L885" s="308">
        <f t="shared" ref="L885:L896" si="849">100*K885/$G$853</f>
        <v>207.63636363636363</v>
      </c>
      <c r="M885" s="307">
        <v>182</v>
      </c>
      <c r="N885" s="309">
        <f t="shared" ref="N885:N896" si="850">100*M885/$G$853</f>
        <v>330.90909090909093</v>
      </c>
      <c r="O885" s="123"/>
      <c r="P885" s="194">
        <f>+G889/G885-1</f>
        <v>0.10256410256410264</v>
      </c>
      <c r="Q885" s="118"/>
      <c r="R885" s="123"/>
      <c r="S885" s="132"/>
      <c r="T885" s="132"/>
      <c r="U885" s="206"/>
    </row>
    <row r="886" spans="2:21" ht="13.5" customHeight="1">
      <c r="B886" s="310" t="s">
        <v>1</v>
      </c>
      <c r="C886" s="311">
        <v>105.83</v>
      </c>
      <c r="D886" s="312">
        <f t="shared" si="845"/>
        <v>192.41818181818181</v>
      </c>
      <c r="E886" s="311">
        <v>105.83</v>
      </c>
      <c r="F886" s="312">
        <f t="shared" si="846"/>
        <v>192.41818181818181</v>
      </c>
      <c r="G886" s="311">
        <v>99.166666666666671</v>
      </c>
      <c r="H886" s="312">
        <f t="shared" si="847"/>
        <v>180.30303030303031</v>
      </c>
      <c r="I886" s="311">
        <v>114.2</v>
      </c>
      <c r="J886" s="312">
        <f t="shared" si="848"/>
        <v>207.63636363636363</v>
      </c>
      <c r="K886" s="311">
        <v>144.99833333333333</v>
      </c>
      <c r="L886" s="312">
        <f t="shared" si="849"/>
        <v>263.63333333333333</v>
      </c>
      <c r="M886" s="311">
        <v>182</v>
      </c>
      <c r="N886" s="313">
        <f t="shared" si="850"/>
        <v>330.90909090909093</v>
      </c>
      <c r="O886" s="123"/>
      <c r="P886" s="123"/>
      <c r="Q886" s="118"/>
      <c r="R886" s="123"/>
      <c r="S886" s="132"/>
      <c r="T886" s="132"/>
      <c r="U886" s="206"/>
    </row>
    <row r="887" spans="2:21">
      <c r="B887" s="310" t="s">
        <v>2</v>
      </c>
      <c r="C887" s="311">
        <v>104</v>
      </c>
      <c r="D887" s="312">
        <f t="shared" si="845"/>
        <v>189.09090909090909</v>
      </c>
      <c r="E887" s="311">
        <v>110</v>
      </c>
      <c r="F887" s="312">
        <f t="shared" si="846"/>
        <v>200</v>
      </c>
      <c r="G887" s="311">
        <v>103</v>
      </c>
      <c r="H887" s="312">
        <f t="shared" si="847"/>
        <v>187.27272727272728</v>
      </c>
      <c r="I887" s="311">
        <v>114.2</v>
      </c>
      <c r="J887" s="312">
        <f t="shared" si="848"/>
        <v>207.63636363636363</v>
      </c>
      <c r="K887" s="311">
        <v>173.33</v>
      </c>
      <c r="L887" s="312">
        <f t="shared" si="849"/>
        <v>315.14545454545453</v>
      </c>
      <c r="M887" s="311">
        <v>182</v>
      </c>
      <c r="N887" s="313">
        <f t="shared" si="850"/>
        <v>330.90909090909093</v>
      </c>
      <c r="O887" s="123"/>
      <c r="P887" s="123"/>
      <c r="Q887" s="118"/>
      <c r="R887" s="123"/>
      <c r="S887" s="132"/>
      <c r="T887" s="132"/>
      <c r="U887" s="206"/>
    </row>
    <row r="888" spans="2:21">
      <c r="B888" s="310" t="s">
        <v>3</v>
      </c>
      <c r="C888" s="311">
        <v>106</v>
      </c>
      <c r="D888" s="312">
        <f t="shared" si="845"/>
        <v>192.72727272727272</v>
      </c>
      <c r="E888" s="311">
        <v>114</v>
      </c>
      <c r="F888" s="312">
        <f t="shared" si="846"/>
        <v>207.27272727272728</v>
      </c>
      <c r="G888" s="311">
        <v>106.66666666666667</v>
      </c>
      <c r="H888" s="312">
        <f t="shared" si="847"/>
        <v>193.93939393939397</v>
      </c>
      <c r="I888" s="311">
        <v>113.5</v>
      </c>
      <c r="J888" s="312">
        <f t="shared" si="848"/>
        <v>206.36363636363637</v>
      </c>
      <c r="K888" s="311">
        <v>173.33</v>
      </c>
      <c r="L888" s="312">
        <f t="shared" si="849"/>
        <v>315.14545454545453</v>
      </c>
      <c r="M888" s="311">
        <v>182</v>
      </c>
      <c r="N888" s="313">
        <f t="shared" si="850"/>
        <v>330.90909090909093</v>
      </c>
      <c r="O888" s="123"/>
      <c r="P888" s="123"/>
      <c r="Q888" s="118"/>
      <c r="R888" s="123"/>
      <c r="S888" s="132"/>
      <c r="T888" s="132"/>
      <c r="U888" s="206"/>
    </row>
    <row r="889" spans="2:21">
      <c r="B889" s="310" t="s">
        <v>4</v>
      </c>
      <c r="C889" s="311">
        <v>111.25</v>
      </c>
      <c r="D889" s="312">
        <f t="shared" si="845"/>
        <v>202.27272727272728</v>
      </c>
      <c r="E889" s="311">
        <v>110</v>
      </c>
      <c r="F889" s="312">
        <f t="shared" si="846"/>
        <v>200</v>
      </c>
      <c r="G889" s="311">
        <v>107.5</v>
      </c>
      <c r="H889" s="312">
        <f t="shared" si="847"/>
        <v>195.45454545454547</v>
      </c>
      <c r="I889" s="311">
        <v>116</v>
      </c>
      <c r="J889" s="312">
        <f t="shared" si="848"/>
        <v>210.90909090909091</v>
      </c>
      <c r="K889" s="311">
        <v>173.33333333333334</v>
      </c>
      <c r="L889" s="312">
        <f t="shared" si="849"/>
        <v>315.15151515151518</v>
      </c>
      <c r="M889" s="311">
        <v>182</v>
      </c>
      <c r="N889" s="313">
        <f t="shared" si="850"/>
        <v>330.90909090909093</v>
      </c>
      <c r="O889" s="123"/>
      <c r="P889" s="123"/>
      <c r="Q889" s="118"/>
      <c r="R889" s="123"/>
      <c r="S889" s="132"/>
      <c r="T889" s="132"/>
      <c r="U889" s="206"/>
    </row>
    <row r="890" spans="2:21">
      <c r="B890" s="310" t="s">
        <v>5</v>
      </c>
      <c r="C890" s="311">
        <v>107</v>
      </c>
      <c r="D890" s="312">
        <f t="shared" si="845"/>
        <v>194.54545454545453</v>
      </c>
      <c r="E890" s="311">
        <v>111.5</v>
      </c>
      <c r="F890" s="312">
        <f t="shared" si="846"/>
        <v>202.72727272727272</v>
      </c>
      <c r="G890" s="311">
        <v>107.5</v>
      </c>
      <c r="H890" s="312">
        <f t="shared" si="847"/>
        <v>195.45454545454547</v>
      </c>
      <c r="I890" s="311">
        <v>119</v>
      </c>
      <c r="J890" s="312">
        <f t="shared" si="848"/>
        <v>216.36363636363637</v>
      </c>
      <c r="K890" s="311">
        <v>173.33333333333334</v>
      </c>
      <c r="L890" s="312">
        <f t="shared" si="849"/>
        <v>315.15151515151518</v>
      </c>
      <c r="M890" s="311">
        <v>182</v>
      </c>
      <c r="N890" s="313">
        <f t="shared" si="850"/>
        <v>330.90909090909093</v>
      </c>
      <c r="O890" s="123"/>
      <c r="P890" s="123"/>
      <c r="Q890" s="118"/>
      <c r="R890" s="123"/>
      <c r="S890" s="132"/>
      <c r="T890" s="132"/>
      <c r="U890" s="206"/>
    </row>
    <row r="891" spans="2:21">
      <c r="B891" s="310" t="s">
        <v>6</v>
      </c>
      <c r="C891" s="311">
        <v>103.33</v>
      </c>
      <c r="D891" s="312">
        <f t="shared" si="845"/>
        <v>187.87272727272727</v>
      </c>
      <c r="E891" s="311">
        <v>97.5</v>
      </c>
      <c r="F891" s="312">
        <f t="shared" si="846"/>
        <v>177.27272727272728</v>
      </c>
      <c r="G891" s="311">
        <v>107.5</v>
      </c>
      <c r="H891" s="312">
        <f t="shared" si="847"/>
        <v>195.45454545454547</v>
      </c>
      <c r="I891" s="311">
        <v>120</v>
      </c>
      <c r="J891" s="312">
        <f t="shared" si="848"/>
        <v>218.18181818181819</v>
      </c>
      <c r="K891" s="311">
        <v>182</v>
      </c>
      <c r="L891" s="312">
        <f t="shared" si="849"/>
        <v>330.90909090909093</v>
      </c>
      <c r="M891" s="311">
        <v>182</v>
      </c>
      <c r="N891" s="313">
        <f t="shared" si="850"/>
        <v>330.90909090909093</v>
      </c>
      <c r="O891" s="123"/>
      <c r="P891" s="123"/>
      <c r="Q891" s="118"/>
      <c r="R891" s="123"/>
      <c r="S891" s="132"/>
      <c r="T891" s="132"/>
      <c r="U891" s="206"/>
    </row>
    <row r="892" spans="2:21">
      <c r="B892" s="310" t="s">
        <v>7</v>
      </c>
      <c r="C892" s="311">
        <v>110</v>
      </c>
      <c r="D892" s="312">
        <f t="shared" si="845"/>
        <v>200</v>
      </c>
      <c r="E892" s="311">
        <v>97</v>
      </c>
      <c r="F892" s="312">
        <f t="shared" si="846"/>
        <v>176.36363636363637</v>
      </c>
      <c r="G892" s="311">
        <v>105</v>
      </c>
      <c r="H892" s="312">
        <f t="shared" si="847"/>
        <v>190.90909090909091</v>
      </c>
      <c r="I892" s="311">
        <v>121.5</v>
      </c>
      <c r="J892" s="312">
        <f t="shared" si="848"/>
        <v>220.90909090909091</v>
      </c>
      <c r="K892" s="311">
        <v>182</v>
      </c>
      <c r="L892" s="312">
        <f t="shared" si="849"/>
        <v>330.90909090909093</v>
      </c>
      <c r="M892" s="311">
        <v>186</v>
      </c>
      <c r="N892" s="313">
        <f t="shared" si="850"/>
        <v>338.18181818181819</v>
      </c>
      <c r="O892" s="123"/>
      <c r="P892" s="123"/>
      <c r="Q892" s="118"/>
      <c r="R892" s="123"/>
      <c r="S892" s="132"/>
      <c r="T892" s="132"/>
      <c r="U892" s="206"/>
    </row>
    <row r="893" spans="2:21">
      <c r="B893" s="310" t="s">
        <v>8</v>
      </c>
      <c r="C893" s="311">
        <v>102</v>
      </c>
      <c r="D893" s="312">
        <f t="shared" si="845"/>
        <v>185.45454545454547</v>
      </c>
      <c r="E893" s="311">
        <v>98</v>
      </c>
      <c r="F893" s="312">
        <f t="shared" si="846"/>
        <v>178.18181818181819</v>
      </c>
      <c r="G893" s="311">
        <v>108.33333333333333</v>
      </c>
      <c r="H893" s="312">
        <f t="shared" si="847"/>
        <v>196.96969696969694</v>
      </c>
      <c r="I893" s="311">
        <v>121.67</v>
      </c>
      <c r="J893" s="312">
        <f t="shared" si="848"/>
        <v>221.21818181818182</v>
      </c>
      <c r="K893" s="311">
        <v>182</v>
      </c>
      <c r="L893" s="312">
        <f t="shared" si="849"/>
        <v>330.90909090909093</v>
      </c>
      <c r="M893" s="311">
        <v>186</v>
      </c>
      <c r="N893" s="313">
        <f t="shared" si="850"/>
        <v>338.18181818181819</v>
      </c>
      <c r="O893" s="123"/>
      <c r="P893" s="123"/>
      <c r="Q893" s="118"/>
      <c r="R893" s="123"/>
      <c r="S893" s="132"/>
      <c r="T893" s="132"/>
      <c r="U893" s="206"/>
    </row>
    <row r="894" spans="2:21">
      <c r="B894" s="310" t="s">
        <v>9</v>
      </c>
      <c r="C894" s="311">
        <v>107</v>
      </c>
      <c r="D894" s="312">
        <f t="shared" si="845"/>
        <v>194.54545454545453</v>
      </c>
      <c r="E894" s="311">
        <v>97.5</v>
      </c>
      <c r="F894" s="312">
        <f t="shared" si="846"/>
        <v>177.27272727272728</v>
      </c>
      <c r="G894" s="311">
        <v>112</v>
      </c>
      <c r="H894" s="312">
        <f t="shared" si="847"/>
        <v>203.63636363636363</v>
      </c>
      <c r="I894" s="311">
        <v>122.5</v>
      </c>
      <c r="J894" s="312">
        <f t="shared" si="848"/>
        <v>222.72727272727272</v>
      </c>
      <c r="K894" s="311">
        <v>182</v>
      </c>
      <c r="L894" s="312">
        <f t="shared" si="849"/>
        <v>330.90909090909093</v>
      </c>
      <c r="M894" s="311">
        <v>186</v>
      </c>
      <c r="N894" s="313">
        <f t="shared" si="850"/>
        <v>338.18181818181819</v>
      </c>
      <c r="O894" s="123"/>
      <c r="P894" s="123"/>
      <c r="Q894" s="118"/>
      <c r="R894" s="123"/>
      <c r="S894" s="132"/>
      <c r="T894" s="132"/>
      <c r="U894" s="206"/>
    </row>
    <row r="895" spans="2:21">
      <c r="B895" s="310" t="s">
        <v>10</v>
      </c>
      <c r="C895" s="311">
        <v>101</v>
      </c>
      <c r="D895" s="312">
        <f t="shared" si="845"/>
        <v>183.63636363636363</v>
      </c>
      <c r="E895" s="311">
        <v>97</v>
      </c>
      <c r="F895" s="312">
        <f t="shared" si="846"/>
        <v>176.36363636363637</v>
      </c>
      <c r="G895" s="311">
        <v>112</v>
      </c>
      <c r="H895" s="312">
        <f t="shared" si="847"/>
        <v>203.63636363636363</v>
      </c>
      <c r="I895" s="311">
        <v>126.25</v>
      </c>
      <c r="J895" s="312">
        <f t="shared" si="848"/>
        <v>229.54545454545453</v>
      </c>
      <c r="K895" s="311">
        <v>182</v>
      </c>
      <c r="L895" s="312">
        <f t="shared" si="849"/>
        <v>330.90909090909093</v>
      </c>
      <c r="M895" s="311">
        <v>186</v>
      </c>
      <c r="N895" s="313">
        <f t="shared" si="850"/>
        <v>338.18181818181819</v>
      </c>
      <c r="O895" s="123"/>
      <c r="P895" s="123"/>
      <c r="Q895" s="118"/>
      <c r="R895" s="123"/>
      <c r="S895" s="132"/>
      <c r="T895" s="132"/>
      <c r="U895" s="206"/>
    </row>
    <row r="896" spans="2:21" ht="15.75" thickBot="1">
      <c r="B896" s="314" t="s">
        <v>11</v>
      </c>
      <c r="C896" s="315">
        <v>103</v>
      </c>
      <c r="D896" s="316">
        <f t="shared" si="845"/>
        <v>187.27272727272728</v>
      </c>
      <c r="E896" s="315">
        <v>97.5</v>
      </c>
      <c r="F896" s="316">
        <f t="shared" si="846"/>
        <v>177.27272727272728</v>
      </c>
      <c r="G896" s="315">
        <v>101</v>
      </c>
      <c r="H896" s="316">
        <f t="shared" si="847"/>
        <v>183.63636363636363</v>
      </c>
      <c r="I896" s="315">
        <v>125</v>
      </c>
      <c r="J896" s="316">
        <f t="shared" si="848"/>
        <v>227.27272727272728</v>
      </c>
      <c r="K896" s="315">
        <v>182</v>
      </c>
      <c r="L896" s="316">
        <f t="shared" si="849"/>
        <v>330.90909090909093</v>
      </c>
      <c r="M896" s="315">
        <v>186</v>
      </c>
      <c r="N896" s="317">
        <f t="shared" si="850"/>
        <v>338.18181818181819</v>
      </c>
      <c r="O896" s="123"/>
      <c r="P896" s="123"/>
      <c r="Q896" s="118"/>
      <c r="R896" s="123"/>
      <c r="S896" s="132"/>
      <c r="T896" s="132"/>
      <c r="U896" s="206"/>
    </row>
    <row r="897" spans="2:21">
      <c r="B897" s="119"/>
      <c r="C897" s="180"/>
      <c r="D897" s="123"/>
      <c r="E897" s="123"/>
      <c r="F897" s="132"/>
      <c r="G897" s="123"/>
      <c r="H897" s="123"/>
      <c r="I897" s="118"/>
      <c r="J897" s="123"/>
      <c r="K897" s="118"/>
      <c r="L897" s="123"/>
      <c r="M897" s="118"/>
      <c r="N897" s="123"/>
      <c r="O897" s="123"/>
      <c r="P897" s="123"/>
      <c r="Q897" s="118"/>
      <c r="R897" s="123"/>
      <c r="S897" s="132"/>
      <c r="T897" s="132"/>
      <c r="U897" s="206"/>
    </row>
    <row r="898" spans="2:21" ht="16.5" thickBot="1">
      <c r="B898" s="1300" t="s">
        <v>302</v>
      </c>
      <c r="C898" s="1301"/>
      <c r="D898" s="1301"/>
      <c r="E898" s="1301"/>
      <c r="F898" s="1301"/>
      <c r="G898" s="1301"/>
      <c r="H898" s="1301"/>
      <c r="I898" s="1301"/>
      <c r="J898" s="1301"/>
      <c r="K898" s="1301"/>
      <c r="L898" s="1301"/>
      <c r="M898" s="1301"/>
      <c r="N898" s="1301"/>
      <c r="O898" s="1301"/>
      <c r="P898" s="1301"/>
      <c r="Q898" s="1301"/>
      <c r="R898" s="1301"/>
      <c r="S898" s="1301"/>
      <c r="T898" s="1301"/>
      <c r="U898" s="206"/>
    </row>
    <row r="899" spans="2:21" ht="15.75" thickBot="1">
      <c r="B899" s="1306">
        <v>2012</v>
      </c>
      <c r="C899" s="1307"/>
      <c r="D899" s="354" t="s">
        <v>15</v>
      </c>
      <c r="E899" s="643">
        <v>2013</v>
      </c>
      <c r="F899" s="354" t="s">
        <v>15</v>
      </c>
      <c r="G899" s="643">
        <v>2014</v>
      </c>
      <c r="H899" s="354" t="s">
        <v>15</v>
      </c>
      <c r="I899" s="643">
        <v>2015</v>
      </c>
      <c r="J899" s="354" t="s">
        <v>15</v>
      </c>
      <c r="K899" s="643">
        <v>2016</v>
      </c>
      <c r="L899" s="354" t="s">
        <v>15</v>
      </c>
      <c r="M899" s="643">
        <v>2017</v>
      </c>
      <c r="N899" s="354" t="s">
        <v>15</v>
      </c>
      <c r="O899" s="643">
        <v>2018</v>
      </c>
      <c r="P899" s="354" t="s">
        <v>15</v>
      </c>
      <c r="Q899" s="643">
        <v>2019</v>
      </c>
      <c r="R899" s="354" t="s">
        <v>15</v>
      </c>
      <c r="S899" s="1264">
        <v>2020</v>
      </c>
      <c r="T899" s="354" t="s">
        <v>15</v>
      </c>
      <c r="U899" s="206"/>
    </row>
    <row r="900" spans="2:21">
      <c r="B900" s="306" t="s">
        <v>0</v>
      </c>
      <c r="C900" s="307">
        <v>220</v>
      </c>
      <c r="D900" s="309">
        <f t="shared" ref="D900:D907" si="851">100*C900/$G$853</f>
        <v>400</v>
      </c>
      <c r="E900" s="657">
        <f>[9]PLANCUSr!$H$39</f>
        <v>230</v>
      </c>
      <c r="F900" s="655">
        <f t="shared" ref="F900:F905" si="852">100*E900/$G$853</f>
        <v>418.18181818181819</v>
      </c>
      <c r="G900" s="657">
        <f>[10]PLANCUSr!$H$39</f>
        <v>238</v>
      </c>
      <c r="H900" s="655">
        <f t="shared" ref="H900:H905" si="853">100*G900/$G$853</f>
        <v>432.72727272727275</v>
      </c>
      <c r="I900" s="657">
        <f>[11]PLANCUSr!$H$39</f>
        <v>247.958</v>
      </c>
      <c r="J900" s="655">
        <f t="shared" ref="J900:J905" si="854">100*I900/$G$853</f>
        <v>450.83272727272725</v>
      </c>
      <c r="K900" s="657">
        <f>[12]PLANCUSr!$H$39</f>
        <v>262.93799999999999</v>
      </c>
      <c r="L900" s="655">
        <f t="shared" ref="L900" si="855">100*K900/$G$853</f>
        <v>478.0690909090909</v>
      </c>
      <c r="M900" s="657">
        <f>[13]PLANCUSr!$H$39</f>
        <v>285.02479199999999</v>
      </c>
      <c r="N900" s="655">
        <f t="shared" ref="N900" si="856">100*M900/$G$853</f>
        <v>518.22689454545446</v>
      </c>
      <c r="O900" s="657">
        <f>[14]PLANCUSr!$H$39</f>
        <v>296.9388283056</v>
      </c>
      <c r="P900" s="655">
        <f t="shared" ref="P900" si="857">100*O900/$G$853</f>
        <v>539.88877873745457</v>
      </c>
      <c r="Q900" s="657">
        <f>[15]PLANCUSr!$H$39</f>
        <v>310.30107557935202</v>
      </c>
      <c r="R900" s="655">
        <f t="shared" ref="R900" si="858">100*Q900/$G$853</f>
        <v>564.18377378063997</v>
      </c>
      <c r="S900" s="657">
        <f>[16]PLANCUSr!$H$39</f>
        <v>324.96031899187176</v>
      </c>
      <c r="T900" s="655">
        <f t="shared" ref="T900" si="859">100*S900/$G$853</f>
        <v>590.83694362158496</v>
      </c>
      <c r="U900" s="206"/>
    </row>
    <row r="901" spans="2:21">
      <c r="B901" s="310" t="s">
        <v>1</v>
      </c>
      <c r="C901" s="311">
        <v>220</v>
      </c>
      <c r="D901" s="313">
        <f t="shared" si="851"/>
        <v>400</v>
      </c>
      <c r="E901" s="662">
        <f>[17]PLANCUSr!$H$39</f>
        <v>230</v>
      </c>
      <c r="F901" s="313">
        <f t="shared" si="852"/>
        <v>418.18181818181819</v>
      </c>
      <c r="G901" s="662">
        <f>[18]PLANCUSr!$H$39</f>
        <v>233.8</v>
      </c>
      <c r="H901" s="313">
        <f t="shared" si="853"/>
        <v>425.09090909090907</v>
      </c>
      <c r="I901" s="662">
        <f>[19]PLANCUSr!$H$39</f>
        <v>247.958</v>
      </c>
      <c r="J901" s="313">
        <f t="shared" si="854"/>
        <v>450.83272727272725</v>
      </c>
      <c r="K901" s="662">
        <f>[20]PLANCUSr!$H$39</f>
        <v>262.93799999999999</v>
      </c>
      <c r="L901" s="313">
        <f t="shared" ref="L901" si="860">100*K901/$G$853</f>
        <v>478.0690909090909</v>
      </c>
      <c r="M901" s="662">
        <f>[21]PLANCUSr!$H$39</f>
        <v>285.02479199999999</v>
      </c>
      <c r="N901" s="313">
        <f t="shared" ref="N901" si="861">100*M901/$G$853</f>
        <v>518.22689454545446</v>
      </c>
      <c r="O901" s="662">
        <f>[22]PLANCUSr!$H$39</f>
        <v>296.9388283056</v>
      </c>
      <c r="P901" s="313">
        <f t="shared" ref="P901" si="862">100*O901/$G$853</f>
        <v>539.88877873745457</v>
      </c>
      <c r="Q901" s="662">
        <f>[23]PLANCUSr!$H$39</f>
        <v>310.30107557935202</v>
      </c>
      <c r="R901" s="313">
        <f t="shared" ref="R901" si="863">100*Q901/$G$853</f>
        <v>564.18377378063997</v>
      </c>
      <c r="S901" s="662">
        <f>[24]PLANCUSr!$H$39</f>
        <v>324.96031899187176</v>
      </c>
      <c r="T901" s="313">
        <f t="shared" ref="T901" si="864">100*S901/$G$853</f>
        <v>590.83694362158496</v>
      </c>
      <c r="U901" s="206"/>
    </row>
    <row r="902" spans="2:21">
      <c r="B902" s="310" t="s">
        <v>2</v>
      </c>
      <c r="C902" s="311">
        <v>220</v>
      </c>
      <c r="D902" s="313">
        <f t="shared" si="851"/>
        <v>400</v>
      </c>
      <c r="E902" s="662">
        <f>[25]PLANCUSr!$H$39</f>
        <v>230</v>
      </c>
      <c r="F902" s="313">
        <f t="shared" si="852"/>
        <v>418.18181818181819</v>
      </c>
      <c r="G902" s="662">
        <f>[26]PLANCUSr!$H$39</f>
        <v>233.8</v>
      </c>
      <c r="H902" s="313">
        <f t="shared" si="853"/>
        <v>425.09090909090907</v>
      </c>
      <c r="I902" s="662">
        <f>[27]PLANCUSr!$H$39</f>
        <v>247.958</v>
      </c>
      <c r="J902" s="313">
        <f t="shared" si="854"/>
        <v>450.83272727272725</v>
      </c>
      <c r="K902" s="662">
        <f>[28]PLANCUSr!$H$39</f>
        <v>262.93799999999999</v>
      </c>
      <c r="L902" s="313">
        <f t="shared" ref="L902" si="865">100*K902/$G$853</f>
        <v>478.0690909090909</v>
      </c>
      <c r="M902" s="662">
        <f>[29]PLANCUSr!$H$39</f>
        <v>285.02479199999999</v>
      </c>
      <c r="N902" s="313">
        <f t="shared" ref="N902" si="866">100*M902/$G$853</f>
        <v>518.22689454545446</v>
      </c>
      <c r="O902" s="662">
        <f>[30]PLANCUSr!$H$39</f>
        <v>296.9388283056</v>
      </c>
      <c r="P902" s="313">
        <f t="shared" ref="P902" si="867">100*O902/$G$853</f>
        <v>539.88877873745457</v>
      </c>
      <c r="Q902" s="662">
        <f>[31]PLANCUSr!$H$39</f>
        <v>310.30107557935202</v>
      </c>
      <c r="R902" s="313">
        <f t="shared" ref="R902" si="868">100*Q902/$G$853</f>
        <v>564.18377378063997</v>
      </c>
      <c r="S902" s="662">
        <f>[32]PLANCUSr!$H$39</f>
        <v>324.96031899187176</v>
      </c>
      <c r="T902" s="313">
        <f t="shared" ref="T902" si="869">100*S902/$G$853</f>
        <v>590.83694362158496</v>
      </c>
      <c r="U902" s="206"/>
    </row>
    <row r="903" spans="2:21">
      <c r="B903" s="310" t="s">
        <v>3</v>
      </c>
      <c r="C903" s="311">
        <v>220</v>
      </c>
      <c r="D903" s="313">
        <f t="shared" si="851"/>
        <v>400</v>
      </c>
      <c r="E903" s="662">
        <f>[33]PLANCUSr!$H$39</f>
        <v>238</v>
      </c>
      <c r="F903" s="313">
        <f t="shared" si="852"/>
        <v>432.72727272727275</v>
      </c>
      <c r="G903" s="662">
        <f>[34]PLANCUSr!$H$39</f>
        <v>233.99799999999999</v>
      </c>
      <c r="H903" s="313">
        <f t="shared" si="853"/>
        <v>425.45090909090908</v>
      </c>
      <c r="I903" s="662">
        <f>[35]PLANCUSr!$H$39</f>
        <v>247.958</v>
      </c>
      <c r="J903" s="313">
        <f t="shared" si="854"/>
        <v>450.83272727272725</v>
      </c>
      <c r="K903" s="662">
        <f>[36]PLANCUSr!$H$39</f>
        <v>262.93799999999999</v>
      </c>
      <c r="L903" s="313">
        <f t="shared" ref="L903" si="870">100*K903/$G$853</f>
        <v>478.0690909090909</v>
      </c>
      <c r="M903" s="662">
        <f>[37]PLANCUSr!$H$39</f>
        <v>285.02479199999999</v>
      </c>
      <c r="N903" s="313">
        <f t="shared" ref="N903" si="871">100*M903/$G$853</f>
        <v>518.22689454545446</v>
      </c>
      <c r="O903" s="662">
        <f>[38]PLANCUSr!$H$39</f>
        <v>296.9388283056</v>
      </c>
      <c r="P903" s="313">
        <f t="shared" ref="P903" si="872">100*O903/$G$853</f>
        <v>539.88877873745457</v>
      </c>
      <c r="Q903" s="662">
        <f>[39]PLANCUSr!$H$39</f>
        <v>310.30107557935202</v>
      </c>
      <c r="R903" s="313">
        <f t="shared" ref="R903" si="873">100*Q903/$G$853</f>
        <v>564.18377378063997</v>
      </c>
      <c r="S903" s="662">
        <f>[40]PLANCUSr!$H$39</f>
        <v>324.96031899187176</v>
      </c>
      <c r="T903" s="313">
        <f t="shared" ref="T903" si="874">100*S903/$G$853</f>
        <v>590.83694362158496</v>
      </c>
      <c r="U903" s="206"/>
    </row>
    <row r="904" spans="2:21">
      <c r="B904" s="310" t="s">
        <v>4</v>
      </c>
      <c r="C904" s="311">
        <v>220</v>
      </c>
      <c r="D904" s="313">
        <f t="shared" si="851"/>
        <v>400</v>
      </c>
      <c r="E904" s="662">
        <f>[41]PLANCUSr!$H$39</f>
        <v>238</v>
      </c>
      <c r="F904" s="313">
        <f t="shared" si="852"/>
        <v>432.72727272727275</v>
      </c>
      <c r="G904" s="662">
        <f>[42]PLANCUSr!$H$39</f>
        <v>241.97799999999998</v>
      </c>
      <c r="H904" s="313">
        <f t="shared" si="853"/>
        <v>439.96</v>
      </c>
      <c r="I904" s="662">
        <f>[43]PLANCUSr!$H$39</f>
        <v>247.958</v>
      </c>
      <c r="J904" s="313">
        <f t="shared" si="854"/>
        <v>450.83272727272725</v>
      </c>
      <c r="K904" s="662">
        <f>[44]PLANCUSr!$H$39</f>
        <v>285.02479199999999</v>
      </c>
      <c r="L904" s="313">
        <f t="shared" ref="L904" si="875">100*K904/$G$853</f>
        <v>518.22689454545446</v>
      </c>
      <c r="M904" s="662">
        <f>[45]PLANCUSr!$H$39</f>
        <v>285.02479199999999</v>
      </c>
      <c r="N904" s="313">
        <f t="shared" ref="N904" si="876">100*M904/$G$853</f>
        <v>518.22689454545446</v>
      </c>
      <c r="O904" s="662">
        <f>[46]PLANCUSr!$H$39</f>
        <v>296.9388283056</v>
      </c>
      <c r="P904" s="313">
        <f t="shared" ref="P904" si="877">100*O904/$G$853</f>
        <v>539.88877873745457</v>
      </c>
      <c r="Q904" s="662">
        <f>[47]PLANCUSr!$H$39</f>
        <v>310.30107557935202</v>
      </c>
      <c r="R904" s="313">
        <f t="shared" ref="R904" si="878">100*Q904/$G$853</f>
        <v>564.18377378063997</v>
      </c>
      <c r="S904" s="662">
        <f>[48]PLANCUSr!$H$39</f>
        <v>324.96031899187176</v>
      </c>
      <c r="T904" s="313">
        <f t="shared" ref="T904" si="879">100*S904/$G$853</f>
        <v>590.83694362158496</v>
      </c>
      <c r="U904" s="206"/>
    </row>
    <row r="905" spans="2:21">
      <c r="B905" s="310" t="s">
        <v>5</v>
      </c>
      <c r="C905" s="311">
        <v>220</v>
      </c>
      <c r="D905" s="313">
        <f t="shared" si="851"/>
        <v>400</v>
      </c>
      <c r="E905" s="662">
        <f>[49]PLANCUSr!$H$39</f>
        <v>238</v>
      </c>
      <c r="F905" s="313">
        <f t="shared" si="852"/>
        <v>432.72727272727275</v>
      </c>
      <c r="G905" s="662">
        <f>[50]PLANCUSr!$H$39</f>
        <v>241.97799999999998</v>
      </c>
      <c r="H905" s="313">
        <f t="shared" si="853"/>
        <v>439.96</v>
      </c>
      <c r="I905" s="662">
        <f>[51]PLANCUSr!$H$39</f>
        <v>262.93799999999999</v>
      </c>
      <c r="J905" s="313">
        <f t="shared" si="854"/>
        <v>478.0690909090909</v>
      </c>
      <c r="K905" s="662">
        <f>[52]PLANCUSr!$H$39</f>
        <v>285.02479199999999</v>
      </c>
      <c r="L905" s="313">
        <f t="shared" ref="L905" si="880">100*K905/$G$853</f>
        <v>518.22689454545446</v>
      </c>
      <c r="M905" s="662">
        <f>[53]PLANCUSr!$H$39</f>
        <v>285.02479199999999</v>
      </c>
      <c r="N905" s="313">
        <f t="shared" ref="N905" si="881">100*M905/$G$853</f>
        <v>518.22689454545446</v>
      </c>
      <c r="O905" s="662">
        <f>[54]PLANCUSr!$H$39</f>
        <v>310.30107557935202</v>
      </c>
      <c r="P905" s="313">
        <f t="shared" ref="P905" si="882">100*O905/$G$853</f>
        <v>564.18377378063997</v>
      </c>
      <c r="Q905" s="662">
        <f>[55]PLANCUSr!$H$39</f>
        <v>310.30107557935202</v>
      </c>
      <c r="R905" s="313">
        <f t="shared" ref="R905" si="883">100*Q905/$G$853</f>
        <v>564.18377378063997</v>
      </c>
      <c r="S905" s="662">
        <f>[56]PLANCUSr!$H$39</f>
        <v>324.96031899187176</v>
      </c>
      <c r="T905" s="313">
        <f t="shared" ref="T905" si="884">100*S905/$G$853</f>
        <v>590.83694362158496</v>
      </c>
      <c r="U905" s="206"/>
    </row>
    <row r="906" spans="2:21">
      <c r="B906" s="310" t="s">
        <v>6</v>
      </c>
      <c r="C906" s="311">
        <f>[57]PLANCUSr!$H$39</f>
        <v>224</v>
      </c>
      <c r="D906" s="313">
        <f t="shared" si="851"/>
        <v>407.27272727272725</v>
      </c>
      <c r="E906" s="662">
        <f>[58]PLANCUSr!$H$39</f>
        <v>238</v>
      </c>
      <c r="F906" s="313">
        <f t="shared" ref="F906:F911" si="885">100*E906/$G$853</f>
        <v>432.72727272727275</v>
      </c>
      <c r="G906" s="662">
        <f>[59]PLANCUSr!$H$39</f>
        <v>241.97799999999998</v>
      </c>
      <c r="H906" s="313">
        <f t="shared" ref="H906:H911" si="886">100*G906/$G$853</f>
        <v>439.96</v>
      </c>
      <c r="I906" s="662">
        <f>[60]PLANCUSr!$H$39</f>
        <v>262.93799999999999</v>
      </c>
      <c r="J906" s="313">
        <f t="shared" ref="J906:J911" si="887">100*I906/$G$853</f>
        <v>478.0690909090909</v>
      </c>
      <c r="K906" s="662">
        <f>[61]PLANCUSr!$H$39</f>
        <v>285.02479199999999</v>
      </c>
      <c r="L906" s="313">
        <f t="shared" ref="L906" si="888">100*K906/$G$853</f>
        <v>518.22689454545446</v>
      </c>
      <c r="M906" s="662">
        <f>[62]PLANCUSr!$H$39</f>
        <v>285.02479199999999</v>
      </c>
      <c r="N906" s="313">
        <f t="shared" ref="N906" si="889">100*M906/$G$853</f>
        <v>518.22689454545446</v>
      </c>
      <c r="O906" s="662">
        <f>[63]PLANCUSr!$H$39</f>
        <v>310.30107557935202</v>
      </c>
      <c r="P906" s="313">
        <f t="shared" ref="P906" si="890">100*O906/$G$853</f>
        <v>564.18377378063997</v>
      </c>
      <c r="Q906" s="662">
        <f>[64]PLANCUSr!$H$39</f>
        <v>324.96031899187176</v>
      </c>
      <c r="R906" s="313">
        <f t="shared" ref="R906" si="891">100*Q906/$G$853</f>
        <v>590.83694362158496</v>
      </c>
      <c r="S906" s="662">
        <f>[65]PLANCUSr!$H$39</f>
        <v>324.96031899187176</v>
      </c>
      <c r="T906" s="313">
        <f t="shared" ref="T906" si="892">100*S906/$G$853</f>
        <v>590.83694362158496</v>
      </c>
      <c r="U906" s="206"/>
    </row>
    <row r="907" spans="2:21">
      <c r="B907" s="310" t="s">
        <v>7</v>
      </c>
      <c r="C907" s="311">
        <f>[66]PLANCUSr!$H$39</f>
        <v>224</v>
      </c>
      <c r="D907" s="313">
        <f t="shared" si="851"/>
        <v>407.27272727272725</v>
      </c>
      <c r="E907" s="662">
        <f>[67]PLANCUSr!$H$39</f>
        <v>238</v>
      </c>
      <c r="F907" s="313">
        <f t="shared" si="885"/>
        <v>432.72727272727275</v>
      </c>
      <c r="G907" s="662">
        <f>[68]PLANCUSr!$H$39</f>
        <v>241.97799999999998</v>
      </c>
      <c r="H907" s="313">
        <f t="shared" si="886"/>
        <v>439.96</v>
      </c>
      <c r="I907" s="662">
        <f>[69]PLANCUSr!$H$39</f>
        <v>262.93799999999999</v>
      </c>
      <c r="J907" s="313">
        <f t="shared" si="887"/>
        <v>478.0690909090909</v>
      </c>
      <c r="K907" s="662">
        <f>[70]PLANCUSr!$H$39</f>
        <v>285.02479199999999</v>
      </c>
      <c r="L907" s="313">
        <f t="shared" ref="L907" si="893">100*K907/$G$853</f>
        <v>518.22689454545446</v>
      </c>
      <c r="M907" s="662">
        <f>[71]PLANCUSr!$H$39</f>
        <v>296.9388283056</v>
      </c>
      <c r="N907" s="313">
        <f t="shared" ref="N907" si="894">100*M907/$G$853</f>
        <v>539.88877873745457</v>
      </c>
      <c r="O907" s="662">
        <f>[72]PLANCUSr!$H$39</f>
        <v>310.30107557935202</v>
      </c>
      <c r="P907" s="313">
        <f t="shared" ref="P907" si="895">100*O907/$G$853</f>
        <v>564.18377378063997</v>
      </c>
      <c r="Q907" s="662">
        <f>[73]PLANCUSr!$H$39</f>
        <v>324.96031899187176</v>
      </c>
      <c r="R907" s="313">
        <f t="shared" ref="R907" si="896">100*Q907/$G$853</f>
        <v>590.83694362158496</v>
      </c>
      <c r="S907" s="662">
        <f>[74]PLANCUSr!$H$39</f>
        <v>324.96031899187176</v>
      </c>
      <c r="T907" s="313">
        <f t="shared" ref="T907" si="897">100*S907/$G$853</f>
        <v>590.83694362158496</v>
      </c>
      <c r="U907" s="206"/>
    </row>
    <row r="908" spans="2:21">
      <c r="B908" s="310" t="s">
        <v>8</v>
      </c>
      <c r="C908" s="311">
        <f>[75]PLANCUSr!$H$39</f>
        <v>224</v>
      </c>
      <c r="D908" s="313">
        <f>100*C908/$G$853</f>
        <v>407.27272727272725</v>
      </c>
      <c r="E908" s="662">
        <f>[76]PLANCUSr!$H$39</f>
        <v>238</v>
      </c>
      <c r="F908" s="313">
        <f t="shared" si="885"/>
        <v>432.72727272727275</v>
      </c>
      <c r="G908" s="662">
        <f>[77]PLANCUSr!$H$39</f>
        <v>241.97799999999998</v>
      </c>
      <c r="H908" s="313">
        <f t="shared" si="886"/>
        <v>439.96</v>
      </c>
      <c r="I908" s="662">
        <f>[78]PLANCUSr!$H$39</f>
        <v>262.93799999999999</v>
      </c>
      <c r="J908" s="313">
        <f t="shared" si="887"/>
        <v>478.0690909090909</v>
      </c>
      <c r="K908" s="662">
        <f>[79]PLANCUSr!$H$39</f>
        <v>285.02479199999999</v>
      </c>
      <c r="L908" s="313">
        <f t="shared" ref="L908" si="898">100*K908/$G$853</f>
        <v>518.22689454545446</v>
      </c>
      <c r="M908" s="662">
        <f>[80]PLANCUSr!$H$39</f>
        <v>296.9388283056</v>
      </c>
      <c r="N908" s="313">
        <f t="shared" ref="N908" si="899">100*M908/$G$853</f>
        <v>539.88877873745457</v>
      </c>
      <c r="O908" s="662">
        <f>[81]PLANCUSr!$H$39</f>
        <v>310.30107557935202</v>
      </c>
      <c r="P908" s="313">
        <f t="shared" ref="P908" si="900">100*O908/$G$853</f>
        <v>564.18377378063997</v>
      </c>
      <c r="Q908" s="662">
        <f>[82]PLANCUSr!$H$39</f>
        <v>324.96031899187176</v>
      </c>
      <c r="R908" s="313">
        <f t="shared" ref="R908" si="901">100*Q908/$G$853</f>
        <v>590.83694362158496</v>
      </c>
      <c r="S908" s="662">
        <f>[123]PLANCUSr!$H$39*1.0340268</f>
        <v>336.01767877414437</v>
      </c>
      <c r="T908" s="313">
        <f t="shared" ref="T908" si="902">100*S908/$G$853</f>
        <v>610.94123413480793</v>
      </c>
      <c r="U908" s="206"/>
    </row>
    <row r="909" spans="2:21">
      <c r="B909" s="310" t="s">
        <v>9</v>
      </c>
      <c r="C909" s="311">
        <f>[83]PLANCUSr!$H$39</f>
        <v>224</v>
      </c>
      <c r="D909" s="313">
        <f>100*C909/$G$853</f>
        <v>407.27272727272725</v>
      </c>
      <c r="E909" s="662">
        <f>[84]PLANCUSr!$H$39</f>
        <v>238</v>
      </c>
      <c r="F909" s="313">
        <f t="shared" si="885"/>
        <v>432.72727272727275</v>
      </c>
      <c r="G909" s="662">
        <f>[85]PLANCUSr!$H$39</f>
        <v>241.97799999999998</v>
      </c>
      <c r="H909" s="313">
        <f t="shared" si="886"/>
        <v>439.96</v>
      </c>
      <c r="I909" s="662">
        <f>[86]PLANCUSr!$H$39</f>
        <v>262.93799999999999</v>
      </c>
      <c r="J909" s="313">
        <f t="shared" si="887"/>
        <v>478.0690909090909</v>
      </c>
      <c r="K909" s="662">
        <f>[87]PLANCUSr!$H$39</f>
        <v>285.02479199999999</v>
      </c>
      <c r="L909" s="313">
        <f t="shared" ref="L909" si="903">100*K909/$G$853</f>
        <v>518.22689454545446</v>
      </c>
      <c r="M909" s="662">
        <f>[88]PLANCUSr!$H$39</f>
        <v>296.9388283056</v>
      </c>
      <c r="N909" s="313">
        <f t="shared" ref="N909" si="904">100*M909/$G$853</f>
        <v>539.88877873745457</v>
      </c>
      <c r="O909" s="662">
        <f>[89]PLANCUSr!$H$39</f>
        <v>310.30107557935202</v>
      </c>
      <c r="P909" s="313">
        <f t="shared" ref="P909" si="905">100*O909/$G$853</f>
        <v>564.18377378063997</v>
      </c>
      <c r="Q909" s="662">
        <f>[90]PLANCUSr!$H$39</f>
        <v>324.96031899187176</v>
      </c>
      <c r="R909" s="313">
        <f t="shared" ref="R909" si="906">100*Q909/$G$853</f>
        <v>590.83694362158496</v>
      </c>
      <c r="S909" s="662"/>
      <c r="T909" s="313"/>
      <c r="U909" s="206"/>
    </row>
    <row r="910" spans="2:21">
      <c r="B910" s="310" t="s">
        <v>10</v>
      </c>
      <c r="C910" s="311">
        <f>[91]PLANCUSr!$H$39</f>
        <v>224</v>
      </c>
      <c r="D910" s="313">
        <f>100*C910/$G$853</f>
        <v>407.27272727272725</v>
      </c>
      <c r="E910" s="662">
        <f>[92]PLANCUSr!$H$39</f>
        <v>238</v>
      </c>
      <c r="F910" s="313">
        <f t="shared" si="885"/>
        <v>432.72727272727275</v>
      </c>
      <c r="G910" s="662">
        <f>[93]PLANCUSr!$H$39</f>
        <v>247.958</v>
      </c>
      <c r="H910" s="313">
        <f t="shared" si="886"/>
        <v>450.83272727272725</v>
      </c>
      <c r="I910" s="662">
        <f>[94]PLANCUSr!$H$39</f>
        <v>262.93799999999999</v>
      </c>
      <c r="J910" s="313">
        <f t="shared" si="887"/>
        <v>478.0690909090909</v>
      </c>
      <c r="K910" s="662">
        <f>[95]PLANCUSr!$H$39</f>
        <v>285.02479199999999</v>
      </c>
      <c r="L910" s="313">
        <f t="shared" ref="L910" si="907">100*K910/$G$853</f>
        <v>518.22689454545446</v>
      </c>
      <c r="M910" s="662">
        <f>[96]PLANCUSr!$H$39</f>
        <v>296.9388283056</v>
      </c>
      <c r="N910" s="313">
        <f t="shared" ref="N910" si="908">100*M910/$G$853</f>
        <v>539.88877873745457</v>
      </c>
      <c r="O910" s="662">
        <f>[97]PLANCUSr!$H$39</f>
        <v>310.30107557935202</v>
      </c>
      <c r="P910" s="313">
        <f t="shared" ref="P910" si="909">100*O910/$G$853</f>
        <v>564.18377378063997</v>
      </c>
      <c r="Q910" s="662">
        <f>[98]PLANCUSr!$H$39</f>
        <v>324.96031899187176</v>
      </c>
      <c r="R910" s="313">
        <f t="shared" ref="R910" si="910">100*Q910/$G$853</f>
        <v>590.83694362158496</v>
      </c>
      <c r="S910" s="662"/>
      <c r="T910" s="313"/>
      <c r="U910" s="206"/>
    </row>
    <row r="911" spans="2:21" ht="15.75" thickBot="1">
      <c r="B911" s="314" t="s">
        <v>11</v>
      </c>
      <c r="C911" s="315">
        <f>[99]PLANCUSr!$H$39</f>
        <v>224</v>
      </c>
      <c r="D911" s="317">
        <f>100*C911/$G$853</f>
        <v>407.27272727272725</v>
      </c>
      <c r="E911" s="682">
        <f>[100]PLANCUSr!$H$39</f>
        <v>238</v>
      </c>
      <c r="F911" s="317">
        <f t="shared" si="885"/>
        <v>432.72727272727275</v>
      </c>
      <c r="G911" s="682">
        <f>[101]PLANCUSr!$H$39</f>
        <v>247.958</v>
      </c>
      <c r="H911" s="317">
        <f t="shared" si="886"/>
        <v>450.83272727272725</v>
      </c>
      <c r="I911" s="682">
        <f>[102]PLANCUSr!$H$39</f>
        <v>262.93799999999999</v>
      </c>
      <c r="J911" s="317">
        <f t="shared" si="887"/>
        <v>478.0690909090909</v>
      </c>
      <c r="K911" s="682">
        <f>[103]PLANCUSr!$H$39</f>
        <v>285.02479199999999</v>
      </c>
      <c r="L911" s="317">
        <f t="shared" ref="L911" si="911">100*K911/$G$853</f>
        <v>518.22689454545446</v>
      </c>
      <c r="M911" s="682">
        <f>[104]PLANCUSr!$H$39</f>
        <v>296.9388283056</v>
      </c>
      <c r="N911" s="317">
        <f t="shared" ref="N911" si="912">100*M911/$G$853</f>
        <v>539.88877873745457</v>
      </c>
      <c r="O911" s="682">
        <f>[105]PLANCUSr!$H$39</f>
        <v>310.30107557935202</v>
      </c>
      <c r="P911" s="317">
        <f t="shared" ref="P911" si="913">100*O911/$G$853</f>
        <v>564.18377378063997</v>
      </c>
      <c r="Q911" s="682">
        <f>[106]PLANCUSr!$H$39</f>
        <v>324.96031899187176</v>
      </c>
      <c r="R911" s="317">
        <f t="shared" ref="R911" si="914">100*Q911/$G$853</f>
        <v>590.83694362158496</v>
      </c>
      <c r="S911" s="682"/>
      <c r="T911" s="317"/>
      <c r="U911" s="206"/>
    </row>
    <row r="912" spans="2:21">
      <c r="B912" s="119"/>
      <c r="C912" s="180"/>
      <c r="D912" s="123"/>
      <c r="E912" s="123"/>
      <c r="F912" s="132"/>
      <c r="G912" s="123"/>
      <c r="H912" s="123"/>
      <c r="I912" s="118"/>
      <c r="J912" s="123"/>
      <c r="K912" s="118"/>
      <c r="L912" s="123"/>
      <c r="M912" s="118"/>
      <c r="N912" s="123"/>
      <c r="O912" s="123"/>
      <c r="P912" s="123"/>
      <c r="Q912" s="118"/>
      <c r="R912" s="123"/>
      <c r="S912" s="132"/>
      <c r="T912" s="132"/>
      <c r="U912" s="206"/>
    </row>
    <row r="913" spans="2:21">
      <c r="B913" s="144"/>
      <c r="C913" s="186"/>
      <c r="D913" s="146"/>
      <c r="E913" s="146"/>
      <c r="F913" s="148"/>
      <c r="G913" s="146"/>
      <c r="H913" s="146"/>
      <c r="I913" s="159"/>
      <c r="J913" s="146"/>
      <c r="K913" s="159"/>
      <c r="L913" s="146"/>
      <c r="M913" s="159"/>
      <c r="N913" s="146"/>
      <c r="O913" s="123"/>
      <c r="P913" s="123"/>
      <c r="Q913" s="118"/>
      <c r="R913" s="123"/>
      <c r="S913" s="132"/>
      <c r="T913" s="132"/>
      <c r="U913" s="206"/>
    </row>
    <row r="914" spans="2:21" ht="15.75" thickBot="1">
      <c r="B914" s="119"/>
      <c r="C914" s="180"/>
      <c r="D914" s="123"/>
      <c r="E914" s="123"/>
      <c r="F914" s="132"/>
      <c r="G914" s="123"/>
      <c r="H914" s="123"/>
      <c r="I914" s="118"/>
      <c r="J914" s="123"/>
      <c r="K914" s="118"/>
      <c r="L914" s="123"/>
      <c r="M914" s="118"/>
      <c r="N914" s="123"/>
      <c r="O914" s="123"/>
      <c r="P914" s="123"/>
      <c r="Q914" s="118"/>
      <c r="R914" s="123"/>
      <c r="S914" s="132"/>
      <c r="T914" s="132"/>
      <c r="U914" s="206"/>
    </row>
    <row r="915" spans="2:21" ht="21" thickBot="1">
      <c r="B915" s="534" t="s">
        <v>233</v>
      </c>
      <c r="C915" s="507"/>
      <c r="D915" s="363"/>
      <c r="E915" s="363"/>
      <c r="F915" s="509"/>
      <c r="G915" s="503"/>
      <c r="H915" s="508"/>
      <c r="I915" s="361">
        <v>431.04</v>
      </c>
      <c r="J915" s="358" t="s">
        <v>22</v>
      </c>
      <c r="K915" s="358"/>
      <c r="L915" s="364"/>
      <c r="M915" s="358"/>
      <c r="N915" s="478"/>
      <c r="O915" s="119"/>
      <c r="P915" s="119"/>
      <c r="Q915" s="180"/>
      <c r="R915" s="123"/>
      <c r="S915" s="132"/>
      <c r="T915" s="132"/>
      <c r="U915" s="206"/>
    </row>
    <row r="916" spans="2:21" ht="15.75" thickBot="1">
      <c r="B916" s="1306">
        <v>1994</v>
      </c>
      <c r="C916" s="1307"/>
      <c r="D916" s="336" t="s">
        <v>15</v>
      </c>
      <c r="E916" s="336">
        <v>1995</v>
      </c>
      <c r="F916" s="336" t="s">
        <v>15</v>
      </c>
      <c r="G916" s="336">
        <v>1996</v>
      </c>
      <c r="H916" s="336" t="s">
        <v>15</v>
      </c>
      <c r="I916" s="336">
        <v>1997</v>
      </c>
      <c r="J916" s="336" t="s">
        <v>15</v>
      </c>
      <c r="K916" s="336">
        <v>1998</v>
      </c>
      <c r="L916" s="336" t="s">
        <v>15</v>
      </c>
      <c r="M916" s="336">
        <v>1999</v>
      </c>
      <c r="N916" s="354" t="s">
        <v>15</v>
      </c>
      <c r="O916" s="124"/>
      <c r="P916" s="124"/>
    </row>
    <row r="917" spans="2:21">
      <c r="B917" s="306" t="s">
        <v>0</v>
      </c>
      <c r="C917" s="307"/>
      <c r="D917" s="308"/>
      <c r="E917" s="307">
        <v>507.76</v>
      </c>
      <c r="F917" s="308">
        <f>+$E$917*10000/43104</f>
        <v>117.79881217520416</v>
      </c>
      <c r="G917" s="307">
        <v>667.64</v>
      </c>
      <c r="H917" s="308">
        <f>+$G$917*10000/43104</f>
        <v>154.89049740163327</v>
      </c>
      <c r="I917" s="307">
        <v>780.24</v>
      </c>
      <c r="J917" s="308">
        <f>+$I$917*10000/43104</f>
        <v>181.01336302895322</v>
      </c>
      <c r="K917" s="307">
        <v>838.76</v>
      </c>
      <c r="L917" s="308">
        <f>+$K$917*10000/43104</f>
        <v>194.5898292501856</v>
      </c>
      <c r="M917" s="307">
        <v>872.31</v>
      </c>
      <c r="N917" s="309">
        <f>$M$917*10000/43104</f>
        <v>202.37332962138083</v>
      </c>
      <c r="O917" s="123"/>
      <c r="P917" s="123"/>
      <c r="U917" s="206"/>
    </row>
    <row r="918" spans="2:21">
      <c r="B918" s="310" t="s">
        <v>1</v>
      </c>
      <c r="C918" s="311"/>
      <c r="D918" s="312"/>
      <c r="E918" s="311">
        <v>570.1</v>
      </c>
      <c r="F918" s="312">
        <f>+$E$918*10000/43104</f>
        <v>132.26150705270973</v>
      </c>
      <c r="G918" s="311">
        <v>667.64</v>
      </c>
      <c r="H918" s="312">
        <f>+$G$918*10000/43104</f>
        <v>154.89049740163327</v>
      </c>
      <c r="I918" s="311">
        <v>780.24</v>
      </c>
      <c r="J918" s="312">
        <f>+$I$918*10000/43104</f>
        <v>181.01336302895322</v>
      </c>
      <c r="K918" s="311">
        <v>838.76</v>
      </c>
      <c r="L918" s="312">
        <f>+$K$918*10000/43104</f>
        <v>194.5898292501856</v>
      </c>
      <c r="M918" s="311">
        <v>872.31</v>
      </c>
      <c r="N918" s="313">
        <f>+$M$918*10000/43104</f>
        <v>202.37332962138083</v>
      </c>
      <c r="O918" s="123"/>
      <c r="P918" s="123"/>
      <c r="U918" s="206"/>
    </row>
    <row r="919" spans="2:21">
      <c r="B919" s="310" t="s">
        <v>2</v>
      </c>
      <c r="C919" s="311"/>
      <c r="D919" s="312"/>
      <c r="E919" s="311">
        <v>570.1</v>
      </c>
      <c r="F919" s="312">
        <f>+$E$919*10000/43104</f>
        <v>132.26150705270973</v>
      </c>
      <c r="G919" s="311">
        <v>667.64</v>
      </c>
      <c r="H919" s="312">
        <f>+$G$919*10000/43104</f>
        <v>154.89049740163327</v>
      </c>
      <c r="I919" s="311">
        <v>780.24</v>
      </c>
      <c r="J919" s="312">
        <f>+$I$919*10000/43104</f>
        <v>181.01336302895322</v>
      </c>
      <c r="K919" s="311">
        <v>838.76</v>
      </c>
      <c r="L919" s="312">
        <f>+$K$919*10000/43104</f>
        <v>194.5898292501856</v>
      </c>
      <c r="M919" s="311">
        <v>872.31</v>
      </c>
      <c r="N919" s="313">
        <f>+$M$919*10000/43104</f>
        <v>202.37332962138083</v>
      </c>
      <c r="O919" s="123"/>
      <c r="P919" s="123"/>
      <c r="U919" s="206"/>
    </row>
    <row r="920" spans="2:21">
      <c r="B920" s="310" t="s">
        <v>3</v>
      </c>
      <c r="C920" s="311"/>
      <c r="D920" s="312"/>
      <c r="E920" s="311">
        <v>570.1</v>
      </c>
      <c r="F920" s="312">
        <f>+$E$920*10000/43104</f>
        <v>132.26150705270973</v>
      </c>
      <c r="G920" s="311">
        <v>667.64</v>
      </c>
      <c r="H920" s="312">
        <f>+$G$920*10000/43104</f>
        <v>154.89049740163327</v>
      </c>
      <c r="I920" s="311">
        <v>780.24</v>
      </c>
      <c r="J920" s="312">
        <f>+$I$920*10000/43104</f>
        <v>181.01336302895322</v>
      </c>
      <c r="K920" s="311">
        <v>838.76</v>
      </c>
      <c r="L920" s="312">
        <f>+$K$920*10000/43104</f>
        <v>194.5898292501856</v>
      </c>
      <c r="M920" s="311">
        <v>872.31</v>
      </c>
      <c r="N920" s="313">
        <f>+$M$920*10000/43104</f>
        <v>202.37332962138083</v>
      </c>
      <c r="O920" s="123"/>
      <c r="P920" s="123"/>
      <c r="U920" s="206"/>
    </row>
    <row r="921" spans="2:21">
      <c r="B921" s="310" t="s">
        <v>4</v>
      </c>
      <c r="C921" s="311"/>
      <c r="D921" s="312"/>
      <c r="E921" s="311">
        <v>667.64300000000003</v>
      </c>
      <c r="F921" s="312">
        <f>+$E$921*10000/43104</f>
        <v>154.89119339272457</v>
      </c>
      <c r="G921" s="311">
        <v>707.7</v>
      </c>
      <c r="H921" s="312">
        <f>+$G$921*10000/43104</f>
        <v>164.18429844097994</v>
      </c>
      <c r="I921" s="311">
        <v>780.24</v>
      </c>
      <c r="J921" s="312">
        <f>+$I$921*10000/43104</f>
        <v>181.01336302895322</v>
      </c>
      <c r="K921" s="311">
        <v>838.76</v>
      </c>
      <c r="L921" s="312">
        <f>+$K$921*10000/43104</f>
        <v>194.5898292501856</v>
      </c>
      <c r="M921" s="311">
        <v>894.48</v>
      </c>
      <c r="N921" s="313">
        <f>+$M$921*10000/43104</f>
        <v>207.51670378619153</v>
      </c>
      <c r="O921" s="123"/>
      <c r="P921" s="123"/>
      <c r="U921" s="206"/>
    </row>
    <row r="922" spans="2:21">
      <c r="B922" s="310" t="s">
        <v>5</v>
      </c>
      <c r="C922" s="311"/>
      <c r="D922" s="312"/>
      <c r="E922" s="311">
        <v>667.64</v>
      </c>
      <c r="F922" s="312">
        <f>+$E$922*10000/43104</f>
        <v>154.89049740163327</v>
      </c>
      <c r="G922" s="311">
        <v>743.09</v>
      </c>
      <c r="H922" s="312">
        <f>+$G$922*10000/43104</f>
        <v>172.39467334818113</v>
      </c>
      <c r="I922" s="311">
        <v>836.76</v>
      </c>
      <c r="J922" s="312">
        <f>+$I$922*10000/43104</f>
        <v>194.12583518930958</v>
      </c>
      <c r="K922" s="311">
        <v>838.76</v>
      </c>
      <c r="L922" s="312">
        <f>+$K$922*10000/43104</f>
        <v>194.5898292501856</v>
      </c>
      <c r="M922" s="311">
        <v>894.48</v>
      </c>
      <c r="N922" s="313">
        <f>+$M$922*10000/43104</f>
        <v>207.51670378619153</v>
      </c>
      <c r="O922" s="123"/>
      <c r="P922" s="123"/>
      <c r="U922" s="206"/>
    </row>
    <row r="923" spans="2:21">
      <c r="B923" s="310" t="s">
        <v>6</v>
      </c>
      <c r="C923" s="311">
        <v>431.04</v>
      </c>
      <c r="D923" s="312">
        <f>+$C$923*10000/43104</f>
        <v>100</v>
      </c>
      <c r="E923" s="311">
        <v>667.64</v>
      </c>
      <c r="F923" s="312">
        <f>+$E$923*10000/43104</f>
        <v>154.89049740163327</v>
      </c>
      <c r="G923" s="311">
        <v>743.09</v>
      </c>
      <c r="H923" s="312">
        <f>+$G$923*10000/43104</f>
        <v>172.39467334818113</v>
      </c>
      <c r="I923" s="311">
        <v>836.76</v>
      </c>
      <c r="J923" s="312">
        <f>+$I$923*10000/43104</f>
        <v>194.12583518930958</v>
      </c>
      <c r="K923" s="311">
        <v>838.76</v>
      </c>
      <c r="L923" s="312">
        <f>+$K$923*10000/43104</f>
        <v>194.5898292501856</v>
      </c>
      <c r="M923" s="311">
        <v>894.48</v>
      </c>
      <c r="N923" s="313">
        <f>$N$922</f>
        <v>207.51670378619153</v>
      </c>
      <c r="O923" s="123"/>
      <c r="P923" s="123"/>
      <c r="U923" s="206"/>
    </row>
    <row r="924" spans="2:21">
      <c r="B924" s="310" t="s">
        <v>7</v>
      </c>
      <c r="C924" s="311">
        <v>431.04</v>
      </c>
      <c r="D924" s="312">
        <f>+$C$924*10000/43104</f>
        <v>100</v>
      </c>
      <c r="E924" s="311">
        <v>667.64</v>
      </c>
      <c r="F924" s="312">
        <f>+$E$924*10000/43104</f>
        <v>154.89049740163327</v>
      </c>
      <c r="G924" s="311">
        <v>743.09</v>
      </c>
      <c r="H924" s="312">
        <f>+$G$924*10000/43104</f>
        <v>172.39467334818113</v>
      </c>
      <c r="I924" s="311">
        <v>836.76</v>
      </c>
      <c r="J924" s="312">
        <f>+$I$924*10000/43104</f>
        <v>194.12583518930958</v>
      </c>
      <c r="K924" s="311">
        <v>872.31</v>
      </c>
      <c r="L924" s="312">
        <f>+$K$924*10000/43104</f>
        <v>202.37332962138083</v>
      </c>
      <c r="M924" s="311">
        <v>898.48</v>
      </c>
      <c r="N924" s="313">
        <f>M924*100/431.04</f>
        <v>208.44469190794356</v>
      </c>
      <c r="O924" s="123"/>
      <c r="P924" s="123"/>
      <c r="U924" s="206"/>
    </row>
    <row r="925" spans="2:21">
      <c r="B925" s="310" t="s">
        <v>8</v>
      </c>
      <c r="C925" s="311">
        <v>466.21</v>
      </c>
      <c r="D925" s="312">
        <f>+$C$925*10000/43104</f>
        <v>108.15933556050483</v>
      </c>
      <c r="E925" s="311">
        <v>667.64</v>
      </c>
      <c r="F925" s="312">
        <f>+$E$925*10000/43104</f>
        <v>154.89049740163327</v>
      </c>
      <c r="G925" s="311">
        <v>743.09</v>
      </c>
      <c r="H925" s="312">
        <f>+$G$925*10000/43104</f>
        <v>172.39467334818113</v>
      </c>
      <c r="I925" s="311">
        <v>836.76</v>
      </c>
      <c r="J925" s="312">
        <f>+$I$925*10000/43104</f>
        <v>194.12583518930958</v>
      </c>
      <c r="K925" s="311">
        <v>872.31</v>
      </c>
      <c r="L925" s="312">
        <f>+$K$925*10000/43104</f>
        <v>202.37332962138083</v>
      </c>
      <c r="M925" s="311">
        <v>898.48</v>
      </c>
      <c r="N925" s="313">
        <f>M925*100/431.04</f>
        <v>208.44469190794356</v>
      </c>
      <c r="O925" s="123"/>
      <c r="P925" s="123"/>
      <c r="U925" s="206"/>
    </row>
    <row r="926" spans="2:21">
      <c r="B926" s="310" t="s">
        <v>9</v>
      </c>
      <c r="C926" s="311">
        <v>482.76</v>
      </c>
      <c r="D926" s="312">
        <f>+$C$926*10000/43104</f>
        <v>111.9988864142539</v>
      </c>
      <c r="E926" s="311">
        <v>667.64</v>
      </c>
      <c r="F926" s="312">
        <f>+$E$926*10000/43104</f>
        <v>154.89049740163327</v>
      </c>
      <c r="G926" s="311">
        <v>743.09</v>
      </c>
      <c r="H926" s="312">
        <f>+$G$926*10000/43104</f>
        <v>172.39467334818113</v>
      </c>
      <c r="I926" s="311">
        <v>836.76</v>
      </c>
      <c r="J926" s="312">
        <f>+$I$926*10000/43104</f>
        <v>194.12583518930958</v>
      </c>
      <c r="K926" s="311">
        <v>872.31</v>
      </c>
      <c r="L926" s="312">
        <f>+$K$926*10000/43104</f>
        <v>202.37332962138083</v>
      </c>
      <c r="M926" s="311">
        <v>898.48</v>
      </c>
      <c r="N926" s="313">
        <f>M926*100/431.04</f>
        <v>208.44469190794356</v>
      </c>
      <c r="O926" s="123"/>
      <c r="P926" s="123"/>
      <c r="U926" s="206"/>
    </row>
    <row r="927" spans="2:21">
      <c r="B927" s="310" t="s">
        <v>10</v>
      </c>
      <c r="C927" s="311">
        <v>472.76</v>
      </c>
      <c r="D927" s="312">
        <f>+$C$927*10000/43104</f>
        <v>109.6789161098738</v>
      </c>
      <c r="E927" s="311">
        <v>667.64</v>
      </c>
      <c r="F927" s="312">
        <f>+$E$927*10000/43104</f>
        <v>154.89049740163327</v>
      </c>
      <c r="G927" s="311">
        <v>780.24</v>
      </c>
      <c r="H927" s="312">
        <f>+$G$927*10000/43104</f>
        <v>181.01336302895322</v>
      </c>
      <c r="I927" s="311">
        <v>838.76</v>
      </c>
      <c r="J927" s="312">
        <f>+$I$927*10000/43104</f>
        <v>194.5898292501856</v>
      </c>
      <c r="K927" s="311">
        <v>872.31</v>
      </c>
      <c r="L927" s="312">
        <f>+$K$927*10000/43104</f>
        <v>202.37332962138083</v>
      </c>
      <c r="M927" s="311">
        <v>898.48</v>
      </c>
      <c r="N927" s="313">
        <f>M927*100/431.04</f>
        <v>208.44469190794356</v>
      </c>
      <c r="O927" s="123"/>
      <c r="P927" s="123"/>
      <c r="U927" s="206"/>
    </row>
    <row r="928" spans="2:21" ht="15.75" thickBot="1">
      <c r="B928" s="314" t="s">
        <v>11</v>
      </c>
      <c r="C928" s="315">
        <v>507.76</v>
      </c>
      <c r="D928" s="316">
        <f>+$C$928*10000/43104</f>
        <v>117.79881217520416</v>
      </c>
      <c r="E928" s="315">
        <v>667.64</v>
      </c>
      <c r="F928" s="316">
        <f>+$E$928*10000/43104</f>
        <v>154.89049740163327</v>
      </c>
      <c r="G928" s="315">
        <v>780.24</v>
      </c>
      <c r="H928" s="316">
        <f>+$G$928*10000/43104</f>
        <v>181.01336302895322</v>
      </c>
      <c r="I928" s="315">
        <v>838.76</v>
      </c>
      <c r="J928" s="316">
        <f>+$I$928*10000/43104</f>
        <v>194.5898292501856</v>
      </c>
      <c r="K928" s="315">
        <v>872.31</v>
      </c>
      <c r="L928" s="316">
        <f>+$K$928*10000/43104</f>
        <v>202.37332962138083</v>
      </c>
      <c r="M928" s="315">
        <v>898.48</v>
      </c>
      <c r="N928" s="317">
        <f>M928*100/431.04</f>
        <v>208.44469190794356</v>
      </c>
      <c r="O928" s="123"/>
      <c r="P928" s="123"/>
      <c r="Q928" s="180"/>
      <c r="R928" s="123"/>
      <c r="S928" s="132"/>
      <c r="T928" s="132"/>
      <c r="U928" s="206"/>
    </row>
    <row r="929" spans="2:21" ht="15.75" thickBot="1">
      <c r="B929" s="167"/>
      <c r="C929" s="168"/>
      <c r="D929" s="182"/>
      <c r="E929" s="168"/>
      <c r="F929" s="167"/>
      <c r="G929" s="168"/>
      <c r="H929" s="171"/>
      <c r="I929" s="168"/>
      <c r="J929" s="171"/>
      <c r="K929" s="168"/>
      <c r="L929" s="171"/>
      <c r="M929" s="168"/>
      <c r="N929" s="171"/>
      <c r="O929" s="123"/>
      <c r="P929" s="123"/>
      <c r="Q929" s="180"/>
      <c r="R929" s="123"/>
      <c r="S929" s="132"/>
      <c r="T929" s="132"/>
      <c r="U929" s="206"/>
    </row>
    <row r="930" spans="2:21" ht="21" thickBot="1">
      <c r="B930" s="534" t="s">
        <v>233</v>
      </c>
      <c r="C930" s="507"/>
      <c r="D930" s="363"/>
      <c r="E930" s="363"/>
      <c r="F930" s="509"/>
      <c r="G930" s="503"/>
      <c r="H930" s="508"/>
      <c r="I930" s="361">
        <v>431.04</v>
      </c>
      <c r="J930" s="358" t="s">
        <v>22</v>
      </c>
      <c r="K930" s="358"/>
      <c r="L930" s="364"/>
      <c r="M930" s="358"/>
      <c r="N930" s="478"/>
      <c r="O930" s="123"/>
      <c r="P930" s="123"/>
      <c r="Q930" s="180"/>
      <c r="R930" s="123"/>
      <c r="S930" s="132"/>
      <c r="T930" s="132"/>
      <c r="U930" s="206"/>
    </row>
    <row r="931" spans="2:21" ht="15.75" thickBot="1">
      <c r="B931" s="1310">
        <v>2000</v>
      </c>
      <c r="C931" s="1311"/>
      <c r="D931" s="334" t="s">
        <v>15</v>
      </c>
      <c r="E931" s="552">
        <v>2001</v>
      </c>
      <c r="F931" s="334" t="s">
        <v>15</v>
      </c>
      <c r="G931" s="552" t="s">
        <v>134</v>
      </c>
      <c r="H931" s="334" t="s">
        <v>15</v>
      </c>
      <c r="I931" s="552" t="s">
        <v>159</v>
      </c>
      <c r="J931" s="334" t="s">
        <v>15</v>
      </c>
      <c r="K931" s="552" t="s">
        <v>168</v>
      </c>
      <c r="L931" s="334" t="s">
        <v>15</v>
      </c>
      <c r="M931" s="553" t="s">
        <v>192</v>
      </c>
      <c r="N931" s="353" t="s">
        <v>15</v>
      </c>
      <c r="O931" s="123"/>
      <c r="P931" s="123"/>
      <c r="Q931" s="195"/>
      <c r="R931" s="123"/>
      <c r="S931" s="132"/>
      <c r="T931" s="132"/>
      <c r="U931" s="206"/>
    </row>
    <row r="932" spans="2:21">
      <c r="B932" s="306" t="s">
        <v>0</v>
      </c>
      <c r="C932" s="504">
        <v>898.48</v>
      </c>
      <c r="D932" s="308">
        <f>+N928</f>
        <v>208.44469190794356</v>
      </c>
      <c r="E932" s="342">
        <v>870.24</v>
      </c>
      <c r="F932" s="342">
        <f t="shared" ref="F932:F943" si="915">100*E932/$I$915</f>
        <v>201.89309576837417</v>
      </c>
      <c r="G932" s="342">
        <v>935.19</v>
      </c>
      <c r="H932" s="342">
        <f t="shared" ref="H932:H943" si="916">100*G932/$I$915</f>
        <v>216.96130289532292</v>
      </c>
      <c r="I932" s="388">
        <v>1012.78</v>
      </c>
      <c r="J932" s="342">
        <f t="shared" ref="J932:J943" si="917">100*I932/$I$915</f>
        <v>234.96195248700815</v>
      </c>
      <c r="K932" s="388">
        <v>1152.73</v>
      </c>
      <c r="L932" s="342">
        <f t="shared" ref="L932:L943" si="918">100*K932/$I$915</f>
        <v>267.4299368968077</v>
      </c>
      <c r="M932" s="388">
        <v>1276.22</v>
      </c>
      <c r="N932" s="343">
        <f t="shared" ref="N932:N943" si="919">100*M932/$I$915</f>
        <v>296.07925018559763</v>
      </c>
      <c r="O932" s="132"/>
      <c r="P932" s="132"/>
      <c r="Q932" s="122"/>
      <c r="R932" s="132"/>
      <c r="S932" s="132"/>
      <c r="T932" s="132"/>
      <c r="U932" s="206"/>
    </row>
    <row r="933" spans="2:21">
      <c r="B933" s="310" t="s">
        <v>1</v>
      </c>
      <c r="C933" s="433">
        <v>898.48</v>
      </c>
      <c r="D933" s="312">
        <f>+N928</f>
        <v>208.44469190794356</v>
      </c>
      <c r="E933" s="345">
        <v>870.24</v>
      </c>
      <c r="F933" s="345">
        <f t="shared" si="915"/>
        <v>201.89309576837417</v>
      </c>
      <c r="G933" s="345">
        <v>935.19</v>
      </c>
      <c r="H933" s="345">
        <f t="shared" si="916"/>
        <v>216.96130289532292</v>
      </c>
      <c r="I933" s="356">
        <v>1012.78</v>
      </c>
      <c r="J933" s="345">
        <f t="shared" si="917"/>
        <v>234.96195248700815</v>
      </c>
      <c r="K933" s="356">
        <v>1152.73</v>
      </c>
      <c r="L933" s="345">
        <f t="shared" si="918"/>
        <v>267.4299368968077</v>
      </c>
      <c r="M933" s="356">
        <v>1276.22</v>
      </c>
      <c r="N933" s="346">
        <f t="shared" si="919"/>
        <v>296.07925018559763</v>
      </c>
      <c r="O933" s="132"/>
      <c r="P933" s="132"/>
      <c r="Q933" s="152"/>
      <c r="R933" s="132"/>
      <c r="S933" s="132"/>
      <c r="T933" s="132"/>
      <c r="U933" s="206"/>
    </row>
    <row r="934" spans="2:21">
      <c r="B934" s="310" t="s">
        <v>2</v>
      </c>
      <c r="C934" s="433">
        <v>898.48</v>
      </c>
      <c r="D934" s="312">
        <f>+N928</f>
        <v>208.44469190794356</v>
      </c>
      <c r="E934" s="345">
        <v>870.24</v>
      </c>
      <c r="F934" s="345">
        <f t="shared" si="915"/>
        <v>201.89309576837417</v>
      </c>
      <c r="G934" s="345">
        <v>935.19</v>
      </c>
      <c r="H934" s="345">
        <f t="shared" si="916"/>
        <v>216.96130289532292</v>
      </c>
      <c r="I934" s="356">
        <v>1020.29</v>
      </c>
      <c r="J934" s="345">
        <f t="shared" si="917"/>
        <v>236.7042501855976</v>
      </c>
      <c r="K934" s="356">
        <v>1161.3800000000001</v>
      </c>
      <c r="L934" s="345">
        <f t="shared" si="918"/>
        <v>269.43671121009652</v>
      </c>
      <c r="M934" s="356">
        <v>1276.22</v>
      </c>
      <c r="N934" s="346">
        <f t="shared" si="919"/>
        <v>296.07925018559763</v>
      </c>
      <c r="O934" s="132"/>
      <c r="P934" s="132"/>
      <c r="Q934" s="152"/>
      <c r="R934" s="132"/>
      <c r="S934" s="132"/>
      <c r="T934" s="132"/>
      <c r="U934" s="206"/>
    </row>
    <row r="935" spans="2:21">
      <c r="B935" s="310" t="s">
        <v>3</v>
      </c>
      <c r="C935" s="433">
        <v>836.77</v>
      </c>
      <c r="D935" s="312">
        <f>100*C935/I915</f>
        <v>194.12815515961395</v>
      </c>
      <c r="E935" s="345">
        <v>870.24</v>
      </c>
      <c r="F935" s="345">
        <f t="shared" si="915"/>
        <v>201.89309576837417</v>
      </c>
      <c r="G935" s="345">
        <v>935.19</v>
      </c>
      <c r="H935" s="345">
        <f t="shared" si="916"/>
        <v>216.96130289532292</v>
      </c>
      <c r="I935" s="356">
        <v>1020.29</v>
      </c>
      <c r="J935" s="345">
        <f t="shared" si="917"/>
        <v>236.7042501855976</v>
      </c>
      <c r="K935" s="356">
        <v>1161.3800000000001</v>
      </c>
      <c r="L935" s="345">
        <f t="shared" si="918"/>
        <v>269.43671121009652</v>
      </c>
      <c r="M935" s="356">
        <v>1276.22</v>
      </c>
      <c r="N935" s="346">
        <f t="shared" si="919"/>
        <v>296.07925018559763</v>
      </c>
      <c r="O935" s="132"/>
      <c r="P935" s="132"/>
      <c r="Q935" s="152"/>
      <c r="R935" s="132"/>
      <c r="S935" s="132"/>
      <c r="T935" s="132"/>
      <c r="U935" s="206"/>
    </row>
    <row r="936" spans="2:21">
      <c r="B936" s="310" t="s">
        <v>4</v>
      </c>
      <c r="C936" s="433">
        <v>836.77</v>
      </c>
      <c r="D936" s="312">
        <f t="shared" ref="D936:D942" si="920">100*C936/431.04</f>
        <v>194.12815515961395</v>
      </c>
      <c r="E936" s="345">
        <v>935.19</v>
      </c>
      <c r="F936" s="345">
        <f t="shared" si="915"/>
        <v>216.96130289532292</v>
      </c>
      <c r="G936" s="385">
        <v>1005.32</v>
      </c>
      <c r="H936" s="345">
        <f t="shared" si="916"/>
        <v>233.2312546399406</v>
      </c>
      <c r="I936" s="356">
        <v>1092.1099999999999</v>
      </c>
      <c r="J936" s="370">
        <f t="shared" si="917"/>
        <v>253.36627691165549</v>
      </c>
      <c r="K936" s="356">
        <v>1231.06</v>
      </c>
      <c r="L936" s="370">
        <f t="shared" si="918"/>
        <v>285.60226429101704</v>
      </c>
      <c r="M936" s="356">
        <v>1378.32</v>
      </c>
      <c r="N936" s="371">
        <f t="shared" si="919"/>
        <v>319.76614699331844</v>
      </c>
      <c r="O936" s="156"/>
      <c r="P936" s="156"/>
      <c r="Q936" s="152"/>
      <c r="R936" s="156"/>
      <c r="S936" s="132"/>
      <c r="T936" s="132"/>
      <c r="U936" s="206"/>
    </row>
    <row r="937" spans="2:21">
      <c r="B937" s="310" t="s">
        <v>5</v>
      </c>
      <c r="C937" s="433">
        <v>870.24</v>
      </c>
      <c r="D937" s="312">
        <f t="shared" si="920"/>
        <v>201.89309576837417</v>
      </c>
      <c r="E937" s="345">
        <v>935.19</v>
      </c>
      <c r="F937" s="345">
        <f t="shared" si="915"/>
        <v>216.96130289532292</v>
      </c>
      <c r="G937" s="385">
        <v>1005.32</v>
      </c>
      <c r="H937" s="345">
        <f t="shared" si="916"/>
        <v>233.2312546399406</v>
      </c>
      <c r="I937" s="356">
        <v>1092.1099999999999</v>
      </c>
      <c r="J937" s="370">
        <f t="shared" si="917"/>
        <v>253.36627691165549</v>
      </c>
      <c r="K937" s="356">
        <v>1231.06</v>
      </c>
      <c r="L937" s="370">
        <f t="shared" si="918"/>
        <v>285.60226429101704</v>
      </c>
      <c r="M937" s="356">
        <v>1378.32</v>
      </c>
      <c r="N937" s="371">
        <f t="shared" si="919"/>
        <v>319.76614699331844</v>
      </c>
      <c r="O937" s="156"/>
      <c r="P937" s="156"/>
      <c r="Q937" s="152"/>
      <c r="R937" s="156"/>
      <c r="S937" s="132"/>
      <c r="T937" s="132"/>
      <c r="U937" s="206"/>
    </row>
    <row r="938" spans="2:21">
      <c r="B938" s="310" t="s">
        <v>6</v>
      </c>
      <c r="C938" s="433">
        <v>870.24</v>
      </c>
      <c r="D938" s="312">
        <f t="shared" si="920"/>
        <v>201.89309576837417</v>
      </c>
      <c r="E938" s="345">
        <v>935.19</v>
      </c>
      <c r="F938" s="345">
        <f t="shared" si="915"/>
        <v>216.96130289532292</v>
      </c>
      <c r="G938" s="385">
        <v>1005.32</v>
      </c>
      <c r="H938" s="345">
        <f t="shared" si="916"/>
        <v>233.2312546399406</v>
      </c>
      <c r="I938" s="356">
        <v>1144.1500000000001</v>
      </c>
      <c r="J938" s="370">
        <f t="shared" si="917"/>
        <v>265.43940237564959</v>
      </c>
      <c r="K938" s="356">
        <f>+K937</f>
        <v>1231.06</v>
      </c>
      <c r="L938" s="370">
        <f t="shared" si="918"/>
        <v>285.60226429101704</v>
      </c>
      <c r="M938" s="356">
        <v>1378.32</v>
      </c>
      <c r="N938" s="371">
        <f t="shared" si="919"/>
        <v>319.76614699331844</v>
      </c>
      <c r="O938" s="156"/>
      <c r="P938" s="156"/>
      <c r="Q938" s="152"/>
      <c r="R938" s="156"/>
      <c r="S938" s="132"/>
      <c r="T938" s="132"/>
      <c r="U938" s="206"/>
    </row>
    <row r="939" spans="2:21">
      <c r="B939" s="310" t="s">
        <v>7</v>
      </c>
      <c r="C939" s="433">
        <v>870.24</v>
      </c>
      <c r="D939" s="312">
        <f t="shared" si="920"/>
        <v>201.89309576837417</v>
      </c>
      <c r="E939" s="345">
        <v>935.19</v>
      </c>
      <c r="F939" s="345">
        <f t="shared" si="915"/>
        <v>216.96130289532292</v>
      </c>
      <c r="G939" s="385">
        <v>1005.32</v>
      </c>
      <c r="H939" s="345">
        <f t="shared" si="916"/>
        <v>233.2312546399406</v>
      </c>
      <c r="I939" s="356">
        <v>1144.1500000000001</v>
      </c>
      <c r="J939" s="370">
        <f t="shared" si="917"/>
        <v>265.43940237564959</v>
      </c>
      <c r="K939" s="356">
        <v>1257.72</v>
      </c>
      <c r="L939" s="370">
        <f t="shared" si="918"/>
        <v>291.78730512249444</v>
      </c>
      <c r="M939" s="356">
        <v>1378.32</v>
      </c>
      <c r="N939" s="371">
        <f t="shared" si="919"/>
        <v>319.76614699331844</v>
      </c>
      <c r="O939" s="156"/>
      <c r="P939" s="156"/>
      <c r="Q939" s="152"/>
      <c r="R939" s="156"/>
      <c r="S939" s="132"/>
      <c r="T939" s="132"/>
      <c r="U939" s="206"/>
    </row>
    <row r="940" spans="2:21">
      <c r="B940" s="310" t="s">
        <v>8</v>
      </c>
      <c r="C940" s="433">
        <v>870.24</v>
      </c>
      <c r="D940" s="312">
        <f t="shared" si="920"/>
        <v>201.89309576837417</v>
      </c>
      <c r="E940" s="345">
        <v>935.19</v>
      </c>
      <c r="F940" s="345">
        <f t="shared" si="915"/>
        <v>216.96130289532292</v>
      </c>
      <c r="G940" s="385">
        <v>1005.32</v>
      </c>
      <c r="H940" s="345">
        <f t="shared" si="916"/>
        <v>233.2312546399406</v>
      </c>
      <c r="I940" s="356">
        <v>1144.1500000000001</v>
      </c>
      <c r="J940" s="370">
        <f t="shared" si="917"/>
        <v>265.43940237564959</v>
      </c>
      <c r="K940" s="356">
        <v>1257.72</v>
      </c>
      <c r="L940" s="370">
        <f t="shared" si="918"/>
        <v>291.78730512249444</v>
      </c>
      <c r="M940" s="356">
        <v>1585.07</v>
      </c>
      <c r="N940" s="371">
        <f t="shared" si="919"/>
        <v>367.73153303637713</v>
      </c>
      <c r="O940" s="156"/>
      <c r="P940" s="156"/>
      <c r="Q940" s="152"/>
      <c r="R940" s="156"/>
      <c r="S940" s="132"/>
      <c r="T940" s="132"/>
      <c r="U940" s="206"/>
    </row>
    <row r="941" spans="2:21">
      <c r="B941" s="310" t="s">
        <v>9</v>
      </c>
      <c r="C941" s="433">
        <v>870.24</v>
      </c>
      <c r="D941" s="312">
        <f t="shared" si="920"/>
        <v>201.89309576837417</v>
      </c>
      <c r="E941" s="345">
        <v>935.19</v>
      </c>
      <c r="F941" s="345">
        <f t="shared" si="915"/>
        <v>216.96130289532292</v>
      </c>
      <c r="G941" s="385">
        <v>1012.78</v>
      </c>
      <c r="H941" s="345">
        <f t="shared" si="916"/>
        <v>234.96195248700815</v>
      </c>
      <c r="I941" s="356">
        <v>1152.73</v>
      </c>
      <c r="J941" s="370">
        <f t="shared" si="917"/>
        <v>267.4299368968077</v>
      </c>
      <c r="K941" s="356">
        <f>+K940</f>
        <v>1257.72</v>
      </c>
      <c r="L941" s="370">
        <f t="shared" si="918"/>
        <v>291.78730512249444</v>
      </c>
      <c r="M941" s="356">
        <v>1378.32</v>
      </c>
      <c r="N941" s="371">
        <f t="shared" si="919"/>
        <v>319.76614699331844</v>
      </c>
      <c r="O941" s="156"/>
      <c r="P941" s="156"/>
      <c r="Q941" s="152"/>
      <c r="R941" s="156"/>
      <c r="S941" s="132"/>
      <c r="T941" s="132"/>
      <c r="U941" s="206"/>
    </row>
    <row r="942" spans="2:21">
      <c r="B942" s="310" t="s">
        <v>10</v>
      </c>
      <c r="C942" s="433">
        <v>870.24</v>
      </c>
      <c r="D942" s="312">
        <f t="shared" si="920"/>
        <v>201.89309576837417</v>
      </c>
      <c r="E942" s="345">
        <v>935.19</v>
      </c>
      <c r="F942" s="345">
        <f t="shared" si="915"/>
        <v>216.96130289532292</v>
      </c>
      <c r="G942" s="385">
        <v>1012.78</v>
      </c>
      <c r="H942" s="345">
        <f t="shared" si="916"/>
        <v>234.96195248700815</v>
      </c>
      <c r="I942" s="356">
        <v>1152.73</v>
      </c>
      <c r="J942" s="370">
        <f t="shared" si="917"/>
        <v>267.4299368968077</v>
      </c>
      <c r="K942" s="356">
        <f>+K941</f>
        <v>1257.72</v>
      </c>
      <c r="L942" s="370">
        <f t="shared" si="918"/>
        <v>291.78730512249444</v>
      </c>
      <c r="M942" s="356">
        <v>1412.78</v>
      </c>
      <c r="N942" s="371">
        <f t="shared" si="919"/>
        <v>327.7607646622123</v>
      </c>
      <c r="O942" s="156"/>
      <c r="P942" s="156"/>
      <c r="Q942" s="152"/>
      <c r="R942" s="156"/>
      <c r="S942" s="132"/>
      <c r="T942" s="132"/>
      <c r="U942" s="206"/>
    </row>
    <row r="943" spans="2:21" ht="15.75" thickBot="1">
      <c r="B943" s="314" t="s">
        <v>11</v>
      </c>
      <c r="C943" s="434">
        <v>870.24</v>
      </c>
      <c r="D943" s="316">
        <f>100*C943/431.04</f>
        <v>201.89309576837417</v>
      </c>
      <c r="E943" s="348">
        <v>935.19</v>
      </c>
      <c r="F943" s="348">
        <f t="shared" si="915"/>
        <v>216.96130289532292</v>
      </c>
      <c r="G943" s="386">
        <v>1012.78</v>
      </c>
      <c r="H943" s="348">
        <f t="shared" si="916"/>
        <v>234.96195248700815</v>
      </c>
      <c r="I943" s="357">
        <v>1152.73</v>
      </c>
      <c r="J943" s="372">
        <f t="shared" si="917"/>
        <v>267.4299368968077</v>
      </c>
      <c r="K943" s="357">
        <v>1276.22</v>
      </c>
      <c r="L943" s="372">
        <f t="shared" si="918"/>
        <v>296.07925018559763</v>
      </c>
      <c r="M943" s="357">
        <v>1412.98</v>
      </c>
      <c r="N943" s="373">
        <f t="shared" si="919"/>
        <v>327.80716406829993</v>
      </c>
      <c r="O943" s="156"/>
      <c r="P943" s="156"/>
      <c r="Q943" s="152"/>
      <c r="R943" s="156"/>
      <c r="S943" s="132"/>
      <c r="T943" s="132"/>
      <c r="U943" s="206"/>
    </row>
    <row r="944" spans="2:21" ht="15.75" thickBot="1">
      <c r="B944" s="119"/>
      <c r="C944" s="180"/>
      <c r="D944" s="123"/>
      <c r="E944" s="132"/>
      <c r="F944" s="132"/>
      <c r="G944" s="122"/>
      <c r="H944" s="132"/>
      <c r="I944" s="152"/>
      <c r="J944" s="156"/>
      <c r="K944" s="152"/>
      <c r="L944" s="156"/>
      <c r="M944" s="152"/>
      <c r="N944" s="156"/>
      <c r="O944" s="156"/>
      <c r="P944" s="156"/>
      <c r="Q944" s="152"/>
      <c r="R944" s="156"/>
      <c r="S944" s="132"/>
      <c r="T944" s="132"/>
      <c r="U944" s="206"/>
    </row>
    <row r="945" spans="2:21" ht="21" thickBot="1">
      <c r="B945" s="534" t="s">
        <v>233</v>
      </c>
      <c r="C945" s="507"/>
      <c r="D945" s="363"/>
      <c r="E945" s="363"/>
      <c r="F945" s="509"/>
      <c r="G945" s="503"/>
      <c r="H945" s="508"/>
      <c r="I945" s="361">
        <v>431.04</v>
      </c>
      <c r="J945" s="358" t="s">
        <v>22</v>
      </c>
      <c r="K945" s="358"/>
      <c r="L945" s="364"/>
      <c r="M945" s="358"/>
      <c r="N945" s="478"/>
      <c r="O945" s="123"/>
      <c r="P945" s="123"/>
      <c r="Q945" s="152"/>
      <c r="R945" s="156"/>
      <c r="S945" s="132"/>
      <c r="T945" s="132"/>
      <c r="U945" s="206"/>
    </row>
    <row r="946" spans="2:21" ht="15.75" thickBot="1">
      <c r="B946" s="1310" t="s">
        <v>219</v>
      </c>
      <c r="C946" s="1311"/>
      <c r="D946" s="334" t="s">
        <v>15</v>
      </c>
      <c r="E946" s="552" t="s">
        <v>220</v>
      </c>
      <c r="F946" s="334" t="s">
        <v>15</v>
      </c>
      <c r="G946" s="552" t="s">
        <v>221</v>
      </c>
      <c r="H946" s="334" t="s">
        <v>15</v>
      </c>
      <c r="I946" s="552" t="s">
        <v>222</v>
      </c>
      <c r="J946" s="334" t="s">
        <v>15</v>
      </c>
      <c r="K946" s="552" t="s">
        <v>223</v>
      </c>
      <c r="L946" s="334" t="s">
        <v>15</v>
      </c>
      <c r="M946" s="552" t="s">
        <v>224</v>
      </c>
      <c r="N946" s="353" t="s">
        <v>15</v>
      </c>
      <c r="O946" s="156"/>
      <c r="P946" s="156"/>
      <c r="Q946" s="152"/>
      <c r="R946" s="156"/>
      <c r="S946" s="132"/>
      <c r="T946" s="132"/>
      <c r="U946" s="206"/>
    </row>
    <row r="947" spans="2:21">
      <c r="B947" s="306" t="s">
        <v>0</v>
      </c>
      <c r="C947" s="504">
        <v>1412.98</v>
      </c>
      <c r="D947" s="504">
        <f>100*C947/431.03</f>
        <v>327.81476927360046</v>
      </c>
      <c r="E947" s="388">
        <v>1474.96</v>
      </c>
      <c r="F947" s="504">
        <f t="shared" ref="F947:F958" si="921">100*E947/431.03</f>
        <v>342.19427882049973</v>
      </c>
      <c r="G947" s="388">
        <v>1554.9404833333333</v>
      </c>
      <c r="H947" s="504">
        <f t="shared" ref="H947:H958" si="922">100*G947/431.03</f>
        <v>360.74994393275028</v>
      </c>
      <c r="I947" s="388">
        <f>G958</f>
        <v>1674.17</v>
      </c>
      <c r="J947" s="504">
        <f t="shared" ref="J947:J958" si="923">100*I947/431.03</f>
        <v>388.41147947938663</v>
      </c>
      <c r="K947" s="355">
        <f>I958</f>
        <v>1791.3619000000001</v>
      </c>
      <c r="L947" s="504">
        <f t="shared" ref="L947:L958" si="924">100*K947/431.03</f>
        <v>415.60028304294366</v>
      </c>
      <c r="M947" s="355">
        <v>1925.7140425</v>
      </c>
      <c r="N947" s="554">
        <f t="shared" ref="N947:N958" si="925">100*M947/431.03</f>
        <v>446.77030427116443</v>
      </c>
      <c r="O947" s="180"/>
      <c r="P947" s="180"/>
      <c r="Q947" s="152"/>
      <c r="R947" s="156"/>
      <c r="S947" s="132"/>
      <c r="T947" s="132"/>
      <c r="U947" s="206"/>
    </row>
    <row r="948" spans="2:21">
      <c r="B948" s="310" t="s">
        <v>1</v>
      </c>
      <c r="C948" s="433">
        <f>+C947</f>
        <v>1412.98</v>
      </c>
      <c r="D948" s="433">
        <f t="shared" ref="D948:D958" si="926">100*C948/431.03</f>
        <v>327.81476927360046</v>
      </c>
      <c r="E948" s="385">
        <v>1474.96</v>
      </c>
      <c r="F948" s="433">
        <f t="shared" si="921"/>
        <v>342.19427882049973</v>
      </c>
      <c r="G948" s="385">
        <v>1554.9404833333333</v>
      </c>
      <c r="H948" s="433">
        <f t="shared" si="922"/>
        <v>360.74994393275028</v>
      </c>
      <c r="I948" s="385">
        <f>I947</f>
        <v>1674.17</v>
      </c>
      <c r="J948" s="433">
        <f t="shared" si="923"/>
        <v>388.41147947938663</v>
      </c>
      <c r="K948" s="356">
        <f>K947</f>
        <v>1791.3619000000001</v>
      </c>
      <c r="L948" s="433">
        <f t="shared" si="924"/>
        <v>415.60028304294366</v>
      </c>
      <c r="M948" s="356">
        <v>1925.7140425</v>
      </c>
      <c r="N948" s="555">
        <f t="shared" si="925"/>
        <v>446.77030427116443</v>
      </c>
      <c r="O948" s="180"/>
      <c r="P948" s="180"/>
      <c r="Q948" s="152">
        <f>K950/I950</f>
        <v>1.07</v>
      </c>
      <c r="R948" s="156"/>
      <c r="S948" s="132"/>
      <c r="T948" s="132"/>
      <c r="U948" s="206"/>
    </row>
    <row r="949" spans="2:21">
      <c r="B949" s="310" t="s">
        <v>2</v>
      </c>
      <c r="C949" s="433">
        <f>+C948</f>
        <v>1412.98</v>
      </c>
      <c r="D949" s="433">
        <f t="shared" si="926"/>
        <v>327.81476927360046</v>
      </c>
      <c r="E949" s="385">
        <f>E948</f>
        <v>1474.96</v>
      </c>
      <c r="F949" s="433">
        <f t="shared" si="921"/>
        <v>342.19427882049973</v>
      </c>
      <c r="G949" s="385">
        <v>1554.9404833333333</v>
      </c>
      <c r="H949" s="433">
        <f t="shared" si="922"/>
        <v>360.74994393275028</v>
      </c>
      <c r="I949" s="385">
        <f>I948</f>
        <v>1674.17</v>
      </c>
      <c r="J949" s="433">
        <f t="shared" si="923"/>
        <v>388.41147947938663</v>
      </c>
      <c r="K949" s="356">
        <f>K948</f>
        <v>1791.3619000000001</v>
      </c>
      <c r="L949" s="433">
        <f t="shared" si="924"/>
        <v>415.60028304294366</v>
      </c>
      <c r="M949" s="356">
        <v>1925.7140425</v>
      </c>
      <c r="N949" s="555">
        <f t="shared" si="925"/>
        <v>446.77030427116443</v>
      </c>
      <c r="O949" s="180"/>
      <c r="P949" s="180"/>
      <c r="Q949" s="210">
        <f>K951/K950</f>
        <v>1.075</v>
      </c>
      <c r="R949" s="156"/>
      <c r="S949" s="132"/>
      <c r="T949" s="132"/>
      <c r="U949" s="206"/>
    </row>
    <row r="950" spans="2:21">
      <c r="B950" s="310" t="s">
        <v>3</v>
      </c>
      <c r="C950" s="433">
        <v>1412.98</v>
      </c>
      <c r="D950" s="433">
        <f t="shared" si="926"/>
        <v>327.81476927360046</v>
      </c>
      <c r="E950" s="385">
        <f>+E949</f>
        <v>1474.96</v>
      </c>
      <c r="F950" s="433">
        <f t="shared" si="921"/>
        <v>342.19427882049973</v>
      </c>
      <c r="G950" s="385">
        <f>1554.94048333333</f>
        <v>1554.9404833333299</v>
      </c>
      <c r="H950" s="433">
        <f t="shared" si="922"/>
        <v>360.74994393274949</v>
      </c>
      <c r="I950" s="385">
        <f>I949</f>
        <v>1674.17</v>
      </c>
      <c r="J950" s="433">
        <f t="shared" si="923"/>
        <v>388.41147947938663</v>
      </c>
      <c r="K950" s="356">
        <f>K949</f>
        <v>1791.3619000000001</v>
      </c>
      <c r="L950" s="433">
        <f t="shared" si="924"/>
        <v>415.60028304294366</v>
      </c>
      <c r="M950" s="356">
        <v>1925.7140425</v>
      </c>
      <c r="N950" s="555">
        <f t="shared" si="925"/>
        <v>446.77030427116443</v>
      </c>
      <c r="O950" s="180"/>
      <c r="P950" s="180"/>
      <c r="Q950" s="152"/>
      <c r="R950" s="156"/>
      <c r="S950" s="132"/>
      <c r="T950" s="132"/>
      <c r="U950" s="206"/>
    </row>
    <row r="951" spans="2:21">
      <c r="B951" s="310" t="s">
        <v>4</v>
      </c>
      <c r="C951" s="433">
        <v>1474.96</v>
      </c>
      <c r="D951" s="433">
        <f t="shared" si="926"/>
        <v>342.19427882049973</v>
      </c>
      <c r="E951" s="385">
        <v>1554.94</v>
      </c>
      <c r="F951" s="433">
        <f t="shared" si="921"/>
        <v>360.74983179825074</v>
      </c>
      <c r="G951" s="385">
        <v>1674.17</v>
      </c>
      <c r="H951" s="433">
        <f t="shared" si="922"/>
        <v>388.41147947938663</v>
      </c>
      <c r="I951" s="356">
        <f>I950*1.07</f>
        <v>1791.3619000000001</v>
      </c>
      <c r="J951" s="433">
        <f t="shared" si="923"/>
        <v>415.60028304294366</v>
      </c>
      <c r="K951" s="356">
        <f>K950*1.075</f>
        <v>1925.7140425</v>
      </c>
      <c r="L951" s="433">
        <f t="shared" si="924"/>
        <v>446.77030427116443</v>
      </c>
      <c r="M951" s="356">
        <f>M950*1.09</f>
        <v>2099.0283063250004</v>
      </c>
      <c r="N951" s="555">
        <f t="shared" si="925"/>
        <v>486.97963165556934</v>
      </c>
      <c r="O951" s="180"/>
      <c r="P951" s="180"/>
      <c r="Q951" s="152"/>
      <c r="R951" s="156"/>
      <c r="S951" s="132"/>
      <c r="T951" s="132"/>
      <c r="U951" s="206"/>
    </row>
    <row r="952" spans="2:21">
      <c r="B952" s="310" t="s">
        <v>5</v>
      </c>
      <c r="C952" s="433">
        <v>1474.96</v>
      </c>
      <c r="D952" s="433">
        <f t="shared" si="926"/>
        <v>342.19427882049973</v>
      </c>
      <c r="E952" s="385">
        <v>1554.9404833333333</v>
      </c>
      <c r="F952" s="433">
        <f t="shared" si="921"/>
        <v>360.74994393275028</v>
      </c>
      <c r="G952" s="385">
        <f>G951</f>
        <v>1674.17</v>
      </c>
      <c r="H952" s="433">
        <f t="shared" si="922"/>
        <v>388.41147947938663</v>
      </c>
      <c r="I952" s="356">
        <f t="shared" ref="I952:I958" si="927">I951</f>
        <v>1791.3619000000001</v>
      </c>
      <c r="J952" s="433">
        <f t="shared" si="923"/>
        <v>415.60028304294366</v>
      </c>
      <c r="K952" s="356">
        <v>1925.7140425</v>
      </c>
      <c r="L952" s="433">
        <f>100*K952/431.03</f>
        <v>446.77030427116443</v>
      </c>
      <c r="M952" s="356">
        <v>2099.0283063250004</v>
      </c>
      <c r="N952" s="555">
        <f t="shared" si="925"/>
        <v>486.97963165556934</v>
      </c>
      <c r="O952" s="180"/>
      <c r="P952" s="196"/>
      <c r="Q952" s="152"/>
      <c r="R952" s="156"/>
      <c r="S952" s="132"/>
      <c r="T952" s="132"/>
      <c r="U952" s="206"/>
    </row>
    <row r="953" spans="2:21">
      <c r="B953" s="310" t="s">
        <v>6</v>
      </c>
      <c r="C953" s="433">
        <v>1474.96</v>
      </c>
      <c r="D953" s="433">
        <f t="shared" si="926"/>
        <v>342.19427882049973</v>
      </c>
      <c r="E953" s="385">
        <v>1554.9404833333333</v>
      </c>
      <c r="F953" s="433">
        <f t="shared" si="921"/>
        <v>360.74994393275028</v>
      </c>
      <c r="G953" s="385">
        <f t="shared" ref="G953:G958" si="928">G952</f>
        <v>1674.17</v>
      </c>
      <c r="H953" s="433">
        <f t="shared" si="922"/>
        <v>388.41147947938663</v>
      </c>
      <c r="I953" s="356">
        <f t="shared" si="927"/>
        <v>1791.3619000000001</v>
      </c>
      <c r="J953" s="433">
        <f t="shared" si="923"/>
        <v>415.60028304294366</v>
      </c>
      <c r="K953" s="356">
        <v>1925.7140425</v>
      </c>
      <c r="L953" s="433">
        <f>100*K953/431.03</f>
        <v>446.77030427116443</v>
      </c>
      <c r="M953" s="356">
        <v>2099.0283063250004</v>
      </c>
      <c r="N953" s="555">
        <f t="shared" si="925"/>
        <v>486.97963165556934</v>
      </c>
      <c r="O953" s="180"/>
      <c r="P953" s="180"/>
      <c r="Q953" s="152"/>
      <c r="R953" s="156"/>
      <c r="S953" s="132"/>
      <c r="T953" s="132"/>
      <c r="U953" s="206"/>
    </row>
    <row r="954" spans="2:21">
      <c r="B954" s="310" t="s">
        <v>7</v>
      </c>
      <c r="C954" s="433">
        <v>1474.96</v>
      </c>
      <c r="D954" s="433">
        <f t="shared" si="926"/>
        <v>342.19427882049973</v>
      </c>
      <c r="E954" s="385">
        <v>1554.9404833333333</v>
      </c>
      <c r="F954" s="433">
        <f t="shared" si="921"/>
        <v>360.74994393275028</v>
      </c>
      <c r="G954" s="385">
        <f t="shared" si="928"/>
        <v>1674.17</v>
      </c>
      <c r="H954" s="433">
        <f t="shared" si="922"/>
        <v>388.41147947938663</v>
      </c>
      <c r="I954" s="356">
        <f t="shared" si="927"/>
        <v>1791.3619000000001</v>
      </c>
      <c r="J954" s="433">
        <f t="shared" si="923"/>
        <v>415.60028304294366</v>
      </c>
      <c r="K954" s="356">
        <v>1925.7140425</v>
      </c>
      <c r="L954" s="433">
        <f t="shared" si="924"/>
        <v>446.77030427116443</v>
      </c>
      <c r="M954" s="356">
        <v>2099.0283063250004</v>
      </c>
      <c r="N954" s="555">
        <f t="shared" si="925"/>
        <v>486.97963165556934</v>
      </c>
      <c r="O954" s="180"/>
      <c r="P954" s="197"/>
      <c r="Q954" s="152"/>
      <c r="R954" s="156"/>
      <c r="S954" s="132"/>
      <c r="T954" s="132"/>
      <c r="U954" s="206"/>
    </row>
    <row r="955" spans="2:21">
      <c r="B955" s="310" t="s">
        <v>8</v>
      </c>
      <c r="C955" s="433">
        <v>1474.96</v>
      </c>
      <c r="D955" s="433">
        <f t="shared" si="926"/>
        <v>342.19427882049973</v>
      </c>
      <c r="E955" s="385">
        <v>1554.9404833333333</v>
      </c>
      <c r="F955" s="433">
        <f t="shared" si="921"/>
        <v>360.74994393275028</v>
      </c>
      <c r="G955" s="385">
        <f t="shared" si="928"/>
        <v>1674.17</v>
      </c>
      <c r="H955" s="433">
        <f t="shared" si="922"/>
        <v>388.41147947938663</v>
      </c>
      <c r="I955" s="356">
        <f t="shared" si="927"/>
        <v>1791.3619000000001</v>
      </c>
      <c r="J955" s="433">
        <f t="shared" si="923"/>
        <v>415.60028304294366</v>
      </c>
      <c r="K955" s="356">
        <v>1925.7140425</v>
      </c>
      <c r="L955" s="433">
        <f t="shared" si="924"/>
        <v>446.77030427116443</v>
      </c>
      <c r="M955" s="356">
        <v>2099.0283063250004</v>
      </c>
      <c r="N955" s="555">
        <f t="shared" si="925"/>
        <v>486.97963165556934</v>
      </c>
      <c r="O955" s="180"/>
      <c r="P955" s="180"/>
      <c r="Q955" s="152"/>
      <c r="R955" s="156"/>
      <c r="S955" s="132"/>
      <c r="T955" s="132"/>
      <c r="U955" s="206"/>
    </row>
    <row r="956" spans="2:21">
      <c r="B956" s="310" t="s">
        <v>9</v>
      </c>
      <c r="C956" s="433">
        <v>1474.96</v>
      </c>
      <c r="D956" s="433">
        <f t="shared" si="926"/>
        <v>342.19427882049973</v>
      </c>
      <c r="E956" s="385">
        <v>1554.9404833333333</v>
      </c>
      <c r="F956" s="433">
        <f t="shared" si="921"/>
        <v>360.74994393275028</v>
      </c>
      <c r="G956" s="385">
        <f t="shared" si="928"/>
        <v>1674.17</v>
      </c>
      <c r="H956" s="433">
        <f t="shared" si="922"/>
        <v>388.41147947938663</v>
      </c>
      <c r="I956" s="356">
        <f t="shared" si="927"/>
        <v>1791.3619000000001</v>
      </c>
      <c r="J956" s="433">
        <f t="shared" si="923"/>
        <v>415.60028304294366</v>
      </c>
      <c r="K956" s="356">
        <v>1925.7140425</v>
      </c>
      <c r="L956" s="433">
        <f t="shared" si="924"/>
        <v>446.77030427116443</v>
      </c>
      <c r="M956" s="356">
        <v>2099.0283063250004</v>
      </c>
      <c r="N956" s="555">
        <f t="shared" si="925"/>
        <v>486.97963165556934</v>
      </c>
      <c r="O956" s="180"/>
      <c r="P956" s="180"/>
      <c r="Q956" s="152"/>
      <c r="R956" s="156"/>
      <c r="S956" s="132"/>
      <c r="T956" s="132"/>
      <c r="U956" s="206"/>
    </row>
    <row r="957" spans="2:21">
      <c r="B957" s="310" t="s">
        <v>10</v>
      </c>
      <c r="C957" s="433">
        <v>1474.96</v>
      </c>
      <c r="D957" s="433">
        <f t="shared" si="926"/>
        <v>342.19427882049973</v>
      </c>
      <c r="E957" s="385">
        <v>1554.9404833333333</v>
      </c>
      <c r="F957" s="433">
        <f t="shared" si="921"/>
        <v>360.74994393275028</v>
      </c>
      <c r="G957" s="385">
        <f t="shared" si="928"/>
        <v>1674.17</v>
      </c>
      <c r="H957" s="433">
        <f t="shared" si="922"/>
        <v>388.41147947938663</v>
      </c>
      <c r="I957" s="356">
        <f t="shared" si="927"/>
        <v>1791.3619000000001</v>
      </c>
      <c r="J957" s="433">
        <f t="shared" si="923"/>
        <v>415.60028304294366</v>
      </c>
      <c r="K957" s="356">
        <v>1925.7140425</v>
      </c>
      <c r="L957" s="433">
        <f t="shared" si="924"/>
        <v>446.77030427116443</v>
      </c>
      <c r="M957" s="356">
        <v>2099.0283063250004</v>
      </c>
      <c r="N957" s="555">
        <f t="shared" si="925"/>
        <v>486.97963165556934</v>
      </c>
      <c r="O957" s="180"/>
      <c r="P957" s="180"/>
      <c r="Q957" s="152"/>
      <c r="R957" s="156"/>
      <c r="S957" s="132"/>
      <c r="T957" s="132"/>
      <c r="U957" s="206"/>
    </row>
    <row r="958" spans="2:21" ht="15.75" thickBot="1">
      <c r="B958" s="314" t="s">
        <v>11</v>
      </c>
      <c r="C958" s="434">
        <v>1474.96</v>
      </c>
      <c r="D958" s="434">
        <f t="shared" si="926"/>
        <v>342.19427882049973</v>
      </c>
      <c r="E958" s="386">
        <v>1554.9404833333333</v>
      </c>
      <c r="F958" s="434">
        <f t="shared" si="921"/>
        <v>360.74994393275028</v>
      </c>
      <c r="G958" s="386">
        <f t="shared" si="928"/>
        <v>1674.17</v>
      </c>
      <c r="H958" s="434">
        <f t="shared" si="922"/>
        <v>388.41147947938663</v>
      </c>
      <c r="I958" s="357">
        <f t="shared" si="927"/>
        <v>1791.3619000000001</v>
      </c>
      <c r="J958" s="434">
        <f t="shared" si="923"/>
        <v>415.60028304294366</v>
      </c>
      <c r="K958" s="357">
        <v>1925.7140425</v>
      </c>
      <c r="L958" s="434">
        <f t="shared" si="924"/>
        <v>446.77030427116443</v>
      </c>
      <c r="M958" s="357">
        <v>2099.0283063250004</v>
      </c>
      <c r="N958" s="556">
        <f t="shared" si="925"/>
        <v>486.97963165556934</v>
      </c>
      <c r="O958" s="180"/>
      <c r="P958" s="180"/>
      <c r="Q958" s="152"/>
      <c r="R958" s="156"/>
      <c r="S958" s="132"/>
      <c r="T958" s="132"/>
      <c r="U958" s="206"/>
    </row>
    <row r="959" spans="2:21">
      <c r="B959" s="119"/>
      <c r="C959" s="180"/>
      <c r="D959" s="180"/>
      <c r="E959" s="122"/>
      <c r="F959" s="180"/>
      <c r="G959" s="122"/>
      <c r="H959" s="180"/>
      <c r="I959" s="152"/>
      <c r="J959" s="180"/>
      <c r="K959" s="152"/>
      <c r="L959" s="180"/>
      <c r="M959" s="152"/>
      <c r="N959" s="180"/>
      <c r="O959" s="180"/>
      <c r="P959" s="180"/>
      <c r="Q959" s="152"/>
      <c r="R959" s="156"/>
      <c r="S959" s="132"/>
      <c r="T959" s="132"/>
      <c r="U959" s="206"/>
    </row>
    <row r="960" spans="2:21" ht="16.5" thickBot="1">
      <c r="B960" s="1304" t="s">
        <v>325</v>
      </c>
      <c r="C960" s="1305"/>
      <c r="D960" s="1305"/>
      <c r="E960" s="1305"/>
      <c r="F960" s="1305"/>
      <c r="G960" s="1305"/>
      <c r="H960" s="1305"/>
      <c r="I960" s="1305"/>
      <c r="J960" s="1305"/>
      <c r="K960" s="1305"/>
      <c r="L960" s="1305"/>
      <c r="M960" s="1305"/>
      <c r="N960" s="1305"/>
      <c r="O960" s="1305"/>
      <c r="P960" s="1305"/>
      <c r="Q960" s="1305"/>
      <c r="R960" s="1305"/>
      <c r="S960" s="1305"/>
      <c r="T960" s="1305"/>
      <c r="U960" s="206"/>
    </row>
    <row r="961" spans="2:21" ht="15.75" thickBot="1">
      <c r="B961" s="1316" t="s">
        <v>290</v>
      </c>
      <c r="C961" s="1317"/>
      <c r="D961" s="648" t="s">
        <v>15</v>
      </c>
      <c r="E961" s="1121" t="s">
        <v>311</v>
      </c>
      <c r="F961" s="648" t="s">
        <v>15</v>
      </c>
      <c r="G961" s="1121" t="s">
        <v>322</v>
      </c>
      <c r="H961" s="648" t="s">
        <v>15</v>
      </c>
      <c r="I961" s="1080" t="s">
        <v>391</v>
      </c>
      <c r="J961" s="1082" t="s">
        <v>15</v>
      </c>
      <c r="K961" s="1083" t="s">
        <v>665</v>
      </c>
      <c r="L961" s="1084" t="s">
        <v>15</v>
      </c>
      <c r="M961" s="1083" t="s">
        <v>678</v>
      </c>
      <c r="N961" s="1130" t="s">
        <v>15</v>
      </c>
      <c r="O961" s="1083" t="s">
        <v>699</v>
      </c>
      <c r="P961" s="1130" t="s">
        <v>15</v>
      </c>
      <c r="Q961" s="1083" t="s">
        <v>714</v>
      </c>
      <c r="R961" s="1130" t="s">
        <v>15</v>
      </c>
      <c r="S961" s="1083" t="s">
        <v>727</v>
      </c>
      <c r="T961" s="1130" t="s">
        <v>15</v>
      </c>
      <c r="U961" s="206"/>
    </row>
    <row r="962" spans="2:21">
      <c r="B962" s="306" t="s">
        <v>0</v>
      </c>
      <c r="C962" s="504">
        <v>2099.0283063250004</v>
      </c>
      <c r="D962" s="554">
        <f t="shared" ref="D962:D969" si="929">100*C962/431.03</f>
        <v>486.97963165556934</v>
      </c>
      <c r="E962" s="664">
        <f>$C$965*1.08</f>
        <v>2266.9505708310007</v>
      </c>
      <c r="F962" s="665">
        <f t="shared" ref="F962:F967" si="930">100*E962/431.03</f>
        <v>525.93800218801493</v>
      </c>
      <c r="G962" s="703">
        <f>$E$965*(1.09+0.01)</f>
        <v>2493.6456279141012</v>
      </c>
      <c r="H962" s="665">
        <f t="shared" ref="H962:H967" si="931">100*G962/431.03</f>
        <v>578.5318024068165</v>
      </c>
      <c r="I962" s="1030">
        <f>[11]PLANCUSr!$H$40+40.0374533475678</f>
        <v>2680.6690500076588</v>
      </c>
      <c r="J962" s="1081">
        <f t="shared" ref="J962:J967" si="932">100*I962/431.03</f>
        <v>621.92168758732771</v>
      </c>
      <c r="K962" s="666">
        <f t="shared" ref="K962:K964" si="933">2680.66905000766*(1+8.34%+0.66%)</f>
        <v>2921.9292645083492</v>
      </c>
      <c r="L962" s="433">
        <f t="shared" ref="L962" si="934">100*K962/431.03</f>
        <v>677.89463947018749</v>
      </c>
      <c r="M962" s="666">
        <f t="shared" ref="M962:M965" si="935">2680.66905000766*(1+8.34%+0.66%)*(1+(7%+1.72%))</f>
        <v>3176.7214963734773</v>
      </c>
      <c r="N962" s="555">
        <f t="shared" ref="N962" si="936">100*M962/431.03</f>
        <v>737.00705203198788</v>
      </c>
      <c r="O962" s="703">
        <f t="shared" ref="O962:O966" si="937">2680.66905000766*(1+8.34%+0.66%)*(1+(7%+1.72%))*(1+3.99%+0.01%)</f>
        <v>3303.7903562284164</v>
      </c>
      <c r="P962" s="704">
        <f t="shared" ref="P962" si="938">100*O962/431.03</f>
        <v>766.48733411326737</v>
      </c>
      <c r="Q962" s="703">
        <f>2680.66905000766*(1+8.34%+0.66%)*(1+(7%+1.72%))*(1+3.99%+0.01%)*(1+2.5%)</f>
        <v>3386.3851151341264</v>
      </c>
      <c r="R962" s="704">
        <f t="shared" ref="R962" si="939">100*Q962/431.03</f>
        <v>785.64951746609904</v>
      </c>
      <c r="S962" s="703">
        <f t="shared" ref="S962:S970" si="940">2680.66905000766*(1+8.34%+0.66%)*(1+(7%+1.72%))*(1+3.99%+0.01%)*(1+2.5%)*(1+5.07%)</f>
        <v>3558.0748404714263</v>
      </c>
      <c r="T962" s="704">
        <f t="shared" ref="T962" si="941">100*S962/431.03</f>
        <v>825.48194800163014</v>
      </c>
      <c r="U962" s="206"/>
    </row>
    <row r="963" spans="2:21">
      <c r="B963" s="310" t="s">
        <v>1</v>
      </c>
      <c r="C963" s="433">
        <v>2099.0283063250004</v>
      </c>
      <c r="D963" s="555">
        <f t="shared" si="929"/>
        <v>486.97963165556934</v>
      </c>
      <c r="E963" s="666">
        <f>$C$965*1.08</f>
        <v>2266.9505708310007</v>
      </c>
      <c r="F963" s="555">
        <f t="shared" si="930"/>
        <v>525.93800218801493</v>
      </c>
      <c r="G963" s="703">
        <f>$E$965*(1.09+0.01)</f>
        <v>2493.6456279141012</v>
      </c>
      <c r="H963" s="704">
        <f t="shared" si="931"/>
        <v>578.5318024068165</v>
      </c>
      <c r="I963" s="666">
        <f>[19]PLANCUSr!$H$40+40.0374533475678</f>
        <v>2680.6690500076588</v>
      </c>
      <c r="J963" s="1085">
        <f t="shared" si="932"/>
        <v>621.92168758732771</v>
      </c>
      <c r="K963" s="666">
        <f t="shared" si="933"/>
        <v>2921.9292645083492</v>
      </c>
      <c r="L963" s="433">
        <f t="shared" ref="L963" si="942">100*K963/431.03</f>
        <v>677.89463947018749</v>
      </c>
      <c r="M963" s="666">
        <f t="shared" si="935"/>
        <v>3176.7214963734773</v>
      </c>
      <c r="N963" s="555">
        <f t="shared" ref="N963" si="943">100*M963/431.03</f>
        <v>737.00705203198788</v>
      </c>
      <c r="O963" s="703">
        <f t="shared" si="937"/>
        <v>3303.7903562284164</v>
      </c>
      <c r="P963" s="555">
        <f t="shared" ref="P963" si="944">100*O963/431.03</f>
        <v>766.48733411326737</v>
      </c>
      <c r="Q963" s="666">
        <f>2680.66905000766*(1+8.34%+0.66%)*(1+(7%+1.72%))*(1+3.99%+0.01%)*(1+2.5%)</f>
        <v>3386.3851151341264</v>
      </c>
      <c r="R963" s="555">
        <f t="shared" ref="R963" si="945">100*Q963/431.03</f>
        <v>785.64951746609904</v>
      </c>
      <c r="S963" s="703">
        <f t="shared" si="940"/>
        <v>3558.0748404714263</v>
      </c>
      <c r="T963" s="704">
        <f t="shared" ref="T963" si="946">100*S963/431.03</f>
        <v>825.48194800163014</v>
      </c>
      <c r="U963" s="206"/>
    </row>
    <row r="964" spans="2:21">
      <c r="B964" s="310" t="s">
        <v>2</v>
      </c>
      <c r="C964" s="433">
        <v>2099.0283063250004</v>
      </c>
      <c r="D964" s="555">
        <f t="shared" si="929"/>
        <v>486.97963165556934</v>
      </c>
      <c r="E964" s="666">
        <f>$C$965*1.08</f>
        <v>2266.9505708310007</v>
      </c>
      <c r="F964" s="555">
        <f t="shared" si="930"/>
        <v>525.93800218801493</v>
      </c>
      <c r="G964" s="703">
        <f>$E$965*(1.09+0.01)</f>
        <v>2493.6456279141012</v>
      </c>
      <c r="H964" s="704">
        <f t="shared" si="931"/>
        <v>578.5318024068165</v>
      </c>
      <c r="I964" s="666">
        <f>[27]PLANCUSr!$H$40+40.0374533475678</f>
        <v>2680.6690500076588</v>
      </c>
      <c r="J964" s="555">
        <f t="shared" si="932"/>
        <v>621.92168758732771</v>
      </c>
      <c r="K964" s="666">
        <f t="shared" si="933"/>
        <v>2921.9292645083492</v>
      </c>
      <c r="L964" s="433">
        <f t="shared" ref="L964" si="947">100*K964/431.03</f>
        <v>677.89463947018749</v>
      </c>
      <c r="M964" s="666">
        <f t="shared" si="935"/>
        <v>3176.7214963734773</v>
      </c>
      <c r="N964" s="555">
        <f t="shared" ref="N964" si="948">100*M964/431.03</f>
        <v>737.00705203198788</v>
      </c>
      <c r="O964" s="703">
        <f t="shared" si="937"/>
        <v>3303.7903562284164</v>
      </c>
      <c r="P964" s="555">
        <f t="shared" ref="P964" si="949">100*O964/431.03</f>
        <v>766.48733411326737</v>
      </c>
      <c r="Q964" s="666">
        <f>2680.66905000766*(1+8.34%+0.66%)*(1+(7%+1.72%))*(1+3.99%+0.01%)*(1+2.5%)</f>
        <v>3386.3851151341264</v>
      </c>
      <c r="R964" s="555">
        <f t="shared" ref="R964" si="950">100*Q964/431.03</f>
        <v>785.64951746609904</v>
      </c>
      <c r="S964" s="703">
        <f t="shared" si="940"/>
        <v>3558.0748404714263</v>
      </c>
      <c r="T964" s="704">
        <f t="shared" ref="T964" si="951">100*S964/431.03</f>
        <v>825.48194800163014</v>
      </c>
      <c r="U964" s="206"/>
    </row>
    <row r="965" spans="2:21">
      <c r="B965" s="310" t="s">
        <v>3</v>
      </c>
      <c r="C965" s="433">
        <v>2099.0283063250004</v>
      </c>
      <c r="D965" s="555">
        <f t="shared" si="929"/>
        <v>486.97963165556934</v>
      </c>
      <c r="E965" s="666">
        <f>$C$965*1.08</f>
        <v>2266.9505708310007</v>
      </c>
      <c r="F965" s="555">
        <f t="shared" si="930"/>
        <v>525.93800218801493</v>
      </c>
      <c r="G965" s="703">
        <f>$E$965*(1.09+0.01)</f>
        <v>2493.6456279141012</v>
      </c>
      <c r="H965" s="704">
        <f t="shared" si="931"/>
        <v>578.5318024068165</v>
      </c>
      <c r="I965" s="666">
        <f>[35]PLANCUSr!$H$40+40.0374533475678</f>
        <v>2680.6690500076588</v>
      </c>
      <c r="J965" s="555">
        <f t="shared" si="932"/>
        <v>621.92168758732771</v>
      </c>
      <c r="K965" s="666">
        <f>2680.66905000766*(1+(8.34%+0.66%))</f>
        <v>2921.9292645083497</v>
      </c>
      <c r="L965" s="433">
        <f t="shared" ref="L965" si="952">100*K965/431.03</f>
        <v>677.8946394701876</v>
      </c>
      <c r="M965" s="666">
        <f t="shared" si="935"/>
        <v>3176.7214963734773</v>
      </c>
      <c r="N965" s="555">
        <f t="shared" ref="N965" si="953">100*M965/431.03</f>
        <v>737.00705203198788</v>
      </c>
      <c r="O965" s="703">
        <f t="shared" si="937"/>
        <v>3303.7903562284164</v>
      </c>
      <c r="P965" s="555">
        <f t="shared" ref="P965" si="954">100*O965/431.03</f>
        <v>766.48733411326737</v>
      </c>
      <c r="Q965" s="666">
        <f>2680.66905000766*(1+8.34%+0.66%)*(1+(7%+1.72%))*(1+3.99%+0.01%)*(1+2.5%)</f>
        <v>3386.3851151341264</v>
      </c>
      <c r="R965" s="555">
        <f t="shared" ref="R965" si="955">100*Q965/431.03</f>
        <v>785.64951746609904</v>
      </c>
      <c r="S965" s="703">
        <f t="shared" si="940"/>
        <v>3558.0748404714263</v>
      </c>
      <c r="T965" s="704">
        <f t="shared" ref="T965" si="956">100*S965/431.03</f>
        <v>825.48194800163014</v>
      </c>
      <c r="U965" s="206"/>
    </row>
    <row r="966" spans="2:21">
      <c r="B966" s="310" t="s">
        <v>4</v>
      </c>
      <c r="C966" s="433">
        <f t="shared" ref="C966:C973" si="957">$C$965*1.08</f>
        <v>2266.9505708310007</v>
      </c>
      <c r="D966" s="555">
        <f t="shared" si="929"/>
        <v>525.93800218801493</v>
      </c>
      <c r="E966" s="666">
        <f>$E$965*1.09</f>
        <v>2470.9761222057909</v>
      </c>
      <c r="F966" s="555">
        <f t="shared" si="930"/>
        <v>573.27242238493636</v>
      </c>
      <c r="G966" s="703">
        <f>[42]PLANCUSr!$H$40+40.0374533475678</f>
        <v>2680.6690500076588</v>
      </c>
      <c r="H966" s="704">
        <f t="shared" si="931"/>
        <v>621.92168758732771</v>
      </c>
      <c r="I966" s="666">
        <f>2680.66905000766*(1+8.34%)</f>
        <v>2904.2368487782987</v>
      </c>
      <c r="J966" s="555">
        <f t="shared" si="932"/>
        <v>673.78995633211116</v>
      </c>
      <c r="K966" s="666">
        <f>2680.66905000766*(1+(8.34%+0.66%)*(1+7%))</f>
        <v>2938.8174795233981</v>
      </c>
      <c r="L966" s="433">
        <f t="shared" ref="L966" si="958">100*K966/431.03</f>
        <v>681.81274610198784</v>
      </c>
      <c r="M966" s="666">
        <f>2680.66905000766*(1+8.34%+0.66%)*(1+(7%+1.72%))*(1+3.99%)</f>
        <v>3303.4726840787794</v>
      </c>
      <c r="N966" s="555">
        <f t="shared" ref="N966" si="959">100*M966/431.03</f>
        <v>766.41363340806436</v>
      </c>
      <c r="O966" s="703">
        <f t="shared" si="937"/>
        <v>3303.7903562284164</v>
      </c>
      <c r="P966" s="555">
        <f t="shared" ref="P966" si="960">100*O966/431.03</f>
        <v>766.48733411326737</v>
      </c>
      <c r="Q966" s="666">
        <f t="shared" ref="Q966:Q973" si="961">2680.66905000766*(1+8.34%+0.66%)*(1+(7%+1.72%))*(1+3.99%+0.01%)*(1+2.5%)*(1+5.07%)</f>
        <v>3558.0748404714263</v>
      </c>
      <c r="R966" s="555">
        <f t="shared" ref="R966" si="962">100*Q966/431.03</f>
        <v>825.48194800163014</v>
      </c>
      <c r="S966" s="703">
        <f t="shared" si="940"/>
        <v>3558.0748404714263</v>
      </c>
      <c r="T966" s="704">
        <f t="shared" ref="T966" si="963">100*S966/431.03</f>
        <v>825.48194800163014</v>
      </c>
      <c r="U966" s="206"/>
    </row>
    <row r="967" spans="2:21">
      <c r="B967" s="310" t="s">
        <v>5</v>
      </c>
      <c r="C967" s="433">
        <f t="shared" si="957"/>
        <v>2266.9505708310007</v>
      </c>
      <c r="D967" s="555">
        <f t="shared" si="929"/>
        <v>525.93800218801493</v>
      </c>
      <c r="E967" s="666">
        <f>$E$965*1.09</f>
        <v>2470.9761222057909</v>
      </c>
      <c r="F967" s="555">
        <f t="shared" si="930"/>
        <v>573.27242238493636</v>
      </c>
      <c r="G967" s="703">
        <f>[50]PLANCUSr!$H$40+40.0374533475678</f>
        <v>2680.6690500076588</v>
      </c>
      <c r="H967" s="704">
        <f t="shared" si="931"/>
        <v>621.92168758732771</v>
      </c>
      <c r="I967" s="666">
        <f t="shared" ref="I967:I973" si="964">2680.66905000766*(1+8.34%+0.66%)</f>
        <v>2921.9292645083492</v>
      </c>
      <c r="J967" s="555">
        <f t="shared" si="932"/>
        <v>677.89463947018749</v>
      </c>
      <c r="K967" s="666">
        <f t="shared" ref="K967:K973" si="965">2680.66905000766*(1+8.34%+0.66%)*(1+(7%+1.72%))</f>
        <v>3176.7214963734773</v>
      </c>
      <c r="L967" s="433">
        <f t="shared" ref="L967" si="966">100*K967/431.03</f>
        <v>737.00705203198788</v>
      </c>
      <c r="M967" s="666">
        <f t="shared" ref="M967:M973" si="967">2680.66905000766*(1+8.34%+0.66%)*(1+(7%+1.72%))*(1+3.99%+0.01%)</f>
        <v>3303.7903562284164</v>
      </c>
      <c r="N967" s="555">
        <f t="shared" ref="N967" si="968">100*M967/431.03</f>
        <v>766.48733411326737</v>
      </c>
      <c r="O967" s="703">
        <f t="shared" ref="O967:O972" si="969">2680.66905000766*(1+8.34%+0.66%)*(1+(7%+1.72%))*(1+3.99%+0.01%)*(1+2.5%)</f>
        <v>3386.3851151341264</v>
      </c>
      <c r="P967" s="555">
        <f t="shared" ref="P967" si="970">100*O967/431.03</f>
        <v>785.64951746609904</v>
      </c>
      <c r="Q967" s="666">
        <f t="shared" si="961"/>
        <v>3558.0748404714263</v>
      </c>
      <c r="R967" s="555">
        <f t="shared" ref="R967" si="971">100*Q967/431.03</f>
        <v>825.48194800163014</v>
      </c>
      <c r="S967" s="703">
        <f t="shared" si="940"/>
        <v>3558.0748404714263</v>
      </c>
      <c r="T967" s="704">
        <f t="shared" ref="T967" si="972">100*S967/431.03</f>
        <v>825.48194800163014</v>
      </c>
      <c r="U967" s="206"/>
    </row>
    <row r="968" spans="2:21">
      <c r="B968" s="310" t="s">
        <v>6</v>
      </c>
      <c r="C968" s="433">
        <f t="shared" si="957"/>
        <v>2266.9505708310007</v>
      </c>
      <c r="D968" s="555">
        <f t="shared" si="929"/>
        <v>525.93800218801493</v>
      </c>
      <c r="E968" s="666">
        <f>$E$965*1.09</f>
        <v>2470.9761222057909</v>
      </c>
      <c r="F968" s="555">
        <f t="shared" ref="F968:F973" si="973">100*E968/431.03</f>
        <v>573.27242238493636</v>
      </c>
      <c r="G968" s="703">
        <f>[59]PLANCUSr!$H$40+40.0374533475678</f>
        <v>2680.6690500076588</v>
      </c>
      <c r="H968" s="704">
        <f t="shared" ref="H968:H973" si="974">100*G968/431.03</f>
        <v>621.92168758732771</v>
      </c>
      <c r="I968" s="666">
        <f t="shared" si="964"/>
        <v>2921.9292645083492</v>
      </c>
      <c r="J968" s="555">
        <f t="shared" ref="J968:J973" si="975">100*I968/431.03</f>
        <v>677.89463947018749</v>
      </c>
      <c r="K968" s="666">
        <f t="shared" si="965"/>
        <v>3176.7214963734773</v>
      </c>
      <c r="L968" s="433">
        <f t="shared" ref="L968" si="976">100*K968/431.03</f>
        <v>737.00705203198788</v>
      </c>
      <c r="M968" s="666">
        <f t="shared" si="967"/>
        <v>3303.7903562284164</v>
      </c>
      <c r="N968" s="555">
        <f t="shared" ref="N968" si="977">100*M968/431.03</f>
        <v>766.48733411326737</v>
      </c>
      <c r="O968" s="703">
        <f t="shared" si="969"/>
        <v>3386.3851151341264</v>
      </c>
      <c r="P968" s="555">
        <f t="shared" ref="P968" si="978">100*O968/431.03</f>
        <v>785.64951746609904</v>
      </c>
      <c r="Q968" s="666">
        <f t="shared" si="961"/>
        <v>3558.0748404714263</v>
      </c>
      <c r="R968" s="555">
        <f t="shared" ref="R968" si="979">100*Q968/431.03</f>
        <v>825.48194800163014</v>
      </c>
      <c r="S968" s="703">
        <f t="shared" si="940"/>
        <v>3558.0748404714263</v>
      </c>
      <c r="T968" s="704">
        <f t="shared" ref="T968" si="980">100*S968/431.03</f>
        <v>825.48194800163014</v>
      </c>
      <c r="U968" s="206"/>
    </row>
    <row r="969" spans="2:21">
      <c r="B969" s="310" t="s">
        <v>7</v>
      </c>
      <c r="C969" s="433">
        <f t="shared" si="957"/>
        <v>2266.9505708310007</v>
      </c>
      <c r="D969" s="555">
        <f t="shared" si="929"/>
        <v>525.93800218801493</v>
      </c>
      <c r="E969" s="666">
        <f>$E$965*1.09</f>
        <v>2470.9761222057909</v>
      </c>
      <c r="F969" s="555">
        <f t="shared" si="973"/>
        <v>573.27242238493636</v>
      </c>
      <c r="G969" s="703">
        <f>[68]PLANCUSr!$H$40+40.0374533475678</f>
        <v>2680.6690500076588</v>
      </c>
      <c r="H969" s="704">
        <f t="shared" si="974"/>
        <v>621.92168758732771</v>
      </c>
      <c r="I969" s="666">
        <f t="shared" si="964"/>
        <v>2921.9292645083492</v>
      </c>
      <c r="J969" s="555">
        <f t="shared" si="975"/>
        <v>677.89463947018749</v>
      </c>
      <c r="K969" s="666">
        <f t="shared" si="965"/>
        <v>3176.7214963734773</v>
      </c>
      <c r="L969" s="433">
        <f t="shared" ref="L969" si="981">100*K969/431.03</f>
        <v>737.00705203198788</v>
      </c>
      <c r="M969" s="666">
        <f t="shared" si="967"/>
        <v>3303.7903562284164</v>
      </c>
      <c r="N969" s="555">
        <f t="shared" ref="N969" si="982">100*M969/431.03</f>
        <v>766.48733411326737</v>
      </c>
      <c r="O969" s="703">
        <f t="shared" si="969"/>
        <v>3386.3851151341264</v>
      </c>
      <c r="P969" s="555">
        <f t="shared" ref="P969" si="983">100*O969/431.03</f>
        <v>785.64951746609904</v>
      </c>
      <c r="Q969" s="666">
        <f t="shared" si="961"/>
        <v>3558.0748404714263</v>
      </c>
      <c r="R969" s="555">
        <f t="shared" ref="R969" si="984">100*Q969/431.03</f>
        <v>825.48194800163014</v>
      </c>
      <c r="S969" s="703">
        <f t="shared" si="940"/>
        <v>3558.0748404714263</v>
      </c>
      <c r="T969" s="704">
        <f t="shared" ref="T969" si="985">100*S969/431.03</f>
        <v>825.48194800163014</v>
      </c>
      <c r="U969" s="206"/>
    </row>
    <row r="970" spans="2:21">
      <c r="B970" s="310" t="s">
        <v>8</v>
      </c>
      <c r="C970" s="433">
        <f t="shared" si="957"/>
        <v>2266.9505708310007</v>
      </c>
      <c r="D970" s="555">
        <f>100*C970/431.03</f>
        <v>525.93800218801493</v>
      </c>
      <c r="E970" s="666">
        <f>$E$965*(1.09+0.01)</f>
        <v>2493.6456279141012</v>
      </c>
      <c r="F970" s="555">
        <f t="shared" si="973"/>
        <v>578.5318024068165</v>
      </c>
      <c r="G970" s="703">
        <f>[77]PLANCUSr!$H$40+40.0374533475678</f>
        <v>2680.6690500076588</v>
      </c>
      <c r="H970" s="704">
        <f t="shared" si="974"/>
        <v>621.92168758732771</v>
      </c>
      <c r="I970" s="666">
        <f t="shared" si="964"/>
        <v>2921.9292645083492</v>
      </c>
      <c r="J970" s="555">
        <f t="shared" si="975"/>
        <v>677.89463947018749</v>
      </c>
      <c r="K970" s="666">
        <f t="shared" si="965"/>
        <v>3176.7214963734773</v>
      </c>
      <c r="L970" s="433">
        <f t="shared" ref="L970" si="986">100*K970/431.03</f>
        <v>737.00705203198788</v>
      </c>
      <c r="M970" s="666">
        <f t="shared" si="967"/>
        <v>3303.7903562284164</v>
      </c>
      <c r="N970" s="555">
        <f t="shared" ref="N970" si="987">100*M970/431.03</f>
        <v>766.48733411326737</v>
      </c>
      <c r="O970" s="703">
        <f t="shared" si="969"/>
        <v>3386.3851151341264</v>
      </c>
      <c r="P970" s="555">
        <f t="shared" ref="P970" si="988">100*O970/431.03</f>
        <v>785.64951746609904</v>
      </c>
      <c r="Q970" s="666">
        <f t="shared" si="961"/>
        <v>3558.0748404714263</v>
      </c>
      <c r="R970" s="555">
        <f t="shared" ref="R970" si="989">100*Q970/431.03</f>
        <v>825.48194800163014</v>
      </c>
      <c r="S970" s="703">
        <f t="shared" si="940"/>
        <v>3558.0748404714263</v>
      </c>
      <c r="T970" s="704">
        <f t="shared" ref="T970" si="990">100*S970/431.03</f>
        <v>825.48194800163014</v>
      </c>
      <c r="U970" s="206"/>
    </row>
    <row r="971" spans="2:21">
      <c r="B971" s="310" t="s">
        <v>9</v>
      </c>
      <c r="C971" s="433">
        <f t="shared" si="957"/>
        <v>2266.9505708310007</v>
      </c>
      <c r="D971" s="555">
        <f>100*C971/431.03</f>
        <v>525.93800218801493</v>
      </c>
      <c r="E971" s="666">
        <f>$E$965*(1.09+0.01)</f>
        <v>2493.6456279141012</v>
      </c>
      <c r="F971" s="555">
        <f t="shared" si="973"/>
        <v>578.5318024068165</v>
      </c>
      <c r="G971" s="703">
        <f>[85]PLANCUSr!$H$40+40.0374533475678</f>
        <v>2680.6690500076588</v>
      </c>
      <c r="H971" s="704">
        <f t="shared" si="974"/>
        <v>621.92168758732771</v>
      </c>
      <c r="I971" s="666">
        <f t="shared" si="964"/>
        <v>2921.9292645083492</v>
      </c>
      <c r="J971" s="555">
        <f t="shared" si="975"/>
        <v>677.89463947018749</v>
      </c>
      <c r="K971" s="666">
        <f t="shared" si="965"/>
        <v>3176.7214963734773</v>
      </c>
      <c r="L971" s="433">
        <f t="shared" ref="L971" si="991">100*K971/431.03</f>
        <v>737.00705203198788</v>
      </c>
      <c r="M971" s="666">
        <f t="shared" si="967"/>
        <v>3303.7903562284164</v>
      </c>
      <c r="N971" s="555">
        <f t="shared" ref="N971" si="992">100*M971/431.03</f>
        <v>766.48733411326737</v>
      </c>
      <c r="O971" s="703">
        <f t="shared" si="969"/>
        <v>3386.3851151341264</v>
      </c>
      <c r="P971" s="555">
        <f t="shared" ref="P971" si="993">100*O971/431.03</f>
        <v>785.64951746609904</v>
      </c>
      <c r="Q971" s="666">
        <f t="shared" si="961"/>
        <v>3558.0748404714263</v>
      </c>
      <c r="R971" s="555">
        <f t="shared" ref="R971" si="994">100*Q971/431.03</f>
        <v>825.48194800163014</v>
      </c>
      <c r="S971" s="666"/>
      <c r="T971" s="555"/>
      <c r="U971" s="206"/>
    </row>
    <row r="972" spans="2:21">
      <c r="B972" s="310" t="s">
        <v>10</v>
      </c>
      <c r="C972" s="433">
        <f t="shared" si="957"/>
        <v>2266.9505708310007</v>
      </c>
      <c r="D972" s="555">
        <f>100*C972/431.03</f>
        <v>525.93800218801493</v>
      </c>
      <c r="E972" s="666">
        <f>$E$965*(1.09+0.01)</f>
        <v>2493.6456279141012</v>
      </c>
      <c r="F972" s="555">
        <f t="shared" si="973"/>
        <v>578.5318024068165</v>
      </c>
      <c r="G972" s="703">
        <f>[93]PLANCUSr!$H$40+40.0374533475678</f>
        <v>2680.6690500076588</v>
      </c>
      <c r="H972" s="704">
        <f t="shared" si="974"/>
        <v>621.92168758732771</v>
      </c>
      <c r="I972" s="666">
        <f t="shared" si="964"/>
        <v>2921.9292645083492</v>
      </c>
      <c r="J972" s="555">
        <f t="shared" si="975"/>
        <v>677.89463947018749</v>
      </c>
      <c r="K972" s="666">
        <f t="shared" si="965"/>
        <v>3176.7214963734773</v>
      </c>
      <c r="L972" s="433">
        <f t="shared" ref="L972" si="995">100*K972/431.03</f>
        <v>737.00705203198788</v>
      </c>
      <c r="M972" s="666">
        <f t="shared" si="967"/>
        <v>3303.7903562284164</v>
      </c>
      <c r="N972" s="555">
        <f t="shared" ref="N972" si="996">100*M972/431.03</f>
        <v>766.48733411326737</v>
      </c>
      <c r="O972" s="703">
        <f t="shared" si="969"/>
        <v>3386.3851151341264</v>
      </c>
      <c r="P972" s="555">
        <f t="shared" ref="P972" si="997">100*O972/431.03</f>
        <v>785.64951746609904</v>
      </c>
      <c r="Q972" s="666">
        <f t="shared" si="961"/>
        <v>3558.0748404714263</v>
      </c>
      <c r="R972" s="555">
        <f t="shared" ref="R972" si="998">100*Q972/431.03</f>
        <v>825.48194800163014</v>
      </c>
      <c r="S972" s="666"/>
      <c r="T972" s="555"/>
      <c r="U972" s="206"/>
    </row>
    <row r="973" spans="2:21" ht="15.75" thickBot="1">
      <c r="B973" s="314" t="s">
        <v>11</v>
      </c>
      <c r="C973" s="434">
        <f t="shared" si="957"/>
        <v>2266.9505708310007</v>
      </c>
      <c r="D973" s="556">
        <f>100*C973/431.03</f>
        <v>525.93800218801493</v>
      </c>
      <c r="E973" s="684">
        <f>$E$965*(1.09+0.01)</f>
        <v>2493.6456279141012</v>
      </c>
      <c r="F973" s="556">
        <f t="shared" si="973"/>
        <v>578.5318024068165</v>
      </c>
      <c r="G973" s="684">
        <f>[101]PLANCUSr!$H$40+40.0374533475678</f>
        <v>2680.6690500076588</v>
      </c>
      <c r="H973" s="556">
        <f t="shared" si="974"/>
        <v>621.92168758732771</v>
      </c>
      <c r="I973" s="684">
        <f t="shared" si="964"/>
        <v>2921.9292645083492</v>
      </c>
      <c r="J973" s="556">
        <f t="shared" si="975"/>
        <v>677.89463947018749</v>
      </c>
      <c r="K973" s="684">
        <f t="shared" si="965"/>
        <v>3176.7214963734773</v>
      </c>
      <c r="L973" s="434">
        <f t="shared" ref="L973" si="999">100*K973/431.03</f>
        <v>737.00705203198788</v>
      </c>
      <c r="M973" s="684">
        <f t="shared" si="967"/>
        <v>3303.7903562284164</v>
      </c>
      <c r="N973" s="556">
        <f t="shared" ref="N973" si="1000">100*M973/431.03</f>
        <v>766.48733411326737</v>
      </c>
      <c r="O973" s="684">
        <f>2680.66905000766*(1+8.34%+0.66%)*(1+(7%+1.72%))*(1+3.99%+0.01%)*(1+2.5%)</f>
        <v>3386.3851151341264</v>
      </c>
      <c r="P973" s="556">
        <f t="shared" ref="P973" si="1001">100*O973/431.03</f>
        <v>785.64951746609904</v>
      </c>
      <c r="Q973" s="684">
        <f t="shared" si="961"/>
        <v>3558.0748404714263</v>
      </c>
      <c r="R973" s="556">
        <f t="shared" ref="R973" si="1002">100*Q973/431.03</f>
        <v>825.48194800163014</v>
      </c>
      <c r="S973" s="684"/>
      <c r="T973" s="556"/>
      <c r="U973" s="206"/>
    </row>
    <row r="974" spans="2:21">
      <c r="B974" s="119"/>
      <c r="C974" s="180"/>
      <c r="D974" s="180"/>
      <c r="E974" s="122"/>
      <c r="F974" s="180"/>
      <c r="G974" s="122"/>
      <c r="H974" s="180"/>
      <c r="I974" s="152"/>
      <c r="J974" s="180"/>
      <c r="K974" s="152"/>
      <c r="L974" s="180"/>
      <c r="M974" s="152"/>
      <c r="N974" s="180"/>
      <c r="O974" s="180"/>
      <c r="P974" s="180"/>
      <c r="Q974" s="152"/>
      <c r="R974" s="156"/>
      <c r="S974" s="132"/>
      <c r="T974" s="132"/>
      <c r="U974" s="206"/>
    </row>
    <row r="975" spans="2:21">
      <c r="B975" s="144"/>
      <c r="C975" s="186"/>
      <c r="D975" s="186"/>
      <c r="E975" s="161"/>
      <c r="F975" s="186"/>
      <c r="G975" s="161"/>
      <c r="H975" s="186"/>
      <c r="I975" s="154"/>
      <c r="J975" s="186"/>
      <c r="K975" s="154"/>
      <c r="L975" s="186"/>
      <c r="M975" s="154"/>
      <c r="N975" s="186"/>
      <c r="O975" s="180"/>
      <c r="P975" s="180"/>
      <c r="Q975" s="152"/>
      <c r="R975" s="156"/>
      <c r="S975" s="132"/>
      <c r="T975" s="132"/>
      <c r="U975" s="206"/>
    </row>
    <row r="976" spans="2:21" ht="15.75" thickBot="1">
      <c r="B976" s="119"/>
      <c r="C976" s="118"/>
      <c r="D976" s="124"/>
      <c r="E976" s="118"/>
      <c r="F976" s="119"/>
      <c r="G976" s="122"/>
      <c r="H976" s="119"/>
      <c r="I976" s="122"/>
      <c r="J976" s="119"/>
      <c r="K976" s="122"/>
      <c r="L976" s="119"/>
      <c r="M976" s="122"/>
      <c r="N976" s="119"/>
      <c r="O976" s="119"/>
      <c r="P976" s="119"/>
      <c r="Q976" s="180"/>
      <c r="R976" s="123"/>
      <c r="S976" s="132"/>
      <c r="T976" s="132"/>
      <c r="U976" s="206"/>
    </row>
    <row r="977" spans="2:21" ht="24" thickBot="1">
      <c r="B977" s="1318" t="s">
        <v>43</v>
      </c>
      <c r="C977" s="1319"/>
      <c r="D977" s="1319"/>
      <c r="E977" s="1319"/>
      <c r="F977" s="1319"/>
      <c r="G977" s="1319"/>
      <c r="H977" s="1319"/>
      <c r="I977" s="361">
        <v>430.76</v>
      </c>
      <c r="J977" s="541" t="s">
        <v>25</v>
      </c>
      <c r="K977" s="364"/>
      <c r="L977" s="358"/>
      <c r="M977" s="364"/>
      <c r="N977" s="358" t="s">
        <v>17</v>
      </c>
      <c r="O977" s="358"/>
      <c r="P977" s="359"/>
      <c r="Q977" s="180"/>
      <c r="R977" s="123"/>
      <c r="S977" s="132"/>
      <c r="T977" s="132"/>
      <c r="U977" s="206"/>
    </row>
    <row r="978" spans="2:21" ht="15.75" thickBot="1">
      <c r="B978" s="1306">
        <v>1994</v>
      </c>
      <c r="C978" s="1307"/>
      <c r="D978" s="336" t="s">
        <v>15</v>
      </c>
      <c r="E978" s="336">
        <v>1995</v>
      </c>
      <c r="F978" s="336" t="s">
        <v>15</v>
      </c>
      <c r="G978" s="336">
        <v>1996</v>
      </c>
      <c r="H978" s="336" t="s">
        <v>15</v>
      </c>
      <c r="I978" s="336">
        <v>1997</v>
      </c>
      <c r="J978" s="336" t="s">
        <v>15</v>
      </c>
      <c r="K978" s="336">
        <v>1998</v>
      </c>
      <c r="L978" s="336" t="s">
        <v>15</v>
      </c>
      <c r="M978" s="336">
        <v>1999</v>
      </c>
      <c r="N978" s="336" t="s">
        <v>15</v>
      </c>
      <c r="O978" s="337">
        <v>2000</v>
      </c>
      <c r="P978" s="353" t="s">
        <v>15</v>
      </c>
      <c r="Q978" s="180"/>
      <c r="R978" s="123"/>
      <c r="S978" s="132"/>
      <c r="T978" s="132"/>
      <c r="U978" s="206"/>
    </row>
    <row r="979" spans="2:21">
      <c r="B979" s="306" t="s">
        <v>0</v>
      </c>
      <c r="C979" s="307"/>
      <c r="D979" s="308"/>
      <c r="E979" s="307">
        <v>458.24</v>
      </c>
      <c r="F979" s="308">
        <f>+$E$979*10000/43076</f>
        <v>106.37942241619463</v>
      </c>
      <c r="G979" s="307">
        <v>364.61</v>
      </c>
      <c r="H979" s="308">
        <f>+$G$979*10000/43076</f>
        <v>84.643420930448514</v>
      </c>
      <c r="I979" s="308">
        <v>433.46</v>
      </c>
      <c r="J979" s="308">
        <f>+$I$979*10000/43076</f>
        <v>100.62679914569598</v>
      </c>
      <c r="K979" s="307">
        <v>417.93</v>
      </c>
      <c r="L979" s="308">
        <f>+$K$979*10000/43076</f>
        <v>97.021543318785405</v>
      </c>
      <c r="M979" s="307">
        <v>514.24</v>
      </c>
      <c r="N979" s="308">
        <f>+$M$979*10000/43076</f>
        <v>119.37970099359272</v>
      </c>
      <c r="O979" s="504">
        <v>574.62</v>
      </c>
      <c r="P979" s="309">
        <f>+$M$979*10000/43076</f>
        <v>119.37970099359272</v>
      </c>
      <c r="Q979" s="180"/>
      <c r="R979" s="123"/>
      <c r="S979" s="132"/>
      <c r="T979" s="132"/>
      <c r="U979" s="206"/>
    </row>
    <row r="980" spans="2:21">
      <c r="B980" s="310" t="s">
        <v>1</v>
      </c>
      <c r="C980" s="311"/>
      <c r="D980" s="312"/>
      <c r="E980" s="311">
        <v>446.17</v>
      </c>
      <c r="F980" s="312">
        <f>+$E$980*10000/43076</f>
        <v>103.57739808710187</v>
      </c>
      <c r="G980" s="311">
        <v>407.54</v>
      </c>
      <c r="H980" s="312">
        <f>+$G$980*10000/43076</f>
        <v>94.609527347014577</v>
      </c>
      <c r="I980" s="311">
        <v>415.33</v>
      </c>
      <c r="J980" s="312">
        <f>+$I$980*10000/43076</f>
        <v>96.417958956263348</v>
      </c>
      <c r="K980" s="311">
        <v>412.83</v>
      </c>
      <c r="L980" s="312">
        <f>+$K$980*10000/43076</f>
        <v>95.837589376915219</v>
      </c>
      <c r="M980" s="311">
        <v>506.89</v>
      </c>
      <c r="N980" s="312">
        <f>+$M$980*10000/43076</f>
        <v>117.67341443030922</v>
      </c>
      <c r="O980" s="433">
        <v>549.63</v>
      </c>
      <c r="P980" s="313">
        <f>+$M$980*10000/43076</f>
        <v>117.67341443030922</v>
      </c>
      <c r="Q980" s="180"/>
      <c r="R980" s="123"/>
      <c r="S980" s="132"/>
      <c r="T980" s="132"/>
      <c r="U980" s="206"/>
    </row>
    <row r="981" spans="2:21">
      <c r="B981" s="310" t="s">
        <v>2</v>
      </c>
      <c r="C981" s="311"/>
      <c r="D981" s="312"/>
      <c r="E981" s="311">
        <v>455.97</v>
      </c>
      <c r="F981" s="312">
        <f>+$E$981*10000/43076</f>
        <v>105.85244683814653</v>
      </c>
      <c r="G981" s="311">
        <v>416</v>
      </c>
      <c r="H981" s="312">
        <f>+$G$981*10000/43076</f>
        <v>96.573498003528641</v>
      </c>
      <c r="I981" s="311">
        <v>416.16</v>
      </c>
      <c r="J981" s="312">
        <f>+$I$981*10000/43076</f>
        <v>96.610641656606944</v>
      </c>
      <c r="K981" s="311">
        <v>479</v>
      </c>
      <c r="L981" s="312">
        <f>+$K$981*10000/43076</f>
        <v>111.1988114031015</v>
      </c>
      <c r="M981" s="311">
        <v>528.84</v>
      </c>
      <c r="N981" s="312">
        <f>+$M$981*10000/43076</f>
        <v>122.76905933698579</v>
      </c>
      <c r="O981" s="433">
        <v>527.33000000000004</v>
      </c>
      <c r="P981" s="313">
        <f>+$M$981*10000/43076</f>
        <v>122.76905933698579</v>
      </c>
      <c r="Q981" s="180"/>
      <c r="R981" s="123"/>
      <c r="S981" s="132"/>
      <c r="T981" s="132"/>
      <c r="U981" s="206"/>
    </row>
    <row r="982" spans="2:21" ht="15.75" thickBot="1">
      <c r="B982" s="310" t="s">
        <v>3</v>
      </c>
      <c r="C982" s="311"/>
      <c r="D982" s="312"/>
      <c r="E982" s="311">
        <v>442.5</v>
      </c>
      <c r="F982" s="312">
        <f>+$E$982*10000/43076</f>
        <v>102.72541554461881</v>
      </c>
      <c r="G982" s="311">
        <v>414.66</v>
      </c>
      <c r="H982" s="312">
        <f>+$G$982*10000/43076</f>
        <v>96.262419908998055</v>
      </c>
      <c r="I982" s="311">
        <v>415.47</v>
      </c>
      <c r="J982" s="312">
        <f>+$I$982*10000/43076</f>
        <v>96.450459652706854</v>
      </c>
      <c r="K982" s="311">
        <v>533.27</v>
      </c>
      <c r="L982" s="312">
        <f>+$K$982*10000/43076</f>
        <v>123.79747423159068</v>
      </c>
      <c r="M982" s="311">
        <v>526.02</v>
      </c>
      <c r="N982" s="312">
        <f>+$M$982*10000/43076</f>
        <v>122.1144024514811</v>
      </c>
      <c r="O982" s="557" t="s">
        <v>59</v>
      </c>
      <c r="P982" s="558"/>
      <c r="Q982" s="192"/>
      <c r="R982" s="123"/>
      <c r="S982" s="132"/>
      <c r="T982" s="132"/>
      <c r="U982" s="206"/>
    </row>
    <row r="983" spans="2:21">
      <c r="B983" s="310" t="s">
        <v>4</v>
      </c>
      <c r="C983" s="311"/>
      <c r="D983" s="312"/>
      <c r="E983" s="311">
        <v>435</v>
      </c>
      <c r="F983" s="312">
        <f>+$E$983*10000/43076</f>
        <v>100.98430680657442</v>
      </c>
      <c r="G983" s="311">
        <v>396.06</v>
      </c>
      <c r="H983" s="312">
        <f>+$G$983*10000/43076</f>
        <v>91.944470238647966</v>
      </c>
      <c r="I983" s="311">
        <v>399.48</v>
      </c>
      <c r="J983" s="312">
        <f>+$I$983*10000/43076</f>
        <v>92.738415823196206</v>
      </c>
      <c r="K983" s="311">
        <v>528.9</v>
      </c>
      <c r="L983" s="312">
        <f>+$K$983*10000/43076</f>
        <v>122.78298820689015</v>
      </c>
      <c r="M983" s="311">
        <v>526.09</v>
      </c>
      <c r="N983" s="379">
        <f>+$M$983*10000/43076</f>
        <v>122.13065279970284</v>
      </c>
      <c r="O983" s="559"/>
      <c r="P983" s="560"/>
      <c r="Q983" s="180"/>
      <c r="R983" s="123"/>
      <c r="S983" s="132"/>
      <c r="T983" s="132"/>
      <c r="U983" s="206"/>
    </row>
    <row r="984" spans="2:21">
      <c r="B984" s="310" t="s">
        <v>5</v>
      </c>
      <c r="C984" s="311"/>
      <c r="D984" s="312"/>
      <c r="E984" s="311">
        <v>448.64</v>
      </c>
      <c r="F984" s="312">
        <f>+$E$984*10000/43076</f>
        <v>104.15080323149782</v>
      </c>
      <c r="G984" s="311">
        <v>402.41</v>
      </c>
      <c r="H984" s="312">
        <f>+$G$984*10000/43076</f>
        <v>93.418608970192224</v>
      </c>
      <c r="I984" s="311">
        <v>409.27</v>
      </c>
      <c r="J984" s="312">
        <f>+$I$984*10000/43076</f>
        <v>95.011143095923487</v>
      </c>
      <c r="K984" s="311">
        <v>527.94000000000005</v>
      </c>
      <c r="L984" s="312">
        <f>+$K$984*10000/43076</f>
        <v>122.56012628842049</v>
      </c>
      <c r="M984" s="311">
        <v>526.72</v>
      </c>
      <c r="N984" s="379">
        <f>+$M$984*10000/43076</f>
        <v>122.27690593369859</v>
      </c>
      <c r="O984" s="561"/>
      <c r="P984" s="562"/>
      <c r="Q984" s="180"/>
      <c r="R984" s="123"/>
      <c r="S984" s="132"/>
      <c r="T984" s="132"/>
      <c r="U984" s="206"/>
    </row>
    <row r="985" spans="2:21">
      <c r="B985" s="310" t="s">
        <v>6</v>
      </c>
      <c r="C985" s="311">
        <f>315.48+30.52+84.76</f>
        <v>430.76</v>
      </c>
      <c r="D985" s="312">
        <f>+$C$985*10000/43076</f>
        <v>100</v>
      </c>
      <c r="E985" s="311">
        <v>413.91</v>
      </c>
      <c r="F985" s="312">
        <f>+$E$985*10000/43076</f>
        <v>96.088309035193618</v>
      </c>
      <c r="G985" s="311">
        <v>395.3</v>
      </c>
      <c r="H985" s="312">
        <f>+$G$985*10000/43076</f>
        <v>91.768037886526145</v>
      </c>
      <c r="I985" s="311">
        <v>416.37</v>
      </c>
      <c r="J985" s="312">
        <f>+$I$985*10000/43076</f>
        <v>96.659392701272168</v>
      </c>
      <c r="K985" s="311">
        <v>522.70000000000005</v>
      </c>
      <c r="L985" s="312">
        <f>+$K$985*10000/43076</f>
        <v>121.34367165010678</v>
      </c>
      <c r="M985" s="311">
        <v>534.17999999999995</v>
      </c>
      <c r="N985" s="379">
        <f>$M$985*10000/43076</f>
        <v>124.00872875847337</v>
      </c>
      <c r="O985" s="561"/>
      <c r="P985" s="562"/>
      <c r="Q985" s="180"/>
      <c r="R985" s="123"/>
      <c r="S985" s="132"/>
      <c r="T985" s="132"/>
      <c r="U985" s="206"/>
    </row>
    <row r="986" spans="2:21">
      <c r="B986" s="310" t="s">
        <v>7</v>
      </c>
      <c r="C986" s="311">
        <f>327.19+32.1+90.42</f>
        <v>449.71000000000004</v>
      </c>
      <c r="D986" s="312">
        <f>+$C$986*10000/43076</f>
        <v>104.39920141145882</v>
      </c>
      <c r="E986" s="311">
        <v>396.68</v>
      </c>
      <c r="F986" s="312">
        <f>+$E$986*10000/43076</f>
        <v>92.08840189432631</v>
      </c>
      <c r="G986" s="311">
        <v>393.95</v>
      </c>
      <c r="H986" s="312">
        <f>+$G$986*10000/43076</f>
        <v>91.454638313678146</v>
      </c>
      <c r="I986" s="311">
        <v>403.44</v>
      </c>
      <c r="J986" s="312">
        <f>+$I$986*10000/43076</f>
        <v>93.657721236883646</v>
      </c>
      <c r="K986" s="311">
        <v>521.12</v>
      </c>
      <c r="L986" s="312">
        <f>+$K$986*10000/43076</f>
        <v>120.97687807595877</v>
      </c>
      <c r="M986" s="311">
        <f>331.3+51.67+116.65</f>
        <v>499.62</v>
      </c>
      <c r="N986" s="379">
        <f>M986*10000/43076</f>
        <v>115.98569969356487</v>
      </c>
      <c r="O986" s="561"/>
      <c r="P986" s="562"/>
      <c r="Q986" s="180"/>
      <c r="R986" s="123"/>
      <c r="S986" s="132"/>
      <c r="T986" s="132"/>
      <c r="U986" s="206"/>
    </row>
    <row r="987" spans="2:21">
      <c r="B987" s="310" t="s">
        <v>8</v>
      </c>
      <c r="C987" s="311">
        <f>349.27+29.94+93.77</f>
        <v>472.97999999999996</v>
      </c>
      <c r="D987" s="312">
        <f>+$C$987*10000/43076</f>
        <v>109.80128145603121</v>
      </c>
      <c r="E987" s="311">
        <v>409.93</v>
      </c>
      <c r="F987" s="312">
        <f>+$E$987*10000/43076</f>
        <v>95.164360664871396</v>
      </c>
      <c r="G987" s="311">
        <v>395.71</v>
      </c>
      <c r="H987" s="312">
        <f>+$G$987*10000/43076</f>
        <v>91.863218497539236</v>
      </c>
      <c r="I987" s="311">
        <v>402.11</v>
      </c>
      <c r="J987" s="312">
        <f>+$I$987*10000/43076</f>
        <v>93.348964620670444</v>
      </c>
      <c r="K987" s="311">
        <v>522.86</v>
      </c>
      <c r="L987" s="312">
        <f>+$K$987*10000/43076</f>
        <v>121.38081530318507</v>
      </c>
      <c r="M987" s="311">
        <v>566.61</v>
      </c>
      <c r="N987" s="379">
        <f>M987*10000/43076</f>
        <v>131.53728294177733</v>
      </c>
      <c r="O987" s="561"/>
      <c r="P987" s="562"/>
      <c r="Q987" s="180"/>
      <c r="R987" s="123"/>
      <c r="S987" s="132"/>
      <c r="T987" s="132"/>
      <c r="U987" s="206"/>
    </row>
    <row r="988" spans="2:21">
      <c r="B988" s="310" t="s">
        <v>9</v>
      </c>
      <c r="C988" s="311">
        <f>392.92+32.54+95.74</f>
        <v>521.20000000000005</v>
      </c>
      <c r="D988" s="312">
        <f>+$C$988*10000/43076</f>
        <v>120.99544990249791</v>
      </c>
      <c r="E988" s="311">
        <v>390.41</v>
      </c>
      <c r="F988" s="312">
        <f>+$E$988*10000/43076</f>
        <v>90.632834989321211</v>
      </c>
      <c r="G988" s="311">
        <v>422.26</v>
      </c>
      <c r="H988" s="312">
        <f>+$G$988*10000/43076</f>
        <v>98.026743430216357</v>
      </c>
      <c r="I988" s="311">
        <v>417.76</v>
      </c>
      <c r="J988" s="312">
        <f>+$I$988*10000/43076</f>
        <v>96.982078187389732</v>
      </c>
      <c r="K988" s="311">
        <v>518</v>
      </c>
      <c r="L988" s="312">
        <f>+$K$988*10000/43076</f>
        <v>120.25257684093231</v>
      </c>
      <c r="M988" s="311">
        <v>596.34</v>
      </c>
      <c r="N988" s="379">
        <f>M988*10000/43076</f>
        <v>138.43903797938526</v>
      </c>
      <c r="O988" s="561"/>
      <c r="P988" s="562"/>
      <c r="Q988" s="180"/>
      <c r="R988" s="123"/>
      <c r="S988" s="132"/>
      <c r="T988" s="132"/>
      <c r="U988" s="206"/>
    </row>
    <row r="989" spans="2:21">
      <c r="B989" s="310" t="s">
        <v>10</v>
      </c>
      <c r="C989" s="311">
        <f>393.16+32.76+98.35</f>
        <v>524.27</v>
      </c>
      <c r="D989" s="312">
        <f>+$C$989*10000/43076</f>
        <v>121.70814374593742</v>
      </c>
      <c r="E989" s="311">
        <v>368.99</v>
      </c>
      <c r="F989" s="312">
        <f>+$E$989*10000/43076</f>
        <v>85.660228433466429</v>
      </c>
      <c r="G989" s="311">
        <v>391.86</v>
      </c>
      <c r="H989" s="312">
        <f>+$G$989*10000/43076</f>
        <v>90.969449345343108</v>
      </c>
      <c r="I989" s="311">
        <v>409.87</v>
      </c>
      <c r="J989" s="312">
        <f>+$I$989*10000/43076</f>
        <v>95.150431794967034</v>
      </c>
      <c r="K989" s="311">
        <v>521.1</v>
      </c>
      <c r="L989" s="312">
        <f>+$K$989*10000/43076</f>
        <v>120.97223511932398</v>
      </c>
      <c r="M989" s="311">
        <v>600.42999999999995</v>
      </c>
      <c r="N989" s="379">
        <f>M989*10000/43076</f>
        <v>139.38852261119879</v>
      </c>
      <c r="O989" s="561"/>
      <c r="P989" s="562"/>
      <c r="Q989" s="180"/>
      <c r="R989" s="123"/>
      <c r="S989" s="132"/>
      <c r="T989" s="132"/>
      <c r="U989" s="206"/>
    </row>
    <row r="990" spans="2:21" ht="15.75" thickBot="1">
      <c r="B990" s="314" t="s">
        <v>11</v>
      </c>
      <c r="C990" s="315">
        <v>477.54</v>
      </c>
      <c r="D990" s="316">
        <f>+$C$990*10000/43076</f>
        <v>110.85987556876219</v>
      </c>
      <c r="E990" s="315">
        <v>366.51</v>
      </c>
      <c r="F990" s="316">
        <f>+$E$990*10000/43076</f>
        <v>85.084501810753082</v>
      </c>
      <c r="G990" s="315">
        <v>418.18</v>
      </c>
      <c r="H990" s="316">
        <f>+$G$990*10000/43076</f>
        <v>97.079580276720222</v>
      </c>
      <c r="I990" s="315">
        <v>408.42</v>
      </c>
      <c r="J990" s="316">
        <f>+$I$990*10000/43076</f>
        <v>94.813817438945122</v>
      </c>
      <c r="K990" s="315">
        <v>509.78</v>
      </c>
      <c r="L990" s="316">
        <f>+$K$990*10000/43076</f>
        <v>118.34432166403566</v>
      </c>
      <c r="M990" s="315">
        <v>555.1</v>
      </c>
      <c r="N990" s="380">
        <f>M990*10000/43076</f>
        <v>128.86526139845853</v>
      </c>
      <c r="O990" s="561"/>
      <c r="P990" s="562"/>
      <c r="Q990" s="180"/>
      <c r="R990" s="123"/>
      <c r="S990" s="132"/>
      <c r="T990" s="132"/>
      <c r="U990" s="206"/>
    </row>
    <row r="991" spans="2:21" ht="15.75" thickBot="1">
      <c r="B991" s="167"/>
      <c r="C991" s="168"/>
      <c r="D991" s="182"/>
      <c r="E991" s="168"/>
      <c r="F991" s="167"/>
      <c r="G991" s="173"/>
      <c r="H991" s="167"/>
      <c r="I991" s="173"/>
      <c r="J991" s="167"/>
      <c r="K991" s="173"/>
      <c r="L991" s="167"/>
      <c r="M991" s="173"/>
      <c r="N991" s="167"/>
      <c r="O991" s="167"/>
      <c r="P991" s="167"/>
      <c r="Q991" s="180"/>
      <c r="R991" s="123"/>
      <c r="S991" s="132"/>
      <c r="T991" s="132"/>
      <c r="U991" s="206"/>
    </row>
    <row r="992" spans="2:21" ht="18.75" thickBot="1">
      <c r="B992" s="564" t="s">
        <v>335</v>
      </c>
      <c r="C992" s="484"/>
      <c r="D992" s="395"/>
      <c r="E992" s="395"/>
      <c r="F992" s="395"/>
      <c r="G992" s="516">
        <v>430.76</v>
      </c>
      <c r="H992" s="429" t="s">
        <v>45</v>
      </c>
      <c r="I992" s="395"/>
      <c r="J992" s="395"/>
      <c r="K992" s="395"/>
      <c r="L992" s="395" t="s">
        <v>44</v>
      </c>
      <c r="M992" s="395"/>
      <c r="N992" s="563"/>
      <c r="O992" s="167"/>
      <c r="P992" s="167"/>
      <c r="Q992" s="180"/>
      <c r="R992" s="123"/>
      <c r="S992" s="132"/>
      <c r="T992" s="132"/>
      <c r="U992" s="206"/>
    </row>
    <row r="993" spans="2:21" ht="15.75" thickBot="1">
      <c r="B993" s="1306">
        <v>2000</v>
      </c>
      <c r="C993" s="1307"/>
      <c r="D993" s="336" t="s">
        <v>15</v>
      </c>
      <c r="E993" s="336">
        <v>2001</v>
      </c>
      <c r="F993" s="336" t="s">
        <v>15</v>
      </c>
      <c r="G993" s="336">
        <v>2002</v>
      </c>
      <c r="H993" s="336" t="s">
        <v>15</v>
      </c>
      <c r="I993" s="336">
        <v>2003</v>
      </c>
      <c r="J993" s="336" t="s">
        <v>15</v>
      </c>
      <c r="K993" s="336">
        <v>2004</v>
      </c>
      <c r="L993" s="336" t="s">
        <v>15</v>
      </c>
      <c r="M993" s="336">
        <v>2005</v>
      </c>
      <c r="N993" s="354" t="s">
        <v>15</v>
      </c>
      <c r="O993" s="182"/>
      <c r="P993" s="182"/>
      <c r="S993" s="132"/>
      <c r="T993" s="132"/>
      <c r="U993" s="206"/>
    </row>
    <row r="994" spans="2:21">
      <c r="B994" s="306" t="s">
        <v>0</v>
      </c>
      <c r="C994" s="307"/>
      <c r="D994" s="308"/>
      <c r="E994" s="307">
        <v>756.27</v>
      </c>
      <c r="F994" s="308">
        <f t="shared" ref="F994:F1005" si="1003">100*E994/$G$992</f>
        <v>175.56644070944378</v>
      </c>
      <c r="G994" s="307">
        <v>803.14</v>
      </c>
      <c r="H994" s="308">
        <f t="shared" ref="H994:H1005" si="1004">100*G994/$G$992</f>
        <v>186.44720958306249</v>
      </c>
      <c r="I994" s="308">
        <v>899.58</v>
      </c>
      <c r="J994" s="308">
        <f t="shared" ref="J994:J1005" si="1005">100*I994/$G$992</f>
        <v>208.83554647599593</v>
      </c>
      <c r="K994" s="307">
        <v>1224.26</v>
      </c>
      <c r="L994" s="308">
        <f t="shared" ref="L994:L1005" si="1006">100*K994/$G$992</f>
        <v>284.20930448509614</v>
      </c>
      <c r="M994" s="307">
        <v>1518.72</v>
      </c>
      <c r="N994" s="309">
        <f t="shared" ref="N994:N1005" si="1007">100*M994/$G$992</f>
        <v>352.56755501903615</v>
      </c>
      <c r="O994" s="171"/>
      <c r="P994" s="171"/>
      <c r="S994" s="132"/>
      <c r="T994" s="132"/>
      <c r="U994" s="206"/>
    </row>
    <row r="995" spans="2:21">
      <c r="B995" s="310" t="s">
        <v>1</v>
      </c>
      <c r="C995" s="311"/>
      <c r="D995" s="312"/>
      <c r="E995" s="311">
        <v>756.98</v>
      </c>
      <c r="F995" s="312">
        <f t="shared" si="1003"/>
        <v>175.73126566997865</v>
      </c>
      <c r="G995" s="311">
        <v>791.8</v>
      </c>
      <c r="H995" s="312">
        <f t="shared" si="1004"/>
        <v>183.81465317113938</v>
      </c>
      <c r="I995" s="311">
        <v>900.2</v>
      </c>
      <c r="J995" s="312">
        <f t="shared" si="1005"/>
        <v>208.97947813167426</v>
      </c>
      <c r="K995" s="311">
        <v>1224.26</v>
      </c>
      <c r="L995" s="312">
        <f t="shared" si="1006"/>
        <v>284.20930448509614</v>
      </c>
      <c r="M995" s="311">
        <v>1554.53</v>
      </c>
      <c r="N995" s="313">
        <f t="shared" si="1007"/>
        <v>360.88076887361871</v>
      </c>
      <c r="O995" s="171"/>
      <c r="P995" s="171"/>
      <c r="S995" s="132"/>
      <c r="T995" s="132"/>
      <c r="U995" s="206"/>
    </row>
    <row r="996" spans="2:21">
      <c r="B996" s="310" t="s">
        <v>2</v>
      </c>
      <c r="C996" s="311"/>
      <c r="D996" s="312"/>
      <c r="E996" s="311">
        <v>769.45</v>
      </c>
      <c r="F996" s="312">
        <f t="shared" si="1003"/>
        <v>178.62614913176711</v>
      </c>
      <c r="G996" s="311">
        <v>776.59</v>
      </c>
      <c r="H996" s="312">
        <f t="shared" si="1004"/>
        <v>180.28368465038537</v>
      </c>
      <c r="I996" s="311">
        <v>886.22</v>
      </c>
      <c r="J996" s="312">
        <f t="shared" si="1005"/>
        <v>205.73405144395952</v>
      </c>
      <c r="K996" s="311">
        <v>1224.26</v>
      </c>
      <c r="L996" s="312">
        <f t="shared" si="1006"/>
        <v>284.20930448509614</v>
      </c>
      <c r="M996" s="311">
        <v>1578.09</v>
      </c>
      <c r="N996" s="313">
        <f t="shared" si="1007"/>
        <v>366.35017178939552</v>
      </c>
      <c r="O996" s="171"/>
      <c r="P996" s="171"/>
      <c r="S996" s="132"/>
      <c r="T996" s="132"/>
      <c r="U996" s="206"/>
    </row>
    <row r="997" spans="2:21">
      <c r="B997" s="310" t="s">
        <v>3</v>
      </c>
      <c r="C997" s="311">
        <v>651.24</v>
      </c>
      <c r="D997" s="312">
        <v>100</v>
      </c>
      <c r="E997" s="311">
        <v>776.67</v>
      </c>
      <c r="F997" s="312">
        <f t="shared" si="1003"/>
        <v>180.3022564769245</v>
      </c>
      <c r="G997" s="311">
        <v>789.75</v>
      </c>
      <c r="H997" s="312">
        <f t="shared" si="1004"/>
        <v>183.33875011607392</v>
      </c>
      <c r="I997" s="311">
        <v>890.92</v>
      </c>
      <c r="J997" s="312">
        <f t="shared" si="1005"/>
        <v>206.82514625313399</v>
      </c>
      <c r="K997" s="311">
        <v>1246.71</v>
      </c>
      <c r="L997" s="312">
        <f t="shared" si="1006"/>
        <v>289.42102330764232</v>
      </c>
      <c r="M997" s="311">
        <v>1574.58</v>
      </c>
      <c r="N997" s="313">
        <f t="shared" si="1007"/>
        <v>365.53533289999075</v>
      </c>
      <c r="O997" s="171"/>
      <c r="P997" s="171"/>
      <c r="S997" s="132"/>
      <c r="T997" s="132"/>
      <c r="U997" s="206"/>
    </row>
    <row r="998" spans="2:21">
      <c r="B998" s="310" t="s">
        <v>4</v>
      </c>
      <c r="C998" s="311">
        <v>654.85</v>
      </c>
      <c r="D998" s="312">
        <f t="shared" ref="D998:D1005" si="1008">100*((C998/651.24))</f>
        <v>100.55432712978319</v>
      </c>
      <c r="E998" s="311">
        <v>788.03</v>
      </c>
      <c r="F998" s="312">
        <f t="shared" si="1003"/>
        <v>182.9394558454824</v>
      </c>
      <c r="G998" s="311">
        <v>792.02</v>
      </c>
      <c r="H998" s="312">
        <f t="shared" si="1004"/>
        <v>183.86572569412203</v>
      </c>
      <c r="I998" s="311">
        <v>895.65</v>
      </c>
      <c r="J998" s="312">
        <f t="shared" si="1005"/>
        <v>207.92320549726065</v>
      </c>
      <c r="K998" s="311">
        <v>1324.82</v>
      </c>
      <c r="L998" s="312">
        <f t="shared" si="1006"/>
        <v>307.55409044479524</v>
      </c>
      <c r="M998" s="311">
        <v>1592.18</v>
      </c>
      <c r="N998" s="313">
        <f t="shared" si="1007"/>
        <v>369.62113473860154</v>
      </c>
      <c r="O998" s="171"/>
      <c r="P998" s="171"/>
      <c r="S998" s="132"/>
      <c r="T998" s="132"/>
      <c r="U998" s="206"/>
    </row>
    <row r="999" spans="2:21">
      <c r="B999" s="310" t="s">
        <v>5</v>
      </c>
      <c r="C999" s="311">
        <v>757.8</v>
      </c>
      <c r="D999" s="312">
        <f t="shared" si="1008"/>
        <v>116.36263128800441</v>
      </c>
      <c r="E999" s="311">
        <v>800.42</v>
      </c>
      <c r="F999" s="312">
        <f t="shared" si="1003"/>
        <v>185.81576748073172</v>
      </c>
      <c r="G999" s="311">
        <v>797.83</v>
      </c>
      <c r="H999" s="312">
        <f t="shared" si="1004"/>
        <v>185.21450459652706</v>
      </c>
      <c r="I999" s="311">
        <v>899.19</v>
      </c>
      <c r="J999" s="312">
        <f t="shared" si="1005"/>
        <v>208.7450088216176</v>
      </c>
      <c r="K999" s="311">
        <v>1393.01</v>
      </c>
      <c r="L999" s="312">
        <f t="shared" si="1006"/>
        <v>323.38425109109482</v>
      </c>
      <c r="M999" s="311">
        <v>1581.6</v>
      </c>
      <c r="N999" s="313">
        <f t="shared" si="1007"/>
        <v>367.16501067880029</v>
      </c>
      <c r="O999" s="171"/>
      <c r="P999" s="171"/>
      <c r="S999" s="132"/>
      <c r="T999" s="132"/>
      <c r="U999" s="206"/>
    </row>
    <row r="1000" spans="2:21">
      <c r="B1000" s="310" t="s">
        <v>6</v>
      </c>
      <c r="C1000" s="311">
        <v>788.88</v>
      </c>
      <c r="D1000" s="312">
        <f t="shared" si="1008"/>
        <v>121.13506541367238</v>
      </c>
      <c r="E1000" s="311">
        <v>795.71</v>
      </c>
      <c r="F1000" s="312">
        <f t="shared" si="1003"/>
        <v>184.72235119323986</v>
      </c>
      <c r="G1000" s="311">
        <v>795.25</v>
      </c>
      <c r="H1000" s="312">
        <f t="shared" si="1004"/>
        <v>184.61556319063979</v>
      </c>
      <c r="I1000" s="311">
        <v>918.15</v>
      </c>
      <c r="J1000" s="312">
        <f t="shared" si="1005"/>
        <v>213.14653171139383</v>
      </c>
      <c r="K1000" s="311">
        <v>1411.37</v>
      </c>
      <c r="L1000" s="312">
        <f t="shared" si="1006"/>
        <v>327.64648528182749</v>
      </c>
      <c r="M1000" s="311">
        <v>1557.97</v>
      </c>
      <c r="N1000" s="313">
        <f t="shared" si="1007"/>
        <v>361.67935741480176</v>
      </c>
      <c r="O1000" s="171"/>
      <c r="P1000" s="171"/>
      <c r="S1000" s="132"/>
      <c r="T1000" s="132"/>
      <c r="U1000" s="206"/>
    </row>
    <row r="1001" spans="2:21">
      <c r="B1001" s="310" t="s">
        <v>7</v>
      </c>
      <c r="C1001" s="311">
        <v>765.66</v>
      </c>
      <c r="D1001" s="312">
        <f t="shared" si="1008"/>
        <v>117.5695596093606</v>
      </c>
      <c r="E1001" s="311">
        <v>794.42</v>
      </c>
      <c r="F1001" s="312">
        <f t="shared" si="1003"/>
        <v>184.42288049029622</v>
      </c>
      <c r="G1001" s="311">
        <v>795.29</v>
      </c>
      <c r="H1001" s="312">
        <f t="shared" si="1004"/>
        <v>184.62484910390938</v>
      </c>
      <c r="I1001" s="311">
        <v>935.59</v>
      </c>
      <c r="J1001" s="312">
        <f t="shared" si="1005"/>
        <v>217.19518989692637</v>
      </c>
      <c r="K1001" s="311">
        <v>1415.04</v>
      </c>
      <c r="L1001" s="312">
        <f t="shared" si="1006"/>
        <v>328.49846782431052</v>
      </c>
      <c r="M1001" s="311">
        <v>1582.43</v>
      </c>
      <c r="N1001" s="313">
        <f t="shared" si="1007"/>
        <v>367.35769337914383</v>
      </c>
      <c r="O1001" s="171"/>
      <c r="P1001" s="171"/>
      <c r="S1001" s="132"/>
      <c r="T1001" s="132"/>
      <c r="U1001" s="206"/>
    </row>
    <row r="1002" spans="2:21">
      <c r="B1002" s="310" t="s">
        <v>8</v>
      </c>
      <c r="C1002" s="311">
        <v>759.01</v>
      </c>
      <c r="D1002" s="312">
        <f t="shared" si="1008"/>
        <v>116.54843068607579</v>
      </c>
      <c r="E1002" s="311">
        <v>803.93</v>
      </c>
      <c r="F1002" s="312">
        <f t="shared" si="1003"/>
        <v>186.63060637013652</v>
      </c>
      <c r="G1002" s="311">
        <v>802.84</v>
      </c>
      <c r="H1002" s="312">
        <f t="shared" si="1004"/>
        <v>186.37756523354074</v>
      </c>
      <c r="I1002" s="311">
        <v>934.72</v>
      </c>
      <c r="J1002" s="312">
        <f t="shared" si="1005"/>
        <v>216.99322128331323</v>
      </c>
      <c r="K1002" s="311">
        <v>1467.25</v>
      </c>
      <c r="L1002" s="312">
        <f t="shared" si="1006"/>
        <v>340.61890611941686</v>
      </c>
      <c r="M1002" s="311">
        <v>1570.09</v>
      </c>
      <c r="N1002" s="313">
        <f t="shared" si="1007"/>
        <v>364.49298913548148</v>
      </c>
      <c r="O1002" s="171"/>
      <c r="P1002" s="171"/>
      <c r="S1002" s="132"/>
      <c r="T1002" s="132"/>
      <c r="U1002" s="206"/>
    </row>
    <row r="1003" spans="2:21">
      <c r="B1003" s="310" t="s">
        <v>9</v>
      </c>
      <c r="C1003" s="311">
        <v>737.46</v>
      </c>
      <c r="D1003" s="312">
        <f t="shared" si="1008"/>
        <v>113.23935876174683</v>
      </c>
      <c r="E1003" s="311">
        <v>804.04</v>
      </c>
      <c r="F1003" s="312">
        <f t="shared" si="1003"/>
        <v>186.65614263162783</v>
      </c>
      <c r="G1003" s="311">
        <v>817.42</v>
      </c>
      <c r="H1003" s="312">
        <f t="shared" si="1004"/>
        <v>189.76228062029901</v>
      </c>
      <c r="I1003" s="311">
        <v>1224.26</v>
      </c>
      <c r="J1003" s="312">
        <f t="shared" si="1005"/>
        <v>284.20930448509614</v>
      </c>
      <c r="K1003" s="311">
        <v>1491.16</v>
      </c>
      <c r="L1003" s="312">
        <f t="shared" si="1006"/>
        <v>346.16956077630238</v>
      </c>
      <c r="M1003" s="311">
        <v>1569.1</v>
      </c>
      <c r="N1003" s="313">
        <f t="shared" si="1007"/>
        <v>364.26316278205962</v>
      </c>
      <c r="O1003" s="171"/>
      <c r="P1003" s="171"/>
      <c r="S1003" s="132"/>
      <c r="T1003" s="132"/>
      <c r="U1003" s="206"/>
    </row>
    <row r="1004" spans="2:21">
      <c r="B1004" s="310" t="s">
        <v>10</v>
      </c>
      <c r="C1004" s="311">
        <v>740.56</v>
      </c>
      <c r="D1004" s="312">
        <f t="shared" si="1008"/>
        <v>113.71537374854124</v>
      </c>
      <c r="E1004" s="311">
        <v>788.97</v>
      </c>
      <c r="F1004" s="312">
        <f t="shared" si="1003"/>
        <v>183.15767480731731</v>
      </c>
      <c r="G1004" s="311">
        <v>841.87</v>
      </c>
      <c r="H1004" s="312">
        <f t="shared" si="1004"/>
        <v>195.43829510632372</v>
      </c>
      <c r="I1004" s="311">
        <v>1224.26</v>
      </c>
      <c r="J1004" s="312">
        <f t="shared" si="1005"/>
        <v>284.20930448509614</v>
      </c>
      <c r="K1004" s="311">
        <v>1500.42</v>
      </c>
      <c r="L1004" s="312">
        <f t="shared" si="1006"/>
        <v>348.31924969820784</v>
      </c>
      <c r="M1004" s="311">
        <v>1583.91</v>
      </c>
      <c r="N1004" s="313">
        <f t="shared" si="1007"/>
        <v>367.70127217011793</v>
      </c>
      <c r="O1004" s="171"/>
      <c r="P1004" s="171"/>
      <c r="S1004" s="132"/>
      <c r="T1004" s="132"/>
      <c r="U1004" s="206"/>
    </row>
    <row r="1005" spans="2:21" ht="15.75" thickBot="1">
      <c r="B1005" s="314" t="s">
        <v>11</v>
      </c>
      <c r="C1005" s="315">
        <v>747.62</v>
      </c>
      <c r="D1005" s="316">
        <f t="shared" si="1008"/>
        <v>114.79945949266015</v>
      </c>
      <c r="E1005" s="315">
        <v>781.9</v>
      </c>
      <c r="F1005" s="316">
        <f t="shared" si="1003"/>
        <v>181.51638963692079</v>
      </c>
      <c r="G1005" s="315">
        <v>847.84</v>
      </c>
      <c r="H1005" s="316">
        <f t="shared" si="1004"/>
        <v>196.82421766180704</v>
      </c>
      <c r="I1005" s="315">
        <v>1124.26</v>
      </c>
      <c r="J1005" s="316">
        <f t="shared" si="1005"/>
        <v>260.99452131117096</v>
      </c>
      <c r="K1005" s="315">
        <v>1502.21</v>
      </c>
      <c r="L1005" s="316">
        <f t="shared" si="1006"/>
        <v>348.73479431702111</v>
      </c>
      <c r="M1005" s="315">
        <v>1576.83</v>
      </c>
      <c r="N1005" s="317">
        <f t="shared" si="1007"/>
        <v>366.05766552140403</v>
      </c>
      <c r="O1005" s="171"/>
      <c r="P1005" s="171"/>
      <c r="S1005" s="132"/>
      <c r="T1005" s="132"/>
      <c r="U1005" s="206"/>
    </row>
    <row r="1006" spans="2:21" ht="15.75" thickBot="1">
      <c r="B1006" s="119"/>
      <c r="C1006" s="118"/>
      <c r="D1006" s="123"/>
      <c r="E1006" s="118"/>
      <c r="F1006" s="123"/>
      <c r="G1006" s="118"/>
      <c r="H1006" s="123"/>
      <c r="I1006" s="118"/>
      <c r="J1006" s="123"/>
      <c r="K1006" s="118"/>
      <c r="L1006" s="123"/>
      <c r="M1006" s="118"/>
      <c r="N1006" s="123"/>
      <c r="O1006" s="123"/>
      <c r="P1006" s="123"/>
      <c r="Q1006" s="118"/>
      <c r="R1006" s="123"/>
      <c r="S1006" s="132"/>
      <c r="T1006" s="132"/>
      <c r="U1006" s="206"/>
    </row>
    <row r="1007" spans="2:21" ht="18.75" thickBot="1">
      <c r="B1007" s="564" t="s">
        <v>335</v>
      </c>
      <c r="C1007" s="484"/>
      <c r="D1007" s="395"/>
      <c r="E1007" s="395"/>
      <c r="F1007" s="395"/>
      <c r="G1007" s="516">
        <v>430.76</v>
      </c>
      <c r="H1007" s="429" t="s">
        <v>45</v>
      </c>
      <c r="I1007" s="395"/>
      <c r="J1007" s="395"/>
      <c r="K1007" s="395"/>
      <c r="L1007" s="395" t="s">
        <v>44</v>
      </c>
      <c r="M1007" s="395"/>
      <c r="N1007" s="563"/>
      <c r="O1007" s="123"/>
      <c r="P1007" s="123"/>
      <c r="Q1007" s="118"/>
      <c r="R1007" s="123"/>
      <c r="S1007" s="132"/>
      <c r="T1007" s="132"/>
      <c r="U1007" s="206"/>
    </row>
    <row r="1008" spans="2:21" ht="15.75" thickBot="1">
      <c r="B1008" s="1306">
        <v>2006</v>
      </c>
      <c r="C1008" s="1307"/>
      <c r="D1008" s="336" t="s">
        <v>15</v>
      </c>
      <c r="E1008" s="336">
        <v>2007</v>
      </c>
      <c r="F1008" s="336" t="s">
        <v>15</v>
      </c>
      <c r="G1008" s="336">
        <v>2008</v>
      </c>
      <c r="H1008" s="336" t="s">
        <v>15</v>
      </c>
      <c r="I1008" s="336">
        <v>2009</v>
      </c>
      <c r="J1008" s="336" t="s">
        <v>15</v>
      </c>
      <c r="K1008" s="336">
        <v>2010</v>
      </c>
      <c r="L1008" s="336" t="s">
        <v>15</v>
      </c>
      <c r="M1008" s="336">
        <v>2011</v>
      </c>
      <c r="N1008" s="354" t="s">
        <v>15</v>
      </c>
      <c r="O1008" s="123"/>
      <c r="P1008" s="123"/>
      <c r="Q1008" s="118"/>
      <c r="R1008" s="123"/>
      <c r="S1008" s="132"/>
      <c r="T1008" s="132"/>
      <c r="U1008" s="206"/>
    </row>
    <row r="1009" spans="2:21">
      <c r="B1009" s="306" t="s">
        <v>0</v>
      </c>
      <c r="C1009" s="307">
        <v>1608.52</v>
      </c>
      <c r="D1009" s="308">
        <f t="shared" ref="D1009:D1020" si="1009">100*C1009/$G$992</f>
        <v>373.4144303092209</v>
      </c>
      <c r="E1009" s="307">
        <v>1722.31</v>
      </c>
      <c r="F1009" s="308">
        <f t="shared" ref="F1009:F1020" si="1010">100*E1009/$G$992</f>
        <v>399.83053208283036</v>
      </c>
      <c r="G1009" s="307">
        <v>1871.9472558646896</v>
      </c>
      <c r="H1009" s="308">
        <f t="shared" ref="H1009:H1020" si="1011">100*G1009/$G$992</f>
        <v>434.56849657922965</v>
      </c>
      <c r="I1009" s="307">
        <v>1932.2748615944545</v>
      </c>
      <c r="J1009" s="308">
        <f t="shared" ref="J1009:J1020" si="1012">100*I1009/$G$992</f>
        <v>448.57341944341505</v>
      </c>
      <c r="K1009" s="307">
        <v>1969.2071273248941</v>
      </c>
      <c r="L1009" s="308">
        <f t="shared" ref="L1009:L1020" si="1013">100*K1009/$G$992</f>
        <v>457.14716485395445</v>
      </c>
      <c r="M1009" s="307">
        <v>2060.2056404385162</v>
      </c>
      <c r="N1009" s="309">
        <f t="shared" ref="N1009:N1020" si="1014">100*M1009/$G$992</f>
        <v>478.27227236477768</v>
      </c>
      <c r="O1009" s="123"/>
      <c r="P1009" s="174">
        <f>+G1015/G1010-1</f>
        <v>1.7544934622717445E-2</v>
      </c>
      <c r="Q1009" s="118"/>
      <c r="R1009" s="123"/>
      <c r="S1009" s="132"/>
      <c r="T1009" s="132"/>
      <c r="U1009" s="206"/>
    </row>
    <row r="1010" spans="2:21">
      <c r="B1010" s="310" t="s">
        <v>1</v>
      </c>
      <c r="C1010" s="311">
        <f>+C1009</f>
        <v>1608.52</v>
      </c>
      <c r="D1010" s="312">
        <f t="shared" si="1009"/>
        <v>373.4144303092209</v>
      </c>
      <c r="E1010" s="311">
        <v>1722.31</v>
      </c>
      <c r="F1010" s="312">
        <f t="shared" si="1010"/>
        <v>399.83053208283036</v>
      </c>
      <c r="G1010" s="311">
        <v>1880.3395652590216</v>
      </c>
      <c r="H1010" s="312">
        <f t="shared" si="1011"/>
        <v>436.51675300840873</v>
      </c>
      <c r="I1010" s="311">
        <v>1930.6268160066045</v>
      </c>
      <c r="J1010" s="312">
        <f t="shared" si="1012"/>
        <v>448.19082923358815</v>
      </c>
      <c r="K1010" s="311">
        <v>1956.987090326106</v>
      </c>
      <c r="L1010" s="312">
        <f t="shared" si="1013"/>
        <v>454.31030976091239</v>
      </c>
      <c r="M1010" s="311">
        <v>2032.6070249613531</v>
      </c>
      <c r="N1010" s="313">
        <f t="shared" si="1014"/>
        <v>471.86531362274889</v>
      </c>
      <c r="O1010" s="123"/>
      <c r="P1010" s="123"/>
      <c r="Q1010" s="118"/>
      <c r="R1010" s="123"/>
      <c r="S1010" s="132"/>
      <c r="T1010" s="132"/>
      <c r="U1010" s="206"/>
    </row>
    <row r="1011" spans="2:21">
      <c r="B1011" s="310" t="s">
        <v>2</v>
      </c>
      <c r="C1011" s="311">
        <f>+C1010</f>
        <v>1608.52</v>
      </c>
      <c r="D1011" s="312">
        <f t="shared" si="1009"/>
        <v>373.4144303092209</v>
      </c>
      <c r="E1011" s="311">
        <v>1767.22</v>
      </c>
      <c r="F1011" s="312">
        <f t="shared" si="1010"/>
        <v>410.25629120624012</v>
      </c>
      <c r="G1011" s="311">
        <v>1884.05466020378</v>
      </c>
      <c r="H1011" s="312">
        <f t="shared" si="1011"/>
        <v>437.37920424453989</v>
      </c>
      <c r="I1011" s="311">
        <v>1929.7021093042104</v>
      </c>
      <c r="J1011" s="312">
        <f t="shared" si="1012"/>
        <v>447.9761605776327</v>
      </c>
      <c r="K1011" s="311">
        <v>1935.0937094608792</v>
      </c>
      <c r="L1011" s="312">
        <f t="shared" si="1013"/>
        <v>449.22780886360829</v>
      </c>
      <c r="M1011" s="311">
        <v>2032.6070249613531</v>
      </c>
      <c r="N1011" s="313">
        <f t="shared" si="1014"/>
        <v>471.86531362274889</v>
      </c>
      <c r="O1011" s="123"/>
      <c r="P1011" s="123"/>
      <c r="Q1011" s="118"/>
      <c r="R1011" s="123"/>
      <c r="S1011" s="132"/>
      <c r="T1011" s="132"/>
      <c r="U1011" s="206"/>
    </row>
    <row r="1012" spans="2:21">
      <c r="B1012" s="310" t="s">
        <v>3</v>
      </c>
      <c r="C1012" s="311">
        <v>1656.39</v>
      </c>
      <c r="D1012" s="312">
        <f t="shared" si="1009"/>
        <v>384.52734701457888</v>
      </c>
      <c r="E1012" s="311">
        <v>1742.11</v>
      </c>
      <c r="F1012" s="312">
        <f t="shared" si="1010"/>
        <v>404.42705915126754</v>
      </c>
      <c r="G1012" s="311">
        <v>1888.1556024099743</v>
      </c>
      <c r="H1012" s="312">
        <f t="shared" si="1011"/>
        <v>438.33122908579588</v>
      </c>
      <c r="I1012" s="311">
        <v>1931.0945891502854</v>
      </c>
      <c r="J1012" s="312">
        <f t="shared" si="1012"/>
        <v>448.29942175463958</v>
      </c>
      <c r="K1012" s="311">
        <v>2093.8764282731167</v>
      </c>
      <c r="L1012" s="312">
        <f t="shared" si="1013"/>
        <v>486.08887275353254</v>
      </c>
      <c r="M1012" s="311">
        <v>2035.0542933881936</v>
      </c>
      <c r="N1012" s="313">
        <f t="shared" si="1014"/>
        <v>472.43344168172388</v>
      </c>
      <c r="O1012" s="123"/>
      <c r="P1012" s="123"/>
      <c r="Q1012" s="118"/>
      <c r="R1012" s="123"/>
      <c r="S1012" s="132"/>
      <c r="T1012" s="132"/>
      <c r="U1012" s="206"/>
    </row>
    <row r="1013" spans="2:21">
      <c r="B1013" s="310" t="s">
        <v>4</v>
      </c>
      <c r="C1013" s="311">
        <v>1672.97</v>
      </c>
      <c r="D1013" s="312">
        <f t="shared" si="1009"/>
        <v>388.37635806481569</v>
      </c>
      <c r="E1013" s="311">
        <v>1775.1</v>
      </c>
      <c r="F1013" s="312">
        <f t="shared" si="1010"/>
        <v>412.08561612034543</v>
      </c>
      <c r="G1013" s="311">
        <v>1896.3478019773493</v>
      </c>
      <c r="H1013" s="312">
        <f t="shared" si="1011"/>
        <v>440.23303045253721</v>
      </c>
      <c r="I1013" s="311">
        <v>1935.7327019233389</v>
      </c>
      <c r="J1013" s="312">
        <f t="shared" si="1012"/>
        <v>449.37614957826611</v>
      </c>
      <c r="K1013" s="311">
        <v>2022.5595633851344</v>
      </c>
      <c r="L1013" s="312">
        <f t="shared" si="1013"/>
        <v>469.53281720334627</v>
      </c>
      <c r="M1013" s="311">
        <v>2035.0542933881936</v>
      </c>
      <c r="N1013" s="313">
        <f t="shared" si="1014"/>
        <v>472.43344168172388</v>
      </c>
      <c r="O1013" s="123"/>
      <c r="P1013" s="123"/>
      <c r="Q1013" s="118"/>
      <c r="R1013" s="123"/>
      <c r="S1013" s="132"/>
      <c r="T1013" s="132"/>
      <c r="U1013" s="206"/>
    </row>
    <row r="1014" spans="2:21">
      <c r="B1014" s="310" t="s">
        <v>5</v>
      </c>
      <c r="C1014" s="311">
        <v>1660.84</v>
      </c>
      <c r="D1014" s="312">
        <f t="shared" si="1009"/>
        <v>385.56040486581855</v>
      </c>
      <c r="E1014" s="311">
        <v>1759.1697959656328</v>
      </c>
      <c r="F1014" s="312">
        <f t="shared" si="1010"/>
        <v>408.38745379460323</v>
      </c>
      <c r="G1014" s="311">
        <v>1901.1</v>
      </c>
      <c r="H1014" s="312">
        <f t="shared" si="1011"/>
        <v>441.33624291949116</v>
      </c>
      <c r="I1014" s="311">
        <v>1936.8296872452554</v>
      </c>
      <c r="J1014" s="312">
        <f t="shared" si="1012"/>
        <v>449.63081234219874</v>
      </c>
      <c r="K1014" s="311">
        <v>2053.1864299289327</v>
      </c>
      <c r="L1014" s="312">
        <f t="shared" si="1013"/>
        <v>476.64277786445649</v>
      </c>
      <c r="M1014" s="311">
        <v>2035.0542933881936</v>
      </c>
      <c r="N1014" s="313">
        <f t="shared" si="1014"/>
        <v>472.43344168172388</v>
      </c>
      <c r="O1014" s="123"/>
      <c r="P1014" s="123"/>
      <c r="Q1014" s="118"/>
      <c r="R1014" s="123"/>
      <c r="S1014" s="132"/>
      <c r="T1014" s="132"/>
      <c r="U1014" s="206"/>
    </row>
    <row r="1015" spans="2:21">
      <c r="B1015" s="310" t="s">
        <v>6</v>
      </c>
      <c r="C1015" s="311">
        <v>1672.8</v>
      </c>
      <c r="D1015" s="312">
        <f t="shared" si="1009"/>
        <v>388.33689293342002</v>
      </c>
      <c r="E1015" s="311">
        <v>1759.1697959656328</v>
      </c>
      <c r="F1015" s="312">
        <f t="shared" si="1010"/>
        <v>408.38745379460323</v>
      </c>
      <c r="G1015" s="311">
        <v>1913.33</v>
      </c>
      <c r="H1015" s="312">
        <f t="shared" si="1011"/>
        <v>444.17541090166219</v>
      </c>
      <c r="I1015" s="311">
        <v>1936.44</v>
      </c>
      <c r="J1015" s="312">
        <f t="shared" si="1012"/>
        <v>449.54034729315629</v>
      </c>
      <c r="K1015" s="311">
        <v>2091.7189396971444</v>
      </c>
      <c r="L1015" s="312">
        <f t="shared" si="1013"/>
        <v>485.58801645861837</v>
      </c>
      <c r="M1015" s="311">
        <v>1996.2665443141871</v>
      </c>
      <c r="N1015" s="313">
        <f t="shared" si="1014"/>
        <v>463.42894983614707</v>
      </c>
      <c r="O1015" s="123"/>
      <c r="P1015" s="123"/>
      <c r="Q1015" s="118"/>
      <c r="R1015" s="123"/>
      <c r="S1015" s="132"/>
      <c r="T1015" s="132"/>
      <c r="U1015" s="206"/>
    </row>
    <row r="1016" spans="2:21">
      <c r="B1016" s="310" t="s">
        <v>7</v>
      </c>
      <c r="C1016" s="311">
        <v>1691.65</v>
      </c>
      <c r="D1016" s="312">
        <f t="shared" si="1009"/>
        <v>392.71287956170488</v>
      </c>
      <c r="E1016" s="311">
        <v>1826.4080994188153</v>
      </c>
      <c r="F1016" s="312">
        <f t="shared" si="1010"/>
        <v>423.99668015108534</v>
      </c>
      <c r="G1016" s="311">
        <v>1924.8681087051721</v>
      </c>
      <c r="H1016" s="312">
        <f t="shared" si="1011"/>
        <v>446.85395781993969</v>
      </c>
      <c r="I1016" s="311">
        <v>1941.0539869189981</v>
      </c>
      <c r="J1016" s="312">
        <f t="shared" si="1012"/>
        <v>450.61147435207499</v>
      </c>
      <c r="K1016" s="311">
        <v>2091.7189396971444</v>
      </c>
      <c r="L1016" s="312">
        <f t="shared" si="1013"/>
        <v>485.58801645861837</v>
      </c>
      <c r="M1016" s="311">
        <v>1974.05</v>
      </c>
      <c r="N1016" s="313">
        <f t="shared" si="1014"/>
        <v>458.27142724486953</v>
      </c>
      <c r="O1016" s="123"/>
      <c r="P1016" s="123"/>
      <c r="Q1016" s="118"/>
      <c r="R1016" s="123"/>
      <c r="S1016" s="132"/>
      <c r="T1016" s="132"/>
      <c r="U1016" s="206"/>
    </row>
    <row r="1017" spans="2:21">
      <c r="B1017" s="310" t="s">
        <v>8</v>
      </c>
      <c r="C1017" s="311">
        <v>1664.71</v>
      </c>
      <c r="D1017" s="312">
        <f t="shared" si="1009"/>
        <v>386.45881697464944</v>
      </c>
      <c r="E1017" s="311">
        <v>1833.5965615880393</v>
      </c>
      <c r="F1017" s="312">
        <f t="shared" si="1010"/>
        <v>425.66546605721038</v>
      </c>
      <c r="G1017" s="311">
        <v>1929.6799302939569</v>
      </c>
      <c r="H1017" s="312">
        <f t="shared" si="1011"/>
        <v>447.97101176849219</v>
      </c>
      <c r="I1017" s="311">
        <v>1946.7844043989774</v>
      </c>
      <c r="J1017" s="312">
        <f t="shared" si="1012"/>
        <v>451.94177834501284</v>
      </c>
      <c r="K1017" s="311">
        <v>2096.1443798903465</v>
      </c>
      <c r="L1017" s="312">
        <f t="shared" si="1013"/>
        <v>486.61537280396198</v>
      </c>
      <c r="M1017" s="311">
        <v>1974.047319989352</v>
      </c>
      <c r="N1017" s="313">
        <f t="shared" si="1014"/>
        <v>458.27080508620855</v>
      </c>
      <c r="O1017" s="123"/>
      <c r="P1017" s="123"/>
      <c r="Q1017" s="118"/>
      <c r="R1017" s="123"/>
      <c r="S1017" s="132"/>
      <c r="T1017" s="132"/>
      <c r="U1017" s="206"/>
    </row>
    <row r="1018" spans="2:21">
      <c r="B1018" s="310" t="s">
        <v>9</v>
      </c>
      <c r="C1018" s="311">
        <v>1678.11</v>
      </c>
      <c r="D1018" s="312">
        <f t="shared" si="1009"/>
        <v>389.56959791995541</v>
      </c>
      <c r="E1018" s="311">
        <v>1844.1647222907757</v>
      </c>
      <c r="F1018" s="312">
        <f t="shared" si="1010"/>
        <v>428.11884164982257</v>
      </c>
      <c r="G1018" s="311">
        <v>1949.0336477998665</v>
      </c>
      <c r="H1018" s="312">
        <f t="shared" si="1011"/>
        <v>452.46393532358309</v>
      </c>
      <c r="I1018" s="311">
        <v>1958.8494602932753</v>
      </c>
      <c r="J1018" s="312">
        <f t="shared" si="1012"/>
        <v>454.74265491068707</v>
      </c>
      <c r="K1018" s="311">
        <v>2096.1443798903465</v>
      </c>
      <c r="L1018" s="312">
        <f t="shared" si="1013"/>
        <v>486.61537280396198</v>
      </c>
      <c r="M1018" s="311">
        <v>1938.964334213297</v>
      </c>
      <c r="N1018" s="313">
        <f t="shared" si="1014"/>
        <v>450.1263660073584</v>
      </c>
      <c r="O1018" s="123"/>
      <c r="P1018" s="123"/>
      <c r="Q1018" s="118"/>
      <c r="R1018" s="123"/>
      <c r="S1018" s="132"/>
      <c r="T1018" s="132"/>
      <c r="U1018" s="206"/>
    </row>
    <row r="1019" spans="2:21">
      <c r="B1019" s="310" t="s">
        <v>10</v>
      </c>
      <c r="C1019" s="311">
        <v>1659.38</v>
      </c>
      <c r="D1019" s="312">
        <f t="shared" si="1009"/>
        <v>385.22146903147927</v>
      </c>
      <c r="E1019" s="311">
        <v>1840.707158736798</v>
      </c>
      <c r="F1019" s="312">
        <f t="shared" si="1010"/>
        <v>427.31617576766598</v>
      </c>
      <c r="G1019" s="311">
        <v>1952.1574719101689</v>
      </c>
      <c r="H1019" s="312">
        <f t="shared" si="1011"/>
        <v>453.1891243175246</v>
      </c>
      <c r="I1019" s="311">
        <v>1963.2882181070684</v>
      </c>
      <c r="J1019" s="312">
        <f t="shared" si="1012"/>
        <v>455.77310291277473</v>
      </c>
      <c r="K1019" s="311">
        <v>2041.4518293807375</v>
      </c>
      <c r="L1019" s="312">
        <f t="shared" si="1013"/>
        <v>473.91861579086674</v>
      </c>
      <c r="M1019" s="311">
        <v>1938.964334213297</v>
      </c>
      <c r="N1019" s="313">
        <f t="shared" si="1014"/>
        <v>450.1263660073584</v>
      </c>
      <c r="O1019" s="123"/>
      <c r="P1019" s="123"/>
      <c r="Q1019" s="118"/>
      <c r="R1019" s="123"/>
      <c r="S1019" s="132"/>
      <c r="T1019" s="132"/>
      <c r="U1019" s="206"/>
    </row>
    <row r="1020" spans="2:21" ht="15.75" thickBot="1">
      <c r="B1020" s="314" t="s">
        <v>11</v>
      </c>
      <c r="C1020" s="315">
        <v>1700.67</v>
      </c>
      <c r="D1020" s="316">
        <f t="shared" si="1009"/>
        <v>394.80685300399296</v>
      </c>
      <c r="E1020" s="315">
        <v>1843.5343629259269</v>
      </c>
      <c r="F1020" s="316">
        <f t="shared" si="1010"/>
        <v>427.97250509005642</v>
      </c>
      <c r="G1020" s="315">
        <v>1951.3513341886544</v>
      </c>
      <c r="H1020" s="316">
        <f t="shared" si="1011"/>
        <v>453.00198119339177</v>
      </c>
      <c r="I1020" s="315">
        <v>1969.7032967476246</v>
      </c>
      <c r="J1020" s="316">
        <f t="shared" si="1012"/>
        <v>457.26234950961668</v>
      </c>
      <c r="K1020" s="315">
        <v>2041.4518293807375</v>
      </c>
      <c r="L1020" s="316">
        <f t="shared" si="1013"/>
        <v>473.91861579086674</v>
      </c>
      <c r="M1020" s="315">
        <v>1938.964334213297</v>
      </c>
      <c r="N1020" s="317">
        <f t="shared" si="1014"/>
        <v>450.1263660073584</v>
      </c>
      <c r="O1020" s="123"/>
      <c r="P1020" s="123"/>
      <c r="Q1020" s="118"/>
      <c r="R1020" s="123"/>
      <c r="S1020" s="132"/>
      <c r="T1020" s="132"/>
      <c r="U1020" s="206"/>
    </row>
    <row r="1021" spans="2:21">
      <c r="B1021" s="119"/>
      <c r="C1021" s="118"/>
      <c r="D1021" s="124"/>
      <c r="E1021" s="118"/>
      <c r="F1021" s="119"/>
      <c r="G1021" s="122"/>
      <c r="H1021" s="119"/>
      <c r="I1021" s="122"/>
      <c r="J1021" s="132"/>
      <c r="K1021" s="122"/>
      <c r="L1021" s="132"/>
      <c r="M1021" s="122"/>
      <c r="N1021" s="132"/>
      <c r="O1021" s="132"/>
      <c r="P1021" s="132"/>
      <c r="Q1021" s="180"/>
      <c r="R1021" s="123"/>
      <c r="S1021" s="132"/>
      <c r="T1021" s="132"/>
      <c r="U1021" s="206"/>
    </row>
    <row r="1022" spans="2:21" ht="15.75">
      <c r="B1022" s="1304" t="s">
        <v>336</v>
      </c>
      <c r="C1022" s="1305"/>
      <c r="D1022" s="1305"/>
      <c r="E1022" s="1305"/>
      <c r="F1022" s="1305"/>
      <c r="G1022" s="1305"/>
      <c r="H1022" s="1305"/>
      <c r="I1022" s="1305"/>
      <c r="J1022" s="1305"/>
      <c r="K1022" s="1305"/>
      <c r="L1022" s="1305"/>
      <c r="M1022" s="1305"/>
      <c r="N1022" s="1305"/>
      <c r="O1022" s="1305"/>
      <c r="P1022" s="1305"/>
      <c r="Q1022" s="1305"/>
      <c r="R1022" s="1305"/>
      <c r="S1022" s="1305"/>
      <c r="T1022" s="1305"/>
      <c r="U1022" s="206"/>
    </row>
    <row r="1023" spans="2:21" ht="15.75" thickBot="1">
      <c r="B1023" s="1314">
        <v>2012</v>
      </c>
      <c r="C1023" s="1315"/>
      <c r="D1023" s="649" t="s">
        <v>15</v>
      </c>
      <c r="E1023" s="650">
        <v>2013</v>
      </c>
      <c r="F1023" s="649" t="s">
        <v>15</v>
      </c>
      <c r="G1023" s="650">
        <v>2014</v>
      </c>
      <c r="H1023" s="649" t="s">
        <v>15</v>
      </c>
      <c r="I1023" s="650">
        <v>2015</v>
      </c>
      <c r="J1023" s="649" t="s">
        <v>15</v>
      </c>
      <c r="K1023" s="650">
        <v>2016</v>
      </c>
      <c r="L1023" s="649" t="s">
        <v>15</v>
      </c>
      <c r="M1023" s="650">
        <v>2017</v>
      </c>
      <c r="N1023" s="649" t="s">
        <v>15</v>
      </c>
      <c r="O1023" s="650">
        <v>2018</v>
      </c>
      <c r="P1023" s="649" t="s">
        <v>15</v>
      </c>
      <c r="Q1023" s="650">
        <v>2019</v>
      </c>
      <c r="R1023" s="649" t="s">
        <v>15</v>
      </c>
      <c r="S1023" s="1266">
        <v>2020</v>
      </c>
      <c r="T1023" s="649" t="s">
        <v>15</v>
      </c>
      <c r="U1023" s="206"/>
    </row>
    <row r="1024" spans="2:21">
      <c r="B1024" s="306" t="s">
        <v>0</v>
      </c>
      <c r="C1024" s="307">
        <v>1987.6127411560935</v>
      </c>
      <c r="D1024" s="309">
        <f t="shared" ref="D1024:D1031" si="1015">100*C1024/$G$992</f>
        <v>461.41998819669737</v>
      </c>
      <c r="E1024" s="657">
        <f>[9]PLANCUSr!$H$159</f>
        <v>2219.5708099257977</v>
      </c>
      <c r="F1024" s="655">
        <f t="shared" ref="F1024:F1029" si="1016">100*E1024/$G$992</f>
        <v>515.26855091600839</v>
      </c>
      <c r="G1024" s="657">
        <f>[10]PLANCUSr!$H$159</f>
        <v>2207.359592010012</v>
      </c>
      <c r="H1024" s="655">
        <f t="shared" ref="H1024:H1029" si="1017">100*G1024/$G$992</f>
        <v>512.43374315396318</v>
      </c>
      <c r="I1024" s="657">
        <f>[11]PLANCUSr!$H$166</f>
        <v>2077.4174059908241</v>
      </c>
      <c r="J1024" s="655">
        <f t="shared" ref="J1024:J1029" si="1018">100*I1024/$G$992</f>
        <v>482.26794641815025</v>
      </c>
      <c r="K1024" s="657">
        <f>[12]PLANCUSr!$H$167</f>
        <v>2067.2672641938957</v>
      </c>
      <c r="L1024" s="655">
        <f t="shared" ref="L1024" si="1019">100*K1024/$G$992</f>
        <v>479.91161300814741</v>
      </c>
      <c r="M1024" s="657">
        <f>[13]PLANCUSr!$H$167</f>
        <v>2157.8197571358792</v>
      </c>
      <c r="N1024" s="655">
        <f t="shared" ref="N1024" si="1020">100*M1024/$G$992</f>
        <v>500.93317790321277</v>
      </c>
      <c r="O1024" s="657">
        <f>[14]PLANCUSr!$H$167</f>
        <v>2550.4765201705927</v>
      </c>
      <c r="P1024" s="655">
        <f t="shared" ref="P1024" si="1021">100*O1024/$G$992</f>
        <v>592.08759405947455</v>
      </c>
      <c r="Q1024" s="657">
        <f>[15]PLANCUSr!$H$167</f>
        <v>2622.0897070753799</v>
      </c>
      <c r="R1024" s="655">
        <f t="shared" ref="R1024" si="1022">100*Q1024/$G$992</f>
        <v>608.71244012335876</v>
      </c>
      <c r="S1024" s="657">
        <f>[16]PLANCUSr!$H$167</f>
        <v>3006.3888921954926</v>
      </c>
      <c r="T1024" s="655">
        <f t="shared" ref="T1024" si="1023">100*S1024/$G$992</f>
        <v>697.92666268815412</v>
      </c>
      <c r="U1024" s="206"/>
    </row>
    <row r="1025" spans="2:21">
      <c r="B1025" s="310" t="s">
        <v>1</v>
      </c>
      <c r="C1025" s="311">
        <v>1990.0600095829341</v>
      </c>
      <c r="D1025" s="313">
        <f t="shared" si="1015"/>
        <v>461.98811625567237</v>
      </c>
      <c r="E1025" s="662">
        <f>[17]PLANCUSr!$H$159</f>
        <v>2200.8598841785683</v>
      </c>
      <c r="F1025" s="313">
        <f t="shared" si="1016"/>
        <v>510.92485007395493</v>
      </c>
      <c r="G1025" s="662">
        <f>[18]PLANCUSr!$H$159</f>
        <v>2207.359592010012</v>
      </c>
      <c r="H1025" s="313">
        <f t="shared" si="1017"/>
        <v>512.43374315396318</v>
      </c>
      <c r="I1025" s="662">
        <f>[19]PLANCUSr!$H$166</f>
        <v>2120.9203083531324</v>
      </c>
      <c r="J1025" s="313">
        <f t="shared" si="1018"/>
        <v>492.36705087592458</v>
      </c>
      <c r="K1025" s="662">
        <f>[20]PLANCUSr!$H$167</f>
        <v>2053.5147337696817</v>
      </c>
      <c r="L1025" s="313">
        <f t="shared" ref="L1025" si="1024">100*K1025/$G$992</f>
        <v>476.71899288923805</v>
      </c>
      <c r="M1025" s="662">
        <f>[21]PLANCUSr!$H$167</f>
        <v>2164.5931122563766</v>
      </c>
      <c r="N1025" s="313">
        <f t="shared" ref="N1025" si="1025">100*M1025/$G$992</f>
        <v>502.50559760803617</v>
      </c>
      <c r="O1025" s="662">
        <f>[22]PLANCUSr!$H$167</f>
        <v>2541.9817598813506</v>
      </c>
      <c r="P1025" s="313">
        <f t="shared" ref="P1025" si="1026">100*O1025/$G$992</f>
        <v>590.11555387718238</v>
      </c>
      <c r="Q1025" s="662">
        <f>[23]PLANCUSr!$H$167</f>
        <v>2661.9488155776207</v>
      </c>
      <c r="R1025" s="313">
        <f t="shared" ref="R1025" si="1027">100*Q1025/$G$992</f>
        <v>617.96564573721355</v>
      </c>
      <c r="S1025" s="662">
        <f>[24]PLANCUSr!$H$167</f>
        <v>2980.9877378898095</v>
      </c>
      <c r="T1025" s="313">
        <f t="shared" ref="T1025" si="1028">100*S1025/$G$992</f>
        <v>692.02983979241571</v>
      </c>
      <c r="U1025" s="206"/>
    </row>
    <row r="1026" spans="2:21">
      <c r="B1026" s="310" t="s">
        <v>2</v>
      </c>
      <c r="C1026" s="311">
        <v>2160.2402235279137</v>
      </c>
      <c r="D1026" s="313">
        <f t="shared" si="1015"/>
        <v>501.49508392792126</v>
      </c>
      <c r="E1026" s="662">
        <f>[25]PLANCUSr!$H$159</f>
        <v>2200.8598841785683</v>
      </c>
      <c r="F1026" s="313">
        <f t="shared" si="1016"/>
        <v>510.92485007395493</v>
      </c>
      <c r="G1026" s="662">
        <f>[26]PLANCUSr!$H$159</f>
        <v>2208.6503453996961</v>
      </c>
      <c r="H1026" s="313">
        <f t="shared" si="1017"/>
        <v>512.73338875468846</v>
      </c>
      <c r="I1026" s="662">
        <f>[27]PLANCUSr!$H$166</f>
        <v>2141.6239476924416</v>
      </c>
      <c r="J1026" s="313">
        <f t="shared" si="1018"/>
        <v>497.17335585765659</v>
      </c>
      <c r="K1026" s="662">
        <f>[28]PLANCUSr!$H$167</f>
        <v>2070.9158947146047</v>
      </c>
      <c r="L1026" s="313">
        <f t="shared" ref="L1026" si="1029">100*K1026/$G$992</f>
        <v>480.75863467234763</v>
      </c>
      <c r="M1026" s="662">
        <f>[29]PLANCUSr!$H$167</f>
        <v>2158.0297872773922</v>
      </c>
      <c r="N1026" s="313">
        <f t="shared" ref="N1026" si="1030">100*M1026/$G$992</f>
        <v>500.98193594516488</v>
      </c>
      <c r="O1026" s="662">
        <f>[30]PLANCUSr!$H$167</f>
        <v>2524.4309115304491</v>
      </c>
      <c r="P1026" s="313">
        <f t="shared" ref="P1026" si="1031">100*O1026/$G$992</f>
        <v>586.04116248733612</v>
      </c>
      <c r="Q1026" s="662">
        <f>[31]PLANCUSr!$H$167</f>
        <v>2723.4703394345102</v>
      </c>
      <c r="R1026" s="313">
        <f t="shared" ref="R1026" si="1032">100*Q1026/$G$992</f>
        <v>632.247734105885</v>
      </c>
      <c r="S1026" s="662">
        <f>[32]PLANCUSr!$H$167</f>
        <v>2986.8349021858194</v>
      </c>
      <c r="T1026" s="313">
        <f t="shared" ref="T1026" si="1033">100*S1026/$G$992</f>
        <v>693.38724630555748</v>
      </c>
      <c r="U1026" s="206"/>
    </row>
    <row r="1027" spans="2:21">
      <c r="B1027" s="310" t="s">
        <v>3</v>
      </c>
      <c r="C1027" s="311">
        <v>2160.2402235279137</v>
      </c>
      <c r="D1027" s="313">
        <f t="shared" si="1015"/>
        <v>501.49508392792126</v>
      </c>
      <c r="E1027" s="662">
        <f>[33]PLANCUSr!$H$159</f>
        <v>2208.11036790562</v>
      </c>
      <c r="F1027" s="313">
        <f t="shared" si="1016"/>
        <v>512.60803415025077</v>
      </c>
      <c r="G1027" s="662">
        <f>[34]PLANCUSr!$H$159</f>
        <v>2175.4501335211003</v>
      </c>
      <c r="H1027" s="313">
        <f t="shared" si="1017"/>
        <v>505.0260315537887</v>
      </c>
      <c r="I1027" s="662">
        <f>[35]PLANCUSr!$H$166</f>
        <v>2151.0448988061717</v>
      </c>
      <c r="J1027" s="313">
        <f t="shared" si="1018"/>
        <v>499.36040923163051</v>
      </c>
      <c r="K1027" s="662">
        <f>[36]PLANCUSr!$H$167</f>
        <v>2085.084275463551</v>
      </c>
      <c r="L1027" s="313">
        <f t="shared" ref="L1027" si="1034">100*K1027/$G$992</f>
        <v>484.04779354247165</v>
      </c>
      <c r="M1027" s="662">
        <f>[37]PLANCUSr!$H$167</f>
        <v>2151.2751430826424</v>
      </c>
      <c r="N1027" s="313">
        <f t="shared" ref="N1027" si="1035">100*M1027/$G$992</f>
        <v>499.4138599411836</v>
      </c>
      <c r="O1027" s="662">
        <f>[38]PLANCUSr!$H$167</f>
        <v>2511.59881764888</v>
      </c>
      <c r="P1027" s="313">
        <f t="shared" ref="P1027" si="1036">100*O1027/$G$992</f>
        <v>583.06221971605532</v>
      </c>
      <c r="Q1027" s="662">
        <f>[39]PLANCUSr!$H$167</f>
        <v>2713.8903454519291</v>
      </c>
      <c r="R1027" s="313">
        <f t="shared" ref="R1027" si="1037">100*Q1027/$G$992</f>
        <v>630.02375927475373</v>
      </c>
      <c r="S1027" s="662">
        <f>[40]PLANCUSr!$H$167</f>
        <v>3002.280771390157</v>
      </c>
      <c r="T1027" s="313">
        <f t="shared" ref="T1027" si="1038">100*S1027/$G$992</f>
        <v>696.97297135067254</v>
      </c>
      <c r="U1027" s="206"/>
    </row>
    <row r="1028" spans="2:21">
      <c r="B1028" s="310" t="s">
        <v>4</v>
      </c>
      <c r="C1028" s="311">
        <v>2160.2402235279137</v>
      </c>
      <c r="D1028" s="313">
        <f t="shared" si="1015"/>
        <v>501.49508392792126</v>
      </c>
      <c r="E1028" s="662">
        <f>[41]PLANCUSr!$H$159</f>
        <v>2200.8598841785683</v>
      </c>
      <c r="F1028" s="313">
        <f t="shared" si="1016"/>
        <v>510.92485007395493</v>
      </c>
      <c r="G1028" s="662">
        <f>[42]PLANCUSr!$H$159</f>
        <v>2152.528338897338</v>
      </c>
      <c r="H1028" s="313">
        <f t="shared" si="1017"/>
        <v>499.70478663230989</v>
      </c>
      <c r="I1028" s="662">
        <f>[43]PLANCUSr!$H$166</f>
        <v>2114.9234566511454</v>
      </c>
      <c r="J1028" s="313">
        <f t="shared" si="1018"/>
        <v>490.97489475604641</v>
      </c>
      <c r="K1028" s="662">
        <f>[44]PLANCUSr!$H$167</f>
        <v>2104.8336575897515</v>
      </c>
      <c r="L1028" s="313">
        <f t="shared" ref="L1028" si="1039">100*K1028/$G$992</f>
        <v>488.63256978125906</v>
      </c>
      <c r="M1028" s="662">
        <f>[45]PLANCUSr!$H$167</f>
        <v>2149.0391874558482</v>
      </c>
      <c r="N1028" s="313">
        <f t="shared" ref="N1028" si="1040">100*M1028/$G$992</f>
        <v>498.89478769055813</v>
      </c>
      <c r="O1028" s="662">
        <f>[46]PLANCUSr!$H$167</f>
        <v>2514.2089917906187</v>
      </c>
      <c r="P1028" s="313">
        <f t="shared" ref="P1028" si="1041">100*O1028/$G$992</f>
        <v>583.66816598352182</v>
      </c>
      <c r="Q1028" s="662">
        <f>[47]PLANCUSr!$H$167</f>
        <v>2714.1897202638847</v>
      </c>
      <c r="R1028" s="313">
        <f t="shared" ref="R1028" si="1042">100*Q1028/$G$992</f>
        <v>630.09325848822652</v>
      </c>
      <c r="S1028" s="662">
        <f>[48]PLANCUSr!$H$167</f>
        <v>3070.1382931533249</v>
      </c>
      <c r="T1028" s="313">
        <f t="shared" ref="T1028" si="1043">100*S1028/$G$992</f>
        <v>712.72594789519098</v>
      </c>
      <c r="U1028" s="206"/>
    </row>
    <row r="1029" spans="2:21">
      <c r="B1029" s="310" t="s">
        <v>5</v>
      </c>
      <c r="C1029" s="311">
        <v>2160.2402235279137</v>
      </c>
      <c r="D1029" s="313">
        <f t="shared" si="1015"/>
        <v>501.49508392792126</v>
      </c>
      <c r="E1029" s="662">
        <f>[49]PLANCUSr!$H$159</f>
        <v>2200.8598841785683</v>
      </c>
      <c r="F1029" s="313">
        <f t="shared" si="1016"/>
        <v>510.92485007395493</v>
      </c>
      <c r="G1029" s="662">
        <f>[50]PLANCUSr!$H$159</f>
        <v>2145.6892453252249</v>
      </c>
      <c r="H1029" s="313">
        <f t="shared" si="1017"/>
        <v>498.11710588848194</v>
      </c>
      <c r="I1029" s="662">
        <f>[51]PLANCUSr!$H$166</f>
        <v>2149.1363843799541</v>
      </c>
      <c r="J1029" s="313">
        <f t="shared" si="1018"/>
        <v>498.91735174574103</v>
      </c>
      <c r="K1029" s="662">
        <f>[52]PLANCUSr!$H$167</f>
        <v>2114.263964166355</v>
      </c>
      <c r="L1029" s="313">
        <f t="shared" ref="L1029" si="1044">100*K1029/$G$992</f>
        <v>490.82179500565394</v>
      </c>
      <c r="M1029" s="662">
        <f>[53]PLANCUSr!$H$167</f>
        <v>2146.7658099775599</v>
      </c>
      <c r="N1029" s="313">
        <f t="shared" ref="N1029" si="1045">100*M1029/$G$992</f>
        <v>498.36702803824863</v>
      </c>
      <c r="O1029" s="662">
        <f>[54]PLANCUSr!$H$167</f>
        <v>2515.4345574270624</v>
      </c>
      <c r="P1029" s="313">
        <f t="shared" ref="P1029" si="1046">100*O1029/$G$992</f>
        <v>583.95267838867642</v>
      </c>
      <c r="Q1029" s="662">
        <f>[55]PLANCUSr!$H$167</f>
        <v>2737.6812875395317</v>
      </c>
      <c r="R1029" s="313">
        <f t="shared" ref="R1029" si="1047">100*Q1029/$G$992</f>
        <v>635.54677489542473</v>
      </c>
      <c r="S1029" s="662">
        <f>[56]PLANCUSr!$H$167</f>
        <v>3101.2732735967134</v>
      </c>
      <c r="T1029" s="313">
        <f t="shared" ref="T1029" si="1048">100*S1029/$G$992</f>
        <v>719.95386609636773</v>
      </c>
      <c r="U1029" s="206"/>
    </row>
    <row r="1030" spans="2:21">
      <c r="B1030" s="310" t="s">
        <v>6</v>
      </c>
      <c r="C1030" s="311">
        <f>[57]PLANCUSr!$H$159</f>
        <v>2207.8862355035403</v>
      </c>
      <c r="D1030" s="313">
        <f t="shared" si="1015"/>
        <v>512.55600229908543</v>
      </c>
      <c r="E1030" s="662">
        <f>[58]PLANCUSr!$H$159</f>
        <v>2211.3122750741145</v>
      </c>
      <c r="F1030" s="313">
        <f t="shared" ref="F1030:F1035" si="1049">100*E1030/$G$992</f>
        <v>513.35134995684712</v>
      </c>
      <c r="G1030" s="662">
        <f>[59]PLANCUSr!$H$159</f>
        <v>2129.7658985001353</v>
      </c>
      <c r="H1030" s="313">
        <f t="shared" ref="H1030:H1035" si="1050">100*G1030/$G$992</f>
        <v>494.42053544900529</v>
      </c>
      <c r="I1030" s="662">
        <f>[60]PLANCUSr!$H$166</f>
        <v>2129.4524904938694</v>
      </c>
      <c r="J1030" s="313">
        <f t="shared" ref="J1030:J1035" si="1051">100*I1030/$G$992</f>
        <v>494.34777845990095</v>
      </c>
      <c r="K1030" s="662">
        <f>[61]PLANCUSr!$H$167</f>
        <v>2124.774261156947</v>
      </c>
      <c r="L1030" s="313">
        <f t="shared" ref="L1030" si="1052">100*K1030/$G$992</f>
        <v>493.26173766295545</v>
      </c>
      <c r="M1030" s="662">
        <f>[62]PLANCUSr!$H$167</f>
        <v>2457.1800681240952</v>
      </c>
      <c r="N1030" s="313">
        <f t="shared" ref="N1030" si="1053">100*M1030/$G$992</f>
        <v>570.42902500791513</v>
      </c>
      <c r="O1030" s="662">
        <f>[63]PLANCUSr!$H$167</f>
        <v>2537.5695825860344</v>
      </c>
      <c r="P1030" s="313">
        <f t="shared" ref="P1030" si="1054">100*O1030/$G$992</f>
        <v>589.09127648482547</v>
      </c>
      <c r="Q1030" s="662">
        <f>[64]PLANCUSr!$H$167</f>
        <v>2748.1500504951059</v>
      </c>
      <c r="R1030" s="313">
        <f t="shared" ref="R1030" si="1055">100*Q1030/$G$992</f>
        <v>637.97707551655344</v>
      </c>
      <c r="S1030" s="662">
        <f>[65]PLANCUSr!$H$167</f>
        <v>3103.4063191318983</v>
      </c>
      <c r="T1030" s="313">
        <f t="shared" ref="T1030" si="1056">100*S1030/$G$992</f>
        <v>720.44904799236201</v>
      </c>
      <c r="U1030" s="206"/>
    </row>
    <row r="1031" spans="2:21">
      <c r="B1031" s="310" t="s">
        <v>7</v>
      </c>
      <c r="C1031" s="311">
        <f>[66]PLANCUSr!$H$159</f>
        <v>2207.8862355035403</v>
      </c>
      <c r="D1031" s="313">
        <f t="shared" si="1015"/>
        <v>512.55600229908543</v>
      </c>
      <c r="E1031" s="662">
        <f>[67]PLANCUSr!$H$159</f>
        <v>2215.9900065109218</v>
      </c>
      <c r="F1031" s="313">
        <f t="shared" si="1049"/>
        <v>514.43727516736044</v>
      </c>
      <c r="G1031" s="662">
        <f>[68]PLANCUSr!$H$159</f>
        <v>2112.5331358869371</v>
      </c>
      <c r="H1031" s="313">
        <f t="shared" si="1050"/>
        <v>490.41998697347412</v>
      </c>
      <c r="I1031" s="662">
        <f>[69]PLANCUSr!$H$166</f>
        <v>2111.0409395585953</v>
      </c>
      <c r="J1031" s="313">
        <f t="shared" si="1051"/>
        <v>490.07357683132028</v>
      </c>
      <c r="K1031" s="662">
        <f>[70]PLANCUSr!$H$167</f>
        <v>2134.3168332880336</v>
      </c>
      <c r="L1031" s="313">
        <f t="shared" ref="L1031" si="1057">100*K1031/$G$992</f>
        <v>495.47702509240264</v>
      </c>
      <c r="M1031" s="662">
        <f>[71]PLANCUSr!$H$167</f>
        <v>2482.579248365334</v>
      </c>
      <c r="N1031" s="313">
        <f t="shared" ref="N1031" si="1058">100*M1031/$G$992</f>
        <v>576.32538962887315</v>
      </c>
      <c r="O1031" s="662">
        <f>[72]PLANCUSr!$H$167</f>
        <v>2523.6954311444638</v>
      </c>
      <c r="P1031" s="313">
        <f t="shared" ref="P1031" si="1059">100*O1031/$G$992</f>
        <v>585.8704223104429</v>
      </c>
      <c r="Q1031" s="662">
        <f>[73]PLANCUSr!$H$167</f>
        <v>2810.2329021244132</v>
      </c>
      <c r="R1031" s="313">
        <f t="shared" ref="R1031" si="1060">100*Q1031/$G$992</f>
        <v>652.3894749104868</v>
      </c>
      <c r="S1031" s="662">
        <f>[74]PLANCUSr!$H$167</f>
        <v>3047.1238544842322</v>
      </c>
      <c r="T1031" s="313">
        <f t="shared" ref="T1031" si="1061">100*S1031/$G$992</f>
        <v>707.38319585946522</v>
      </c>
      <c r="U1031" s="206"/>
    </row>
    <row r="1032" spans="2:21">
      <c r="B1032" s="310" t="s">
        <v>8</v>
      </c>
      <c r="C1032" s="311">
        <f>[75]PLANCUSr!$H$159</f>
        <v>2202.3359959279001</v>
      </c>
      <c r="D1032" s="313">
        <f>100*C1032/$G$992</f>
        <v>511.26752621596717</v>
      </c>
      <c r="E1032" s="662">
        <f>[76]PLANCUSr!$H$159</f>
        <v>2215.9900065109218</v>
      </c>
      <c r="F1032" s="313">
        <f t="shared" si="1049"/>
        <v>514.43727516736044</v>
      </c>
      <c r="G1032" s="662">
        <f>[77]PLANCUSr!$H$166</f>
        <v>2135.3557875671199</v>
      </c>
      <c r="H1032" s="313">
        <f t="shared" si="1050"/>
        <v>495.71821607556876</v>
      </c>
      <c r="I1032" s="662">
        <f>[78]PLANCUSr!$H$166</f>
        <v>2098.8788378228965</v>
      </c>
      <c r="J1032" s="313">
        <f t="shared" si="1051"/>
        <v>487.25017128398559</v>
      </c>
      <c r="K1032" s="662">
        <f>[79]PLANCUSr!$H$167</f>
        <v>2132.8199592282549</v>
      </c>
      <c r="L1032" s="313">
        <f t="shared" ref="L1032" si="1062">100*K1032/$G$992</f>
        <v>495.12952902503832</v>
      </c>
      <c r="M1032" s="662">
        <f>[80]PLANCUSr!$H$167</f>
        <v>2497.6696099804744</v>
      </c>
      <c r="N1032" s="313">
        <f t="shared" ref="N1032" si="1063">100*M1032/$G$992</f>
        <v>579.82858435798926</v>
      </c>
      <c r="O1032" s="662">
        <f>[81]PLANCUSr!$H$167</f>
        <v>2545.5872142687222</v>
      </c>
      <c r="P1032" s="313">
        <f t="shared" ref="P1032" si="1064">100*O1032/$G$992</f>
        <v>590.95255229564543</v>
      </c>
      <c r="Q1032" s="662">
        <f>[82]PLANCUSr!$H$167</f>
        <v>2828.0831252872699</v>
      </c>
      <c r="R1032" s="313">
        <f t="shared" ref="R1032" si="1065">100*Q1032/$G$992</f>
        <v>656.53336551380585</v>
      </c>
      <c r="S1032" s="662">
        <f>[123]PLANCUSr!$H$167</f>
        <v>3119.3480278685379</v>
      </c>
      <c r="T1032" s="313">
        <f t="shared" ref="T1032" si="1066">100*S1032/$G$992</f>
        <v>724.14988110979152</v>
      </c>
      <c r="U1032" s="206"/>
    </row>
    <row r="1033" spans="2:21">
      <c r="B1033" s="310" t="s">
        <v>9</v>
      </c>
      <c r="C1033" s="311">
        <f>[83]PLANCUSr!$H$159</f>
        <v>2202.3359959279001</v>
      </c>
      <c r="D1033" s="313">
        <f>100*C1033/$G$992</f>
        <v>511.26752621596717</v>
      </c>
      <c r="E1033" s="662">
        <f>[84]PLANCUSr!$H$159</f>
        <v>2215.9900065109218</v>
      </c>
      <c r="F1033" s="313">
        <f t="shared" si="1049"/>
        <v>514.43727516736044</v>
      </c>
      <c r="G1033" s="662">
        <f>[85]PLANCUSr!$H$166</f>
        <v>2128.8537408699572</v>
      </c>
      <c r="H1033" s="313">
        <f t="shared" si="1050"/>
        <v>494.20878003295508</v>
      </c>
      <c r="I1033" s="662">
        <f>[86]PLANCUSr!$H$166</f>
        <v>2098.8788378228965</v>
      </c>
      <c r="J1033" s="313">
        <f t="shared" si="1051"/>
        <v>487.25017128398559</v>
      </c>
      <c r="K1033" s="662">
        <f>[87]PLANCUSr!$H$167</f>
        <v>2143.0548356119893</v>
      </c>
      <c r="L1033" s="313">
        <f t="shared" ref="L1033" si="1067">100*K1033/$G$992</f>
        <v>497.50553338564151</v>
      </c>
      <c r="M1033" s="662">
        <f>[88]PLANCUSr!$H$167</f>
        <v>2497.6696099804744</v>
      </c>
      <c r="N1033" s="313">
        <f t="shared" ref="N1033" si="1068">100*M1033/$G$992</f>
        <v>579.82858435798926</v>
      </c>
      <c r="O1033" s="662">
        <f>[89]PLANCUSr!$H$167</f>
        <v>2569.4184510969289</v>
      </c>
      <c r="P1033" s="313">
        <f t="shared" ref="P1033" si="1069">100*O1033/$G$992</f>
        <v>596.48492225297821</v>
      </c>
      <c r="Q1033" s="662">
        <f>[90]PLANCUSr!$H$167</f>
        <v>2890.2595315453141</v>
      </c>
      <c r="R1033" s="313">
        <f t="shared" ref="R1033" si="1070">100*Q1033/$G$992</f>
        <v>670.96748341194962</v>
      </c>
      <c r="S1033" s="662"/>
      <c r="T1033" s="313"/>
      <c r="U1033" s="206"/>
    </row>
    <row r="1034" spans="2:21">
      <c r="B1034" s="310" t="s">
        <v>10</v>
      </c>
      <c r="C1034" s="311">
        <f>[91]PLANCUSr!$H$159</f>
        <v>2216.7641710637135</v>
      </c>
      <c r="D1034" s="313">
        <f>100*C1034/$G$992</f>
        <v>514.61699578970035</v>
      </c>
      <c r="E1034" s="662">
        <f>[92]PLANCUSr!$H$159</f>
        <v>2215.9900065109218</v>
      </c>
      <c r="F1034" s="313">
        <f t="shared" si="1049"/>
        <v>514.43727516736044</v>
      </c>
      <c r="G1034" s="662">
        <f>[93]PLANCUSr!$H$166</f>
        <v>2111.5461345537706</v>
      </c>
      <c r="H1034" s="313">
        <f t="shared" si="1050"/>
        <v>490.19085675405574</v>
      </c>
      <c r="I1034" s="662">
        <f>[94]PLANCUSr!$H$166</f>
        <v>2025.0268138985821</v>
      </c>
      <c r="J1034" s="313">
        <f t="shared" si="1051"/>
        <v>470.10558406040076</v>
      </c>
      <c r="K1034" s="662">
        <f>[95]PLANCUSr!$H$167</f>
        <v>2148.3032502840874</v>
      </c>
      <c r="L1034" s="313">
        <f t="shared" ref="L1034" si="1071">100*K1034/$G$992</f>
        <v>498.72394147183758</v>
      </c>
      <c r="M1034" s="662">
        <f>[96]PLANCUSr!$H$167</f>
        <v>2513.9153712605066</v>
      </c>
      <c r="N1034" s="313">
        <f t="shared" ref="N1034" si="1072">100*M1034/$G$992</f>
        <v>583.60000261410221</v>
      </c>
      <c r="O1034" s="662">
        <f>[97]PLANCUSr!$H$167</f>
        <v>2569.4184510969289</v>
      </c>
      <c r="P1034" s="313">
        <f t="shared" ref="P1034" si="1073">100*O1034/$G$992</f>
        <v>596.48492225297821</v>
      </c>
      <c r="Q1034" s="662">
        <f>[98]PLANCUSr!$H$167</f>
        <v>2944.0721539943447</v>
      </c>
      <c r="R1034" s="313">
        <f t="shared" ref="R1034" si="1074">100*Q1034/$G$992</f>
        <v>683.45996703369508</v>
      </c>
      <c r="S1034" s="662"/>
      <c r="T1034" s="313"/>
      <c r="U1034" s="206"/>
    </row>
    <row r="1035" spans="2:21" ht="15.75" thickBot="1">
      <c r="B1035" s="314" t="s">
        <v>11</v>
      </c>
      <c r="C1035" s="315">
        <f>[99]PLANCUSr!$H$159</f>
        <v>2216.7641710637135</v>
      </c>
      <c r="D1035" s="317">
        <f>100*C1035/$G$992</f>
        <v>514.61699578970035</v>
      </c>
      <c r="E1035" s="682">
        <f>[100]PLANCUSr!$H$159</f>
        <v>2215.9900065109218</v>
      </c>
      <c r="F1035" s="317">
        <f t="shared" si="1049"/>
        <v>514.43727516736044</v>
      </c>
      <c r="G1035" s="682">
        <f>[101]PLANCUSr!$H$166</f>
        <v>2092.5171230688384</v>
      </c>
      <c r="H1035" s="317">
        <f t="shared" si="1050"/>
        <v>485.77331299768741</v>
      </c>
      <c r="I1035" s="682">
        <f>[102]PLANCUSr!$H$166</f>
        <v>2031.6691925388484</v>
      </c>
      <c r="J1035" s="317">
        <f t="shared" si="1051"/>
        <v>471.64759785932966</v>
      </c>
      <c r="K1035" s="682">
        <f>[103]PLANCUSr!$H$167</f>
        <v>2164.432068278199</v>
      </c>
      <c r="L1035" s="317">
        <f t="shared" ref="L1035" si="1075">100*K1035/$G$992</f>
        <v>502.46821159768757</v>
      </c>
      <c r="M1035" s="682">
        <f>[104]PLANCUSr!$H$167</f>
        <v>2524.2063804214827</v>
      </c>
      <c r="N1035" s="317">
        <f t="shared" ref="N1035" si="1076">100*M1035/$G$992</f>
        <v>585.98903807723161</v>
      </c>
      <c r="O1035" s="682">
        <f>[105]PLANCUSr!$H$167</f>
        <v>2579.0171560052577</v>
      </c>
      <c r="P1035" s="317">
        <f t="shared" ref="P1035" si="1077">100*O1035/$G$992</f>
        <v>598.71324078495161</v>
      </c>
      <c r="Q1035" s="682">
        <f>[106]PLANCUSr!$H$167</f>
        <v>2983.1125005659392</v>
      </c>
      <c r="R1035" s="317">
        <f t="shared" ref="R1035" si="1078">100*Q1035/$G$992</f>
        <v>692.52309884063959</v>
      </c>
      <c r="S1035" s="682"/>
      <c r="T1035" s="317"/>
      <c r="U1035" s="206"/>
    </row>
    <row r="1036" spans="2:21">
      <c r="B1036" s="119"/>
      <c r="C1036" s="118"/>
      <c r="D1036" s="123"/>
      <c r="E1036" s="118"/>
      <c r="F1036" s="119"/>
      <c r="G1036" s="122"/>
      <c r="H1036" s="119"/>
      <c r="I1036" s="122"/>
      <c r="J1036" s="132"/>
      <c r="K1036" s="122"/>
      <c r="L1036" s="132"/>
      <c r="M1036" s="122"/>
      <c r="N1036" s="132"/>
      <c r="O1036" s="132"/>
      <c r="P1036" s="132"/>
      <c r="Q1036" s="180"/>
      <c r="R1036" s="123"/>
      <c r="S1036" s="132"/>
      <c r="T1036" s="132"/>
      <c r="U1036" s="206"/>
    </row>
    <row r="1037" spans="2:21">
      <c r="B1037" s="144"/>
      <c r="C1037" s="159"/>
      <c r="D1037" s="160"/>
      <c r="E1037" s="159"/>
      <c r="F1037" s="144"/>
      <c r="G1037" s="161"/>
      <c r="H1037" s="144"/>
      <c r="I1037" s="161"/>
      <c r="J1037" s="148"/>
      <c r="K1037" s="161"/>
      <c r="L1037" s="148"/>
      <c r="M1037" s="161"/>
      <c r="N1037" s="148"/>
      <c r="O1037" s="132"/>
      <c r="P1037" s="132"/>
      <c r="Q1037" s="180"/>
      <c r="R1037" s="123"/>
      <c r="S1037" s="132"/>
      <c r="T1037" s="132"/>
      <c r="U1037" s="206"/>
    </row>
    <row r="1038" spans="2:21" ht="15.75" thickBot="1">
      <c r="B1038" s="119"/>
      <c r="C1038" s="118"/>
      <c r="D1038" s="124"/>
      <c r="E1038" s="118"/>
      <c r="F1038" s="119"/>
      <c r="G1038" s="122"/>
      <c r="H1038" s="119"/>
      <c r="I1038" s="122"/>
      <c r="J1038" s="132"/>
      <c r="K1038" s="122"/>
      <c r="L1038" s="132"/>
      <c r="M1038" s="122"/>
      <c r="N1038" s="132"/>
      <c r="O1038" s="132"/>
      <c r="P1038" s="132"/>
      <c r="Q1038" s="180"/>
      <c r="R1038" s="123"/>
      <c r="S1038" s="132"/>
      <c r="T1038" s="132"/>
      <c r="U1038" s="206"/>
    </row>
    <row r="1039" spans="2:21" ht="16.5" thickBot="1">
      <c r="B1039" s="565" t="s">
        <v>303</v>
      </c>
      <c r="C1039" s="484"/>
      <c r="D1039" s="395"/>
      <c r="E1039" s="395"/>
      <c r="F1039" s="395"/>
      <c r="G1039" s="389"/>
      <c r="H1039" s="566">
        <v>9.08</v>
      </c>
      <c r="I1039" s="429" t="s">
        <v>137</v>
      </c>
      <c r="J1039" s="395"/>
      <c r="K1039" s="476"/>
      <c r="L1039" s="567"/>
      <c r="M1039" s="173"/>
      <c r="N1039" s="132"/>
      <c r="O1039" s="132"/>
      <c r="P1039" s="132"/>
      <c r="Q1039" s="180"/>
      <c r="R1039" s="123"/>
      <c r="S1039" s="132"/>
      <c r="T1039" s="132"/>
      <c r="U1039" s="206"/>
    </row>
    <row r="1040" spans="2:21" ht="15.75" thickBot="1">
      <c r="B1040" s="1306">
        <v>2000</v>
      </c>
      <c r="C1040" s="1307"/>
      <c r="D1040" s="336" t="s">
        <v>15</v>
      </c>
      <c r="E1040" s="336">
        <v>2001</v>
      </c>
      <c r="F1040" s="336" t="s">
        <v>15</v>
      </c>
      <c r="G1040" s="336">
        <v>2002</v>
      </c>
      <c r="H1040" s="336" t="s">
        <v>15</v>
      </c>
      <c r="I1040" s="336">
        <v>2003</v>
      </c>
      <c r="J1040" s="336" t="s">
        <v>15</v>
      </c>
      <c r="K1040" s="336">
        <v>2004</v>
      </c>
      <c r="L1040" s="354" t="s">
        <v>15</v>
      </c>
      <c r="M1040" s="173"/>
      <c r="N1040" s="132"/>
      <c r="O1040" s="132"/>
      <c r="P1040" s="132"/>
      <c r="Q1040" s="180"/>
      <c r="R1040" s="123"/>
      <c r="S1040" s="132"/>
      <c r="T1040" s="132"/>
      <c r="U1040" s="206"/>
    </row>
    <row r="1041" spans="2:20">
      <c r="B1041" s="306" t="s">
        <v>0</v>
      </c>
      <c r="C1041" s="307"/>
      <c r="D1041" s="308"/>
      <c r="E1041" s="307">
        <v>9.09</v>
      </c>
      <c r="F1041" s="308">
        <f t="shared" ref="F1041:F1052" si="1079">100*E1041/$H$1039</f>
        <v>100.1101321585903</v>
      </c>
      <c r="G1041" s="307">
        <v>9.09</v>
      </c>
      <c r="H1041" s="308">
        <f t="shared" ref="H1041:H1052" si="1080">100*G1041/$H$1039</f>
        <v>100.1101321585903</v>
      </c>
      <c r="I1041" s="308">
        <v>9.09</v>
      </c>
      <c r="J1041" s="308">
        <f t="shared" ref="J1041:J1052" si="1081">100*I1041/$H$1039</f>
        <v>100.1101321585903</v>
      </c>
      <c r="K1041" s="308">
        <v>9.1</v>
      </c>
      <c r="L1041" s="309">
        <f t="shared" ref="L1041:L1047" si="1082">100*K1041/$H$1039</f>
        <v>100.22026431718062</v>
      </c>
      <c r="M1041" s="173"/>
      <c r="N1041" s="132"/>
      <c r="O1041" s="132"/>
      <c r="P1041" s="132"/>
      <c r="Q1041" s="180"/>
      <c r="R1041" s="123"/>
      <c r="S1041" s="119"/>
      <c r="T1041" s="132"/>
    </row>
    <row r="1042" spans="2:20">
      <c r="B1042" s="310" t="s">
        <v>1</v>
      </c>
      <c r="C1042" s="311"/>
      <c r="D1042" s="312"/>
      <c r="E1042" s="311">
        <v>9.09</v>
      </c>
      <c r="F1042" s="312">
        <f t="shared" si="1079"/>
        <v>100.1101321585903</v>
      </c>
      <c r="G1042" s="311">
        <v>9.09</v>
      </c>
      <c r="H1042" s="312">
        <f t="shared" si="1080"/>
        <v>100.1101321585903</v>
      </c>
      <c r="I1042" s="311">
        <v>9.09</v>
      </c>
      <c r="J1042" s="312">
        <f t="shared" si="1081"/>
        <v>100.1101321585903</v>
      </c>
      <c r="K1042" s="311">
        <v>9.1</v>
      </c>
      <c r="L1042" s="313">
        <f t="shared" si="1082"/>
        <v>100.22026431718062</v>
      </c>
      <c r="M1042" s="173"/>
      <c r="N1042" s="132"/>
      <c r="O1042" s="132"/>
      <c r="P1042" s="132"/>
      <c r="Q1042" s="180"/>
      <c r="R1042" s="123"/>
      <c r="S1042" s="119"/>
      <c r="T1042" s="132"/>
    </row>
    <row r="1043" spans="2:20">
      <c r="B1043" s="310" t="s">
        <v>2</v>
      </c>
      <c r="C1043" s="311"/>
      <c r="D1043" s="312"/>
      <c r="E1043" s="311">
        <v>9.09</v>
      </c>
      <c r="F1043" s="312">
        <f t="shared" si="1079"/>
        <v>100.1101321585903</v>
      </c>
      <c r="G1043" s="311">
        <v>9.09</v>
      </c>
      <c r="H1043" s="312">
        <f t="shared" si="1080"/>
        <v>100.1101321585903</v>
      </c>
      <c r="I1043" s="311">
        <v>9.09</v>
      </c>
      <c r="J1043" s="312">
        <f t="shared" si="1081"/>
        <v>100.1101321585903</v>
      </c>
      <c r="K1043" s="311">
        <v>9.1</v>
      </c>
      <c r="L1043" s="313">
        <f t="shared" si="1082"/>
        <v>100.22026431718062</v>
      </c>
      <c r="M1043" s="173"/>
      <c r="N1043" s="132"/>
      <c r="O1043" s="132"/>
      <c r="P1043" s="132"/>
      <c r="Q1043" s="180"/>
      <c r="R1043" s="123"/>
      <c r="S1043" s="119"/>
      <c r="T1043" s="132"/>
    </row>
    <row r="1044" spans="2:20">
      <c r="B1044" s="310" t="s">
        <v>3</v>
      </c>
      <c r="C1044" s="311">
        <v>9.08</v>
      </c>
      <c r="D1044" s="312">
        <v>100</v>
      </c>
      <c r="E1044" s="311">
        <v>9.09</v>
      </c>
      <c r="F1044" s="312">
        <f t="shared" si="1079"/>
        <v>100.1101321585903</v>
      </c>
      <c r="G1044" s="311">
        <v>9.09</v>
      </c>
      <c r="H1044" s="312">
        <f t="shared" si="1080"/>
        <v>100.1101321585903</v>
      </c>
      <c r="I1044" s="311">
        <v>9.09</v>
      </c>
      <c r="J1044" s="312">
        <f t="shared" si="1081"/>
        <v>100.1101321585903</v>
      </c>
      <c r="K1044" s="311">
        <v>9.1</v>
      </c>
      <c r="L1044" s="313">
        <f t="shared" si="1082"/>
        <v>100.22026431718062</v>
      </c>
      <c r="M1044" s="173"/>
      <c r="N1044" s="132"/>
      <c r="O1044" s="132"/>
      <c r="P1044" s="132"/>
      <c r="Q1044" s="180"/>
      <c r="R1044" s="123"/>
      <c r="S1044" s="119"/>
      <c r="T1044" s="132"/>
    </row>
    <row r="1045" spans="2:20">
      <c r="B1045" s="310" t="s">
        <v>4</v>
      </c>
      <c r="C1045" s="311">
        <v>9.08</v>
      </c>
      <c r="D1045" s="312">
        <f t="shared" ref="D1045:D1052" si="1083">100*((C1045/9.08))</f>
        <v>100</v>
      </c>
      <c r="E1045" s="311">
        <v>9.09</v>
      </c>
      <c r="F1045" s="312">
        <f t="shared" si="1079"/>
        <v>100.1101321585903</v>
      </c>
      <c r="G1045" s="311">
        <v>9.09</v>
      </c>
      <c r="H1045" s="312">
        <f t="shared" si="1080"/>
        <v>100.1101321585903</v>
      </c>
      <c r="I1045" s="311">
        <v>9.09</v>
      </c>
      <c r="J1045" s="312">
        <f t="shared" si="1081"/>
        <v>100.1101321585903</v>
      </c>
      <c r="K1045" s="311">
        <v>9.1</v>
      </c>
      <c r="L1045" s="313">
        <f t="shared" si="1082"/>
        <v>100.22026431718062</v>
      </c>
      <c r="M1045" s="173"/>
      <c r="N1045" s="132"/>
      <c r="O1045" s="132"/>
      <c r="P1045" s="132"/>
      <c r="Q1045" s="180"/>
      <c r="R1045" s="123"/>
      <c r="S1045" s="119"/>
      <c r="T1045" s="132"/>
    </row>
    <row r="1046" spans="2:20">
      <c r="B1046" s="310" t="s">
        <v>5</v>
      </c>
      <c r="C1046" s="311">
        <v>9.08</v>
      </c>
      <c r="D1046" s="312">
        <f t="shared" si="1083"/>
        <v>100</v>
      </c>
      <c r="E1046" s="311">
        <v>9.09</v>
      </c>
      <c r="F1046" s="312">
        <f t="shared" si="1079"/>
        <v>100.1101321585903</v>
      </c>
      <c r="G1046" s="311">
        <v>9.09</v>
      </c>
      <c r="H1046" s="312">
        <f t="shared" si="1080"/>
        <v>100.1101321585903</v>
      </c>
      <c r="I1046" s="311">
        <v>9.09</v>
      </c>
      <c r="J1046" s="312">
        <f t="shared" si="1081"/>
        <v>100.1101321585903</v>
      </c>
      <c r="K1046" s="311">
        <v>9.1</v>
      </c>
      <c r="L1046" s="313">
        <f t="shared" si="1082"/>
        <v>100.22026431718062</v>
      </c>
      <c r="M1046" s="173"/>
      <c r="N1046" s="132"/>
      <c r="O1046" s="132"/>
      <c r="P1046" s="132"/>
      <c r="Q1046" s="180"/>
      <c r="R1046" s="123"/>
      <c r="S1046" s="119"/>
      <c r="T1046" s="132"/>
    </row>
    <row r="1047" spans="2:20">
      <c r="B1047" s="310" t="s">
        <v>6</v>
      </c>
      <c r="C1047" s="311">
        <v>9.08</v>
      </c>
      <c r="D1047" s="312">
        <f t="shared" si="1083"/>
        <v>100</v>
      </c>
      <c r="E1047" s="311">
        <v>9.09</v>
      </c>
      <c r="F1047" s="312">
        <f t="shared" si="1079"/>
        <v>100.1101321585903</v>
      </c>
      <c r="G1047" s="311">
        <v>9.09</v>
      </c>
      <c r="H1047" s="312">
        <f t="shared" si="1080"/>
        <v>100.1101321585903</v>
      </c>
      <c r="I1047" s="311">
        <v>9.09</v>
      </c>
      <c r="J1047" s="312">
        <f t="shared" si="1081"/>
        <v>100.1101321585903</v>
      </c>
      <c r="K1047" s="311">
        <v>9.1</v>
      </c>
      <c r="L1047" s="313">
        <f t="shared" si="1082"/>
        <v>100.22026431718062</v>
      </c>
      <c r="M1047" s="173"/>
      <c r="N1047" s="132"/>
      <c r="O1047" s="132"/>
      <c r="P1047" s="132"/>
      <c r="Q1047" s="180"/>
      <c r="R1047" s="123"/>
      <c r="S1047" s="119"/>
      <c r="T1047" s="132"/>
    </row>
    <row r="1048" spans="2:20">
      <c r="B1048" s="310" t="s">
        <v>7</v>
      </c>
      <c r="C1048" s="311">
        <v>9.08</v>
      </c>
      <c r="D1048" s="312">
        <f t="shared" si="1083"/>
        <v>100</v>
      </c>
      <c r="E1048" s="311">
        <v>9.09</v>
      </c>
      <c r="F1048" s="312">
        <f t="shared" si="1079"/>
        <v>100.1101321585903</v>
      </c>
      <c r="G1048" s="311">
        <v>9.09</v>
      </c>
      <c r="H1048" s="312">
        <f t="shared" si="1080"/>
        <v>100.1101321585903</v>
      </c>
      <c r="I1048" s="311">
        <v>9.1</v>
      </c>
      <c r="J1048" s="312">
        <f t="shared" si="1081"/>
        <v>100.22026431718062</v>
      </c>
      <c r="K1048" s="311" t="s">
        <v>164</v>
      </c>
      <c r="L1048" s="346"/>
      <c r="M1048" s="173"/>
      <c r="N1048" s="132"/>
      <c r="O1048" s="132"/>
      <c r="P1048" s="132"/>
      <c r="Q1048" s="180"/>
      <c r="R1048" s="123"/>
      <c r="S1048" s="119"/>
      <c r="T1048" s="132"/>
    </row>
    <row r="1049" spans="2:20">
      <c r="B1049" s="310" t="s">
        <v>8</v>
      </c>
      <c r="C1049" s="311">
        <v>9.08</v>
      </c>
      <c r="D1049" s="312">
        <f t="shared" si="1083"/>
        <v>100</v>
      </c>
      <c r="E1049" s="311">
        <v>9.09</v>
      </c>
      <c r="F1049" s="312">
        <f t="shared" si="1079"/>
        <v>100.1101321585903</v>
      </c>
      <c r="G1049" s="311">
        <v>9.09</v>
      </c>
      <c r="H1049" s="312">
        <f t="shared" si="1080"/>
        <v>100.1101321585903</v>
      </c>
      <c r="I1049" s="311">
        <v>9.1</v>
      </c>
      <c r="J1049" s="312">
        <f t="shared" si="1081"/>
        <v>100.22026431718062</v>
      </c>
      <c r="K1049" s="311"/>
      <c r="L1049" s="346"/>
      <c r="M1049" s="173"/>
      <c r="N1049" s="132"/>
      <c r="O1049" s="132"/>
      <c r="P1049" s="132"/>
      <c r="Q1049" s="180"/>
      <c r="R1049" s="123"/>
      <c r="S1049" s="119"/>
      <c r="T1049" s="132"/>
    </row>
    <row r="1050" spans="2:20">
      <c r="B1050" s="310" t="s">
        <v>9</v>
      </c>
      <c r="C1050" s="311">
        <v>9.08</v>
      </c>
      <c r="D1050" s="312">
        <f t="shared" si="1083"/>
        <v>100</v>
      </c>
      <c r="E1050" s="311">
        <v>9.09</v>
      </c>
      <c r="F1050" s="312">
        <f t="shared" si="1079"/>
        <v>100.1101321585903</v>
      </c>
      <c r="G1050" s="311">
        <v>9.09</v>
      </c>
      <c r="H1050" s="312">
        <f t="shared" si="1080"/>
        <v>100.1101321585903</v>
      </c>
      <c r="I1050" s="311">
        <v>9.1</v>
      </c>
      <c r="J1050" s="312">
        <f t="shared" si="1081"/>
        <v>100.22026431718062</v>
      </c>
      <c r="K1050" s="311"/>
      <c r="L1050" s="346"/>
      <c r="M1050" s="173"/>
      <c r="N1050" s="132"/>
      <c r="O1050" s="132"/>
      <c r="P1050" s="132"/>
      <c r="Q1050" s="180"/>
      <c r="R1050" s="123"/>
      <c r="S1050" s="119"/>
      <c r="T1050" s="132"/>
    </row>
    <row r="1051" spans="2:20">
      <c r="B1051" s="310" t="s">
        <v>10</v>
      </c>
      <c r="C1051" s="311">
        <v>9.08</v>
      </c>
      <c r="D1051" s="312">
        <f t="shared" si="1083"/>
        <v>100</v>
      </c>
      <c r="E1051" s="311">
        <v>9.09</v>
      </c>
      <c r="F1051" s="312">
        <f t="shared" si="1079"/>
        <v>100.1101321585903</v>
      </c>
      <c r="G1051" s="311">
        <v>9.09</v>
      </c>
      <c r="H1051" s="312">
        <f t="shared" si="1080"/>
        <v>100.1101321585903</v>
      </c>
      <c r="I1051" s="311">
        <v>9.1</v>
      </c>
      <c r="J1051" s="312">
        <f t="shared" si="1081"/>
        <v>100.22026431718062</v>
      </c>
      <c r="K1051" s="311"/>
      <c r="L1051" s="346"/>
      <c r="M1051" s="173"/>
      <c r="N1051" s="132"/>
      <c r="O1051" s="132"/>
      <c r="P1051" s="132"/>
      <c r="Q1051" s="180"/>
      <c r="R1051" s="123"/>
      <c r="S1051" s="119"/>
      <c r="T1051" s="132"/>
    </row>
    <row r="1052" spans="2:20" ht="15.75" thickBot="1">
      <c r="B1052" s="314" t="s">
        <v>11</v>
      </c>
      <c r="C1052" s="315">
        <v>9.08</v>
      </c>
      <c r="D1052" s="316">
        <f t="shared" si="1083"/>
        <v>100</v>
      </c>
      <c r="E1052" s="315">
        <v>9.09</v>
      </c>
      <c r="F1052" s="316">
        <f t="shared" si="1079"/>
        <v>100.1101321585903</v>
      </c>
      <c r="G1052" s="315">
        <v>9.09</v>
      </c>
      <c r="H1052" s="316">
        <f t="shared" si="1080"/>
        <v>100.1101321585903</v>
      </c>
      <c r="I1052" s="315">
        <v>9.1</v>
      </c>
      <c r="J1052" s="316">
        <f t="shared" si="1081"/>
        <v>100.22026431718062</v>
      </c>
      <c r="K1052" s="315"/>
      <c r="L1052" s="349"/>
      <c r="M1052" s="173"/>
      <c r="N1052" s="132"/>
      <c r="O1052" s="132"/>
      <c r="P1052" s="132"/>
      <c r="Q1052" s="180"/>
      <c r="R1052" s="123"/>
      <c r="S1052" s="119"/>
      <c r="T1052" s="132"/>
    </row>
    <row r="1053" spans="2:20">
      <c r="B1053" s="119"/>
      <c r="C1053" s="118"/>
      <c r="D1053" s="123"/>
      <c r="E1053" s="118"/>
      <c r="F1053" s="123"/>
      <c r="G1053" s="118"/>
      <c r="H1053" s="123"/>
      <c r="I1053" s="118"/>
      <c r="J1053" s="132"/>
      <c r="K1053" s="118"/>
      <c r="L1053" s="132"/>
      <c r="M1053" s="122"/>
      <c r="N1053" s="132"/>
      <c r="O1053" s="132"/>
      <c r="P1053" s="132"/>
      <c r="Q1053" s="180"/>
      <c r="R1053" s="123"/>
      <c r="S1053" s="119"/>
      <c r="T1053" s="132"/>
    </row>
    <row r="1054" spans="2:20">
      <c r="B1054" s="198"/>
      <c r="C1054" s="199"/>
      <c r="D1054" s="200"/>
      <c r="E1054" s="199"/>
      <c r="F1054" s="200"/>
      <c r="G1054" s="199"/>
      <c r="H1054" s="200"/>
      <c r="I1054" s="199"/>
      <c r="J1054" s="201"/>
      <c r="K1054" s="199"/>
      <c r="L1054" s="201"/>
      <c r="M1054" s="202"/>
      <c r="N1054" s="201"/>
      <c r="O1054" s="132"/>
      <c r="P1054" s="132"/>
      <c r="Q1054" s="180"/>
      <c r="R1054" s="123"/>
      <c r="S1054" s="119"/>
      <c r="T1054" s="132"/>
    </row>
    <row r="1055" spans="2:20" ht="15.75" thickBot="1">
      <c r="C1055" s="118"/>
      <c r="D1055" s="123"/>
      <c r="E1055" s="118"/>
      <c r="F1055" s="123"/>
      <c r="G1055" s="118"/>
      <c r="H1055" s="123"/>
      <c r="I1055" s="118"/>
      <c r="J1055" s="132"/>
      <c r="K1055" s="122"/>
      <c r="L1055" s="132"/>
      <c r="M1055" s="122"/>
      <c r="N1055" s="132"/>
      <c r="O1055" s="132"/>
      <c r="P1055" s="132"/>
      <c r="Q1055" s="180"/>
      <c r="R1055" s="123"/>
      <c r="S1055" s="119"/>
      <c r="T1055" s="132"/>
    </row>
    <row r="1056" spans="2:20" ht="24" thickBot="1">
      <c r="B1056" s="576"/>
      <c r="C1056" s="577"/>
      <c r="D1056" s="578" t="s">
        <v>91</v>
      </c>
      <c r="E1056" s="579"/>
      <c r="F1056" s="580"/>
      <c r="G1056" s="581"/>
      <c r="H1056" s="580"/>
      <c r="I1056" s="581"/>
      <c r="J1056" s="580"/>
      <c r="K1056" s="581"/>
      <c r="L1056" s="580"/>
      <c r="M1056" s="581"/>
      <c r="N1056" s="582"/>
      <c r="O1056" s="132"/>
      <c r="P1056" s="132"/>
      <c r="Q1056" s="180"/>
      <c r="R1056" s="123"/>
      <c r="S1056" s="119"/>
      <c r="T1056" s="132"/>
    </row>
    <row r="1057" spans="2:20" ht="21" thickBot="1">
      <c r="B1057" s="568" t="s">
        <v>36</v>
      </c>
      <c r="C1057" s="569"/>
      <c r="D1057" s="569"/>
      <c r="E1057" s="570">
        <v>40650</v>
      </c>
      <c r="F1057" s="571" t="s">
        <v>75</v>
      </c>
      <c r="G1057" s="571"/>
      <c r="H1057" s="569"/>
      <c r="I1057" s="569"/>
      <c r="J1057" s="569"/>
      <c r="K1057" s="569"/>
      <c r="L1057" s="569"/>
      <c r="M1057" s="569"/>
      <c r="N1057" s="572"/>
      <c r="O1057" s="119"/>
      <c r="P1057" s="119"/>
      <c r="Q1057" s="177"/>
      <c r="R1057" s="119"/>
      <c r="S1057" s="119"/>
      <c r="T1057" s="132"/>
    </row>
    <row r="1058" spans="2:20" ht="15.75" thickBot="1">
      <c r="B1058" s="1306">
        <v>2000</v>
      </c>
      <c r="C1058" s="1307"/>
      <c r="D1058" s="336" t="s">
        <v>15</v>
      </c>
      <c r="E1058" s="336">
        <v>2001</v>
      </c>
      <c r="F1058" s="336" t="s">
        <v>15</v>
      </c>
      <c r="G1058" s="336">
        <v>2002</v>
      </c>
      <c r="H1058" s="336" t="s">
        <v>15</v>
      </c>
      <c r="I1058" s="336">
        <v>2003</v>
      </c>
      <c r="J1058" s="336" t="s">
        <v>15</v>
      </c>
      <c r="K1058" s="336">
        <v>2004</v>
      </c>
      <c r="L1058" s="336" t="s">
        <v>15</v>
      </c>
      <c r="M1058" s="336">
        <v>2005</v>
      </c>
      <c r="N1058" s="354" t="s">
        <v>15</v>
      </c>
      <c r="O1058" s="124"/>
      <c r="P1058" s="124"/>
      <c r="Q1058" s="180"/>
      <c r="R1058" s="124"/>
      <c r="S1058" s="119"/>
      <c r="T1058" s="132"/>
    </row>
    <row r="1059" spans="2:20">
      <c r="B1059" s="306" t="s">
        <v>0</v>
      </c>
      <c r="C1059" s="388"/>
      <c r="D1059" s="307"/>
      <c r="E1059" s="307">
        <v>42650</v>
      </c>
      <c r="F1059" s="307">
        <f t="shared" ref="F1059:F1070" si="1084">100*E1059/$E$1057</f>
        <v>104.920049200492</v>
      </c>
      <c r="G1059" s="307">
        <v>44260</v>
      </c>
      <c r="H1059" s="307">
        <f t="shared" ref="H1059:H1070" si="1085">100*G1059/$E$1057</f>
        <v>108.88068880688807</v>
      </c>
      <c r="I1059" s="307">
        <v>50080</v>
      </c>
      <c r="J1059" s="307">
        <f t="shared" ref="J1059:J1070" si="1086">100*I1059/$E$1057</f>
        <v>123.1980319803198</v>
      </c>
      <c r="K1059" s="307">
        <v>62200.6</v>
      </c>
      <c r="L1059" s="307">
        <f t="shared" ref="L1059:L1070" si="1087">100*K1059/$E$1057</f>
        <v>153.01500615006151</v>
      </c>
      <c r="M1059" s="307">
        <v>70737.259999999995</v>
      </c>
      <c r="N1059" s="573">
        <f t="shared" ref="N1059:N1070" si="1088">100*M1059/$E$1057</f>
        <v>174.01539975399751</v>
      </c>
      <c r="O1059" s="118"/>
      <c r="P1059" s="118"/>
      <c r="Q1059" s="180"/>
      <c r="R1059" s="123"/>
      <c r="S1059" s="119"/>
      <c r="T1059" s="132"/>
    </row>
    <row r="1060" spans="2:20">
      <c r="B1060" s="310" t="s">
        <v>1</v>
      </c>
      <c r="C1060" s="385"/>
      <c r="D1060" s="311"/>
      <c r="E1060" s="311">
        <v>43225</v>
      </c>
      <c r="F1060" s="311">
        <f t="shared" si="1084"/>
        <v>106.33456334563346</v>
      </c>
      <c r="G1060" s="311">
        <v>45000</v>
      </c>
      <c r="H1060" s="311">
        <f t="shared" si="1085"/>
        <v>110.70110701107011</v>
      </c>
      <c r="I1060" s="311">
        <v>52498.6</v>
      </c>
      <c r="J1060" s="311">
        <f t="shared" si="1086"/>
        <v>129.14784747847477</v>
      </c>
      <c r="K1060" s="311">
        <v>64260</v>
      </c>
      <c r="L1060" s="311">
        <f t="shared" si="1087"/>
        <v>158.08118081180811</v>
      </c>
      <c r="M1060" s="311">
        <v>71730.880000000005</v>
      </c>
      <c r="N1060" s="574">
        <f t="shared" si="1088"/>
        <v>176.45972939729398</v>
      </c>
      <c r="O1060" s="118"/>
      <c r="P1060" s="118"/>
      <c r="Q1060" s="180"/>
      <c r="R1060" s="123"/>
      <c r="S1060" s="119"/>
      <c r="T1060" s="132"/>
    </row>
    <row r="1061" spans="2:20">
      <c r="B1061" s="310" t="s">
        <v>2</v>
      </c>
      <c r="C1061" s="385"/>
      <c r="D1061" s="311"/>
      <c r="E1061" s="311">
        <v>43020</v>
      </c>
      <c r="F1061" s="311">
        <f t="shared" si="1084"/>
        <v>105.83025830258302</v>
      </c>
      <c r="G1061" s="311">
        <v>44740</v>
      </c>
      <c r="H1061" s="311">
        <f t="shared" si="1085"/>
        <v>110.06150061500615</v>
      </c>
      <c r="I1061" s="311">
        <v>53712.4</v>
      </c>
      <c r="J1061" s="311">
        <f t="shared" si="1086"/>
        <v>132.13382533825339</v>
      </c>
      <c r="K1061" s="311">
        <v>65526</v>
      </c>
      <c r="L1061" s="311">
        <f t="shared" si="1087"/>
        <v>161.19557195571954</v>
      </c>
      <c r="M1061" s="311">
        <v>72457.14</v>
      </c>
      <c r="N1061" s="574">
        <f t="shared" si="1088"/>
        <v>178.24634686346863</v>
      </c>
      <c r="O1061" s="118"/>
      <c r="P1061" s="118"/>
      <c r="Q1061" s="180"/>
      <c r="R1061" s="123"/>
      <c r="S1061" s="119"/>
      <c r="T1061" s="132"/>
    </row>
    <row r="1062" spans="2:20">
      <c r="B1062" s="310" t="s">
        <v>3</v>
      </c>
      <c r="C1062" s="385">
        <v>40650</v>
      </c>
      <c r="D1062" s="311">
        <v>100</v>
      </c>
      <c r="E1062" s="311">
        <v>44200</v>
      </c>
      <c r="F1062" s="311">
        <f t="shared" si="1084"/>
        <v>108.7330873308733</v>
      </c>
      <c r="G1062" s="311">
        <v>45000</v>
      </c>
      <c r="H1062" s="311">
        <f t="shared" si="1085"/>
        <v>110.70110701107011</v>
      </c>
      <c r="I1062" s="311">
        <v>53612.4</v>
      </c>
      <c r="J1062" s="311">
        <f t="shared" si="1086"/>
        <v>131.88782287822877</v>
      </c>
      <c r="K1062" s="311">
        <v>64084</v>
      </c>
      <c r="L1062" s="311">
        <f t="shared" si="1087"/>
        <v>157.64821648216483</v>
      </c>
      <c r="M1062" s="311">
        <v>72917.67</v>
      </c>
      <c r="N1062" s="574">
        <f t="shared" si="1088"/>
        <v>179.37926199261992</v>
      </c>
      <c r="O1062" s="118"/>
      <c r="P1062" s="118"/>
      <c r="Q1062" s="180"/>
      <c r="R1062" s="123"/>
      <c r="S1062" s="119"/>
      <c r="T1062" s="132"/>
    </row>
    <row r="1063" spans="2:20">
      <c r="B1063" s="310" t="s">
        <v>4</v>
      </c>
      <c r="C1063" s="385">
        <v>40860</v>
      </c>
      <c r="D1063" s="311">
        <f t="shared" ref="D1063:D1070" si="1089">100*C1063/40650</f>
        <v>100.51660516605166</v>
      </c>
      <c r="E1063" s="311">
        <v>44560</v>
      </c>
      <c r="F1063" s="311">
        <f t="shared" si="1084"/>
        <v>109.61869618696187</v>
      </c>
      <c r="G1063" s="311">
        <v>45500</v>
      </c>
      <c r="H1063" s="311">
        <f t="shared" si="1085"/>
        <v>111.93111931119311</v>
      </c>
      <c r="I1063" s="311">
        <v>53212.4</v>
      </c>
      <c r="J1063" s="311">
        <f t="shared" si="1086"/>
        <v>130.90381303813038</v>
      </c>
      <c r="K1063" s="311">
        <v>64885.599999999999</v>
      </c>
      <c r="L1063" s="311">
        <f t="shared" si="1087"/>
        <v>159.62017220172203</v>
      </c>
      <c r="M1063" s="311">
        <v>73785.710000000006</v>
      </c>
      <c r="N1063" s="574">
        <f t="shared" si="1088"/>
        <v>181.51466174661749</v>
      </c>
      <c r="O1063" s="118"/>
      <c r="P1063" s="118"/>
      <c r="Q1063" s="180"/>
      <c r="R1063" s="123"/>
      <c r="S1063" s="119"/>
      <c r="T1063" s="132"/>
    </row>
    <row r="1064" spans="2:20">
      <c r="B1064" s="310" t="s">
        <v>5</v>
      </c>
      <c r="C1064" s="385">
        <v>41309.33</v>
      </c>
      <c r="D1064" s="311">
        <f t="shared" si="1089"/>
        <v>101.6219680196802</v>
      </c>
      <c r="E1064" s="311">
        <v>45200</v>
      </c>
      <c r="F1064" s="311">
        <f t="shared" si="1084"/>
        <v>111.1931119311193</v>
      </c>
      <c r="G1064" s="311">
        <v>45600</v>
      </c>
      <c r="H1064" s="311">
        <f t="shared" si="1085"/>
        <v>112.17712177121771</v>
      </c>
      <c r="I1064" s="311">
        <v>52968</v>
      </c>
      <c r="J1064" s="311">
        <f t="shared" si="1086"/>
        <v>130.30258302583024</v>
      </c>
      <c r="K1064" s="311">
        <v>66923.600000000006</v>
      </c>
      <c r="L1064" s="311">
        <f t="shared" si="1087"/>
        <v>164.63370233702338</v>
      </c>
      <c r="M1064" s="311">
        <v>74583.33</v>
      </c>
      <c r="N1064" s="574">
        <f t="shared" si="1088"/>
        <v>183.47682656826569</v>
      </c>
      <c r="O1064" s="118"/>
      <c r="P1064" s="118"/>
      <c r="Q1064" s="180"/>
      <c r="R1064" s="123"/>
      <c r="S1064" s="119"/>
      <c r="T1064" s="132"/>
    </row>
    <row r="1065" spans="2:20">
      <c r="B1065" s="310" t="s">
        <v>6</v>
      </c>
      <c r="C1065" s="385">
        <v>42033.33</v>
      </c>
      <c r="D1065" s="311">
        <f t="shared" si="1089"/>
        <v>103.4030258302583</v>
      </c>
      <c r="E1065" s="311">
        <v>44600</v>
      </c>
      <c r="F1065" s="311">
        <f t="shared" si="1084"/>
        <v>109.71709717097171</v>
      </c>
      <c r="G1065" s="311">
        <v>46100</v>
      </c>
      <c r="H1065" s="311">
        <f t="shared" si="1085"/>
        <v>113.40713407134071</v>
      </c>
      <c r="I1065" s="311">
        <v>55000</v>
      </c>
      <c r="J1065" s="311">
        <f t="shared" si="1086"/>
        <v>135.30135301353013</v>
      </c>
      <c r="K1065" s="311">
        <v>67600</v>
      </c>
      <c r="L1065" s="311">
        <f t="shared" si="1087"/>
        <v>166.29766297662977</v>
      </c>
      <c r="M1065" s="311">
        <v>75433.33</v>
      </c>
      <c r="N1065" s="574">
        <f t="shared" si="1088"/>
        <v>185.56784747847479</v>
      </c>
      <c r="O1065" s="118"/>
      <c r="P1065" s="118"/>
      <c r="Q1065" s="180"/>
      <c r="R1065" s="123"/>
      <c r="S1065" s="119"/>
      <c r="T1065" s="132"/>
    </row>
    <row r="1066" spans="2:20">
      <c r="B1066" s="310" t="s">
        <v>7</v>
      </c>
      <c r="C1066" s="385">
        <v>41360</v>
      </c>
      <c r="D1066" s="311">
        <f t="shared" si="1089"/>
        <v>101.74661746617465</v>
      </c>
      <c r="E1066" s="311">
        <v>44500</v>
      </c>
      <c r="F1066" s="311">
        <f t="shared" si="1084"/>
        <v>109.47109471094711</v>
      </c>
      <c r="G1066" s="311">
        <v>46400</v>
      </c>
      <c r="H1066" s="311">
        <f t="shared" si="1085"/>
        <v>114.14514145141452</v>
      </c>
      <c r="I1066" s="311">
        <v>57465.2</v>
      </c>
      <c r="J1066" s="311">
        <f t="shared" si="1086"/>
        <v>141.36580565805659</v>
      </c>
      <c r="K1066" s="311">
        <v>67866</v>
      </c>
      <c r="L1066" s="311">
        <f t="shared" si="1087"/>
        <v>166.95202952029521</v>
      </c>
      <c r="M1066" s="311">
        <v>78011.11</v>
      </c>
      <c r="N1066" s="574">
        <f t="shared" si="1088"/>
        <v>191.90924969249693</v>
      </c>
      <c r="O1066" s="118"/>
      <c r="P1066" s="118"/>
      <c r="Q1066" s="180"/>
      <c r="R1066" s="123"/>
      <c r="S1066" s="119"/>
      <c r="T1066" s="132"/>
    </row>
    <row r="1067" spans="2:20">
      <c r="B1067" s="310" t="s">
        <v>8</v>
      </c>
      <c r="C1067" s="385">
        <v>40973.22</v>
      </c>
      <c r="D1067" s="311">
        <f t="shared" si="1089"/>
        <v>100.79512915129152</v>
      </c>
      <c r="E1067" s="311">
        <v>45000</v>
      </c>
      <c r="F1067" s="311">
        <f t="shared" si="1084"/>
        <v>110.70110701107011</v>
      </c>
      <c r="G1067" s="311">
        <v>46700</v>
      </c>
      <c r="H1067" s="311">
        <f t="shared" si="1085"/>
        <v>114.88314883148831</v>
      </c>
      <c r="I1067" s="311">
        <v>58465.2</v>
      </c>
      <c r="J1067" s="311">
        <f t="shared" si="1086"/>
        <v>143.82583025830257</v>
      </c>
      <c r="K1067" s="311">
        <v>67720</v>
      </c>
      <c r="L1067" s="311">
        <f t="shared" si="1087"/>
        <v>166.59286592865928</v>
      </c>
      <c r="M1067" s="311">
        <v>77830</v>
      </c>
      <c r="N1067" s="574">
        <f t="shared" si="1088"/>
        <v>191.46371463714638</v>
      </c>
      <c r="O1067" s="118"/>
      <c r="P1067" s="118"/>
      <c r="Q1067" s="180"/>
      <c r="R1067" s="123"/>
      <c r="S1067" s="119"/>
      <c r="T1067" s="132"/>
    </row>
    <row r="1068" spans="2:20">
      <c r="B1068" s="310" t="s">
        <v>9</v>
      </c>
      <c r="C1068" s="385">
        <v>41350</v>
      </c>
      <c r="D1068" s="311">
        <f t="shared" si="1089"/>
        <v>101.72201722017221</v>
      </c>
      <c r="E1068" s="311">
        <v>43900</v>
      </c>
      <c r="F1068" s="311">
        <f t="shared" si="1084"/>
        <v>107.99507995079951</v>
      </c>
      <c r="G1068" s="311">
        <v>47540</v>
      </c>
      <c r="H1068" s="311">
        <f t="shared" si="1085"/>
        <v>116.94956949569496</v>
      </c>
      <c r="I1068" s="311">
        <v>61374.48</v>
      </c>
      <c r="J1068" s="311">
        <f t="shared" si="1086"/>
        <v>150.98273062730627</v>
      </c>
      <c r="K1068" s="311">
        <v>69781</v>
      </c>
      <c r="L1068" s="311">
        <f t="shared" si="1087"/>
        <v>171.66297662976629</v>
      </c>
      <c r="M1068" s="311">
        <v>77750</v>
      </c>
      <c r="N1068" s="574">
        <f t="shared" si="1088"/>
        <v>191.2669126691267</v>
      </c>
      <c r="O1068" s="118"/>
      <c r="P1068" s="118"/>
      <c r="Q1068" s="180"/>
      <c r="R1068" s="123"/>
      <c r="S1068" s="119"/>
      <c r="T1068" s="132"/>
    </row>
    <row r="1069" spans="2:20">
      <c r="B1069" s="310" t="s">
        <v>10</v>
      </c>
      <c r="C1069" s="385">
        <v>41500</v>
      </c>
      <c r="D1069" s="311">
        <f t="shared" si="1089"/>
        <v>102.0910209102091</v>
      </c>
      <c r="E1069" s="311">
        <v>43925.2</v>
      </c>
      <c r="F1069" s="311">
        <f t="shared" si="1084"/>
        <v>108.05707257072571</v>
      </c>
      <c r="G1069" s="311">
        <v>48220</v>
      </c>
      <c r="H1069" s="311">
        <f t="shared" si="1085"/>
        <v>118.62238622386224</v>
      </c>
      <c r="I1069" s="311">
        <v>61870.879999999997</v>
      </c>
      <c r="J1069" s="311">
        <f t="shared" si="1086"/>
        <v>152.20388683886839</v>
      </c>
      <c r="K1069" s="311">
        <v>70820</v>
      </c>
      <c r="L1069" s="311">
        <f t="shared" si="1087"/>
        <v>174.21894218942188</v>
      </c>
      <c r="M1069" s="311">
        <v>78616</v>
      </c>
      <c r="N1069" s="574">
        <f t="shared" si="1088"/>
        <v>193.39729397293974</v>
      </c>
      <c r="O1069" s="118"/>
      <c r="P1069" s="118"/>
      <c r="Q1069" s="180"/>
      <c r="R1069" s="123"/>
      <c r="S1069" s="119"/>
      <c r="T1069" s="132"/>
    </row>
    <row r="1070" spans="2:20" ht="15.75" thickBot="1">
      <c r="B1070" s="314" t="s">
        <v>11</v>
      </c>
      <c r="C1070" s="386">
        <v>42100</v>
      </c>
      <c r="D1070" s="315">
        <f t="shared" si="1089"/>
        <v>103.5670356703567</v>
      </c>
      <c r="E1070" s="315">
        <v>43125</v>
      </c>
      <c r="F1070" s="315">
        <f t="shared" si="1084"/>
        <v>106.08856088560886</v>
      </c>
      <c r="G1070" s="315">
        <v>48400</v>
      </c>
      <c r="H1070" s="315">
        <f t="shared" si="1085"/>
        <v>119.06519065190652</v>
      </c>
      <c r="I1070" s="315">
        <v>58640</v>
      </c>
      <c r="J1070" s="315">
        <f t="shared" si="1086"/>
        <v>144.25584255842557</v>
      </c>
      <c r="K1070" s="315">
        <v>69679.89</v>
      </c>
      <c r="L1070" s="315">
        <f t="shared" si="1087"/>
        <v>171.41424354243543</v>
      </c>
      <c r="M1070" s="315">
        <v>79374.5</v>
      </c>
      <c r="N1070" s="575">
        <f t="shared" si="1088"/>
        <v>195.26322263222633</v>
      </c>
      <c r="O1070" s="118"/>
      <c r="P1070" s="118"/>
      <c r="Q1070" s="180"/>
      <c r="R1070" s="123"/>
      <c r="S1070" s="119"/>
      <c r="T1070" s="132"/>
    </row>
    <row r="1071" spans="2:20" ht="15.75" thickBot="1">
      <c r="C1071" s="122"/>
      <c r="D1071" s="118"/>
      <c r="E1071" s="118"/>
      <c r="F1071" s="118"/>
      <c r="G1071" s="118"/>
      <c r="H1071" s="118"/>
      <c r="I1071" s="118"/>
      <c r="J1071" s="118"/>
      <c r="K1071" s="118"/>
      <c r="L1071" s="118"/>
      <c r="M1071" s="118"/>
      <c r="N1071" s="123"/>
      <c r="O1071" s="123"/>
      <c r="P1071" s="123"/>
      <c r="Q1071" s="180"/>
      <c r="R1071" s="123"/>
      <c r="S1071" s="119"/>
      <c r="T1071" s="132"/>
    </row>
    <row r="1072" spans="2:20" ht="21" thickBot="1">
      <c r="B1072" s="568" t="s">
        <v>36</v>
      </c>
      <c r="C1072" s="569"/>
      <c r="D1072" s="569"/>
      <c r="E1072" s="570">
        <v>40650</v>
      </c>
      <c r="F1072" s="571" t="s">
        <v>75</v>
      </c>
      <c r="G1072" s="571"/>
      <c r="H1072" s="569"/>
      <c r="I1072" s="569"/>
      <c r="J1072" s="569"/>
      <c r="K1072" s="569"/>
      <c r="L1072" s="569"/>
      <c r="M1072" s="569"/>
      <c r="N1072" s="572"/>
      <c r="O1072" s="119"/>
      <c r="P1072" s="119"/>
      <c r="Q1072" s="180"/>
      <c r="R1072" s="123"/>
      <c r="S1072" s="119"/>
      <c r="T1072" s="132"/>
    </row>
    <row r="1073" spans="2:20" ht="15.75" thickBot="1">
      <c r="B1073" s="1306">
        <v>2006</v>
      </c>
      <c r="C1073" s="1307"/>
      <c r="D1073" s="336" t="s">
        <v>15</v>
      </c>
      <c r="E1073" s="336">
        <v>2007</v>
      </c>
      <c r="F1073" s="336" t="s">
        <v>15</v>
      </c>
      <c r="G1073" s="336">
        <v>2008</v>
      </c>
      <c r="H1073" s="336" t="s">
        <v>15</v>
      </c>
      <c r="I1073" s="336">
        <v>2009</v>
      </c>
      <c r="J1073" s="336" t="s">
        <v>15</v>
      </c>
      <c r="K1073" s="336">
        <v>2010</v>
      </c>
      <c r="L1073" s="336" t="s">
        <v>15</v>
      </c>
      <c r="M1073" s="336">
        <v>2011</v>
      </c>
      <c r="N1073" s="354" t="s">
        <v>15</v>
      </c>
      <c r="O1073" s="124"/>
      <c r="P1073" s="124"/>
      <c r="Q1073" s="180"/>
      <c r="R1073" s="123"/>
      <c r="S1073" s="119"/>
      <c r="T1073" s="132"/>
    </row>
    <row r="1074" spans="2:20">
      <c r="B1074" s="306" t="s">
        <v>0</v>
      </c>
      <c r="C1074" s="388">
        <v>79521.34</v>
      </c>
      <c r="D1074" s="307">
        <f t="shared" ref="D1074:D1085" si="1090">100*C1074/$E$1057</f>
        <v>195.62445264452646</v>
      </c>
      <c r="E1074" s="307">
        <v>85062.5</v>
      </c>
      <c r="F1074" s="307">
        <f t="shared" ref="F1074:F1085" si="1091">100*E1074/$E$1057</f>
        <v>209.25584255842557</v>
      </c>
      <c r="G1074" s="307">
        <v>90683.333333333328</v>
      </c>
      <c r="H1074" s="307">
        <f t="shared" ref="H1074:H1085" si="1092">100*G1074/$E$1057</f>
        <v>223.08323083230829</v>
      </c>
      <c r="I1074" s="307">
        <v>94450</v>
      </c>
      <c r="J1074" s="307">
        <f t="shared" ref="J1074:J1085" si="1093">100*I1074/$E$1057</f>
        <v>232.34932349323492</v>
      </c>
      <c r="K1074" s="307">
        <v>95703.281666666662</v>
      </c>
      <c r="L1074" s="307">
        <f t="shared" ref="L1074:L1085" si="1094">100*K1074/$E$1057</f>
        <v>235.43242722427223</v>
      </c>
      <c r="M1074" s="307">
        <v>97470.833333333328</v>
      </c>
      <c r="N1074" s="573">
        <f t="shared" ref="N1074:N1085" si="1095">100*M1074/$E$1057</f>
        <v>239.78064780647804</v>
      </c>
      <c r="O1074" s="118"/>
      <c r="P1074" s="174">
        <f>+G1080/G1075-1</f>
        <v>2.0712979890310734E-2</v>
      </c>
      <c r="Q1074" s="180"/>
      <c r="R1074" s="123"/>
      <c r="S1074" s="119"/>
      <c r="T1074" s="132"/>
    </row>
    <row r="1075" spans="2:20">
      <c r="B1075" s="310" t="s">
        <v>1</v>
      </c>
      <c r="C1075" s="385">
        <v>81577.38</v>
      </c>
      <c r="D1075" s="311">
        <f t="shared" si="1090"/>
        <v>200.68236162361623</v>
      </c>
      <c r="E1075" s="311">
        <v>87728.57</v>
      </c>
      <c r="F1075" s="311">
        <f t="shared" si="1091"/>
        <v>215.81444034440344</v>
      </c>
      <c r="G1075" s="311">
        <v>91166.666666666672</v>
      </c>
      <c r="H1075" s="311">
        <f t="shared" si="1092"/>
        <v>224.27224272242725</v>
      </c>
      <c r="I1075" s="311">
        <v>94366.666666666672</v>
      </c>
      <c r="J1075" s="311">
        <f t="shared" si="1093"/>
        <v>232.14432144321447</v>
      </c>
      <c r="K1075" s="311">
        <v>96896.614999999991</v>
      </c>
      <c r="L1075" s="311">
        <f t="shared" si="1094"/>
        <v>238.36805658056579</v>
      </c>
      <c r="M1075" s="311">
        <v>98741.666666666672</v>
      </c>
      <c r="N1075" s="574">
        <f t="shared" si="1095"/>
        <v>242.90692906929073</v>
      </c>
      <c r="O1075" s="118"/>
      <c r="P1075" s="118"/>
      <c r="Q1075" s="180"/>
      <c r="R1075" s="123"/>
      <c r="S1075" s="119"/>
      <c r="T1075" s="132"/>
    </row>
    <row r="1076" spans="2:20">
      <c r="B1076" s="310" t="s">
        <v>2</v>
      </c>
      <c r="C1076" s="385">
        <v>80025</v>
      </c>
      <c r="D1076" s="311">
        <f t="shared" si="1090"/>
        <v>196.86346863468634</v>
      </c>
      <c r="E1076" s="311">
        <v>87300</v>
      </c>
      <c r="F1076" s="311">
        <f t="shared" si="1091"/>
        <v>214.76014760147601</v>
      </c>
      <c r="G1076" s="311">
        <v>91573.333333333328</v>
      </c>
      <c r="H1076" s="311">
        <f t="shared" si="1092"/>
        <v>225.27265272652724</v>
      </c>
      <c r="I1076" s="311">
        <v>94225</v>
      </c>
      <c r="J1076" s="311">
        <f t="shared" si="1093"/>
        <v>231.79581795817958</v>
      </c>
      <c r="K1076" s="311">
        <v>92425</v>
      </c>
      <c r="L1076" s="311">
        <f t="shared" si="1094"/>
        <v>227.36777367773678</v>
      </c>
      <c r="M1076" s="311">
        <v>98741.666666666672</v>
      </c>
      <c r="N1076" s="574">
        <f t="shared" si="1095"/>
        <v>242.90692906929073</v>
      </c>
      <c r="O1076" s="118"/>
      <c r="P1076" s="118"/>
      <c r="Q1076" s="180"/>
      <c r="R1076" s="123"/>
      <c r="S1076" s="119"/>
      <c r="T1076" s="132"/>
    </row>
    <row r="1077" spans="2:20">
      <c r="B1077" s="310" t="s">
        <v>3</v>
      </c>
      <c r="C1077" s="385">
        <v>82387.960000000006</v>
      </c>
      <c r="D1077" s="311">
        <f t="shared" si="1090"/>
        <v>202.67640836408367</v>
      </c>
      <c r="E1077" s="311">
        <v>86671.43</v>
      </c>
      <c r="F1077" s="311">
        <f t="shared" si="1091"/>
        <v>213.21384993849938</v>
      </c>
      <c r="G1077" s="311">
        <v>91848.333333333328</v>
      </c>
      <c r="H1077" s="311">
        <f t="shared" si="1092"/>
        <v>225.94915949159488</v>
      </c>
      <c r="I1077" s="311">
        <v>94475</v>
      </c>
      <c r="J1077" s="311">
        <f t="shared" si="1093"/>
        <v>232.41082410824109</v>
      </c>
      <c r="K1077" s="311">
        <v>92575</v>
      </c>
      <c r="L1077" s="311">
        <f t="shared" si="1094"/>
        <v>227.73677736777367</v>
      </c>
      <c r="M1077" s="311">
        <v>98741.666666666672</v>
      </c>
      <c r="N1077" s="574">
        <f t="shared" si="1095"/>
        <v>242.90692906929073</v>
      </c>
      <c r="O1077" s="118"/>
      <c r="P1077" s="118"/>
      <c r="Q1077" s="180"/>
      <c r="R1077" s="123"/>
      <c r="S1077" s="119"/>
      <c r="T1077" s="132"/>
    </row>
    <row r="1078" spans="2:20">
      <c r="B1078" s="310" t="s">
        <v>4</v>
      </c>
      <c r="C1078" s="385">
        <v>82343</v>
      </c>
      <c r="D1078" s="311">
        <f t="shared" si="1090"/>
        <v>202.56580565805658</v>
      </c>
      <c r="E1078" s="311">
        <v>87916.67</v>
      </c>
      <c r="F1078" s="311">
        <f t="shared" si="1091"/>
        <v>216.27717097170972</v>
      </c>
      <c r="G1078" s="311">
        <v>92230</v>
      </c>
      <c r="H1078" s="311">
        <f t="shared" si="1092"/>
        <v>226.88806888068882</v>
      </c>
      <c r="I1078" s="311">
        <v>94666.666666666672</v>
      </c>
      <c r="J1078" s="311">
        <f t="shared" si="1093"/>
        <v>232.88232882328828</v>
      </c>
      <c r="K1078" s="311">
        <v>93075</v>
      </c>
      <c r="L1078" s="311">
        <f t="shared" si="1094"/>
        <v>228.96678966789668</v>
      </c>
      <c r="M1078" s="311">
        <v>98741.666666666672</v>
      </c>
      <c r="N1078" s="574">
        <f t="shared" si="1095"/>
        <v>242.90692906929073</v>
      </c>
      <c r="O1078" s="118"/>
      <c r="P1078" s="118"/>
      <c r="Q1078" s="180"/>
      <c r="R1078" s="123"/>
      <c r="S1078" s="119"/>
      <c r="T1078" s="132"/>
    </row>
    <row r="1079" spans="2:20">
      <c r="B1079" s="310" t="s">
        <v>5</v>
      </c>
      <c r="C1079" s="385">
        <v>82629.5</v>
      </c>
      <c r="D1079" s="311">
        <f t="shared" si="1090"/>
        <v>203.27060270602706</v>
      </c>
      <c r="E1079" s="311">
        <v>88638.333333333328</v>
      </c>
      <c r="F1079" s="311">
        <f t="shared" si="1091"/>
        <v>218.05248052480522</v>
      </c>
      <c r="G1079" s="311">
        <v>92730</v>
      </c>
      <c r="H1079" s="311">
        <f t="shared" si="1092"/>
        <v>228.1180811808118</v>
      </c>
      <c r="I1079" s="311">
        <v>94458.333333333328</v>
      </c>
      <c r="J1079" s="311">
        <f t="shared" si="1093"/>
        <v>232.36982369823696</v>
      </c>
      <c r="K1079" s="311">
        <v>93258.333333333328</v>
      </c>
      <c r="L1079" s="311">
        <f t="shared" si="1094"/>
        <v>229.41779417794174</v>
      </c>
      <c r="M1079" s="311">
        <v>99108.333333333328</v>
      </c>
      <c r="N1079" s="574">
        <f t="shared" si="1095"/>
        <v>243.80893808938086</v>
      </c>
      <c r="O1079" s="118"/>
      <c r="P1079" s="118"/>
      <c r="Q1079" s="180"/>
      <c r="R1079" s="123"/>
      <c r="S1079" s="119"/>
      <c r="T1079" s="132"/>
    </row>
    <row r="1080" spans="2:20">
      <c r="B1080" s="310" t="s">
        <v>6</v>
      </c>
      <c r="C1080" s="385">
        <v>82146.17</v>
      </c>
      <c r="D1080" s="311">
        <f t="shared" si="1090"/>
        <v>202.08159901599015</v>
      </c>
      <c r="E1080" s="311">
        <v>88775</v>
      </c>
      <c r="F1080" s="311">
        <f t="shared" si="1091"/>
        <v>218.38868388683886</v>
      </c>
      <c r="G1080" s="311">
        <v>93055</v>
      </c>
      <c r="H1080" s="311">
        <f t="shared" si="1092"/>
        <v>228.91758917589175</v>
      </c>
      <c r="I1080" s="311">
        <v>94391.666666666672</v>
      </c>
      <c r="J1080" s="311">
        <f t="shared" si="1093"/>
        <v>232.2058220582206</v>
      </c>
      <c r="K1080" s="311">
        <v>93730</v>
      </c>
      <c r="L1080" s="311">
        <f t="shared" si="1094"/>
        <v>230.57810578105781</v>
      </c>
      <c r="M1080" s="311">
        <v>99108.333333333328</v>
      </c>
      <c r="N1080" s="574">
        <f t="shared" si="1095"/>
        <v>243.80893808938086</v>
      </c>
      <c r="O1080" s="118"/>
      <c r="P1080" s="118"/>
      <c r="Q1080" s="180"/>
      <c r="R1080" s="123"/>
      <c r="S1080" s="119"/>
      <c r="T1080" s="132"/>
    </row>
    <row r="1081" spans="2:20">
      <c r="B1081" s="310" t="s">
        <v>7</v>
      </c>
      <c r="C1081" s="385">
        <v>82028.570000000007</v>
      </c>
      <c r="D1081" s="311">
        <f t="shared" si="1090"/>
        <v>201.79230012300124</v>
      </c>
      <c r="E1081" s="311">
        <v>89296</v>
      </c>
      <c r="F1081" s="311">
        <f t="shared" si="1091"/>
        <v>219.67035670356702</v>
      </c>
      <c r="G1081" s="311">
        <v>93725</v>
      </c>
      <c r="H1081" s="311">
        <f t="shared" si="1092"/>
        <v>230.56580565805658</v>
      </c>
      <c r="I1081" s="311">
        <v>94550</v>
      </c>
      <c r="J1081" s="311">
        <f t="shared" si="1093"/>
        <v>232.59532595325953</v>
      </c>
      <c r="K1081" s="311">
        <v>94730</v>
      </c>
      <c r="L1081" s="311">
        <f t="shared" si="1094"/>
        <v>233.0381303813038</v>
      </c>
      <c r="M1081" s="311">
        <v>99108.33</v>
      </c>
      <c r="N1081" s="574">
        <f t="shared" si="1095"/>
        <v>243.80892988929889</v>
      </c>
      <c r="O1081" s="118"/>
      <c r="P1081" s="118"/>
      <c r="Q1081" s="180"/>
      <c r="R1081" s="123"/>
      <c r="S1081" s="119"/>
      <c r="T1081" s="132"/>
    </row>
    <row r="1082" spans="2:20">
      <c r="B1082" s="310" t="s">
        <v>8</v>
      </c>
      <c r="C1082" s="385">
        <v>84450</v>
      </c>
      <c r="D1082" s="311">
        <f t="shared" si="1090"/>
        <v>207.74907749077491</v>
      </c>
      <c r="E1082" s="311">
        <v>89248.333333333328</v>
      </c>
      <c r="F1082" s="311">
        <f t="shared" si="1091"/>
        <v>219.55309553095529</v>
      </c>
      <c r="G1082" s="311">
        <v>94100</v>
      </c>
      <c r="H1082" s="311">
        <f t="shared" si="1092"/>
        <v>231.48831488314883</v>
      </c>
      <c r="I1082" s="311">
        <v>94775</v>
      </c>
      <c r="J1082" s="311">
        <f t="shared" si="1093"/>
        <v>233.1488314883149</v>
      </c>
      <c r="K1082" s="311">
        <v>94730</v>
      </c>
      <c r="L1082" s="311">
        <f t="shared" si="1094"/>
        <v>233.0381303813038</v>
      </c>
      <c r="M1082" s="311">
        <v>99108.33</v>
      </c>
      <c r="N1082" s="574">
        <f t="shared" si="1095"/>
        <v>243.80892988929889</v>
      </c>
      <c r="O1082" s="118"/>
      <c r="P1082" s="118"/>
      <c r="Q1082" s="180"/>
      <c r="R1082" s="123"/>
      <c r="S1082" s="119"/>
      <c r="T1082" s="132"/>
    </row>
    <row r="1083" spans="2:20">
      <c r="B1083" s="310" t="s">
        <v>9</v>
      </c>
      <c r="C1083" s="385">
        <v>85116.67</v>
      </c>
      <c r="D1083" s="311">
        <f t="shared" si="1090"/>
        <v>209.3891020910209</v>
      </c>
      <c r="E1083" s="311">
        <v>89365</v>
      </c>
      <c r="F1083" s="311">
        <f t="shared" si="1091"/>
        <v>219.840098400984</v>
      </c>
      <c r="G1083" s="311">
        <v>95025</v>
      </c>
      <c r="H1083" s="311">
        <f t="shared" si="1092"/>
        <v>233.76383763837637</v>
      </c>
      <c r="I1083" s="311">
        <v>95291.666666666672</v>
      </c>
      <c r="J1083" s="311">
        <f t="shared" si="1093"/>
        <v>234.41984419844201</v>
      </c>
      <c r="K1083" s="311">
        <v>94730</v>
      </c>
      <c r="L1083" s="311">
        <f t="shared" si="1094"/>
        <v>233.0381303813038</v>
      </c>
      <c r="M1083" s="311">
        <v>99108.333333333328</v>
      </c>
      <c r="N1083" s="574">
        <f t="shared" si="1095"/>
        <v>243.80893808938086</v>
      </c>
      <c r="O1083" s="118"/>
      <c r="P1083" s="118"/>
      <c r="Q1083" s="180"/>
      <c r="R1083" s="123"/>
      <c r="S1083" s="119"/>
      <c r="T1083" s="132"/>
    </row>
    <row r="1084" spans="2:20">
      <c r="B1084" s="310" t="s">
        <v>10</v>
      </c>
      <c r="C1084" s="385">
        <v>84069.57</v>
      </c>
      <c r="D1084" s="311">
        <f t="shared" si="1090"/>
        <v>206.81321033210332</v>
      </c>
      <c r="E1084" s="311">
        <v>89665</v>
      </c>
      <c r="F1084" s="311">
        <f t="shared" si="1091"/>
        <v>220.57810578105781</v>
      </c>
      <c r="G1084" s="311">
        <v>95300</v>
      </c>
      <c r="H1084" s="311">
        <f t="shared" si="1092"/>
        <v>234.44034440344404</v>
      </c>
      <c r="I1084" s="311">
        <v>95581.666666666672</v>
      </c>
      <c r="J1084" s="311">
        <f t="shared" si="1093"/>
        <v>235.13325133251337</v>
      </c>
      <c r="K1084" s="311">
        <v>96081.25</v>
      </c>
      <c r="L1084" s="311">
        <f t="shared" si="1094"/>
        <v>236.36223862238623</v>
      </c>
      <c r="M1084" s="311">
        <v>99108.333333333328</v>
      </c>
      <c r="N1084" s="574">
        <f t="shared" si="1095"/>
        <v>243.80893808938086</v>
      </c>
      <c r="O1084" s="118"/>
      <c r="P1084" s="118"/>
      <c r="Q1084" s="180"/>
      <c r="R1084" s="123"/>
      <c r="S1084" s="119"/>
      <c r="T1084" s="132"/>
    </row>
    <row r="1085" spans="2:20" ht="15.75" thickBot="1">
      <c r="B1085" s="314" t="s">
        <v>11</v>
      </c>
      <c r="C1085" s="386">
        <v>84265.2</v>
      </c>
      <c r="D1085" s="315">
        <f t="shared" si="1090"/>
        <v>207.29446494464943</v>
      </c>
      <c r="E1085" s="315">
        <v>89878</v>
      </c>
      <c r="F1085" s="315">
        <f t="shared" si="1091"/>
        <v>221.10209102091022</v>
      </c>
      <c r="G1085" s="315">
        <v>95125</v>
      </c>
      <c r="H1085" s="315">
        <f t="shared" si="1092"/>
        <v>234.00984009840099</v>
      </c>
      <c r="I1085" s="315">
        <v>95748.333333333328</v>
      </c>
      <c r="J1085" s="315">
        <f t="shared" si="1093"/>
        <v>235.5432554325543</v>
      </c>
      <c r="K1085" s="315">
        <v>96420.833333333328</v>
      </c>
      <c r="L1085" s="315">
        <f t="shared" si="1094"/>
        <v>237.19762197621972</v>
      </c>
      <c r="M1085" s="315">
        <v>99108.333333333328</v>
      </c>
      <c r="N1085" s="575">
        <f t="shared" si="1095"/>
        <v>243.80893808938086</v>
      </c>
      <c r="O1085" s="118"/>
      <c r="P1085" s="118"/>
      <c r="Q1085" s="180"/>
      <c r="R1085" s="123"/>
      <c r="S1085" s="119"/>
      <c r="T1085" s="132"/>
    </row>
    <row r="1086" spans="2:20">
      <c r="B1086" s="119"/>
      <c r="C1086" s="132"/>
      <c r="D1086" s="123"/>
      <c r="E1086" s="123"/>
      <c r="F1086" s="123"/>
      <c r="G1086" s="123"/>
      <c r="H1086" s="123"/>
      <c r="I1086" s="123"/>
      <c r="J1086" s="123"/>
      <c r="K1086" s="123"/>
      <c r="L1086" s="123"/>
      <c r="M1086" s="123"/>
      <c r="N1086" s="123"/>
      <c r="O1086" s="123"/>
      <c r="P1086" s="123"/>
      <c r="Q1086" s="180"/>
      <c r="R1086" s="123"/>
      <c r="S1086" s="119"/>
      <c r="T1086" s="132"/>
    </row>
    <row r="1087" spans="2:20" ht="15.75">
      <c r="B1087" s="1304" t="s">
        <v>36</v>
      </c>
      <c r="C1087" s="1305"/>
      <c r="D1087" s="1305"/>
      <c r="E1087" s="1305"/>
      <c r="F1087" s="1305"/>
      <c r="G1087" s="1305"/>
      <c r="H1087" s="1305"/>
      <c r="I1087" s="1305"/>
      <c r="J1087" s="1305"/>
      <c r="K1087" s="1305"/>
      <c r="L1087" s="1305"/>
      <c r="M1087" s="1305"/>
      <c r="N1087" s="1305"/>
      <c r="O1087" s="1305"/>
      <c r="P1087" s="1305"/>
      <c r="Q1087" s="1305"/>
      <c r="R1087" s="1305"/>
      <c r="S1087" s="1305"/>
      <c r="T1087" s="1305"/>
    </row>
    <row r="1088" spans="2:20" ht="15.75" thickBot="1">
      <c r="B1088" s="1314">
        <v>2012</v>
      </c>
      <c r="C1088" s="1315"/>
      <c r="D1088" s="649" t="s">
        <v>15</v>
      </c>
      <c r="E1088" s="650">
        <v>2013</v>
      </c>
      <c r="F1088" s="649" t="s">
        <v>15</v>
      </c>
      <c r="G1088" s="650">
        <v>2014</v>
      </c>
      <c r="H1088" s="649" t="s">
        <v>15</v>
      </c>
      <c r="I1088" s="650">
        <v>2015</v>
      </c>
      <c r="J1088" s="649" t="s">
        <v>15</v>
      </c>
      <c r="K1088" s="650">
        <v>2016</v>
      </c>
      <c r="L1088" s="649" t="s">
        <v>15</v>
      </c>
      <c r="M1088" s="650">
        <v>2017</v>
      </c>
      <c r="N1088" s="649" t="s">
        <v>15</v>
      </c>
      <c r="O1088" s="650">
        <v>2018</v>
      </c>
      <c r="P1088" s="649" t="s">
        <v>15</v>
      </c>
      <c r="Q1088" s="650">
        <v>2019</v>
      </c>
      <c r="R1088" s="649" t="s">
        <v>15</v>
      </c>
      <c r="S1088" s="1266">
        <v>2020</v>
      </c>
      <c r="T1088" s="649" t="s">
        <v>15</v>
      </c>
    </row>
    <row r="1089" spans="2:20">
      <c r="B1089" s="306" t="s">
        <v>0</v>
      </c>
      <c r="C1089" s="388">
        <v>99761</v>
      </c>
      <c r="D1089" s="573">
        <f t="shared" ref="D1089:D1096" si="1096">100*C1089/$E$1057</f>
        <v>245.41451414514145</v>
      </c>
      <c r="E1089" s="658">
        <f>[9]PLANCUSce!$H$28</f>
        <v>112053.2</v>
      </c>
      <c r="F1089" s="667">
        <f t="shared" ref="F1089:F1094" si="1097">100*E1089/$E$1057</f>
        <v>275.65362853628534</v>
      </c>
      <c r="G1089" s="658">
        <f>[10]PLANCUSce!$H$28</f>
        <v>122235.07666666666</v>
      </c>
      <c r="H1089" s="667">
        <f t="shared" ref="H1089:H1094" si="1098">100*G1089/$E$1057</f>
        <v>300.70129561295613</v>
      </c>
      <c r="I1089" s="658">
        <f>[11]PLANCUSce!$H$28</f>
        <v>125867</v>
      </c>
      <c r="J1089" s="667">
        <f t="shared" ref="J1089:J1094" si="1099">100*I1089/$E$1057</f>
        <v>309.63591635916362</v>
      </c>
      <c r="K1089" s="658">
        <f>[12]PLANCUSce!$H$28</f>
        <v>125916</v>
      </c>
      <c r="L1089" s="667">
        <f t="shared" ref="L1089" si="1100">100*K1089/$E$1057</f>
        <v>309.75645756457567</v>
      </c>
      <c r="M1089" s="658">
        <f>[13]PLANCUSce!$H$28</f>
        <v>139426</v>
      </c>
      <c r="N1089" s="667">
        <f t="shared" ref="N1089" si="1101">100*M1089/$E$1057</f>
        <v>342.99138991389913</v>
      </c>
      <c r="O1089" s="658">
        <f>[14]PLANCUSce!$H$28</f>
        <v>145993</v>
      </c>
      <c r="P1089" s="667">
        <f t="shared" ref="P1089" si="1102">100*O1089/$E$1057</f>
        <v>359.14637146371462</v>
      </c>
      <c r="Q1089" s="658">
        <f>[15]PLANCUSce!$I$28</f>
        <v>155948</v>
      </c>
      <c r="R1089" s="667">
        <f t="shared" ref="R1089" si="1103">100*Q1089/$E$1057</f>
        <v>383.63591635916362</v>
      </c>
      <c r="S1089" s="658">
        <f>[16]PLANCUSce!$I$28</f>
        <v>164006</v>
      </c>
      <c r="T1089" s="667">
        <f t="shared" ref="T1089" si="1104">100*S1089/$E$1057</f>
        <v>403.45879458794587</v>
      </c>
    </row>
    <row r="1090" spans="2:20">
      <c r="B1090" s="310" t="s">
        <v>1</v>
      </c>
      <c r="C1090" s="385">
        <v>99761</v>
      </c>
      <c r="D1090" s="574">
        <f t="shared" si="1096"/>
        <v>245.41451414514145</v>
      </c>
      <c r="E1090" s="660">
        <f>[17]PLANCUSce!$H$28</f>
        <v>113453.2</v>
      </c>
      <c r="F1090" s="574">
        <f t="shared" si="1097"/>
        <v>279.09766297662975</v>
      </c>
      <c r="G1090" s="660">
        <f>[18]PLANCUSce!$H$28</f>
        <v>123200</v>
      </c>
      <c r="H1090" s="574">
        <f t="shared" si="1098"/>
        <v>303.07503075030752</v>
      </c>
      <c r="I1090" s="660">
        <f>[19]PLANCUSce!$H$28</f>
        <v>130940</v>
      </c>
      <c r="J1090" s="574">
        <f t="shared" si="1099"/>
        <v>322.11562115621155</v>
      </c>
      <c r="K1090" s="660">
        <f>[20]PLANCUSce!$H$28</f>
        <v>128322</v>
      </c>
      <c r="L1090" s="574">
        <f t="shared" ref="L1090" si="1105">100*K1090/$E$1057</f>
        <v>315.6752767527675</v>
      </c>
      <c r="M1090" s="660">
        <f>[21]PLANCUSce!$H$28</f>
        <v>140631</v>
      </c>
      <c r="N1090" s="574">
        <f t="shared" ref="N1090" si="1106">100*M1090/$E$1057</f>
        <v>345.95571955719555</v>
      </c>
      <c r="O1090" s="660">
        <f>[22]PLANCUSce!$H$28</f>
        <v>147366</v>
      </c>
      <c r="P1090" s="574">
        <f t="shared" ref="P1090" si="1107">100*O1090/$E$1057</f>
        <v>362.52398523985238</v>
      </c>
      <c r="Q1090" s="660">
        <f>[23]PLANCUSce!$I$28</f>
        <v>158026</v>
      </c>
      <c r="R1090" s="574">
        <f t="shared" ref="R1090" si="1108">100*Q1090/$E$1057</f>
        <v>388.7478474784748</v>
      </c>
      <c r="S1090" s="660">
        <f>[24]PLANCUSce!$I$28</f>
        <v>166792</v>
      </c>
      <c r="T1090" s="574">
        <f t="shared" ref="T1090" si="1109">100*S1090/$E$1057</f>
        <v>410.31242312423126</v>
      </c>
    </row>
    <row r="1091" spans="2:20">
      <c r="B1091" s="310" t="s">
        <v>2</v>
      </c>
      <c r="C1091" s="385">
        <v>108553.2</v>
      </c>
      <c r="D1091" s="574">
        <f t="shared" si="1096"/>
        <v>267.04354243542434</v>
      </c>
      <c r="E1091" s="660">
        <f>[25]PLANCUSce!$H$28</f>
        <v>114691.5</v>
      </c>
      <c r="F1091" s="574">
        <f t="shared" si="1097"/>
        <v>282.14391143911439</v>
      </c>
      <c r="G1091" s="660">
        <f>[26]PLANCUSce!$H$28</f>
        <v>125536</v>
      </c>
      <c r="H1091" s="574">
        <f t="shared" si="1098"/>
        <v>308.82164821648217</v>
      </c>
      <c r="I1091" s="660">
        <f>[27]PLANCUSce!$H$28</f>
        <v>133151</v>
      </c>
      <c r="J1091" s="574">
        <f t="shared" si="1099"/>
        <v>327.55473554735545</v>
      </c>
      <c r="K1091" s="660">
        <f>[28]PLANCUSce!$H$28</f>
        <v>131335</v>
      </c>
      <c r="L1091" s="574">
        <f t="shared" ref="L1091" si="1110">100*K1091/$E$1057</f>
        <v>323.08733087330876</v>
      </c>
      <c r="M1091" s="660">
        <f>[29]PLANCUSce!$H$28</f>
        <v>142776</v>
      </c>
      <c r="N1091" s="574">
        <f t="shared" ref="N1091" si="1111">100*M1091/$E$1057</f>
        <v>351.23247232472323</v>
      </c>
      <c r="O1091" s="660">
        <f>[30]PLANCUSce!$H$28</f>
        <v>146459</v>
      </c>
      <c r="P1091" s="574">
        <f t="shared" ref="P1091" si="1112">100*O1091/$E$1057</f>
        <v>360.29274292742929</v>
      </c>
      <c r="Q1091" s="660">
        <f>[31]PLANCUSce!$I$28</f>
        <v>161420</v>
      </c>
      <c r="R1091" s="574">
        <f t="shared" ref="R1091" si="1113">100*Q1091/$E$1057</f>
        <v>397.09717097170972</v>
      </c>
      <c r="S1091" s="660">
        <f>[32]PLANCUSce!$I$28</f>
        <v>169490</v>
      </c>
      <c r="T1091" s="574">
        <f t="shared" ref="T1091" si="1114">100*S1091/$E$1057</f>
        <v>416.94956949569496</v>
      </c>
    </row>
    <row r="1092" spans="2:20">
      <c r="B1092" s="310" t="s">
        <v>3</v>
      </c>
      <c r="C1092" s="385">
        <v>108553.2</v>
      </c>
      <c r="D1092" s="574">
        <f t="shared" si="1096"/>
        <v>267.04354243542434</v>
      </c>
      <c r="E1092" s="660">
        <f>[33]PLANCUSce!$H$28</f>
        <v>114753.2</v>
      </c>
      <c r="F1092" s="574">
        <f t="shared" si="1097"/>
        <v>282.29569495694955</v>
      </c>
      <c r="G1092" s="660">
        <f>[34]PLANCUSce!$H$28</f>
        <v>126682</v>
      </c>
      <c r="H1092" s="574">
        <f t="shared" si="1098"/>
        <v>311.64083640836407</v>
      </c>
      <c r="I1092" s="660">
        <f>[35]PLANCUSce!$H$28</f>
        <v>129592</v>
      </c>
      <c r="J1092" s="574">
        <f t="shared" si="1099"/>
        <v>318.79950799507998</v>
      </c>
      <c r="K1092" s="660">
        <f>[36]PLANCUSce!$H$28</f>
        <v>132455</v>
      </c>
      <c r="L1092" s="574">
        <f t="shared" ref="L1092" si="1115">100*K1092/$E$1057</f>
        <v>325.84255842558423</v>
      </c>
      <c r="M1092" s="660">
        <f>[37]PLANCUSce!$H$28</f>
        <v>142747</v>
      </c>
      <c r="N1092" s="574">
        <f t="shared" ref="N1092" si="1116">100*M1092/$E$1057</f>
        <v>351.16113161131614</v>
      </c>
      <c r="O1092" s="660">
        <f>[38]PLANCUSce!$H$28</f>
        <v>147294</v>
      </c>
      <c r="P1092" s="574">
        <f t="shared" ref="P1092" si="1117">100*O1092/$E$1057</f>
        <v>362.34686346863469</v>
      </c>
      <c r="Q1092" s="660">
        <f>[39]PLANCUSce!$I$28</f>
        <v>158502</v>
      </c>
      <c r="R1092" s="574">
        <f t="shared" ref="R1092" si="1118">100*Q1092/$E$1057</f>
        <v>389.91881918819189</v>
      </c>
      <c r="S1092" s="660">
        <f>[40]PLANCUSce!$I$28</f>
        <v>170781</v>
      </c>
      <c r="T1092" s="574">
        <f t="shared" ref="T1092" si="1119">100*S1092/$E$1057</f>
        <v>420.12546125461256</v>
      </c>
    </row>
    <row r="1093" spans="2:20">
      <c r="B1093" s="310" t="s">
        <v>4</v>
      </c>
      <c r="C1093" s="385">
        <v>108553.2</v>
      </c>
      <c r="D1093" s="574">
        <f t="shared" si="1096"/>
        <v>267.04354243542434</v>
      </c>
      <c r="E1093" s="660">
        <f>[41]PLANCUSce!$H$28</f>
        <v>114753.2</v>
      </c>
      <c r="F1093" s="574">
        <f t="shared" si="1097"/>
        <v>282.29569495694955</v>
      </c>
      <c r="G1093" s="660">
        <f>[42]PLANCUSce!$H$28</f>
        <v>125250</v>
      </c>
      <c r="H1093" s="574">
        <f t="shared" si="1098"/>
        <v>308.11808118081183</v>
      </c>
      <c r="I1093" s="660">
        <f>[43]PLANCUSce!$H$28</f>
        <v>130150</v>
      </c>
      <c r="J1093" s="574">
        <f t="shared" si="1099"/>
        <v>320.17220172201723</v>
      </c>
      <c r="K1093" s="660">
        <f>[44]PLANCUSce!$H$28</f>
        <v>132455</v>
      </c>
      <c r="L1093" s="574">
        <f t="shared" ref="L1093" si="1120">100*K1093/$E$1057</f>
        <v>325.84255842558423</v>
      </c>
      <c r="M1093" s="660">
        <f>[45]PLANCUSce!$H$28</f>
        <v>142062</v>
      </c>
      <c r="N1093" s="574">
        <f t="shared" ref="N1093" si="1121">100*M1093/$E$1057</f>
        <v>349.47601476014762</v>
      </c>
      <c r="O1093" s="660">
        <f>[46]PLANCUSce!$H$28</f>
        <v>146848</v>
      </c>
      <c r="P1093" s="574">
        <f t="shared" ref="P1093" si="1122">100*O1093/$E$1057</f>
        <v>361.24969249692498</v>
      </c>
      <c r="Q1093" s="660">
        <f>[47]PLANCUSce!$I$28</f>
        <v>159454</v>
      </c>
      <c r="R1093" s="574">
        <f t="shared" ref="R1093" si="1123">100*Q1093/$E$1057</f>
        <v>392.26076260762608</v>
      </c>
      <c r="S1093" s="660">
        <f>[48]PLANCUSce!$I$28</f>
        <v>172084</v>
      </c>
      <c r="T1093" s="574">
        <f t="shared" ref="T1093" si="1124">100*S1093/$E$1057</f>
        <v>423.33087330873309</v>
      </c>
    </row>
    <row r="1094" spans="2:20">
      <c r="B1094" s="310" t="s">
        <v>5</v>
      </c>
      <c r="C1094" s="385">
        <v>108553.2</v>
      </c>
      <c r="D1094" s="574">
        <f t="shared" si="1096"/>
        <v>267.04354243542434</v>
      </c>
      <c r="E1094" s="660">
        <f>[49]PLANCUSce!$H$28</f>
        <v>114753.2</v>
      </c>
      <c r="F1094" s="574">
        <f t="shared" si="1097"/>
        <v>282.29569495694955</v>
      </c>
      <c r="G1094" s="660">
        <f>[50]PLANCUSce!$H$28</f>
        <v>124029</v>
      </c>
      <c r="H1094" s="574">
        <f t="shared" si="1098"/>
        <v>305.11439114391146</v>
      </c>
      <c r="I1094" s="660">
        <f>[51]PLANCUSce!$H$28</f>
        <v>130150</v>
      </c>
      <c r="J1094" s="574">
        <f t="shared" si="1099"/>
        <v>320.17220172201723</v>
      </c>
      <c r="K1094" s="660">
        <f>[52]PLANCUSce!$H$28</f>
        <v>134035</v>
      </c>
      <c r="L1094" s="574">
        <f t="shared" ref="L1094" si="1125">100*K1094/$E$1057</f>
        <v>329.72939729397297</v>
      </c>
      <c r="M1094" s="660">
        <f>[53]PLANCUSce!$H$28</f>
        <v>145870</v>
      </c>
      <c r="N1094" s="574">
        <f t="shared" ref="N1094" si="1126">100*M1094/$E$1057</f>
        <v>358.84378843788437</v>
      </c>
      <c r="O1094" s="660">
        <f>[54]PLANCUSce!$H$28</f>
        <v>148262</v>
      </c>
      <c r="P1094" s="574">
        <f t="shared" ref="P1094" si="1127">100*O1094/$E$1057</f>
        <v>364.72816728167282</v>
      </c>
      <c r="Q1094" s="660">
        <f>[55]PLANCUSce!$I$28</f>
        <v>159456</v>
      </c>
      <c r="R1094" s="574">
        <f t="shared" ref="R1094" si="1128">100*Q1094/$E$1057</f>
        <v>392.26568265682658</v>
      </c>
      <c r="S1094" s="660">
        <f>[56]PLANCUSce!$I$28</f>
        <v>171938</v>
      </c>
      <c r="T1094" s="574">
        <f t="shared" ref="T1094" si="1129">100*S1094/$E$1057</f>
        <v>422.97170971709716</v>
      </c>
    </row>
    <row r="1095" spans="2:20">
      <c r="B1095" s="310" t="s">
        <v>6</v>
      </c>
      <c r="C1095" s="385">
        <f>[57]PLANCUSce!$H$28</f>
        <v>110553.2</v>
      </c>
      <c r="D1095" s="574">
        <f t="shared" si="1096"/>
        <v>271.96359163591637</v>
      </c>
      <c r="E1095" s="660">
        <f>[58]PLANCUSce!$H$28</f>
        <v>116333.2</v>
      </c>
      <c r="F1095" s="574">
        <f t="shared" ref="F1095:F1100" si="1130">100*E1095/$E$1057</f>
        <v>286.18253382533823</v>
      </c>
      <c r="G1095" s="660">
        <f>[68]PLANCUSce!$H$28</f>
        <v>125200</v>
      </c>
      <c r="H1095" s="574">
        <f t="shared" ref="H1095:H1100" si="1131">100*G1095/$E$1057</f>
        <v>307.99507995079949</v>
      </c>
      <c r="I1095" s="660">
        <f>[60]PLANCUSce!$H$28</f>
        <v>131562</v>
      </c>
      <c r="J1095" s="574">
        <f t="shared" ref="J1095:J1100" si="1132">100*I1095/$E$1057</f>
        <v>323.64575645756457</v>
      </c>
      <c r="K1095" s="660">
        <f>[61]PLANCUSce!$H$28</f>
        <v>135217</v>
      </c>
      <c r="L1095" s="574">
        <f t="shared" ref="L1095" si="1133">100*K1095/$E$1057</f>
        <v>332.6371463714637</v>
      </c>
      <c r="M1095" s="660">
        <f>[62]PLANCUSce!$H$28</f>
        <v>148251</v>
      </c>
      <c r="N1095" s="574">
        <f t="shared" ref="N1095" si="1134">100*M1095/$E$1057</f>
        <v>364.70110701107012</v>
      </c>
      <c r="O1095" s="660">
        <f>[63]PLANCUSce!$I$28</f>
        <v>146516</v>
      </c>
      <c r="P1095" s="574">
        <f t="shared" ref="P1095" si="1135">100*O1095/$E$1057</f>
        <v>360.43296432964331</v>
      </c>
      <c r="Q1095" s="660">
        <f>[64]PLANCUSce!$I$28</f>
        <v>161923</v>
      </c>
      <c r="R1095" s="574">
        <f t="shared" ref="R1095" si="1136">100*Q1095/$E$1057</f>
        <v>398.33456334563346</v>
      </c>
      <c r="S1095" s="660">
        <f>[65]PLANCUSce!$I$28</f>
        <v>172063</v>
      </c>
      <c r="T1095" s="574">
        <f t="shared" ref="T1095" si="1137">100*S1095/$E$1057</f>
        <v>423.27921279212791</v>
      </c>
    </row>
    <row r="1096" spans="2:20">
      <c r="B1096" s="310" t="s">
        <v>7</v>
      </c>
      <c r="C1096" s="385">
        <f>[66]PLANCUSce!$H$28</f>
        <v>110553.2</v>
      </c>
      <c r="D1096" s="574">
        <f t="shared" si="1096"/>
        <v>271.96359163591637</v>
      </c>
      <c r="E1096" s="660">
        <f>[67]PLANCUSce!$H$28</f>
        <v>117500</v>
      </c>
      <c r="F1096" s="574">
        <f t="shared" si="1130"/>
        <v>289.05289052890527</v>
      </c>
      <c r="G1096" s="660">
        <f>[68]PLANCUSce!$H$28</f>
        <v>125200</v>
      </c>
      <c r="H1096" s="574">
        <f t="shared" si="1131"/>
        <v>307.99507995079949</v>
      </c>
      <c r="I1096" s="660">
        <f>[69]PLANCUSce!$H$28</f>
        <v>131289</v>
      </c>
      <c r="J1096" s="574">
        <f t="shared" si="1132"/>
        <v>322.97416974169744</v>
      </c>
      <c r="K1096" s="660">
        <f>[70]PLANCUSce!$H$28</f>
        <v>135711</v>
      </c>
      <c r="L1096" s="574">
        <f t="shared" ref="L1096" si="1138">100*K1096/$E$1057</f>
        <v>333.85239852398524</v>
      </c>
      <c r="M1096" s="660">
        <f>[71]PLANCUSce!$H$28</f>
        <v>149302</v>
      </c>
      <c r="N1096" s="574">
        <f t="shared" ref="N1096" si="1139">100*M1096/$E$1057</f>
        <v>367.28659286592864</v>
      </c>
      <c r="O1096" s="660">
        <f>[72]PLANCUSce!$I$28</f>
        <v>147304</v>
      </c>
      <c r="P1096" s="574">
        <f t="shared" ref="P1096" si="1140">100*O1096/$E$1057</f>
        <v>362.37146371463717</v>
      </c>
      <c r="Q1096" s="660">
        <f>[73]PLANCUSce!$I$28</f>
        <v>163880</v>
      </c>
      <c r="R1096" s="574">
        <f t="shared" ref="R1096" si="1141">100*Q1096/$E$1057</f>
        <v>403.1488314883149</v>
      </c>
      <c r="S1096" s="660">
        <f>[74]PLANCUSce!$I$28</f>
        <v>179177</v>
      </c>
      <c r="T1096" s="574">
        <f t="shared" ref="T1096" si="1142">100*S1096/$E$1057</f>
        <v>440.77982779827801</v>
      </c>
    </row>
    <row r="1097" spans="2:20">
      <c r="B1097" s="310" t="s">
        <v>8</v>
      </c>
      <c r="C1097" s="385">
        <f>[75]PLANCUSce!$H$28</f>
        <v>110553.2</v>
      </c>
      <c r="D1097" s="574">
        <f>100*C1097/$E$1057</f>
        <v>271.96359163591637</v>
      </c>
      <c r="E1097" s="660">
        <f>[76]PLANCUSce!$H$28</f>
        <v>119037.5</v>
      </c>
      <c r="F1097" s="574">
        <f t="shared" si="1130"/>
        <v>292.8351783517835</v>
      </c>
      <c r="G1097" s="660">
        <f>[77]PLANCUSce!$H$28</f>
        <v>124640</v>
      </c>
      <c r="H1097" s="574">
        <f t="shared" si="1131"/>
        <v>306.61746617466173</v>
      </c>
      <c r="I1097" s="660">
        <f>[78]PLANCUSce!$H$28</f>
        <v>129511</v>
      </c>
      <c r="J1097" s="574">
        <f t="shared" si="1132"/>
        <v>318.60024600246004</v>
      </c>
      <c r="K1097" s="660">
        <f>[79]PLANCUSce!$H$28</f>
        <v>135702</v>
      </c>
      <c r="L1097" s="574">
        <f t="shared" ref="L1097" si="1143">100*K1097/$E$1057</f>
        <v>333.83025830258305</v>
      </c>
      <c r="M1097" s="660">
        <f>[80]PLANCUSce!$H$28</f>
        <v>149038</v>
      </c>
      <c r="N1097" s="574">
        <f t="shared" ref="N1097" si="1144">100*M1097/$E$1057</f>
        <v>366.6371463714637</v>
      </c>
      <c r="O1097" s="660">
        <f>[81]PLANCUSce!$I$28</f>
        <v>149510</v>
      </c>
      <c r="P1097" s="574">
        <f t="shared" ref="P1097" si="1145">100*O1097/$E$1057</f>
        <v>367.79827798277984</v>
      </c>
      <c r="Q1097" s="660">
        <f>[82]PLANCUSce!$I$28</f>
        <v>165541</v>
      </c>
      <c r="R1097" s="574">
        <f t="shared" ref="R1097" si="1146">100*Q1097/$E$1057</f>
        <v>407.23493234932351</v>
      </c>
      <c r="S1097" s="660">
        <f>[123]PLANCUSce!$I$28</f>
        <v>183436</v>
      </c>
      <c r="T1097" s="574">
        <f t="shared" ref="T1097" si="1147">100*S1097/$E$1057</f>
        <v>451.25707257072571</v>
      </c>
    </row>
    <row r="1098" spans="2:20">
      <c r="B1098" s="310" t="s">
        <v>9</v>
      </c>
      <c r="C1098" s="385">
        <f>[83]PLANCUSce!$H$28</f>
        <v>110553.2</v>
      </c>
      <c r="D1098" s="574">
        <f>100*C1098/$E$1057</f>
        <v>271.96359163591637</v>
      </c>
      <c r="E1098" s="660">
        <f>[84]PLANCUSce!$H$28</f>
        <v>119037.5</v>
      </c>
      <c r="F1098" s="574">
        <f t="shared" si="1130"/>
        <v>292.8351783517835</v>
      </c>
      <c r="G1098" s="660">
        <f>[85]PLANCUSce!$H$28</f>
        <v>124570</v>
      </c>
      <c r="H1098" s="574">
        <f t="shared" si="1131"/>
        <v>306.44526445264455</v>
      </c>
      <c r="I1098" s="660">
        <f>[86]PLANCUSce!$H$28</f>
        <v>127563</v>
      </c>
      <c r="J1098" s="574">
        <f t="shared" si="1132"/>
        <v>313.80811808118079</v>
      </c>
      <c r="K1098" s="660">
        <f>[87]PLANCUSce!$H$28</f>
        <v>135531</v>
      </c>
      <c r="L1098" s="574">
        <f t="shared" ref="L1098" si="1148">100*K1098/$E$1057</f>
        <v>333.40959409594097</v>
      </c>
      <c r="M1098" s="660">
        <f>[88]PLANCUSce!$H$28</f>
        <v>149010</v>
      </c>
      <c r="N1098" s="574">
        <f t="shared" ref="N1098" si="1149">100*M1098/$E$1057</f>
        <v>366.56826568265683</v>
      </c>
      <c r="O1098" s="660">
        <f>[89]PLANCUSce!$I$28</f>
        <v>152787</v>
      </c>
      <c r="P1098" s="574">
        <f t="shared" ref="P1098" si="1150">100*O1098/$E$1057</f>
        <v>375.85977859778598</v>
      </c>
      <c r="Q1098" s="660">
        <f>[90]PLANCUSce!$I$28</f>
        <v>165800</v>
      </c>
      <c r="R1098" s="574">
        <f t="shared" ref="R1098" si="1151">100*Q1098/$E$1057</f>
        <v>407.87207872078721</v>
      </c>
      <c r="S1098" s="660"/>
      <c r="T1098" s="574"/>
    </row>
    <row r="1099" spans="2:20">
      <c r="B1099" s="310" t="s">
        <v>10</v>
      </c>
      <c r="C1099" s="385">
        <f>[91]PLANCUSce!$H$28</f>
        <v>111993.2</v>
      </c>
      <c r="D1099" s="574">
        <f>100*C1099/$E$1057</f>
        <v>275.50602706027058</v>
      </c>
      <c r="E1099" s="660">
        <f>[92]PLANCUSce!$H$28</f>
        <v>119687.5</v>
      </c>
      <c r="F1099" s="574">
        <f t="shared" si="1130"/>
        <v>294.4341943419434</v>
      </c>
      <c r="G1099" s="660">
        <f>[93]PLANCUSce!$H$28</f>
        <v>125164</v>
      </c>
      <c r="H1099" s="574">
        <f t="shared" si="1131"/>
        <v>307.90651906519065</v>
      </c>
      <c r="I1099" s="660">
        <f>[94]PLANCUSce!$H$28</f>
        <v>126621</v>
      </c>
      <c r="J1099" s="574">
        <f t="shared" si="1132"/>
        <v>311.49077490774908</v>
      </c>
      <c r="K1099" s="660">
        <f>[95]PLANCUSce!$H$28</f>
        <v>136293</v>
      </c>
      <c r="L1099" s="574">
        <f t="shared" ref="L1099" si="1152">100*K1099/$E$1057</f>
        <v>335.28413284132841</v>
      </c>
      <c r="M1099" s="660">
        <f>[96]PLANCUSce!$H$28</f>
        <v>148094</v>
      </c>
      <c r="N1099" s="574">
        <f t="shared" ref="N1099" si="1153">100*M1099/$E$1057</f>
        <v>364.31488314883148</v>
      </c>
      <c r="O1099" s="660">
        <f>[97]PLANCUSce!$I$28</f>
        <v>152787</v>
      </c>
      <c r="P1099" s="574">
        <f t="shared" ref="P1099" si="1154">100*O1099/$E$1057</f>
        <v>375.85977859778598</v>
      </c>
      <c r="Q1099" s="660">
        <f>[98]PLANCUSce!$I$28</f>
        <v>163773</v>
      </c>
      <c r="R1099" s="574">
        <f t="shared" ref="R1099" si="1155">100*Q1099/$E$1057</f>
        <v>402.88560885608854</v>
      </c>
      <c r="S1099" s="660"/>
      <c r="T1099" s="574"/>
    </row>
    <row r="1100" spans="2:20" ht="15.75" thickBot="1">
      <c r="B1100" s="314" t="s">
        <v>11</v>
      </c>
      <c r="C1100" s="386">
        <f>[99]PLANCUSce!$H$28</f>
        <v>111993.2</v>
      </c>
      <c r="D1100" s="575">
        <f>100*C1100/$E$1057</f>
        <v>275.50602706027058</v>
      </c>
      <c r="E1100" s="681">
        <f>[100]PLANCUSce!$H$28</f>
        <v>119687.5</v>
      </c>
      <c r="F1100" s="575">
        <f t="shared" si="1130"/>
        <v>294.4341943419434</v>
      </c>
      <c r="G1100" s="681">
        <f>[101]PLANCUSce!$H$28</f>
        <v>125663</v>
      </c>
      <c r="H1100" s="575">
        <f t="shared" si="1131"/>
        <v>309.13407134071343</v>
      </c>
      <c r="I1100" s="681">
        <f>[102]PLANCUSce!$H$28</f>
        <v>126159</v>
      </c>
      <c r="J1100" s="575">
        <f t="shared" si="1132"/>
        <v>310.35424354243543</v>
      </c>
      <c r="K1100" s="681">
        <f>[103]PLANCUSce!$H$28</f>
        <v>138751</v>
      </c>
      <c r="L1100" s="575">
        <f t="shared" ref="L1100" si="1156">100*K1100/$E$1057</f>
        <v>341.33087330873309</v>
      </c>
      <c r="M1100" s="681">
        <f>[104]PLANCUSce!$H$28</f>
        <v>146411</v>
      </c>
      <c r="N1100" s="575">
        <f t="shared" ref="N1100" si="1157">100*M1100/$E$1057</f>
        <v>360.17466174661746</v>
      </c>
      <c r="O1100" s="681">
        <f>[105]PLANCUSce!$I$28</f>
        <v>154556</v>
      </c>
      <c r="P1100" s="575">
        <f t="shared" ref="P1100" si="1158">100*O1100/$E$1057</f>
        <v>380.21156211562118</v>
      </c>
      <c r="Q1100" s="681">
        <f>[106]PLANCUSce!$I$28</f>
        <v>167102</v>
      </c>
      <c r="R1100" s="1261">
        <f t="shared" ref="R1100" si="1159">100*Q1100/$E$1057</f>
        <v>411.07503075030752</v>
      </c>
      <c r="S1100" s="681"/>
      <c r="T1100" s="1272"/>
    </row>
    <row r="1101" spans="2:20">
      <c r="B1101" s="119" t="s">
        <v>310</v>
      </c>
      <c r="C1101" s="132"/>
      <c r="D1101" s="123"/>
      <c r="E1101" s="123"/>
      <c r="F1101" s="123"/>
      <c r="G1101" s="123"/>
      <c r="H1101" s="123"/>
      <c r="I1101" s="123"/>
      <c r="J1101" s="123"/>
      <c r="K1101" s="123"/>
      <c r="L1101" s="123"/>
      <c r="M1101" s="123"/>
      <c r="N1101" s="123"/>
      <c r="O1101" s="123"/>
      <c r="P1101" s="123"/>
      <c r="Q1101" s="180"/>
      <c r="R1101" s="123"/>
      <c r="S1101" s="119"/>
      <c r="T1101" s="132"/>
    </row>
    <row r="1102" spans="2:20">
      <c r="B1102" s="119"/>
      <c r="C1102" s="132"/>
      <c r="D1102" s="123"/>
      <c r="E1102" s="123"/>
      <c r="F1102" s="123"/>
      <c r="G1102" s="123"/>
      <c r="H1102" s="123"/>
      <c r="I1102" s="123"/>
      <c r="J1102" s="123"/>
      <c r="K1102" s="123"/>
      <c r="L1102" s="123"/>
      <c r="M1102" s="123"/>
      <c r="N1102" s="123"/>
      <c r="O1102" s="123"/>
      <c r="P1102" s="123"/>
      <c r="Q1102" s="180"/>
      <c r="R1102" s="123"/>
      <c r="S1102" s="119"/>
      <c r="T1102" s="132"/>
    </row>
    <row r="1103" spans="2:20">
      <c r="B1103" s="198"/>
      <c r="C1103" s="201"/>
      <c r="D1103" s="200"/>
      <c r="E1103" s="200"/>
      <c r="F1103" s="200"/>
      <c r="G1103" s="200"/>
      <c r="H1103" s="200"/>
      <c r="I1103" s="200"/>
      <c r="J1103" s="200"/>
      <c r="K1103" s="200"/>
      <c r="L1103" s="200"/>
      <c r="M1103" s="200"/>
      <c r="N1103" s="200"/>
      <c r="O1103" s="123"/>
      <c r="P1103" s="123"/>
      <c r="Q1103" s="180"/>
      <c r="R1103" s="123"/>
      <c r="S1103" s="119"/>
      <c r="T1103" s="132"/>
    </row>
    <row r="1104" spans="2:20">
      <c r="B1104" s="119"/>
      <c r="C1104" s="132"/>
      <c r="D1104" s="123"/>
      <c r="E1104" s="123"/>
      <c r="F1104" s="123"/>
      <c r="G1104" s="123"/>
      <c r="H1104" s="123"/>
      <c r="I1104" s="123"/>
      <c r="J1104" s="123"/>
      <c r="K1104" s="123"/>
      <c r="L1104" s="123"/>
      <c r="M1104" s="123"/>
      <c r="N1104" s="123"/>
      <c r="O1104" s="123"/>
      <c r="P1104" s="123"/>
      <c r="Q1104" s="180"/>
      <c r="R1104" s="123"/>
      <c r="S1104" s="119"/>
      <c r="T1104" s="132"/>
    </row>
    <row r="1105" spans="1:20" ht="24" thickBot="1">
      <c r="B1105" s="1393" t="s">
        <v>130</v>
      </c>
      <c r="C1105" s="1393"/>
      <c r="D1105" s="1393"/>
      <c r="E1105" s="1393"/>
      <c r="F1105" s="1393"/>
      <c r="G1105" s="583" t="s">
        <v>304</v>
      </c>
      <c r="H1105" s="584"/>
      <c r="I1105" s="585"/>
      <c r="J1105" s="585"/>
      <c r="K1105" s="586"/>
      <c r="L1105" s="586"/>
      <c r="M1105" s="1408">
        <v>4088</v>
      </c>
      <c r="N1105" s="1408"/>
      <c r="O1105" s="119"/>
      <c r="P1105" s="119"/>
      <c r="Q1105" s="180"/>
      <c r="R1105" s="123"/>
      <c r="S1105" s="119"/>
      <c r="T1105" s="132"/>
    </row>
    <row r="1106" spans="1:20" ht="15.75" thickBot="1">
      <c r="B1106" s="1310">
        <v>2000</v>
      </c>
      <c r="C1106" s="1311"/>
      <c r="D1106" s="334" t="s">
        <v>15</v>
      </c>
      <c r="E1106" s="552" t="s">
        <v>63</v>
      </c>
      <c r="F1106" s="334" t="s">
        <v>15</v>
      </c>
      <c r="G1106" s="552" t="s">
        <v>134</v>
      </c>
      <c r="H1106" s="334" t="s">
        <v>15</v>
      </c>
      <c r="I1106" s="335">
        <v>2003</v>
      </c>
      <c r="J1106" s="334" t="s">
        <v>15</v>
      </c>
      <c r="K1106" s="335">
        <v>2004</v>
      </c>
      <c r="L1106" s="334" t="s">
        <v>15</v>
      </c>
      <c r="M1106" s="335">
        <v>2005</v>
      </c>
      <c r="N1106" s="353" t="s">
        <v>15</v>
      </c>
      <c r="O1106" s="123"/>
      <c r="P1106" s="123"/>
      <c r="Q1106" s="180"/>
      <c r="R1106" s="124"/>
      <c r="S1106" s="119"/>
      <c r="T1106" s="132"/>
    </row>
    <row r="1107" spans="1:20">
      <c r="B1107" s="398" t="s">
        <v>0</v>
      </c>
      <c r="C1107" s="400"/>
      <c r="D1107" s="488"/>
      <c r="E1107" s="401">
        <v>4325</v>
      </c>
      <c r="F1107" s="488">
        <f t="shared" ref="F1107:F1118" si="1160">100*E1107/$M$1105</f>
        <v>105.79745596868885</v>
      </c>
      <c r="G1107" s="401">
        <v>4680</v>
      </c>
      <c r="H1107" s="488">
        <f t="shared" ref="H1107:H1118" si="1161">100*G1107/$M$1105</f>
        <v>114.48140900195695</v>
      </c>
      <c r="I1107" s="401">
        <v>5858</v>
      </c>
      <c r="J1107" s="488">
        <f t="shared" ref="J1107:J1118" si="1162">100*I1107/$M$1105</f>
        <v>143.29745596868884</v>
      </c>
      <c r="K1107" s="401">
        <v>6040</v>
      </c>
      <c r="L1107" s="488">
        <f t="shared" ref="L1107:L1118" si="1163">100*K1107/$M$1105</f>
        <v>147.7495107632094</v>
      </c>
      <c r="M1107" s="401">
        <v>8176.7</v>
      </c>
      <c r="N1107" s="490">
        <f t="shared" ref="N1107:N1118" si="1164">100*M1107/$M$1105</f>
        <v>200.01712328767124</v>
      </c>
      <c r="O1107" s="123"/>
      <c r="P1107" s="123"/>
      <c r="Q1107" s="177"/>
      <c r="R1107" s="132"/>
      <c r="S1107" s="119"/>
      <c r="T1107" s="132"/>
    </row>
    <row r="1108" spans="1:20">
      <c r="B1108" s="403" t="s">
        <v>1</v>
      </c>
      <c r="C1108" s="405"/>
      <c r="D1108" s="411"/>
      <c r="E1108" s="406">
        <v>4500</v>
      </c>
      <c r="F1108" s="411">
        <f t="shared" si="1160"/>
        <v>110.07827788649706</v>
      </c>
      <c r="G1108" s="406">
        <v>4537.5</v>
      </c>
      <c r="H1108" s="411">
        <f t="shared" si="1161"/>
        <v>110.99559686888453</v>
      </c>
      <c r="I1108" s="406">
        <v>5880</v>
      </c>
      <c r="J1108" s="411">
        <f t="shared" si="1162"/>
        <v>143.83561643835617</v>
      </c>
      <c r="K1108" s="406">
        <v>6165</v>
      </c>
      <c r="L1108" s="411">
        <f t="shared" si="1163"/>
        <v>150.80724070450097</v>
      </c>
      <c r="M1108" s="406">
        <v>8310</v>
      </c>
      <c r="N1108" s="491">
        <f t="shared" si="1164"/>
        <v>203.27788649706457</v>
      </c>
      <c r="O1108" s="123"/>
      <c r="P1108" s="123"/>
      <c r="Q1108" s="177"/>
      <c r="R1108" s="132"/>
      <c r="S1108" s="119"/>
      <c r="T1108" s="132"/>
    </row>
    <row r="1109" spans="1:20">
      <c r="B1109" s="403" t="s">
        <v>2</v>
      </c>
      <c r="C1109" s="405"/>
      <c r="D1109" s="411"/>
      <c r="E1109" s="406">
        <v>4375</v>
      </c>
      <c r="F1109" s="411">
        <f t="shared" si="1160"/>
        <v>107.02054794520548</v>
      </c>
      <c r="G1109" s="406">
        <v>4565</v>
      </c>
      <c r="H1109" s="411">
        <f t="shared" si="1161"/>
        <v>111.66829745596868</v>
      </c>
      <c r="I1109" s="406">
        <v>5940</v>
      </c>
      <c r="J1109" s="411">
        <f t="shared" si="1162"/>
        <v>145.30332681017612</v>
      </c>
      <c r="K1109" s="406">
        <v>6220</v>
      </c>
      <c r="L1109" s="411">
        <f t="shared" si="1163"/>
        <v>152.15264187866927</v>
      </c>
      <c r="M1109" s="406">
        <v>8161.43</v>
      </c>
      <c r="N1109" s="491">
        <f t="shared" si="1164"/>
        <v>199.64359099804307</v>
      </c>
      <c r="O1109" s="123"/>
      <c r="P1109" s="123"/>
      <c r="Q1109" s="177"/>
      <c r="R1109" s="132"/>
      <c r="S1109" s="119"/>
      <c r="T1109" s="132"/>
    </row>
    <row r="1110" spans="1:20">
      <c r="B1110" s="403" t="s">
        <v>3</v>
      </c>
      <c r="C1110" s="404">
        <v>4088</v>
      </c>
      <c r="D1110" s="411">
        <v>100</v>
      </c>
      <c r="E1110" s="406">
        <v>4415</v>
      </c>
      <c r="F1110" s="411">
        <f t="shared" si="1160"/>
        <v>107.99902152641879</v>
      </c>
      <c r="G1110" s="406">
        <v>4510</v>
      </c>
      <c r="H1110" s="411">
        <f t="shared" si="1161"/>
        <v>110.3228962818004</v>
      </c>
      <c r="I1110" s="406">
        <v>5890</v>
      </c>
      <c r="J1110" s="411">
        <f t="shared" si="1162"/>
        <v>144.08023483365949</v>
      </c>
      <c r="K1110" s="406">
        <v>6239.6</v>
      </c>
      <c r="L1110" s="411">
        <f t="shared" si="1163"/>
        <v>152.63209393346381</v>
      </c>
      <c r="M1110" s="406">
        <v>8333.2999999999993</v>
      </c>
      <c r="N1110" s="491">
        <f t="shared" si="1164"/>
        <v>203.8478473581213</v>
      </c>
      <c r="O1110" s="123"/>
      <c r="P1110" s="123"/>
      <c r="Q1110" s="177"/>
      <c r="R1110" s="132"/>
      <c r="S1110" s="119"/>
      <c r="T1110" s="132"/>
    </row>
    <row r="1111" spans="1:20">
      <c r="B1111" s="403" t="s">
        <v>4</v>
      </c>
      <c r="C1111" s="404">
        <v>4130</v>
      </c>
      <c r="D1111" s="411">
        <f t="shared" ref="D1111:D1118" si="1165">100*(C1111/4088)</f>
        <v>101.02739726027397</v>
      </c>
      <c r="E1111" s="406">
        <v>4380</v>
      </c>
      <c r="F1111" s="411">
        <f t="shared" si="1160"/>
        <v>107.14285714285714</v>
      </c>
      <c r="G1111" s="406">
        <v>4443.3999999999996</v>
      </c>
      <c r="H1111" s="411">
        <f t="shared" si="1161"/>
        <v>108.69373776908022</v>
      </c>
      <c r="I1111" s="406">
        <v>6240</v>
      </c>
      <c r="J1111" s="411">
        <f t="shared" si="1162"/>
        <v>152.64187866927594</v>
      </c>
      <c r="K1111" s="406">
        <v>6275</v>
      </c>
      <c r="L1111" s="411">
        <f t="shared" si="1163"/>
        <v>153.49804305283757</v>
      </c>
      <c r="M1111" s="406">
        <v>8487.5</v>
      </c>
      <c r="N1111" s="491">
        <f t="shared" si="1164"/>
        <v>207.61986301369862</v>
      </c>
      <c r="O1111" s="123"/>
      <c r="P1111" s="123"/>
      <c r="Q1111" s="177"/>
      <c r="R1111" s="132"/>
      <c r="S1111" s="119"/>
      <c r="T1111" s="132"/>
    </row>
    <row r="1112" spans="1:20">
      <c r="B1112" s="403" t="s">
        <v>5</v>
      </c>
      <c r="C1112" s="404">
        <v>4132</v>
      </c>
      <c r="D1112" s="411">
        <f t="shared" si="1165"/>
        <v>101.07632093933464</v>
      </c>
      <c r="E1112" s="406">
        <v>4458</v>
      </c>
      <c r="F1112" s="411">
        <f t="shared" si="1160"/>
        <v>109.05088062622309</v>
      </c>
      <c r="G1112" s="406">
        <v>4410</v>
      </c>
      <c r="H1112" s="411">
        <f t="shared" si="1161"/>
        <v>107.87671232876713</v>
      </c>
      <c r="I1112" s="406">
        <v>5960</v>
      </c>
      <c r="J1112" s="411">
        <f t="shared" si="1162"/>
        <v>145.79256360078278</v>
      </c>
      <c r="K1112" s="406">
        <v>6310</v>
      </c>
      <c r="L1112" s="411">
        <f t="shared" si="1163"/>
        <v>154.35420743639921</v>
      </c>
      <c r="M1112" s="406">
        <v>8721.67</v>
      </c>
      <c r="N1112" s="491">
        <f t="shared" si="1164"/>
        <v>213.34809197651663</v>
      </c>
      <c r="O1112" s="123"/>
      <c r="P1112" s="123"/>
      <c r="Q1112" s="177"/>
      <c r="R1112" s="132"/>
      <c r="S1112" s="119"/>
      <c r="T1112" s="132"/>
    </row>
    <row r="1113" spans="1:20">
      <c r="B1113" s="403" t="s">
        <v>6</v>
      </c>
      <c r="C1113" s="404">
        <v>4130</v>
      </c>
      <c r="D1113" s="411">
        <f t="shared" si="1165"/>
        <v>101.02739726027397</v>
      </c>
      <c r="E1113" s="406">
        <v>4339.3999999999996</v>
      </c>
      <c r="F1113" s="411">
        <f t="shared" si="1160"/>
        <v>106.14970645792562</v>
      </c>
      <c r="G1113" s="406">
        <v>4656</v>
      </c>
      <c r="H1113" s="411">
        <f t="shared" si="1161"/>
        <v>113.89432485322897</v>
      </c>
      <c r="I1113" s="406">
        <v>6180</v>
      </c>
      <c r="J1113" s="411">
        <f t="shared" si="1162"/>
        <v>151.17416829745596</v>
      </c>
      <c r="K1113" s="406">
        <v>6736</v>
      </c>
      <c r="L1113" s="411">
        <f t="shared" si="1163"/>
        <v>164.77495107632095</v>
      </c>
      <c r="M1113" s="406">
        <v>8533.33</v>
      </c>
      <c r="N1113" s="491">
        <f t="shared" si="1164"/>
        <v>208.74094911937377</v>
      </c>
      <c r="O1113" s="123"/>
      <c r="P1113" s="123"/>
      <c r="Q1113" s="177"/>
      <c r="R1113" s="132"/>
      <c r="S1113" s="119"/>
      <c r="T1113" s="132"/>
    </row>
    <row r="1114" spans="1:20">
      <c r="B1114" s="403" t="s">
        <v>7</v>
      </c>
      <c r="C1114" s="404">
        <v>4240</v>
      </c>
      <c r="D1114" s="411">
        <f t="shared" si="1165"/>
        <v>103.71819960861058</v>
      </c>
      <c r="E1114" s="406">
        <v>4457</v>
      </c>
      <c r="F1114" s="411">
        <f t="shared" si="1160"/>
        <v>109.02641878669276</v>
      </c>
      <c r="G1114" s="406">
        <v>4592</v>
      </c>
      <c r="H1114" s="411">
        <f t="shared" si="1161"/>
        <v>112.32876712328768</v>
      </c>
      <c r="I1114" s="406">
        <v>5925</v>
      </c>
      <c r="J1114" s="411">
        <f t="shared" si="1162"/>
        <v>144.93639921722112</v>
      </c>
      <c r="K1114" s="406">
        <v>6645</v>
      </c>
      <c r="L1114" s="411">
        <f t="shared" si="1163"/>
        <v>162.54892367906066</v>
      </c>
      <c r="M1114" s="406">
        <v>8231.25</v>
      </c>
      <c r="N1114" s="491">
        <f t="shared" si="1164"/>
        <v>201.35151663405088</v>
      </c>
      <c r="O1114" s="123"/>
      <c r="P1114" s="123"/>
      <c r="Q1114" s="177"/>
      <c r="R1114" s="132"/>
      <c r="S1114" s="119"/>
      <c r="T1114" s="132"/>
    </row>
    <row r="1115" spans="1:20">
      <c r="B1115" s="403" t="s">
        <v>8</v>
      </c>
      <c r="C1115" s="404">
        <v>4159</v>
      </c>
      <c r="D1115" s="411">
        <f t="shared" si="1165"/>
        <v>101.73679060665361</v>
      </c>
      <c r="E1115" s="406">
        <v>4509.2</v>
      </c>
      <c r="F1115" s="411">
        <f t="shared" si="1160"/>
        <v>110.30332681017613</v>
      </c>
      <c r="G1115" s="406">
        <v>4580</v>
      </c>
      <c r="H1115" s="411">
        <f t="shared" si="1161"/>
        <v>112.03522504892368</v>
      </c>
      <c r="I1115" s="406">
        <v>5900</v>
      </c>
      <c r="J1115" s="411">
        <f t="shared" si="1162"/>
        <v>144.32485322896281</v>
      </c>
      <c r="K1115" s="406">
        <v>7020</v>
      </c>
      <c r="L1115" s="411">
        <f t="shared" si="1163"/>
        <v>171.72211350293543</v>
      </c>
      <c r="M1115" s="406">
        <v>7947.14</v>
      </c>
      <c r="N1115" s="491">
        <f t="shared" si="1164"/>
        <v>194.40166340508807</v>
      </c>
      <c r="O1115" s="123"/>
      <c r="P1115" s="123"/>
      <c r="Q1115" s="177"/>
      <c r="R1115" s="132"/>
      <c r="S1115" s="119"/>
      <c r="T1115" s="132"/>
    </row>
    <row r="1116" spans="1:20">
      <c r="B1116" s="403" t="s">
        <v>9</v>
      </c>
      <c r="C1116" s="404">
        <v>4195</v>
      </c>
      <c r="D1116" s="411">
        <f t="shared" si="1165"/>
        <v>102.61741682974559</v>
      </c>
      <c r="E1116" s="406">
        <v>4490</v>
      </c>
      <c r="F1116" s="411">
        <f t="shared" si="1160"/>
        <v>109.83365949119374</v>
      </c>
      <c r="G1116" s="406">
        <v>4820</v>
      </c>
      <c r="H1116" s="411">
        <f t="shared" si="1161"/>
        <v>117.90606653620353</v>
      </c>
      <c r="I1116" s="406">
        <v>6051.2</v>
      </c>
      <c r="J1116" s="411">
        <f t="shared" si="1162"/>
        <v>148.02348336594912</v>
      </c>
      <c r="K1116" s="406">
        <v>7563</v>
      </c>
      <c r="L1116" s="411">
        <f t="shared" si="1163"/>
        <v>185.00489236790608</v>
      </c>
      <c r="M1116" s="406">
        <v>8513.75</v>
      </c>
      <c r="N1116" s="491">
        <f t="shared" si="1164"/>
        <v>208.26198630136986</v>
      </c>
      <c r="O1116" s="123"/>
      <c r="P1116" s="123"/>
      <c r="Q1116" s="177"/>
      <c r="R1116" s="132"/>
      <c r="S1116" s="119"/>
      <c r="T1116" s="132"/>
    </row>
    <row r="1117" spans="1:20">
      <c r="B1117" s="403" t="s">
        <v>10</v>
      </c>
      <c r="C1117" s="404">
        <v>4465</v>
      </c>
      <c r="D1117" s="411">
        <f t="shared" si="1165"/>
        <v>109.22211350293543</v>
      </c>
      <c r="E1117" s="406">
        <v>4275</v>
      </c>
      <c r="F1117" s="411">
        <f t="shared" si="1160"/>
        <v>104.57436399217221</v>
      </c>
      <c r="G1117" s="406">
        <v>5400</v>
      </c>
      <c r="H1117" s="411">
        <f t="shared" si="1161"/>
        <v>132.09393346379647</v>
      </c>
      <c r="I1117" s="406">
        <v>6054</v>
      </c>
      <c r="J1117" s="411">
        <f t="shared" si="1162"/>
        <v>148.09197651663405</v>
      </c>
      <c r="K1117" s="406">
        <v>7882</v>
      </c>
      <c r="L1117" s="411">
        <f t="shared" si="1163"/>
        <v>192.8082191780822</v>
      </c>
      <c r="M1117" s="406">
        <v>8371.67</v>
      </c>
      <c r="N1117" s="491">
        <f t="shared" si="1164"/>
        <v>204.78644814090021</v>
      </c>
      <c r="O1117" s="123"/>
      <c r="P1117" s="123"/>
      <c r="Q1117" s="177"/>
      <c r="R1117" s="132"/>
      <c r="S1117" s="119"/>
      <c r="T1117" s="132"/>
    </row>
    <row r="1118" spans="1:20" ht="15.75" thickBot="1">
      <c r="B1118" s="413" t="s">
        <v>11</v>
      </c>
      <c r="C1118" s="414">
        <v>4162.5</v>
      </c>
      <c r="D1118" s="417">
        <f t="shared" si="1165"/>
        <v>101.82240704500978</v>
      </c>
      <c r="E1118" s="416">
        <v>4480</v>
      </c>
      <c r="F1118" s="417">
        <f t="shared" si="1160"/>
        <v>109.58904109589041</v>
      </c>
      <c r="G1118" s="416">
        <v>5440</v>
      </c>
      <c r="H1118" s="417">
        <f t="shared" si="1161"/>
        <v>133.07240704500978</v>
      </c>
      <c r="I1118" s="416">
        <v>6350</v>
      </c>
      <c r="J1118" s="417">
        <f t="shared" si="1162"/>
        <v>155.33268101761252</v>
      </c>
      <c r="K1118" s="416">
        <v>7900</v>
      </c>
      <c r="L1118" s="417">
        <f t="shared" si="1163"/>
        <v>193.24853228962817</v>
      </c>
      <c r="M1118" s="416">
        <v>8330</v>
      </c>
      <c r="N1118" s="494">
        <f t="shared" si="1164"/>
        <v>203.76712328767124</v>
      </c>
      <c r="O1118" s="123"/>
      <c r="P1118" s="123"/>
      <c r="Q1118" s="177"/>
      <c r="R1118" s="132"/>
      <c r="S1118" s="119"/>
      <c r="T1118" s="132"/>
    </row>
    <row r="1119" spans="1:20">
      <c r="B1119" s="119"/>
      <c r="C1119" s="122"/>
      <c r="D1119" s="123"/>
      <c r="E1119" s="118"/>
      <c r="F1119" s="123"/>
      <c r="G1119" s="118"/>
      <c r="H1119" s="123"/>
      <c r="I1119" s="118"/>
      <c r="J1119" s="123"/>
      <c r="K1119" s="118"/>
      <c r="L1119" s="123"/>
      <c r="M1119" s="118"/>
      <c r="N1119" s="123"/>
      <c r="O1119" s="123"/>
      <c r="P1119" s="123"/>
      <c r="Q1119" s="177"/>
      <c r="R1119" s="132"/>
      <c r="S1119" s="119"/>
      <c r="T1119" s="132"/>
    </row>
    <row r="1120" spans="1:20" ht="24" thickBot="1">
      <c r="A1120" s="121" t="s">
        <v>225</v>
      </c>
      <c r="B1120" s="1393" t="s">
        <v>130</v>
      </c>
      <c r="C1120" s="1393"/>
      <c r="D1120" s="1393"/>
      <c r="E1120" s="1393"/>
      <c r="F1120" s="1393"/>
      <c r="G1120" s="583" t="s">
        <v>304</v>
      </c>
      <c r="H1120" s="584"/>
      <c r="I1120" s="585"/>
      <c r="J1120" s="585"/>
      <c r="K1120" s="586"/>
      <c r="L1120" s="586"/>
      <c r="M1120" s="1408">
        <v>4088</v>
      </c>
      <c r="N1120" s="1408"/>
      <c r="O1120" s="119"/>
      <c r="P1120" s="119"/>
      <c r="Q1120" s="177"/>
      <c r="R1120" s="132"/>
      <c r="S1120" s="119"/>
      <c r="T1120" s="132"/>
    </row>
    <row r="1121" spans="2:20" ht="15.75" thickBot="1">
      <c r="B1121" s="1310" t="s">
        <v>219</v>
      </c>
      <c r="C1121" s="1311"/>
      <c r="D1121" s="334" t="s">
        <v>15</v>
      </c>
      <c r="E1121" s="552" t="s">
        <v>220</v>
      </c>
      <c r="F1121" s="334" t="s">
        <v>15</v>
      </c>
      <c r="G1121" s="552" t="s">
        <v>221</v>
      </c>
      <c r="H1121" s="334" t="s">
        <v>15</v>
      </c>
      <c r="I1121" s="335">
        <v>2009</v>
      </c>
      <c r="J1121" s="334">
        <v>2010</v>
      </c>
      <c r="K1121" s="335">
        <v>2010</v>
      </c>
      <c r="L1121" s="334" t="s">
        <v>15</v>
      </c>
      <c r="M1121" s="335">
        <v>2011</v>
      </c>
      <c r="N1121" s="353" t="s">
        <v>15</v>
      </c>
      <c r="O1121" s="123"/>
      <c r="P1121" s="123"/>
      <c r="Q1121" s="177"/>
      <c r="R1121" s="132"/>
      <c r="S1121" s="119"/>
      <c r="T1121" s="132"/>
    </row>
    <row r="1122" spans="2:20">
      <c r="B1122" s="306" t="s">
        <v>0</v>
      </c>
      <c r="C1122" s="388">
        <v>8827.5</v>
      </c>
      <c r="D1122" s="308">
        <f t="shared" ref="D1122:D1133" si="1166">100*C1122/$M$1105</f>
        <v>215.93688845401175</v>
      </c>
      <c r="E1122" s="307">
        <v>8416.67</v>
      </c>
      <c r="F1122" s="308">
        <f t="shared" ref="F1122:F1133" si="1167">100*E1122/$M$1105</f>
        <v>205.88723091976516</v>
      </c>
      <c r="G1122" s="307">
        <v>10335</v>
      </c>
      <c r="H1122" s="308">
        <f t="shared" ref="H1122:H1133" si="1168">100*G1122/$M$1105</f>
        <v>252.81311154598825</v>
      </c>
      <c r="I1122" s="307">
        <v>11091.666666666666</v>
      </c>
      <c r="J1122" s="308">
        <f t="shared" ref="J1122:J1133" si="1169">100*I1122/$M$1105</f>
        <v>271.32257012393995</v>
      </c>
      <c r="K1122" s="307">
        <v>11752.625</v>
      </c>
      <c r="L1122" s="308">
        <f t="shared" ref="L1122:L1133" si="1170">100*K1122/$M$1105</f>
        <v>287.49082681017615</v>
      </c>
      <c r="M1122" s="307">
        <v>11923</v>
      </c>
      <c r="N1122" s="309">
        <f t="shared" ref="N1122:N1133" si="1171">100*M1122/$M$1105</f>
        <v>291.65851272015658</v>
      </c>
      <c r="O1122" s="123"/>
      <c r="P1122" s="174">
        <f>+G1128/G1123-1</f>
        <v>6.7431449356463391E-2</v>
      </c>
      <c r="Q1122" s="177"/>
      <c r="R1122" s="132"/>
      <c r="S1122" s="119"/>
      <c r="T1122" s="132"/>
    </row>
    <row r="1123" spans="2:20">
      <c r="B1123" s="310" t="s">
        <v>1</v>
      </c>
      <c r="C1123" s="385">
        <v>8725</v>
      </c>
      <c r="D1123" s="312">
        <f t="shared" si="1166"/>
        <v>213.42954990215264</v>
      </c>
      <c r="E1123" s="311">
        <v>8491.67</v>
      </c>
      <c r="F1123" s="312">
        <f t="shared" si="1167"/>
        <v>207.72186888454013</v>
      </c>
      <c r="G1123" s="311">
        <v>10211.428571428571</v>
      </c>
      <c r="H1123" s="312">
        <f t="shared" si="1168"/>
        <v>249.79032708973998</v>
      </c>
      <c r="I1123" s="311">
        <v>11037.5</v>
      </c>
      <c r="J1123" s="312">
        <f t="shared" si="1169"/>
        <v>269.99755381604695</v>
      </c>
      <c r="K1123" s="311">
        <v>11752.625</v>
      </c>
      <c r="L1123" s="312">
        <f t="shared" si="1170"/>
        <v>287.49082681017615</v>
      </c>
      <c r="M1123" s="311">
        <v>11923</v>
      </c>
      <c r="N1123" s="313">
        <f t="shared" si="1171"/>
        <v>291.65851272015658</v>
      </c>
      <c r="O1123" s="123"/>
      <c r="P1123" s="123"/>
      <c r="Q1123" s="177"/>
      <c r="R1123" s="132"/>
      <c r="S1123" s="119"/>
      <c r="T1123" s="132"/>
    </row>
    <row r="1124" spans="2:20">
      <c r="B1124" s="310" t="s">
        <v>2</v>
      </c>
      <c r="C1124" s="385">
        <v>8530.2900000000009</v>
      </c>
      <c r="D1124" s="312">
        <f t="shared" si="1166"/>
        <v>208.66658512720159</v>
      </c>
      <c r="E1124" s="311">
        <v>8605</v>
      </c>
      <c r="F1124" s="312">
        <f t="shared" si="1167"/>
        <v>210.49412915851272</v>
      </c>
      <c r="G1124" s="311">
        <v>10457.142857142857</v>
      </c>
      <c r="H1124" s="312">
        <f t="shared" si="1168"/>
        <v>255.80095051719317</v>
      </c>
      <c r="I1124" s="311">
        <v>11068.75</v>
      </c>
      <c r="J1124" s="312">
        <f t="shared" si="1169"/>
        <v>270.76198630136986</v>
      </c>
      <c r="K1124" s="311">
        <v>11065.125</v>
      </c>
      <c r="L1124" s="312">
        <f t="shared" si="1170"/>
        <v>270.67331213307239</v>
      </c>
      <c r="M1124" s="311">
        <v>11923</v>
      </c>
      <c r="N1124" s="313">
        <f t="shared" si="1171"/>
        <v>291.65851272015658</v>
      </c>
      <c r="O1124" s="123"/>
      <c r="P1124" s="123"/>
      <c r="Q1124" s="177"/>
      <c r="R1124" s="132"/>
      <c r="S1124" s="119"/>
      <c r="T1124" s="132"/>
    </row>
    <row r="1125" spans="2:20">
      <c r="B1125" s="310" t="s">
        <v>3</v>
      </c>
      <c r="C1125" s="385">
        <v>8455</v>
      </c>
      <c r="D1125" s="312">
        <f t="shared" si="1166"/>
        <v>206.82485322896281</v>
      </c>
      <c r="E1125" s="311">
        <v>8761.33</v>
      </c>
      <c r="F1125" s="312">
        <f t="shared" si="1167"/>
        <v>214.31824853228963</v>
      </c>
      <c r="G1125" s="311">
        <v>10337.5</v>
      </c>
      <c r="H1125" s="312">
        <f t="shared" si="1168"/>
        <v>252.8742661448141</v>
      </c>
      <c r="I1125" s="311">
        <v>11100</v>
      </c>
      <c r="J1125" s="312">
        <f t="shared" si="1169"/>
        <v>271.52641878669277</v>
      </c>
      <c r="K1125" s="311">
        <v>10702.625</v>
      </c>
      <c r="L1125" s="312">
        <f t="shared" si="1170"/>
        <v>261.80589530332679</v>
      </c>
      <c r="M1125" s="311">
        <v>12043</v>
      </c>
      <c r="N1125" s="313">
        <f t="shared" si="1171"/>
        <v>294.59393346379647</v>
      </c>
      <c r="O1125" s="123"/>
      <c r="P1125" s="123"/>
      <c r="Q1125" s="177"/>
      <c r="R1125" s="132"/>
      <c r="S1125" s="119"/>
      <c r="T1125" s="132"/>
    </row>
    <row r="1126" spans="2:20">
      <c r="B1126" s="310" t="s">
        <v>4</v>
      </c>
      <c r="C1126" s="385">
        <v>8946.76</v>
      </c>
      <c r="D1126" s="312">
        <f t="shared" si="1166"/>
        <v>218.85420743639921</v>
      </c>
      <c r="E1126" s="311">
        <v>8708.33</v>
      </c>
      <c r="F1126" s="312">
        <f t="shared" si="1167"/>
        <v>213.02177103718199</v>
      </c>
      <c r="G1126" s="311">
        <v>10641.666666666666</v>
      </c>
      <c r="H1126" s="312">
        <f t="shared" si="1168"/>
        <v>260.31474233529025</v>
      </c>
      <c r="I1126" s="311">
        <v>11200</v>
      </c>
      <c r="J1126" s="312">
        <f t="shared" si="1169"/>
        <v>273.97260273972603</v>
      </c>
      <c r="K1126" s="311">
        <v>11724.2</v>
      </c>
      <c r="L1126" s="312">
        <f t="shared" si="1170"/>
        <v>286.79549902152644</v>
      </c>
      <c r="M1126" s="311">
        <v>12043</v>
      </c>
      <c r="N1126" s="313">
        <f t="shared" si="1171"/>
        <v>294.59393346379647</v>
      </c>
      <c r="O1126" s="123"/>
      <c r="P1126" s="123"/>
      <c r="Q1126" s="177"/>
      <c r="R1126" s="132"/>
      <c r="S1126" s="119"/>
      <c r="T1126" s="132"/>
    </row>
    <row r="1127" spans="2:20">
      <c r="B1127" s="310" t="s">
        <v>5</v>
      </c>
      <c r="C1127" s="385">
        <v>8917.4</v>
      </c>
      <c r="D1127" s="312">
        <f t="shared" si="1166"/>
        <v>218.13600782778866</v>
      </c>
      <c r="E1127" s="311">
        <v>8813.3333333333339</v>
      </c>
      <c r="F1127" s="312">
        <f t="shared" si="1167"/>
        <v>215.59034572733205</v>
      </c>
      <c r="G1127" s="311">
        <v>10637.5</v>
      </c>
      <c r="H1127" s="312">
        <f t="shared" si="1168"/>
        <v>260.21281800391387</v>
      </c>
      <c r="I1127" s="311">
        <v>11243.75</v>
      </c>
      <c r="J1127" s="312">
        <f t="shared" si="1169"/>
        <v>275.04280821917808</v>
      </c>
      <c r="K1127" s="311">
        <v>11724.2</v>
      </c>
      <c r="L1127" s="312">
        <f t="shared" si="1170"/>
        <v>286.79549902152644</v>
      </c>
      <c r="M1127" s="311">
        <v>12043</v>
      </c>
      <c r="N1127" s="313">
        <f t="shared" si="1171"/>
        <v>294.59393346379647</v>
      </c>
      <c r="O1127" s="123"/>
      <c r="P1127" s="123"/>
      <c r="Q1127" s="177"/>
      <c r="R1127" s="132"/>
      <c r="S1127" s="119"/>
      <c r="T1127" s="132"/>
    </row>
    <row r="1128" spans="2:20">
      <c r="B1128" s="310" t="s">
        <v>6</v>
      </c>
      <c r="C1128" s="385">
        <v>9148</v>
      </c>
      <c r="D1128" s="312">
        <f t="shared" si="1166"/>
        <v>223.77690802348337</v>
      </c>
      <c r="E1128" s="311">
        <v>9970</v>
      </c>
      <c r="F1128" s="312">
        <f t="shared" si="1167"/>
        <v>243.88454011741683</v>
      </c>
      <c r="G1128" s="311">
        <v>10900</v>
      </c>
      <c r="H1128" s="312">
        <f t="shared" si="1168"/>
        <v>266.63405088062621</v>
      </c>
      <c r="I1128" s="311">
        <v>11250</v>
      </c>
      <c r="J1128" s="312">
        <f t="shared" si="1169"/>
        <v>275.19569471624266</v>
      </c>
      <c r="K1128" s="311">
        <v>11724.2</v>
      </c>
      <c r="L1128" s="312">
        <f t="shared" si="1170"/>
        <v>286.79549902152644</v>
      </c>
      <c r="M1128" s="311">
        <v>12043</v>
      </c>
      <c r="N1128" s="313">
        <f t="shared" si="1171"/>
        <v>294.59393346379647</v>
      </c>
      <c r="O1128" s="123"/>
      <c r="P1128" s="123"/>
      <c r="Q1128" s="177"/>
      <c r="R1128" s="132"/>
      <c r="S1128" s="119"/>
      <c r="T1128" s="132"/>
    </row>
    <row r="1129" spans="2:20">
      <c r="B1129" s="310" t="s">
        <v>7</v>
      </c>
      <c r="C1129" s="385">
        <v>9098</v>
      </c>
      <c r="D1129" s="312">
        <f t="shared" si="1166"/>
        <v>222.55381604696674</v>
      </c>
      <c r="E1129" s="311">
        <v>9686</v>
      </c>
      <c r="F1129" s="312">
        <f t="shared" si="1167"/>
        <v>236.93737769080235</v>
      </c>
      <c r="G1129" s="311">
        <v>11007.142857142857</v>
      </c>
      <c r="H1129" s="312">
        <f t="shared" si="1168"/>
        <v>269.25496225887616</v>
      </c>
      <c r="I1129" s="311">
        <v>11356.25</v>
      </c>
      <c r="J1129" s="312">
        <f t="shared" si="1169"/>
        <v>277.79476516634048</v>
      </c>
      <c r="K1129" s="311">
        <v>11770.166666666666</v>
      </c>
      <c r="L1129" s="312">
        <f t="shared" si="1170"/>
        <v>287.91992824527068</v>
      </c>
      <c r="M1129" s="311">
        <v>12043</v>
      </c>
      <c r="N1129" s="313">
        <f t="shared" si="1171"/>
        <v>294.59393346379647</v>
      </c>
      <c r="O1129" s="123"/>
      <c r="P1129" s="123"/>
      <c r="Q1129" s="177"/>
      <c r="R1129" s="132"/>
      <c r="S1129" s="119"/>
      <c r="T1129" s="132"/>
    </row>
    <row r="1130" spans="2:20">
      <c r="B1130" s="310" t="s">
        <v>8</v>
      </c>
      <c r="C1130" s="385">
        <v>9142</v>
      </c>
      <c r="D1130" s="312">
        <f t="shared" si="1166"/>
        <v>223.63013698630138</v>
      </c>
      <c r="E1130" s="311">
        <v>9860</v>
      </c>
      <c r="F1130" s="312">
        <f t="shared" si="1167"/>
        <v>241.19373776908023</v>
      </c>
      <c r="G1130" s="311">
        <v>10987.5</v>
      </c>
      <c r="H1130" s="312">
        <f t="shared" si="1168"/>
        <v>268.77446183953032</v>
      </c>
      <c r="I1130" s="311">
        <v>11392.857142857143</v>
      </c>
      <c r="J1130" s="312">
        <f t="shared" si="1169"/>
        <v>278.69024322057589</v>
      </c>
      <c r="K1130" s="311">
        <v>11803</v>
      </c>
      <c r="L1130" s="312">
        <f t="shared" si="1170"/>
        <v>288.72309197651663</v>
      </c>
      <c r="M1130" s="311">
        <v>12043</v>
      </c>
      <c r="N1130" s="313">
        <f t="shared" si="1171"/>
        <v>294.59393346379647</v>
      </c>
      <c r="O1130" s="123"/>
      <c r="P1130" s="123"/>
      <c r="Q1130" s="177"/>
      <c r="R1130" s="132"/>
      <c r="S1130" s="119"/>
      <c r="T1130" s="132"/>
    </row>
    <row r="1131" spans="2:20">
      <c r="B1131" s="310" t="s">
        <v>9</v>
      </c>
      <c r="C1131" s="385">
        <v>8931.67</v>
      </c>
      <c r="D1131" s="312">
        <f t="shared" si="1166"/>
        <v>218.48507827788649</v>
      </c>
      <c r="E1131" s="311">
        <v>9980</v>
      </c>
      <c r="F1131" s="312">
        <f t="shared" si="1167"/>
        <v>244.12915851272015</v>
      </c>
      <c r="G1131" s="311">
        <v>11031.25</v>
      </c>
      <c r="H1131" s="312">
        <f t="shared" si="1168"/>
        <v>269.84466731898237</v>
      </c>
      <c r="I1131" s="311">
        <v>11550</v>
      </c>
      <c r="J1131" s="312">
        <f t="shared" si="1169"/>
        <v>282.53424657534248</v>
      </c>
      <c r="K1131" s="311">
        <v>11803</v>
      </c>
      <c r="L1131" s="312">
        <f t="shared" si="1170"/>
        <v>288.72309197651663</v>
      </c>
      <c r="M1131" s="311">
        <v>12043</v>
      </c>
      <c r="N1131" s="313">
        <f t="shared" si="1171"/>
        <v>294.59393346379647</v>
      </c>
      <c r="O1131" s="123"/>
      <c r="P1131" s="123"/>
      <c r="Q1131" s="177"/>
      <c r="R1131" s="132"/>
      <c r="S1131" s="119"/>
      <c r="T1131" s="132"/>
    </row>
    <row r="1132" spans="2:20">
      <c r="B1132" s="310" t="s">
        <v>10</v>
      </c>
      <c r="C1132" s="385">
        <v>8587.14</v>
      </c>
      <c r="D1132" s="312">
        <f t="shared" si="1166"/>
        <v>210.05724070450097</v>
      </c>
      <c r="E1132" s="311">
        <v>9997.5</v>
      </c>
      <c r="F1132" s="312">
        <f t="shared" si="1167"/>
        <v>244.55724070450097</v>
      </c>
      <c r="G1132" s="311">
        <v>11058.333333333334</v>
      </c>
      <c r="H1132" s="312">
        <f t="shared" si="1168"/>
        <v>270.50717547292896</v>
      </c>
      <c r="I1132" s="311">
        <v>11700</v>
      </c>
      <c r="J1132" s="312">
        <f t="shared" si="1169"/>
        <v>286.20352250489236</v>
      </c>
      <c r="K1132" s="311">
        <v>11803</v>
      </c>
      <c r="L1132" s="312">
        <f t="shared" si="1170"/>
        <v>288.72309197651663</v>
      </c>
      <c r="M1132" s="311">
        <v>12043</v>
      </c>
      <c r="N1132" s="313">
        <f t="shared" si="1171"/>
        <v>294.59393346379647</v>
      </c>
      <c r="O1132" s="123"/>
      <c r="P1132" s="123"/>
      <c r="Q1132" s="177"/>
      <c r="R1132" s="132"/>
      <c r="S1132" s="119"/>
      <c r="T1132" s="132"/>
    </row>
    <row r="1133" spans="2:20" ht="15.75" thickBot="1">
      <c r="B1133" s="314" t="s">
        <v>11</v>
      </c>
      <c r="C1133" s="386">
        <v>8366</v>
      </c>
      <c r="D1133" s="316">
        <f t="shared" si="1166"/>
        <v>204.64774951076322</v>
      </c>
      <c r="E1133" s="315">
        <v>10011.428571428571</v>
      </c>
      <c r="F1133" s="316">
        <f t="shared" si="1167"/>
        <v>244.89795918367344</v>
      </c>
      <c r="G1133" s="315">
        <v>11056.25</v>
      </c>
      <c r="H1133" s="316">
        <f t="shared" si="1168"/>
        <v>270.45621330724072</v>
      </c>
      <c r="I1133" s="315">
        <v>11856.25</v>
      </c>
      <c r="J1133" s="316">
        <f t="shared" si="1169"/>
        <v>290.02568493150687</v>
      </c>
      <c r="K1133" s="315">
        <v>11803</v>
      </c>
      <c r="L1133" s="316">
        <f t="shared" si="1170"/>
        <v>288.72309197651663</v>
      </c>
      <c r="M1133" s="315">
        <v>12043</v>
      </c>
      <c r="N1133" s="317">
        <f t="shared" si="1171"/>
        <v>294.59393346379647</v>
      </c>
      <c r="O1133" s="123"/>
      <c r="P1133" s="123"/>
      <c r="Q1133" s="177"/>
      <c r="R1133" s="132"/>
      <c r="S1133" s="119"/>
      <c r="T1133" s="132"/>
    </row>
    <row r="1134" spans="2:20">
      <c r="B1134" s="119"/>
      <c r="C1134" s="122"/>
      <c r="D1134" s="123"/>
      <c r="E1134" s="118"/>
      <c r="F1134" s="123"/>
      <c r="G1134" s="118"/>
      <c r="H1134" s="123"/>
      <c r="I1134" s="118"/>
      <c r="J1134" s="123"/>
      <c r="K1134" s="118"/>
      <c r="L1134" s="123"/>
      <c r="M1134" s="118"/>
      <c r="N1134" s="123"/>
      <c r="O1134" s="123"/>
      <c r="P1134" s="123"/>
      <c r="Q1134" s="177"/>
      <c r="R1134" s="132"/>
      <c r="S1134" s="119"/>
      <c r="T1134" s="132"/>
    </row>
    <row r="1135" spans="2:20" ht="15.75">
      <c r="B1135" s="1304" t="s">
        <v>226</v>
      </c>
      <c r="C1135" s="1305"/>
      <c r="D1135" s="1305"/>
      <c r="E1135" s="1305"/>
      <c r="F1135" s="1305"/>
      <c r="G1135" s="1305"/>
      <c r="H1135" s="1305"/>
      <c r="I1135" s="1305"/>
      <c r="J1135" s="1305"/>
      <c r="K1135" s="1305"/>
      <c r="L1135" s="1305"/>
      <c r="M1135" s="1305"/>
      <c r="N1135" s="1305"/>
      <c r="O1135" s="1305"/>
      <c r="P1135" s="1305"/>
      <c r="Q1135" s="1305"/>
      <c r="R1135" s="1305"/>
      <c r="S1135" s="1305"/>
      <c r="T1135" s="1305"/>
    </row>
    <row r="1136" spans="2:20" ht="15.75" thickBot="1">
      <c r="B1136" s="1406" t="s">
        <v>290</v>
      </c>
      <c r="C1136" s="1407"/>
      <c r="D1136" s="325" t="s">
        <v>15</v>
      </c>
      <c r="E1136" s="651">
        <v>2013</v>
      </c>
      <c r="F1136" s="325" t="s">
        <v>15</v>
      </c>
      <c r="G1136" s="651">
        <v>2014</v>
      </c>
      <c r="H1136" s="325" t="s">
        <v>15</v>
      </c>
      <c r="I1136" s="651">
        <v>2015</v>
      </c>
      <c r="J1136" s="325" t="s">
        <v>15</v>
      </c>
      <c r="K1136" s="651">
        <v>2016</v>
      </c>
      <c r="L1136" s="325" t="s">
        <v>15</v>
      </c>
      <c r="M1136" s="651">
        <v>2017</v>
      </c>
      <c r="N1136" s="325" t="s">
        <v>15</v>
      </c>
      <c r="O1136" s="651">
        <v>2018</v>
      </c>
      <c r="P1136" s="325" t="s">
        <v>15</v>
      </c>
      <c r="Q1136" s="651">
        <v>2019</v>
      </c>
      <c r="R1136" s="325" t="s">
        <v>15</v>
      </c>
      <c r="S1136" s="651">
        <v>2020</v>
      </c>
      <c r="T1136" s="325" t="s">
        <v>15</v>
      </c>
    </row>
    <row r="1137" spans="2:20">
      <c r="B1137" s="306" t="s">
        <v>0</v>
      </c>
      <c r="C1137" s="388">
        <v>12043</v>
      </c>
      <c r="D1137" s="309">
        <f t="shared" ref="D1137:D1144" si="1172">100*C1137/$M$1105</f>
        <v>294.59393346379647</v>
      </c>
      <c r="E1137" s="658">
        <f>[9]PLANCUSce!$H$29</f>
        <v>12405.125</v>
      </c>
      <c r="F1137" s="655">
        <f t="shared" ref="F1137:F1142" si="1173">100*E1137/$M$1105</f>
        <v>303.45217710371821</v>
      </c>
      <c r="G1137" s="658">
        <f>[10]PLANCUSce!$H$29</f>
        <v>12405.125</v>
      </c>
      <c r="H1137" s="655">
        <f t="shared" ref="H1137:H1142" si="1174">100*G1137/$M$1105</f>
        <v>303.45217710371821</v>
      </c>
      <c r="I1137" s="658">
        <f>[11]PLANCUSce!$H$29</f>
        <v>12472.375</v>
      </c>
      <c r="J1137" s="655">
        <f t="shared" ref="J1137:J1142" si="1175">100*I1137/$M$1105</f>
        <v>305.09723581213308</v>
      </c>
      <c r="K1137" s="658">
        <f>[12]PLANCUSce!$H$29</f>
        <v>12757.898046875</v>
      </c>
      <c r="L1137" s="655">
        <f t="shared" ref="L1137" si="1176">100*K1137/$M$1105</f>
        <v>312.081654767001</v>
      </c>
      <c r="M1137" s="658">
        <f>[13]PLANCUSce!$H$29</f>
        <v>12832.648046875</v>
      </c>
      <c r="N1137" s="655">
        <f t="shared" ref="N1137" si="1177">100*M1137/$M$1105</f>
        <v>313.91017727189336</v>
      </c>
      <c r="O1137" s="658">
        <f>[14]PLANCUSce!$H$29</f>
        <v>13032.748046875</v>
      </c>
      <c r="P1137" s="655">
        <f t="shared" ref="P1137" si="1178">100*O1137/$M$1105</f>
        <v>318.80499136191293</v>
      </c>
      <c r="Q1137" s="658">
        <f>[15]PLANCUSce!$I$29</f>
        <v>13384.748046875</v>
      </c>
      <c r="R1137" s="655">
        <f t="shared" ref="R1137" si="1179">100*Q1137/$M$1105</f>
        <v>327.41555887659001</v>
      </c>
      <c r="S1137" s="658">
        <f>[16]PLANCUSce!$I$29</f>
        <v>13712.223046874999</v>
      </c>
      <c r="T1137" s="655">
        <f t="shared" ref="T1137" si="1180">100*S1137/$M$1105</f>
        <v>335.42619977678567</v>
      </c>
    </row>
    <row r="1138" spans="2:20">
      <c r="B1138" s="310" t="s">
        <v>1</v>
      </c>
      <c r="C1138" s="385">
        <v>12205.857142857143</v>
      </c>
      <c r="D1138" s="313">
        <f t="shared" si="1172"/>
        <v>298.57771875873635</v>
      </c>
      <c r="E1138" s="660">
        <f>[17]PLANCUSce!$H$29</f>
        <v>12405.125</v>
      </c>
      <c r="F1138" s="313">
        <f t="shared" si="1173"/>
        <v>303.45217710371821</v>
      </c>
      <c r="G1138" s="660">
        <f>[18]PLANCUSce!$H$29</f>
        <v>12405.125</v>
      </c>
      <c r="H1138" s="313">
        <f t="shared" si="1174"/>
        <v>303.45217710371821</v>
      </c>
      <c r="I1138" s="660">
        <f>[19]PLANCUSce!$H$29</f>
        <v>12472.375</v>
      </c>
      <c r="J1138" s="313">
        <f t="shared" si="1175"/>
        <v>305.09723581213308</v>
      </c>
      <c r="K1138" s="660">
        <f>[20]PLANCUSce!$H$29</f>
        <v>12757.898046875</v>
      </c>
      <c r="L1138" s="313">
        <f t="shared" ref="L1138" si="1181">100*K1138/$M$1105</f>
        <v>312.081654767001</v>
      </c>
      <c r="M1138" s="660">
        <f>[21]PLANCUSce!$H$29</f>
        <v>12832.648046875</v>
      </c>
      <c r="N1138" s="313">
        <f t="shared" ref="N1138" si="1182">100*M1138/$M$1105</f>
        <v>313.91017727189336</v>
      </c>
      <c r="O1138" s="660">
        <f>[22]PLANCUSce!$H$29</f>
        <v>13032.748046875</v>
      </c>
      <c r="P1138" s="313">
        <f t="shared" ref="P1138" si="1183">100*O1138/$M$1105</f>
        <v>318.80499136191293</v>
      </c>
      <c r="Q1138" s="660">
        <f>[23]PLANCUSce!$I$29</f>
        <v>13712.223046874999</v>
      </c>
      <c r="R1138" s="313">
        <f t="shared" ref="R1138" si="1184">100*Q1138/$M$1105</f>
        <v>335.42619977678567</v>
      </c>
      <c r="S1138" s="660">
        <f>[24]PLANCUSce!$I$29</f>
        <v>13712.223046874999</v>
      </c>
      <c r="T1138" s="313">
        <f t="shared" ref="T1138" si="1185">100*S1138/$M$1105</f>
        <v>335.42619977678567</v>
      </c>
    </row>
    <row r="1139" spans="2:20">
      <c r="B1139" s="310" t="s">
        <v>2</v>
      </c>
      <c r="C1139" s="385">
        <v>12405.125</v>
      </c>
      <c r="D1139" s="313">
        <f t="shared" si="1172"/>
        <v>303.45217710371821</v>
      </c>
      <c r="E1139" s="660">
        <f>[25]PLANCUSce!$H$29</f>
        <v>12405.125</v>
      </c>
      <c r="F1139" s="313">
        <f t="shared" si="1173"/>
        <v>303.45217710371821</v>
      </c>
      <c r="G1139" s="660">
        <f>[26]PLANCUSce!$H$29</f>
        <v>12598.737499999999</v>
      </c>
      <c r="H1139" s="313">
        <f t="shared" si="1174"/>
        <v>308.18829500978472</v>
      </c>
      <c r="I1139" s="660">
        <f>[27]PLANCUSce!$H$29</f>
        <v>12472.375</v>
      </c>
      <c r="J1139" s="313">
        <f t="shared" si="1175"/>
        <v>305.09723581213308</v>
      </c>
      <c r="K1139" s="660">
        <f>[28]PLANCUSce!$H$29</f>
        <v>12757.898046875</v>
      </c>
      <c r="L1139" s="313">
        <f t="shared" ref="L1139" si="1186">100*K1139/$M$1105</f>
        <v>312.081654767001</v>
      </c>
      <c r="M1139" s="660">
        <f>[29]PLANCUSce!$H$29</f>
        <v>12832.648046875</v>
      </c>
      <c r="N1139" s="313">
        <f t="shared" ref="N1139" si="1187">100*M1139/$M$1105</f>
        <v>313.91017727189336</v>
      </c>
      <c r="O1139" s="660">
        <f>[30]PLANCUSce!$H$29</f>
        <v>13032.748046875</v>
      </c>
      <c r="P1139" s="313">
        <f t="shared" ref="P1139" si="1188">100*O1139/$M$1105</f>
        <v>318.80499136191293</v>
      </c>
      <c r="Q1139" s="660">
        <f>[31]PLANCUSce!$I$29</f>
        <v>13712.223046874999</v>
      </c>
      <c r="R1139" s="313">
        <f t="shared" ref="R1139" si="1189">100*Q1139/$M$1105</f>
        <v>335.42619977678567</v>
      </c>
      <c r="S1139" s="660">
        <f>[32]PLANCUSce!$I$29</f>
        <v>13712.223046874999</v>
      </c>
      <c r="T1139" s="313">
        <f t="shared" ref="T1139" si="1190">100*S1139/$M$1105</f>
        <v>335.42619977678567</v>
      </c>
    </row>
    <row r="1140" spans="2:20">
      <c r="B1140" s="310" t="s">
        <v>3</v>
      </c>
      <c r="C1140" s="385">
        <v>12405.125</v>
      </c>
      <c r="D1140" s="313">
        <f t="shared" si="1172"/>
        <v>303.45217710371821</v>
      </c>
      <c r="E1140" s="660">
        <f>[33]PLANCUSce!$H$29</f>
        <v>12405.125</v>
      </c>
      <c r="F1140" s="313">
        <f t="shared" si="1173"/>
        <v>303.45217710371821</v>
      </c>
      <c r="G1140" s="660">
        <f>[34]PLANCUSce!$H$29</f>
        <v>12661.25</v>
      </c>
      <c r="H1140" s="313">
        <f t="shared" si="1174"/>
        <v>309.71746575342468</v>
      </c>
      <c r="I1140" s="660">
        <f>[35]PLANCUSce!$H$29</f>
        <v>12472.375</v>
      </c>
      <c r="J1140" s="313">
        <f t="shared" si="1175"/>
        <v>305.09723581213308</v>
      </c>
      <c r="K1140" s="660">
        <f>[36]PLANCUSce!$H$29</f>
        <v>12757.898046875</v>
      </c>
      <c r="L1140" s="313">
        <f t="shared" ref="L1140" si="1191">100*K1140/$M$1105</f>
        <v>312.081654767001</v>
      </c>
      <c r="M1140" s="660">
        <f>[37]PLANCUSce!$H$29</f>
        <v>12832.648046875</v>
      </c>
      <c r="N1140" s="313">
        <f t="shared" ref="N1140" si="1192">100*M1140/$M$1105</f>
        <v>313.91017727189336</v>
      </c>
      <c r="O1140" s="660">
        <f>[38]PLANCUSce!$H$29</f>
        <v>13384.748046875</v>
      </c>
      <c r="P1140" s="313">
        <f t="shared" ref="P1140" si="1193">100*O1140/$M$1105</f>
        <v>327.41555887659001</v>
      </c>
      <c r="Q1140" s="660">
        <f>[39]PLANCUSce!$I$29</f>
        <v>13712.223046874999</v>
      </c>
      <c r="R1140" s="313">
        <f t="shared" ref="R1140" si="1194">100*Q1140/$M$1105</f>
        <v>335.42619977678567</v>
      </c>
      <c r="S1140" s="660">
        <f>[40]PLANCUSce!$I$29</f>
        <v>13712.223046874999</v>
      </c>
      <c r="T1140" s="313">
        <f t="shared" ref="T1140" si="1195">100*S1140/$M$1105</f>
        <v>335.42619977678567</v>
      </c>
    </row>
    <row r="1141" spans="2:20">
      <c r="B1141" s="310" t="s">
        <v>4</v>
      </c>
      <c r="C1141" s="385">
        <v>12405.125</v>
      </c>
      <c r="D1141" s="313">
        <f t="shared" si="1172"/>
        <v>303.45217710371821</v>
      </c>
      <c r="E1141" s="660">
        <f>[41]PLANCUSce!$H$29</f>
        <v>12405.125</v>
      </c>
      <c r="F1141" s="313">
        <f t="shared" si="1173"/>
        <v>303.45217710371821</v>
      </c>
      <c r="G1141" s="660">
        <f>[42]PLANCUSce!$H$29</f>
        <v>12701.237499999999</v>
      </c>
      <c r="H1141" s="313">
        <f t="shared" si="1174"/>
        <v>310.69563356164383</v>
      </c>
      <c r="I1141" s="660">
        <f>[43]PLANCUSce!$H$29</f>
        <v>12472.375</v>
      </c>
      <c r="J1141" s="313">
        <f t="shared" si="1175"/>
        <v>305.09723581213308</v>
      </c>
      <c r="K1141" s="660">
        <f>[44]PLANCUSce!$H$29</f>
        <v>12757.898046875</v>
      </c>
      <c r="L1141" s="313">
        <f t="shared" ref="L1141" si="1196">100*K1141/$M$1105</f>
        <v>312.081654767001</v>
      </c>
      <c r="M1141" s="660">
        <f>[45]PLANCUSce!$H$29</f>
        <v>12832.648046875</v>
      </c>
      <c r="N1141" s="313">
        <f t="shared" ref="N1141" si="1197">100*M1141/$M$1105</f>
        <v>313.91017727189336</v>
      </c>
      <c r="O1141" s="660">
        <f>[46]PLANCUSce!$H$29</f>
        <v>13384.748046875</v>
      </c>
      <c r="P1141" s="313">
        <f t="shared" ref="P1141" si="1198">100*O1141/$M$1105</f>
        <v>327.41555887659001</v>
      </c>
      <c r="Q1141" s="660">
        <f>[47]PLANCUSce!$I$29</f>
        <v>13712.223046874999</v>
      </c>
      <c r="R1141" s="313">
        <f t="shared" ref="R1141" si="1199">100*Q1141/$M$1105</f>
        <v>335.42619977678567</v>
      </c>
      <c r="S1141" s="660">
        <f>[48]PLANCUSce!$I$29</f>
        <v>14299.742708333331</v>
      </c>
      <c r="T1141" s="313">
        <f t="shared" ref="T1141" si="1200">100*S1141/$M$1105</f>
        <v>349.79801145629477</v>
      </c>
    </row>
    <row r="1142" spans="2:20">
      <c r="B1142" s="310" t="s">
        <v>5</v>
      </c>
      <c r="C1142" s="385">
        <v>12405.125</v>
      </c>
      <c r="D1142" s="313">
        <f t="shared" si="1172"/>
        <v>303.45217710371821</v>
      </c>
      <c r="E1142" s="660">
        <f>[49]PLANCUSce!$H$29</f>
        <v>12405.125</v>
      </c>
      <c r="F1142" s="313">
        <f t="shared" si="1173"/>
        <v>303.45217710371821</v>
      </c>
      <c r="G1142" s="660">
        <f>[50]PLANCUSce!$H$29</f>
        <v>12764.875</v>
      </c>
      <c r="H1142" s="313">
        <f t="shared" si="1174"/>
        <v>312.2523238747554</v>
      </c>
      <c r="I1142" s="660">
        <f>[51]PLANCUSce!$H$29</f>
        <v>12472.375</v>
      </c>
      <c r="J1142" s="313">
        <f t="shared" si="1175"/>
        <v>305.09723581213308</v>
      </c>
      <c r="K1142" s="660">
        <f>[52]PLANCUSce!$H$29</f>
        <v>12757.898046875</v>
      </c>
      <c r="L1142" s="313">
        <f t="shared" ref="L1142" si="1201">100*K1142/$M$1105</f>
        <v>312.081654767001</v>
      </c>
      <c r="M1142" s="660">
        <f>[53]PLANCUSce!$H$29</f>
        <v>12832.648046875</v>
      </c>
      <c r="N1142" s="313">
        <f t="shared" ref="N1142" si="1202">100*M1142/$M$1105</f>
        <v>313.91017727189336</v>
      </c>
      <c r="O1142" s="660">
        <f>[54]PLANCUSce!$H$29</f>
        <v>13384.748046875</v>
      </c>
      <c r="P1142" s="313">
        <f t="shared" ref="P1142" si="1203">100*O1142/$M$1105</f>
        <v>327.41555887659001</v>
      </c>
      <c r="Q1142" s="660">
        <f>[55]PLANCUSce!$I$29</f>
        <v>13712.223046874999</v>
      </c>
      <c r="R1142" s="313">
        <f t="shared" ref="R1142" si="1204">100*Q1142/$M$1105</f>
        <v>335.42619977678567</v>
      </c>
      <c r="S1142" s="660">
        <f>[56]PLANCUSce!$I$29</f>
        <v>14299.742708333331</v>
      </c>
      <c r="T1142" s="313">
        <f t="shared" ref="T1142" si="1205">100*S1142/$M$1105</f>
        <v>349.79801145629477</v>
      </c>
    </row>
    <row r="1143" spans="2:20">
      <c r="B1143" s="310" t="s">
        <v>6</v>
      </c>
      <c r="C1143" s="385">
        <f>[57]PLANCUSce!$H$29</f>
        <v>12405.125</v>
      </c>
      <c r="D1143" s="313">
        <f t="shared" si="1172"/>
        <v>303.45217710371821</v>
      </c>
      <c r="E1143" s="660">
        <f>[58]PLANCUSce!$H$29</f>
        <v>12405.125</v>
      </c>
      <c r="F1143" s="313">
        <f t="shared" ref="F1143:F1148" si="1206">100*E1143/$M$1105</f>
        <v>303.45217710371821</v>
      </c>
      <c r="G1143" s="660">
        <f>[59]PLANCUSce!$H$29</f>
        <v>12434.875</v>
      </c>
      <c r="H1143" s="313">
        <f t="shared" ref="H1143:H1148" si="1207">100*G1143/$M$1105</f>
        <v>304.17991682974559</v>
      </c>
      <c r="I1143" s="660">
        <f>[60]PLANCUSce!$H$29</f>
        <v>12472.375</v>
      </c>
      <c r="J1143" s="313">
        <f t="shared" ref="J1143:J1148" si="1208">100*I1143/$M$1105</f>
        <v>305.09723581213308</v>
      </c>
      <c r="K1143" s="660">
        <f>[61]PLANCUSce!$H$29</f>
        <v>12782.648046875</v>
      </c>
      <c r="L1143" s="313">
        <f t="shared" ref="L1143" si="1209">100*K1143/$M$1105</f>
        <v>312.68708529537673</v>
      </c>
      <c r="M1143" s="660">
        <f>[62]PLANCUSce!$H$29</f>
        <v>12832.648046875</v>
      </c>
      <c r="N1143" s="313">
        <f t="shared" ref="N1143" si="1210">100*M1143/$M$1105</f>
        <v>313.91017727189336</v>
      </c>
      <c r="O1143" s="660">
        <f>[63]PLANCUSce!$I$29</f>
        <v>13384.748046875</v>
      </c>
      <c r="P1143" s="313">
        <f t="shared" ref="P1143" si="1211">100*O1143/$M$1105</f>
        <v>327.41555887659001</v>
      </c>
      <c r="Q1143" s="660">
        <f>[64]PLANCUSce!$I$29</f>
        <v>13712.223046874999</v>
      </c>
      <c r="R1143" s="313">
        <f t="shared" ref="R1143" si="1212">100*Q1143/$M$1105</f>
        <v>335.42619977678567</v>
      </c>
      <c r="S1143" s="660">
        <f>[65]PLANCUSce!$I$29</f>
        <v>14299.742708333331</v>
      </c>
      <c r="T1143" s="313">
        <f t="shared" ref="T1143" si="1213">100*S1143/$M$1105</f>
        <v>349.79801145629477</v>
      </c>
    </row>
    <row r="1144" spans="2:20">
      <c r="B1144" s="310" t="s">
        <v>7</v>
      </c>
      <c r="C1144" s="385">
        <f>[66]PLANCUSce!$H$29</f>
        <v>12405.125</v>
      </c>
      <c r="D1144" s="313">
        <f t="shared" si="1172"/>
        <v>303.45217710371821</v>
      </c>
      <c r="E1144" s="660">
        <f>[67]PLANCUSce!$H$29</f>
        <v>12405.125</v>
      </c>
      <c r="F1144" s="313">
        <f t="shared" si="1206"/>
        <v>303.45217710371821</v>
      </c>
      <c r="G1144" s="660">
        <f>[68]PLANCUSce!$H$29</f>
        <v>12434.875</v>
      </c>
      <c r="H1144" s="313">
        <f t="shared" si="1207"/>
        <v>304.17991682974559</v>
      </c>
      <c r="I1144" s="660">
        <f>[69]PLANCUSce!$H$29</f>
        <v>12472.375</v>
      </c>
      <c r="J1144" s="313">
        <f t="shared" si="1208"/>
        <v>305.09723581213308</v>
      </c>
      <c r="K1144" s="660">
        <f>[70]PLANCUSce!$H$29</f>
        <v>12782.648046875</v>
      </c>
      <c r="L1144" s="313">
        <f t="shared" ref="L1144" si="1214">100*K1144/$M$1105</f>
        <v>312.68708529537673</v>
      </c>
      <c r="M1144" s="660">
        <f>[71]PLANCUSce!$H$29</f>
        <v>13032.748046875</v>
      </c>
      <c r="N1144" s="313">
        <f t="shared" ref="N1144" si="1215">100*M1144/$M$1105</f>
        <v>318.80499136191293</v>
      </c>
      <c r="O1144" s="660">
        <f>[72]PLANCUSce!$I$29</f>
        <v>13384.748046875</v>
      </c>
      <c r="P1144" s="313">
        <f t="shared" ref="P1144" si="1216">100*O1144/$M$1105</f>
        <v>327.41555887659001</v>
      </c>
      <c r="Q1144" s="660">
        <f>[73]PLANCUSce!$I$29</f>
        <v>13712.223046874999</v>
      </c>
      <c r="R1144" s="313">
        <f t="shared" ref="R1144" si="1217">100*Q1144/$M$1105</f>
        <v>335.42619977678567</v>
      </c>
      <c r="S1144" s="660">
        <f>[74]PLANCUSce!$I$29</f>
        <v>14299.742708333331</v>
      </c>
      <c r="T1144" s="313">
        <f t="shared" ref="T1144" si="1218">100*S1144/$M$1105</f>
        <v>349.79801145629477</v>
      </c>
    </row>
    <row r="1145" spans="2:20">
      <c r="B1145" s="310" t="s">
        <v>8</v>
      </c>
      <c r="C1145" s="385">
        <f>[75]PLANCUSce!$H$29</f>
        <v>12180.125</v>
      </c>
      <c r="D1145" s="313">
        <f>100*C1145/$M$1105</f>
        <v>297.94826320939336</v>
      </c>
      <c r="E1145" s="660">
        <f>[76]PLANCUSce!$H$29</f>
        <v>12405.125</v>
      </c>
      <c r="F1145" s="313">
        <f t="shared" si="1206"/>
        <v>303.45217710371821</v>
      </c>
      <c r="G1145" s="660">
        <f>[77]PLANCUSce!$H$29</f>
        <v>12434.875</v>
      </c>
      <c r="H1145" s="313">
        <f t="shared" si="1207"/>
        <v>304.17991682974559</v>
      </c>
      <c r="I1145" s="660">
        <f>[78]PLANCUSce!$H$29</f>
        <v>12472.375</v>
      </c>
      <c r="J1145" s="313">
        <f t="shared" si="1208"/>
        <v>305.09723581213308</v>
      </c>
      <c r="K1145" s="660">
        <f>[79]PLANCUSce!$H$29</f>
        <v>12782.648046875</v>
      </c>
      <c r="L1145" s="313">
        <f t="shared" ref="L1145" si="1219">100*K1145/$M$1105</f>
        <v>312.68708529537673</v>
      </c>
      <c r="M1145" s="660">
        <f>[80]PLANCUSce!$H$29</f>
        <v>13032.748046875</v>
      </c>
      <c r="N1145" s="313">
        <f t="shared" ref="N1145" si="1220">100*M1145/$M$1105</f>
        <v>318.80499136191293</v>
      </c>
      <c r="O1145" s="660">
        <f>[81]PLANCUSce!$I$29</f>
        <v>13384.748046875</v>
      </c>
      <c r="P1145" s="313">
        <f t="shared" ref="P1145" si="1221">100*O1145/$M$1105</f>
        <v>327.41555887659001</v>
      </c>
      <c r="Q1145" s="660">
        <f>[82]PLANCUSce!$I$29</f>
        <v>13712.223046874999</v>
      </c>
      <c r="R1145" s="313">
        <f t="shared" ref="R1145" si="1222">100*Q1145/$M$1105</f>
        <v>335.42619977678567</v>
      </c>
      <c r="S1145" s="660">
        <f>[123]PLANCUSce!$I$29</f>
        <v>14299.742708333331</v>
      </c>
      <c r="T1145" s="313">
        <f t="shared" ref="T1145" si="1223">100*S1145/$M$1105</f>
        <v>349.79801145629477</v>
      </c>
    </row>
    <row r="1146" spans="2:20">
      <c r="B1146" s="310" t="s">
        <v>9</v>
      </c>
      <c r="C1146" s="385">
        <f>[83]PLANCUSce!$H$29</f>
        <v>12180.125</v>
      </c>
      <c r="D1146" s="313">
        <f>100*C1146/$M$1105</f>
        <v>297.94826320939336</v>
      </c>
      <c r="E1146" s="660">
        <f>[84]PLANCUSce!$H$29</f>
        <v>12405.125</v>
      </c>
      <c r="F1146" s="313">
        <f t="shared" si="1206"/>
        <v>303.45217710371821</v>
      </c>
      <c r="G1146" s="660">
        <f>[85]PLANCUSce!$H$29</f>
        <v>12434.875</v>
      </c>
      <c r="H1146" s="313">
        <f t="shared" si="1207"/>
        <v>304.17991682974559</v>
      </c>
      <c r="I1146" s="660">
        <f>[86]PLANCUSce!$H$29</f>
        <v>12472.375</v>
      </c>
      <c r="J1146" s="313">
        <f t="shared" si="1208"/>
        <v>305.09723581213308</v>
      </c>
      <c r="K1146" s="660">
        <f>[87]PLANCUSce!$H$29</f>
        <v>12782.648046875</v>
      </c>
      <c r="L1146" s="313">
        <f t="shared" ref="L1146" si="1224">100*K1146/$M$1105</f>
        <v>312.68708529537673</v>
      </c>
      <c r="M1146" s="660">
        <f>[88]PLANCUSce!$H$29</f>
        <v>13032.748046875</v>
      </c>
      <c r="N1146" s="313">
        <f t="shared" ref="N1146" si="1225">100*M1146/$M$1105</f>
        <v>318.80499136191293</v>
      </c>
      <c r="O1146" s="660">
        <f>[89]PLANCUSce!$I$29</f>
        <v>13384.748046875</v>
      </c>
      <c r="P1146" s="313">
        <f t="shared" ref="P1146" si="1226">100*O1146/$M$1105</f>
        <v>327.41555887659001</v>
      </c>
      <c r="Q1146" s="660">
        <f>[90]PLANCUSce!$I$29</f>
        <v>13712.223046874999</v>
      </c>
      <c r="R1146" s="313">
        <f t="shared" ref="R1146" si="1227">100*Q1146/$M$1105</f>
        <v>335.42619977678567</v>
      </c>
      <c r="S1146" s="660"/>
      <c r="T1146" s="313"/>
    </row>
    <row r="1147" spans="2:20">
      <c r="B1147" s="310" t="s">
        <v>10</v>
      </c>
      <c r="C1147" s="385">
        <f>[91]PLANCUSce!$H$29</f>
        <v>12405.125</v>
      </c>
      <c r="D1147" s="313">
        <f>100*C1147/$M$1105</f>
        <v>303.45217710371821</v>
      </c>
      <c r="E1147" s="660">
        <f>[92]PLANCUSce!$H$29</f>
        <v>12405.125</v>
      </c>
      <c r="F1147" s="313">
        <f t="shared" si="1206"/>
        <v>303.45217710371821</v>
      </c>
      <c r="G1147" s="660">
        <f>[93]PLANCUSce!$H$29</f>
        <v>12434.875</v>
      </c>
      <c r="H1147" s="313">
        <f t="shared" si="1207"/>
        <v>304.17991682974559</v>
      </c>
      <c r="I1147" s="660">
        <f>[94]PLANCUSce!$H$29</f>
        <v>12472.375</v>
      </c>
      <c r="J1147" s="313">
        <f t="shared" si="1208"/>
        <v>305.09723581213308</v>
      </c>
      <c r="K1147" s="660">
        <f>[95]PLANCUSce!$H$29</f>
        <v>12782.648046875</v>
      </c>
      <c r="L1147" s="313">
        <f t="shared" ref="L1147" si="1228">100*K1147/$M$1105</f>
        <v>312.68708529537673</v>
      </c>
      <c r="M1147" s="660">
        <f>[96]PLANCUSce!$H$29</f>
        <v>13032.748046875</v>
      </c>
      <c r="N1147" s="313">
        <f t="shared" ref="N1147" si="1229">100*M1147/$M$1105</f>
        <v>318.80499136191293</v>
      </c>
      <c r="O1147" s="660">
        <f>[97]PLANCUSce!$I$29</f>
        <v>13384.748046875</v>
      </c>
      <c r="P1147" s="313">
        <f t="shared" ref="P1147" si="1230">100*O1147/$M$1105</f>
        <v>327.41555887659001</v>
      </c>
      <c r="Q1147" s="660">
        <f>[98]PLANCUSce!$I$29</f>
        <v>13712.223046874999</v>
      </c>
      <c r="R1147" s="313">
        <f t="shared" ref="R1147" si="1231">100*Q1147/$M$1105</f>
        <v>335.42619977678567</v>
      </c>
      <c r="S1147" s="660"/>
      <c r="T1147" s="313"/>
    </row>
    <row r="1148" spans="2:20" ht="15.75" thickBot="1">
      <c r="B1148" s="314" t="s">
        <v>11</v>
      </c>
      <c r="C1148" s="386">
        <f>[99]PLANCUSce!$H$29</f>
        <v>12405.125</v>
      </c>
      <c r="D1148" s="317">
        <f>100*C1148/$M$1105</f>
        <v>303.45217710371821</v>
      </c>
      <c r="E1148" s="681">
        <f>[100]PLANCUSce!$H$29</f>
        <v>12405.125</v>
      </c>
      <c r="F1148" s="317">
        <f t="shared" si="1206"/>
        <v>303.45217710371821</v>
      </c>
      <c r="G1148" s="681">
        <f>[101]PLANCUSce!$H$29</f>
        <v>12434.875</v>
      </c>
      <c r="H1148" s="317">
        <f t="shared" si="1207"/>
        <v>304.17991682974559</v>
      </c>
      <c r="I1148" s="681">
        <f>[102]PLANCUSce!$H$29</f>
        <v>12472.375</v>
      </c>
      <c r="J1148" s="317">
        <f t="shared" si="1208"/>
        <v>305.09723581213308</v>
      </c>
      <c r="K1148" s="681">
        <f>[103]PLANCUSce!$H$29</f>
        <v>12782.648046875</v>
      </c>
      <c r="L1148" s="317">
        <f t="shared" ref="L1148" si="1232">100*K1148/$M$1105</f>
        <v>312.68708529537673</v>
      </c>
      <c r="M1148" s="681">
        <f>[104]PLANCUSce!$H$29</f>
        <v>13032.748046875</v>
      </c>
      <c r="N1148" s="317">
        <f t="shared" ref="N1148" si="1233">100*M1148/$M$1105</f>
        <v>318.80499136191293</v>
      </c>
      <c r="O1148" s="681">
        <f>[105]PLANCUSce!$I$29</f>
        <v>13384.748046875</v>
      </c>
      <c r="P1148" s="317">
        <f t="shared" ref="P1148" si="1234">100*O1148/$M$1105</f>
        <v>327.41555887659001</v>
      </c>
      <c r="Q1148" s="681">
        <f>[106]PLANCUSce!$I$29</f>
        <v>13712.223046874999</v>
      </c>
      <c r="R1148" s="317">
        <f t="shared" ref="R1148" si="1235">100*Q1148/$M$1105</f>
        <v>335.42619977678567</v>
      </c>
      <c r="S1148" s="681"/>
      <c r="T1148" s="317"/>
    </row>
    <row r="1149" spans="2:20">
      <c r="B1149" s="119"/>
      <c r="C1149" s="122"/>
      <c r="D1149" s="123"/>
      <c r="E1149" s="118"/>
      <c r="F1149" s="123"/>
      <c r="G1149" s="118"/>
      <c r="H1149" s="123"/>
      <c r="I1149" s="118"/>
      <c r="J1149" s="123"/>
      <c r="K1149" s="118"/>
      <c r="L1149" s="123"/>
      <c r="M1149" s="118"/>
      <c r="N1149" s="123"/>
      <c r="O1149" s="123"/>
      <c r="P1149" s="123"/>
      <c r="Q1149" s="177"/>
      <c r="R1149" s="132"/>
      <c r="S1149" s="119"/>
      <c r="T1149" s="132"/>
    </row>
    <row r="1150" spans="2:20">
      <c r="B1150" s="198"/>
      <c r="C1150" s="202"/>
      <c r="D1150" s="200"/>
      <c r="E1150" s="199"/>
      <c r="F1150" s="200"/>
      <c r="G1150" s="199"/>
      <c r="H1150" s="200"/>
      <c r="I1150" s="199"/>
      <c r="J1150" s="200"/>
      <c r="K1150" s="199"/>
      <c r="L1150" s="200"/>
      <c r="M1150" s="199"/>
      <c r="N1150" s="200"/>
      <c r="O1150" s="123"/>
      <c r="P1150" s="123"/>
      <c r="Q1150" s="177"/>
      <c r="R1150" s="132"/>
      <c r="S1150" s="119"/>
      <c r="T1150" s="132"/>
    </row>
    <row r="1151" spans="2:20" ht="15.75" thickBot="1">
      <c r="B1151" s="119"/>
      <c r="C1151" s="122"/>
      <c r="D1151" s="123"/>
      <c r="E1151" s="118"/>
      <c r="F1151" s="123"/>
      <c r="G1151" s="118"/>
      <c r="H1151" s="123"/>
      <c r="I1151" s="118"/>
      <c r="J1151" s="123"/>
      <c r="K1151" s="118"/>
      <c r="L1151" s="123"/>
      <c r="M1151" s="118"/>
      <c r="N1151" s="123"/>
      <c r="O1151" s="123"/>
      <c r="P1151" s="123"/>
      <c r="Q1151" s="177"/>
      <c r="R1151" s="132"/>
      <c r="S1151" s="119"/>
      <c r="T1151" s="132"/>
    </row>
    <row r="1152" spans="2:20" ht="20.25" thickBot="1">
      <c r="B1152" s="587" t="s">
        <v>229</v>
      </c>
      <c r="C1152" s="550"/>
      <c r="D1152" s="546"/>
      <c r="E1152" s="546"/>
      <c r="F1152" s="546"/>
      <c r="G1152" s="549"/>
      <c r="H1152" s="545">
        <v>495.17</v>
      </c>
      <c r="I1152" s="549" t="s">
        <v>46</v>
      </c>
      <c r="J1152" s="546"/>
      <c r="K1152" s="546"/>
      <c r="L1152" s="547" t="s">
        <v>42</v>
      </c>
      <c r="M1152" s="546"/>
      <c r="N1152" s="551"/>
      <c r="O1152" s="119"/>
      <c r="P1152" s="119"/>
      <c r="Q1152" s="177"/>
      <c r="R1152" s="132"/>
      <c r="S1152" s="119"/>
      <c r="T1152" s="132"/>
    </row>
    <row r="1153" spans="2:20" ht="15.75" thickBot="1">
      <c r="B1153" s="1306">
        <v>2000</v>
      </c>
      <c r="C1153" s="1307"/>
      <c r="D1153" s="336" t="s">
        <v>15</v>
      </c>
      <c r="E1153" s="336">
        <v>2001</v>
      </c>
      <c r="F1153" s="336" t="s">
        <v>15</v>
      </c>
      <c r="G1153" s="336">
        <v>2002</v>
      </c>
      <c r="H1153" s="336" t="s">
        <v>15</v>
      </c>
      <c r="I1153" s="336">
        <v>2003</v>
      </c>
      <c r="J1153" s="336" t="s">
        <v>15</v>
      </c>
      <c r="K1153" s="336">
        <v>2004</v>
      </c>
      <c r="L1153" s="336" t="s">
        <v>15</v>
      </c>
      <c r="M1153" s="336">
        <v>2005</v>
      </c>
      <c r="N1153" s="354" t="s">
        <v>15</v>
      </c>
      <c r="O1153" s="124"/>
      <c r="P1153" s="124"/>
      <c r="Q1153" s="180"/>
      <c r="R1153" s="132"/>
      <c r="S1153" s="119"/>
      <c r="T1153" s="132"/>
    </row>
    <row r="1154" spans="2:20">
      <c r="B1154" s="306" t="s">
        <v>0</v>
      </c>
      <c r="C1154" s="388"/>
      <c r="D1154" s="308"/>
      <c r="E1154" s="307">
        <v>412.5</v>
      </c>
      <c r="F1154" s="308">
        <f t="shared" ref="F1154:F1165" si="1236">100*E1154/$E$854</f>
        <v>20.676691729323309</v>
      </c>
      <c r="G1154" s="307">
        <v>494</v>
      </c>
      <c r="H1154" s="308">
        <f t="shared" ref="H1154:H1165" si="1237">100*G1154/$E$854</f>
        <v>24.761904761904763</v>
      </c>
      <c r="I1154" s="307">
        <v>530.75</v>
      </c>
      <c r="J1154" s="308">
        <f t="shared" ref="J1154:J1165" si="1238">100*I1154/$E$854</f>
        <v>26.604010025062657</v>
      </c>
      <c r="K1154" s="307">
        <v>559.5</v>
      </c>
      <c r="L1154" s="308">
        <f t="shared" ref="L1154:L1165" si="1239">100*K1154/$E$854</f>
        <v>28.045112781954888</v>
      </c>
      <c r="M1154" s="307">
        <v>691.91</v>
      </c>
      <c r="N1154" s="309">
        <f t="shared" ref="N1154:N1165" si="1240">100*M1154/$E$854</f>
        <v>34.68220551378446</v>
      </c>
      <c r="O1154" s="123"/>
      <c r="P1154" s="123"/>
      <c r="Q1154" s="180"/>
      <c r="R1154" s="123"/>
      <c r="S1154" s="119"/>
      <c r="T1154" s="132"/>
    </row>
    <row r="1155" spans="2:20">
      <c r="B1155" s="310" t="s">
        <v>1</v>
      </c>
      <c r="C1155" s="311"/>
      <c r="D1155" s="312"/>
      <c r="E1155" s="311">
        <v>406.5</v>
      </c>
      <c r="F1155" s="312">
        <f t="shared" si="1236"/>
        <v>20.375939849624061</v>
      </c>
      <c r="G1155" s="311">
        <v>526</v>
      </c>
      <c r="H1155" s="312">
        <f t="shared" si="1237"/>
        <v>26.365914786967419</v>
      </c>
      <c r="I1155" s="311">
        <v>580.35</v>
      </c>
      <c r="J1155" s="312">
        <f t="shared" si="1238"/>
        <v>29.090225563909776</v>
      </c>
      <c r="K1155" s="311">
        <v>571.5</v>
      </c>
      <c r="L1155" s="312">
        <f t="shared" si="1239"/>
        <v>28.646616541353385</v>
      </c>
      <c r="M1155" s="311">
        <v>679.3</v>
      </c>
      <c r="N1155" s="313">
        <f t="shared" si="1240"/>
        <v>34.05012531328321</v>
      </c>
      <c r="O1155" s="123"/>
      <c r="P1155" s="123"/>
      <c r="Q1155" s="180"/>
      <c r="R1155" s="123"/>
      <c r="S1155" s="119"/>
      <c r="T1155" s="132"/>
    </row>
    <row r="1156" spans="2:20">
      <c r="B1156" s="310" t="s">
        <v>2</v>
      </c>
      <c r="C1156" s="311"/>
      <c r="D1156" s="312"/>
      <c r="E1156" s="311">
        <v>443.75</v>
      </c>
      <c r="F1156" s="312">
        <f t="shared" si="1236"/>
        <v>22.24310776942356</v>
      </c>
      <c r="G1156" s="311">
        <v>447.5</v>
      </c>
      <c r="H1156" s="312">
        <f t="shared" si="1237"/>
        <v>22.43107769423559</v>
      </c>
      <c r="I1156" s="311">
        <v>578.75</v>
      </c>
      <c r="J1156" s="312">
        <f t="shared" si="1238"/>
        <v>29.010025062656641</v>
      </c>
      <c r="K1156" s="311">
        <v>661</v>
      </c>
      <c r="L1156" s="312">
        <f t="shared" si="1239"/>
        <v>33.132832080200501</v>
      </c>
      <c r="M1156" s="311">
        <v>674.38</v>
      </c>
      <c r="N1156" s="313">
        <f t="shared" si="1240"/>
        <v>33.803508771929828</v>
      </c>
      <c r="O1156" s="123"/>
      <c r="P1156" s="123"/>
      <c r="Q1156" s="180"/>
      <c r="R1156" s="123"/>
      <c r="S1156" s="119"/>
      <c r="T1156" s="132"/>
    </row>
    <row r="1157" spans="2:20">
      <c r="B1157" s="310" t="s">
        <v>3</v>
      </c>
      <c r="C1157" s="311">
        <v>495.17</v>
      </c>
      <c r="D1157" s="312">
        <v>100</v>
      </c>
      <c r="E1157" s="311">
        <v>410</v>
      </c>
      <c r="F1157" s="312">
        <f t="shared" si="1236"/>
        <v>20.551378446115287</v>
      </c>
      <c r="G1157" s="311">
        <v>420</v>
      </c>
      <c r="H1157" s="312">
        <f t="shared" si="1237"/>
        <v>21.05263157894737</v>
      </c>
      <c r="I1157" s="311">
        <v>527.5</v>
      </c>
      <c r="J1157" s="312">
        <f t="shared" si="1238"/>
        <v>26.441102756892231</v>
      </c>
      <c r="K1157" s="311">
        <v>614</v>
      </c>
      <c r="L1157" s="312">
        <f t="shared" si="1239"/>
        <v>30.776942355889723</v>
      </c>
      <c r="M1157" s="311">
        <v>693.27</v>
      </c>
      <c r="N1157" s="313">
        <f t="shared" si="1240"/>
        <v>34.750375939849626</v>
      </c>
      <c r="O1157" s="123"/>
      <c r="P1157" s="123"/>
      <c r="Q1157" s="180"/>
      <c r="R1157" s="123"/>
      <c r="S1157" s="119"/>
      <c r="T1157" s="132"/>
    </row>
    <row r="1158" spans="2:20">
      <c r="B1158" s="310" t="s">
        <v>4</v>
      </c>
      <c r="C1158" s="311">
        <v>518.57000000000005</v>
      </c>
      <c r="D1158" s="312">
        <f t="shared" ref="D1158:D1165" si="1241">100*C1158/495.17</f>
        <v>104.72564977684432</v>
      </c>
      <c r="E1158" s="311">
        <v>403.33</v>
      </c>
      <c r="F1158" s="312">
        <f t="shared" si="1236"/>
        <v>20.217042606516291</v>
      </c>
      <c r="G1158" s="311">
        <v>452.5</v>
      </c>
      <c r="H1158" s="312">
        <f t="shared" si="1237"/>
        <v>22.681704260651628</v>
      </c>
      <c r="I1158" s="311">
        <v>576.58000000000004</v>
      </c>
      <c r="J1158" s="312">
        <f t="shared" si="1238"/>
        <v>28.901253132832085</v>
      </c>
      <c r="K1158" s="311">
        <v>653.4</v>
      </c>
      <c r="L1158" s="312">
        <f t="shared" si="1239"/>
        <v>32.751879699248121</v>
      </c>
      <c r="M1158" s="311">
        <v>668.13</v>
      </c>
      <c r="N1158" s="313">
        <f t="shared" si="1240"/>
        <v>33.490225563909775</v>
      </c>
      <c r="O1158" s="123"/>
      <c r="P1158" s="123"/>
      <c r="Q1158" s="180"/>
      <c r="R1158" s="123"/>
      <c r="S1158" s="119"/>
      <c r="T1158" s="132"/>
    </row>
    <row r="1159" spans="2:20">
      <c r="B1159" s="310" t="s">
        <v>5</v>
      </c>
      <c r="C1159" s="311">
        <v>543.32000000000005</v>
      </c>
      <c r="D1159" s="312">
        <f t="shared" si="1241"/>
        <v>109.72393319466043</v>
      </c>
      <c r="E1159" s="311">
        <v>418</v>
      </c>
      <c r="F1159" s="312">
        <f t="shared" si="1236"/>
        <v>20.952380952380953</v>
      </c>
      <c r="G1159" s="311">
        <v>467.25</v>
      </c>
      <c r="H1159" s="312">
        <f t="shared" si="1237"/>
        <v>23.421052631578949</v>
      </c>
      <c r="I1159" s="311">
        <v>563.44000000000005</v>
      </c>
      <c r="J1159" s="312">
        <f t="shared" si="1238"/>
        <v>28.242606516290731</v>
      </c>
      <c r="K1159" s="311">
        <v>696</v>
      </c>
      <c r="L1159" s="312">
        <f t="shared" si="1239"/>
        <v>34.887218045112782</v>
      </c>
      <c r="M1159" s="311">
        <v>668.38</v>
      </c>
      <c r="N1159" s="313">
        <f t="shared" si="1240"/>
        <v>33.502756892230579</v>
      </c>
      <c r="O1159" s="123"/>
      <c r="P1159" s="123"/>
      <c r="Q1159" s="180"/>
      <c r="R1159" s="123"/>
      <c r="S1159" s="119"/>
      <c r="T1159" s="132"/>
    </row>
    <row r="1160" spans="2:20">
      <c r="B1160" s="310" t="s">
        <v>6</v>
      </c>
      <c r="C1160" s="311">
        <v>484.83</v>
      </c>
      <c r="D1160" s="312">
        <f t="shared" si="1241"/>
        <v>97.911828261001276</v>
      </c>
      <c r="E1160" s="311">
        <v>454.5</v>
      </c>
      <c r="F1160" s="312">
        <f t="shared" si="1236"/>
        <v>22.781954887218046</v>
      </c>
      <c r="G1160" s="311">
        <v>478</v>
      </c>
      <c r="H1160" s="312">
        <f t="shared" si="1237"/>
        <v>23.959899749373434</v>
      </c>
      <c r="I1160" s="311">
        <v>570.6</v>
      </c>
      <c r="J1160" s="312">
        <f t="shared" si="1238"/>
        <v>28.601503759398497</v>
      </c>
      <c r="K1160" s="311">
        <v>653.6</v>
      </c>
      <c r="L1160" s="312">
        <f t="shared" si="1239"/>
        <v>32.761904761904759</v>
      </c>
      <c r="M1160" s="311">
        <v>675.14</v>
      </c>
      <c r="N1160" s="313">
        <f t="shared" si="1240"/>
        <v>33.841604010025065</v>
      </c>
      <c r="O1160" s="123"/>
      <c r="P1160" s="123"/>
      <c r="Q1160" s="180"/>
      <c r="R1160" s="123"/>
      <c r="S1160" s="119"/>
      <c r="T1160" s="132"/>
    </row>
    <row r="1161" spans="2:20">
      <c r="B1161" s="310" t="s">
        <v>7</v>
      </c>
      <c r="C1161" s="311">
        <v>490</v>
      </c>
      <c r="D1161" s="312">
        <f t="shared" si="1241"/>
        <v>98.955914130500631</v>
      </c>
      <c r="E1161" s="311">
        <v>464</v>
      </c>
      <c r="F1161" s="312">
        <f t="shared" si="1236"/>
        <v>23.25814536340852</v>
      </c>
      <c r="G1161" s="311">
        <v>475.62</v>
      </c>
      <c r="H1161" s="312">
        <f t="shared" si="1237"/>
        <v>23.840601503759398</v>
      </c>
      <c r="I1161" s="311">
        <v>595</v>
      </c>
      <c r="J1161" s="312">
        <f t="shared" si="1238"/>
        <v>29.82456140350877</v>
      </c>
      <c r="K1161" s="311">
        <v>651.08000000000004</v>
      </c>
      <c r="L1161" s="312">
        <f t="shared" si="1239"/>
        <v>32.63558897243108</v>
      </c>
      <c r="M1161" s="311">
        <v>644</v>
      </c>
      <c r="N1161" s="313">
        <f t="shared" si="1240"/>
        <v>32.280701754385966</v>
      </c>
      <c r="O1161" s="123"/>
      <c r="P1161" s="123"/>
      <c r="Q1161" s="180"/>
      <c r="R1161" s="123"/>
      <c r="S1161" s="119"/>
      <c r="T1161" s="132"/>
    </row>
    <row r="1162" spans="2:20">
      <c r="B1162" s="310" t="s">
        <v>8</v>
      </c>
      <c r="C1162" s="311">
        <v>505.86</v>
      </c>
      <c r="D1162" s="312">
        <f t="shared" si="1241"/>
        <v>102.15885453480622</v>
      </c>
      <c r="E1162" s="311">
        <v>416.88</v>
      </c>
      <c r="F1162" s="312">
        <f t="shared" si="1236"/>
        <v>20.896240601503759</v>
      </c>
      <c r="G1162" s="311">
        <v>502.5</v>
      </c>
      <c r="H1162" s="312">
        <f t="shared" si="1237"/>
        <v>25.18796992481203</v>
      </c>
      <c r="I1162" s="311">
        <v>613.4</v>
      </c>
      <c r="J1162" s="312">
        <f t="shared" si="1238"/>
        <v>30.746867167919799</v>
      </c>
      <c r="K1162" s="311">
        <v>663</v>
      </c>
      <c r="L1162" s="312">
        <f t="shared" si="1239"/>
        <v>33.233082706766915</v>
      </c>
      <c r="M1162" s="311">
        <v>604.22</v>
      </c>
      <c r="N1162" s="313">
        <f t="shared" si="1240"/>
        <v>30.286716791979948</v>
      </c>
      <c r="O1162" s="123"/>
      <c r="P1162" s="123"/>
      <c r="Q1162" s="180"/>
      <c r="R1162" s="123"/>
      <c r="S1162" s="119"/>
      <c r="T1162" s="132"/>
    </row>
    <row r="1163" spans="2:20">
      <c r="B1163" s="310" t="s">
        <v>9</v>
      </c>
      <c r="C1163" s="311">
        <v>487.4</v>
      </c>
      <c r="D1163" s="312">
        <f t="shared" si="1241"/>
        <v>98.430841933073481</v>
      </c>
      <c r="E1163" s="311">
        <v>484</v>
      </c>
      <c r="F1163" s="312">
        <f t="shared" si="1236"/>
        <v>24.260651629072683</v>
      </c>
      <c r="G1163" s="311">
        <v>514.95000000000005</v>
      </c>
      <c r="H1163" s="312">
        <f t="shared" si="1237"/>
        <v>25.812030075187973</v>
      </c>
      <c r="I1163" s="311">
        <v>549.4</v>
      </c>
      <c r="J1163" s="312">
        <f t="shared" si="1238"/>
        <v>27.538847117794486</v>
      </c>
      <c r="K1163" s="311">
        <v>662</v>
      </c>
      <c r="L1163" s="312">
        <f t="shared" si="1239"/>
        <v>33.182957393483711</v>
      </c>
      <c r="M1163" s="311">
        <v>669.8</v>
      </c>
      <c r="N1163" s="313">
        <f t="shared" si="1240"/>
        <v>33.573934837092729</v>
      </c>
      <c r="O1163" s="123"/>
      <c r="P1163" s="123"/>
      <c r="Q1163" s="180"/>
      <c r="R1163" s="123"/>
      <c r="S1163" s="119"/>
      <c r="T1163" s="132"/>
    </row>
    <row r="1164" spans="2:20">
      <c r="B1164" s="310" t="s">
        <v>10</v>
      </c>
      <c r="C1164" s="311">
        <v>461</v>
      </c>
      <c r="D1164" s="312">
        <f t="shared" si="1241"/>
        <v>93.099339620736316</v>
      </c>
      <c r="E1164" s="311">
        <v>427</v>
      </c>
      <c r="F1164" s="312">
        <f t="shared" si="1236"/>
        <v>21.403508771929825</v>
      </c>
      <c r="G1164" s="311">
        <v>560.6</v>
      </c>
      <c r="H1164" s="312">
        <f t="shared" si="1237"/>
        <v>28.100250626566417</v>
      </c>
      <c r="I1164" s="311">
        <v>555.75</v>
      </c>
      <c r="J1164" s="312">
        <f t="shared" si="1238"/>
        <v>27.857142857142858</v>
      </c>
      <c r="K1164" s="311">
        <v>683</v>
      </c>
      <c r="L1164" s="312">
        <f t="shared" si="1239"/>
        <v>34.235588972431074</v>
      </c>
      <c r="M1164" s="311">
        <v>664.55</v>
      </c>
      <c r="N1164" s="313">
        <f t="shared" si="1240"/>
        <v>33.310776942355886</v>
      </c>
      <c r="O1164" s="123"/>
      <c r="P1164" s="123"/>
      <c r="Q1164" s="180"/>
      <c r="R1164" s="123"/>
      <c r="S1164" s="119"/>
      <c r="T1164" s="132"/>
    </row>
    <row r="1165" spans="2:20" ht="15.75" thickBot="1">
      <c r="B1165" s="314" t="s">
        <v>11</v>
      </c>
      <c r="C1165" s="315">
        <v>468.5</v>
      </c>
      <c r="D1165" s="316">
        <f t="shared" si="1241"/>
        <v>94.61397095946846</v>
      </c>
      <c r="E1165" s="315">
        <v>469.5</v>
      </c>
      <c r="F1165" s="316">
        <f t="shared" si="1236"/>
        <v>23.533834586466167</v>
      </c>
      <c r="G1165" s="315">
        <v>525</v>
      </c>
      <c r="H1165" s="316">
        <f t="shared" si="1237"/>
        <v>26.315789473684209</v>
      </c>
      <c r="I1165" s="315">
        <v>564</v>
      </c>
      <c r="J1165" s="316">
        <f t="shared" si="1238"/>
        <v>28.270676691729324</v>
      </c>
      <c r="K1165" s="315">
        <v>658</v>
      </c>
      <c r="L1165" s="316">
        <f t="shared" si="1239"/>
        <v>32.982456140350877</v>
      </c>
      <c r="M1165" s="315">
        <v>660.11</v>
      </c>
      <c r="N1165" s="317">
        <f t="shared" si="1240"/>
        <v>33.088220551378448</v>
      </c>
      <c r="O1165" s="123"/>
      <c r="P1165" s="123"/>
      <c r="Q1165" s="180"/>
      <c r="R1165" s="123"/>
      <c r="S1165" s="119"/>
      <c r="T1165" s="132"/>
    </row>
    <row r="1166" spans="2:20">
      <c r="C1166" s="118"/>
      <c r="D1166" s="123"/>
      <c r="E1166" s="118"/>
      <c r="F1166" s="123"/>
      <c r="G1166" s="118"/>
      <c r="H1166" s="123"/>
      <c r="I1166" s="118"/>
      <c r="J1166" s="123"/>
      <c r="K1166" s="118"/>
      <c r="L1166" s="123"/>
      <c r="M1166" s="118"/>
      <c r="N1166" s="123"/>
      <c r="O1166" s="123"/>
      <c r="P1166" s="123"/>
      <c r="Q1166" s="180"/>
      <c r="R1166" s="123"/>
      <c r="S1166" s="119"/>
      <c r="T1166" s="132"/>
    </row>
    <row r="1167" spans="2:20" ht="15.75" thickBot="1">
      <c r="B1167" s="120" t="s">
        <v>229</v>
      </c>
      <c r="C1167" s="125"/>
      <c r="E1167" s="125" t="s">
        <v>42</v>
      </c>
      <c r="F1167" s="120"/>
      <c r="G1167" s="122"/>
      <c r="H1167" s="589"/>
      <c r="I1167" s="122"/>
      <c r="J1167" s="119"/>
      <c r="K1167" s="122"/>
      <c r="L1167" s="132"/>
      <c r="M1167" s="122"/>
      <c r="N1167" s="132"/>
      <c r="O1167" s="123"/>
      <c r="P1167" s="123"/>
      <c r="Q1167" s="180"/>
      <c r="R1167" s="123"/>
      <c r="S1167" s="119"/>
      <c r="T1167" s="132"/>
    </row>
    <row r="1168" spans="2:20" ht="20.25" thickBot="1">
      <c r="B1168" s="587" t="s">
        <v>229</v>
      </c>
      <c r="C1168" s="550"/>
      <c r="D1168" s="546"/>
      <c r="E1168" s="546"/>
      <c r="F1168" s="546"/>
      <c r="G1168" s="549"/>
      <c r="H1168" s="588">
        <v>495.17</v>
      </c>
      <c r="I1168" s="549" t="s">
        <v>46</v>
      </c>
      <c r="J1168" s="546"/>
      <c r="K1168" s="546"/>
      <c r="L1168" s="547" t="s">
        <v>42</v>
      </c>
      <c r="M1168" s="546"/>
      <c r="N1168" s="551"/>
      <c r="O1168" s="123"/>
      <c r="P1168" s="123"/>
      <c r="Q1168" s="180"/>
      <c r="R1168" s="123"/>
      <c r="S1168" s="119"/>
      <c r="T1168" s="132"/>
    </row>
    <row r="1169" spans="2:20" ht="15.75" thickBot="1">
      <c r="B1169" s="1306">
        <v>2006</v>
      </c>
      <c r="C1169" s="1307"/>
      <c r="D1169" s="336" t="s">
        <v>15</v>
      </c>
      <c r="E1169" s="336">
        <v>2007</v>
      </c>
      <c r="F1169" s="336" t="s">
        <v>15</v>
      </c>
      <c r="G1169" s="336">
        <v>2008</v>
      </c>
      <c r="H1169" s="336" t="s">
        <v>15</v>
      </c>
      <c r="I1169" s="336">
        <v>2009</v>
      </c>
      <c r="J1169" s="336" t="s">
        <v>15</v>
      </c>
      <c r="K1169" s="336">
        <v>2010</v>
      </c>
      <c r="L1169" s="336" t="s">
        <v>15</v>
      </c>
      <c r="M1169" s="336">
        <v>2011</v>
      </c>
      <c r="N1169" s="354" t="s">
        <v>15</v>
      </c>
      <c r="O1169" s="123"/>
      <c r="P1169" s="123"/>
      <c r="Q1169" s="180"/>
      <c r="R1169" s="123"/>
      <c r="S1169" s="119"/>
      <c r="T1169" s="132"/>
    </row>
    <row r="1170" spans="2:20">
      <c r="B1170" s="306" t="s">
        <v>0</v>
      </c>
      <c r="C1170" s="388">
        <v>675.58</v>
      </c>
      <c r="D1170" s="308">
        <f>100*C1170/495.17</f>
        <v>136.43395197608902</v>
      </c>
      <c r="E1170" s="307">
        <v>699.86</v>
      </c>
      <c r="F1170" s="308">
        <f t="shared" ref="F1170:F1181" si="1242">100*E1170/$H$1168</f>
        <v>141.33731849667791</v>
      </c>
      <c r="G1170" s="307">
        <v>700</v>
      </c>
      <c r="H1170" s="308">
        <f t="shared" ref="H1170:H1181" si="1243">100*G1170/$H$1168</f>
        <v>141.36559161500091</v>
      </c>
      <c r="I1170" s="307">
        <v>720</v>
      </c>
      <c r="J1170" s="308">
        <f t="shared" ref="J1170:J1181" si="1244">100*I1170/$H$1168</f>
        <v>145.40460851828664</v>
      </c>
      <c r="K1170" s="307">
        <v>683.33333333333337</v>
      </c>
      <c r="L1170" s="308">
        <f t="shared" ref="L1170:L1181" si="1245">100*K1170/$H$1168</f>
        <v>137.99974419559615</v>
      </c>
      <c r="M1170" s="307">
        <v>651.33333333333337</v>
      </c>
      <c r="N1170" s="309">
        <f t="shared" ref="N1170:N1181" si="1246">100*M1170/$H$1168</f>
        <v>131.53731715033894</v>
      </c>
      <c r="O1170" s="123"/>
      <c r="P1170" s="123"/>
      <c r="Q1170" s="180"/>
      <c r="R1170" s="123"/>
      <c r="S1170" s="119"/>
      <c r="T1170" s="132"/>
    </row>
    <row r="1171" spans="2:20">
      <c r="B1171" s="310" t="s">
        <v>1</v>
      </c>
      <c r="C1171" s="356">
        <v>709.29</v>
      </c>
      <c r="D1171" s="312">
        <f>100*C1171/495.17</f>
        <v>143.24171496657712</v>
      </c>
      <c r="E1171" s="311">
        <v>710</v>
      </c>
      <c r="F1171" s="312">
        <f t="shared" si="1242"/>
        <v>143.38510006664379</v>
      </c>
      <c r="G1171" s="311">
        <v>700</v>
      </c>
      <c r="H1171" s="312">
        <f t="shared" si="1243"/>
        <v>141.36559161500091</v>
      </c>
      <c r="I1171" s="311">
        <v>720</v>
      </c>
      <c r="J1171" s="312">
        <f t="shared" si="1244"/>
        <v>145.40460851828664</v>
      </c>
      <c r="K1171" s="311">
        <v>683.33333333333337</v>
      </c>
      <c r="L1171" s="312">
        <f t="shared" si="1245"/>
        <v>137.99974419559615</v>
      </c>
      <c r="M1171" s="311">
        <v>651.33333333333337</v>
      </c>
      <c r="N1171" s="313">
        <f t="shared" si="1246"/>
        <v>131.53731715033894</v>
      </c>
      <c r="O1171" s="123"/>
      <c r="P1171" s="123"/>
      <c r="Q1171" s="180"/>
      <c r="R1171" s="123"/>
      <c r="S1171" s="119"/>
      <c r="T1171" s="132"/>
    </row>
    <row r="1172" spans="2:20">
      <c r="B1172" s="310" t="s">
        <v>2</v>
      </c>
      <c r="C1172" s="356">
        <v>734.38</v>
      </c>
      <c r="D1172" s="312">
        <f>100*C1172/495.17</f>
        <v>148.30866167174909</v>
      </c>
      <c r="E1172" s="311">
        <v>692</v>
      </c>
      <c r="F1172" s="312">
        <f t="shared" si="1242"/>
        <v>139.74998485368661</v>
      </c>
      <c r="G1172" s="311">
        <v>706.66666666666663</v>
      </c>
      <c r="H1172" s="312">
        <f t="shared" si="1243"/>
        <v>142.71193058276279</v>
      </c>
      <c r="I1172" s="311">
        <v>720</v>
      </c>
      <c r="J1172" s="312">
        <f t="shared" si="1244"/>
        <v>145.40460851828664</v>
      </c>
      <c r="K1172" s="311">
        <v>683.33333333333337</v>
      </c>
      <c r="L1172" s="312">
        <f t="shared" si="1245"/>
        <v>137.99974419559615</v>
      </c>
      <c r="M1172" s="311">
        <v>651.33333333333337</v>
      </c>
      <c r="N1172" s="313">
        <f t="shared" si="1246"/>
        <v>131.53731715033894</v>
      </c>
      <c r="O1172" s="123"/>
      <c r="P1172" s="123"/>
      <c r="Q1172" s="180"/>
      <c r="R1172" s="123"/>
      <c r="S1172" s="119"/>
      <c r="T1172" s="132"/>
    </row>
    <row r="1173" spans="2:20">
      <c r="B1173" s="310" t="s">
        <v>3</v>
      </c>
      <c r="C1173" s="356">
        <v>719.38</v>
      </c>
      <c r="D1173" s="312">
        <f>100*C1173/495.17</f>
        <v>145.27939899428478</v>
      </c>
      <c r="E1173" s="311">
        <v>662.86</v>
      </c>
      <c r="F1173" s="312">
        <f t="shared" si="1242"/>
        <v>133.86513722559928</v>
      </c>
      <c r="G1173" s="311">
        <v>706.66666666666663</v>
      </c>
      <c r="H1173" s="312">
        <f t="shared" si="1243"/>
        <v>142.71193058276279</v>
      </c>
      <c r="I1173" s="311">
        <v>720</v>
      </c>
      <c r="J1173" s="312">
        <f t="shared" si="1244"/>
        <v>145.40460851828664</v>
      </c>
      <c r="K1173" s="311">
        <v>683.33333333333337</v>
      </c>
      <c r="L1173" s="312">
        <f t="shared" si="1245"/>
        <v>137.99974419559615</v>
      </c>
      <c r="M1173" s="311">
        <v>653.33333333333337</v>
      </c>
      <c r="N1173" s="313">
        <f t="shared" si="1246"/>
        <v>131.94121884066752</v>
      </c>
      <c r="O1173" s="123"/>
      <c r="P1173" s="123"/>
      <c r="Q1173" s="180"/>
      <c r="R1173" s="123"/>
      <c r="S1173" s="119"/>
      <c r="T1173" s="132"/>
    </row>
    <row r="1174" spans="2:20">
      <c r="B1174" s="310" t="s">
        <v>4</v>
      </c>
      <c r="C1174" s="356">
        <v>689</v>
      </c>
      <c r="D1174" s="312">
        <f t="shared" ref="D1174:D1181" si="1247">100*C1174/495.17</f>
        <v>139.14413231819375</v>
      </c>
      <c r="E1174" s="311">
        <v>687.71</v>
      </c>
      <c r="F1174" s="312">
        <f t="shared" si="1242"/>
        <v>138.88361572793181</v>
      </c>
      <c r="G1174" s="311">
        <v>706.66666666666663</v>
      </c>
      <c r="H1174" s="312">
        <f t="shared" si="1243"/>
        <v>142.71193058276279</v>
      </c>
      <c r="I1174" s="311">
        <v>720</v>
      </c>
      <c r="J1174" s="312">
        <f t="shared" si="1244"/>
        <v>145.40460851828664</v>
      </c>
      <c r="K1174" s="311">
        <v>633.33333333333337</v>
      </c>
      <c r="L1174" s="312">
        <f t="shared" si="1245"/>
        <v>127.90220193738178</v>
      </c>
      <c r="M1174" s="311">
        <v>653.33333333333337</v>
      </c>
      <c r="N1174" s="313">
        <f t="shared" si="1246"/>
        <v>131.94121884066752</v>
      </c>
      <c r="O1174" s="123"/>
      <c r="P1174" s="123"/>
      <c r="Q1174" s="180"/>
      <c r="R1174" s="123"/>
      <c r="S1174" s="119"/>
      <c r="T1174" s="132"/>
    </row>
    <row r="1175" spans="2:20">
      <c r="B1175" s="310" t="s">
        <v>5</v>
      </c>
      <c r="C1175" s="356">
        <v>671</v>
      </c>
      <c r="D1175" s="312">
        <f t="shared" si="1247"/>
        <v>135.50901710523658</v>
      </c>
      <c r="E1175" s="311">
        <v>685.33333333333337</v>
      </c>
      <c r="F1175" s="312">
        <f t="shared" si="1242"/>
        <v>138.4036458859247</v>
      </c>
      <c r="G1175" s="311">
        <v>710</v>
      </c>
      <c r="H1175" s="312">
        <f t="shared" si="1243"/>
        <v>143.38510006664379</v>
      </c>
      <c r="I1175" s="311">
        <v>720</v>
      </c>
      <c r="J1175" s="312">
        <f t="shared" si="1244"/>
        <v>145.40460851828664</v>
      </c>
      <c r="K1175" s="311">
        <v>633.33333333333337</v>
      </c>
      <c r="L1175" s="312">
        <f t="shared" si="1245"/>
        <v>127.90220193738178</v>
      </c>
      <c r="M1175" s="311">
        <v>653.33333333333337</v>
      </c>
      <c r="N1175" s="313">
        <f t="shared" si="1246"/>
        <v>131.94121884066752</v>
      </c>
      <c r="O1175" s="123"/>
      <c r="P1175" s="123"/>
      <c r="Q1175" s="180"/>
      <c r="R1175" s="123"/>
      <c r="S1175" s="119"/>
      <c r="T1175" s="132"/>
    </row>
    <row r="1176" spans="2:20">
      <c r="B1176" s="310" t="s">
        <v>6</v>
      </c>
      <c r="C1176" s="356">
        <v>660.63</v>
      </c>
      <c r="D1176" s="312">
        <f t="shared" si="1247"/>
        <v>133.41478684088293</v>
      </c>
      <c r="E1176" s="311">
        <v>675</v>
      </c>
      <c r="F1176" s="312">
        <f t="shared" si="1242"/>
        <v>136.31682048589374</v>
      </c>
      <c r="G1176" s="311">
        <v>716.66666666666663</v>
      </c>
      <c r="H1176" s="312">
        <f t="shared" si="1243"/>
        <v>144.73143903440567</v>
      </c>
      <c r="I1176" s="311">
        <v>720</v>
      </c>
      <c r="J1176" s="312">
        <f t="shared" si="1244"/>
        <v>145.40460851828664</v>
      </c>
      <c r="K1176" s="311">
        <v>633.33333333333337</v>
      </c>
      <c r="L1176" s="312">
        <f t="shared" si="1245"/>
        <v>127.90220193738178</v>
      </c>
      <c r="M1176" s="311">
        <v>653.33333333333337</v>
      </c>
      <c r="N1176" s="313">
        <f t="shared" si="1246"/>
        <v>131.94121884066752</v>
      </c>
      <c r="O1176" s="123"/>
      <c r="P1176" s="123"/>
      <c r="Q1176" s="180"/>
      <c r="R1176" s="123"/>
      <c r="S1176" s="119"/>
      <c r="T1176" s="132"/>
    </row>
    <row r="1177" spans="2:20">
      <c r="B1177" s="310" t="s">
        <v>7</v>
      </c>
      <c r="C1177" s="356">
        <v>687.83</v>
      </c>
      <c r="D1177" s="312">
        <f t="shared" si="1247"/>
        <v>138.90784982935153</v>
      </c>
      <c r="E1177" s="311">
        <v>685</v>
      </c>
      <c r="F1177" s="312">
        <f t="shared" si="1242"/>
        <v>138.33632893753659</v>
      </c>
      <c r="G1177" s="311">
        <v>720</v>
      </c>
      <c r="H1177" s="312">
        <f t="shared" si="1243"/>
        <v>145.40460851828664</v>
      </c>
      <c r="I1177" s="311">
        <v>720</v>
      </c>
      <c r="J1177" s="312">
        <f t="shared" si="1244"/>
        <v>145.40460851828664</v>
      </c>
      <c r="K1177" s="311">
        <v>633.33333333333337</v>
      </c>
      <c r="L1177" s="312">
        <f t="shared" si="1245"/>
        <v>127.90220193738178</v>
      </c>
      <c r="M1177" s="311">
        <v>653.33000000000004</v>
      </c>
      <c r="N1177" s="313">
        <f t="shared" si="1246"/>
        <v>131.94054567118366</v>
      </c>
      <c r="O1177" s="123"/>
      <c r="P1177" s="123"/>
      <c r="Q1177" s="180"/>
      <c r="R1177" s="123"/>
      <c r="S1177" s="119"/>
      <c r="T1177" s="132"/>
    </row>
    <row r="1178" spans="2:20">
      <c r="B1178" s="310" t="s">
        <v>8</v>
      </c>
      <c r="C1178" s="356">
        <v>684.67</v>
      </c>
      <c r="D1178" s="312">
        <f t="shared" si="1247"/>
        <v>138.26968515863237</v>
      </c>
      <c r="E1178" s="311">
        <v>685</v>
      </c>
      <c r="F1178" s="312">
        <f t="shared" si="1242"/>
        <v>138.33632893753659</v>
      </c>
      <c r="G1178" s="311">
        <v>720</v>
      </c>
      <c r="H1178" s="312">
        <f t="shared" si="1243"/>
        <v>145.40460851828664</v>
      </c>
      <c r="I1178" s="311">
        <v>720</v>
      </c>
      <c r="J1178" s="312">
        <f t="shared" si="1244"/>
        <v>145.40460851828664</v>
      </c>
      <c r="K1178" s="311">
        <v>633.33333333333337</v>
      </c>
      <c r="L1178" s="312">
        <f t="shared" si="1245"/>
        <v>127.90220193738178</v>
      </c>
      <c r="M1178" s="311">
        <v>653.33000000000004</v>
      </c>
      <c r="N1178" s="313">
        <f t="shared" si="1246"/>
        <v>131.94054567118366</v>
      </c>
      <c r="O1178" s="123"/>
      <c r="P1178" s="123"/>
      <c r="Q1178" s="180"/>
      <c r="R1178" s="123"/>
      <c r="S1178" s="119"/>
      <c r="T1178" s="132"/>
    </row>
    <row r="1179" spans="2:20">
      <c r="B1179" s="310" t="s">
        <v>9</v>
      </c>
      <c r="C1179" s="356">
        <v>655</v>
      </c>
      <c r="D1179" s="312">
        <f t="shared" si="1247"/>
        <v>132.27780358260799</v>
      </c>
      <c r="E1179" s="311">
        <v>698</v>
      </c>
      <c r="F1179" s="312">
        <f t="shared" si="1242"/>
        <v>140.96168992467233</v>
      </c>
      <c r="G1179" s="311">
        <v>720</v>
      </c>
      <c r="H1179" s="312">
        <f t="shared" si="1243"/>
        <v>145.40460851828664</v>
      </c>
      <c r="I1179" s="311">
        <v>720</v>
      </c>
      <c r="J1179" s="312">
        <f t="shared" si="1244"/>
        <v>145.40460851828664</v>
      </c>
      <c r="K1179" s="311">
        <v>640</v>
      </c>
      <c r="L1179" s="312">
        <f t="shared" si="1245"/>
        <v>129.24854090514367</v>
      </c>
      <c r="M1179" s="311">
        <v>658.33333333333337</v>
      </c>
      <c r="N1179" s="313">
        <f t="shared" si="1246"/>
        <v>132.95097306648896</v>
      </c>
      <c r="O1179" s="123"/>
      <c r="P1179" s="123"/>
      <c r="Q1179" s="180"/>
      <c r="R1179" s="123"/>
      <c r="S1179" s="119"/>
      <c r="T1179" s="132"/>
    </row>
    <row r="1180" spans="2:20">
      <c r="B1180" s="310" t="s">
        <v>10</v>
      </c>
      <c r="C1180" s="356">
        <v>659.78</v>
      </c>
      <c r="D1180" s="312">
        <f t="shared" si="1247"/>
        <v>133.24312862249329</v>
      </c>
      <c r="E1180" s="311">
        <v>698</v>
      </c>
      <c r="F1180" s="312">
        <f t="shared" si="1242"/>
        <v>140.96168992467233</v>
      </c>
      <c r="G1180" s="311">
        <v>720</v>
      </c>
      <c r="H1180" s="312">
        <f t="shared" si="1243"/>
        <v>145.40460851828664</v>
      </c>
      <c r="I1180" s="311">
        <v>720</v>
      </c>
      <c r="J1180" s="312">
        <f t="shared" si="1244"/>
        <v>145.40460851828664</v>
      </c>
      <c r="K1180" s="311">
        <v>640</v>
      </c>
      <c r="L1180" s="312">
        <f t="shared" si="1245"/>
        <v>129.24854090514367</v>
      </c>
      <c r="M1180" s="311">
        <v>658.33333333333337</v>
      </c>
      <c r="N1180" s="313">
        <f t="shared" si="1246"/>
        <v>132.95097306648896</v>
      </c>
      <c r="O1180" s="123"/>
      <c r="P1180" s="123"/>
      <c r="Q1180" s="180"/>
      <c r="R1180" s="123"/>
      <c r="S1180" s="119"/>
      <c r="T1180" s="132"/>
    </row>
    <row r="1181" spans="2:20" ht="15.75" thickBot="1">
      <c r="B1181" s="314" t="s">
        <v>11</v>
      </c>
      <c r="C1181" s="357">
        <v>695.29</v>
      </c>
      <c r="D1181" s="316">
        <f t="shared" si="1247"/>
        <v>140.41440313427711</v>
      </c>
      <c r="E1181" s="315">
        <v>698</v>
      </c>
      <c r="F1181" s="316">
        <f t="shared" si="1242"/>
        <v>140.96168992467233</v>
      </c>
      <c r="G1181" s="315">
        <v>720</v>
      </c>
      <c r="H1181" s="316">
        <f t="shared" si="1243"/>
        <v>145.40460851828664</v>
      </c>
      <c r="I1181" s="315">
        <v>720</v>
      </c>
      <c r="J1181" s="316">
        <f t="shared" si="1244"/>
        <v>145.40460851828664</v>
      </c>
      <c r="K1181" s="315">
        <v>640</v>
      </c>
      <c r="L1181" s="316">
        <f t="shared" si="1245"/>
        <v>129.24854090514367</v>
      </c>
      <c r="M1181" s="315">
        <v>658.33333333333337</v>
      </c>
      <c r="N1181" s="317">
        <f t="shared" si="1246"/>
        <v>132.95097306648896</v>
      </c>
      <c r="O1181" s="123"/>
      <c r="P1181" s="123"/>
      <c r="Q1181" s="180"/>
      <c r="R1181" s="123"/>
      <c r="S1181" s="119"/>
      <c r="T1181" s="132"/>
    </row>
    <row r="1182" spans="2:20">
      <c r="B1182" s="119"/>
      <c r="C1182" s="152"/>
      <c r="D1182" s="123"/>
      <c r="E1182" s="118"/>
      <c r="F1182" s="123"/>
      <c r="G1182" s="118"/>
      <c r="H1182" s="123"/>
      <c r="I1182" s="118"/>
      <c r="J1182" s="123"/>
      <c r="K1182" s="118"/>
      <c r="L1182" s="123"/>
      <c r="M1182" s="118"/>
      <c r="N1182" s="123"/>
      <c r="O1182" s="123"/>
      <c r="P1182" s="123"/>
      <c r="Q1182" s="180"/>
      <c r="R1182" s="123"/>
      <c r="S1182" s="119"/>
      <c r="T1182" s="132"/>
    </row>
    <row r="1183" spans="2:20" ht="18">
      <c r="B1183" s="1294" t="s">
        <v>229</v>
      </c>
      <c r="C1183" s="1295"/>
      <c r="D1183" s="1295"/>
      <c r="E1183" s="1295"/>
      <c r="F1183" s="1295"/>
      <c r="G1183" s="1295"/>
      <c r="H1183" s="1295"/>
      <c r="I1183" s="1295"/>
      <c r="J1183" s="1295"/>
      <c r="K1183" s="1295"/>
      <c r="L1183" s="1295"/>
      <c r="M1183" s="1295"/>
      <c r="N1183" s="1295"/>
      <c r="O1183" s="1295"/>
      <c r="P1183" s="1295"/>
      <c r="Q1183" s="1295"/>
      <c r="R1183" s="1295"/>
      <c r="S1183" s="1295"/>
      <c r="T1183" s="1295"/>
    </row>
    <row r="1184" spans="2:20" ht="15.75" thickBot="1">
      <c r="B1184" s="1345">
        <v>2012</v>
      </c>
      <c r="C1184" s="1346"/>
      <c r="D1184" s="590" t="s">
        <v>15</v>
      </c>
      <c r="E1184" s="651">
        <v>2013</v>
      </c>
      <c r="F1184" s="590" t="s">
        <v>15</v>
      </c>
      <c r="G1184" s="651">
        <v>2014</v>
      </c>
      <c r="H1184" s="590" t="s">
        <v>15</v>
      </c>
      <c r="I1184" s="651">
        <v>2015</v>
      </c>
      <c r="J1184" s="590" t="s">
        <v>15</v>
      </c>
      <c r="K1184" s="651">
        <v>2016</v>
      </c>
      <c r="L1184" s="590" t="s">
        <v>15</v>
      </c>
      <c r="M1184" s="651">
        <v>2017</v>
      </c>
      <c r="N1184" s="590" t="s">
        <v>15</v>
      </c>
      <c r="O1184" s="651">
        <v>2018</v>
      </c>
      <c r="P1184" s="590" t="s">
        <v>15</v>
      </c>
      <c r="Q1184" s="651">
        <v>2019</v>
      </c>
      <c r="R1184" s="590" t="s">
        <v>15</v>
      </c>
      <c r="S1184" s="651">
        <v>2020</v>
      </c>
      <c r="T1184" s="590" t="s">
        <v>15</v>
      </c>
    </row>
    <row r="1185" spans="2:20">
      <c r="B1185" s="306" t="s">
        <v>0</v>
      </c>
      <c r="C1185" s="307">
        <v>658.33333333333337</v>
      </c>
      <c r="D1185" s="309">
        <f t="shared" ref="D1185:D1192" si="1248">100*C1185/$H$1168</f>
        <v>132.95097306648896</v>
      </c>
      <c r="E1185" s="657">
        <f>[9]PLANCUSce!$H$30</f>
        <v>690</v>
      </c>
      <c r="F1185" s="655">
        <f t="shared" ref="F1185:F1190" si="1249">100*E1185/$H$1168</f>
        <v>139.34608316335803</v>
      </c>
      <c r="G1185" s="657">
        <f>[10]PLANCUSce!$H$30</f>
        <v>680</v>
      </c>
      <c r="H1185" s="655">
        <f t="shared" ref="H1185:H1190" si="1250">100*G1185/$H$1168</f>
        <v>137.32657471171515</v>
      </c>
      <c r="I1185" s="657">
        <f>[11]PLANCUSce!$H$30</f>
        <v>670</v>
      </c>
      <c r="J1185" s="655">
        <f t="shared" ref="J1185:J1190" si="1251">100*I1185/$H$1168</f>
        <v>135.3070662600723</v>
      </c>
      <c r="K1185" s="657">
        <f>[12]PLANCUSce!$H$30</f>
        <v>670</v>
      </c>
      <c r="L1185" s="655">
        <f t="shared" ref="L1185" si="1252">100*K1185/$H$1168</f>
        <v>135.3070662600723</v>
      </c>
      <c r="M1185" s="657">
        <f>[13]PLANCUSce!$H$30</f>
        <v>690</v>
      </c>
      <c r="N1185" s="655">
        <f t="shared" ref="N1185" si="1253">100*M1185/$H$1168</f>
        <v>139.34608316335803</v>
      </c>
      <c r="O1185" s="657">
        <f>[14]PLANCUSce!$H$30</f>
        <v>710.4</v>
      </c>
      <c r="P1185" s="655">
        <f t="shared" ref="P1185" si="1254">100*O1185/$H$1168</f>
        <v>143.46588040470948</v>
      </c>
      <c r="Q1185" s="657">
        <f>[15]PLANCUSce!$I$30</f>
        <v>718.9</v>
      </c>
      <c r="R1185" s="655">
        <f t="shared" ref="R1185" si="1255">100*Q1185/$H$1168</f>
        <v>145.18246258860592</v>
      </c>
      <c r="S1185" s="657">
        <f>[16]PLANCUSce!$I$30</f>
        <v>729.4</v>
      </c>
      <c r="T1185" s="655">
        <f t="shared" ref="T1185" si="1256">100*S1185/$H$1168</f>
        <v>147.30294646283093</v>
      </c>
    </row>
    <row r="1186" spans="2:20">
      <c r="B1186" s="310" t="s">
        <v>1</v>
      </c>
      <c r="C1186" s="311">
        <v>658.33333333333337</v>
      </c>
      <c r="D1186" s="313">
        <f t="shared" si="1248"/>
        <v>132.95097306648896</v>
      </c>
      <c r="E1186" s="662">
        <f>[17]PLANCUSce!$H$30</f>
        <v>690</v>
      </c>
      <c r="F1186" s="313">
        <f t="shared" si="1249"/>
        <v>139.34608316335803</v>
      </c>
      <c r="G1186" s="662">
        <f>[18]PLANCUSce!$H$30</f>
        <v>680</v>
      </c>
      <c r="H1186" s="313">
        <f t="shared" si="1250"/>
        <v>137.32657471171515</v>
      </c>
      <c r="I1186" s="662">
        <f>[19]PLANCUSce!$H$30</f>
        <v>670</v>
      </c>
      <c r="J1186" s="313">
        <f t="shared" si="1251"/>
        <v>135.3070662600723</v>
      </c>
      <c r="K1186" s="662">
        <f>[20]PLANCUSce!$H$30</f>
        <v>670</v>
      </c>
      <c r="L1186" s="313">
        <f t="shared" ref="L1186" si="1257">100*K1186/$H$1168</f>
        <v>135.3070662600723</v>
      </c>
      <c r="M1186" s="662">
        <f>[21]PLANCUSce!$H$30</f>
        <v>690</v>
      </c>
      <c r="N1186" s="313">
        <f t="shared" ref="N1186" si="1258">100*M1186/$H$1168</f>
        <v>139.34608316335803</v>
      </c>
      <c r="O1186" s="662">
        <f>[22]PLANCUSce!$H$30</f>
        <v>710.4</v>
      </c>
      <c r="P1186" s="313">
        <f t="shared" ref="P1186" si="1259">100*O1186/$H$1168</f>
        <v>143.46588040470948</v>
      </c>
      <c r="Q1186" s="662">
        <f>[23]PLANCUSce!$I$30</f>
        <v>729.4</v>
      </c>
      <c r="R1186" s="313">
        <f t="shared" ref="R1186" si="1260">100*Q1186/$H$1168</f>
        <v>147.30294646283093</v>
      </c>
      <c r="S1186" s="662">
        <f>[24]PLANCUSce!$I$30</f>
        <v>759.67010000000005</v>
      </c>
      <c r="T1186" s="313">
        <f t="shared" ref="T1186" si="1261">100*S1186/$H$1168</f>
        <v>153.41601874103844</v>
      </c>
    </row>
    <row r="1187" spans="2:20">
      <c r="B1187" s="310" t="s">
        <v>2</v>
      </c>
      <c r="C1187" s="311">
        <v>658.33333333333337</v>
      </c>
      <c r="D1187" s="313">
        <f t="shared" si="1248"/>
        <v>132.95097306648896</v>
      </c>
      <c r="E1187" s="662">
        <f>[25]PLANCUSce!$H$30</f>
        <v>690</v>
      </c>
      <c r="F1187" s="313">
        <f t="shared" si="1249"/>
        <v>139.34608316335803</v>
      </c>
      <c r="G1187" s="662">
        <f>[26]PLANCUSce!$H$30</f>
        <v>680</v>
      </c>
      <c r="H1187" s="313">
        <f t="shared" si="1250"/>
        <v>137.32657471171515</v>
      </c>
      <c r="I1187" s="662">
        <f>[27]PLANCUSce!$H$30</f>
        <v>670</v>
      </c>
      <c r="J1187" s="313">
        <f t="shared" si="1251"/>
        <v>135.3070662600723</v>
      </c>
      <c r="K1187" s="662">
        <f>[28]PLANCUSce!$H$30</f>
        <v>670</v>
      </c>
      <c r="L1187" s="313">
        <f t="shared" ref="L1187" si="1262">100*K1187/$H$1168</f>
        <v>135.3070662600723</v>
      </c>
      <c r="M1187" s="662">
        <f>[29]PLANCUSce!$H$30</f>
        <v>699.9</v>
      </c>
      <c r="N1187" s="313">
        <f t="shared" ref="N1187" si="1263">100*M1187/$H$1168</f>
        <v>141.34539653048446</v>
      </c>
      <c r="O1187" s="662">
        <f>[30]PLANCUSce!$H$30</f>
        <v>710.4</v>
      </c>
      <c r="P1187" s="313">
        <f t="shared" ref="P1187" si="1264">100*O1187/$H$1168</f>
        <v>143.46588040470948</v>
      </c>
      <c r="Q1187" s="662">
        <f>[31]PLANCUSce!$I$30</f>
        <v>729.4</v>
      </c>
      <c r="R1187" s="313">
        <f t="shared" ref="R1187" si="1265">100*Q1187/$H$1168</f>
        <v>147.30294646283093</v>
      </c>
      <c r="S1187" s="662">
        <f>[32]PLANCUSce!$I$30</f>
        <v>759.67010000000005</v>
      </c>
      <c r="T1187" s="313">
        <f t="shared" ref="T1187" si="1266">100*S1187/$H$1168</f>
        <v>153.41601874103844</v>
      </c>
    </row>
    <row r="1188" spans="2:20">
      <c r="B1188" s="310" t="s">
        <v>3</v>
      </c>
      <c r="C1188" s="311">
        <v>658.33333333333337</v>
      </c>
      <c r="D1188" s="313">
        <f t="shared" si="1248"/>
        <v>132.95097306648896</v>
      </c>
      <c r="E1188" s="662">
        <f>[33]PLANCUSce!$H$30</f>
        <v>690</v>
      </c>
      <c r="F1188" s="313">
        <f t="shared" si="1249"/>
        <v>139.34608316335803</v>
      </c>
      <c r="G1188" s="662">
        <f>[34]PLANCUSce!$H$30</f>
        <v>680</v>
      </c>
      <c r="H1188" s="313">
        <f t="shared" si="1250"/>
        <v>137.32657471171515</v>
      </c>
      <c r="I1188" s="662">
        <f>[35]PLANCUSce!$H$30</f>
        <v>670</v>
      </c>
      <c r="J1188" s="313">
        <f t="shared" si="1251"/>
        <v>135.3070662600723</v>
      </c>
      <c r="K1188" s="662">
        <f>[36]PLANCUSce!$H$30</f>
        <v>690</v>
      </c>
      <c r="L1188" s="313">
        <f t="shared" ref="L1188" si="1267">100*K1188/$H$1168</f>
        <v>139.34608316335803</v>
      </c>
      <c r="M1188" s="662">
        <f>[37]PLANCUSce!$H$30</f>
        <v>699.9</v>
      </c>
      <c r="N1188" s="313">
        <f t="shared" ref="N1188" si="1268">100*M1188/$H$1168</f>
        <v>141.34539653048446</v>
      </c>
      <c r="O1188" s="662">
        <f>[38]PLANCUSce!$H$30</f>
        <v>718.9</v>
      </c>
      <c r="P1188" s="313">
        <f t="shared" ref="P1188" si="1269">100*O1188/$H$1168</f>
        <v>145.18246258860592</v>
      </c>
      <c r="Q1188" s="662">
        <f>[39]PLANCUSce!$I$30</f>
        <v>729.4</v>
      </c>
      <c r="R1188" s="313">
        <f t="shared" ref="R1188" si="1270">100*Q1188/$H$1168</f>
        <v>147.30294646283093</v>
      </c>
      <c r="S1188" s="662">
        <f>[40]PLANCUSce!$I$30</f>
        <v>759.67010000000005</v>
      </c>
      <c r="T1188" s="313">
        <f t="shared" ref="T1188" si="1271">100*S1188/$H$1168</f>
        <v>153.41601874103844</v>
      </c>
    </row>
    <row r="1189" spans="2:20">
      <c r="B1189" s="310" t="s">
        <v>4</v>
      </c>
      <c r="C1189" s="311">
        <v>675</v>
      </c>
      <c r="D1189" s="313">
        <f t="shared" si="1248"/>
        <v>136.31682048589374</v>
      </c>
      <c r="E1189" s="662">
        <f>[41]PLANCUSce!$H$30</f>
        <v>690</v>
      </c>
      <c r="F1189" s="313">
        <f t="shared" si="1249"/>
        <v>139.34608316335803</v>
      </c>
      <c r="G1189" s="662">
        <f>[42]PLANCUSce!$H$30</f>
        <v>680</v>
      </c>
      <c r="H1189" s="313">
        <f t="shared" si="1250"/>
        <v>137.32657471171515</v>
      </c>
      <c r="I1189" s="662">
        <f>[43]PLANCUSce!$H$30</f>
        <v>670</v>
      </c>
      <c r="J1189" s="313">
        <f t="shared" si="1251"/>
        <v>135.3070662600723</v>
      </c>
      <c r="K1189" s="662">
        <f>[44]PLANCUSce!$H$30</f>
        <v>690</v>
      </c>
      <c r="L1189" s="313">
        <f t="shared" ref="L1189" si="1272">100*K1189/$H$1168</f>
        <v>139.34608316335803</v>
      </c>
      <c r="M1189" s="662">
        <f>[45]PLANCUSce!$H$30</f>
        <v>699.9</v>
      </c>
      <c r="N1189" s="313">
        <f t="shared" ref="N1189" si="1273">100*M1189/$H$1168</f>
        <v>141.34539653048446</v>
      </c>
      <c r="O1189" s="662">
        <f>[46]PLANCUSce!$H$30</f>
        <v>718.9</v>
      </c>
      <c r="P1189" s="313">
        <f t="shared" ref="P1189" si="1274">100*O1189/$H$1168</f>
        <v>145.18246258860592</v>
      </c>
      <c r="Q1189" s="662">
        <f>[47]PLANCUSce!$I$30</f>
        <v>729.4</v>
      </c>
      <c r="R1189" s="313">
        <f t="shared" ref="R1189" si="1275">100*Q1189/$H$1168</f>
        <v>147.30294646283093</v>
      </c>
      <c r="S1189" s="662">
        <f>[48]PLANCUSce!$I$30</f>
        <v>759.67010000000005</v>
      </c>
      <c r="T1189" s="313">
        <f t="shared" ref="T1189" si="1276">100*S1189/$H$1168</f>
        <v>153.41601874103844</v>
      </c>
    </row>
    <row r="1190" spans="2:20">
      <c r="B1190" s="310" t="s">
        <v>5</v>
      </c>
      <c r="C1190" s="311">
        <v>675</v>
      </c>
      <c r="D1190" s="313">
        <f t="shared" si="1248"/>
        <v>136.31682048589374</v>
      </c>
      <c r="E1190" s="662">
        <f>[49]PLANCUSce!$H$30</f>
        <v>690</v>
      </c>
      <c r="F1190" s="313">
        <f t="shared" si="1249"/>
        <v>139.34608316335803</v>
      </c>
      <c r="G1190" s="662">
        <f>[50]PLANCUSce!$H$30</f>
        <v>690</v>
      </c>
      <c r="H1190" s="313">
        <f t="shared" si="1250"/>
        <v>139.34608316335803</v>
      </c>
      <c r="I1190" s="662">
        <f>[51]PLANCUSce!$H$30</f>
        <v>670</v>
      </c>
      <c r="J1190" s="313">
        <f t="shared" si="1251"/>
        <v>135.3070662600723</v>
      </c>
      <c r="K1190" s="662">
        <f>[52]PLANCUSce!$H$30</f>
        <v>690</v>
      </c>
      <c r="L1190" s="313">
        <f t="shared" ref="L1190" si="1277">100*K1190/$H$1168</f>
        <v>139.34608316335803</v>
      </c>
      <c r="M1190" s="662">
        <f>[53]PLANCUSce!$H$30</f>
        <v>699.9</v>
      </c>
      <c r="N1190" s="313">
        <f t="shared" ref="N1190" si="1278">100*M1190/$H$1168</f>
        <v>141.34539653048446</v>
      </c>
      <c r="O1190" s="662">
        <f>[54]PLANCUSce!$H$30</f>
        <v>718.9</v>
      </c>
      <c r="P1190" s="313">
        <f t="shared" ref="P1190" si="1279">100*O1190/$H$1168</f>
        <v>145.18246258860592</v>
      </c>
      <c r="Q1190" s="662">
        <f>[55]PLANCUSce!$I$30</f>
        <v>729.4</v>
      </c>
      <c r="R1190" s="313">
        <f t="shared" ref="R1190" si="1280">100*Q1190/$H$1168</f>
        <v>147.30294646283093</v>
      </c>
      <c r="S1190" s="662">
        <f>[56]PLANCUSce!$I$30</f>
        <v>759.67010000000005</v>
      </c>
      <c r="T1190" s="313">
        <f t="shared" ref="T1190" si="1281">100*S1190/$H$1168</f>
        <v>153.41601874103844</v>
      </c>
    </row>
    <row r="1191" spans="2:20">
      <c r="B1191" s="310" t="s">
        <v>6</v>
      </c>
      <c r="C1191" s="311">
        <f>[57]PLANCUSce!$H$30</f>
        <v>675</v>
      </c>
      <c r="D1191" s="313">
        <f t="shared" si="1248"/>
        <v>136.31682048589374</v>
      </c>
      <c r="E1191" s="662">
        <f>[58]PLANCUSce!$H$30</f>
        <v>690</v>
      </c>
      <c r="F1191" s="313">
        <f t="shared" ref="F1191:F1196" si="1282">100*E1191/$H$1168</f>
        <v>139.34608316335803</v>
      </c>
      <c r="G1191" s="662">
        <f>[59]PLANCUSce!$H$30</f>
        <v>690</v>
      </c>
      <c r="H1191" s="313">
        <f t="shared" ref="H1191:H1196" si="1283">100*G1191/$H$1168</f>
        <v>139.34608316335803</v>
      </c>
      <c r="I1191" s="662">
        <f>[60]PLANCUSce!$H$30</f>
        <v>670</v>
      </c>
      <c r="J1191" s="313">
        <f t="shared" ref="J1191:J1196" si="1284">100*I1191/$H$1168</f>
        <v>135.3070662600723</v>
      </c>
      <c r="K1191" s="662">
        <f>[61]PLANCUSce!$H$30</f>
        <v>690</v>
      </c>
      <c r="L1191" s="313">
        <f t="shared" ref="L1191" si="1285">100*K1191/$H$1168</f>
        <v>139.34608316335803</v>
      </c>
      <c r="M1191" s="662">
        <f>[62]PLANCUSce!$H$30</f>
        <v>699.9</v>
      </c>
      <c r="N1191" s="313">
        <f t="shared" ref="N1191" si="1286">100*M1191/$H$1168</f>
        <v>141.34539653048446</v>
      </c>
      <c r="O1191" s="662">
        <f>[63]PLANCUSce!$I$30</f>
        <v>718.9</v>
      </c>
      <c r="P1191" s="313">
        <f t="shared" ref="P1191" si="1287">100*O1191/$H$1168</f>
        <v>145.18246258860592</v>
      </c>
      <c r="Q1191" s="662">
        <f>[64]PLANCUSce!$I$30</f>
        <v>729.4</v>
      </c>
      <c r="R1191" s="313">
        <f t="shared" ref="R1191" si="1288">100*Q1191/$H$1168</f>
        <v>147.30294646283093</v>
      </c>
      <c r="S1191" s="662">
        <f>[65]PLANCUSce!$I$30</f>
        <v>759.67010000000005</v>
      </c>
      <c r="T1191" s="313">
        <f t="shared" ref="T1191" si="1289">100*S1191/$H$1168</f>
        <v>153.41601874103844</v>
      </c>
    </row>
    <row r="1192" spans="2:20">
      <c r="B1192" s="310" t="s">
        <v>7</v>
      </c>
      <c r="C1192" s="311">
        <f>[66]PLANCUSce!$H$30</f>
        <v>675</v>
      </c>
      <c r="D1192" s="313">
        <f t="shared" si="1248"/>
        <v>136.31682048589374</v>
      </c>
      <c r="E1192" s="662">
        <f>[67]PLANCUSce!$H$30</f>
        <v>690</v>
      </c>
      <c r="F1192" s="313">
        <f t="shared" si="1282"/>
        <v>139.34608316335803</v>
      </c>
      <c r="G1192" s="662">
        <f>[68]PLANCUSce!$H$30</f>
        <v>690</v>
      </c>
      <c r="H1192" s="313">
        <f t="shared" si="1283"/>
        <v>139.34608316335803</v>
      </c>
      <c r="I1192" s="662">
        <f>[69]PLANCUSce!$H$30</f>
        <v>670</v>
      </c>
      <c r="J1192" s="313">
        <f t="shared" si="1284"/>
        <v>135.3070662600723</v>
      </c>
      <c r="K1192" s="662">
        <f>[70]PLANCUSce!$H$30</f>
        <v>690</v>
      </c>
      <c r="L1192" s="313">
        <f t="shared" ref="L1192" si="1290">100*K1192/$H$1168</f>
        <v>139.34608316335803</v>
      </c>
      <c r="M1192" s="662">
        <f>[71]PLANCUSce!$H$30</f>
        <v>704.9</v>
      </c>
      <c r="N1192" s="313">
        <f t="shared" ref="N1192" si="1291">100*M1192/$H$1168</f>
        <v>142.3551507563059</v>
      </c>
      <c r="O1192" s="662">
        <f>[72]PLANCUSce!$I$30</f>
        <v>718.9</v>
      </c>
      <c r="P1192" s="313">
        <f t="shared" ref="P1192" si="1292">100*O1192/$H$1168</f>
        <v>145.18246258860592</v>
      </c>
      <c r="Q1192" s="662">
        <f>[73]PLANCUSce!$I$30</f>
        <v>729.4</v>
      </c>
      <c r="R1192" s="313">
        <f t="shared" ref="R1192" si="1293">100*Q1192/$H$1168</f>
        <v>147.30294646283093</v>
      </c>
      <c r="S1192" s="662">
        <f>[74]PLANCUSce!$I$30</f>
        <v>759.67010000000005</v>
      </c>
      <c r="T1192" s="313">
        <f t="shared" ref="T1192" si="1294">100*S1192/$H$1168</f>
        <v>153.41601874103844</v>
      </c>
    </row>
    <row r="1193" spans="2:20">
      <c r="B1193" s="310" t="s">
        <v>8</v>
      </c>
      <c r="C1193" s="311">
        <f>[75]PLANCUSce!$H$30</f>
        <v>675</v>
      </c>
      <c r="D1193" s="313">
        <f>100*C1193/$H$1168</f>
        <v>136.31682048589374</v>
      </c>
      <c r="E1193" s="662">
        <f>[76]PLANCUSce!$H$30</f>
        <v>690</v>
      </c>
      <c r="F1193" s="313">
        <f t="shared" si="1282"/>
        <v>139.34608316335803</v>
      </c>
      <c r="G1193" s="662">
        <f>[77]PLANCUSce!$H$30</f>
        <v>690</v>
      </c>
      <c r="H1193" s="313">
        <f t="shared" si="1283"/>
        <v>139.34608316335803</v>
      </c>
      <c r="I1193" s="662">
        <f>[78]PLANCUSce!$H$30</f>
        <v>670</v>
      </c>
      <c r="J1193" s="313">
        <f t="shared" si="1284"/>
        <v>135.3070662600723</v>
      </c>
      <c r="K1193" s="662">
        <f>[79]PLANCUSce!$H$30</f>
        <v>690</v>
      </c>
      <c r="L1193" s="313">
        <f t="shared" ref="L1193" si="1295">100*K1193/$H$1168</f>
        <v>139.34608316335803</v>
      </c>
      <c r="M1193" s="662">
        <f>[80]PLANCUSce!$H$30</f>
        <v>704.9</v>
      </c>
      <c r="N1193" s="313">
        <f t="shared" ref="N1193" si="1296">100*M1193/$H$1168</f>
        <v>142.3551507563059</v>
      </c>
      <c r="O1193" s="662">
        <f>[81]PLANCUSce!$I$30</f>
        <v>718.9</v>
      </c>
      <c r="P1193" s="313">
        <f t="shared" ref="P1193" si="1297">100*O1193/$H$1168</f>
        <v>145.18246258860592</v>
      </c>
      <c r="Q1193" s="662">
        <f>[82]PLANCUSce!$I$30</f>
        <v>729.4</v>
      </c>
      <c r="R1193" s="313">
        <f t="shared" ref="R1193" si="1298">100*Q1193/$H$1168</f>
        <v>147.30294646283093</v>
      </c>
      <c r="S1193" s="662">
        <f>[123]PLANCUSce!$I$30</f>
        <v>759.67010000000005</v>
      </c>
      <c r="T1193" s="313">
        <f t="shared" ref="T1193" si="1299">100*S1193/$H$1168</f>
        <v>153.41601874103844</v>
      </c>
    </row>
    <row r="1194" spans="2:20">
      <c r="B1194" s="310" t="s">
        <v>9</v>
      </c>
      <c r="C1194" s="311">
        <f>[83]PLANCUSce!$H$30</f>
        <v>675</v>
      </c>
      <c r="D1194" s="313">
        <f>100*C1194/$H$1168</f>
        <v>136.31682048589374</v>
      </c>
      <c r="E1194" s="662">
        <f>[84]PLANCUSce!$H$30</f>
        <v>690</v>
      </c>
      <c r="F1194" s="313">
        <f t="shared" si="1282"/>
        <v>139.34608316335803</v>
      </c>
      <c r="G1194" s="662">
        <f>[85]PLANCUSce!$H$30</f>
        <v>690</v>
      </c>
      <c r="H1194" s="313">
        <f t="shared" si="1283"/>
        <v>139.34608316335803</v>
      </c>
      <c r="I1194" s="662">
        <f>[86]PLANCUSce!$H$30</f>
        <v>670</v>
      </c>
      <c r="J1194" s="313">
        <f t="shared" si="1284"/>
        <v>135.3070662600723</v>
      </c>
      <c r="K1194" s="662">
        <f>[87]PLANCUSce!$H$30</f>
        <v>690</v>
      </c>
      <c r="L1194" s="313">
        <f t="shared" ref="L1194" si="1300">100*K1194/$H$1168</f>
        <v>139.34608316335803</v>
      </c>
      <c r="M1194" s="662">
        <f>[88]PLANCUSce!$H$30</f>
        <v>704.9</v>
      </c>
      <c r="N1194" s="313">
        <f t="shared" ref="N1194" si="1301">100*M1194/$H$1168</f>
        <v>142.3551507563059</v>
      </c>
      <c r="O1194" s="662">
        <f>[89]PLANCUSce!$I$30</f>
        <v>718.9</v>
      </c>
      <c r="P1194" s="313">
        <f t="shared" ref="P1194" si="1302">100*O1194/$H$1168</f>
        <v>145.18246258860592</v>
      </c>
      <c r="Q1194" s="662">
        <f>[90]PLANCUSce!$I$30</f>
        <v>729.4</v>
      </c>
      <c r="R1194" s="313">
        <f t="shared" ref="R1194" si="1303">100*Q1194/$H$1168</f>
        <v>147.30294646283093</v>
      </c>
      <c r="S1194" s="662"/>
      <c r="T1194" s="313"/>
    </row>
    <row r="1195" spans="2:20">
      <c r="B1195" s="310" t="s">
        <v>10</v>
      </c>
      <c r="C1195" s="311">
        <f>[91]PLANCUSce!$H$30</f>
        <v>675</v>
      </c>
      <c r="D1195" s="313">
        <f>100*C1195/$H$1168</f>
        <v>136.31682048589374</v>
      </c>
      <c r="E1195" s="662">
        <f>[92]PLANCUSce!$H$30</f>
        <v>690</v>
      </c>
      <c r="F1195" s="313">
        <f t="shared" si="1282"/>
        <v>139.34608316335803</v>
      </c>
      <c r="G1195" s="662">
        <f>[93]PLANCUSce!$H$30</f>
        <v>690</v>
      </c>
      <c r="H1195" s="313">
        <f t="shared" si="1283"/>
        <v>139.34608316335803</v>
      </c>
      <c r="I1195" s="662">
        <f>[94]PLANCUSce!$H$30</f>
        <v>670</v>
      </c>
      <c r="J1195" s="313">
        <f t="shared" si="1284"/>
        <v>135.3070662600723</v>
      </c>
      <c r="K1195" s="662">
        <f>[95]PLANCUSce!$H$30</f>
        <v>690</v>
      </c>
      <c r="L1195" s="313">
        <f t="shared" ref="L1195" si="1304">100*K1195/$H$1168</f>
        <v>139.34608316335803</v>
      </c>
      <c r="M1195" s="662">
        <f>[96]PLANCUSce!$H$30</f>
        <v>710.4</v>
      </c>
      <c r="N1195" s="313">
        <f t="shared" ref="N1195" si="1305">100*M1195/$H$1168</f>
        <v>143.46588040470948</v>
      </c>
      <c r="O1195" s="662">
        <f>[97]PLANCUSce!$I$30</f>
        <v>718.9</v>
      </c>
      <c r="P1195" s="313">
        <f t="shared" ref="P1195" si="1306">100*O1195/$H$1168</f>
        <v>145.18246258860592</v>
      </c>
      <c r="Q1195" s="662">
        <f>[98]PLANCUSce!$I$30</f>
        <v>729.4</v>
      </c>
      <c r="R1195" s="313">
        <f t="shared" ref="R1195" si="1307">100*Q1195/$H$1168</f>
        <v>147.30294646283093</v>
      </c>
      <c r="S1195" s="662"/>
      <c r="T1195" s="313"/>
    </row>
    <row r="1196" spans="2:20" ht="15.75" thickBot="1">
      <c r="B1196" s="314" t="s">
        <v>11</v>
      </c>
      <c r="C1196" s="315">
        <f>[99]PLANCUSce!$H$30</f>
        <v>675</v>
      </c>
      <c r="D1196" s="317">
        <f>100*C1196/$H$1168</f>
        <v>136.31682048589374</v>
      </c>
      <c r="E1196" s="682">
        <f>[100]PLANCUSce!$H$30</f>
        <v>690</v>
      </c>
      <c r="F1196" s="317">
        <f t="shared" si="1282"/>
        <v>139.34608316335803</v>
      </c>
      <c r="G1196" s="682">
        <f>[101]PLANCUSce!$H$30</f>
        <v>690</v>
      </c>
      <c r="H1196" s="317">
        <f t="shared" si="1283"/>
        <v>139.34608316335803</v>
      </c>
      <c r="I1196" s="682">
        <f>[102]PLANCUSce!$H$30</f>
        <v>670</v>
      </c>
      <c r="J1196" s="317">
        <f t="shared" si="1284"/>
        <v>135.3070662600723</v>
      </c>
      <c r="K1196" s="682">
        <f>[103]PLANCUSce!$H$30</f>
        <v>690</v>
      </c>
      <c r="L1196" s="317">
        <f t="shared" ref="L1196" si="1308">100*K1196/$H$1168</f>
        <v>139.34608316335803</v>
      </c>
      <c r="M1196" s="682">
        <f>[104]PLANCUSce!$H$30</f>
        <v>710.4</v>
      </c>
      <c r="N1196" s="317">
        <f t="shared" ref="N1196" si="1309">100*M1196/$H$1168</f>
        <v>143.46588040470948</v>
      </c>
      <c r="O1196" s="682">
        <f>[105]PLANCUSce!$I$30</f>
        <v>718.9</v>
      </c>
      <c r="P1196" s="317">
        <f t="shared" ref="P1196" si="1310">100*O1196/$H$1168</f>
        <v>145.18246258860592</v>
      </c>
      <c r="Q1196" s="682">
        <f>[106]PLANCUSce!$I$30</f>
        <v>729.4</v>
      </c>
      <c r="R1196" s="317">
        <f t="shared" ref="R1196" si="1311">100*Q1196/$H$1168</f>
        <v>147.30294646283093</v>
      </c>
      <c r="S1196" s="682"/>
      <c r="T1196" s="317"/>
    </row>
    <row r="1197" spans="2:20">
      <c r="B1197" s="119"/>
      <c r="C1197" s="152"/>
      <c r="D1197" s="123"/>
      <c r="E1197" s="118"/>
      <c r="F1197" s="123"/>
      <c r="G1197" s="118"/>
      <c r="H1197" s="123"/>
      <c r="I1197" s="118"/>
      <c r="J1197" s="123"/>
      <c r="K1197" s="118"/>
      <c r="L1197" s="123"/>
      <c r="M1197" s="118"/>
      <c r="N1197" s="123"/>
      <c r="O1197" s="123"/>
      <c r="P1197" s="123"/>
      <c r="Q1197" s="180"/>
      <c r="R1197" s="123"/>
      <c r="S1197" s="119"/>
      <c r="T1197" s="132"/>
    </row>
    <row r="1198" spans="2:20">
      <c r="B1198" s="198"/>
      <c r="C1198" s="199"/>
      <c r="D1198" s="203"/>
      <c r="E1198" s="199"/>
      <c r="F1198" s="198"/>
      <c r="G1198" s="198"/>
      <c r="H1198" s="198"/>
      <c r="I1198" s="202"/>
      <c r="J1198" s="198"/>
      <c r="K1198" s="202"/>
      <c r="L1198" s="198"/>
      <c r="M1198" s="202"/>
      <c r="N1198" s="198"/>
      <c r="O1198" s="119"/>
      <c r="P1198" s="119"/>
      <c r="Q1198" s="180"/>
      <c r="R1198" s="123"/>
      <c r="S1198" s="119"/>
      <c r="T1198" s="132"/>
    </row>
    <row r="1199" spans="2:20" s="686" customFormat="1">
      <c r="B1199" s="687"/>
      <c r="C1199" s="692"/>
      <c r="D1199" s="693"/>
      <c r="E1199" s="692"/>
      <c r="F1199" s="687"/>
      <c r="G1199" s="687"/>
      <c r="H1199" s="687"/>
      <c r="I1199" s="690"/>
      <c r="J1199" s="687"/>
      <c r="K1199" s="690"/>
      <c r="L1199" s="687"/>
      <c r="M1199" s="690"/>
      <c r="N1199" s="687"/>
      <c r="O1199" s="687"/>
      <c r="P1199" s="687"/>
      <c r="Q1199" s="691"/>
      <c r="R1199" s="562"/>
      <c r="S1199" s="687"/>
      <c r="T1199" s="633"/>
    </row>
    <row r="1200" spans="2:20">
      <c r="B1200" s="119"/>
      <c r="C1200" s="152"/>
      <c r="D1200" s="123"/>
      <c r="E1200" s="123"/>
      <c r="F1200" s="123"/>
      <c r="G1200" s="118"/>
      <c r="H1200" s="123"/>
      <c r="I1200" s="118"/>
      <c r="J1200" s="123"/>
      <c r="K1200" s="118"/>
      <c r="L1200" s="123"/>
      <c r="M1200" s="123"/>
      <c r="N1200" s="123"/>
      <c r="O1200" s="132"/>
      <c r="P1200" s="132"/>
      <c r="Q1200" s="180"/>
      <c r="R1200" s="123"/>
      <c r="S1200" s="122"/>
      <c r="T1200" s="122"/>
    </row>
    <row r="1201" spans="2:20" ht="16.5" thickBot="1">
      <c r="B1201" s="1300" t="s">
        <v>392</v>
      </c>
      <c r="C1201" s="1301"/>
      <c r="D1201" s="1301"/>
      <c r="E1201" s="1301"/>
      <c r="F1201" s="1301"/>
      <c r="G1201" s="1301"/>
      <c r="H1201" s="1301"/>
      <c r="I1201" s="1301"/>
      <c r="J1201" s="1301"/>
      <c r="K1201" s="1301"/>
      <c r="L1201" s="1301"/>
      <c r="M1201" s="1301"/>
      <c r="N1201" s="1301"/>
      <c r="O1201" s="1301"/>
      <c r="P1201" s="1301"/>
      <c r="Q1201" s="1301"/>
      <c r="R1201" s="1301"/>
      <c r="S1201" s="122"/>
      <c r="T1201" s="122"/>
    </row>
    <row r="1202" spans="2:20">
      <c r="B1202" s="1343" t="s">
        <v>311</v>
      </c>
      <c r="C1202" s="1344"/>
      <c r="D1202" s="501" t="s">
        <v>15</v>
      </c>
      <c r="E1202" s="645">
        <v>2014</v>
      </c>
      <c r="F1202" s="501" t="s">
        <v>15</v>
      </c>
      <c r="G1202" s="645">
        <v>2015</v>
      </c>
      <c r="H1202" s="501" t="s">
        <v>15</v>
      </c>
      <c r="I1202" s="645">
        <v>2016</v>
      </c>
      <c r="J1202" s="501" t="s">
        <v>15</v>
      </c>
      <c r="K1202" s="645">
        <v>2017</v>
      </c>
      <c r="L1202" s="501" t="s">
        <v>15</v>
      </c>
      <c r="M1202" s="645">
        <v>2018</v>
      </c>
      <c r="N1202" s="501" t="s">
        <v>15</v>
      </c>
      <c r="O1202" s="645">
        <v>2019</v>
      </c>
      <c r="P1202" s="501" t="s">
        <v>15</v>
      </c>
      <c r="Q1202" s="1269">
        <v>2020</v>
      </c>
      <c r="R1202" s="501" t="s">
        <v>15</v>
      </c>
      <c r="S1202" s="122"/>
      <c r="T1202" s="122"/>
    </row>
    <row r="1203" spans="2:20">
      <c r="B1203" s="310" t="s">
        <v>0</v>
      </c>
      <c r="C1203" s="311">
        <f>[107]Janeiro!$J$32</f>
        <v>588.07799999999997</v>
      </c>
      <c r="D1203" s="313">
        <f t="shared" ref="D1203:D1210" si="1312">100*C1203/$F$618</f>
        <v>131.85605381165919</v>
      </c>
      <c r="E1203" s="311">
        <f>'[108]jan-14'!$I$39</f>
        <v>591.78399999999999</v>
      </c>
      <c r="F1203" s="313">
        <f t="shared" ref="F1203:F1208" si="1313">100*E1203/$F$618</f>
        <v>132.68699551569506</v>
      </c>
      <c r="G1203" s="662">
        <f>'[109]jan-15'!$I$39</f>
        <v>600.024</v>
      </c>
      <c r="H1203" s="313">
        <f t="shared" ref="H1203:H1208" si="1314">100*G1203/$F$618</f>
        <v>134.53452914798206</v>
      </c>
      <c r="I1203" s="662">
        <f>'[110]jan-16'!$I$39</f>
        <v>607.96</v>
      </c>
      <c r="J1203" s="313">
        <f t="shared" ref="J1203" si="1315">100*I1203/$F$618</f>
        <v>136.31390134529147</v>
      </c>
      <c r="K1203" s="662">
        <f>'[111]jan-17'!$I$39</f>
        <v>678.89400000000001</v>
      </c>
      <c r="L1203" s="313">
        <f t="shared" ref="L1203" si="1316">100*K1203/$F$618</f>
        <v>152.21838565022421</v>
      </c>
      <c r="M1203" s="662">
        <f>'[112]jan-18'!$I$39</f>
        <v>573.3420000000001</v>
      </c>
      <c r="N1203" s="313">
        <f t="shared" ref="N1203" si="1317">100*M1203/$F$618</f>
        <v>128.55201793721974</v>
      </c>
      <c r="O1203" s="662">
        <f>'[113]jan-19'!$I$39</f>
        <v>616.9</v>
      </c>
      <c r="P1203" s="313">
        <f t="shared" ref="P1203" si="1318">100*O1203/$F$618</f>
        <v>138.31838565022423</v>
      </c>
      <c r="Q1203" s="662">
        <f>'[114]jan-20'!$I$39</f>
        <v>606.14599999999996</v>
      </c>
      <c r="R1203" s="313">
        <f t="shared" ref="R1203" si="1319">100*Q1203/$F$618</f>
        <v>135.90717488789238</v>
      </c>
      <c r="S1203" s="122"/>
      <c r="T1203" s="122"/>
    </row>
    <row r="1204" spans="2:20">
      <c r="B1204" s="310" t="s">
        <v>1</v>
      </c>
      <c r="C1204" s="311">
        <f>[107]Fevereiro!$J$32</f>
        <v>597.51599999999996</v>
      </c>
      <c r="D1204" s="313">
        <f t="shared" si="1312"/>
        <v>133.97219730941703</v>
      </c>
      <c r="E1204" s="662">
        <f>'[108]fev-14'!$I$39</f>
        <v>595.45600000000002</v>
      </c>
      <c r="F1204" s="313">
        <f t="shared" si="1313"/>
        <v>133.51031390134528</v>
      </c>
      <c r="G1204" s="662">
        <f>'[109]fev-15'!$I$39</f>
        <v>618.03399999999999</v>
      </c>
      <c r="H1204" s="313">
        <f t="shared" si="1314"/>
        <v>138.57264573991031</v>
      </c>
      <c r="I1204" s="662">
        <f>'[110]fev-16'!$I$39</f>
        <v>613.14200000000005</v>
      </c>
      <c r="J1204" s="313">
        <f t="shared" ref="J1204" si="1320">100*I1204/$F$618</f>
        <v>137.47578475336323</v>
      </c>
      <c r="K1204" s="662">
        <f>'[111]fev-17'!$I$39</f>
        <v>646.524</v>
      </c>
      <c r="L1204" s="313">
        <f t="shared" ref="L1204" si="1321">100*K1204/$F$618</f>
        <v>144.96053811659192</v>
      </c>
      <c r="M1204" s="662">
        <f>'[112]fev-18'!$I$39</f>
        <v>559.74</v>
      </c>
      <c r="N1204" s="313">
        <f t="shared" ref="N1204" si="1322">100*M1204/$F$618</f>
        <v>125.50224215246637</v>
      </c>
      <c r="O1204" s="662">
        <f>'[113]fev-19'!$I$39</f>
        <v>625.18799999999987</v>
      </c>
      <c r="P1204" s="313">
        <f t="shared" ref="P1204" si="1323">100*O1204/$F$618</f>
        <v>140.17668161434975</v>
      </c>
      <c r="Q1204" s="662">
        <f>'[114]fev-20'!$I$39</f>
        <v>606.03</v>
      </c>
      <c r="R1204" s="313">
        <f t="shared" ref="R1204" si="1324">100*Q1204/$F$618</f>
        <v>135.88116591928252</v>
      </c>
      <c r="S1204" s="122"/>
      <c r="T1204" s="122"/>
    </row>
    <row r="1205" spans="2:20">
      <c r="B1205" s="310" t="s">
        <v>2</v>
      </c>
      <c r="C1205" s="311">
        <f>[107]Março!$J$32</f>
        <v>607.28800000000001</v>
      </c>
      <c r="D1205" s="313">
        <f t="shared" si="1312"/>
        <v>136.16322869955158</v>
      </c>
      <c r="E1205" s="662">
        <f>'[108]mar-14'!$I$39</f>
        <v>616.21600000000001</v>
      </c>
      <c r="F1205" s="313">
        <f t="shared" si="1313"/>
        <v>138.16502242152467</v>
      </c>
      <c r="G1205" s="662">
        <f>'[109]mar-15'!$I$39</f>
        <v>626.73400000000004</v>
      </c>
      <c r="H1205" s="313">
        <f t="shared" si="1314"/>
        <v>140.52331838565021</v>
      </c>
      <c r="I1205" s="662">
        <f>'[110]mar-16'!$I$39</f>
        <v>641.26200000000006</v>
      </c>
      <c r="J1205" s="313">
        <f t="shared" ref="J1205" si="1325">100*I1205/$F$618</f>
        <v>143.78071748878924</v>
      </c>
      <c r="K1205" s="662">
        <f>'[111]mar-17'!$I$39</f>
        <v>621.56200000000013</v>
      </c>
      <c r="L1205" s="313">
        <f t="shared" ref="L1205" si="1326">100*K1205/$F$618</f>
        <v>139.36367713004486</v>
      </c>
      <c r="M1205" s="662">
        <f>'[112]mar-18'!$I$39</f>
        <v>580.37</v>
      </c>
      <c r="N1205" s="313">
        <f t="shared" ref="N1205" si="1327">100*M1205/$F$618</f>
        <v>130.12780269058297</v>
      </c>
      <c r="O1205" s="662">
        <f>'[113]mar-19'!$I$39</f>
        <v>597.12999999999988</v>
      </c>
      <c r="P1205" s="313">
        <f t="shared" ref="P1205" si="1328">100*O1205/$F$618</f>
        <v>133.88565022421523</v>
      </c>
      <c r="Q1205" s="662">
        <f>'[114]mar-20'!$I$39</f>
        <v>607.66599999999994</v>
      </c>
      <c r="R1205" s="313">
        <f t="shared" ref="R1205" si="1329">100*Q1205/$F$618</f>
        <v>136.24798206278024</v>
      </c>
      <c r="S1205" s="122"/>
      <c r="T1205" s="122"/>
    </row>
    <row r="1206" spans="2:20">
      <c r="B1206" s="310" t="s">
        <v>3</v>
      </c>
      <c r="C1206" s="311">
        <f>[107]Abril!$J$32</f>
        <v>607.54200000000003</v>
      </c>
      <c r="D1206" s="313">
        <f t="shared" si="1312"/>
        <v>136.22017937219732</v>
      </c>
      <c r="E1206" s="662">
        <f>'[108]abr-14'!$I$39</f>
        <v>595.77199999999993</v>
      </c>
      <c r="F1206" s="313">
        <f t="shared" si="1313"/>
        <v>133.58116591928251</v>
      </c>
      <c r="G1206" s="662">
        <f>'[109]abr-15'!$I$39</f>
        <v>610.73400000000004</v>
      </c>
      <c r="H1206" s="313">
        <f t="shared" si="1314"/>
        <v>136.93587443946188</v>
      </c>
      <c r="I1206" s="662">
        <f>'[110]abr-16'!$I$39</f>
        <v>631.86200000000008</v>
      </c>
      <c r="J1206" s="313">
        <f t="shared" ref="J1206" si="1330">100*I1206/$F$618</f>
        <v>141.6730941704036</v>
      </c>
      <c r="K1206" s="662">
        <f>'[111]abr-17'!$I$39</f>
        <v>646.80200000000002</v>
      </c>
      <c r="L1206" s="313">
        <f t="shared" ref="L1206" si="1331">100*K1206/$F$618</f>
        <v>145.02286995515695</v>
      </c>
      <c r="M1206" s="662">
        <f>'[112]abr-18'!$I$39</f>
        <v>582.33000000000004</v>
      </c>
      <c r="N1206" s="313">
        <f t="shared" ref="N1206" si="1332">100*M1206/$F$618</f>
        <v>130.56726457399105</v>
      </c>
      <c r="O1206" s="662">
        <f>'[113]abr-19'!$I$39</f>
        <v>604.34599999999989</v>
      </c>
      <c r="P1206" s="313">
        <f t="shared" ref="P1206" si="1333">100*O1206/$F$618</f>
        <v>135.50358744394617</v>
      </c>
      <c r="Q1206" s="662">
        <f>'[114]abr-20'!$I$39</f>
        <v>631.37200000000007</v>
      </c>
      <c r="R1206" s="313">
        <f t="shared" ref="R1206" si="1334">100*Q1206/$F$618</f>
        <v>141.56322869955159</v>
      </c>
      <c r="S1206" s="122"/>
      <c r="T1206" s="122"/>
    </row>
    <row r="1207" spans="2:20">
      <c r="B1207" s="310" t="s">
        <v>4</v>
      </c>
      <c r="C1207" s="311">
        <f>[107]Maio!$J$32</f>
        <v>615.08000000000004</v>
      </c>
      <c r="D1207" s="313">
        <f t="shared" si="1312"/>
        <v>137.91031390134532</v>
      </c>
      <c r="E1207" s="662">
        <f>'[108]mai-14'!$I$39</f>
        <v>585.77199999999993</v>
      </c>
      <c r="F1207" s="313">
        <f t="shared" si="1313"/>
        <v>131.3390134529148</v>
      </c>
      <c r="G1207" s="662">
        <f>'[109]mai-15'!$I$39</f>
        <v>616.73400000000004</v>
      </c>
      <c r="H1207" s="313">
        <f t="shared" si="1314"/>
        <v>138.2811659192825</v>
      </c>
      <c r="I1207" s="662">
        <f>'[115]mai-16'!$I$39</f>
        <v>640.39800000000002</v>
      </c>
      <c r="J1207" s="313">
        <f t="shared" ref="J1207" si="1335">100*I1207/$F$618</f>
        <v>143.58699551569507</v>
      </c>
      <c r="K1207" s="662">
        <f>'[111]mai-17'!$I$39</f>
        <v>658.06200000000001</v>
      </c>
      <c r="L1207" s="313">
        <f t="shared" ref="L1207" si="1336">100*K1207/$F$618</f>
        <v>147.54753363228699</v>
      </c>
      <c r="M1207" s="662">
        <f>'[112]mai-18'!$I$39</f>
        <v>575.28200000000004</v>
      </c>
      <c r="N1207" s="313">
        <f t="shared" ref="N1207" si="1337">100*M1207/$F$618</f>
        <v>128.98699551569507</v>
      </c>
      <c r="O1207" s="662">
        <f>'[113]mai-19'!$I$39</f>
        <v>604.34599999999989</v>
      </c>
      <c r="P1207" s="313">
        <f t="shared" ref="P1207" si="1338">100*O1207/$F$618</f>
        <v>135.50358744394617</v>
      </c>
      <c r="Q1207" s="662">
        <f>'[114]mai-20'!$I$39</f>
        <v>627.67200000000014</v>
      </c>
      <c r="R1207" s="313">
        <f t="shared" ref="R1207" si="1339">100*Q1207/$F$618</f>
        <v>140.73363228699554</v>
      </c>
      <c r="S1207" s="122"/>
      <c r="T1207" s="122"/>
    </row>
    <row r="1208" spans="2:20">
      <c r="B1208" s="310" t="s">
        <v>5</v>
      </c>
      <c r="C1208" s="311">
        <f>[107]Junho!$J$32</f>
        <v>609.85</v>
      </c>
      <c r="D1208" s="313">
        <f t="shared" si="1312"/>
        <v>136.73766816143498</v>
      </c>
      <c r="E1208" s="662">
        <f>'[108]jun-14'!$I$39</f>
        <v>585.77199999999993</v>
      </c>
      <c r="F1208" s="313">
        <f t="shared" si="1313"/>
        <v>131.3390134529148</v>
      </c>
      <c r="G1208" s="662">
        <f>'[109]jun-15'!$I$39</f>
        <v>604.93399999999997</v>
      </c>
      <c r="H1208" s="313">
        <f t="shared" si="1314"/>
        <v>135.63542600896861</v>
      </c>
      <c r="I1208" s="662">
        <f>'[115]jun-16'!$I$39</f>
        <v>633.54600000000005</v>
      </c>
      <c r="J1208" s="313">
        <f t="shared" ref="J1208" si="1340">100*I1208/$F$618</f>
        <v>142.05067264573992</v>
      </c>
      <c r="K1208" s="662">
        <f>'[111]jun-17'!$I$39</f>
        <v>658.06200000000001</v>
      </c>
      <c r="L1208" s="313">
        <f t="shared" ref="L1208" si="1341">100*K1208/$F$618</f>
        <v>147.54753363228699</v>
      </c>
      <c r="M1208" s="662">
        <f>'[112]jun-18'!$I$39</f>
        <v>593.08200000000011</v>
      </c>
      <c r="N1208" s="313">
        <f t="shared" ref="N1208" si="1342">100*M1208/$F$618</f>
        <v>132.97802690582961</v>
      </c>
      <c r="O1208" s="662">
        <f>'[113]jun-19'!$I$39</f>
        <v>598.12800000000004</v>
      </c>
      <c r="P1208" s="313">
        <f t="shared" ref="P1208" si="1343">100*O1208/$F$618</f>
        <v>134.10941704035875</v>
      </c>
      <c r="Q1208" s="662">
        <f>'[114]jun-20'!$I$39</f>
        <v>647.71399999999994</v>
      </c>
      <c r="R1208" s="313">
        <f t="shared" ref="R1208" si="1344">100*Q1208/$F$618</f>
        <v>145.22735426008967</v>
      </c>
      <c r="S1208" s="122"/>
      <c r="T1208" s="122"/>
    </row>
    <row r="1209" spans="2:20">
      <c r="B1209" s="310" t="s">
        <v>6</v>
      </c>
      <c r="C1209" s="311">
        <f>[107]Julho!$J$32</f>
        <v>612.61800000000005</v>
      </c>
      <c r="D1209" s="313">
        <f t="shared" si="1312"/>
        <v>137.35829596412557</v>
      </c>
      <c r="E1209" s="662">
        <f>'[108]jul-14'!$I$39</f>
        <v>582.50599999999997</v>
      </c>
      <c r="F1209" s="313">
        <f t="shared" ref="F1209:F1214" si="1345">100*E1209/$F$618</f>
        <v>130.60672645739911</v>
      </c>
      <c r="G1209" s="662">
        <f>'[109]jul-15'!$I$39</f>
        <v>619.93399999999997</v>
      </c>
      <c r="H1209" s="313">
        <f t="shared" ref="H1209:H1214" si="1346">100*G1209/$F$618</f>
        <v>138.99865470852018</v>
      </c>
      <c r="I1209" s="662">
        <f>'[115]jul-16'!$I$39</f>
        <v>644.18399999999997</v>
      </c>
      <c r="J1209" s="313">
        <f t="shared" ref="J1209" si="1347">100*I1209/$F$618</f>
        <v>144.43587443946188</v>
      </c>
      <c r="K1209" s="662">
        <f>'[111]jul-17'!$I$39</f>
        <v>650.38599999999997</v>
      </c>
      <c r="L1209" s="313">
        <f t="shared" ref="L1209" si="1348">100*K1209/$F$618</f>
        <v>145.82645739910313</v>
      </c>
      <c r="M1209" s="662">
        <f>'[112]jul-18'!$I$39</f>
        <v>589.66000000000008</v>
      </c>
      <c r="N1209" s="313">
        <f t="shared" ref="N1209" si="1349">100*M1209/$F$618</f>
        <v>132.21076233183859</v>
      </c>
      <c r="O1209" s="662">
        <f>'[113]jul-19'!$I$39</f>
        <v>598.12800000000004</v>
      </c>
      <c r="P1209" s="313">
        <f t="shared" ref="P1209" si="1350">100*O1209/$F$618</f>
        <v>134.10941704035875</v>
      </c>
      <c r="Q1209" s="662">
        <f>'[114]jul-20'!$I$39</f>
        <v>649.71399999999994</v>
      </c>
      <c r="R1209" s="313">
        <f t="shared" ref="R1209" si="1351">100*Q1209/$F$618</f>
        <v>145.67578475336322</v>
      </c>
      <c r="S1209" s="122"/>
      <c r="T1209" s="122"/>
    </row>
    <row r="1210" spans="2:20">
      <c r="B1210" s="310" t="s">
        <v>7</v>
      </c>
      <c r="C1210" s="311">
        <f>[107]Agosto!$J$32</f>
        <v>590.21800000000007</v>
      </c>
      <c r="D1210" s="313">
        <f t="shared" si="1312"/>
        <v>132.33587443946192</v>
      </c>
      <c r="E1210" s="662">
        <f>'[108]ago-14'!$I$39</f>
        <v>584.50599999999997</v>
      </c>
      <c r="F1210" s="313">
        <f t="shared" si="1345"/>
        <v>131.05515695067265</v>
      </c>
      <c r="G1210" s="662">
        <f>'[109]ago-15'!$I$39</f>
        <v>625.904</v>
      </c>
      <c r="H1210" s="313">
        <f t="shared" si="1346"/>
        <v>140.33721973094171</v>
      </c>
      <c r="I1210" s="662">
        <f>'[115]ago-16'!$I$39</f>
        <v>639.24199999999996</v>
      </c>
      <c r="J1210" s="313">
        <f t="shared" ref="J1210" si="1352">100*I1210/$F$618</f>
        <v>143.32780269058296</v>
      </c>
      <c r="K1210" s="662">
        <f>'[111]ago-17'!$I$39</f>
        <v>641.99800000000005</v>
      </c>
      <c r="L1210" s="313">
        <f t="shared" ref="L1210" si="1353">100*K1210/$F$618</f>
        <v>143.9457399103139</v>
      </c>
      <c r="M1210" s="662">
        <f>'[112]ago-18'!$I$39</f>
        <v>586.23800000000006</v>
      </c>
      <c r="N1210" s="313">
        <f t="shared" ref="N1210" si="1354">100*M1210/$F$618</f>
        <v>131.44349775784755</v>
      </c>
      <c r="O1210" s="662">
        <f>'[113]ago-19'!$I$39</f>
        <v>598.12800000000004</v>
      </c>
      <c r="P1210" s="313">
        <f t="shared" ref="P1210" si="1355">100*O1210/$F$618</f>
        <v>134.10941704035875</v>
      </c>
      <c r="Q1210" s="662">
        <f>'[114]ago-20'!$I$39</f>
        <v>662.63400000000001</v>
      </c>
      <c r="R1210" s="313">
        <f t="shared" ref="R1210" si="1356">100*Q1210/$F$618</f>
        <v>148.57264573991031</v>
      </c>
      <c r="S1210" s="122"/>
      <c r="T1210" s="122"/>
    </row>
    <row r="1211" spans="2:20">
      <c r="B1211" s="310" t="s">
        <v>8</v>
      </c>
      <c r="C1211" s="311">
        <f>[107]Setembro!$J$32</f>
        <v>584.85799999999995</v>
      </c>
      <c r="D1211" s="313">
        <f>100*C1211/$F$618</f>
        <v>131.13408071748879</v>
      </c>
      <c r="E1211" s="662">
        <f>'[108]set-14'!$I$39</f>
        <v>581.24</v>
      </c>
      <c r="F1211" s="313">
        <f t="shared" si="1345"/>
        <v>130.32286995515696</v>
      </c>
      <c r="G1211" s="662">
        <f>'[109]set-15'!$I$39</f>
        <v>612.904</v>
      </c>
      <c r="H1211" s="313">
        <f t="shared" si="1346"/>
        <v>137.42242152466369</v>
      </c>
      <c r="I1211" s="662">
        <f>'[115]set-16'!$I$39</f>
        <v>641.00400000000002</v>
      </c>
      <c r="J1211" s="313">
        <f t="shared" ref="J1211" si="1357">100*I1211/$F$618</f>
        <v>143.72286995515697</v>
      </c>
      <c r="K1211" s="662">
        <f>'[111]set-17'!$I$39</f>
        <v>641.99800000000005</v>
      </c>
      <c r="L1211" s="313">
        <f t="shared" ref="L1211" si="1358">100*K1211/$F$618</f>
        <v>143.9457399103139</v>
      </c>
      <c r="M1211" s="662">
        <f>'[112]set-18'!$I$39</f>
        <v>580.12800000000004</v>
      </c>
      <c r="N1211" s="313">
        <f t="shared" ref="N1211" si="1359">100*M1211/$F$618</f>
        <v>130.07354260089687</v>
      </c>
      <c r="O1211" s="662">
        <f>'[113]set-19'!$I$39</f>
        <v>591.47399999999993</v>
      </c>
      <c r="P1211" s="313">
        <f t="shared" ref="P1211" si="1360">100*O1211/$F$618</f>
        <v>132.61748878923765</v>
      </c>
      <c r="Q1211" s="662">
        <f>'[114]set-20'!$I$39</f>
        <v>670.92000000000007</v>
      </c>
      <c r="R1211" s="313">
        <f t="shared" ref="R1211" si="1361">100*Q1211/$F$618</f>
        <v>150.4304932735426</v>
      </c>
      <c r="S1211" s="122"/>
      <c r="T1211" s="122"/>
    </row>
    <row r="1212" spans="2:20">
      <c r="B1212" s="310" t="s">
        <v>9</v>
      </c>
      <c r="C1212" s="311">
        <f>[107]Outubro!$J$32</f>
        <v>577.86</v>
      </c>
      <c r="D1212" s="313">
        <f>100*C1212/$F$618</f>
        <v>129.56502242152467</v>
      </c>
      <c r="E1212" s="662">
        <f>'[108]out-14'!$I$39</f>
        <v>581.04</v>
      </c>
      <c r="F1212" s="313">
        <f t="shared" si="1345"/>
        <v>130.27802690582959</v>
      </c>
      <c r="G1212" s="662">
        <f>'[109]out-15'!$I$39</f>
        <v>592.70000000000005</v>
      </c>
      <c r="H1212" s="313">
        <f t="shared" si="1346"/>
        <v>132.89237668161437</v>
      </c>
      <c r="I1212" s="662">
        <f>'[115]out-16'!$I$39</f>
        <v>627.67600000000004</v>
      </c>
      <c r="J1212" s="313">
        <f t="shared" ref="J1212" si="1362">100*I1212/$F$618</f>
        <v>140.73452914798207</v>
      </c>
      <c r="K1212" s="662">
        <f>'[111]out-17'!$I$39</f>
        <v>581.98</v>
      </c>
      <c r="L1212" s="313">
        <f t="shared" ref="L1212" si="1363">100*K1212/$F$618</f>
        <v>130.48878923766816</v>
      </c>
      <c r="M1212" s="662">
        <f>'[112]out-18'!$I$39</f>
        <v>582.19400000000007</v>
      </c>
      <c r="N1212" s="313">
        <f t="shared" ref="N1212" si="1364">100*M1212/$F$618</f>
        <v>130.53677130044846</v>
      </c>
      <c r="O1212" s="662">
        <f>'[113]out-19'!$I$39</f>
        <v>611.05599999999993</v>
      </c>
      <c r="P1212" s="313">
        <f t="shared" ref="P1212" si="1365">100*O1212/$F$618</f>
        <v>137.0080717488789</v>
      </c>
      <c r="Q1212" s="662"/>
      <c r="R1212" s="313"/>
      <c r="S1212" s="122"/>
      <c r="T1212" s="122"/>
    </row>
    <row r="1213" spans="2:20">
      <c r="B1213" s="310" t="s">
        <v>10</v>
      </c>
      <c r="C1213" s="311">
        <f>[107]Novembro!$J$32</f>
        <v>585.58600000000001</v>
      </c>
      <c r="D1213" s="313">
        <f>100*C1213/$F$618</f>
        <v>131.29730941704037</v>
      </c>
      <c r="E1213" s="662">
        <f>'[108]nov-14'!$I$39</f>
        <v>585.7059999999999</v>
      </c>
      <c r="F1213" s="313">
        <f t="shared" si="1345"/>
        <v>131.32421524663675</v>
      </c>
      <c r="G1213" s="662">
        <f>'[109]nov-15'!$I$39</f>
        <v>593.96600000000001</v>
      </c>
      <c r="H1213" s="313">
        <f t="shared" si="1346"/>
        <v>133.17623318385651</v>
      </c>
      <c r="I1213" s="662">
        <f>'[115]nov-16'!$I$39</f>
        <v>606.98799999999994</v>
      </c>
      <c r="J1213" s="313">
        <f t="shared" ref="J1213" si="1366">100*I1213/$F$618</f>
        <v>136.09596412556053</v>
      </c>
      <c r="K1213" s="662">
        <f>'[111]nov-17'!$I$39</f>
        <v>581.98</v>
      </c>
      <c r="L1213" s="313">
        <f t="shared" ref="L1213" si="1367">100*K1213/$F$618</f>
        <v>130.48878923766816</v>
      </c>
      <c r="M1213" s="662">
        <f>'[112]nov-18'!$I$39</f>
        <v>594.50199999999995</v>
      </c>
      <c r="N1213" s="313">
        <f t="shared" ref="N1213" si="1368">100*M1213/$F$618</f>
        <v>133.29641255605381</v>
      </c>
      <c r="O1213" s="662">
        <f>'[113]nov-19'!$I$39</f>
        <v>606.14599999999996</v>
      </c>
      <c r="P1213" s="313">
        <f t="shared" ref="P1213" si="1369">100*O1213/$F$618</f>
        <v>135.90717488789238</v>
      </c>
      <c r="Q1213" s="662"/>
      <c r="R1213" s="313"/>
      <c r="S1213" s="122"/>
      <c r="T1213" s="122"/>
    </row>
    <row r="1214" spans="2:20" ht="15.75" thickBot="1">
      <c r="B1214" s="314" t="s">
        <v>11</v>
      </c>
      <c r="C1214" s="315">
        <f>[107]Dezembro!$J$32</f>
        <v>586.31600000000003</v>
      </c>
      <c r="D1214" s="317">
        <f>100*C1214/$F$618</f>
        <v>131.46098654708521</v>
      </c>
      <c r="E1214" s="682">
        <f>'[108]dez-14'!$I$39</f>
        <v>589.10400000000004</v>
      </c>
      <c r="F1214" s="317">
        <f t="shared" si="1345"/>
        <v>132.08609865470854</v>
      </c>
      <c r="G1214" s="682">
        <f>'[109]dez-15'!$I$39</f>
        <v>607.96</v>
      </c>
      <c r="H1214" s="317">
        <f t="shared" si="1346"/>
        <v>136.31390134529147</v>
      </c>
      <c r="I1214" s="682">
        <f>'[115]nov-16'!$I$39</f>
        <v>606.98799999999994</v>
      </c>
      <c r="J1214" s="317">
        <f t="shared" ref="J1214" si="1370">100*I1214/$F$618</f>
        <v>136.09596412556053</v>
      </c>
      <c r="K1214" s="682">
        <f>'[111]dez-17'!$I$39</f>
        <v>574.52800000000002</v>
      </c>
      <c r="L1214" s="317">
        <f t="shared" ref="L1214" si="1371">100*K1214/$F$618</f>
        <v>128.81793721973094</v>
      </c>
      <c r="M1214" s="682">
        <f>'[112]dez-18'!$I$39</f>
        <v>609.26800000000003</v>
      </c>
      <c r="N1214" s="317">
        <f t="shared" ref="N1214" si="1372">100*M1214/$F$618</f>
        <v>136.60717488789237</v>
      </c>
      <c r="O1214" s="682">
        <f>'[113]dez-19'!$I$39</f>
        <v>606.14599999999996</v>
      </c>
      <c r="P1214" s="317">
        <f t="shared" ref="P1214" si="1373">100*O1214/$F$618</f>
        <v>135.90717488789238</v>
      </c>
      <c r="Q1214" s="682"/>
      <c r="R1214" s="317"/>
      <c r="S1214" s="122"/>
      <c r="T1214" s="122"/>
    </row>
    <row r="1215" spans="2:20" ht="24" hidden="1" thickBot="1">
      <c r="B1215" s="591" t="s">
        <v>49</v>
      </c>
      <c r="C1215" s="592"/>
      <c r="D1215" s="593"/>
      <c r="E1215" s="593"/>
      <c r="F1215" s="594"/>
      <c r="G1215" s="1078"/>
      <c r="H1215" s="1079"/>
      <c r="I1215" s="595">
        <v>151.80000000000001</v>
      </c>
      <c r="J1215" s="596" t="s">
        <v>48</v>
      </c>
      <c r="K1215" s="597"/>
      <c r="L1215" s="593" t="s">
        <v>47</v>
      </c>
      <c r="M1215" s="597"/>
      <c r="N1215" s="598"/>
      <c r="O1215" s="119"/>
      <c r="P1215" s="119"/>
      <c r="Q1215" s="180"/>
      <c r="R1215" s="123"/>
      <c r="S1215" s="119"/>
      <c r="T1215" s="132"/>
    </row>
    <row r="1216" spans="2:20" ht="15.75" hidden="1" thickBot="1">
      <c r="B1216" s="1310">
        <v>2000</v>
      </c>
      <c r="C1216" s="1311"/>
      <c r="D1216" s="336" t="s">
        <v>15</v>
      </c>
      <c r="E1216" s="552" t="s">
        <v>63</v>
      </c>
      <c r="F1216" s="552" t="s">
        <v>15</v>
      </c>
      <c r="G1216" s="552" t="s">
        <v>134</v>
      </c>
      <c r="H1216" s="552" t="s">
        <v>15</v>
      </c>
      <c r="I1216" s="552" t="s">
        <v>159</v>
      </c>
      <c r="J1216" s="552" t="s">
        <v>15</v>
      </c>
      <c r="K1216" s="552" t="s">
        <v>168</v>
      </c>
      <c r="L1216" s="552" t="s">
        <v>15</v>
      </c>
      <c r="M1216" s="553" t="s">
        <v>192</v>
      </c>
      <c r="N1216" s="599" t="s">
        <v>15</v>
      </c>
      <c r="O1216" s="191"/>
      <c r="P1216" s="191"/>
      <c r="Q1216" s="180"/>
      <c r="R1216" s="191"/>
      <c r="S1216" s="119"/>
      <c r="T1216" s="132"/>
    </row>
    <row r="1217" spans="2:20" hidden="1">
      <c r="B1217" s="306" t="s">
        <v>0</v>
      </c>
      <c r="C1217" s="307"/>
      <c r="D1217" s="308"/>
      <c r="E1217" s="307">
        <v>161.83000000000001</v>
      </c>
      <c r="F1217" s="308">
        <f t="shared" ref="F1217:F1228" si="1374">100*E1217/$I$1215</f>
        <v>106.60737812911727</v>
      </c>
      <c r="G1217" s="307">
        <v>190</v>
      </c>
      <c r="H1217" s="308">
        <f t="shared" ref="H1217:H1228" si="1375">100*G1217/$I$1215</f>
        <v>125.16469038208167</v>
      </c>
      <c r="I1217" s="307">
        <v>252.96</v>
      </c>
      <c r="J1217" s="308">
        <f t="shared" ref="J1217:J1228" si="1376">100*I1217/$I$1215</f>
        <v>166.64031620553359</v>
      </c>
      <c r="K1217" s="307">
        <v>261.16000000000003</v>
      </c>
      <c r="L1217" s="308">
        <f t="shared" ref="L1217:L1228" si="1377">100*K1217/$I$1215</f>
        <v>172.04216073781294</v>
      </c>
      <c r="M1217" s="307">
        <v>334.15</v>
      </c>
      <c r="N1217" s="309">
        <f t="shared" ref="N1217:N1228" si="1378">100*M1217/$I$1215</f>
        <v>220.12516469038206</v>
      </c>
      <c r="O1217" s="123"/>
      <c r="P1217" s="123"/>
      <c r="Q1217" s="180"/>
      <c r="R1217" s="123"/>
      <c r="S1217" s="119"/>
      <c r="T1217" s="132"/>
    </row>
    <row r="1218" spans="2:20" hidden="1">
      <c r="B1218" s="310" t="s">
        <v>1</v>
      </c>
      <c r="C1218" s="311"/>
      <c r="D1218" s="312"/>
      <c r="E1218" s="311">
        <v>173.33</v>
      </c>
      <c r="F1218" s="312">
        <f t="shared" si="1374"/>
        <v>114.18313570487483</v>
      </c>
      <c r="G1218" s="311">
        <v>178.8</v>
      </c>
      <c r="H1218" s="312">
        <f t="shared" si="1375"/>
        <v>117.78656126482213</v>
      </c>
      <c r="I1218" s="311">
        <v>238</v>
      </c>
      <c r="J1218" s="312">
        <f t="shared" si="1376"/>
        <v>156.78524374176547</v>
      </c>
      <c r="K1218" s="311">
        <v>269.68</v>
      </c>
      <c r="L1218" s="312">
        <f t="shared" si="1377"/>
        <v>177.65480895915678</v>
      </c>
      <c r="M1218" s="311">
        <v>333.31</v>
      </c>
      <c r="N1218" s="313">
        <f t="shared" si="1378"/>
        <v>219.5718050065876</v>
      </c>
      <c r="O1218" s="123"/>
      <c r="P1218" s="123"/>
      <c r="Q1218" s="180"/>
      <c r="R1218" s="123"/>
      <c r="S1218" s="119"/>
      <c r="T1218" s="132"/>
    </row>
    <row r="1219" spans="2:20" hidden="1">
      <c r="B1219" s="310" t="s">
        <v>2</v>
      </c>
      <c r="C1219" s="311"/>
      <c r="D1219" s="312"/>
      <c r="E1219" s="311">
        <v>178</v>
      </c>
      <c r="F1219" s="312">
        <f t="shared" si="1374"/>
        <v>117.25955204216073</v>
      </c>
      <c r="G1219" s="311">
        <v>191.4</v>
      </c>
      <c r="H1219" s="312">
        <f t="shared" si="1375"/>
        <v>126.08695652173913</v>
      </c>
      <c r="I1219" s="311">
        <v>285.2</v>
      </c>
      <c r="J1219" s="312">
        <f t="shared" si="1376"/>
        <v>187.87878787878788</v>
      </c>
      <c r="K1219" s="311">
        <v>284.60000000000002</v>
      </c>
      <c r="L1219" s="312">
        <f t="shared" si="1377"/>
        <v>187.48353096179184</v>
      </c>
      <c r="M1219" s="311">
        <v>341.6</v>
      </c>
      <c r="N1219" s="313">
        <f t="shared" si="1378"/>
        <v>225.03293807641631</v>
      </c>
      <c r="O1219" s="123"/>
      <c r="P1219" s="123"/>
      <c r="Q1219" s="180"/>
      <c r="R1219" s="123"/>
      <c r="S1219" s="119"/>
      <c r="T1219" s="132"/>
    </row>
    <row r="1220" spans="2:20" hidden="1">
      <c r="B1220" s="310" t="s">
        <v>3</v>
      </c>
      <c r="C1220" s="311">
        <v>151.80000000000001</v>
      </c>
      <c r="D1220" s="312">
        <v>100</v>
      </c>
      <c r="E1220" s="311">
        <v>172</v>
      </c>
      <c r="F1220" s="312">
        <f t="shared" si="1374"/>
        <v>113.30698287220025</v>
      </c>
      <c r="G1220" s="311">
        <v>189.5</v>
      </c>
      <c r="H1220" s="312">
        <f t="shared" si="1375"/>
        <v>124.8353096179183</v>
      </c>
      <c r="I1220" s="311">
        <v>281.60000000000002</v>
      </c>
      <c r="J1220" s="312">
        <f t="shared" si="1376"/>
        <v>185.50724637681159</v>
      </c>
      <c r="K1220" s="311">
        <v>296.60000000000002</v>
      </c>
      <c r="L1220" s="312">
        <f t="shared" si="1377"/>
        <v>195.38866930171278</v>
      </c>
      <c r="M1220" s="311">
        <v>351.13</v>
      </c>
      <c r="N1220" s="313">
        <f t="shared" si="1378"/>
        <v>231.31093544137022</v>
      </c>
      <c r="O1220" s="123"/>
      <c r="P1220" s="123"/>
      <c r="Q1220" s="180"/>
      <c r="R1220" s="123"/>
      <c r="S1220" s="119"/>
      <c r="T1220" s="132"/>
    </row>
    <row r="1221" spans="2:20" hidden="1">
      <c r="B1221" s="310" t="s">
        <v>4</v>
      </c>
      <c r="C1221" s="311">
        <v>183.67</v>
      </c>
      <c r="D1221" s="312">
        <f t="shared" ref="D1221:D1228" si="1379">100*C1221/151.8</f>
        <v>120.99472990777338</v>
      </c>
      <c r="E1221" s="311">
        <v>163.69999999999999</v>
      </c>
      <c r="F1221" s="312">
        <f t="shared" si="1374"/>
        <v>107.83926218708825</v>
      </c>
      <c r="G1221" s="311">
        <v>204</v>
      </c>
      <c r="H1221" s="312">
        <f t="shared" si="1375"/>
        <v>134.38735177865613</v>
      </c>
      <c r="I1221" s="311">
        <v>260.38</v>
      </c>
      <c r="J1221" s="312">
        <f t="shared" si="1376"/>
        <v>171.52832674571803</v>
      </c>
      <c r="K1221" s="311">
        <v>310</v>
      </c>
      <c r="L1221" s="312">
        <f t="shared" si="1377"/>
        <v>204.21607378129116</v>
      </c>
      <c r="M1221" s="311">
        <v>351.67</v>
      </c>
      <c r="N1221" s="313">
        <f t="shared" si="1378"/>
        <v>231.66666666666666</v>
      </c>
      <c r="O1221" s="123"/>
      <c r="P1221" s="123"/>
      <c r="Q1221" s="180"/>
      <c r="R1221" s="123"/>
      <c r="S1221" s="119"/>
      <c r="T1221" s="132"/>
    </row>
    <row r="1222" spans="2:20" hidden="1">
      <c r="B1222" s="310" t="s">
        <v>5</v>
      </c>
      <c r="C1222" s="311">
        <v>155.16999999999999</v>
      </c>
      <c r="D1222" s="312">
        <f t="shared" si="1379"/>
        <v>102.22002635046111</v>
      </c>
      <c r="E1222" s="311">
        <v>174.6</v>
      </c>
      <c r="F1222" s="312">
        <f t="shared" si="1374"/>
        <v>115.0197628458498</v>
      </c>
      <c r="G1222" s="311">
        <v>193.8</v>
      </c>
      <c r="H1222" s="312">
        <f t="shared" si="1375"/>
        <v>127.66798418972331</v>
      </c>
      <c r="I1222" s="311">
        <v>269.25</v>
      </c>
      <c r="J1222" s="312">
        <f t="shared" si="1376"/>
        <v>177.37154150197628</v>
      </c>
      <c r="K1222" s="311">
        <v>326.60000000000002</v>
      </c>
      <c r="L1222" s="312">
        <f t="shared" si="1377"/>
        <v>215.15151515151516</v>
      </c>
      <c r="M1222" s="311">
        <v>351.33</v>
      </c>
      <c r="N1222" s="313">
        <f t="shared" si="1378"/>
        <v>231.44268774703556</v>
      </c>
      <c r="O1222" s="123"/>
      <c r="P1222" s="123"/>
      <c r="Q1222" s="180"/>
      <c r="R1222" s="123"/>
      <c r="S1222" s="119"/>
      <c r="T1222" s="132"/>
    </row>
    <row r="1223" spans="2:20" hidden="1">
      <c r="B1223" s="310" t="s">
        <v>6</v>
      </c>
      <c r="C1223" s="311">
        <v>159.62</v>
      </c>
      <c r="D1223" s="312">
        <f t="shared" si="1379"/>
        <v>105.15151515151514</v>
      </c>
      <c r="E1223" s="311">
        <v>182</v>
      </c>
      <c r="F1223" s="312">
        <f t="shared" si="1374"/>
        <v>119.8945981554677</v>
      </c>
      <c r="G1223" s="311">
        <v>187.67</v>
      </c>
      <c r="H1223" s="312">
        <f t="shared" si="1375"/>
        <v>123.62977602108036</v>
      </c>
      <c r="I1223" s="311">
        <v>262.2</v>
      </c>
      <c r="J1223" s="312">
        <f t="shared" si="1376"/>
        <v>172.72727272727272</v>
      </c>
      <c r="K1223" s="311">
        <v>321.60000000000002</v>
      </c>
      <c r="L1223" s="312">
        <f t="shared" si="1377"/>
        <v>211.85770750988144</v>
      </c>
      <c r="M1223" s="311">
        <v>349.43</v>
      </c>
      <c r="N1223" s="313">
        <f t="shared" si="1378"/>
        <v>230.19104084321475</v>
      </c>
      <c r="O1223" s="123"/>
      <c r="P1223" s="123"/>
      <c r="Q1223" s="180"/>
      <c r="R1223" s="123"/>
      <c r="S1223" s="119"/>
      <c r="T1223" s="132"/>
    </row>
    <row r="1224" spans="2:20" hidden="1">
      <c r="B1224" s="310" t="s">
        <v>7</v>
      </c>
      <c r="C1224" s="311">
        <v>150.19999999999999</v>
      </c>
      <c r="D1224" s="312">
        <f t="shared" si="1379"/>
        <v>98.945981554677189</v>
      </c>
      <c r="E1224" s="311">
        <v>184.64</v>
      </c>
      <c r="F1224" s="312">
        <f t="shared" si="1374"/>
        <v>121.63372859025031</v>
      </c>
      <c r="G1224" s="311">
        <v>206.8</v>
      </c>
      <c r="H1224" s="312">
        <f t="shared" si="1375"/>
        <v>136.231884057971</v>
      </c>
      <c r="I1224" s="311">
        <v>261.5</v>
      </c>
      <c r="J1224" s="312">
        <f t="shared" si="1376"/>
        <v>172.266139657444</v>
      </c>
      <c r="K1224" s="311">
        <v>308</v>
      </c>
      <c r="L1224" s="312">
        <f t="shared" si="1377"/>
        <v>202.89855072463766</v>
      </c>
      <c r="M1224" s="311">
        <v>332.29</v>
      </c>
      <c r="N1224" s="313">
        <f t="shared" si="1378"/>
        <v>218.89986824769431</v>
      </c>
      <c r="O1224" s="123"/>
      <c r="P1224" s="123"/>
      <c r="Q1224" s="180"/>
      <c r="R1224" s="123"/>
      <c r="S1224" s="119"/>
      <c r="T1224" s="132"/>
    </row>
    <row r="1225" spans="2:20" hidden="1">
      <c r="B1225" s="310" t="s">
        <v>8</v>
      </c>
      <c r="C1225" s="311">
        <v>155.33000000000001</v>
      </c>
      <c r="D1225" s="312">
        <f t="shared" si="1379"/>
        <v>102.32542819499342</v>
      </c>
      <c r="E1225" s="311">
        <v>184.6</v>
      </c>
      <c r="F1225" s="312">
        <f t="shared" si="1374"/>
        <v>121.60737812911725</v>
      </c>
      <c r="G1225" s="311">
        <v>210.67</v>
      </c>
      <c r="H1225" s="312">
        <f t="shared" si="1375"/>
        <v>138.7812911725955</v>
      </c>
      <c r="I1225" s="311">
        <v>277.08</v>
      </c>
      <c r="J1225" s="312">
        <f t="shared" si="1376"/>
        <v>182.52964426877469</v>
      </c>
      <c r="K1225" s="311">
        <v>322.39999999999998</v>
      </c>
      <c r="L1225" s="312">
        <f t="shared" si="1377"/>
        <v>212.38471673254278</v>
      </c>
      <c r="M1225" s="311">
        <v>387.86</v>
      </c>
      <c r="N1225" s="313">
        <f t="shared" si="1378"/>
        <v>255.50724637681157</v>
      </c>
      <c r="O1225" s="123"/>
      <c r="P1225" s="123"/>
      <c r="Q1225" s="180"/>
      <c r="R1225" s="123"/>
      <c r="S1225" s="119"/>
      <c r="T1225" s="132"/>
    </row>
    <row r="1226" spans="2:20" hidden="1">
      <c r="B1226" s="310" t="s">
        <v>9</v>
      </c>
      <c r="C1226" s="311">
        <v>154.43</v>
      </c>
      <c r="D1226" s="312">
        <f t="shared" si="1379"/>
        <v>101.73254281949933</v>
      </c>
      <c r="E1226" s="311">
        <v>182.4</v>
      </c>
      <c r="F1226" s="312">
        <f t="shared" si="1374"/>
        <v>120.15810276679841</v>
      </c>
      <c r="G1226" s="311">
        <v>217.75</v>
      </c>
      <c r="H1226" s="312">
        <f t="shared" si="1375"/>
        <v>143.44532279314888</v>
      </c>
      <c r="I1226" s="311">
        <v>290.81</v>
      </c>
      <c r="J1226" s="312">
        <f t="shared" si="1376"/>
        <v>191.57444005270091</v>
      </c>
      <c r="K1226" s="311">
        <v>317.77999999999997</v>
      </c>
      <c r="L1226" s="312">
        <f t="shared" si="1377"/>
        <v>209.34123847167322</v>
      </c>
      <c r="M1226" s="311">
        <v>328</v>
      </c>
      <c r="N1226" s="313">
        <f t="shared" si="1378"/>
        <v>216.07378129117257</v>
      </c>
      <c r="O1226" s="123"/>
      <c r="P1226" s="123"/>
      <c r="Q1226" s="180"/>
      <c r="R1226" s="123"/>
      <c r="S1226" s="119"/>
      <c r="T1226" s="132"/>
    </row>
    <row r="1227" spans="2:20" hidden="1">
      <c r="B1227" s="310" t="s">
        <v>10</v>
      </c>
      <c r="C1227" s="311">
        <v>165.5</v>
      </c>
      <c r="D1227" s="312">
        <f t="shared" si="1379"/>
        <v>109.02503293807641</v>
      </c>
      <c r="E1227" s="311">
        <v>192.4</v>
      </c>
      <c r="F1227" s="312">
        <f t="shared" si="1374"/>
        <v>126.74571805006586</v>
      </c>
      <c r="G1227" s="311">
        <v>232.2</v>
      </c>
      <c r="H1227" s="312">
        <f t="shared" si="1375"/>
        <v>152.96442687747034</v>
      </c>
      <c r="I1227" s="311">
        <v>290.81</v>
      </c>
      <c r="J1227" s="312">
        <f t="shared" si="1376"/>
        <v>191.57444005270091</v>
      </c>
      <c r="K1227" s="311">
        <v>331.9</v>
      </c>
      <c r="L1227" s="312">
        <f t="shared" si="1377"/>
        <v>218.64295125164688</v>
      </c>
      <c r="M1227" s="311">
        <v>343.69</v>
      </c>
      <c r="N1227" s="313">
        <f t="shared" si="1378"/>
        <v>226.40974967061922</v>
      </c>
      <c r="O1227" s="123"/>
      <c r="P1227" s="123"/>
      <c r="Q1227" s="180"/>
      <c r="R1227" s="123"/>
      <c r="S1227" s="119"/>
      <c r="T1227" s="132"/>
    </row>
    <row r="1228" spans="2:20" ht="15.75" hidden="1" thickBot="1">
      <c r="B1228" s="314" t="s">
        <v>11</v>
      </c>
      <c r="C1228" s="315">
        <v>159.75</v>
      </c>
      <c r="D1228" s="316">
        <f t="shared" si="1379"/>
        <v>105.23715415019763</v>
      </c>
      <c r="E1228" s="315">
        <v>179.8</v>
      </c>
      <c r="F1228" s="316">
        <f t="shared" si="1374"/>
        <v>118.44532279314888</v>
      </c>
      <c r="G1228" s="315">
        <v>259.2</v>
      </c>
      <c r="H1228" s="316">
        <f t="shared" si="1375"/>
        <v>170.75098814229247</v>
      </c>
      <c r="I1228" s="315">
        <v>277.39999999999998</v>
      </c>
      <c r="J1228" s="316">
        <f t="shared" si="1376"/>
        <v>182.74044795783922</v>
      </c>
      <c r="K1228" s="315">
        <v>319.14999999999998</v>
      </c>
      <c r="L1228" s="316">
        <f t="shared" si="1377"/>
        <v>210.24374176548085</v>
      </c>
      <c r="M1228" s="315">
        <v>341.4</v>
      </c>
      <c r="N1228" s="317">
        <f t="shared" si="1378"/>
        <v>224.90118577075097</v>
      </c>
      <c r="O1228" s="123"/>
      <c r="P1228" s="123"/>
      <c r="Q1228" s="180"/>
      <c r="R1228" s="123"/>
      <c r="S1228" s="119"/>
      <c r="T1228" s="132"/>
    </row>
    <row r="1229" spans="2:20">
      <c r="B1229" s="119"/>
      <c r="C1229" s="118"/>
      <c r="D1229" s="123"/>
      <c r="E1229" s="118"/>
      <c r="F1229" s="123"/>
      <c r="G1229" s="118"/>
      <c r="H1229" s="123"/>
      <c r="I1229" s="118"/>
      <c r="J1229" s="123"/>
      <c r="K1229" s="118"/>
      <c r="L1229" s="123"/>
      <c r="M1229" s="118"/>
      <c r="N1229" s="123"/>
      <c r="O1229" s="123"/>
      <c r="P1229" s="123"/>
      <c r="Q1229" s="180"/>
      <c r="R1229" s="123"/>
      <c r="S1229" s="119"/>
      <c r="T1229" s="132"/>
    </row>
    <row r="1230" spans="2:20" ht="24" hidden="1" thickBot="1">
      <c r="B1230" s="591" t="s">
        <v>49</v>
      </c>
      <c r="C1230" s="592"/>
      <c r="D1230" s="593"/>
      <c r="E1230" s="593"/>
      <c r="F1230" s="594"/>
      <c r="G1230" s="358"/>
      <c r="H1230" s="364"/>
      <c r="I1230" s="595">
        <v>151.80000000000001</v>
      </c>
      <c r="J1230" s="596" t="s">
        <v>48</v>
      </c>
      <c r="K1230" s="597"/>
      <c r="L1230" s="593" t="s">
        <v>47</v>
      </c>
      <c r="M1230" s="597"/>
      <c r="N1230" s="598"/>
      <c r="O1230" s="119"/>
      <c r="P1230" s="119"/>
      <c r="Q1230" s="180"/>
      <c r="R1230" s="123"/>
      <c r="S1230" s="119"/>
      <c r="T1230" s="132"/>
    </row>
    <row r="1231" spans="2:20" ht="15.75" hidden="1" thickBot="1">
      <c r="B1231" s="1310" t="s">
        <v>219</v>
      </c>
      <c r="C1231" s="1311"/>
      <c r="D1231" s="336" t="s">
        <v>15</v>
      </c>
      <c r="E1231" s="552" t="s">
        <v>220</v>
      </c>
      <c r="F1231" s="552" t="s">
        <v>15</v>
      </c>
      <c r="G1231" s="552" t="s">
        <v>221</v>
      </c>
      <c r="H1231" s="552" t="s">
        <v>15</v>
      </c>
      <c r="I1231" s="552" t="s">
        <v>222</v>
      </c>
      <c r="J1231" s="552" t="s">
        <v>15</v>
      </c>
      <c r="K1231" s="552" t="s">
        <v>223</v>
      </c>
      <c r="L1231" s="552" t="s">
        <v>15</v>
      </c>
      <c r="M1231" s="553" t="s">
        <v>224</v>
      </c>
      <c r="N1231" s="599" t="s">
        <v>15</v>
      </c>
      <c r="O1231" s="191"/>
      <c r="P1231" s="191"/>
      <c r="Q1231" s="180"/>
      <c r="R1231" s="123"/>
      <c r="S1231" s="119"/>
      <c r="T1231" s="132"/>
    </row>
    <row r="1232" spans="2:20" hidden="1">
      <c r="B1232" s="306" t="s">
        <v>0</v>
      </c>
      <c r="C1232" s="307">
        <v>335.11</v>
      </c>
      <c r="D1232" s="308">
        <f>100*C1232/$I$1215</f>
        <v>220.75757575757575</v>
      </c>
      <c r="E1232" s="307">
        <v>334.57</v>
      </c>
      <c r="F1232" s="308">
        <f t="shared" ref="F1232:F1243" si="1380">100*E1232/$I$1215</f>
        <v>220.40184453227928</v>
      </c>
      <c r="G1232" s="307">
        <v>438.92</v>
      </c>
      <c r="H1232" s="308">
        <f t="shared" ref="H1232:H1243" si="1381">100*G1232/$I$1215</f>
        <v>289.14361001317519</v>
      </c>
      <c r="I1232" s="307">
        <v>489.71428571428572</v>
      </c>
      <c r="J1232" s="308">
        <f t="shared" ref="J1232:J1243" si="1382">100*I1232/$I$1215</f>
        <v>322.60493130058347</v>
      </c>
      <c r="K1232" s="307">
        <v>532.85714285714289</v>
      </c>
      <c r="L1232" s="308">
        <f t="shared" ref="L1232:L1243" si="1383">100*K1232/$I$1215</f>
        <v>351.02578580839452</v>
      </c>
      <c r="M1232" s="307">
        <v>533.72199999999998</v>
      </c>
      <c r="N1232" s="309">
        <f t="shared" ref="N1232:N1243" si="1384">100*M1232/$I$1215</f>
        <v>351.59552042160732</v>
      </c>
      <c r="O1232" s="123"/>
      <c r="P1232" s="174">
        <f>+G1238/G1233-1</f>
        <v>2.1132075471698153E-2</v>
      </c>
      <c r="Q1232" s="180"/>
      <c r="R1232" s="123"/>
      <c r="S1232" s="119"/>
      <c r="T1232" s="132"/>
    </row>
    <row r="1233" spans="2:20" hidden="1">
      <c r="B1233" s="310" t="s">
        <v>1</v>
      </c>
      <c r="C1233" s="311">
        <v>336.6</v>
      </c>
      <c r="D1233" s="312">
        <f>100*C1233/$I$1215</f>
        <v>221.7391304347826</v>
      </c>
      <c r="E1233" s="311">
        <v>317.13</v>
      </c>
      <c r="F1233" s="312">
        <f t="shared" si="1380"/>
        <v>208.91304347826085</v>
      </c>
      <c r="G1233" s="311">
        <v>441.66666666666669</v>
      </c>
      <c r="H1233" s="312">
        <f t="shared" si="1381"/>
        <v>290.95300834431271</v>
      </c>
      <c r="I1233" s="311">
        <v>490</v>
      </c>
      <c r="J1233" s="312">
        <f t="shared" si="1382"/>
        <v>322.79314888010538</v>
      </c>
      <c r="K1233" s="311">
        <v>519.14166666666665</v>
      </c>
      <c r="L1233" s="312">
        <f t="shared" si="1383"/>
        <v>341.99055775142727</v>
      </c>
      <c r="M1233" s="311">
        <v>492.72200000000004</v>
      </c>
      <c r="N1233" s="313">
        <f t="shared" si="1384"/>
        <v>324.58629776021081</v>
      </c>
      <c r="O1233" s="123"/>
      <c r="P1233" s="123"/>
      <c r="Q1233" s="180"/>
      <c r="R1233" s="123"/>
      <c r="S1233" s="119"/>
      <c r="T1233" s="132"/>
    </row>
    <row r="1234" spans="2:20" hidden="1">
      <c r="B1234" s="310" t="s">
        <v>2</v>
      </c>
      <c r="C1234" s="311">
        <v>336.6</v>
      </c>
      <c r="D1234" s="312">
        <f>100*C1234/$I$1215</f>
        <v>221.7391304347826</v>
      </c>
      <c r="E1234" s="311">
        <v>313.70999999999998</v>
      </c>
      <c r="F1234" s="312">
        <f t="shared" si="1380"/>
        <v>206.66007905138335</v>
      </c>
      <c r="G1234" s="311">
        <v>440.83333333333331</v>
      </c>
      <c r="H1234" s="312">
        <f t="shared" si="1381"/>
        <v>290.40404040404036</v>
      </c>
      <c r="I1234" s="311">
        <v>496.6</v>
      </c>
      <c r="J1234" s="312">
        <f t="shared" si="1382"/>
        <v>327.14097496706188</v>
      </c>
      <c r="K1234" s="311">
        <v>528.17333333333329</v>
      </c>
      <c r="L1234" s="312">
        <f t="shared" si="1383"/>
        <v>347.9402722880983</v>
      </c>
      <c r="M1234" s="311">
        <v>502.1</v>
      </c>
      <c r="N1234" s="313">
        <f t="shared" si="1384"/>
        <v>330.764163372859</v>
      </c>
      <c r="O1234" s="123"/>
      <c r="P1234" s="123"/>
      <c r="Q1234" s="180"/>
      <c r="R1234" s="123"/>
      <c r="S1234" s="119"/>
      <c r="T1234" s="132"/>
    </row>
    <row r="1235" spans="2:20" hidden="1">
      <c r="B1235" s="310" t="s">
        <v>3</v>
      </c>
      <c r="C1235" s="311">
        <v>340.34</v>
      </c>
      <c r="D1235" s="312">
        <f>100*C1235/$I$1215</f>
        <v>224.20289855072463</v>
      </c>
      <c r="E1235" s="311">
        <v>325.60000000000002</v>
      </c>
      <c r="F1235" s="312">
        <f t="shared" si="1380"/>
        <v>214.49275362318841</v>
      </c>
      <c r="G1235" s="311">
        <v>444.85714285714283</v>
      </c>
      <c r="H1235" s="312">
        <f t="shared" si="1381"/>
        <v>293.05477131564083</v>
      </c>
      <c r="I1235" s="311">
        <v>496.6</v>
      </c>
      <c r="J1235" s="312">
        <f t="shared" si="1382"/>
        <v>327.14097496706188</v>
      </c>
      <c r="K1235" s="311">
        <v>508.5</v>
      </c>
      <c r="L1235" s="312">
        <f t="shared" si="1383"/>
        <v>334.98023715415019</v>
      </c>
      <c r="M1235" s="311">
        <v>502.1</v>
      </c>
      <c r="N1235" s="313">
        <f t="shared" si="1384"/>
        <v>330.764163372859</v>
      </c>
      <c r="O1235" s="123"/>
      <c r="P1235" s="123"/>
      <c r="Q1235" s="180"/>
      <c r="R1235" s="123"/>
      <c r="S1235" s="119"/>
      <c r="T1235" s="132"/>
    </row>
    <row r="1236" spans="2:20" hidden="1">
      <c r="B1236" s="310" t="s">
        <v>4</v>
      </c>
      <c r="C1236" s="311">
        <v>337.75</v>
      </c>
      <c r="D1236" s="312">
        <f t="shared" ref="D1236:D1243" si="1385">100*C1236/151.8</f>
        <v>222.49670619235835</v>
      </c>
      <c r="E1236" s="311">
        <v>315</v>
      </c>
      <c r="F1236" s="312">
        <f t="shared" si="1380"/>
        <v>207.50988142292488</v>
      </c>
      <c r="G1236" s="311">
        <v>459</v>
      </c>
      <c r="H1236" s="312">
        <f t="shared" si="1381"/>
        <v>302.37154150197625</v>
      </c>
      <c r="I1236" s="311">
        <v>497.42857142857144</v>
      </c>
      <c r="J1236" s="312">
        <f t="shared" si="1382"/>
        <v>327.68680594767551</v>
      </c>
      <c r="K1236" s="311">
        <v>540</v>
      </c>
      <c r="L1236" s="312">
        <f t="shared" si="1383"/>
        <v>355.73122529644269</v>
      </c>
      <c r="M1236" s="311">
        <v>512.16</v>
      </c>
      <c r="N1236" s="313">
        <f t="shared" si="1384"/>
        <v>337.39130434782606</v>
      </c>
      <c r="O1236" s="123"/>
      <c r="P1236" s="123"/>
      <c r="Q1236" s="180"/>
      <c r="R1236" s="123"/>
      <c r="S1236" s="119"/>
      <c r="T1236" s="132"/>
    </row>
    <row r="1237" spans="2:20" hidden="1">
      <c r="B1237" s="310" t="s">
        <v>5</v>
      </c>
      <c r="C1237" s="311">
        <v>333.38</v>
      </c>
      <c r="D1237" s="312">
        <f t="shared" si="1385"/>
        <v>219.61791831357047</v>
      </c>
      <c r="E1237" s="311">
        <v>317.28571428571428</v>
      </c>
      <c r="F1237" s="312">
        <f t="shared" si="1380"/>
        <v>209.01562205910031</v>
      </c>
      <c r="G1237" s="311">
        <v>444.6</v>
      </c>
      <c r="H1237" s="312">
        <f t="shared" si="1381"/>
        <v>292.88537549407113</v>
      </c>
      <c r="I1237" s="311">
        <v>500.85714285714283</v>
      </c>
      <c r="J1237" s="312">
        <f t="shared" si="1382"/>
        <v>329.94541690193859</v>
      </c>
      <c r="K1237" s="311">
        <v>491.1825</v>
      </c>
      <c r="L1237" s="312">
        <f t="shared" si="1383"/>
        <v>323.57213438735175</v>
      </c>
      <c r="M1237" s="311">
        <v>512.16</v>
      </c>
      <c r="N1237" s="313">
        <f t="shared" si="1384"/>
        <v>337.39130434782606</v>
      </c>
      <c r="O1237" s="123"/>
      <c r="P1237" s="123"/>
      <c r="Q1237" s="180"/>
      <c r="R1237" s="123"/>
      <c r="S1237" s="119"/>
      <c r="T1237" s="132"/>
    </row>
    <row r="1238" spans="2:20" hidden="1">
      <c r="B1238" s="310" t="s">
        <v>6</v>
      </c>
      <c r="C1238" s="311">
        <v>332</v>
      </c>
      <c r="D1238" s="312">
        <f t="shared" si="1385"/>
        <v>218.70882740447956</v>
      </c>
      <c r="E1238" s="311">
        <v>445.57142857142856</v>
      </c>
      <c r="F1238" s="312">
        <f t="shared" si="1380"/>
        <v>293.52531526444568</v>
      </c>
      <c r="G1238" s="311">
        <v>451</v>
      </c>
      <c r="H1238" s="312">
        <f t="shared" si="1381"/>
        <v>297.10144927536231</v>
      </c>
      <c r="I1238" s="311">
        <v>508</v>
      </c>
      <c r="J1238" s="312">
        <f t="shared" si="1382"/>
        <v>334.65085638998681</v>
      </c>
      <c r="K1238" s="311">
        <v>552.11</v>
      </c>
      <c r="L1238" s="312">
        <f t="shared" si="1383"/>
        <v>363.70882740447956</v>
      </c>
      <c r="M1238" s="311">
        <v>509.4</v>
      </c>
      <c r="N1238" s="313">
        <f t="shared" si="1384"/>
        <v>335.57312252964425</v>
      </c>
      <c r="O1238" s="123"/>
      <c r="P1238" s="123"/>
      <c r="Q1238" s="180"/>
      <c r="R1238" s="123"/>
      <c r="S1238" s="119"/>
      <c r="T1238" s="132"/>
    </row>
    <row r="1239" spans="2:20" hidden="1">
      <c r="B1239" s="310" t="s">
        <v>7</v>
      </c>
      <c r="C1239" s="311">
        <v>335.67</v>
      </c>
      <c r="D1239" s="312">
        <f t="shared" si="1385"/>
        <v>221.12648221343872</v>
      </c>
      <c r="E1239" s="311">
        <v>447.5</v>
      </c>
      <c r="F1239" s="312">
        <f t="shared" si="1380"/>
        <v>294.79578392621869</v>
      </c>
      <c r="G1239" s="311">
        <v>454.57142857142856</v>
      </c>
      <c r="H1239" s="312">
        <f t="shared" si="1381"/>
        <v>299.45416901938637</v>
      </c>
      <c r="I1239" s="311">
        <v>510.28571428571428</v>
      </c>
      <c r="J1239" s="312">
        <f t="shared" si="1382"/>
        <v>336.15659702616222</v>
      </c>
      <c r="K1239" s="311">
        <v>530.49199999999996</v>
      </c>
      <c r="L1239" s="312">
        <f t="shared" si="1383"/>
        <v>349.46772068511194</v>
      </c>
      <c r="M1239" s="311">
        <v>510.13</v>
      </c>
      <c r="N1239" s="313">
        <f t="shared" si="1384"/>
        <v>336.05401844532275</v>
      </c>
      <c r="O1239" s="123"/>
      <c r="P1239" s="123"/>
      <c r="Q1239" s="180"/>
      <c r="R1239" s="123"/>
      <c r="S1239" s="119"/>
      <c r="T1239" s="132"/>
    </row>
    <row r="1240" spans="2:20" hidden="1">
      <c r="B1240" s="310" t="s">
        <v>8</v>
      </c>
      <c r="C1240" s="311">
        <v>320.5</v>
      </c>
      <c r="D1240" s="312">
        <f t="shared" si="1385"/>
        <v>211.133069828722</v>
      </c>
      <c r="E1240" s="311">
        <v>436.2</v>
      </c>
      <c r="F1240" s="312">
        <f t="shared" si="1380"/>
        <v>287.35177865612644</v>
      </c>
      <c r="G1240" s="311">
        <v>459.8</v>
      </c>
      <c r="H1240" s="312">
        <f t="shared" si="1381"/>
        <v>302.89855072463763</v>
      </c>
      <c r="I1240" s="311">
        <v>513.14285714285711</v>
      </c>
      <c r="J1240" s="312">
        <f t="shared" si="1382"/>
        <v>338.03877282138149</v>
      </c>
      <c r="K1240" s="311">
        <v>551.06500000000005</v>
      </c>
      <c r="L1240" s="312">
        <f t="shared" si="1383"/>
        <v>363.02042160737813</v>
      </c>
      <c r="M1240" s="311">
        <v>510.13</v>
      </c>
      <c r="N1240" s="313">
        <f t="shared" si="1384"/>
        <v>336.05401844532275</v>
      </c>
      <c r="O1240" s="123"/>
      <c r="P1240" s="123"/>
      <c r="Q1240" s="180"/>
      <c r="R1240" s="123"/>
      <c r="S1240" s="119"/>
      <c r="T1240" s="132"/>
    </row>
    <row r="1241" spans="2:20" hidden="1">
      <c r="B1241" s="310" t="s">
        <v>9</v>
      </c>
      <c r="C1241" s="311">
        <v>327</v>
      </c>
      <c r="D1241" s="312">
        <f t="shared" si="1385"/>
        <v>215.41501976284584</v>
      </c>
      <c r="E1241" s="311">
        <v>439.42857142857144</v>
      </c>
      <c r="F1241" s="312">
        <f t="shared" si="1380"/>
        <v>289.47863730472426</v>
      </c>
      <c r="G1241" s="311">
        <v>482.57142857142856</v>
      </c>
      <c r="H1241" s="312">
        <f t="shared" si="1381"/>
        <v>317.89949181253525</v>
      </c>
      <c r="I1241" s="311">
        <v>518.85714285714289</v>
      </c>
      <c r="J1241" s="312">
        <f t="shared" si="1382"/>
        <v>341.80312441182008</v>
      </c>
      <c r="K1241" s="311">
        <v>531.58500000000004</v>
      </c>
      <c r="L1241" s="312">
        <f t="shared" si="1383"/>
        <v>350.18774703557307</v>
      </c>
      <c r="M1241" s="311">
        <v>510.69200000000001</v>
      </c>
      <c r="N1241" s="313">
        <f t="shared" si="1384"/>
        <v>336.42424242424238</v>
      </c>
      <c r="O1241" s="123"/>
      <c r="P1241" s="123"/>
      <c r="Q1241" s="180"/>
      <c r="R1241" s="123"/>
      <c r="S1241" s="119"/>
      <c r="T1241" s="132"/>
    </row>
    <row r="1242" spans="2:20" hidden="1">
      <c r="B1242" s="310" t="s">
        <v>10</v>
      </c>
      <c r="C1242" s="311">
        <v>329.24</v>
      </c>
      <c r="D1242" s="312">
        <f t="shared" si="1385"/>
        <v>216.89064558629775</v>
      </c>
      <c r="E1242" s="311">
        <v>437</v>
      </c>
      <c r="F1242" s="312">
        <f t="shared" si="1380"/>
        <v>287.87878787878788</v>
      </c>
      <c r="G1242" s="311">
        <v>477.6</v>
      </c>
      <c r="H1242" s="312">
        <f t="shared" si="1381"/>
        <v>314.62450592885375</v>
      </c>
      <c r="I1242" s="311">
        <v>525.5</v>
      </c>
      <c r="J1242" s="312">
        <f t="shared" si="1382"/>
        <v>346.17918313570487</v>
      </c>
      <c r="K1242" s="311">
        <v>493.73333333333335</v>
      </c>
      <c r="L1242" s="312">
        <f t="shared" si="1383"/>
        <v>325.25252525252523</v>
      </c>
      <c r="M1242" s="311">
        <v>510.69200000000001</v>
      </c>
      <c r="N1242" s="313">
        <f t="shared" si="1384"/>
        <v>336.42424242424238</v>
      </c>
      <c r="O1242" s="123"/>
      <c r="P1242" s="123"/>
      <c r="Q1242" s="180"/>
      <c r="R1242" s="123"/>
      <c r="S1242" s="119"/>
      <c r="T1242" s="132"/>
    </row>
    <row r="1243" spans="2:20" ht="15.75" hidden="1" thickBot="1">
      <c r="B1243" s="314" t="s">
        <v>11</v>
      </c>
      <c r="C1243" s="315">
        <v>329.62</v>
      </c>
      <c r="D1243" s="316">
        <f t="shared" si="1385"/>
        <v>217.14097496706191</v>
      </c>
      <c r="E1243" s="315">
        <v>440</v>
      </c>
      <c r="F1243" s="316">
        <f t="shared" si="1380"/>
        <v>289.85507246376807</v>
      </c>
      <c r="G1243" s="315">
        <v>489.71428571428572</v>
      </c>
      <c r="H1243" s="316">
        <f t="shared" si="1381"/>
        <v>322.60493130058347</v>
      </c>
      <c r="I1243" s="315">
        <v>532.85714285714289</v>
      </c>
      <c r="J1243" s="316">
        <f t="shared" si="1382"/>
        <v>351.02578580839452</v>
      </c>
      <c r="K1243" s="315">
        <v>477.05500000000001</v>
      </c>
      <c r="L1243" s="316">
        <f t="shared" si="1383"/>
        <v>314.26548089591563</v>
      </c>
      <c r="M1243" s="315">
        <v>500.69200000000001</v>
      </c>
      <c r="N1243" s="317">
        <f t="shared" si="1384"/>
        <v>329.83662714097494</v>
      </c>
      <c r="O1243" s="123"/>
      <c r="P1243" s="123"/>
      <c r="Q1243" s="180"/>
      <c r="R1243" s="123"/>
      <c r="S1243" s="119"/>
      <c r="T1243" s="132"/>
    </row>
    <row r="1244" spans="2:20" ht="15.75" hidden="1" thickBot="1">
      <c r="B1244" s="119"/>
      <c r="C1244" s="118"/>
      <c r="D1244" s="123"/>
      <c r="E1244" s="118"/>
      <c r="F1244" s="123"/>
      <c r="G1244" s="118"/>
      <c r="H1244" s="123"/>
      <c r="I1244" s="118"/>
      <c r="J1244" s="123"/>
      <c r="K1244" s="118"/>
      <c r="L1244" s="123"/>
      <c r="M1244" s="118"/>
      <c r="N1244" s="123"/>
      <c r="O1244" s="123"/>
      <c r="P1244" s="123"/>
      <c r="Q1244" s="180"/>
      <c r="R1244" s="123"/>
      <c r="S1244" s="119"/>
      <c r="T1244" s="132"/>
    </row>
    <row r="1245" spans="2:20" ht="18.75" hidden="1" thickBot="1">
      <c r="B1245" s="1320" t="s">
        <v>305</v>
      </c>
      <c r="C1245" s="1321"/>
      <c r="D1245" s="1321"/>
      <c r="E1245" s="1321"/>
      <c r="F1245" s="1322"/>
      <c r="G1245" s="360"/>
      <c r="H1245" s="123"/>
      <c r="I1245" s="118"/>
      <c r="J1245" s="123"/>
      <c r="K1245" s="118"/>
      <c r="L1245" s="123"/>
      <c r="M1245" s="118"/>
      <c r="N1245" s="123"/>
      <c r="O1245" s="123"/>
      <c r="P1245" s="123"/>
      <c r="Q1245" s="180"/>
      <c r="R1245" s="123"/>
      <c r="S1245" s="119"/>
      <c r="T1245" s="132"/>
    </row>
    <row r="1246" spans="2:20" ht="15.75" hidden="1" thickBot="1">
      <c r="B1246" s="1391" t="s">
        <v>290</v>
      </c>
      <c r="C1246" s="1392"/>
      <c r="D1246" s="649" t="s">
        <v>15</v>
      </c>
      <c r="E1246" s="650">
        <v>2013</v>
      </c>
      <c r="F1246" s="649" t="s">
        <v>15</v>
      </c>
      <c r="H1246" s="123"/>
      <c r="I1246" s="118"/>
      <c r="J1246" s="123"/>
      <c r="K1246" s="118"/>
      <c r="L1246" s="123"/>
      <c r="M1246" s="118"/>
      <c r="N1246" s="123"/>
      <c r="O1246" s="123"/>
      <c r="P1246" s="123"/>
      <c r="Q1246" s="180"/>
      <c r="R1246" s="123"/>
      <c r="S1246" s="119"/>
      <c r="T1246" s="132"/>
    </row>
    <row r="1247" spans="2:20" hidden="1">
      <c r="B1247" s="306" t="s">
        <v>0</v>
      </c>
      <c r="C1247" s="307">
        <v>500.69200000000001</v>
      </c>
      <c r="D1247" s="309">
        <f t="shared" ref="D1247:D1254" si="1386">100*C1247/$I$1215</f>
        <v>329.83662714097494</v>
      </c>
      <c r="E1247" s="657">
        <f>[107]Janeiro!$I$10</f>
        <v>472.76333333333338</v>
      </c>
      <c r="F1247" s="655">
        <f t="shared" ref="F1247:F1252" si="1387">100*E1247/$I$1215</f>
        <v>311.43829600351341</v>
      </c>
      <c r="H1247" s="123"/>
      <c r="I1247" s="118"/>
      <c r="J1247" s="123"/>
      <c r="K1247" s="118"/>
      <c r="L1247" s="123"/>
      <c r="M1247" s="118"/>
      <c r="N1247" s="123"/>
      <c r="O1247" s="123"/>
      <c r="P1247" s="123"/>
      <c r="Q1247" s="180"/>
      <c r="R1247" s="123"/>
      <c r="S1247" s="119"/>
      <c r="T1247" s="132"/>
    </row>
    <row r="1248" spans="2:20" hidden="1">
      <c r="B1248" s="310" t="s">
        <v>1</v>
      </c>
      <c r="C1248" s="311">
        <v>531.37</v>
      </c>
      <c r="D1248" s="313">
        <f t="shared" si="1386"/>
        <v>350.04611330698282</v>
      </c>
      <c r="E1248" s="662">
        <f>[107]Fevereiro!$I$10</f>
        <v>477.76333333333338</v>
      </c>
      <c r="F1248" s="313">
        <f t="shared" si="1387"/>
        <v>314.73210364514711</v>
      </c>
      <c r="H1248" s="123"/>
      <c r="I1248" s="118"/>
      <c r="J1248" s="123"/>
      <c r="K1248" s="118"/>
      <c r="L1248" s="123"/>
      <c r="M1248" s="118"/>
      <c r="N1248" s="123"/>
      <c r="O1248" s="123"/>
      <c r="P1248" s="123"/>
      <c r="Q1248" s="180"/>
      <c r="R1248" s="123"/>
      <c r="S1248" s="119"/>
      <c r="T1248" s="132"/>
    </row>
    <row r="1249" spans="2:20" hidden="1">
      <c r="B1249" s="310" t="s">
        <v>2</v>
      </c>
      <c r="C1249" s="311">
        <f>[116]Março!$I$10</f>
        <v>534.02</v>
      </c>
      <c r="D1249" s="313">
        <f t="shared" si="1386"/>
        <v>351.79183135704875</v>
      </c>
      <c r="E1249" s="662">
        <f>[107]Março!$I$10</f>
        <v>484.02500000000003</v>
      </c>
      <c r="F1249" s="313">
        <f t="shared" si="1387"/>
        <v>318.85704874835307</v>
      </c>
      <c r="H1249" s="123"/>
      <c r="I1249" s="118"/>
      <c r="J1249" s="123"/>
      <c r="K1249" s="118"/>
      <c r="L1249" s="123"/>
      <c r="M1249" s="118"/>
      <c r="N1249" s="123"/>
      <c r="O1249" s="123"/>
      <c r="P1249" s="123"/>
      <c r="Q1249" s="180"/>
      <c r="R1249" s="123"/>
      <c r="S1249" s="119"/>
      <c r="T1249" s="132"/>
    </row>
    <row r="1250" spans="2:20" hidden="1">
      <c r="B1250" s="310" t="s">
        <v>3</v>
      </c>
      <c r="C1250" s="311">
        <f>[116]Abril!$I$10</f>
        <v>493.18666666666667</v>
      </c>
      <c r="D1250" s="313">
        <f t="shared" si="1386"/>
        <v>324.89240228370659</v>
      </c>
      <c r="E1250" s="662">
        <f>[107]Abril!$I$10</f>
        <v>488.56333333333333</v>
      </c>
      <c r="F1250" s="313">
        <f t="shared" si="1387"/>
        <v>321.84672815107598</v>
      </c>
      <c r="H1250" s="123"/>
      <c r="I1250" s="118"/>
      <c r="J1250" s="123"/>
      <c r="K1250" s="118"/>
      <c r="L1250" s="123"/>
      <c r="M1250" s="118"/>
      <c r="N1250" s="123"/>
      <c r="O1250" s="123"/>
      <c r="P1250" s="123"/>
      <c r="Q1250" s="180"/>
      <c r="R1250" s="123"/>
      <c r="S1250" s="119"/>
      <c r="T1250" s="132"/>
    </row>
    <row r="1251" spans="2:20" hidden="1">
      <c r="B1251" s="310" t="s">
        <v>4</v>
      </c>
      <c r="C1251" s="311">
        <f>[116]Maio!$I$10</f>
        <v>493.18666666666667</v>
      </c>
      <c r="D1251" s="313">
        <f t="shared" si="1386"/>
        <v>324.89240228370659</v>
      </c>
      <c r="E1251" s="662">
        <f>[107]Maio!$I$10</f>
        <v>496.59333333333331</v>
      </c>
      <c r="F1251" s="313">
        <f t="shared" si="1387"/>
        <v>327.13658322353967</v>
      </c>
      <c r="H1251" s="123"/>
      <c r="I1251" s="118"/>
      <c r="J1251" s="123"/>
      <c r="K1251" s="118"/>
      <c r="L1251" s="123"/>
      <c r="M1251" s="118"/>
      <c r="N1251" s="123"/>
      <c r="O1251" s="123"/>
      <c r="P1251" s="123"/>
      <c r="Q1251" s="180"/>
      <c r="R1251" s="123"/>
      <c r="S1251" s="119"/>
      <c r="T1251" s="132"/>
    </row>
    <row r="1252" spans="2:20" hidden="1">
      <c r="B1252" s="310" t="s">
        <v>5</v>
      </c>
      <c r="C1252" s="311">
        <f>[116]Junho!$I$10</f>
        <v>489.45833333333326</v>
      </c>
      <c r="D1252" s="313">
        <f t="shared" si="1386"/>
        <v>322.43631971892836</v>
      </c>
      <c r="E1252" s="662">
        <f>[107]Junho!$I$10</f>
        <v>504.44333333333333</v>
      </c>
      <c r="F1252" s="313">
        <f t="shared" si="1387"/>
        <v>332.30786122090467</v>
      </c>
      <c r="H1252" s="123"/>
      <c r="I1252" s="118"/>
      <c r="J1252" s="123"/>
      <c r="K1252" s="118"/>
      <c r="L1252" s="123"/>
      <c r="M1252" s="118"/>
      <c r="N1252" s="123"/>
      <c r="O1252" s="123"/>
      <c r="P1252" s="123"/>
      <c r="Q1252" s="180"/>
      <c r="R1252" s="123"/>
      <c r="S1252" s="119"/>
      <c r="T1252" s="132"/>
    </row>
    <row r="1253" spans="2:20" hidden="1">
      <c r="B1253" s="310" t="s">
        <v>6</v>
      </c>
      <c r="C1253" s="311">
        <f>[116]Julho!$I$10</f>
        <v>495.065</v>
      </c>
      <c r="D1253" s="313">
        <f t="shared" si="1386"/>
        <v>326.12977602108032</v>
      </c>
      <c r="E1253" s="662">
        <f>[107]Julho!$I$10</f>
        <v>505.32666666666665</v>
      </c>
      <c r="F1253" s="313">
        <f t="shared" ref="F1253:F1258" si="1388">100*E1253/$I$1215</f>
        <v>332.88976723759328</v>
      </c>
      <c r="H1253" s="123"/>
      <c r="I1253" s="118"/>
      <c r="J1253" s="123"/>
      <c r="K1253" s="118"/>
      <c r="L1253" s="123"/>
      <c r="M1253" s="118"/>
      <c r="N1253" s="123"/>
      <c r="O1253" s="123"/>
      <c r="P1253" s="123"/>
      <c r="Q1253" s="180"/>
      <c r="R1253" s="123"/>
      <c r="S1253" s="119"/>
      <c r="T1253" s="132"/>
    </row>
    <row r="1254" spans="2:20" hidden="1">
      <c r="B1254" s="310" t="s">
        <v>7</v>
      </c>
      <c r="C1254" s="311">
        <f>[116]Agosto!$I$10</f>
        <v>503.69333333333333</v>
      </c>
      <c r="D1254" s="313">
        <f t="shared" si="1386"/>
        <v>331.81379007465961</v>
      </c>
      <c r="E1254" s="662">
        <f>[107]Agosto!$I$10</f>
        <v>527.76166666666666</v>
      </c>
      <c r="F1254" s="313">
        <f t="shared" si="1388"/>
        <v>347.66908212560384</v>
      </c>
      <c r="H1254" s="123"/>
      <c r="I1254" s="118"/>
      <c r="J1254" s="123"/>
      <c r="K1254" s="118"/>
      <c r="L1254" s="123"/>
      <c r="M1254" s="118"/>
      <c r="N1254" s="123"/>
      <c r="O1254" s="123"/>
      <c r="P1254" s="123"/>
      <c r="Q1254" s="180"/>
      <c r="R1254" s="123"/>
      <c r="S1254" s="119"/>
      <c r="T1254" s="132"/>
    </row>
    <row r="1255" spans="2:20" hidden="1">
      <c r="B1255" s="310" t="s">
        <v>8</v>
      </c>
      <c r="C1255" s="311">
        <f>[116]Setembro!$I$10</f>
        <v>503.69333333333333</v>
      </c>
      <c r="D1255" s="313">
        <f>100*C1255/$I$1215</f>
        <v>331.81379007465961</v>
      </c>
      <c r="E1255" s="662">
        <f>[107]Setembro!$I$10</f>
        <v>529.27833333333331</v>
      </c>
      <c r="F1255" s="313">
        <f t="shared" si="1388"/>
        <v>348.66820377689936</v>
      </c>
      <c r="H1255" s="123"/>
      <c r="I1255" s="118"/>
      <c r="J1255" s="123"/>
      <c r="K1255" s="118"/>
      <c r="L1255" s="123"/>
      <c r="M1255" s="118"/>
      <c r="N1255" s="123"/>
      <c r="O1255" s="123"/>
      <c r="P1255" s="123"/>
      <c r="Q1255" s="180"/>
      <c r="R1255" s="123"/>
      <c r="S1255" s="119"/>
      <c r="T1255" s="132"/>
    </row>
    <row r="1256" spans="2:20" hidden="1">
      <c r="B1256" s="310" t="s">
        <v>9</v>
      </c>
      <c r="C1256" s="311">
        <f>[116]Outubro!$I$10</f>
        <v>510.18166666666662</v>
      </c>
      <c r="D1256" s="313">
        <f>100*C1256/$I$1215</f>
        <v>336.08805445761965</v>
      </c>
      <c r="E1256" s="662">
        <f>[107]Outubro!$I$10</f>
        <v>543.73333333333335</v>
      </c>
      <c r="F1256" s="313">
        <f t="shared" si="1388"/>
        <v>358.19060166886254</v>
      </c>
      <c r="H1256" s="123"/>
      <c r="I1256" s="118"/>
      <c r="J1256" s="123"/>
      <c r="K1256" s="118"/>
      <c r="L1256" s="123"/>
      <c r="M1256" s="118"/>
      <c r="N1256" s="123"/>
      <c r="O1256" s="123"/>
      <c r="P1256" s="123"/>
      <c r="Q1256" s="180"/>
      <c r="R1256" s="123"/>
      <c r="S1256" s="119"/>
      <c r="T1256" s="132"/>
    </row>
    <row r="1257" spans="2:20" hidden="1">
      <c r="B1257" s="310" t="s">
        <v>10</v>
      </c>
      <c r="C1257" s="311">
        <f>[116]Novembro!$I$10</f>
        <v>500.58666666666664</v>
      </c>
      <c r="D1257" s="313">
        <f>100*C1257/$I$1215</f>
        <v>329.76723759332452</v>
      </c>
      <c r="E1257" s="662">
        <f>[107]Novembro!$I$10</f>
        <v>543.73333333333335</v>
      </c>
      <c r="F1257" s="313">
        <f t="shared" si="1388"/>
        <v>358.19060166886254</v>
      </c>
      <c r="H1257" s="123"/>
      <c r="I1257" s="118"/>
      <c r="J1257" s="123"/>
      <c r="K1257" s="118"/>
      <c r="L1257" s="123"/>
      <c r="M1257" s="118"/>
      <c r="N1257" s="123"/>
      <c r="O1257" s="123"/>
      <c r="P1257" s="123"/>
      <c r="Q1257" s="180"/>
      <c r="R1257" s="123"/>
      <c r="S1257" s="119"/>
      <c r="T1257" s="132"/>
    </row>
    <row r="1258" spans="2:20" ht="15.75" hidden="1" thickBot="1">
      <c r="B1258" s="314" t="s">
        <v>11</v>
      </c>
      <c r="C1258" s="315">
        <f>[116]Dezembro!$I$10</f>
        <v>494.43000000000006</v>
      </c>
      <c r="D1258" s="317">
        <f>100*C1258/$I$1215</f>
        <v>325.71146245059293</v>
      </c>
      <c r="E1258" s="682">
        <f>[107]Dezembro!$I$10</f>
        <v>543.73333333333335</v>
      </c>
      <c r="F1258" s="317">
        <f t="shared" si="1388"/>
        <v>358.19060166886254</v>
      </c>
      <c r="H1258" s="123"/>
      <c r="I1258" s="118"/>
      <c r="J1258" s="123"/>
      <c r="K1258" s="118"/>
      <c r="L1258" s="123"/>
      <c r="M1258" s="118"/>
      <c r="N1258" s="123"/>
      <c r="O1258" s="123"/>
      <c r="P1258" s="123"/>
      <c r="Q1258" s="180"/>
      <c r="R1258" s="123"/>
      <c r="S1258" s="119"/>
      <c r="T1258" s="132"/>
    </row>
    <row r="1259" spans="2:20" hidden="1">
      <c r="B1259" s="119"/>
      <c r="C1259" s="118"/>
      <c r="D1259" s="123"/>
      <c r="E1259" s="118"/>
      <c r="F1259" s="123"/>
      <c r="G1259" s="118"/>
      <c r="H1259" s="123"/>
      <c r="I1259" s="118"/>
      <c r="J1259" s="123"/>
      <c r="K1259" s="118"/>
      <c r="L1259" s="123"/>
      <c r="M1259" s="118"/>
      <c r="N1259" s="123"/>
      <c r="O1259" s="123"/>
      <c r="P1259" s="123"/>
      <c r="Q1259" s="180"/>
      <c r="R1259" s="123"/>
      <c r="S1259" s="119"/>
      <c r="T1259" s="132"/>
    </row>
    <row r="1260" spans="2:20" hidden="1">
      <c r="B1260" s="198"/>
      <c r="C1260" s="199"/>
      <c r="D1260" s="200"/>
      <c r="E1260" s="199"/>
      <c r="F1260" s="200"/>
      <c r="G1260" s="199"/>
      <c r="H1260" s="200"/>
      <c r="I1260" s="199"/>
      <c r="J1260" s="200"/>
      <c r="K1260" s="199"/>
      <c r="L1260" s="200"/>
      <c r="M1260" s="199"/>
      <c r="N1260" s="200"/>
      <c r="O1260" s="123"/>
      <c r="P1260" s="123"/>
      <c r="Q1260" s="180"/>
      <c r="R1260" s="123"/>
      <c r="S1260" s="119"/>
      <c r="T1260" s="132"/>
    </row>
    <row r="1261" spans="2:20" ht="15.75" hidden="1" thickBot="1">
      <c r="B1261" s="119"/>
      <c r="C1261" s="118"/>
      <c r="D1261" s="123"/>
      <c r="E1261" s="118"/>
      <c r="F1261" s="123"/>
      <c r="G1261" s="118"/>
      <c r="H1261" s="123"/>
      <c r="I1261" s="601"/>
      <c r="J1261" s="123"/>
      <c r="K1261" s="118"/>
      <c r="L1261" s="123"/>
      <c r="M1261" s="118"/>
      <c r="N1261" s="123"/>
      <c r="O1261" s="123"/>
      <c r="P1261" s="123"/>
      <c r="Q1261" s="180"/>
      <c r="R1261" s="123"/>
      <c r="S1261" s="119"/>
      <c r="T1261" s="132"/>
    </row>
    <row r="1262" spans="2:20" ht="24" hidden="1" thickBot="1">
      <c r="B1262" s="591" t="s">
        <v>50</v>
      </c>
      <c r="C1262" s="521"/>
      <c r="D1262" s="358"/>
      <c r="E1262" s="358"/>
      <c r="F1262" s="541"/>
      <c r="G1262" s="361">
        <v>18.239999999999998</v>
      </c>
      <c r="H1262" s="362" t="s">
        <v>19</v>
      </c>
      <c r="I1262" s="600"/>
      <c r="J1262" s="358"/>
      <c r="K1262" s="364"/>
      <c r="L1262" s="364" t="s">
        <v>42</v>
      </c>
      <c r="M1262" s="358"/>
      <c r="N1262" s="359"/>
      <c r="O1262" s="119"/>
      <c r="P1262" s="119"/>
      <c r="Q1262" s="180"/>
      <c r="R1262" s="123"/>
      <c r="S1262" s="119"/>
      <c r="T1262" s="132"/>
    </row>
    <row r="1263" spans="2:20" ht="15.75" hidden="1" thickBot="1">
      <c r="B1263" s="1306">
        <v>2000</v>
      </c>
      <c r="C1263" s="1307"/>
      <c r="D1263" s="336" t="s">
        <v>15</v>
      </c>
      <c r="E1263" s="336">
        <v>2001</v>
      </c>
      <c r="F1263" s="336" t="s">
        <v>15</v>
      </c>
      <c r="G1263" s="336">
        <v>2002</v>
      </c>
      <c r="H1263" s="336" t="s">
        <v>15</v>
      </c>
      <c r="I1263" s="336">
        <v>2003</v>
      </c>
      <c r="J1263" s="336" t="s">
        <v>15</v>
      </c>
      <c r="K1263" s="336">
        <v>2004</v>
      </c>
      <c r="L1263" s="336" t="s">
        <v>15</v>
      </c>
      <c r="M1263" s="336">
        <v>2005</v>
      </c>
      <c r="N1263" s="354" t="s">
        <v>15</v>
      </c>
      <c r="O1263" s="124"/>
      <c r="P1263" s="124"/>
      <c r="Q1263" s="180"/>
      <c r="R1263" s="123"/>
      <c r="S1263" s="119"/>
      <c r="T1263" s="132"/>
    </row>
    <row r="1264" spans="2:20" hidden="1">
      <c r="B1264" s="306" t="s">
        <v>0</v>
      </c>
      <c r="C1264" s="307"/>
      <c r="D1264" s="308"/>
      <c r="E1264" s="307">
        <v>18.8</v>
      </c>
      <c r="F1264" s="308">
        <f t="shared" ref="F1264:F1275" si="1389">100*E1264/$G$1262</f>
        <v>103.07017543859649</v>
      </c>
      <c r="G1264" s="307">
        <v>23.8</v>
      </c>
      <c r="H1264" s="308">
        <f t="shared" ref="H1264:H1275" si="1390">100*G1264/$G$1262</f>
        <v>130.48245614035088</v>
      </c>
      <c r="I1264" s="307">
        <v>27.12</v>
      </c>
      <c r="J1264" s="308">
        <f t="shared" ref="J1264:J1275" si="1391">100*I1264/$G$1262</f>
        <v>148.68421052631581</v>
      </c>
      <c r="K1264" s="307">
        <v>34.22</v>
      </c>
      <c r="L1264" s="308">
        <f t="shared" ref="L1264:L1275" si="1392">100*K1264/$G$1262</f>
        <v>187.60964912280704</v>
      </c>
      <c r="M1264" s="307">
        <v>36.5</v>
      </c>
      <c r="N1264" s="309">
        <f t="shared" ref="N1264:N1275" si="1393">100*M1264/$G$1262</f>
        <v>200.10964912280704</v>
      </c>
      <c r="O1264" s="123"/>
      <c r="P1264" s="123"/>
      <c r="Q1264" s="180"/>
      <c r="R1264" s="123"/>
      <c r="S1264" s="119"/>
      <c r="T1264" s="132"/>
    </row>
    <row r="1265" spans="2:20" hidden="1">
      <c r="B1265" s="310" t="s">
        <v>1</v>
      </c>
      <c r="C1265" s="311"/>
      <c r="D1265" s="312"/>
      <c r="E1265" s="311">
        <v>20.75</v>
      </c>
      <c r="F1265" s="312">
        <f t="shared" si="1389"/>
        <v>113.76096491228071</v>
      </c>
      <c r="G1265" s="311">
        <v>22</v>
      </c>
      <c r="H1265" s="312">
        <f t="shared" si="1390"/>
        <v>120.6140350877193</v>
      </c>
      <c r="I1265" s="311">
        <v>30.2</v>
      </c>
      <c r="J1265" s="312">
        <f t="shared" si="1391"/>
        <v>165.57017543859649</v>
      </c>
      <c r="K1265" s="311">
        <v>36.700000000000003</v>
      </c>
      <c r="L1265" s="312">
        <f t="shared" si="1392"/>
        <v>201.20614035087723</v>
      </c>
      <c r="M1265" s="311">
        <v>35.93</v>
      </c>
      <c r="N1265" s="313">
        <f t="shared" si="1393"/>
        <v>196.98464912280704</v>
      </c>
      <c r="O1265" s="123"/>
      <c r="P1265" s="123"/>
      <c r="Q1265" s="180"/>
      <c r="R1265" s="123"/>
      <c r="S1265" s="119"/>
      <c r="T1265" s="132"/>
    </row>
    <row r="1266" spans="2:20" hidden="1">
      <c r="B1266" s="310" t="s">
        <v>2</v>
      </c>
      <c r="C1266" s="311"/>
      <c r="D1266" s="312"/>
      <c r="E1266" s="311">
        <v>21.55</v>
      </c>
      <c r="F1266" s="312">
        <f t="shared" si="1389"/>
        <v>118.14692982456141</v>
      </c>
      <c r="G1266" s="311">
        <v>23.63</v>
      </c>
      <c r="H1266" s="312">
        <f t="shared" si="1390"/>
        <v>129.55043859649123</v>
      </c>
      <c r="I1266" s="311">
        <v>35.9</v>
      </c>
      <c r="J1266" s="312">
        <f t="shared" si="1391"/>
        <v>196.82017543859652</v>
      </c>
      <c r="K1266" s="311">
        <v>38.4</v>
      </c>
      <c r="L1266" s="312">
        <f t="shared" si="1392"/>
        <v>210.5263157894737</v>
      </c>
      <c r="M1266" s="311">
        <v>37.049999999999997</v>
      </c>
      <c r="N1266" s="313">
        <f t="shared" si="1393"/>
        <v>203.125</v>
      </c>
      <c r="O1266" s="123"/>
      <c r="P1266" s="123"/>
      <c r="Q1266" s="180"/>
      <c r="R1266" s="123"/>
      <c r="S1266" s="119"/>
      <c r="T1266" s="132"/>
    </row>
    <row r="1267" spans="2:20" hidden="1">
      <c r="B1267" s="310" t="s">
        <v>3</v>
      </c>
      <c r="C1267" s="311">
        <v>18.239999999999998</v>
      </c>
      <c r="D1267" s="312">
        <v>100</v>
      </c>
      <c r="E1267" s="311">
        <v>19.62</v>
      </c>
      <c r="F1267" s="312">
        <f t="shared" si="1389"/>
        <v>107.56578947368422</v>
      </c>
      <c r="G1267" s="311">
        <v>21.5</v>
      </c>
      <c r="H1267" s="312">
        <f t="shared" si="1390"/>
        <v>117.87280701754386</v>
      </c>
      <c r="I1267" s="311">
        <v>33.36</v>
      </c>
      <c r="J1267" s="312">
        <f t="shared" si="1391"/>
        <v>182.89473684210529</v>
      </c>
      <c r="K1267" s="311">
        <v>40.950000000000003</v>
      </c>
      <c r="L1267" s="312">
        <f t="shared" si="1392"/>
        <v>224.50657894736847</v>
      </c>
      <c r="M1267" s="311">
        <v>38.880000000000003</v>
      </c>
      <c r="N1267" s="313">
        <f t="shared" si="1393"/>
        <v>213.15789473684214</v>
      </c>
      <c r="O1267" s="123"/>
      <c r="P1267" s="123"/>
      <c r="Q1267" s="180"/>
      <c r="R1267" s="123"/>
      <c r="S1267" s="119"/>
      <c r="T1267" s="132"/>
    </row>
    <row r="1268" spans="2:20" hidden="1">
      <c r="B1268" s="310" t="s">
        <v>4</v>
      </c>
      <c r="C1268" s="311">
        <v>18.62</v>
      </c>
      <c r="D1268" s="312">
        <f>100*C1268/C1267</f>
        <v>102.08333333333334</v>
      </c>
      <c r="E1268" s="311">
        <v>19.59</v>
      </c>
      <c r="F1268" s="312">
        <f t="shared" si="1389"/>
        <v>107.4013157894737</v>
      </c>
      <c r="G1268" s="311">
        <v>21</v>
      </c>
      <c r="H1268" s="312">
        <f t="shared" si="1390"/>
        <v>115.13157894736842</v>
      </c>
      <c r="I1268" s="311">
        <v>34.75</v>
      </c>
      <c r="J1268" s="312">
        <f t="shared" si="1391"/>
        <v>190.51535087719299</v>
      </c>
      <c r="K1268" s="311">
        <v>36.25</v>
      </c>
      <c r="L1268" s="312">
        <f t="shared" si="1392"/>
        <v>198.73903508771932</v>
      </c>
      <c r="M1268" s="311">
        <v>36.5</v>
      </c>
      <c r="N1268" s="313">
        <f t="shared" si="1393"/>
        <v>200.10964912280704</v>
      </c>
      <c r="O1268" s="123"/>
      <c r="P1268" s="123"/>
      <c r="Q1268" s="180"/>
      <c r="R1268" s="123"/>
      <c r="S1268" s="119"/>
      <c r="T1268" s="132"/>
    </row>
    <row r="1269" spans="2:20" hidden="1">
      <c r="B1269" s="310" t="s">
        <v>5</v>
      </c>
      <c r="C1269" s="311">
        <v>17.940000000000001</v>
      </c>
      <c r="D1269" s="312">
        <f t="shared" ref="D1269:D1275" si="1394">100*C1269/18.24</f>
        <v>98.355263157894754</v>
      </c>
      <c r="E1269" s="311">
        <v>21.2</v>
      </c>
      <c r="F1269" s="312">
        <f t="shared" si="1389"/>
        <v>116.2280701754386</v>
      </c>
      <c r="G1269" s="311">
        <v>23.12</v>
      </c>
      <c r="H1269" s="312">
        <f t="shared" si="1390"/>
        <v>126.75438596491229</v>
      </c>
      <c r="I1269" s="311">
        <v>34.25</v>
      </c>
      <c r="J1269" s="312">
        <f t="shared" si="1391"/>
        <v>187.77412280701756</v>
      </c>
      <c r="K1269" s="311">
        <v>38.6</v>
      </c>
      <c r="L1269" s="312">
        <f t="shared" si="1392"/>
        <v>211.62280701754389</v>
      </c>
      <c r="M1269" s="311">
        <v>36.799999999999997</v>
      </c>
      <c r="N1269" s="313">
        <f t="shared" si="1393"/>
        <v>201.75438596491227</v>
      </c>
      <c r="O1269" s="123"/>
      <c r="P1269" s="123"/>
      <c r="Q1269" s="180"/>
      <c r="R1269" s="123"/>
      <c r="S1269" s="119"/>
      <c r="T1269" s="132"/>
    </row>
    <row r="1270" spans="2:20" hidden="1">
      <c r="B1270" s="310" t="s">
        <v>6</v>
      </c>
      <c r="C1270" s="311">
        <v>17.88</v>
      </c>
      <c r="D1270" s="312">
        <f t="shared" si="1394"/>
        <v>98.026315789473699</v>
      </c>
      <c r="E1270" s="311">
        <v>20.68</v>
      </c>
      <c r="F1270" s="312">
        <f t="shared" si="1389"/>
        <v>113.37719298245615</v>
      </c>
      <c r="G1270" s="311">
        <v>22.34</v>
      </c>
      <c r="H1270" s="312">
        <f t="shared" si="1390"/>
        <v>122.4780701754386</v>
      </c>
      <c r="I1270" s="311">
        <v>26.75</v>
      </c>
      <c r="J1270" s="312">
        <f t="shared" si="1391"/>
        <v>146.65570175438597</v>
      </c>
      <c r="K1270" s="311">
        <v>37.76</v>
      </c>
      <c r="L1270" s="312">
        <f t="shared" si="1392"/>
        <v>207.01754385964915</v>
      </c>
      <c r="M1270" s="311">
        <v>39.29</v>
      </c>
      <c r="N1270" s="313">
        <f t="shared" si="1393"/>
        <v>215.40570175438597</v>
      </c>
      <c r="O1270" s="123"/>
      <c r="P1270" s="123"/>
      <c r="Q1270" s="180"/>
      <c r="R1270" s="123"/>
      <c r="S1270" s="119"/>
      <c r="T1270" s="132"/>
    </row>
    <row r="1271" spans="2:20" hidden="1">
      <c r="B1271" s="310" t="s">
        <v>7</v>
      </c>
      <c r="C1271" s="311">
        <v>18.600000000000001</v>
      </c>
      <c r="D1271" s="312">
        <f t="shared" si="1394"/>
        <v>101.97368421052634</v>
      </c>
      <c r="E1271" s="311">
        <v>20.79</v>
      </c>
      <c r="F1271" s="312">
        <f t="shared" si="1389"/>
        <v>113.98026315789474</v>
      </c>
      <c r="G1271" s="311">
        <v>26.8</v>
      </c>
      <c r="H1271" s="312">
        <f t="shared" si="1390"/>
        <v>146.92982456140354</v>
      </c>
      <c r="I1271" s="311">
        <v>36.630000000000003</v>
      </c>
      <c r="J1271" s="312">
        <f t="shared" si="1391"/>
        <v>200.82236842105269</v>
      </c>
      <c r="K1271" s="311">
        <v>36</v>
      </c>
      <c r="L1271" s="312">
        <f t="shared" si="1392"/>
        <v>197.36842105263159</v>
      </c>
      <c r="M1271" s="311">
        <v>35.82</v>
      </c>
      <c r="N1271" s="313">
        <f t="shared" si="1393"/>
        <v>196.38157894736844</v>
      </c>
      <c r="O1271" s="123"/>
      <c r="P1271" s="123"/>
      <c r="Q1271" s="180"/>
      <c r="R1271" s="123"/>
      <c r="S1271" s="119"/>
      <c r="T1271" s="132"/>
    </row>
    <row r="1272" spans="2:20" hidden="1">
      <c r="B1272" s="310" t="s">
        <v>8</v>
      </c>
      <c r="C1272" s="311">
        <v>19.3</v>
      </c>
      <c r="D1272" s="312">
        <f t="shared" si="1394"/>
        <v>105.81140350877195</v>
      </c>
      <c r="E1272" s="311">
        <v>17.13</v>
      </c>
      <c r="F1272" s="312">
        <f t="shared" si="1389"/>
        <v>93.914473684210535</v>
      </c>
      <c r="G1272" s="311">
        <v>25.6</v>
      </c>
      <c r="H1272" s="312">
        <f t="shared" si="1390"/>
        <v>140.35087719298247</v>
      </c>
      <c r="I1272" s="311">
        <v>34.72</v>
      </c>
      <c r="J1272" s="312">
        <f t="shared" si="1391"/>
        <v>190.35087719298247</v>
      </c>
      <c r="K1272" s="311">
        <v>37.24</v>
      </c>
      <c r="L1272" s="312">
        <f t="shared" si="1392"/>
        <v>204.16666666666669</v>
      </c>
      <c r="M1272" s="311">
        <v>35.25</v>
      </c>
      <c r="N1272" s="313">
        <f t="shared" si="1393"/>
        <v>193.25657894736844</v>
      </c>
      <c r="O1272" s="123"/>
      <c r="P1272" s="123"/>
      <c r="Q1272" s="180"/>
      <c r="R1272" s="123"/>
      <c r="S1272" s="119"/>
      <c r="T1272" s="132"/>
    </row>
    <row r="1273" spans="2:20" hidden="1">
      <c r="B1273" s="310" t="s">
        <v>9</v>
      </c>
      <c r="C1273" s="311">
        <v>17.72</v>
      </c>
      <c r="D1273" s="312">
        <f t="shared" si="1394"/>
        <v>97.149122807017548</v>
      </c>
      <c r="E1273" s="311">
        <v>21.5</v>
      </c>
      <c r="F1273" s="312">
        <f t="shared" si="1389"/>
        <v>117.87280701754386</v>
      </c>
      <c r="G1273" s="311">
        <v>25.78</v>
      </c>
      <c r="H1273" s="312">
        <f t="shared" si="1390"/>
        <v>141.33771929824562</v>
      </c>
      <c r="I1273" s="311">
        <v>32.21</v>
      </c>
      <c r="J1273" s="312">
        <f t="shared" si="1391"/>
        <v>176.58991228070178</v>
      </c>
      <c r="K1273" s="311">
        <v>36.64</v>
      </c>
      <c r="L1273" s="312">
        <f t="shared" si="1392"/>
        <v>200.87719298245617</v>
      </c>
      <c r="M1273" s="311">
        <v>37.1</v>
      </c>
      <c r="N1273" s="313">
        <f t="shared" si="1393"/>
        <v>203.39912280701756</v>
      </c>
      <c r="O1273" s="123"/>
      <c r="P1273" s="123"/>
      <c r="Q1273" s="180"/>
      <c r="R1273" s="123"/>
      <c r="S1273" s="119"/>
      <c r="T1273" s="132"/>
    </row>
    <row r="1274" spans="2:20" hidden="1">
      <c r="B1274" s="310" t="s">
        <v>10</v>
      </c>
      <c r="C1274" s="311">
        <v>20.16</v>
      </c>
      <c r="D1274" s="312">
        <f t="shared" si="1394"/>
        <v>110.5263157894737</v>
      </c>
      <c r="E1274" s="311">
        <v>21.24</v>
      </c>
      <c r="F1274" s="312">
        <f t="shared" si="1389"/>
        <v>116.44736842105264</v>
      </c>
      <c r="G1274" s="311">
        <v>28.2</v>
      </c>
      <c r="H1274" s="312">
        <f t="shared" si="1390"/>
        <v>154.60526315789474</v>
      </c>
      <c r="I1274" s="311">
        <v>29.34</v>
      </c>
      <c r="J1274" s="312">
        <f t="shared" si="1391"/>
        <v>160.85526315789474</v>
      </c>
      <c r="K1274" s="311">
        <v>36.299999999999997</v>
      </c>
      <c r="L1274" s="312">
        <f t="shared" si="1392"/>
        <v>199.01315789473682</v>
      </c>
      <c r="M1274" s="311">
        <v>38.49</v>
      </c>
      <c r="N1274" s="313">
        <f t="shared" si="1393"/>
        <v>211.01973684210529</v>
      </c>
      <c r="O1274" s="123"/>
      <c r="P1274" s="123"/>
      <c r="Q1274" s="180"/>
      <c r="R1274" s="123"/>
      <c r="S1274" s="119"/>
      <c r="T1274" s="132"/>
    </row>
    <row r="1275" spans="2:20" ht="15.75" hidden="1" thickBot="1">
      <c r="B1275" s="314" t="s">
        <v>11</v>
      </c>
      <c r="C1275" s="315">
        <v>19.73</v>
      </c>
      <c r="D1275" s="316">
        <f t="shared" si="1394"/>
        <v>108.16885964912282</v>
      </c>
      <c r="E1275" s="315">
        <v>21.8</v>
      </c>
      <c r="F1275" s="316">
        <f t="shared" si="1389"/>
        <v>119.51754385964914</v>
      </c>
      <c r="G1275" s="315">
        <v>33.659999999999997</v>
      </c>
      <c r="H1275" s="316">
        <f t="shared" si="1390"/>
        <v>184.53947368421052</v>
      </c>
      <c r="I1275" s="315">
        <v>37.4</v>
      </c>
      <c r="J1275" s="316">
        <f t="shared" si="1391"/>
        <v>205.04385964912282</v>
      </c>
      <c r="K1275" s="315">
        <v>38.479999999999997</v>
      </c>
      <c r="L1275" s="316">
        <f t="shared" si="1392"/>
        <v>210.96491228070175</v>
      </c>
      <c r="M1275" s="315">
        <v>37.86</v>
      </c>
      <c r="N1275" s="317">
        <f t="shared" si="1393"/>
        <v>207.56578947368422</v>
      </c>
      <c r="O1275" s="123"/>
      <c r="P1275" s="123"/>
      <c r="Q1275" s="180"/>
      <c r="R1275" s="123"/>
      <c r="S1275" s="119"/>
      <c r="T1275" s="132"/>
    </row>
    <row r="1276" spans="2:20" ht="15.75" hidden="1" thickBot="1">
      <c r="C1276" s="118"/>
      <c r="D1276" s="123"/>
      <c r="E1276" s="118"/>
      <c r="F1276" s="123"/>
      <c r="G1276" s="118"/>
      <c r="H1276" s="123"/>
      <c r="I1276" s="118"/>
      <c r="J1276" s="123"/>
      <c r="K1276" s="118"/>
      <c r="L1276" s="123"/>
      <c r="M1276" s="118"/>
      <c r="N1276" s="123"/>
      <c r="O1276" s="123"/>
      <c r="P1276" s="123"/>
      <c r="Q1276" s="180"/>
      <c r="R1276" s="123"/>
      <c r="S1276" s="119"/>
      <c r="T1276" s="132"/>
    </row>
    <row r="1277" spans="2:20" ht="24" hidden="1" thickBot="1">
      <c r="B1277" s="591" t="s">
        <v>50</v>
      </c>
      <c r="C1277" s="521"/>
      <c r="D1277" s="358"/>
      <c r="E1277" s="358"/>
      <c r="F1277" s="541"/>
      <c r="G1277" s="361">
        <v>18.239999999999998</v>
      </c>
      <c r="H1277" s="362" t="s">
        <v>19</v>
      </c>
      <c r="I1277" s="600"/>
      <c r="J1277" s="358"/>
      <c r="K1277" s="364"/>
      <c r="L1277" s="364" t="s">
        <v>42</v>
      </c>
      <c r="M1277" s="358"/>
      <c r="N1277" s="359"/>
      <c r="O1277" s="119"/>
      <c r="P1277" s="119"/>
      <c r="Q1277" s="180"/>
      <c r="R1277" s="123"/>
      <c r="S1277" s="119"/>
      <c r="T1277" s="132"/>
    </row>
    <row r="1278" spans="2:20" ht="15.75" hidden="1" thickBot="1">
      <c r="B1278" s="1306">
        <v>2006</v>
      </c>
      <c r="C1278" s="1307"/>
      <c r="D1278" s="336" t="s">
        <v>15</v>
      </c>
      <c r="E1278" s="336">
        <v>2007</v>
      </c>
      <c r="F1278" s="336" t="s">
        <v>15</v>
      </c>
      <c r="G1278" s="336">
        <v>2008</v>
      </c>
      <c r="H1278" s="336" t="s">
        <v>15</v>
      </c>
      <c r="I1278" s="336">
        <v>2009</v>
      </c>
      <c r="J1278" s="336" t="s">
        <v>15</v>
      </c>
      <c r="K1278" s="336">
        <v>2010</v>
      </c>
      <c r="L1278" s="336" t="s">
        <v>15</v>
      </c>
      <c r="M1278" s="336">
        <v>2011</v>
      </c>
      <c r="N1278" s="354" t="s">
        <v>15</v>
      </c>
      <c r="O1278" s="124"/>
      <c r="P1278" s="124"/>
      <c r="Q1278" s="180"/>
      <c r="R1278" s="123"/>
      <c r="S1278" s="119"/>
      <c r="T1278" s="132"/>
    </row>
    <row r="1279" spans="2:20" hidden="1">
      <c r="B1279" s="306" t="s">
        <v>0</v>
      </c>
      <c r="C1279" s="308">
        <v>36.130000000000003</v>
      </c>
      <c r="D1279" s="308">
        <f>100*C1279/$G$1262</f>
        <v>198.08114035087723</v>
      </c>
      <c r="E1279" s="307">
        <v>33.14</v>
      </c>
      <c r="F1279" s="308">
        <f t="shared" ref="F1279:F1290" si="1395">100*E1279/$G$1262</f>
        <v>181.68859649122808</v>
      </c>
      <c r="G1279" s="307">
        <v>34.68</v>
      </c>
      <c r="H1279" s="308">
        <f t="shared" ref="H1279:H1290" si="1396">100*G1279/$G$1262</f>
        <v>190.13157894736844</v>
      </c>
      <c r="I1279" s="307">
        <v>40.428571428571431</v>
      </c>
      <c r="J1279" s="308">
        <f t="shared" ref="J1279:J1290" si="1397">100*I1279/$G$1262</f>
        <v>221.6478696741855</v>
      </c>
      <c r="K1279" s="307">
        <v>42.428571428571431</v>
      </c>
      <c r="L1279" s="308">
        <f t="shared" ref="L1279:L1290" si="1398">100*K1279/$G$1262</f>
        <v>232.61278195488725</v>
      </c>
      <c r="M1279" s="307">
        <v>46.287999999999997</v>
      </c>
      <c r="N1279" s="309">
        <f t="shared" ref="N1279:N1290" si="1399">100*M1279/$G$1262</f>
        <v>253.7719298245614</v>
      </c>
      <c r="O1279" s="123"/>
      <c r="P1279" s="123"/>
      <c r="Q1279" s="180"/>
      <c r="R1279" s="123"/>
      <c r="S1279" s="119"/>
      <c r="T1279" s="132"/>
    </row>
    <row r="1280" spans="2:20" hidden="1">
      <c r="B1280" s="310" t="s">
        <v>1</v>
      </c>
      <c r="C1280" s="312">
        <v>34.520000000000003</v>
      </c>
      <c r="D1280" s="312">
        <f>100*C1280/$G$1262</f>
        <v>189.25438596491233</v>
      </c>
      <c r="E1280" s="311">
        <v>31</v>
      </c>
      <c r="F1280" s="312">
        <f t="shared" si="1395"/>
        <v>169.95614035087721</v>
      </c>
      <c r="G1280" s="311">
        <v>36.9</v>
      </c>
      <c r="H1280" s="312">
        <f t="shared" si="1396"/>
        <v>202.3026315789474</v>
      </c>
      <c r="I1280" s="311">
        <v>41</v>
      </c>
      <c r="J1280" s="312">
        <f t="shared" si="1397"/>
        <v>224.78070175438597</v>
      </c>
      <c r="K1280" s="311">
        <v>44.166666666666664</v>
      </c>
      <c r="L1280" s="312">
        <f t="shared" si="1398"/>
        <v>242.14181286549706</v>
      </c>
      <c r="M1280" s="311">
        <v>46.287999999999997</v>
      </c>
      <c r="N1280" s="313">
        <f t="shared" si="1399"/>
        <v>253.7719298245614</v>
      </c>
      <c r="O1280" s="123"/>
      <c r="P1280" s="123"/>
      <c r="Q1280" s="180"/>
      <c r="R1280" s="123"/>
      <c r="S1280" s="119"/>
      <c r="T1280" s="132"/>
    </row>
    <row r="1281" spans="2:20" hidden="1">
      <c r="B1281" s="310" t="s">
        <v>2</v>
      </c>
      <c r="C1281" s="312">
        <v>33.380000000000003</v>
      </c>
      <c r="D1281" s="312">
        <f>100*C1281/$G$1262</f>
        <v>183.00438596491233</v>
      </c>
      <c r="E1281" s="311">
        <v>31.2</v>
      </c>
      <c r="F1281" s="312">
        <f t="shared" si="1395"/>
        <v>171.05263157894737</v>
      </c>
      <c r="G1281" s="311">
        <v>37.06666666666667</v>
      </c>
      <c r="H1281" s="312">
        <f t="shared" si="1396"/>
        <v>203.21637426900588</v>
      </c>
      <c r="I1281" s="311">
        <v>39.799999999999997</v>
      </c>
      <c r="J1281" s="312">
        <f t="shared" si="1397"/>
        <v>218.2017543859649</v>
      </c>
      <c r="K1281" s="311">
        <v>44.166666666666664</v>
      </c>
      <c r="L1281" s="312">
        <f t="shared" si="1398"/>
        <v>242.14181286549706</v>
      </c>
      <c r="M1281" s="311">
        <v>46.287999999999997</v>
      </c>
      <c r="N1281" s="313">
        <f t="shared" si="1399"/>
        <v>253.7719298245614</v>
      </c>
      <c r="O1281" s="123"/>
      <c r="P1281" s="123"/>
      <c r="Q1281" s="180"/>
      <c r="R1281" s="123"/>
      <c r="S1281" s="119"/>
      <c r="T1281" s="132"/>
    </row>
    <row r="1282" spans="2:20" hidden="1">
      <c r="B1282" s="310" t="s">
        <v>3</v>
      </c>
      <c r="C1282" s="311">
        <v>31.29</v>
      </c>
      <c r="D1282" s="312">
        <v>100</v>
      </c>
      <c r="E1282" s="311">
        <v>33.200000000000003</v>
      </c>
      <c r="F1282" s="312">
        <f t="shared" si="1395"/>
        <v>182.01754385964915</v>
      </c>
      <c r="G1282" s="311">
        <v>37.1</v>
      </c>
      <c r="H1282" s="312">
        <f t="shared" si="1396"/>
        <v>203.39912280701756</v>
      </c>
      <c r="I1282" s="311">
        <v>39.799999999999997</v>
      </c>
      <c r="J1282" s="312">
        <f t="shared" si="1397"/>
        <v>218.2017543859649</v>
      </c>
      <c r="K1282" s="311">
        <v>39.17</v>
      </c>
      <c r="L1282" s="312">
        <f t="shared" si="1398"/>
        <v>214.74780701754389</v>
      </c>
      <c r="M1282" s="311">
        <v>46.287999999999997</v>
      </c>
      <c r="N1282" s="313">
        <f t="shared" si="1399"/>
        <v>253.7719298245614</v>
      </c>
      <c r="O1282" s="123"/>
      <c r="P1282" s="123"/>
      <c r="Q1282" s="180"/>
      <c r="R1282" s="123"/>
      <c r="S1282" s="119"/>
      <c r="T1282" s="132"/>
    </row>
    <row r="1283" spans="2:20" hidden="1">
      <c r="B1283" s="310" t="s">
        <v>4</v>
      </c>
      <c r="C1283" s="311">
        <v>33.81</v>
      </c>
      <c r="D1283" s="312">
        <f>100*C1283/C1282</f>
        <v>108.05369127516779</v>
      </c>
      <c r="E1283" s="311">
        <v>33.17</v>
      </c>
      <c r="F1283" s="312">
        <f t="shared" si="1395"/>
        <v>181.8530701754386</v>
      </c>
      <c r="G1283" s="311">
        <v>38.4</v>
      </c>
      <c r="H1283" s="312">
        <f t="shared" si="1396"/>
        <v>210.5263157894737</v>
      </c>
      <c r="I1283" s="311">
        <v>41</v>
      </c>
      <c r="J1283" s="312">
        <f t="shared" si="1397"/>
        <v>224.78070175438597</v>
      </c>
      <c r="K1283" s="311">
        <v>43</v>
      </c>
      <c r="L1283" s="312">
        <f t="shared" si="1398"/>
        <v>235.74561403508773</v>
      </c>
      <c r="M1283" s="311">
        <v>46.38</v>
      </c>
      <c r="N1283" s="313">
        <f t="shared" si="1399"/>
        <v>254.2763157894737</v>
      </c>
      <c r="O1283" s="123"/>
      <c r="P1283" s="123"/>
      <c r="Q1283" s="180"/>
      <c r="R1283" s="123"/>
      <c r="S1283" s="119"/>
      <c r="T1283" s="132"/>
    </row>
    <row r="1284" spans="2:20" hidden="1">
      <c r="B1284" s="310" t="s">
        <v>5</v>
      </c>
      <c r="C1284" s="311">
        <v>31.88</v>
      </c>
      <c r="D1284" s="312">
        <f t="shared" ref="D1284:D1290" si="1400">100*C1284/18.24</f>
        <v>174.78070175438597</v>
      </c>
      <c r="E1284" s="311">
        <v>34.25</v>
      </c>
      <c r="F1284" s="312">
        <f t="shared" si="1395"/>
        <v>187.77412280701756</v>
      </c>
      <c r="G1284" s="311">
        <v>38.94</v>
      </c>
      <c r="H1284" s="312">
        <f t="shared" si="1396"/>
        <v>213.48684210526318</v>
      </c>
      <c r="I1284" s="311">
        <v>41.285714285714285</v>
      </c>
      <c r="J1284" s="312">
        <f t="shared" si="1397"/>
        <v>226.34711779448622</v>
      </c>
      <c r="K1284" s="311">
        <v>43</v>
      </c>
      <c r="L1284" s="312">
        <f t="shared" si="1398"/>
        <v>235.74561403508773</v>
      </c>
      <c r="M1284" s="311">
        <v>46.38</v>
      </c>
      <c r="N1284" s="313">
        <f t="shared" si="1399"/>
        <v>254.2763157894737</v>
      </c>
      <c r="O1284" s="123"/>
      <c r="P1284" s="123"/>
      <c r="Q1284" s="180"/>
      <c r="R1284" s="123"/>
      <c r="S1284" s="119"/>
      <c r="T1284" s="132"/>
    </row>
    <row r="1285" spans="2:20" hidden="1">
      <c r="B1285" s="310" t="s">
        <v>6</v>
      </c>
      <c r="C1285" s="311">
        <v>34.86</v>
      </c>
      <c r="D1285" s="312">
        <f t="shared" si="1400"/>
        <v>191.11842105263159</v>
      </c>
      <c r="E1285" s="311">
        <v>36.700000000000003</v>
      </c>
      <c r="F1285" s="312">
        <f t="shared" si="1395"/>
        <v>201.20614035087723</v>
      </c>
      <c r="G1285" s="311">
        <v>37.81428571428571</v>
      </c>
      <c r="H1285" s="312">
        <f t="shared" si="1396"/>
        <v>207.31516290726816</v>
      </c>
      <c r="I1285" s="311">
        <v>40</v>
      </c>
      <c r="J1285" s="312">
        <f t="shared" si="1397"/>
        <v>219.2982456140351</v>
      </c>
      <c r="K1285" s="311">
        <v>42.984000000000002</v>
      </c>
      <c r="L1285" s="312">
        <f t="shared" si="1398"/>
        <v>235.65789473684217</v>
      </c>
      <c r="M1285" s="311">
        <v>46.38</v>
      </c>
      <c r="N1285" s="313">
        <f t="shared" si="1399"/>
        <v>254.2763157894737</v>
      </c>
      <c r="O1285" s="123"/>
      <c r="P1285" s="123"/>
      <c r="Q1285" s="180"/>
      <c r="R1285" s="123"/>
      <c r="S1285" s="119"/>
      <c r="T1285" s="132"/>
    </row>
    <row r="1286" spans="2:20" hidden="1">
      <c r="B1286" s="310" t="s">
        <v>7</v>
      </c>
      <c r="C1286" s="311">
        <v>31.33</v>
      </c>
      <c r="D1286" s="312">
        <f t="shared" si="1400"/>
        <v>171.76535087719299</v>
      </c>
      <c r="E1286" s="311">
        <v>36.983333333333334</v>
      </c>
      <c r="F1286" s="312">
        <f t="shared" si="1395"/>
        <v>202.75950292397664</v>
      </c>
      <c r="G1286" s="311">
        <v>38.771428571428565</v>
      </c>
      <c r="H1286" s="312">
        <f t="shared" si="1396"/>
        <v>212.56265664160398</v>
      </c>
      <c r="I1286" s="311">
        <v>42</v>
      </c>
      <c r="J1286" s="312">
        <f t="shared" si="1397"/>
        <v>230.26315789473685</v>
      </c>
      <c r="K1286" s="311">
        <v>45.844000000000001</v>
      </c>
      <c r="L1286" s="312">
        <f t="shared" si="1398"/>
        <v>251.33771929824567</v>
      </c>
      <c r="M1286" s="311">
        <v>46.38</v>
      </c>
      <c r="N1286" s="313">
        <f t="shared" si="1399"/>
        <v>254.2763157894737</v>
      </c>
      <c r="O1286" s="123"/>
      <c r="P1286" s="123"/>
      <c r="Q1286" s="180"/>
      <c r="R1286" s="123"/>
      <c r="S1286" s="119"/>
      <c r="T1286" s="132"/>
    </row>
    <row r="1287" spans="2:20" hidden="1">
      <c r="B1287" s="310" t="s">
        <v>8</v>
      </c>
      <c r="C1287" s="311">
        <v>34.840000000000003</v>
      </c>
      <c r="D1287" s="312">
        <f t="shared" si="1400"/>
        <v>191.0087719298246</v>
      </c>
      <c r="E1287" s="311">
        <v>37.78</v>
      </c>
      <c r="F1287" s="312">
        <f t="shared" si="1395"/>
        <v>207.12719298245617</v>
      </c>
      <c r="G1287" s="311">
        <v>39.4</v>
      </c>
      <c r="H1287" s="312">
        <f t="shared" si="1396"/>
        <v>216.00877192982458</v>
      </c>
      <c r="I1287" s="311">
        <v>42</v>
      </c>
      <c r="J1287" s="312">
        <f t="shared" si="1397"/>
        <v>230.26315789473685</v>
      </c>
      <c r="K1287" s="311">
        <v>45.844000000000001</v>
      </c>
      <c r="L1287" s="312">
        <f t="shared" si="1398"/>
        <v>251.33771929824567</v>
      </c>
      <c r="M1287" s="311">
        <v>46.38</v>
      </c>
      <c r="N1287" s="313">
        <f t="shared" si="1399"/>
        <v>254.2763157894737</v>
      </c>
      <c r="O1287" s="123"/>
      <c r="P1287" s="123"/>
      <c r="Q1287" s="180"/>
      <c r="R1287" s="123"/>
      <c r="S1287" s="119"/>
      <c r="T1287" s="132"/>
    </row>
    <row r="1288" spans="2:20" hidden="1">
      <c r="B1288" s="310" t="s">
        <v>9</v>
      </c>
      <c r="C1288" s="311">
        <v>34.130000000000003</v>
      </c>
      <c r="D1288" s="312">
        <f t="shared" si="1400"/>
        <v>187.11622807017548</v>
      </c>
      <c r="E1288" s="311">
        <v>37.128571428571426</v>
      </c>
      <c r="F1288" s="312">
        <f t="shared" si="1395"/>
        <v>203.55576441102758</v>
      </c>
      <c r="G1288" s="311">
        <v>40.928571428571431</v>
      </c>
      <c r="H1288" s="312">
        <f t="shared" si="1396"/>
        <v>224.38909774436092</v>
      </c>
      <c r="I1288" s="311">
        <v>42.428571428571431</v>
      </c>
      <c r="J1288" s="312">
        <f t="shared" si="1397"/>
        <v>232.61278195488725</v>
      </c>
      <c r="K1288" s="311">
        <v>46.18</v>
      </c>
      <c r="L1288" s="312">
        <f t="shared" si="1398"/>
        <v>253.17982456140354</v>
      </c>
      <c r="M1288" s="311">
        <v>46.38</v>
      </c>
      <c r="N1288" s="313">
        <f t="shared" si="1399"/>
        <v>254.2763157894737</v>
      </c>
      <c r="O1288" s="123"/>
      <c r="P1288" s="123"/>
      <c r="Q1288" s="180"/>
      <c r="R1288" s="123"/>
      <c r="S1288" s="119"/>
      <c r="T1288" s="132"/>
    </row>
    <row r="1289" spans="2:20" hidden="1">
      <c r="B1289" s="310" t="s">
        <v>10</v>
      </c>
      <c r="C1289" s="311">
        <v>36.33</v>
      </c>
      <c r="D1289" s="312">
        <f t="shared" si="1400"/>
        <v>199.1776315789474</v>
      </c>
      <c r="E1289" s="311">
        <v>36.557142857142857</v>
      </c>
      <c r="F1289" s="312">
        <f t="shared" si="1395"/>
        <v>200.42293233082708</v>
      </c>
      <c r="G1289" s="311">
        <v>42</v>
      </c>
      <c r="H1289" s="312">
        <f t="shared" si="1396"/>
        <v>230.26315789473685</v>
      </c>
      <c r="I1289" s="311">
        <v>42.5</v>
      </c>
      <c r="J1289" s="312">
        <f t="shared" si="1397"/>
        <v>233.0043859649123</v>
      </c>
      <c r="K1289" s="311">
        <v>46.25</v>
      </c>
      <c r="L1289" s="312">
        <f t="shared" si="1398"/>
        <v>253.56359649122808</v>
      </c>
      <c r="M1289" s="311">
        <v>46.38</v>
      </c>
      <c r="N1289" s="313">
        <f t="shared" si="1399"/>
        <v>254.2763157894737</v>
      </c>
      <c r="O1289" s="123"/>
      <c r="P1289" s="123"/>
      <c r="Q1289" s="180"/>
      <c r="R1289" s="123"/>
      <c r="S1289" s="119"/>
      <c r="T1289" s="132"/>
    </row>
    <row r="1290" spans="2:20" ht="15.75" hidden="1" thickBot="1">
      <c r="B1290" s="314" t="s">
        <v>11</v>
      </c>
      <c r="C1290" s="315">
        <v>34.9</v>
      </c>
      <c r="D1290" s="316">
        <f t="shared" si="1400"/>
        <v>191.33771929824562</v>
      </c>
      <c r="E1290" s="315">
        <v>37</v>
      </c>
      <c r="F1290" s="316">
        <f t="shared" si="1395"/>
        <v>202.85087719298247</v>
      </c>
      <c r="G1290" s="315">
        <v>40.428571428571431</v>
      </c>
      <c r="H1290" s="316">
        <f t="shared" si="1396"/>
        <v>221.6478696741855</v>
      </c>
      <c r="I1290" s="315">
        <v>42.428571428571431</v>
      </c>
      <c r="J1290" s="316">
        <f t="shared" si="1397"/>
        <v>232.61278195488725</v>
      </c>
      <c r="K1290" s="315">
        <v>46.073333333333331</v>
      </c>
      <c r="L1290" s="316">
        <f t="shared" si="1398"/>
        <v>252.59502923976609</v>
      </c>
      <c r="M1290" s="315">
        <v>46.38</v>
      </c>
      <c r="N1290" s="317">
        <f t="shared" si="1399"/>
        <v>254.2763157894737</v>
      </c>
      <c r="O1290" s="123"/>
      <c r="P1290" s="123"/>
      <c r="Q1290" s="180"/>
      <c r="R1290" s="123"/>
      <c r="S1290" s="119"/>
      <c r="T1290" s="132"/>
    </row>
    <row r="1291" spans="2:20" ht="15.75" hidden="1" thickBot="1">
      <c r="B1291" s="119"/>
      <c r="C1291" s="118"/>
      <c r="D1291" s="124"/>
      <c r="E1291" s="118"/>
      <c r="F1291" s="119"/>
      <c r="G1291" s="122"/>
      <c r="H1291" s="119"/>
      <c r="I1291" s="122"/>
      <c r="J1291" s="119"/>
      <c r="K1291" s="122"/>
      <c r="L1291" s="119"/>
      <c r="M1291" s="122"/>
      <c r="N1291" s="119"/>
      <c r="O1291" s="119"/>
      <c r="P1291" s="119"/>
      <c r="Q1291" s="180"/>
      <c r="R1291" s="123"/>
      <c r="S1291" s="119"/>
      <c r="T1291" s="132"/>
    </row>
    <row r="1292" spans="2:20" ht="18.75" hidden="1" thickBot="1">
      <c r="B1292" s="1320" t="s">
        <v>50</v>
      </c>
      <c r="C1292" s="1321"/>
      <c r="D1292" s="1321"/>
      <c r="E1292" s="1321"/>
      <c r="F1292" s="1322"/>
      <c r="G1292" s="360"/>
      <c r="H1292" s="119"/>
      <c r="I1292" s="122"/>
      <c r="J1292" s="119"/>
      <c r="K1292" s="122"/>
      <c r="L1292" s="119"/>
      <c r="M1292" s="122"/>
      <c r="N1292" s="119"/>
      <c r="O1292" s="119"/>
      <c r="P1292" s="119"/>
      <c r="Q1292" s="180"/>
      <c r="R1292" s="123"/>
      <c r="S1292" s="119"/>
      <c r="T1292" s="132"/>
    </row>
    <row r="1293" spans="2:20" ht="15.75" hidden="1" thickBot="1">
      <c r="B1293" s="1314">
        <v>2012</v>
      </c>
      <c r="C1293" s="1315"/>
      <c r="D1293" s="649" t="s">
        <v>15</v>
      </c>
      <c r="E1293" s="650">
        <v>2013</v>
      </c>
      <c r="F1293" s="649" t="s">
        <v>15</v>
      </c>
      <c r="H1293" s="119"/>
      <c r="I1293" s="122"/>
      <c r="J1293" s="119"/>
      <c r="K1293" s="122"/>
      <c r="L1293" s="119"/>
      <c r="M1293" s="122"/>
      <c r="N1293" s="119"/>
      <c r="O1293" s="119"/>
      <c r="P1293" s="119"/>
      <c r="Q1293" s="180"/>
      <c r="R1293" s="123"/>
      <c r="S1293" s="119"/>
      <c r="T1293" s="132"/>
    </row>
    <row r="1294" spans="2:20" hidden="1">
      <c r="B1294" s="306" t="s">
        <v>0</v>
      </c>
      <c r="C1294" s="308">
        <v>46.38</v>
      </c>
      <c r="D1294" s="309">
        <f t="shared" ref="D1294:D1301" si="1401">100*C1294/$G$1262</f>
        <v>254.2763157894737</v>
      </c>
      <c r="E1294" s="350">
        <f>[107]Janeiro!$I$11</f>
        <v>48.633333333333333</v>
      </c>
      <c r="F1294" s="655">
        <f t="shared" ref="F1294:F1299" si="1402">100*E1294/$G$1262</f>
        <v>266.63011695906431</v>
      </c>
      <c r="H1294" s="119"/>
      <c r="I1294" s="122"/>
      <c r="J1294" s="119"/>
      <c r="K1294" s="122"/>
      <c r="L1294" s="119"/>
      <c r="M1294" s="122"/>
      <c r="N1294" s="119"/>
      <c r="O1294" s="119"/>
      <c r="P1294" s="119"/>
      <c r="Q1294" s="180"/>
      <c r="R1294" s="123"/>
      <c r="S1294" s="119"/>
      <c r="T1294" s="132"/>
    </row>
    <row r="1295" spans="2:20" hidden="1">
      <c r="B1295" s="310" t="s">
        <v>1</v>
      </c>
      <c r="C1295" s="312">
        <v>46.966666666666669</v>
      </c>
      <c r="D1295" s="313">
        <f t="shared" si="1401"/>
        <v>257.49269005847958</v>
      </c>
      <c r="E1295" s="656">
        <f>[107]Fevereiro!$I$11</f>
        <v>48.633333333333333</v>
      </c>
      <c r="F1295" s="313">
        <f t="shared" si="1402"/>
        <v>266.63011695906431</v>
      </c>
      <c r="H1295" s="119"/>
      <c r="I1295" s="122"/>
      <c r="J1295" s="119"/>
      <c r="K1295" s="122"/>
      <c r="L1295" s="119"/>
      <c r="M1295" s="122"/>
      <c r="N1295" s="119"/>
      <c r="O1295" s="119"/>
      <c r="P1295" s="119"/>
      <c r="Q1295" s="180"/>
      <c r="R1295" s="123"/>
      <c r="S1295" s="119"/>
      <c r="T1295" s="132"/>
    </row>
    <row r="1296" spans="2:20" hidden="1">
      <c r="B1296" s="310" t="s">
        <v>2</v>
      </c>
      <c r="C1296" s="312">
        <f>[116]Março!$I$11</f>
        <v>51.133333333333333</v>
      </c>
      <c r="D1296" s="313">
        <f t="shared" si="1401"/>
        <v>280.33625730994152</v>
      </c>
      <c r="E1296" s="656">
        <f>[107]Março!$I$11</f>
        <v>52.586666666666673</v>
      </c>
      <c r="F1296" s="313">
        <f t="shared" si="1402"/>
        <v>288.30409356725153</v>
      </c>
      <c r="H1296" s="119"/>
      <c r="I1296" s="122"/>
      <c r="J1296" s="119"/>
      <c r="K1296" s="122"/>
      <c r="L1296" s="119"/>
      <c r="M1296" s="122"/>
      <c r="N1296" s="119"/>
      <c r="O1296" s="119"/>
      <c r="P1296" s="119"/>
      <c r="Q1296" s="180"/>
      <c r="R1296" s="123"/>
      <c r="S1296" s="119"/>
      <c r="T1296" s="132"/>
    </row>
    <row r="1297" spans="2:20" hidden="1">
      <c r="B1297" s="310" t="s">
        <v>3</v>
      </c>
      <c r="C1297" s="312">
        <f>[116]Abril!$I$11</f>
        <v>51.133333333333333</v>
      </c>
      <c r="D1297" s="313">
        <f t="shared" si="1401"/>
        <v>280.33625730994152</v>
      </c>
      <c r="E1297" s="656">
        <f>[107]Abril!$I$11</f>
        <v>52.586666666666673</v>
      </c>
      <c r="F1297" s="313">
        <f t="shared" si="1402"/>
        <v>288.30409356725153</v>
      </c>
      <c r="H1297" s="119"/>
      <c r="I1297" s="122"/>
      <c r="J1297" s="119"/>
      <c r="K1297" s="122"/>
      <c r="L1297" s="119"/>
      <c r="M1297" s="122"/>
      <c r="N1297" s="119"/>
      <c r="O1297" s="119"/>
      <c r="P1297" s="119"/>
      <c r="Q1297" s="180"/>
      <c r="R1297" s="123"/>
      <c r="S1297" s="119"/>
      <c r="T1297" s="132"/>
    </row>
    <row r="1298" spans="2:20" hidden="1">
      <c r="B1298" s="310" t="s">
        <v>4</v>
      </c>
      <c r="C1298" s="312">
        <f>[116]Maio!$I$11</f>
        <v>51.133333333333333</v>
      </c>
      <c r="D1298" s="313">
        <f t="shared" si="1401"/>
        <v>280.33625730994152</v>
      </c>
      <c r="E1298" s="656">
        <f>[107]Maio!$I$11</f>
        <v>52.586666666666673</v>
      </c>
      <c r="F1298" s="313">
        <f t="shared" si="1402"/>
        <v>288.30409356725153</v>
      </c>
      <c r="H1298" s="119"/>
      <c r="I1298" s="122"/>
      <c r="J1298" s="119"/>
      <c r="K1298" s="122"/>
      <c r="L1298" s="119"/>
      <c r="M1298" s="122"/>
      <c r="N1298" s="119"/>
      <c r="O1298" s="119"/>
      <c r="P1298" s="119"/>
      <c r="Q1298" s="180"/>
      <c r="R1298" s="123"/>
      <c r="S1298" s="119"/>
      <c r="T1298" s="132"/>
    </row>
    <row r="1299" spans="2:20" hidden="1">
      <c r="B1299" s="310" t="s">
        <v>5</v>
      </c>
      <c r="C1299" s="312">
        <f>[116]Junho!$I$11</f>
        <v>51.133333333333333</v>
      </c>
      <c r="D1299" s="313">
        <f t="shared" si="1401"/>
        <v>280.33625730994152</v>
      </c>
      <c r="E1299" s="656">
        <f>[107]Junho!$I$11</f>
        <v>52.586666666666673</v>
      </c>
      <c r="F1299" s="313">
        <f t="shared" si="1402"/>
        <v>288.30409356725153</v>
      </c>
      <c r="H1299" s="119"/>
      <c r="I1299" s="122"/>
      <c r="J1299" s="119"/>
      <c r="K1299" s="122"/>
      <c r="L1299" s="119"/>
      <c r="M1299" s="122"/>
      <c r="N1299" s="119"/>
      <c r="O1299" s="119"/>
      <c r="P1299" s="119"/>
      <c r="Q1299" s="180"/>
      <c r="R1299" s="123"/>
      <c r="S1299" s="119"/>
      <c r="T1299" s="132"/>
    </row>
    <row r="1300" spans="2:20" hidden="1">
      <c r="B1300" s="310" t="s">
        <v>6</v>
      </c>
      <c r="C1300" s="312">
        <f>[116]Julho!$I$11</f>
        <v>47.800000000000004</v>
      </c>
      <c r="D1300" s="313">
        <f t="shared" si="1401"/>
        <v>262.06140350877195</v>
      </c>
      <c r="E1300" s="656">
        <f>[107]Julho!$I$11</f>
        <v>52.586666666666673</v>
      </c>
      <c r="F1300" s="313">
        <f t="shared" ref="F1300:F1305" si="1403">100*E1300/$G$1262</f>
        <v>288.30409356725153</v>
      </c>
      <c r="H1300" s="119"/>
      <c r="I1300" s="122"/>
      <c r="J1300" s="119"/>
      <c r="K1300" s="122"/>
      <c r="L1300" s="119"/>
      <c r="M1300" s="122"/>
      <c r="N1300" s="119"/>
      <c r="O1300" s="119"/>
      <c r="P1300" s="119"/>
      <c r="Q1300" s="180"/>
      <c r="R1300" s="123"/>
      <c r="S1300" s="119"/>
      <c r="T1300" s="132"/>
    </row>
    <row r="1301" spans="2:20" hidden="1">
      <c r="B1301" s="310" t="s">
        <v>7</v>
      </c>
      <c r="C1301" s="312">
        <f>[116]Agosto!$I$11</f>
        <v>47.800000000000004</v>
      </c>
      <c r="D1301" s="313">
        <f t="shared" si="1401"/>
        <v>262.06140350877195</v>
      </c>
      <c r="E1301" s="656">
        <f>[107]Agosto!$I$11</f>
        <v>52.753333333333337</v>
      </c>
      <c r="F1301" s="313">
        <f t="shared" si="1403"/>
        <v>289.21783625731001</v>
      </c>
      <c r="H1301" s="119"/>
      <c r="I1301" s="122"/>
      <c r="J1301" s="119"/>
      <c r="K1301" s="122"/>
      <c r="L1301" s="119"/>
      <c r="M1301" s="122"/>
      <c r="N1301" s="119"/>
      <c r="O1301" s="119"/>
      <c r="P1301" s="119"/>
      <c r="Q1301" s="180"/>
      <c r="R1301" s="123"/>
      <c r="S1301" s="119"/>
      <c r="T1301" s="132"/>
    </row>
    <row r="1302" spans="2:20" hidden="1">
      <c r="B1302" s="310" t="s">
        <v>8</v>
      </c>
      <c r="C1302" s="312">
        <f>[116]Setembro!$I$11</f>
        <v>47.800000000000004</v>
      </c>
      <c r="D1302" s="313">
        <f>100*C1302/$G$1262</f>
        <v>262.06140350877195</v>
      </c>
      <c r="E1302" s="656">
        <f>[107]Setembro!$I$11</f>
        <v>53.253333333333337</v>
      </c>
      <c r="F1302" s="313">
        <f t="shared" si="1403"/>
        <v>291.95906432748546</v>
      </c>
      <c r="H1302" s="119"/>
      <c r="I1302" s="122"/>
      <c r="J1302" s="119"/>
      <c r="K1302" s="122"/>
      <c r="L1302" s="119"/>
      <c r="M1302" s="122"/>
      <c r="N1302" s="119"/>
      <c r="O1302" s="119"/>
      <c r="P1302" s="119"/>
      <c r="Q1302" s="180"/>
      <c r="R1302" s="123"/>
      <c r="S1302" s="119"/>
      <c r="T1302" s="132"/>
    </row>
    <row r="1303" spans="2:20" hidden="1">
      <c r="B1303" s="310" t="s">
        <v>9</v>
      </c>
      <c r="C1303" s="312">
        <f>[116]Outubro!$I$11</f>
        <v>48.633333333333333</v>
      </c>
      <c r="D1303" s="313">
        <f>100*C1303/$G$1262</f>
        <v>266.63011695906431</v>
      </c>
      <c r="E1303" s="656">
        <f>[107]Outubro!$I$11</f>
        <v>53.253333333333337</v>
      </c>
      <c r="F1303" s="313">
        <f t="shared" si="1403"/>
        <v>291.95906432748546</v>
      </c>
      <c r="H1303" s="119"/>
      <c r="I1303" s="122"/>
      <c r="J1303" s="119"/>
      <c r="K1303" s="122"/>
      <c r="L1303" s="119"/>
      <c r="M1303" s="122"/>
      <c r="N1303" s="119"/>
      <c r="O1303" s="119"/>
      <c r="P1303" s="119"/>
      <c r="Q1303" s="180"/>
      <c r="R1303" s="123"/>
      <c r="S1303" s="119"/>
      <c r="T1303" s="132"/>
    </row>
    <row r="1304" spans="2:20" hidden="1">
      <c r="B1304" s="310" t="s">
        <v>10</v>
      </c>
      <c r="C1304" s="312">
        <f>[116]Novembro!$I$11</f>
        <v>48.633333333333333</v>
      </c>
      <c r="D1304" s="313">
        <f>100*C1304/$G$1262</f>
        <v>266.63011695906431</v>
      </c>
      <c r="E1304" s="656">
        <f>[107]Novembro!$I$11</f>
        <v>53.253333333333337</v>
      </c>
      <c r="F1304" s="313">
        <f t="shared" si="1403"/>
        <v>291.95906432748546</v>
      </c>
      <c r="H1304" s="119"/>
      <c r="I1304" s="122"/>
      <c r="J1304" s="119"/>
      <c r="K1304" s="122"/>
      <c r="L1304" s="119"/>
      <c r="M1304" s="122"/>
      <c r="N1304" s="119"/>
      <c r="O1304" s="119"/>
      <c r="P1304" s="119"/>
      <c r="Q1304" s="180"/>
      <c r="R1304" s="123"/>
      <c r="S1304" s="119"/>
      <c r="T1304" s="132"/>
    </row>
    <row r="1305" spans="2:20" ht="15.75" hidden="1" thickBot="1">
      <c r="B1305" s="314" t="s">
        <v>11</v>
      </c>
      <c r="C1305" s="316">
        <f>[116]Dezembro!$I$11</f>
        <v>48.633333333333333</v>
      </c>
      <c r="D1305" s="317">
        <f>100*C1305/$G$1262</f>
        <v>266.63011695906431</v>
      </c>
      <c r="E1305" s="680">
        <f>[107]Dezembro!$I$11</f>
        <v>53.253333333333337</v>
      </c>
      <c r="F1305" s="317">
        <f t="shared" si="1403"/>
        <v>291.95906432748546</v>
      </c>
      <c r="H1305" s="119"/>
      <c r="I1305" s="122"/>
      <c r="J1305" s="119"/>
      <c r="K1305" s="122"/>
      <c r="L1305" s="119"/>
      <c r="M1305" s="122"/>
      <c r="N1305" s="119"/>
      <c r="O1305" s="119"/>
      <c r="P1305" s="119"/>
      <c r="Q1305" s="180"/>
      <c r="R1305" s="123"/>
      <c r="S1305" s="119"/>
      <c r="T1305" s="132"/>
    </row>
    <row r="1306" spans="2:20" hidden="1">
      <c r="B1306" s="119"/>
      <c r="C1306" s="118"/>
      <c r="D1306" s="124"/>
      <c r="E1306" s="118"/>
      <c r="F1306" s="119"/>
      <c r="G1306" s="122"/>
      <c r="H1306" s="119"/>
      <c r="I1306" s="122"/>
      <c r="J1306" s="119"/>
      <c r="K1306" s="122"/>
      <c r="L1306" s="119"/>
      <c r="M1306" s="122"/>
      <c r="N1306" s="119"/>
      <c r="O1306" s="119"/>
      <c r="P1306" s="119"/>
      <c r="Q1306" s="180"/>
      <c r="R1306" s="123"/>
      <c r="S1306" s="119"/>
      <c r="T1306" s="132"/>
    </row>
    <row r="1307" spans="2:20" hidden="1">
      <c r="B1307" s="198"/>
      <c r="C1307" s="199"/>
      <c r="D1307" s="203"/>
      <c r="E1307" s="199"/>
      <c r="F1307" s="198"/>
      <c r="G1307" s="202"/>
      <c r="H1307" s="198"/>
      <c r="I1307" s="202"/>
      <c r="J1307" s="198"/>
      <c r="K1307" s="202"/>
      <c r="L1307" s="198"/>
      <c r="M1307" s="202"/>
      <c r="N1307" s="198"/>
      <c r="O1307" s="119"/>
      <c r="P1307" s="119"/>
      <c r="Q1307" s="180"/>
      <c r="R1307" s="123"/>
      <c r="S1307" s="119"/>
      <c r="T1307" s="132"/>
    </row>
    <row r="1308" spans="2:20" ht="15.75" hidden="1" thickBot="1">
      <c r="B1308" s="119"/>
      <c r="C1308" s="118"/>
      <c r="D1308" s="124"/>
      <c r="E1308" s="118"/>
      <c r="F1308" s="119"/>
      <c r="G1308" s="122"/>
      <c r="H1308" s="119"/>
      <c r="I1308" s="122"/>
      <c r="J1308" s="119"/>
      <c r="K1308" s="122"/>
      <c r="L1308" s="119"/>
      <c r="M1308" s="122"/>
      <c r="N1308" s="119"/>
      <c r="O1308" s="119"/>
      <c r="P1308" s="119"/>
      <c r="Q1308" s="180"/>
      <c r="R1308" s="123"/>
      <c r="S1308" s="119"/>
      <c r="T1308" s="132"/>
    </row>
    <row r="1309" spans="2:20" s="523" customFormat="1" ht="18.75" hidden="1" thickBot="1">
      <c r="B1309" s="564" t="s">
        <v>51</v>
      </c>
      <c r="C1309" s="521"/>
      <c r="D1309" s="358"/>
      <c r="E1309" s="358"/>
      <c r="F1309" s="541"/>
      <c r="G1309" s="358"/>
      <c r="H1309" s="361">
        <v>9.34</v>
      </c>
      <c r="I1309" s="362" t="s">
        <v>20</v>
      </c>
      <c r="J1309" s="358"/>
      <c r="K1309" s="364"/>
      <c r="L1309" s="362" t="s">
        <v>42</v>
      </c>
      <c r="M1309" s="364"/>
      <c r="N1309" s="359"/>
      <c r="Q1309" s="605"/>
      <c r="R1309" s="606"/>
      <c r="T1309" s="607"/>
    </row>
    <row r="1310" spans="2:20" ht="15.75" hidden="1" thickBot="1">
      <c r="B1310" s="1306">
        <v>2000</v>
      </c>
      <c r="C1310" s="1307"/>
      <c r="D1310" s="336" t="s">
        <v>15</v>
      </c>
      <c r="E1310" s="336">
        <v>2001</v>
      </c>
      <c r="F1310" s="336" t="s">
        <v>15</v>
      </c>
      <c r="G1310" s="336">
        <v>2002</v>
      </c>
      <c r="H1310" s="336" t="s">
        <v>15</v>
      </c>
      <c r="I1310" s="336">
        <v>2003</v>
      </c>
      <c r="J1310" s="336" t="s">
        <v>15</v>
      </c>
      <c r="K1310" s="336">
        <v>2004</v>
      </c>
      <c r="L1310" s="336" t="s">
        <v>15</v>
      </c>
      <c r="M1310" s="336">
        <v>2005</v>
      </c>
      <c r="N1310" s="354" t="s">
        <v>15</v>
      </c>
      <c r="O1310" s="124"/>
      <c r="P1310" s="124"/>
      <c r="Q1310" s="180"/>
      <c r="R1310" s="123"/>
      <c r="S1310" s="119"/>
      <c r="T1310" s="132"/>
    </row>
    <row r="1311" spans="2:20" hidden="1">
      <c r="B1311" s="306" t="s">
        <v>0</v>
      </c>
      <c r="C1311" s="307"/>
      <c r="D1311" s="308"/>
      <c r="E1311" s="307">
        <v>10</v>
      </c>
      <c r="F1311" s="308">
        <f t="shared" ref="F1311:F1317" si="1404">100*E1311/$H$1309</f>
        <v>107.06638115631692</v>
      </c>
      <c r="G1311" s="307">
        <v>11.2</v>
      </c>
      <c r="H1311" s="308">
        <f t="shared" ref="H1311:H1322" si="1405">100*G1311/$H$1309</f>
        <v>119.91434689507494</v>
      </c>
      <c r="I1311" s="307">
        <v>14.42</v>
      </c>
      <c r="J1311" s="308">
        <f t="shared" ref="J1311:J1322" si="1406">100*I1311/$H$1309</f>
        <v>154.38972162740899</v>
      </c>
      <c r="K1311" s="307">
        <v>15.32</v>
      </c>
      <c r="L1311" s="308">
        <f t="shared" ref="L1311:L1322" si="1407">100*K1311/$H$1309</f>
        <v>164.02569593147751</v>
      </c>
      <c r="M1311" s="307">
        <v>19.53</v>
      </c>
      <c r="N1311" s="309">
        <f t="shared" ref="N1311:N1322" si="1408">100*M1311/$H$1309</f>
        <v>209.10064239828694</v>
      </c>
      <c r="O1311" s="123"/>
      <c r="P1311" s="123"/>
      <c r="Q1311" s="180"/>
      <c r="R1311" s="123"/>
      <c r="S1311" s="119"/>
      <c r="T1311" s="132"/>
    </row>
    <row r="1312" spans="2:20" hidden="1">
      <c r="B1312" s="310" t="s">
        <v>1</v>
      </c>
      <c r="C1312" s="311"/>
      <c r="D1312" s="312"/>
      <c r="E1312" s="311">
        <v>11</v>
      </c>
      <c r="F1312" s="312">
        <f t="shared" si="1404"/>
        <v>117.77301927194861</v>
      </c>
      <c r="G1312" s="311">
        <v>10.210000000000001</v>
      </c>
      <c r="H1312" s="312">
        <f t="shared" si="1405"/>
        <v>109.31477516059958</v>
      </c>
      <c r="I1312" s="311">
        <v>13.26</v>
      </c>
      <c r="J1312" s="312">
        <f t="shared" si="1406"/>
        <v>141.97002141327624</v>
      </c>
      <c r="K1312" s="311">
        <v>19.84</v>
      </c>
      <c r="L1312" s="312">
        <f t="shared" si="1407"/>
        <v>212.41970021413277</v>
      </c>
      <c r="M1312" s="311">
        <v>20.13</v>
      </c>
      <c r="N1312" s="313">
        <f t="shared" si="1408"/>
        <v>215.52462526766595</v>
      </c>
      <c r="O1312" s="123"/>
      <c r="P1312" s="123"/>
      <c r="Q1312" s="180"/>
      <c r="R1312" s="123"/>
      <c r="S1312" s="119"/>
      <c r="T1312" s="132"/>
    </row>
    <row r="1313" spans="2:20" hidden="1">
      <c r="B1313" s="310" t="s">
        <v>2</v>
      </c>
      <c r="C1313" s="311"/>
      <c r="D1313" s="312"/>
      <c r="E1313" s="311">
        <v>11</v>
      </c>
      <c r="F1313" s="312">
        <f t="shared" si="1404"/>
        <v>117.77301927194861</v>
      </c>
      <c r="G1313" s="311">
        <v>12.34</v>
      </c>
      <c r="H1313" s="312">
        <f t="shared" si="1405"/>
        <v>132.11991434689509</v>
      </c>
      <c r="I1313" s="311">
        <v>17.2</v>
      </c>
      <c r="J1313" s="312">
        <f t="shared" si="1406"/>
        <v>184.15417558886509</v>
      </c>
      <c r="K1313" s="311">
        <v>20</v>
      </c>
      <c r="L1313" s="312">
        <f t="shared" si="1407"/>
        <v>214.13276231263384</v>
      </c>
      <c r="M1313" s="311">
        <v>20.94</v>
      </c>
      <c r="N1313" s="313">
        <f t="shared" si="1408"/>
        <v>224.19700214132763</v>
      </c>
      <c r="O1313" s="123"/>
      <c r="P1313" s="123"/>
      <c r="Q1313" s="180"/>
      <c r="R1313" s="123"/>
      <c r="S1313" s="119"/>
      <c r="T1313" s="132"/>
    </row>
    <row r="1314" spans="2:20" hidden="1">
      <c r="B1314" s="310" t="s">
        <v>3</v>
      </c>
      <c r="C1314" s="311">
        <v>9.34</v>
      </c>
      <c r="D1314" s="312">
        <v>100</v>
      </c>
      <c r="E1314" s="311">
        <v>8.5</v>
      </c>
      <c r="F1314" s="312">
        <f t="shared" si="1404"/>
        <v>91.006423982869379</v>
      </c>
      <c r="G1314" s="311">
        <v>9.7200000000000006</v>
      </c>
      <c r="H1314" s="312">
        <f t="shared" si="1405"/>
        <v>104.06852248394006</v>
      </c>
      <c r="I1314" s="311">
        <v>17.5</v>
      </c>
      <c r="J1314" s="312">
        <f t="shared" si="1406"/>
        <v>187.3661670235546</v>
      </c>
      <c r="K1314" s="311">
        <v>21.9</v>
      </c>
      <c r="L1314" s="312">
        <f t="shared" si="1407"/>
        <v>234.47537473233405</v>
      </c>
      <c r="M1314" s="311">
        <v>22.1</v>
      </c>
      <c r="N1314" s="313">
        <f t="shared" si="1408"/>
        <v>236.61670235546038</v>
      </c>
      <c r="O1314" s="123"/>
      <c r="P1314" s="123"/>
      <c r="Q1314" s="180"/>
      <c r="R1314" s="123"/>
      <c r="S1314" s="119"/>
      <c r="T1314" s="132"/>
    </row>
    <row r="1315" spans="2:20" hidden="1">
      <c r="B1315" s="310" t="s">
        <v>4</v>
      </c>
      <c r="C1315" s="311">
        <v>9.82</v>
      </c>
      <c r="D1315" s="312">
        <f t="shared" ref="D1315:D1322" si="1409">100*C1315/9.34</f>
        <v>105.13918629550321</v>
      </c>
      <c r="E1315" s="311">
        <v>12.29</v>
      </c>
      <c r="F1315" s="312">
        <f t="shared" si="1404"/>
        <v>131.5845824411135</v>
      </c>
      <c r="G1315" s="311">
        <v>11.2</v>
      </c>
      <c r="H1315" s="312">
        <f t="shared" si="1405"/>
        <v>119.91434689507494</v>
      </c>
      <c r="I1315" s="311">
        <v>14.25</v>
      </c>
      <c r="J1315" s="312">
        <f t="shared" si="1406"/>
        <v>152.56959314775162</v>
      </c>
      <c r="K1315" s="311">
        <v>19.38</v>
      </c>
      <c r="L1315" s="312">
        <f t="shared" si="1407"/>
        <v>207.4946466809422</v>
      </c>
      <c r="M1315" s="311">
        <v>19.579999999999998</v>
      </c>
      <c r="N1315" s="313">
        <f t="shared" si="1408"/>
        <v>209.6359743040685</v>
      </c>
      <c r="O1315" s="123"/>
      <c r="P1315" s="123"/>
      <c r="Q1315" s="180"/>
      <c r="R1315" s="123"/>
      <c r="S1315" s="119"/>
      <c r="T1315" s="132"/>
    </row>
    <row r="1316" spans="2:20" hidden="1">
      <c r="B1316" s="310" t="s">
        <v>5</v>
      </c>
      <c r="C1316" s="311">
        <v>7.96</v>
      </c>
      <c r="D1316" s="312">
        <f t="shared" si="1409"/>
        <v>85.224839400428266</v>
      </c>
      <c r="E1316" s="311">
        <v>9.52</v>
      </c>
      <c r="F1316" s="312">
        <f t="shared" si="1404"/>
        <v>101.9271948608137</v>
      </c>
      <c r="G1316" s="311">
        <v>12.1</v>
      </c>
      <c r="H1316" s="312">
        <f t="shared" si="1405"/>
        <v>129.55032119914347</v>
      </c>
      <c r="I1316" s="311">
        <v>15.9</v>
      </c>
      <c r="J1316" s="312">
        <f t="shared" si="1406"/>
        <v>170.2355460385439</v>
      </c>
      <c r="K1316" s="311">
        <v>20.6</v>
      </c>
      <c r="L1316" s="312">
        <f t="shared" si="1407"/>
        <v>220.55674518201286</v>
      </c>
      <c r="M1316" s="311">
        <v>20.38</v>
      </c>
      <c r="N1316" s="313">
        <f t="shared" si="1408"/>
        <v>218.20128479657387</v>
      </c>
      <c r="O1316" s="123"/>
      <c r="P1316" s="123"/>
      <c r="Q1316" s="180"/>
      <c r="R1316" s="123"/>
      <c r="S1316" s="119"/>
      <c r="T1316" s="132"/>
    </row>
    <row r="1317" spans="2:20" hidden="1">
      <c r="B1317" s="310" t="s">
        <v>6</v>
      </c>
      <c r="C1317" s="311">
        <v>10.08</v>
      </c>
      <c r="D1317" s="312">
        <f t="shared" si="1409"/>
        <v>107.92291220556746</v>
      </c>
      <c r="E1317" s="311">
        <v>10.3</v>
      </c>
      <c r="F1317" s="312">
        <f t="shared" si="1404"/>
        <v>110.27837259100643</v>
      </c>
      <c r="G1317" s="311">
        <v>10.97</v>
      </c>
      <c r="H1317" s="312">
        <f t="shared" si="1405"/>
        <v>117.45182012847965</v>
      </c>
      <c r="I1317" s="311">
        <v>14.75</v>
      </c>
      <c r="J1317" s="312">
        <f t="shared" si="1406"/>
        <v>157.92291220556746</v>
      </c>
      <c r="K1317" s="311">
        <v>19.25</v>
      </c>
      <c r="L1317" s="312">
        <f t="shared" si="1407"/>
        <v>206.10278372591006</v>
      </c>
      <c r="M1317" s="311">
        <v>16.329999999999998</v>
      </c>
      <c r="N1317" s="313">
        <f t="shared" si="1408"/>
        <v>174.83940042826549</v>
      </c>
      <c r="O1317" s="123"/>
      <c r="P1317" s="123"/>
      <c r="Q1317" s="180"/>
      <c r="R1317" s="123"/>
      <c r="S1317" s="119"/>
      <c r="T1317" s="132"/>
    </row>
    <row r="1318" spans="2:20" hidden="1">
      <c r="B1318" s="310" t="s">
        <v>7</v>
      </c>
      <c r="C1318" s="311">
        <v>10.6</v>
      </c>
      <c r="D1318" s="312">
        <f t="shared" si="1409"/>
        <v>113.49036402569594</v>
      </c>
      <c r="E1318" s="311"/>
      <c r="F1318" s="312"/>
      <c r="G1318" s="311">
        <v>13.5</v>
      </c>
      <c r="H1318" s="312">
        <f t="shared" si="1405"/>
        <v>144.53961456102783</v>
      </c>
      <c r="I1318" s="311">
        <v>15.38</v>
      </c>
      <c r="J1318" s="312">
        <f t="shared" si="1406"/>
        <v>164.66809421841543</v>
      </c>
      <c r="K1318" s="311">
        <v>19.8</v>
      </c>
      <c r="L1318" s="312">
        <f t="shared" si="1407"/>
        <v>211.99143468950749</v>
      </c>
      <c r="M1318" s="311">
        <v>16.54</v>
      </c>
      <c r="N1318" s="313">
        <f t="shared" si="1408"/>
        <v>177.08779443254818</v>
      </c>
      <c r="O1318" s="123"/>
      <c r="P1318" s="123"/>
      <c r="Q1318" s="180"/>
      <c r="R1318" s="123"/>
      <c r="S1318" s="119"/>
      <c r="T1318" s="132"/>
    </row>
    <row r="1319" spans="2:20" hidden="1">
      <c r="B1319" s="310" t="s">
        <v>8</v>
      </c>
      <c r="C1319" s="311">
        <v>10.8</v>
      </c>
      <c r="D1319" s="312">
        <f t="shared" si="1409"/>
        <v>115.63169164882227</v>
      </c>
      <c r="E1319" s="311">
        <v>7.68</v>
      </c>
      <c r="F1319" s="312">
        <f>100*E1319/$H$1309</f>
        <v>82.226980728051387</v>
      </c>
      <c r="G1319" s="311">
        <v>13.67</v>
      </c>
      <c r="H1319" s="312">
        <f t="shared" si="1405"/>
        <v>146.35974304068523</v>
      </c>
      <c r="I1319" s="311">
        <v>14.69</v>
      </c>
      <c r="J1319" s="312">
        <f t="shared" si="1406"/>
        <v>157.28051391862957</v>
      </c>
      <c r="K1319" s="311">
        <v>19.88</v>
      </c>
      <c r="L1319" s="312">
        <f t="shared" si="1407"/>
        <v>212.84796573875803</v>
      </c>
      <c r="M1319" s="311">
        <v>16.829999999999998</v>
      </c>
      <c r="N1319" s="313">
        <f t="shared" si="1408"/>
        <v>180.19271948608136</v>
      </c>
      <c r="O1319" s="123"/>
      <c r="P1319" s="123"/>
      <c r="Q1319" s="180"/>
      <c r="R1319" s="123"/>
      <c r="S1319" s="119"/>
      <c r="T1319" s="132"/>
    </row>
    <row r="1320" spans="2:20" hidden="1">
      <c r="B1320" s="310" t="s">
        <v>9</v>
      </c>
      <c r="C1320" s="311">
        <v>8.8699999999999992</v>
      </c>
      <c r="D1320" s="312">
        <f t="shared" si="1409"/>
        <v>94.967880085653093</v>
      </c>
      <c r="E1320" s="311">
        <v>10.25</v>
      </c>
      <c r="F1320" s="312">
        <f>100*E1320/$H$1309</f>
        <v>109.74304068522484</v>
      </c>
      <c r="G1320" s="311">
        <v>13.92</v>
      </c>
      <c r="H1320" s="312">
        <f t="shared" si="1405"/>
        <v>149.03640256959315</v>
      </c>
      <c r="I1320" s="311">
        <v>14.68</v>
      </c>
      <c r="J1320" s="312">
        <f t="shared" si="1406"/>
        <v>157.17344753747324</v>
      </c>
      <c r="K1320" s="311">
        <v>20.2</v>
      </c>
      <c r="L1320" s="312">
        <f t="shared" si="1407"/>
        <v>216.27408993576017</v>
      </c>
      <c r="M1320" s="311">
        <v>14.86</v>
      </c>
      <c r="N1320" s="313">
        <f t="shared" si="1408"/>
        <v>159.10064239828694</v>
      </c>
      <c r="O1320" s="123"/>
      <c r="P1320" s="123"/>
      <c r="Q1320" s="180"/>
      <c r="R1320" s="123"/>
      <c r="S1320" s="119"/>
      <c r="T1320" s="132"/>
    </row>
    <row r="1321" spans="2:20" hidden="1">
      <c r="B1321" s="310" t="s">
        <v>10</v>
      </c>
      <c r="C1321" s="311">
        <v>10.98</v>
      </c>
      <c r="D1321" s="312">
        <f t="shared" si="1409"/>
        <v>117.55888650963598</v>
      </c>
      <c r="E1321" s="311">
        <v>12.12</v>
      </c>
      <c r="F1321" s="312">
        <f>100*E1321/$H$1309</f>
        <v>129.7644539614561</v>
      </c>
      <c r="G1321" s="311">
        <v>14.3</v>
      </c>
      <c r="H1321" s="312">
        <f t="shared" si="1405"/>
        <v>153.10492505353318</v>
      </c>
      <c r="I1321" s="311">
        <v>12.38</v>
      </c>
      <c r="J1321" s="312">
        <f t="shared" si="1406"/>
        <v>132.54817987152035</v>
      </c>
      <c r="K1321" s="311">
        <v>20.56</v>
      </c>
      <c r="L1321" s="312">
        <f t="shared" si="1407"/>
        <v>220.12847965738757</v>
      </c>
      <c r="M1321" s="311">
        <v>14.43</v>
      </c>
      <c r="N1321" s="313">
        <f t="shared" si="1408"/>
        <v>154.49678800856532</v>
      </c>
      <c r="O1321" s="123"/>
      <c r="P1321" s="123"/>
      <c r="Q1321" s="180"/>
      <c r="R1321" s="123"/>
      <c r="S1321" s="119"/>
      <c r="T1321" s="132"/>
    </row>
    <row r="1322" spans="2:20" ht="15.75" hidden="1" thickBot="1">
      <c r="B1322" s="314" t="s">
        <v>11</v>
      </c>
      <c r="C1322" s="315">
        <v>9.02</v>
      </c>
      <c r="D1322" s="316">
        <f t="shared" si="1409"/>
        <v>96.573875802997861</v>
      </c>
      <c r="E1322" s="315">
        <v>10.8</v>
      </c>
      <c r="F1322" s="316">
        <f>100*E1322/$H$1309</f>
        <v>115.63169164882227</v>
      </c>
      <c r="G1322" s="315">
        <v>12.8</v>
      </c>
      <c r="H1322" s="316">
        <f t="shared" si="1405"/>
        <v>137.04496788008566</v>
      </c>
      <c r="I1322" s="315">
        <v>11.75</v>
      </c>
      <c r="J1322" s="316">
        <f t="shared" si="1406"/>
        <v>125.80299785867238</v>
      </c>
      <c r="K1322" s="315">
        <v>19.940000000000001</v>
      </c>
      <c r="L1322" s="316">
        <f t="shared" si="1407"/>
        <v>213.49036402569595</v>
      </c>
      <c r="M1322" s="315">
        <v>15.77</v>
      </c>
      <c r="N1322" s="317">
        <f t="shared" si="1408"/>
        <v>168.84368308351179</v>
      </c>
      <c r="O1322" s="123"/>
      <c r="P1322" s="123"/>
      <c r="Q1322" s="180"/>
      <c r="R1322" s="123"/>
      <c r="S1322" s="119"/>
      <c r="T1322" s="132"/>
    </row>
    <row r="1323" spans="2:20" ht="15.75" hidden="1" thickBot="1">
      <c r="C1323" s="118"/>
      <c r="D1323" s="124"/>
      <c r="E1323" s="118"/>
      <c r="F1323" s="132"/>
      <c r="G1323" s="122"/>
      <c r="H1323" s="132"/>
      <c r="I1323" s="122"/>
      <c r="J1323" s="123"/>
      <c r="K1323" s="118"/>
      <c r="L1323" s="132"/>
      <c r="M1323" s="122"/>
      <c r="N1323" s="132"/>
      <c r="O1323" s="132"/>
      <c r="P1323" s="132"/>
      <c r="Q1323" s="180"/>
      <c r="R1323" s="123"/>
      <c r="S1323" s="119"/>
      <c r="T1323" s="132"/>
    </row>
    <row r="1324" spans="2:20" ht="18.75" hidden="1" thickBot="1">
      <c r="B1324" s="564" t="s">
        <v>51</v>
      </c>
      <c r="C1324" s="521"/>
      <c r="D1324" s="358"/>
      <c r="E1324" s="358"/>
      <c r="F1324" s="541"/>
      <c r="G1324" s="358"/>
      <c r="H1324" s="361">
        <v>9.34</v>
      </c>
      <c r="I1324" s="362" t="s">
        <v>20</v>
      </c>
      <c r="J1324" s="358"/>
      <c r="K1324" s="364"/>
      <c r="L1324" s="362" t="s">
        <v>42</v>
      </c>
      <c r="M1324" s="364"/>
      <c r="N1324" s="359"/>
      <c r="O1324" s="119"/>
      <c r="P1324" s="119"/>
      <c r="Q1324" s="180"/>
      <c r="R1324" s="123"/>
      <c r="S1324" s="119"/>
      <c r="T1324" s="132"/>
    </row>
    <row r="1325" spans="2:20" ht="15.75" hidden="1" thickBot="1">
      <c r="B1325" s="1306">
        <v>2006</v>
      </c>
      <c r="C1325" s="1307"/>
      <c r="D1325" s="336" t="s">
        <v>15</v>
      </c>
      <c r="E1325" s="336">
        <v>2007</v>
      </c>
      <c r="F1325" s="336" t="s">
        <v>15</v>
      </c>
      <c r="G1325" s="336">
        <v>2008</v>
      </c>
      <c r="H1325" s="336" t="s">
        <v>15</v>
      </c>
      <c r="I1325" s="336">
        <v>2009</v>
      </c>
      <c r="J1325" s="336" t="s">
        <v>15</v>
      </c>
      <c r="K1325" s="336">
        <v>2010</v>
      </c>
      <c r="L1325" s="336" t="s">
        <v>15</v>
      </c>
      <c r="M1325" s="336">
        <v>2011</v>
      </c>
      <c r="N1325" s="354" t="s">
        <v>15</v>
      </c>
      <c r="O1325" s="124"/>
      <c r="P1325" s="124"/>
      <c r="Q1325" s="180"/>
      <c r="R1325" s="123"/>
      <c r="S1325" s="119"/>
      <c r="T1325" s="132"/>
    </row>
    <row r="1326" spans="2:20" hidden="1">
      <c r="B1326" s="398" t="s">
        <v>0</v>
      </c>
      <c r="C1326" s="401">
        <v>14.89</v>
      </c>
      <c r="D1326" s="488">
        <f>100*C1326/$H$1309</f>
        <v>159.4218415417559</v>
      </c>
      <c r="E1326" s="401">
        <v>16.71</v>
      </c>
      <c r="F1326" s="488">
        <f t="shared" ref="F1326:F1337" si="1410">100*E1326/$H$1309</f>
        <v>178.90792291220558</v>
      </c>
      <c r="G1326" s="401">
        <v>15.2</v>
      </c>
      <c r="H1326" s="488">
        <f t="shared" ref="H1326:H1337" si="1411">100*G1326/$H$1309</f>
        <v>162.74089935760171</v>
      </c>
      <c r="I1326" s="401">
        <v>18.071428571428573</v>
      </c>
      <c r="J1326" s="488">
        <f t="shared" ref="J1326:J1337" si="1412">100*I1326/$H$1309</f>
        <v>193.48424594677275</v>
      </c>
      <c r="K1326" s="401">
        <v>19</v>
      </c>
      <c r="L1326" s="488">
        <f t="shared" ref="L1326:L1337" si="1413">100*K1326/$H$1309</f>
        <v>203.42612419700214</v>
      </c>
      <c r="M1326" s="401">
        <v>23.094000000000001</v>
      </c>
      <c r="N1326" s="490">
        <f t="shared" ref="N1326:N1337" si="1414">100*M1326/$H$1309</f>
        <v>247.25910064239829</v>
      </c>
      <c r="O1326" s="123"/>
      <c r="P1326" s="123"/>
      <c r="Q1326" s="180"/>
      <c r="R1326" s="123"/>
      <c r="S1326" s="119"/>
      <c r="T1326" s="132"/>
    </row>
    <row r="1327" spans="2:20" hidden="1">
      <c r="B1327" s="403" t="s">
        <v>1</v>
      </c>
      <c r="C1327" s="406">
        <v>15.17</v>
      </c>
      <c r="D1327" s="411">
        <f>100*C1327/$H$1309</f>
        <v>162.41970021413277</v>
      </c>
      <c r="E1327" s="406">
        <v>15.41</v>
      </c>
      <c r="F1327" s="411">
        <f t="shared" si="1410"/>
        <v>164.98929336188436</v>
      </c>
      <c r="G1327" s="406">
        <v>16.333333333333332</v>
      </c>
      <c r="H1327" s="411">
        <f t="shared" si="1411"/>
        <v>174.8750892219843</v>
      </c>
      <c r="I1327" s="406">
        <v>18.100000000000001</v>
      </c>
      <c r="J1327" s="411">
        <f t="shared" si="1412"/>
        <v>193.79014989293364</v>
      </c>
      <c r="K1327" s="406">
        <v>19.833333333333332</v>
      </c>
      <c r="L1327" s="411">
        <f t="shared" si="1413"/>
        <v>212.34832262669522</v>
      </c>
      <c r="M1327" s="406">
        <v>23.094000000000001</v>
      </c>
      <c r="N1327" s="491">
        <f t="shared" si="1414"/>
        <v>247.25910064239829</v>
      </c>
      <c r="O1327" s="123"/>
      <c r="P1327" s="123"/>
      <c r="Q1327" s="180"/>
      <c r="R1327" s="123"/>
      <c r="S1327" s="119"/>
      <c r="T1327" s="132"/>
    </row>
    <row r="1328" spans="2:20" hidden="1">
      <c r="B1328" s="403" t="s">
        <v>2</v>
      </c>
      <c r="C1328" s="406">
        <v>14.72</v>
      </c>
      <c r="D1328" s="411">
        <f>100*C1328/$H$1309</f>
        <v>157.6017130620985</v>
      </c>
      <c r="E1328" s="406">
        <v>16</v>
      </c>
      <c r="F1328" s="411">
        <f t="shared" si="1410"/>
        <v>171.30620985010708</v>
      </c>
      <c r="G1328" s="406">
        <v>16.25</v>
      </c>
      <c r="H1328" s="411">
        <f t="shared" si="1411"/>
        <v>173.982869379015</v>
      </c>
      <c r="I1328" s="406">
        <v>18.04</v>
      </c>
      <c r="J1328" s="411">
        <f t="shared" si="1412"/>
        <v>193.14775160599572</v>
      </c>
      <c r="K1328" s="406">
        <v>19.833333333333332</v>
      </c>
      <c r="L1328" s="411">
        <f t="shared" si="1413"/>
        <v>212.34832262669522</v>
      </c>
      <c r="M1328" s="406">
        <v>23.094000000000001</v>
      </c>
      <c r="N1328" s="491">
        <f t="shared" si="1414"/>
        <v>247.25910064239829</v>
      </c>
      <c r="O1328" s="123"/>
      <c r="P1328" s="123"/>
      <c r="Q1328" s="180"/>
      <c r="R1328" s="123"/>
      <c r="S1328" s="119"/>
      <c r="T1328" s="132"/>
    </row>
    <row r="1329" spans="2:20" hidden="1">
      <c r="B1329" s="403" t="s">
        <v>3</v>
      </c>
      <c r="C1329" s="406">
        <v>14.26</v>
      </c>
      <c r="D1329" s="411">
        <f>100*C1329/$H$1309</f>
        <v>152.67665952890792</v>
      </c>
      <c r="E1329" s="406">
        <v>17.399999999999999</v>
      </c>
      <c r="F1329" s="411">
        <f t="shared" si="1410"/>
        <v>186.29550321199142</v>
      </c>
      <c r="G1329" s="406">
        <v>16.342857142857145</v>
      </c>
      <c r="H1329" s="411">
        <f t="shared" si="1411"/>
        <v>174.97705720403795</v>
      </c>
      <c r="I1329" s="406">
        <v>18.04</v>
      </c>
      <c r="J1329" s="411">
        <f t="shared" si="1412"/>
        <v>193.14775160599572</v>
      </c>
      <c r="K1329" s="406">
        <v>18.829999999999998</v>
      </c>
      <c r="L1329" s="411">
        <f t="shared" si="1413"/>
        <v>201.60599571734474</v>
      </c>
      <c r="M1329" s="406">
        <v>23.094000000000001</v>
      </c>
      <c r="N1329" s="491">
        <f t="shared" si="1414"/>
        <v>247.25910064239829</v>
      </c>
      <c r="O1329" s="123"/>
      <c r="P1329" s="123"/>
      <c r="Q1329" s="180"/>
      <c r="R1329" s="123"/>
      <c r="S1329" s="119"/>
      <c r="T1329" s="132"/>
    </row>
    <row r="1330" spans="2:20" hidden="1">
      <c r="B1330" s="403" t="s">
        <v>4</v>
      </c>
      <c r="C1330" s="406">
        <v>14.21</v>
      </c>
      <c r="D1330" s="411">
        <f t="shared" ref="D1330:D1337" si="1415">100*C1330/9.34</f>
        <v>152.14132762312633</v>
      </c>
      <c r="E1330" s="406">
        <v>16.8</v>
      </c>
      <c r="F1330" s="411">
        <f t="shared" si="1410"/>
        <v>179.87152034261243</v>
      </c>
      <c r="G1330" s="406">
        <v>17</v>
      </c>
      <c r="H1330" s="411">
        <f t="shared" si="1411"/>
        <v>182.01284796573876</v>
      </c>
      <c r="I1330" s="406">
        <v>18.100000000000001</v>
      </c>
      <c r="J1330" s="411">
        <f t="shared" si="1412"/>
        <v>193.79014989293364</v>
      </c>
      <c r="K1330" s="406">
        <v>19.100000000000001</v>
      </c>
      <c r="L1330" s="411">
        <f t="shared" si="1413"/>
        <v>204.49678800856535</v>
      </c>
      <c r="M1330" s="406">
        <v>23.22</v>
      </c>
      <c r="N1330" s="491">
        <f t="shared" si="1414"/>
        <v>248.60813704496789</v>
      </c>
      <c r="O1330" s="123"/>
      <c r="P1330" s="123"/>
      <c r="Q1330" s="180"/>
      <c r="R1330" s="123"/>
      <c r="S1330" s="119"/>
      <c r="T1330" s="132"/>
    </row>
    <row r="1331" spans="2:20" hidden="1">
      <c r="B1331" s="403" t="s">
        <v>5</v>
      </c>
      <c r="C1331" s="406">
        <v>13.8</v>
      </c>
      <c r="D1331" s="411">
        <f t="shared" si="1415"/>
        <v>147.75160599571734</v>
      </c>
      <c r="E1331" s="406">
        <v>17.142857142857142</v>
      </c>
      <c r="F1331" s="411">
        <f t="shared" si="1410"/>
        <v>183.54236769654329</v>
      </c>
      <c r="G1331" s="406">
        <v>17.16</v>
      </c>
      <c r="H1331" s="411">
        <f t="shared" si="1411"/>
        <v>183.72591006423983</v>
      </c>
      <c r="I1331" s="406">
        <v>18.314285714285713</v>
      </c>
      <c r="J1331" s="411">
        <f t="shared" si="1412"/>
        <v>196.0844294891404</v>
      </c>
      <c r="K1331" s="406">
        <v>19.72</v>
      </c>
      <c r="L1331" s="411">
        <f t="shared" si="1413"/>
        <v>211.13490364025697</v>
      </c>
      <c r="M1331" s="406">
        <v>23.22</v>
      </c>
      <c r="N1331" s="491">
        <f t="shared" si="1414"/>
        <v>248.60813704496789</v>
      </c>
      <c r="O1331" s="123"/>
      <c r="P1331" s="123"/>
      <c r="Q1331" s="180"/>
      <c r="R1331" s="123"/>
      <c r="S1331" s="119"/>
      <c r="T1331" s="132"/>
    </row>
    <row r="1332" spans="2:20" hidden="1">
      <c r="B1332" s="403" t="s">
        <v>6</v>
      </c>
      <c r="C1332" s="406">
        <v>15.71</v>
      </c>
      <c r="D1332" s="411">
        <f t="shared" si="1415"/>
        <v>168.20128479657387</v>
      </c>
      <c r="E1332" s="406">
        <v>15.842857142857143</v>
      </c>
      <c r="F1332" s="411">
        <f t="shared" si="1410"/>
        <v>169.62373814622211</v>
      </c>
      <c r="G1332" s="406">
        <v>17.114285714285714</v>
      </c>
      <c r="H1332" s="411">
        <f t="shared" si="1411"/>
        <v>183.23646375038237</v>
      </c>
      <c r="I1332" s="406">
        <v>18.989999999999998</v>
      </c>
      <c r="J1332" s="411">
        <f t="shared" si="1412"/>
        <v>203.31905781584581</v>
      </c>
      <c r="K1332" s="406">
        <v>19.727999999999998</v>
      </c>
      <c r="L1332" s="411">
        <f t="shared" si="1413"/>
        <v>211.22055674518199</v>
      </c>
      <c r="M1332" s="406">
        <v>23.22</v>
      </c>
      <c r="N1332" s="491">
        <f t="shared" si="1414"/>
        <v>248.60813704496789</v>
      </c>
      <c r="O1332" s="123"/>
      <c r="P1332" s="123"/>
      <c r="Q1332" s="180"/>
      <c r="R1332" s="123"/>
      <c r="S1332" s="119"/>
      <c r="T1332" s="132"/>
    </row>
    <row r="1333" spans="2:20" hidden="1">
      <c r="B1333" s="403" t="s">
        <v>7</v>
      </c>
      <c r="C1333" s="406">
        <v>14.5</v>
      </c>
      <c r="D1333" s="411">
        <f t="shared" si="1415"/>
        <v>155.24625267665954</v>
      </c>
      <c r="E1333" s="406">
        <v>16.25</v>
      </c>
      <c r="F1333" s="411">
        <f t="shared" si="1410"/>
        <v>173.982869379015</v>
      </c>
      <c r="G1333" s="406">
        <v>17.757142857142856</v>
      </c>
      <c r="H1333" s="411">
        <f t="shared" si="1411"/>
        <v>190.11930253900275</v>
      </c>
      <c r="I1333" s="406">
        <v>18.399999999999999</v>
      </c>
      <c r="J1333" s="411">
        <f t="shared" si="1412"/>
        <v>197.00214132762309</v>
      </c>
      <c r="K1333" s="406">
        <v>19.727999999999998</v>
      </c>
      <c r="L1333" s="411">
        <f t="shared" si="1413"/>
        <v>211.22055674518199</v>
      </c>
      <c r="M1333" s="406">
        <v>22.52</v>
      </c>
      <c r="N1333" s="491">
        <f t="shared" si="1414"/>
        <v>241.11349036402569</v>
      </c>
      <c r="O1333" s="123"/>
      <c r="P1333" s="123"/>
      <c r="Q1333" s="180"/>
      <c r="R1333" s="123"/>
      <c r="S1333" s="119"/>
      <c r="T1333" s="132"/>
    </row>
    <row r="1334" spans="2:20" hidden="1">
      <c r="B1334" s="403" t="s">
        <v>8</v>
      </c>
      <c r="C1334" s="406">
        <v>16.37</v>
      </c>
      <c r="D1334" s="411">
        <f t="shared" si="1415"/>
        <v>175.26766595289081</v>
      </c>
      <c r="E1334" s="406">
        <v>16.8</v>
      </c>
      <c r="F1334" s="411">
        <f t="shared" si="1410"/>
        <v>179.87152034261243</v>
      </c>
      <c r="G1334" s="406">
        <v>17.78</v>
      </c>
      <c r="H1334" s="411">
        <f t="shared" si="1411"/>
        <v>190.36402569593147</v>
      </c>
      <c r="I1334" s="406">
        <v>18.399999999999999</v>
      </c>
      <c r="J1334" s="411">
        <f t="shared" si="1412"/>
        <v>197.00214132762309</v>
      </c>
      <c r="K1334" s="406">
        <v>19.727999999999998</v>
      </c>
      <c r="L1334" s="411">
        <f t="shared" si="1413"/>
        <v>211.22055674518199</v>
      </c>
      <c r="M1334" s="406">
        <v>22.52</v>
      </c>
      <c r="N1334" s="491">
        <f t="shared" si="1414"/>
        <v>241.11349036402569</v>
      </c>
      <c r="O1334" s="123"/>
      <c r="P1334" s="123"/>
      <c r="Q1334" s="180"/>
      <c r="R1334" s="123"/>
      <c r="S1334" s="119"/>
      <c r="T1334" s="132"/>
    </row>
    <row r="1335" spans="2:20" hidden="1">
      <c r="B1335" s="403" t="s">
        <v>9</v>
      </c>
      <c r="C1335" s="406">
        <v>17.79</v>
      </c>
      <c r="D1335" s="411">
        <f t="shared" si="1415"/>
        <v>190.4710920770878</v>
      </c>
      <c r="E1335" s="406">
        <v>16.571428571428573</v>
      </c>
      <c r="F1335" s="411">
        <f t="shared" si="1410"/>
        <v>177.4242887733252</v>
      </c>
      <c r="G1335" s="406">
        <v>18.2</v>
      </c>
      <c r="H1335" s="411">
        <f t="shared" si="1411"/>
        <v>194.86081370449679</v>
      </c>
      <c r="I1335" s="406">
        <v>18.885714285714283</v>
      </c>
      <c r="J1335" s="411">
        <f t="shared" si="1412"/>
        <v>202.2025084123585</v>
      </c>
      <c r="K1335" s="406">
        <v>19.9725</v>
      </c>
      <c r="L1335" s="411">
        <f t="shared" si="1413"/>
        <v>213.83832976445396</v>
      </c>
      <c r="M1335" s="406">
        <v>22.52</v>
      </c>
      <c r="N1335" s="491">
        <f t="shared" si="1414"/>
        <v>241.11349036402569</v>
      </c>
      <c r="O1335" s="123"/>
      <c r="P1335" s="123"/>
      <c r="Q1335" s="180"/>
      <c r="R1335" s="123"/>
      <c r="S1335" s="119"/>
      <c r="T1335" s="132"/>
    </row>
    <row r="1336" spans="2:20" hidden="1">
      <c r="B1336" s="403" t="s">
        <v>10</v>
      </c>
      <c r="C1336" s="406">
        <v>15.86</v>
      </c>
      <c r="D1336" s="411">
        <f t="shared" si="1415"/>
        <v>169.80728051391864</v>
      </c>
      <c r="E1336" s="406">
        <v>15.928571428571429</v>
      </c>
      <c r="F1336" s="411">
        <f t="shared" si="1410"/>
        <v>170.5414499847048</v>
      </c>
      <c r="G1336" s="406">
        <v>18.7</v>
      </c>
      <c r="H1336" s="411">
        <f t="shared" si="1411"/>
        <v>200.21413276231263</v>
      </c>
      <c r="I1336" s="406">
        <v>19</v>
      </c>
      <c r="J1336" s="411">
        <f t="shared" si="1412"/>
        <v>203.42612419700214</v>
      </c>
      <c r="K1336" s="406">
        <v>21.48</v>
      </c>
      <c r="L1336" s="411">
        <f t="shared" si="1413"/>
        <v>229.97858672376873</v>
      </c>
      <c r="M1336" s="406">
        <v>22.52</v>
      </c>
      <c r="N1336" s="491">
        <f t="shared" si="1414"/>
        <v>241.11349036402569</v>
      </c>
      <c r="O1336" s="123"/>
      <c r="P1336" s="123"/>
      <c r="Q1336" s="180"/>
      <c r="R1336" s="123"/>
      <c r="S1336" s="119"/>
      <c r="T1336" s="132"/>
    </row>
    <row r="1337" spans="2:20" ht="15.75" hidden="1" thickBot="1">
      <c r="B1337" s="413" t="s">
        <v>11</v>
      </c>
      <c r="C1337" s="416">
        <v>15.53</v>
      </c>
      <c r="D1337" s="417">
        <f t="shared" si="1415"/>
        <v>166.27408993576017</v>
      </c>
      <c r="E1337" s="416">
        <v>16</v>
      </c>
      <c r="F1337" s="417">
        <f t="shared" si="1410"/>
        <v>171.30620985010708</v>
      </c>
      <c r="G1337" s="416">
        <v>18.071428571428573</v>
      </c>
      <c r="H1337" s="417">
        <f t="shared" si="1411"/>
        <v>193.48424594677275</v>
      </c>
      <c r="I1337" s="416">
        <v>19</v>
      </c>
      <c r="J1337" s="417">
        <f t="shared" si="1412"/>
        <v>203.42612419700214</v>
      </c>
      <c r="K1337" s="416">
        <v>21.561666666666667</v>
      </c>
      <c r="L1337" s="417">
        <f t="shared" si="1413"/>
        <v>230.85296216987871</v>
      </c>
      <c r="M1337" s="416">
        <v>22.52</v>
      </c>
      <c r="N1337" s="494">
        <f t="shared" si="1414"/>
        <v>241.11349036402569</v>
      </c>
      <c r="O1337" s="123"/>
      <c r="P1337" s="123"/>
      <c r="Q1337" s="180"/>
      <c r="R1337" s="123"/>
      <c r="S1337" s="119"/>
      <c r="T1337" s="132"/>
    </row>
    <row r="1338" spans="2:20" ht="15.75" hidden="1" thickBot="1">
      <c r="B1338" s="119"/>
      <c r="C1338" s="118"/>
      <c r="D1338" s="123"/>
      <c r="E1338" s="118"/>
      <c r="F1338" s="123"/>
      <c r="G1338" s="118"/>
      <c r="H1338" s="123"/>
      <c r="I1338" s="118"/>
      <c r="J1338" s="123"/>
      <c r="K1338" s="118"/>
      <c r="L1338" s="123"/>
      <c r="M1338" s="118"/>
      <c r="N1338" s="123"/>
      <c r="O1338" s="123"/>
      <c r="P1338" s="123"/>
      <c r="Q1338" s="180"/>
      <c r="R1338" s="123"/>
      <c r="S1338" s="119"/>
      <c r="T1338" s="132"/>
    </row>
    <row r="1339" spans="2:20" ht="16.5" hidden="1" thickBot="1">
      <c r="B1339" s="1388" t="s">
        <v>51</v>
      </c>
      <c r="C1339" s="1389"/>
      <c r="D1339" s="1389"/>
      <c r="E1339" s="1389"/>
      <c r="F1339" s="1390"/>
      <c r="G1339" s="642"/>
      <c r="H1339" s="123"/>
      <c r="I1339" s="118"/>
      <c r="J1339" s="123"/>
      <c r="K1339" s="118"/>
      <c r="L1339" s="123"/>
      <c r="M1339" s="118"/>
      <c r="N1339" s="123"/>
      <c r="O1339" s="123"/>
      <c r="P1339" s="123"/>
      <c r="Q1339" s="180"/>
      <c r="R1339" s="123"/>
      <c r="S1339" s="119"/>
      <c r="T1339" s="132"/>
    </row>
    <row r="1340" spans="2:20" ht="15.75" hidden="1" thickBot="1">
      <c r="B1340" s="1314">
        <v>2012</v>
      </c>
      <c r="C1340" s="1315"/>
      <c r="D1340" s="649" t="s">
        <v>15</v>
      </c>
      <c r="E1340" s="650">
        <v>2013</v>
      </c>
      <c r="F1340" s="649" t="s">
        <v>15</v>
      </c>
      <c r="H1340" s="123"/>
      <c r="I1340" s="118"/>
      <c r="J1340" s="123"/>
      <c r="K1340" s="118"/>
      <c r="L1340" s="123"/>
      <c r="M1340" s="118"/>
      <c r="N1340" s="123"/>
      <c r="O1340" s="123"/>
      <c r="P1340" s="123"/>
      <c r="Q1340" s="180"/>
      <c r="R1340" s="123"/>
      <c r="S1340" s="119"/>
      <c r="T1340" s="132"/>
    </row>
    <row r="1341" spans="2:20" hidden="1">
      <c r="B1341" s="306" t="s">
        <v>0</v>
      </c>
      <c r="C1341" s="307">
        <v>23.098000000000003</v>
      </c>
      <c r="D1341" s="309">
        <f t="shared" ref="D1341:D1348" si="1416">100*C1341/$H$1309</f>
        <v>247.30192719486084</v>
      </c>
      <c r="E1341" s="657">
        <f>[107]Janeiro!$I$12</f>
        <v>25.13</v>
      </c>
      <c r="F1341" s="655">
        <f t="shared" ref="F1341:F1346" si="1417">100*E1341/$H$1309</f>
        <v>269.05781584582439</v>
      </c>
      <c r="H1341" s="123"/>
      <c r="I1341" s="118"/>
      <c r="J1341" s="123"/>
      <c r="K1341" s="118"/>
      <c r="L1341" s="123"/>
      <c r="M1341" s="118"/>
      <c r="N1341" s="123"/>
      <c r="O1341" s="123"/>
      <c r="P1341" s="123"/>
      <c r="Q1341" s="180"/>
      <c r="R1341" s="123"/>
      <c r="S1341" s="119"/>
      <c r="T1341" s="132"/>
    </row>
    <row r="1342" spans="2:20" hidden="1">
      <c r="B1342" s="310" t="s">
        <v>1</v>
      </c>
      <c r="C1342" s="311">
        <v>24.454999999999998</v>
      </c>
      <c r="D1342" s="313">
        <f t="shared" si="1416"/>
        <v>261.83083511777301</v>
      </c>
      <c r="E1342" s="662">
        <f>[107]Fevereiro!$I$12</f>
        <v>25.13</v>
      </c>
      <c r="F1342" s="313">
        <f t="shared" si="1417"/>
        <v>269.05781584582439</v>
      </c>
      <c r="H1342" s="123"/>
      <c r="I1342" s="118"/>
      <c r="J1342" s="123"/>
      <c r="K1342" s="118"/>
      <c r="L1342" s="123"/>
      <c r="M1342" s="118"/>
      <c r="N1342" s="123"/>
      <c r="O1342" s="123"/>
      <c r="P1342" s="123"/>
      <c r="Q1342" s="180"/>
      <c r="R1342" s="123"/>
      <c r="S1342" s="119"/>
      <c r="T1342" s="132"/>
    </row>
    <row r="1343" spans="2:20" hidden="1">
      <c r="B1343" s="310" t="s">
        <v>2</v>
      </c>
      <c r="C1343" s="311">
        <f>[116]Março!$I$12</f>
        <v>26.621666666666666</v>
      </c>
      <c r="D1343" s="313">
        <f t="shared" si="1416"/>
        <v>285.02855103497501</v>
      </c>
      <c r="E1343" s="662">
        <f>[107]Março!$I$12</f>
        <v>25.13</v>
      </c>
      <c r="F1343" s="313">
        <f t="shared" si="1417"/>
        <v>269.05781584582439</v>
      </c>
      <c r="H1343" s="123"/>
      <c r="I1343" s="118"/>
      <c r="J1343" s="123"/>
      <c r="K1343" s="118"/>
      <c r="L1343" s="123"/>
      <c r="M1343" s="118"/>
      <c r="N1343" s="123"/>
      <c r="O1343" s="123"/>
      <c r="P1343" s="123"/>
      <c r="Q1343" s="180"/>
      <c r="R1343" s="123"/>
      <c r="S1343" s="119"/>
      <c r="T1343" s="132"/>
    </row>
    <row r="1344" spans="2:20" hidden="1">
      <c r="B1344" s="310" t="s">
        <v>3</v>
      </c>
      <c r="C1344" s="311">
        <f>[116]Abril!$I$12</f>
        <v>26.621666666666666</v>
      </c>
      <c r="D1344" s="313">
        <f t="shared" si="1416"/>
        <v>285.02855103497501</v>
      </c>
      <c r="E1344" s="662">
        <f>[107]Abril!$I$12</f>
        <v>25.13</v>
      </c>
      <c r="F1344" s="313">
        <f t="shared" si="1417"/>
        <v>269.05781584582439</v>
      </c>
      <c r="H1344" s="123"/>
      <c r="I1344" s="118"/>
      <c r="J1344" s="123"/>
      <c r="K1344" s="118"/>
      <c r="L1344" s="123"/>
      <c r="M1344" s="118"/>
      <c r="N1344" s="123"/>
      <c r="O1344" s="123"/>
      <c r="P1344" s="123"/>
      <c r="Q1344" s="180"/>
      <c r="R1344" s="123"/>
      <c r="S1344" s="119"/>
      <c r="T1344" s="132"/>
    </row>
    <row r="1345" spans="2:20" hidden="1">
      <c r="B1345" s="310" t="s">
        <v>4</v>
      </c>
      <c r="C1345" s="311">
        <f>[116]Maio!$I$12</f>
        <v>26.621666666666666</v>
      </c>
      <c r="D1345" s="313">
        <f t="shared" si="1416"/>
        <v>285.02855103497501</v>
      </c>
      <c r="E1345" s="662">
        <f>[107]Maio!$I$12</f>
        <v>25.13</v>
      </c>
      <c r="F1345" s="313">
        <f t="shared" si="1417"/>
        <v>269.05781584582439</v>
      </c>
      <c r="H1345" s="123"/>
      <c r="I1345" s="118"/>
      <c r="J1345" s="123"/>
      <c r="K1345" s="118"/>
      <c r="L1345" s="123"/>
      <c r="M1345" s="118"/>
      <c r="N1345" s="123"/>
      <c r="O1345" s="123"/>
      <c r="P1345" s="123"/>
      <c r="Q1345" s="180"/>
      <c r="R1345" s="123"/>
      <c r="S1345" s="119"/>
      <c r="T1345" s="132"/>
    </row>
    <row r="1346" spans="2:20" hidden="1">
      <c r="B1346" s="310" t="s">
        <v>5</v>
      </c>
      <c r="C1346" s="311">
        <f>[116]Junho!$I$12</f>
        <v>26.621666666666666</v>
      </c>
      <c r="D1346" s="313">
        <f t="shared" si="1416"/>
        <v>285.02855103497501</v>
      </c>
      <c r="E1346" s="662">
        <f>[107]Junho!$I$12</f>
        <v>25.13</v>
      </c>
      <c r="F1346" s="313">
        <f t="shared" si="1417"/>
        <v>269.05781584582439</v>
      </c>
      <c r="H1346" s="123"/>
      <c r="I1346" s="118"/>
      <c r="J1346" s="123"/>
      <c r="K1346" s="118"/>
      <c r="L1346" s="123"/>
      <c r="M1346" s="118"/>
      <c r="N1346" s="123"/>
      <c r="O1346" s="123"/>
      <c r="P1346" s="123"/>
      <c r="Q1346" s="180"/>
      <c r="R1346" s="123"/>
      <c r="S1346" s="119"/>
      <c r="T1346" s="132"/>
    </row>
    <row r="1347" spans="2:20" hidden="1">
      <c r="B1347" s="310" t="s">
        <v>6</v>
      </c>
      <c r="C1347" s="311">
        <f>[116]Julho!$I$12</f>
        <v>24.713333333333335</v>
      </c>
      <c r="D1347" s="313">
        <f t="shared" si="1416"/>
        <v>264.59671663097788</v>
      </c>
      <c r="E1347" s="662">
        <f>[107]Julho!$I$12</f>
        <v>25.13</v>
      </c>
      <c r="F1347" s="313">
        <f t="shared" ref="F1347:F1352" si="1418">100*E1347/$H$1309</f>
        <v>269.05781584582439</v>
      </c>
      <c r="H1347" s="123"/>
      <c r="I1347" s="118"/>
      <c r="J1347" s="123"/>
      <c r="K1347" s="118"/>
      <c r="L1347" s="123"/>
      <c r="M1347" s="118"/>
      <c r="N1347" s="123"/>
      <c r="O1347" s="123"/>
      <c r="P1347" s="123"/>
      <c r="Q1347" s="180"/>
      <c r="R1347" s="123"/>
      <c r="S1347" s="119"/>
      <c r="T1347" s="132"/>
    </row>
    <row r="1348" spans="2:20" hidden="1">
      <c r="B1348" s="310" t="s">
        <v>7</v>
      </c>
      <c r="C1348" s="311">
        <f>[116]Agosto!$I$12</f>
        <v>25.3</v>
      </c>
      <c r="D1348" s="313">
        <f t="shared" si="1416"/>
        <v>270.87794432548179</v>
      </c>
      <c r="E1348" s="662">
        <f>[107]Agosto!$I$12</f>
        <v>25.13</v>
      </c>
      <c r="F1348" s="313">
        <f t="shared" si="1418"/>
        <v>269.05781584582439</v>
      </c>
      <c r="H1348" s="123"/>
      <c r="I1348" s="118"/>
      <c r="J1348" s="123"/>
      <c r="K1348" s="118"/>
      <c r="L1348" s="123"/>
      <c r="M1348" s="118"/>
      <c r="N1348" s="123"/>
      <c r="O1348" s="123"/>
      <c r="P1348" s="123"/>
      <c r="Q1348" s="180"/>
      <c r="R1348" s="123"/>
      <c r="S1348" s="119"/>
      <c r="T1348" s="132"/>
    </row>
    <row r="1349" spans="2:20" hidden="1">
      <c r="B1349" s="310" t="s">
        <v>8</v>
      </c>
      <c r="C1349" s="311">
        <f>[116]Setembro!$I$12</f>
        <v>25.3</v>
      </c>
      <c r="D1349" s="313">
        <f>100*C1349/$H$1309</f>
        <v>270.87794432548179</v>
      </c>
      <c r="E1349" s="662">
        <f>[107]Setembro!$I$12</f>
        <v>24.63</v>
      </c>
      <c r="F1349" s="313">
        <f t="shared" si="1418"/>
        <v>263.70449678800856</v>
      </c>
      <c r="H1349" s="123"/>
      <c r="I1349" s="118"/>
      <c r="J1349" s="123"/>
      <c r="K1349" s="118"/>
      <c r="L1349" s="123"/>
      <c r="M1349" s="118"/>
      <c r="N1349" s="123"/>
      <c r="O1349" s="123"/>
      <c r="P1349" s="123"/>
      <c r="Q1349" s="180"/>
      <c r="R1349" s="123"/>
      <c r="S1349" s="119"/>
      <c r="T1349" s="132"/>
    </row>
    <row r="1350" spans="2:20" hidden="1">
      <c r="B1350" s="310" t="s">
        <v>9</v>
      </c>
      <c r="C1350" s="311">
        <f>[116]Outubro!$I$12</f>
        <v>25.3</v>
      </c>
      <c r="D1350" s="313">
        <f>100*C1350/$H$1309</f>
        <v>270.87794432548179</v>
      </c>
      <c r="E1350" s="662">
        <f>[107]Outubro!$I$12</f>
        <v>24.63</v>
      </c>
      <c r="F1350" s="313">
        <f t="shared" si="1418"/>
        <v>263.70449678800856</v>
      </c>
      <c r="H1350" s="123"/>
      <c r="I1350" s="118"/>
      <c r="J1350" s="123"/>
      <c r="K1350" s="118"/>
      <c r="L1350" s="123"/>
      <c r="M1350" s="118"/>
      <c r="N1350" s="123"/>
      <c r="O1350" s="123"/>
      <c r="P1350" s="123"/>
      <c r="Q1350" s="180"/>
      <c r="R1350" s="123"/>
      <c r="S1350" s="119"/>
      <c r="T1350" s="132"/>
    </row>
    <row r="1351" spans="2:20" hidden="1">
      <c r="B1351" s="310" t="s">
        <v>10</v>
      </c>
      <c r="C1351" s="311">
        <f>[116]Novembro!$I$12</f>
        <v>25.006666666666664</v>
      </c>
      <c r="D1351" s="313">
        <f>100*C1351/$H$1309</f>
        <v>267.73733047822981</v>
      </c>
      <c r="E1351" s="662">
        <f>[107]Novembro!$I$12</f>
        <v>24.63</v>
      </c>
      <c r="F1351" s="313">
        <f t="shared" si="1418"/>
        <v>263.70449678800856</v>
      </c>
      <c r="H1351" s="123"/>
      <c r="I1351" s="118"/>
      <c r="J1351" s="123"/>
      <c r="K1351" s="118"/>
      <c r="L1351" s="123"/>
      <c r="M1351" s="118"/>
      <c r="N1351" s="123"/>
      <c r="O1351" s="123"/>
      <c r="P1351" s="123"/>
      <c r="Q1351" s="180"/>
      <c r="R1351" s="123"/>
      <c r="S1351" s="119"/>
      <c r="T1351" s="132"/>
    </row>
    <row r="1352" spans="2:20" ht="15.75" hidden="1" thickBot="1">
      <c r="B1352" s="314" t="s">
        <v>11</v>
      </c>
      <c r="C1352" s="315">
        <f>[116]Dezembro!$I$12</f>
        <v>25.13</v>
      </c>
      <c r="D1352" s="317">
        <f>100*C1352/$H$1309</f>
        <v>269.05781584582439</v>
      </c>
      <c r="E1352" s="682">
        <f>[107]Dezembro!$I$12</f>
        <v>24.63</v>
      </c>
      <c r="F1352" s="317">
        <f t="shared" si="1418"/>
        <v>263.70449678800856</v>
      </c>
      <c r="H1352" s="123"/>
      <c r="I1352" s="118"/>
      <c r="J1352" s="123"/>
      <c r="K1352" s="118"/>
      <c r="L1352" s="123"/>
      <c r="M1352" s="118"/>
      <c r="N1352" s="123"/>
      <c r="O1352" s="123"/>
      <c r="P1352" s="123"/>
      <c r="Q1352" s="180"/>
      <c r="R1352" s="123"/>
      <c r="S1352" s="119"/>
      <c r="T1352" s="132"/>
    </row>
    <row r="1353" spans="2:20" hidden="1">
      <c r="B1353" s="119"/>
      <c r="C1353" s="118"/>
      <c r="D1353" s="123"/>
      <c r="E1353" s="118"/>
      <c r="F1353" s="123"/>
      <c r="G1353" s="118"/>
      <c r="H1353" s="123"/>
      <c r="I1353" s="118"/>
      <c r="J1353" s="123"/>
      <c r="K1353" s="118"/>
      <c r="L1353" s="123"/>
      <c r="M1353" s="118"/>
      <c r="N1353" s="123"/>
      <c r="O1353" s="123"/>
      <c r="P1353" s="123"/>
      <c r="Q1353" s="180"/>
      <c r="R1353" s="123"/>
      <c r="S1353" s="119"/>
      <c r="T1353" s="132"/>
    </row>
    <row r="1354" spans="2:20">
      <c r="B1354" s="198"/>
      <c r="C1354" s="199"/>
      <c r="D1354" s="200"/>
      <c r="E1354" s="199"/>
      <c r="F1354" s="200"/>
      <c r="G1354" s="199"/>
      <c r="H1354" s="200"/>
      <c r="I1354" s="199"/>
      <c r="J1354" s="200"/>
      <c r="K1354" s="199"/>
      <c r="L1354" s="200"/>
      <c r="M1354" s="199"/>
      <c r="N1354" s="200"/>
      <c r="O1354" s="123"/>
      <c r="P1354" s="123"/>
      <c r="Q1354" s="180"/>
      <c r="R1354" s="123"/>
      <c r="S1354" s="119"/>
      <c r="T1354" s="132"/>
    </row>
    <row r="1355" spans="2:20" ht="15.75" thickBot="1">
      <c r="B1355" s="119"/>
      <c r="C1355" s="118"/>
      <c r="D1355" s="123"/>
      <c r="E1355" s="118"/>
      <c r="F1355" s="123"/>
      <c r="G1355" s="118"/>
      <c r="H1355" s="123"/>
      <c r="I1355" s="118"/>
      <c r="J1355" s="123"/>
      <c r="K1355" s="118"/>
      <c r="L1355" s="123"/>
      <c r="M1355" s="118"/>
      <c r="N1355" s="123"/>
      <c r="O1355" s="123"/>
      <c r="P1355" s="123"/>
      <c r="Q1355" s="180"/>
      <c r="R1355" s="123"/>
      <c r="S1355" s="119"/>
      <c r="T1355" s="132"/>
    </row>
    <row r="1356" spans="2:20" s="543" customFormat="1" ht="24" thickBot="1">
      <c r="B1356" s="591" t="s">
        <v>60</v>
      </c>
      <c r="C1356" s="545"/>
      <c r="D1356" s="614"/>
      <c r="E1356" s="546"/>
      <c r="F1356" s="546"/>
      <c r="G1356" s="547"/>
      <c r="H1356" s="614">
        <v>77.17</v>
      </c>
      <c r="I1356" s="549" t="s">
        <v>61</v>
      </c>
      <c r="J1356" s="546"/>
      <c r="K1356" s="546"/>
      <c r="L1356" s="547" t="s">
        <v>52</v>
      </c>
      <c r="M1356" s="546"/>
      <c r="N1356" s="551"/>
      <c r="Q1356" s="611"/>
      <c r="R1356" s="612"/>
      <c r="T1356" s="613"/>
    </row>
    <row r="1357" spans="2:20" ht="15.75" thickBot="1">
      <c r="B1357" s="1306">
        <v>2000</v>
      </c>
      <c r="C1357" s="1307"/>
      <c r="D1357" s="336" t="s">
        <v>15</v>
      </c>
      <c r="E1357" s="336">
        <v>2001</v>
      </c>
      <c r="F1357" s="336" t="s">
        <v>15</v>
      </c>
      <c r="G1357" s="336">
        <v>2002</v>
      </c>
      <c r="H1357" s="336" t="s">
        <v>15</v>
      </c>
      <c r="I1357" s="336">
        <v>2003</v>
      </c>
      <c r="J1357" s="336" t="s">
        <v>15</v>
      </c>
      <c r="K1357" s="336">
        <v>2004</v>
      </c>
      <c r="L1357" s="336" t="s">
        <v>15</v>
      </c>
      <c r="M1357" s="336">
        <v>2005</v>
      </c>
      <c r="N1357" s="354" t="s">
        <v>15</v>
      </c>
      <c r="O1357" s="124"/>
      <c r="P1357" s="124"/>
      <c r="Q1357" s="180"/>
      <c r="R1357" s="123"/>
      <c r="S1357" s="119"/>
      <c r="T1357" s="132"/>
    </row>
    <row r="1358" spans="2:20">
      <c r="B1358" s="306" t="s">
        <v>0</v>
      </c>
      <c r="C1358" s="307"/>
      <c r="D1358" s="308"/>
      <c r="E1358" s="307">
        <v>88.6</v>
      </c>
      <c r="F1358" s="308">
        <f t="shared" ref="F1358:F1369" si="1419">100*E1358/$H$1356</f>
        <v>114.81145522871581</v>
      </c>
      <c r="G1358" s="307">
        <v>88</v>
      </c>
      <c r="H1358" s="308">
        <f t="shared" ref="H1358:H1369" si="1420">100*G1358/$H$1356</f>
        <v>114.03395101723467</v>
      </c>
      <c r="I1358" s="308">
        <v>104.6</v>
      </c>
      <c r="J1358" s="308">
        <f t="shared" ref="J1358:J1369" si="1421">100*I1358/$H$1356</f>
        <v>135.54490086821303</v>
      </c>
      <c r="K1358" s="308">
        <v>109</v>
      </c>
      <c r="L1358" s="308">
        <f t="shared" ref="L1358:L1369" si="1422">100*K1358/$H$1356</f>
        <v>141.24659841907476</v>
      </c>
      <c r="M1358" s="308">
        <v>150.78</v>
      </c>
      <c r="N1358" s="309">
        <f t="shared" ref="N1358:N1369" si="1423">100*M1358/$H$1356</f>
        <v>195.38680834521188</v>
      </c>
      <c r="O1358" s="123"/>
      <c r="P1358" s="123"/>
      <c r="Q1358" s="180"/>
      <c r="R1358" s="123"/>
      <c r="S1358" s="119"/>
      <c r="T1358" s="132"/>
    </row>
    <row r="1359" spans="2:20">
      <c r="B1359" s="310" t="s">
        <v>1</v>
      </c>
      <c r="C1359" s="311"/>
      <c r="D1359" s="312"/>
      <c r="E1359" s="311">
        <v>92.5</v>
      </c>
      <c r="F1359" s="312">
        <f t="shared" si="1419"/>
        <v>119.86523260334326</v>
      </c>
      <c r="G1359" s="311">
        <v>93</v>
      </c>
      <c r="H1359" s="312">
        <f t="shared" si="1420"/>
        <v>120.51315277957755</v>
      </c>
      <c r="I1359" s="312">
        <v>123.25</v>
      </c>
      <c r="J1359" s="312">
        <f t="shared" si="1421"/>
        <v>159.71232344175198</v>
      </c>
      <c r="K1359" s="312">
        <v>122.4</v>
      </c>
      <c r="L1359" s="312">
        <f t="shared" si="1422"/>
        <v>158.61085914215369</v>
      </c>
      <c r="M1359" s="312">
        <v>153.72999999999999</v>
      </c>
      <c r="N1359" s="313">
        <f t="shared" si="1423"/>
        <v>199.20953738499415</v>
      </c>
      <c r="O1359" s="123"/>
      <c r="P1359" s="123"/>
      <c r="Q1359" s="180"/>
      <c r="R1359" s="123"/>
      <c r="S1359" s="119"/>
      <c r="T1359" s="132"/>
    </row>
    <row r="1360" spans="2:20">
      <c r="B1360" s="310" t="s">
        <v>2</v>
      </c>
      <c r="C1360" s="311"/>
      <c r="D1360" s="312"/>
      <c r="E1360" s="311">
        <v>82.75</v>
      </c>
      <c r="F1360" s="312">
        <f t="shared" si="1419"/>
        <v>107.23078916677466</v>
      </c>
      <c r="G1360" s="311">
        <v>92.75</v>
      </c>
      <c r="H1360" s="312">
        <f t="shared" si="1420"/>
        <v>120.18919269146041</v>
      </c>
      <c r="I1360" s="312">
        <v>120</v>
      </c>
      <c r="J1360" s="312">
        <f t="shared" si="1421"/>
        <v>155.50084229622911</v>
      </c>
      <c r="K1360" s="312">
        <v>134.19999999999999</v>
      </c>
      <c r="L1360" s="312">
        <f t="shared" si="1422"/>
        <v>173.90177530128287</v>
      </c>
      <c r="M1360" s="312">
        <v>151.54</v>
      </c>
      <c r="N1360" s="313">
        <f t="shared" si="1423"/>
        <v>196.37164701308799</v>
      </c>
      <c r="O1360" s="123"/>
      <c r="P1360" s="123"/>
      <c r="Q1360" s="180"/>
      <c r="R1360" s="123"/>
      <c r="S1360" s="119"/>
      <c r="T1360" s="132"/>
    </row>
    <row r="1361" spans="2:20">
      <c r="B1361" s="310" t="s">
        <v>3</v>
      </c>
      <c r="C1361" s="311">
        <v>77.17</v>
      </c>
      <c r="D1361" s="312">
        <v>100</v>
      </c>
      <c r="E1361" s="311">
        <v>82.8</v>
      </c>
      <c r="F1361" s="312">
        <f t="shared" si="1419"/>
        <v>107.29558118439807</v>
      </c>
      <c r="G1361" s="311">
        <v>92.8</v>
      </c>
      <c r="H1361" s="312">
        <f t="shared" si="1420"/>
        <v>120.25398470908384</v>
      </c>
      <c r="I1361" s="312">
        <v>118.25</v>
      </c>
      <c r="J1361" s="312">
        <f t="shared" si="1421"/>
        <v>153.23312167940909</v>
      </c>
      <c r="K1361" s="312">
        <v>133.75</v>
      </c>
      <c r="L1361" s="312">
        <f t="shared" si="1422"/>
        <v>173.31864714267201</v>
      </c>
      <c r="M1361" s="312">
        <v>156</v>
      </c>
      <c r="N1361" s="313">
        <f t="shared" si="1423"/>
        <v>202.15109498509784</v>
      </c>
      <c r="O1361" s="123"/>
      <c r="P1361" s="123"/>
      <c r="Q1361" s="180"/>
      <c r="R1361" s="123"/>
      <c r="S1361" s="119"/>
      <c r="T1361" s="132"/>
    </row>
    <row r="1362" spans="2:20">
      <c r="B1362" s="310" t="s">
        <v>4</v>
      </c>
      <c r="C1362" s="311">
        <v>74.83</v>
      </c>
      <c r="D1362" s="312">
        <f t="shared" ref="D1362:D1369" si="1424">100*C1362/77.17</f>
        <v>96.967733575223534</v>
      </c>
      <c r="E1362" s="311">
        <v>83.2</v>
      </c>
      <c r="F1362" s="312">
        <f t="shared" si="1419"/>
        <v>107.8139173253855</v>
      </c>
      <c r="G1362" s="311">
        <v>93.6</v>
      </c>
      <c r="H1362" s="312">
        <f t="shared" si="1420"/>
        <v>121.2906569910587</v>
      </c>
      <c r="I1362" s="312">
        <v>136.58000000000001</v>
      </c>
      <c r="J1362" s="312">
        <f t="shared" si="1421"/>
        <v>176.98587534015812</v>
      </c>
      <c r="K1362" s="312">
        <v>130.11000000000001</v>
      </c>
      <c r="L1362" s="312">
        <f t="shared" si="1422"/>
        <v>168.60178825968643</v>
      </c>
      <c r="M1362" s="312">
        <v>167</v>
      </c>
      <c r="N1362" s="313">
        <f t="shared" si="1423"/>
        <v>216.40533886225217</v>
      </c>
      <c r="O1362" s="123"/>
      <c r="P1362" s="123"/>
      <c r="Q1362" s="180"/>
      <c r="R1362" s="123"/>
      <c r="S1362" s="119"/>
      <c r="T1362" s="132"/>
    </row>
    <row r="1363" spans="2:20">
      <c r="B1363" s="310" t="s">
        <v>5</v>
      </c>
      <c r="C1363" s="311">
        <v>74.5</v>
      </c>
      <c r="D1363" s="312">
        <f t="shared" si="1424"/>
        <v>96.540106258908907</v>
      </c>
      <c r="E1363" s="311">
        <v>77.5</v>
      </c>
      <c r="F1363" s="312">
        <f t="shared" si="1419"/>
        <v>100.42762731631463</v>
      </c>
      <c r="G1363" s="311">
        <v>90</v>
      </c>
      <c r="H1363" s="312">
        <f t="shared" si="1420"/>
        <v>116.62563172217183</v>
      </c>
      <c r="I1363" s="312">
        <v>140.16</v>
      </c>
      <c r="J1363" s="312">
        <f t="shared" si="1421"/>
        <v>181.6249838019956</v>
      </c>
      <c r="K1363" s="312">
        <v>133.6</v>
      </c>
      <c r="L1363" s="312">
        <f t="shared" si="1422"/>
        <v>173.12427108980174</v>
      </c>
      <c r="M1363" s="312">
        <v>163</v>
      </c>
      <c r="N1363" s="313">
        <f t="shared" si="1423"/>
        <v>211.22197745237787</v>
      </c>
      <c r="O1363" s="123"/>
      <c r="P1363" s="123"/>
      <c r="Q1363" s="180"/>
      <c r="R1363" s="123"/>
      <c r="S1363" s="119"/>
      <c r="T1363" s="132"/>
    </row>
    <row r="1364" spans="2:20">
      <c r="B1364" s="310" t="s">
        <v>6</v>
      </c>
      <c r="C1364" s="311">
        <v>77.709999999999994</v>
      </c>
      <c r="D1364" s="312">
        <f t="shared" si="1424"/>
        <v>100.69975379033302</v>
      </c>
      <c r="E1364" s="311">
        <v>87.6</v>
      </c>
      <c r="F1364" s="312">
        <f t="shared" si="1419"/>
        <v>113.51561487624724</v>
      </c>
      <c r="G1364" s="311">
        <v>87.6</v>
      </c>
      <c r="H1364" s="312">
        <f t="shared" si="1420"/>
        <v>113.51561487624724</v>
      </c>
      <c r="I1364" s="312">
        <v>119.4</v>
      </c>
      <c r="J1364" s="312">
        <f t="shared" si="1421"/>
        <v>154.72333808474795</v>
      </c>
      <c r="K1364" s="312">
        <v>135.6</v>
      </c>
      <c r="L1364" s="312">
        <f t="shared" si="1422"/>
        <v>175.71595179473888</v>
      </c>
      <c r="M1364" s="312">
        <v>164</v>
      </c>
      <c r="N1364" s="313">
        <f t="shared" si="1423"/>
        <v>212.51781780484643</v>
      </c>
      <c r="O1364" s="123"/>
      <c r="P1364" s="123"/>
      <c r="Q1364" s="180"/>
      <c r="R1364" s="123"/>
      <c r="S1364" s="119"/>
      <c r="T1364" s="132"/>
    </row>
    <row r="1365" spans="2:20">
      <c r="B1365" s="310" t="s">
        <v>7</v>
      </c>
      <c r="C1365" s="311">
        <v>89</v>
      </c>
      <c r="D1365" s="312">
        <f t="shared" si="1424"/>
        <v>115.32979136970324</v>
      </c>
      <c r="E1365" s="311">
        <v>86.7</v>
      </c>
      <c r="F1365" s="312">
        <f t="shared" si="1419"/>
        <v>112.34935855902553</v>
      </c>
      <c r="G1365" s="311">
        <v>106</v>
      </c>
      <c r="H1365" s="312">
        <f t="shared" si="1420"/>
        <v>137.35907736166905</v>
      </c>
      <c r="I1365" s="312">
        <v>133.19999999999999</v>
      </c>
      <c r="J1365" s="312">
        <f t="shared" si="1421"/>
        <v>172.60593494881428</v>
      </c>
      <c r="K1365" s="312">
        <v>142.44999999999999</v>
      </c>
      <c r="L1365" s="312">
        <f t="shared" si="1422"/>
        <v>184.59245820914862</v>
      </c>
      <c r="M1365" s="312">
        <v>153.71</v>
      </c>
      <c r="N1365" s="313">
        <f t="shared" si="1423"/>
        <v>199.18362057794479</v>
      </c>
      <c r="O1365" s="123"/>
      <c r="P1365" s="123"/>
      <c r="Q1365" s="180"/>
      <c r="R1365" s="123"/>
      <c r="S1365" s="119"/>
      <c r="T1365" s="132"/>
    </row>
    <row r="1366" spans="2:20">
      <c r="B1366" s="310" t="s">
        <v>8</v>
      </c>
      <c r="C1366" s="311">
        <v>80.83</v>
      </c>
      <c r="D1366" s="312">
        <f t="shared" si="1424"/>
        <v>104.74277569003499</v>
      </c>
      <c r="E1366" s="311">
        <v>78.400000000000006</v>
      </c>
      <c r="F1366" s="312">
        <f t="shared" si="1419"/>
        <v>101.59388363353636</v>
      </c>
      <c r="G1366" s="311">
        <v>106.58</v>
      </c>
      <c r="H1366" s="312">
        <f t="shared" si="1420"/>
        <v>138.11066476610083</v>
      </c>
      <c r="I1366" s="312">
        <v>126.2</v>
      </c>
      <c r="J1366" s="312">
        <f t="shared" si="1421"/>
        <v>163.53505248153428</v>
      </c>
      <c r="K1366" s="312">
        <v>141.75</v>
      </c>
      <c r="L1366" s="312">
        <f t="shared" si="1422"/>
        <v>183.68536996242062</v>
      </c>
      <c r="M1366" s="312">
        <v>153.78</v>
      </c>
      <c r="N1366" s="313">
        <f t="shared" si="1423"/>
        <v>199.27432940261758</v>
      </c>
      <c r="O1366" s="123"/>
      <c r="P1366" s="123"/>
      <c r="Q1366" s="180"/>
      <c r="R1366" s="123"/>
      <c r="S1366" s="119"/>
      <c r="T1366" s="132"/>
    </row>
    <row r="1367" spans="2:20">
      <c r="B1367" s="310" t="s">
        <v>9</v>
      </c>
      <c r="C1367" s="311">
        <v>83.6</v>
      </c>
      <c r="D1367" s="312">
        <f t="shared" si="1424"/>
        <v>108.33225346637295</v>
      </c>
      <c r="E1367" s="311">
        <v>84.6</v>
      </c>
      <c r="F1367" s="312">
        <f t="shared" si="1419"/>
        <v>109.62809381884152</v>
      </c>
      <c r="G1367" s="311">
        <v>104.4</v>
      </c>
      <c r="H1367" s="312">
        <f t="shared" si="1420"/>
        <v>135.28573279771931</v>
      </c>
      <c r="I1367" s="312">
        <v>123.2</v>
      </c>
      <c r="J1367" s="312">
        <f t="shared" si="1421"/>
        <v>159.64753142412854</v>
      </c>
      <c r="K1367" s="312">
        <v>145</v>
      </c>
      <c r="L1367" s="312">
        <f t="shared" si="1422"/>
        <v>187.89685110794349</v>
      </c>
      <c r="M1367" s="312">
        <v>157.6</v>
      </c>
      <c r="N1367" s="313">
        <f t="shared" si="1423"/>
        <v>204.22443954904756</v>
      </c>
      <c r="O1367" s="123"/>
      <c r="P1367" s="123"/>
      <c r="Q1367" s="180"/>
      <c r="R1367" s="123"/>
      <c r="S1367" s="119"/>
      <c r="T1367" s="132"/>
    </row>
    <row r="1368" spans="2:20">
      <c r="B1368" s="310" t="s">
        <v>10</v>
      </c>
      <c r="C1368" s="311">
        <v>85.8</v>
      </c>
      <c r="D1368" s="312">
        <f t="shared" si="1424"/>
        <v>111.18310224180381</v>
      </c>
      <c r="E1368" s="311">
        <v>87.8</v>
      </c>
      <c r="F1368" s="312">
        <f t="shared" si="1419"/>
        <v>113.77478294674096</v>
      </c>
      <c r="G1368" s="311">
        <v>109.2</v>
      </c>
      <c r="H1368" s="312">
        <f t="shared" si="1420"/>
        <v>141.50576648956849</v>
      </c>
      <c r="I1368" s="312">
        <v>126.4</v>
      </c>
      <c r="J1368" s="312">
        <f t="shared" si="1421"/>
        <v>163.79422055202798</v>
      </c>
      <c r="K1368" s="312">
        <v>153.75</v>
      </c>
      <c r="L1368" s="312">
        <f t="shared" si="1422"/>
        <v>199.23545419204353</v>
      </c>
      <c r="M1368" s="312">
        <v>158.43</v>
      </c>
      <c r="N1368" s="313">
        <f t="shared" si="1423"/>
        <v>205.29998704159647</v>
      </c>
      <c r="O1368" s="123"/>
      <c r="P1368" s="123"/>
      <c r="Q1368" s="180"/>
      <c r="R1368" s="123"/>
      <c r="S1368" s="119"/>
      <c r="T1368" s="132"/>
    </row>
    <row r="1369" spans="2:20" ht="15.75" thickBot="1">
      <c r="B1369" s="314" t="s">
        <v>11</v>
      </c>
      <c r="C1369" s="315">
        <v>83.25</v>
      </c>
      <c r="D1369" s="316">
        <f t="shared" si="1424"/>
        <v>107.87870934300894</v>
      </c>
      <c r="E1369" s="315">
        <v>87.4</v>
      </c>
      <c r="F1369" s="316">
        <f t="shared" si="1419"/>
        <v>113.25644680575353</v>
      </c>
      <c r="G1369" s="315">
        <v>111.44</v>
      </c>
      <c r="H1369" s="316">
        <f t="shared" si="1420"/>
        <v>144.4084488790981</v>
      </c>
      <c r="I1369" s="316">
        <v>127.25</v>
      </c>
      <c r="J1369" s="316">
        <f t="shared" si="1421"/>
        <v>164.89568485162627</v>
      </c>
      <c r="K1369" s="316">
        <v>149.80000000000001</v>
      </c>
      <c r="L1369" s="316">
        <f t="shared" si="1422"/>
        <v>194.11688479979267</v>
      </c>
      <c r="M1369" s="316">
        <v>157.63999999999999</v>
      </c>
      <c r="N1369" s="317">
        <f t="shared" si="1423"/>
        <v>204.27627316314627</v>
      </c>
      <c r="O1369" s="123"/>
      <c r="P1369" s="123"/>
      <c r="Q1369" s="180"/>
      <c r="R1369" s="123"/>
      <c r="S1369" s="119"/>
      <c r="T1369" s="132"/>
    </row>
    <row r="1370" spans="2:20" ht="15.75" thickBot="1">
      <c r="B1370" s="119"/>
      <c r="C1370" s="118"/>
      <c r="D1370" s="123"/>
      <c r="E1370" s="118"/>
      <c r="F1370" s="123"/>
      <c r="G1370" s="118"/>
      <c r="H1370" s="123"/>
      <c r="I1370" s="123"/>
      <c r="J1370" s="123"/>
      <c r="K1370" s="123"/>
      <c r="L1370" s="123"/>
      <c r="M1370" s="123"/>
      <c r="N1370" s="123"/>
      <c r="O1370" s="123"/>
      <c r="P1370" s="123"/>
      <c r="Q1370" s="180"/>
      <c r="R1370" s="123"/>
      <c r="S1370" s="119"/>
      <c r="T1370" s="132"/>
    </row>
    <row r="1371" spans="2:20" ht="24" thickBot="1">
      <c r="B1371" s="591" t="s">
        <v>60</v>
      </c>
      <c r="C1371" s="545"/>
      <c r="D1371" s="614"/>
      <c r="E1371" s="546"/>
      <c r="F1371" s="546"/>
      <c r="G1371" s="547"/>
      <c r="H1371" s="614">
        <v>77.17</v>
      </c>
      <c r="I1371" s="549" t="s">
        <v>61</v>
      </c>
      <c r="J1371" s="546"/>
      <c r="K1371" s="546"/>
      <c r="L1371" s="547" t="s">
        <v>52</v>
      </c>
      <c r="M1371" s="546"/>
      <c r="N1371" s="551"/>
      <c r="O1371" s="119"/>
      <c r="P1371" s="119"/>
      <c r="Q1371" s="180"/>
      <c r="R1371" s="123"/>
      <c r="S1371" s="119"/>
      <c r="T1371" s="132"/>
    </row>
    <row r="1372" spans="2:20" ht="15.75" thickBot="1">
      <c r="B1372" s="1306">
        <v>2006</v>
      </c>
      <c r="C1372" s="1307"/>
      <c r="D1372" s="336" t="s">
        <v>15</v>
      </c>
      <c r="E1372" s="336">
        <v>2007</v>
      </c>
      <c r="F1372" s="336" t="s">
        <v>15</v>
      </c>
      <c r="G1372" s="336">
        <v>2008</v>
      </c>
      <c r="H1372" s="336" t="s">
        <v>15</v>
      </c>
      <c r="I1372" s="336">
        <v>2009</v>
      </c>
      <c r="J1372" s="336" t="s">
        <v>15</v>
      </c>
      <c r="K1372" s="336">
        <v>2010</v>
      </c>
      <c r="L1372" s="336" t="s">
        <v>15</v>
      </c>
      <c r="M1372" s="336">
        <v>2011</v>
      </c>
      <c r="N1372" s="354" t="s">
        <v>15</v>
      </c>
      <c r="O1372" s="124"/>
      <c r="P1372" s="124"/>
      <c r="Q1372" s="180"/>
      <c r="R1372" s="123"/>
      <c r="S1372" s="119"/>
      <c r="T1372" s="132"/>
    </row>
    <row r="1373" spans="2:20">
      <c r="B1373" s="306" t="s">
        <v>0</v>
      </c>
      <c r="C1373" s="307">
        <v>151.5</v>
      </c>
      <c r="D1373" s="308">
        <f>100*C1373/$H$1356</f>
        <v>196.31981339898925</v>
      </c>
      <c r="E1373" s="307">
        <v>179.14</v>
      </c>
      <c r="F1373" s="308">
        <f t="shared" ref="F1373:F1384" si="1425">100*E1373/$H$1356</f>
        <v>232.13684074122068</v>
      </c>
      <c r="G1373" s="307">
        <v>178.12</v>
      </c>
      <c r="H1373" s="308">
        <f t="shared" ref="H1373:H1384" si="1426">100*G1373/$H$1356</f>
        <v>230.81508358170274</v>
      </c>
      <c r="I1373" s="308">
        <v>205</v>
      </c>
      <c r="J1373" s="308">
        <f t="shared" ref="J1373:J1384" si="1427">100*I1373/$H$1356</f>
        <v>265.64727225605805</v>
      </c>
      <c r="K1373" s="308">
        <v>236.66666666666666</v>
      </c>
      <c r="L1373" s="308">
        <f t="shared" ref="L1373:L1384" si="1428">100*K1373/$H$1356</f>
        <v>306.68221675089626</v>
      </c>
      <c r="M1373" s="308">
        <v>232.49166666666667</v>
      </c>
      <c r="N1373" s="309">
        <f t="shared" ref="N1373:N1384" si="1429">100*M1373/$H$1356</f>
        <v>301.27208327933999</v>
      </c>
      <c r="O1373" s="123"/>
      <c r="P1373" s="174">
        <f>+G1379/G1374-1</f>
        <v>9.8876404494381953E-2</v>
      </c>
      <c r="Q1373" s="180"/>
      <c r="R1373" s="123"/>
      <c r="S1373" s="119"/>
      <c r="T1373" s="132"/>
    </row>
    <row r="1374" spans="2:20">
      <c r="B1374" s="310" t="s">
        <v>1</v>
      </c>
      <c r="C1374" s="311">
        <v>155.57</v>
      </c>
      <c r="D1374" s="312">
        <f>100*C1374/$H$1356</f>
        <v>201.59388363353634</v>
      </c>
      <c r="E1374" s="311">
        <v>180.5</v>
      </c>
      <c r="F1374" s="312">
        <f t="shared" si="1425"/>
        <v>233.89918362057793</v>
      </c>
      <c r="G1374" s="311">
        <v>178</v>
      </c>
      <c r="H1374" s="312">
        <f t="shared" si="1426"/>
        <v>230.65958273940649</v>
      </c>
      <c r="I1374" s="312">
        <v>207.5</v>
      </c>
      <c r="J1374" s="312">
        <f t="shared" si="1427"/>
        <v>268.88687313722949</v>
      </c>
      <c r="K1374" s="312">
        <v>230</v>
      </c>
      <c r="L1374" s="312">
        <f t="shared" si="1428"/>
        <v>298.04328106777245</v>
      </c>
      <c r="M1374" s="312">
        <v>232.49166666666667</v>
      </c>
      <c r="N1374" s="313">
        <f t="shared" si="1429"/>
        <v>301.27208327933999</v>
      </c>
      <c r="O1374" s="123"/>
      <c r="P1374" s="123"/>
      <c r="Q1374" s="180"/>
      <c r="R1374" s="123"/>
      <c r="S1374" s="119"/>
      <c r="T1374" s="132"/>
    </row>
    <row r="1375" spans="2:20">
      <c r="B1375" s="310" t="s">
        <v>2</v>
      </c>
      <c r="C1375" s="311">
        <v>157.38</v>
      </c>
      <c r="D1375" s="312">
        <f>100*C1375/$H$1356</f>
        <v>203.93935467150447</v>
      </c>
      <c r="E1375" s="311">
        <v>172</v>
      </c>
      <c r="F1375" s="312">
        <f t="shared" si="1425"/>
        <v>222.88454062459505</v>
      </c>
      <c r="G1375" s="311">
        <v>185</v>
      </c>
      <c r="H1375" s="312">
        <f t="shared" si="1426"/>
        <v>239.73046520668652</v>
      </c>
      <c r="I1375" s="312">
        <v>210</v>
      </c>
      <c r="J1375" s="312">
        <f t="shared" si="1427"/>
        <v>272.12647401840093</v>
      </c>
      <c r="K1375" s="312">
        <v>217.66666666666666</v>
      </c>
      <c r="L1375" s="312">
        <f t="shared" si="1428"/>
        <v>282.06125005399332</v>
      </c>
      <c r="M1375" s="312">
        <v>232.49166666666667</v>
      </c>
      <c r="N1375" s="313">
        <f t="shared" si="1429"/>
        <v>301.27208327933999</v>
      </c>
      <c r="O1375" s="123"/>
      <c r="P1375" s="123"/>
      <c r="Q1375" s="180"/>
      <c r="R1375" s="123"/>
      <c r="S1375" s="119"/>
      <c r="T1375" s="132"/>
    </row>
    <row r="1376" spans="2:20">
      <c r="B1376" s="310" t="s">
        <v>3</v>
      </c>
      <c r="C1376" s="311">
        <v>164.83</v>
      </c>
      <c r="D1376" s="312">
        <f>100*C1376/$H$1356</f>
        <v>213.59336529739537</v>
      </c>
      <c r="E1376" s="311">
        <v>169.86</v>
      </c>
      <c r="F1376" s="312">
        <f t="shared" si="1425"/>
        <v>220.1114422703123</v>
      </c>
      <c r="G1376" s="311">
        <v>183.33333333333334</v>
      </c>
      <c r="H1376" s="312">
        <f t="shared" si="1426"/>
        <v>237.57073128590559</v>
      </c>
      <c r="I1376" s="312">
        <v>210</v>
      </c>
      <c r="J1376" s="312">
        <f t="shared" si="1427"/>
        <v>272.12647401840093</v>
      </c>
      <c r="K1376" s="312">
        <v>200.27</v>
      </c>
      <c r="L1376" s="312">
        <f t="shared" si="1428"/>
        <v>259.51794738888168</v>
      </c>
      <c r="M1376" s="312">
        <v>232.49166666666667</v>
      </c>
      <c r="N1376" s="313">
        <f t="shared" si="1429"/>
        <v>301.27208327933999</v>
      </c>
      <c r="O1376" s="123"/>
      <c r="P1376" s="123"/>
      <c r="Q1376" s="180"/>
      <c r="R1376" s="123"/>
      <c r="S1376" s="119"/>
      <c r="T1376" s="132"/>
    </row>
    <row r="1377" spans="2:20">
      <c r="B1377" s="310" t="s">
        <v>4</v>
      </c>
      <c r="C1377" s="311">
        <v>181.57</v>
      </c>
      <c r="D1377" s="312">
        <f t="shared" ref="D1377:D1384" si="1430">100*C1377/77.17</f>
        <v>235.28573279771931</v>
      </c>
      <c r="E1377" s="311">
        <v>171.71</v>
      </c>
      <c r="F1377" s="312">
        <f t="shared" si="1425"/>
        <v>222.50874692237915</v>
      </c>
      <c r="G1377" s="311">
        <v>188</v>
      </c>
      <c r="H1377" s="312">
        <f t="shared" si="1426"/>
        <v>243.61798626409225</v>
      </c>
      <c r="I1377" s="312">
        <v>214</v>
      </c>
      <c r="J1377" s="312">
        <f t="shared" si="1427"/>
        <v>277.30983542827522</v>
      </c>
      <c r="K1377" s="312">
        <v>205.81833333333336</v>
      </c>
      <c r="L1377" s="312">
        <f t="shared" si="1428"/>
        <v>266.70770161116155</v>
      </c>
      <c r="M1377" s="312">
        <v>232.49166666666667</v>
      </c>
      <c r="N1377" s="313">
        <f t="shared" si="1429"/>
        <v>301.27208327933999</v>
      </c>
      <c r="O1377" s="123"/>
      <c r="P1377" s="123"/>
      <c r="Q1377" s="180"/>
      <c r="R1377" s="123"/>
      <c r="S1377" s="119"/>
      <c r="T1377" s="132"/>
    </row>
    <row r="1378" spans="2:20">
      <c r="B1378" s="310" t="s">
        <v>5</v>
      </c>
      <c r="C1378" s="311">
        <v>176.2</v>
      </c>
      <c r="D1378" s="312">
        <f t="shared" si="1430"/>
        <v>228.32707010496307</v>
      </c>
      <c r="E1378" s="311">
        <v>176.33333333333334</v>
      </c>
      <c r="F1378" s="312">
        <f t="shared" si="1425"/>
        <v>228.49984881862557</v>
      </c>
      <c r="G1378" s="311">
        <v>189</v>
      </c>
      <c r="H1378" s="312">
        <f t="shared" si="1426"/>
        <v>244.91382661656084</v>
      </c>
      <c r="I1378" s="312">
        <v>216.5</v>
      </c>
      <c r="J1378" s="312">
        <f t="shared" si="1427"/>
        <v>280.54943630944666</v>
      </c>
      <c r="K1378" s="312">
        <v>207.42500000000001</v>
      </c>
      <c r="L1378" s="312">
        <f t="shared" si="1428"/>
        <v>268.78968511079432</v>
      </c>
      <c r="M1378" s="312">
        <v>232.49166666666667</v>
      </c>
      <c r="N1378" s="313">
        <f t="shared" si="1429"/>
        <v>301.27208327933999</v>
      </c>
      <c r="O1378" s="123"/>
      <c r="P1378" s="123"/>
      <c r="Q1378" s="180"/>
      <c r="R1378" s="123"/>
      <c r="S1378" s="119"/>
      <c r="T1378" s="132"/>
    </row>
    <row r="1379" spans="2:20">
      <c r="B1379" s="310" t="s">
        <v>6</v>
      </c>
      <c r="C1379" s="311">
        <v>163</v>
      </c>
      <c r="D1379" s="312">
        <f t="shared" si="1430"/>
        <v>211.22197745237787</v>
      </c>
      <c r="E1379" s="311">
        <v>154.75</v>
      </c>
      <c r="F1379" s="312">
        <f t="shared" si="1425"/>
        <v>200.53129454451212</v>
      </c>
      <c r="G1379" s="311">
        <v>195.6</v>
      </c>
      <c r="H1379" s="312">
        <f t="shared" si="1426"/>
        <v>253.46637294285344</v>
      </c>
      <c r="I1379" s="312">
        <v>219</v>
      </c>
      <c r="J1379" s="312">
        <f t="shared" si="1427"/>
        <v>283.7890371906181</v>
      </c>
      <c r="K1379" s="312">
        <v>207.42500000000001</v>
      </c>
      <c r="L1379" s="312">
        <f t="shared" si="1428"/>
        <v>268.78968511079432</v>
      </c>
      <c r="M1379" s="312">
        <v>233.33</v>
      </c>
      <c r="N1379" s="313">
        <f t="shared" si="1429"/>
        <v>302.35842944149277</v>
      </c>
      <c r="O1379" s="123"/>
      <c r="P1379" s="123"/>
      <c r="Q1379" s="180"/>
      <c r="R1379" s="123"/>
      <c r="S1379" s="119"/>
      <c r="T1379" s="132"/>
    </row>
    <row r="1380" spans="2:20">
      <c r="B1380" s="310" t="s">
        <v>7</v>
      </c>
      <c r="C1380" s="311">
        <v>168.25</v>
      </c>
      <c r="D1380" s="312">
        <f t="shared" si="1430"/>
        <v>218.02513930283789</v>
      </c>
      <c r="E1380" s="311">
        <v>158.6</v>
      </c>
      <c r="F1380" s="312">
        <f t="shared" si="1425"/>
        <v>205.52027990151612</v>
      </c>
      <c r="G1380" s="311">
        <v>193.66666666666666</v>
      </c>
      <c r="H1380" s="312">
        <f t="shared" si="1426"/>
        <v>250.9610815947475</v>
      </c>
      <c r="I1380" s="312">
        <v>224.83333333333334</v>
      </c>
      <c r="J1380" s="312">
        <f t="shared" si="1427"/>
        <v>291.3481059133515</v>
      </c>
      <c r="K1380" s="312">
        <v>211.48500000000001</v>
      </c>
      <c r="L1380" s="312">
        <f t="shared" si="1428"/>
        <v>274.05079694181677</v>
      </c>
      <c r="M1380" s="312">
        <v>233.33</v>
      </c>
      <c r="N1380" s="313">
        <f t="shared" si="1429"/>
        <v>302.35842944149277</v>
      </c>
      <c r="O1380" s="123"/>
      <c r="P1380" s="123"/>
      <c r="Q1380" s="180"/>
      <c r="R1380" s="123"/>
      <c r="S1380" s="119"/>
      <c r="T1380" s="132"/>
    </row>
    <row r="1381" spans="2:20">
      <c r="B1381" s="310" t="s">
        <v>8</v>
      </c>
      <c r="C1381" s="311">
        <v>154.72</v>
      </c>
      <c r="D1381" s="312">
        <f t="shared" si="1430"/>
        <v>200.49241933393805</v>
      </c>
      <c r="E1381" s="311">
        <v>165</v>
      </c>
      <c r="F1381" s="312">
        <f t="shared" si="1425"/>
        <v>213.81365815731502</v>
      </c>
      <c r="G1381" s="311">
        <v>200.6</v>
      </c>
      <c r="H1381" s="312">
        <f t="shared" si="1426"/>
        <v>259.94557470519629</v>
      </c>
      <c r="I1381" s="312">
        <v>226.5</v>
      </c>
      <c r="J1381" s="312">
        <f t="shared" si="1427"/>
        <v>293.50783983413243</v>
      </c>
      <c r="K1381" s="312">
        <v>211.48500000000001</v>
      </c>
      <c r="L1381" s="312">
        <f t="shared" si="1428"/>
        <v>274.05079694181677</v>
      </c>
      <c r="M1381" s="312">
        <v>231.70833333333334</v>
      </c>
      <c r="N1381" s="313">
        <f t="shared" si="1429"/>
        <v>300.25700833657294</v>
      </c>
      <c r="O1381" s="123"/>
      <c r="P1381" s="123"/>
      <c r="Q1381" s="180"/>
      <c r="R1381" s="123"/>
      <c r="S1381" s="119"/>
      <c r="T1381" s="132"/>
    </row>
    <row r="1382" spans="2:20">
      <c r="B1382" s="310" t="s">
        <v>9</v>
      </c>
      <c r="C1382" s="311">
        <v>157.19999999999999</v>
      </c>
      <c r="D1382" s="312">
        <f t="shared" si="1430"/>
        <v>203.7061034080601</v>
      </c>
      <c r="E1382" s="311">
        <v>165.66666666666666</v>
      </c>
      <c r="F1382" s="312">
        <f t="shared" si="1425"/>
        <v>214.67755172562735</v>
      </c>
      <c r="G1382" s="311">
        <v>200.5</v>
      </c>
      <c r="H1382" s="312">
        <f t="shared" si="1426"/>
        <v>259.81599066994943</v>
      </c>
      <c r="I1382" s="312">
        <v>232.5</v>
      </c>
      <c r="J1382" s="312">
        <f t="shared" si="1427"/>
        <v>301.2828819489439</v>
      </c>
      <c r="K1382" s="312">
        <v>211.48500000000001</v>
      </c>
      <c r="L1382" s="312">
        <f t="shared" si="1428"/>
        <v>274.05079694181677</v>
      </c>
      <c r="M1382" s="312">
        <v>234.20833333333334</v>
      </c>
      <c r="N1382" s="313">
        <f t="shared" si="1429"/>
        <v>303.49660921774438</v>
      </c>
      <c r="O1382" s="123"/>
      <c r="P1382" s="123"/>
      <c r="Q1382" s="180"/>
      <c r="R1382" s="123"/>
      <c r="S1382" s="119"/>
      <c r="T1382" s="132"/>
    </row>
    <row r="1383" spans="2:20">
      <c r="B1383" s="310" t="s">
        <v>10</v>
      </c>
      <c r="C1383" s="311">
        <v>168.33</v>
      </c>
      <c r="D1383" s="312">
        <f t="shared" si="1430"/>
        <v>218.12880653103537</v>
      </c>
      <c r="E1383" s="311">
        <v>170</v>
      </c>
      <c r="F1383" s="312">
        <f t="shared" si="1425"/>
        <v>220.2928599196579</v>
      </c>
      <c r="G1383" s="311">
        <v>205.6</v>
      </c>
      <c r="H1383" s="312">
        <f t="shared" si="1426"/>
        <v>266.42477646753917</v>
      </c>
      <c r="I1383" s="312">
        <v>229</v>
      </c>
      <c r="J1383" s="312">
        <f t="shared" si="1427"/>
        <v>296.74744071530387</v>
      </c>
      <c r="K1383" s="312">
        <v>222.66666666666666</v>
      </c>
      <c r="L1383" s="312">
        <f t="shared" si="1428"/>
        <v>288.5404518163362</v>
      </c>
      <c r="M1383" s="312">
        <v>233.54166666666666</v>
      </c>
      <c r="N1383" s="313">
        <f t="shared" si="1429"/>
        <v>302.63271564943193</v>
      </c>
      <c r="O1383" s="123"/>
      <c r="P1383" s="123"/>
      <c r="Q1383" s="180"/>
      <c r="R1383" s="123"/>
      <c r="S1383" s="119"/>
      <c r="T1383" s="132"/>
    </row>
    <row r="1384" spans="2:20" ht="15.75" thickBot="1">
      <c r="B1384" s="314" t="s">
        <v>11</v>
      </c>
      <c r="C1384" s="315">
        <v>172.43</v>
      </c>
      <c r="D1384" s="316">
        <f t="shared" si="1430"/>
        <v>223.44175197615652</v>
      </c>
      <c r="E1384" s="315">
        <v>170.5</v>
      </c>
      <c r="F1384" s="316">
        <f t="shared" si="1425"/>
        <v>220.94078009589219</v>
      </c>
      <c r="G1384" s="315">
        <v>207.5</v>
      </c>
      <c r="H1384" s="316">
        <f t="shared" si="1426"/>
        <v>268.88687313722949</v>
      </c>
      <c r="I1384" s="316">
        <v>236.66666666666666</v>
      </c>
      <c r="J1384" s="316">
        <f t="shared" si="1427"/>
        <v>306.68221675089626</v>
      </c>
      <c r="K1384" s="316">
        <f>AVERAGE(E1384:J1384)</f>
        <v>235.1960894417808</v>
      </c>
      <c r="L1384" s="316">
        <f t="shared" si="1428"/>
        <v>304.77658344146789</v>
      </c>
      <c r="M1384" s="316">
        <v>233.54166666666666</v>
      </c>
      <c r="N1384" s="317">
        <f t="shared" si="1429"/>
        <v>302.63271564943193</v>
      </c>
      <c r="O1384" s="123"/>
      <c r="P1384" s="123"/>
      <c r="Q1384" s="180"/>
      <c r="R1384" s="123"/>
      <c r="S1384" s="119"/>
      <c r="T1384" s="132"/>
    </row>
    <row r="1385" spans="2:20">
      <c r="B1385" s="119"/>
      <c r="C1385" s="118"/>
      <c r="D1385" s="123"/>
      <c r="E1385" s="118"/>
      <c r="F1385" s="123"/>
      <c r="G1385" s="118"/>
      <c r="H1385" s="123"/>
      <c r="I1385" s="123"/>
      <c r="J1385" s="123"/>
      <c r="K1385" s="123"/>
      <c r="L1385" s="123"/>
      <c r="M1385" s="123"/>
      <c r="N1385" s="123"/>
      <c r="O1385" s="123"/>
      <c r="P1385" s="123"/>
      <c r="Q1385" s="180"/>
      <c r="R1385" s="123"/>
      <c r="S1385" s="119"/>
      <c r="T1385" s="132"/>
    </row>
    <row r="1386" spans="2:20">
      <c r="B1386" s="1292" t="s">
        <v>60</v>
      </c>
      <c r="C1386" s="1293"/>
      <c r="D1386" s="1293"/>
      <c r="E1386" s="1293"/>
      <c r="F1386" s="1293"/>
      <c r="G1386" s="1293"/>
      <c r="H1386" s="1293"/>
      <c r="I1386" s="1293"/>
      <c r="J1386" s="1293"/>
      <c r="K1386" s="1293"/>
      <c r="L1386" s="1293"/>
      <c r="M1386" s="1293"/>
      <c r="N1386" s="1293"/>
      <c r="O1386" s="1293"/>
      <c r="P1386" s="1293"/>
      <c r="Q1386" s="1293"/>
      <c r="R1386" s="1293"/>
      <c r="S1386" s="1293"/>
      <c r="T1386" s="1293"/>
    </row>
    <row r="1387" spans="2:20" ht="15.75" thickBot="1">
      <c r="B1387" s="1314">
        <v>2012</v>
      </c>
      <c r="C1387" s="1315"/>
      <c r="D1387" s="649" t="s">
        <v>15</v>
      </c>
      <c r="E1387" s="650">
        <v>2013</v>
      </c>
      <c r="F1387" s="649" t="s">
        <v>15</v>
      </c>
      <c r="G1387" s="650">
        <v>2014</v>
      </c>
      <c r="H1387" s="649" t="s">
        <v>15</v>
      </c>
      <c r="I1387" s="650">
        <v>2015</v>
      </c>
      <c r="J1387" s="649" t="s">
        <v>15</v>
      </c>
      <c r="K1387" s="650">
        <v>2016</v>
      </c>
      <c r="L1387" s="649" t="s">
        <v>15</v>
      </c>
      <c r="M1387" s="650">
        <v>2017</v>
      </c>
      <c r="N1387" s="649" t="s">
        <v>15</v>
      </c>
      <c r="O1387" s="650">
        <v>2018</v>
      </c>
      <c r="P1387" s="649" t="s">
        <v>15</v>
      </c>
      <c r="Q1387" s="650">
        <v>2019</v>
      </c>
      <c r="R1387" s="649" t="s">
        <v>15</v>
      </c>
      <c r="S1387" s="1266">
        <v>2020</v>
      </c>
      <c r="T1387" s="649" t="s">
        <v>15</v>
      </c>
    </row>
    <row r="1388" spans="2:20">
      <c r="B1388" s="306" t="s">
        <v>0</v>
      </c>
      <c r="C1388" s="307">
        <v>233.54166666666666</v>
      </c>
      <c r="D1388" s="309">
        <f t="shared" ref="D1388:D1395" si="1431">100*C1388/$H$1356</f>
        <v>302.63271564943193</v>
      </c>
      <c r="E1388" s="657">
        <f>[9]PLANCUSce!$H$34</f>
        <v>308.31666666666666</v>
      </c>
      <c r="F1388" s="655">
        <f t="shared" ref="F1388:F1393" si="1432">100*E1388/$H$1356</f>
        <v>399.52917800526978</v>
      </c>
      <c r="G1388" s="657">
        <f>[10]PLANCUSce!$H$34</f>
        <v>315.96666666666664</v>
      </c>
      <c r="H1388" s="655">
        <f t="shared" ref="H1388:H1393" si="1433">100*G1388/$H$1356</f>
        <v>409.44235670165432</v>
      </c>
      <c r="I1388" s="657">
        <f>[11]PLANCUSce!$H$34</f>
        <v>297.96666666666664</v>
      </c>
      <c r="J1388" s="655">
        <f t="shared" ref="J1388:J1393" si="1434">100*I1388/$H$1356</f>
        <v>386.11723035721997</v>
      </c>
      <c r="K1388" s="657">
        <f>[12]PLANCUSce!$H$34</f>
        <v>293.45</v>
      </c>
      <c r="L1388" s="655">
        <f t="shared" ref="L1388" si="1435">100*K1388/$H$1356</f>
        <v>380.26435143190361</v>
      </c>
      <c r="M1388" s="657">
        <f>[13]PLANCUSce!$H$34</f>
        <v>309.39999999999998</v>
      </c>
      <c r="N1388" s="655">
        <f t="shared" ref="N1388" si="1436">100*M1388/$H$1356</f>
        <v>400.93300505377732</v>
      </c>
      <c r="O1388" s="657">
        <f>[14]PLANCUSce!$H$34</f>
        <v>313.39999999999998</v>
      </c>
      <c r="P1388" s="655">
        <f t="shared" ref="P1388" si="1437">100*O1388/$H$1356</f>
        <v>406.11636646365162</v>
      </c>
      <c r="Q1388" s="657">
        <f>[15]PLANCUSce!$I$34</f>
        <v>330.4</v>
      </c>
      <c r="R1388" s="655">
        <f t="shared" ref="R1388" si="1438">100*Q1388/$H$1356</f>
        <v>428.14565245561744</v>
      </c>
      <c r="S1388" s="657">
        <f>[16]PLANCUSce!$I$34</f>
        <v>340.4</v>
      </c>
      <c r="T1388" s="655">
        <f t="shared" ref="T1388" si="1439">100*S1388/$H$1356</f>
        <v>441.1040559803032</v>
      </c>
    </row>
    <row r="1389" spans="2:20">
      <c r="B1389" s="310" t="s">
        <v>1</v>
      </c>
      <c r="C1389" s="311">
        <v>233.541666666667</v>
      </c>
      <c r="D1389" s="313">
        <f t="shared" si="1431"/>
        <v>302.63271564943244</v>
      </c>
      <c r="E1389" s="662">
        <f>[17]PLANCUSce!$H$34</f>
        <v>308.31666666666666</v>
      </c>
      <c r="F1389" s="313">
        <f t="shared" si="1432"/>
        <v>399.52917800526978</v>
      </c>
      <c r="G1389" s="662">
        <f>[18]PLANCUSce!$H$34</f>
        <v>315.96666666666664</v>
      </c>
      <c r="H1389" s="313">
        <f t="shared" si="1433"/>
        <v>409.44235670165432</v>
      </c>
      <c r="I1389" s="662">
        <f>[19]PLANCUSce!$H$34</f>
        <v>311.26666666666665</v>
      </c>
      <c r="J1389" s="313">
        <f t="shared" si="1434"/>
        <v>403.35190704505203</v>
      </c>
      <c r="K1389" s="662">
        <f>[20]PLANCUSce!$H$34</f>
        <v>293.45</v>
      </c>
      <c r="L1389" s="313">
        <f t="shared" ref="L1389" si="1440">100*K1389/$H$1356</f>
        <v>380.26435143190361</v>
      </c>
      <c r="M1389" s="662">
        <f>[21]PLANCUSce!$H$34</f>
        <v>309.39999999999998</v>
      </c>
      <c r="N1389" s="313">
        <f t="shared" ref="N1389" si="1441">100*M1389/$H$1356</f>
        <v>400.93300505377732</v>
      </c>
      <c r="O1389" s="662">
        <f>[22]PLANCUSce!$H$34</f>
        <v>313.39999999999998</v>
      </c>
      <c r="P1389" s="313">
        <f t="shared" ref="P1389" si="1442">100*O1389/$H$1356</f>
        <v>406.11636646365162</v>
      </c>
      <c r="Q1389" s="662">
        <f>[23]PLANCUSce!$I$34</f>
        <v>340.4</v>
      </c>
      <c r="R1389" s="313">
        <f t="shared" ref="R1389" si="1443">100*Q1389/$H$1356</f>
        <v>441.1040559803032</v>
      </c>
      <c r="S1389" s="662">
        <f>[24]PLANCUSce!$I$34</f>
        <v>359.87087999999994</v>
      </c>
      <c r="T1389" s="313">
        <f t="shared" ref="T1389" si="1444">100*S1389/$H$1356</f>
        <v>466.33520798237652</v>
      </c>
    </row>
    <row r="1390" spans="2:20">
      <c r="B1390" s="310" t="s">
        <v>2</v>
      </c>
      <c r="C1390" s="311">
        <v>235.125</v>
      </c>
      <c r="D1390" s="313">
        <f t="shared" si="1431"/>
        <v>304.6844628741739</v>
      </c>
      <c r="E1390" s="662">
        <f>[25]PLANCUSce!$H$34</f>
        <v>308.31666666666666</v>
      </c>
      <c r="F1390" s="313">
        <f t="shared" si="1432"/>
        <v>399.52917800526978</v>
      </c>
      <c r="G1390" s="662">
        <f>[26]PLANCUSce!$H$34</f>
        <v>315.96666666666664</v>
      </c>
      <c r="H1390" s="313">
        <f t="shared" si="1433"/>
        <v>409.44235670165432</v>
      </c>
      <c r="I1390" s="662">
        <f>[27]PLANCUSce!$H$34</f>
        <v>293.45</v>
      </c>
      <c r="J1390" s="313">
        <f t="shared" si="1434"/>
        <v>380.26435143190361</v>
      </c>
      <c r="K1390" s="662">
        <f>[28]PLANCUSce!$H$34</f>
        <v>293.45</v>
      </c>
      <c r="L1390" s="313">
        <f t="shared" ref="L1390" si="1445">100*K1390/$H$1356</f>
        <v>380.26435143190361</v>
      </c>
      <c r="M1390" s="662">
        <f>[29]PLANCUSce!$H$34</f>
        <v>309.39999999999998</v>
      </c>
      <c r="N1390" s="313">
        <f t="shared" ref="N1390" si="1446">100*M1390/$H$1356</f>
        <v>400.93300505377732</v>
      </c>
      <c r="O1390" s="662">
        <f>[30]PLANCUSce!$H$34</f>
        <v>313.39999999999998</v>
      </c>
      <c r="P1390" s="313">
        <f t="shared" ref="P1390" si="1447">100*O1390/$H$1356</f>
        <v>406.11636646365162</v>
      </c>
      <c r="Q1390" s="662">
        <f>[31]PLANCUSce!$I$34</f>
        <v>340.4</v>
      </c>
      <c r="R1390" s="313">
        <f t="shared" ref="R1390" si="1448">100*Q1390/$H$1356</f>
        <v>441.1040559803032</v>
      </c>
      <c r="S1390" s="662">
        <f>[32]PLANCUSce!$I$34</f>
        <v>359.87087999999994</v>
      </c>
      <c r="T1390" s="313">
        <f t="shared" ref="T1390" si="1449">100*S1390/$H$1356</f>
        <v>466.33520798237652</v>
      </c>
    </row>
    <row r="1391" spans="2:20">
      <c r="B1391" s="310" t="s">
        <v>3</v>
      </c>
      <c r="C1391" s="311">
        <v>235.125</v>
      </c>
      <c r="D1391" s="313">
        <f t="shared" si="1431"/>
        <v>304.6844628741739</v>
      </c>
      <c r="E1391" s="662">
        <f>[33]PLANCUSce!$H$34</f>
        <v>308.31666666666666</v>
      </c>
      <c r="F1391" s="313">
        <f t="shared" si="1432"/>
        <v>399.52917800526978</v>
      </c>
      <c r="G1391" s="662">
        <f>[34]PLANCUSce!$H$34</f>
        <v>315.96666666666664</v>
      </c>
      <c r="H1391" s="313">
        <f t="shared" si="1433"/>
        <v>409.44235670165432</v>
      </c>
      <c r="I1391" s="662">
        <f>[35]PLANCUSce!$H$34</f>
        <v>293.45</v>
      </c>
      <c r="J1391" s="313">
        <f t="shared" si="1434"/>
        <v>380.26435143190361</v>
      </c>
      <c r="K1391" s="662">
        <f>[36]PLANCUSce!$H$34</f>
        <v>293.45</v>
      </c>
      <c r="L1391" s="313">
        <f t="shared" ref="L1391" si="1450">100*K1391/$H$1356</f>
        <v>380.26435143190361</v>
      </c>
      <c r="M1391" s="662">
        <f>[37]PLANCUSce!$H$34</f>
        <v>309.39999999999998</v>
      </c>
      <c r="N1391" s="313">
        <f t="shared" ref="N1391" si="1451">100*M1391/$H$1356</f>
        <v>400.93300505377732</v>
      </c>
      <c r="O1391" s="662">
        <f>[38]PLANCUSce!$H$34</f>
        <v>318.14999999999998</v>
      </c>
      <c r="P1391" s="313">
        <f t="shared" ref="P1391" si="1452">100*O1391/$H$1356</f>
        <v>412.27160813787737</v>
      </c>
      <c r="Q1391" s="662">
        <f>[39]PLANCUSce!$I$34</f>
        <v>340.4</v>
      </c>
      <c r="R1391" s="313">
        <f t="shared" ref="R1391" si="1453">100*Q1391/$H$1356</f>
        <v>441.1040559803032</v>
      </c>
      <c r="S1391" s="662">
        <f>[40]PLANCUSce!$I$34</f>
        <v>359.87087999999994</v>
      </c>
      <c r="T1391" s="313">
        <f t="shared" ref="T1391" si="1454">100*S1391/$H$1356</f>
        <v>466.33520798237652</v>
      </c>
    </row>
    <row r="1392" spans="2:20">
      <c r="B1392" s="310" t="s">
        <v>4</v>
      </c>
      <c r="C1392" s="311">
        <v>235.125</v>
      </c>
      <c r="D1392" s="313">
        <f t="shared" si="1431"/>
        <v>304.6844628741739</v>
      </c>
      <c r="E1392" s="662">
        <f>[41]PLANCUSce!$H$34</f>
        <v>312.2833333333333</v>
      </c>
      <c r="F1392" s="313">
        <f t="shared" si="1432"/>
        <v>404.66934473672836</v>
      </c>
      <c r="G1392" s="662">
        <f>[42]PLANCUSce!$H$34</f>
        <v>315.96666666666664</v>
      </c>
      <c r="H1392" s="313">
        <f t="shared" si="1433"/>
        <v>409.44235670165432</v>
      </c>
      <c r="I1392" s="662">
        <f>[43]PLANCUSce!$H$34</f>
        <v>293.45</v>
      </c>
      <c r="J1392" s="313">
        <f t="shared" si="1434"/>
        <v>380.26435143190361</v>
      </c>
      <c r="K1392" s="662">
        <f>[44]PLANCUSce!$H$34</f>
        <v>303.42499999999995</v>
      </c>
      <c r="L1392" s="313">
        <f t="shared" ref="L1392" si="1455">100*K1392/$H$1356</f>
        <v>393.19035894777755</v>
      </c>
      <c r="M1392" s="662">
        <f>[45]PLANCUSce!$H$34</f>
        <v>309.39999999999998</v>
      </c>
      <c r="N1392" s="313">
        <f t="shared" ref="N1392" si="1456">100*M1392/$H$1356</f>
        <v>400.93300505377732</v>
      </c>
      <c r="O1392" s="662">
        <f>[46]PLANCUSce!$H$34</f>
        <v>318.14999999999998</v>
      </c>
      <c r="P1392" s="313">
        <f t="shared" ref="P1392" si="1457">100*O1392/$H$1356</f>
        <v>412.27160813787737</v>
      </c>
      <c r="Q1392" s="662">
        <f>[47]PLANCUSce!$I$34</f>
        <v>340.4</v>
      </c>
      <c r="R1392" s="313">
        <f t="shared" ref="R1392" si="1458">100*Q1392/$H$1356</f>
        <v>441.1040559803032</v>
      </c>
      <c r="S1392" s="662">
        <f>[48]PLANCUSce!$I$34</f>
        <v>359.87087999999994</v>
      </c>
      <c r="T1392" s="313">
        <f t="shared" ref="T1392" si="1459">100*S1392/$H$1356</f>
        <v>466.33520798237652</v>
      </c>
    </row>
    <row r="1393" spans="2:20">
      <c r="B1393" s="310" t="s">
        <v>5</v>
      </c>
      <c r="C1393" s="311">
        <v>235.125</v>
      </c>
      <c r="D1393" s="313">
        <f t="shared" si="1431"/>
        <v>304.6844628741739</v>
      </c>
      <c r="E1393" s="662">
        <f>[49]PLANCUSce!$H$34</f>
        <v>312.2833333333333</v>
      </c>
      <c r="F1393" s="313">
        <f t="shared" si="1432"/>
        <v>404.66934473672836</v>
      </c>
      <c r="G1393" s="662">
        <f>[50]PLANCUSce!$H$34</f>
        <v>317.93333333333334</v>
      </c>
      <c r="H1393" s="313">
        <f t="shared" si="1433"/>
        <v>411.99084272817589</v>
      </c>
      <c r="I1393" s="662">
        <f>[51]PLANCUSce!$H$34</f>
        <v>293.45</v>
      </c>
      <c r="J1393" s="313">
        <f t="shared" si="1434"/>
        <v>380.26435143190361</v>
      </c>
      <c r="K1393" s="662">
        <f>[52]PLANCUSce!$H$34</f>
        <v>303.42499999999995</v>
      </c>
      <c r="L1393" s="313">
        <f t="shared" ref="L1393" si="1460">100*K1393/$H$1356</f>
        <v>393.19035894777755</v>
      </c>
      <c r="M1393" s="662">
        <f>[53]PLANCUSce!$H$34</f>
        <v>309.39999999999998</v>
      </c>
      <c r="N1393" s="313">
        <f t="shared" ref="N1393" si="1461">100*M1393/$H$1356</f>
        <v>400.93300505377732</v>
      </c>
      <c r="O1393" s="662">
        <f>[54]PLANCUSce!$H$34</f>
        <v>322.89999999999998</v>
      </c>
      <c r="P1393" s="313">
        <f t="shared" ref="P1393" si="1462">100*O1393/$H$1356</f>
        <v>418.42684981210311</v>
      </c>
      <c r="Q1393" s="662">
        <f>[55]PLANCUSce!$I$34</f>
        <v>340.4</v>
      </c>
      <c r="R1393" s="313">
        <f t="shared" ref="R1393" si="1463">100*Q1393/$H$1356</f>
        <v>441.1040559803032</v>
      </c>
      <c r="S1393" s="662">
        <f>[56]PLANCUSce!$I$34</f>
        <v>359.87087999999994</v>
      </c>
      <c r="T1393" s="313">
        <f t="shared" ref="T1393" si="1464">100*S1393/$H$1356</f>
        <v>466.33520798237652</v>
      </c>
    </row>
    <row r="1394" spans="2:20">
      <c r="B1394" s="310" t="s">
        <v>6</v>
      </c>
      <c r="C1394" s="311">
        <f>[57]PLANCUSce!$H$34</f>
        <v>304.47500000000002</v>
      </c>
      <c r="D1394" s="313">
        <f t="shared" si="1431"/>
        <v>394.55099131786966</v>
      </c>
      <c r="E1394" s="662">
        <f>[58]PLANCUSce!$H$34</f>
        <v>312.2833333333333</v>
      </c>
      <c r="F1394" s="313">
        <f t="shared" ref="F1394:F1399" si="1465">100*E1394/$H$1356</f>
        <v>404.66934473672836</v>
      </c>
      <c r="G1394" s="662">
        <f>[59]PLANCUSce!$H$34</f>
        <v>297.96666666666664</v>
      </c>
      <c r="H1394" s="313">
        <f t="shared" ref="H1394:H1399" si="1466">100*G1394/$H$1356</f>
        <v>386.11723035721997</v>
      </c>
      <c r="I1394" s="662">
        <f>[60]PLANCUSce!$H$34</f>
        <v>293.45</v>
      </c>
      <c r="J1394" s="313">
        <f t="shared" ref="J1394:J1399" si="1467">100*I1394/$H$1356</f>
        <v>380.26435143190361</v>
      </c>
      <c r="K1394" s="662">
        <f>[61]PLANCUSce!$H$34</f>
        <v>303.42499999999995</v>
      </c>
      <c r="L1394" s="313">
        <f t="shared" ref="L1394" si="1468">100*K1394/$H$1356</f>
        <v>393.19035894777755</v>
      </c>
      <c r="M1394" s="662">
        <f>[62]PLANCUSce!$H$34</f>
        <v>309.39999999999998</v>
      </c>
      <c r="N1394" s="313">
        <f t="shared" ref="N1394" si="1469">100*M1394/$H$1356</f>
        <v>400.93300505377732</v>
      </c>
      <c r="O1394" s="662">
        <f>[63]PLANCUSce!$I$34</f>
        <v>322.89999999999998</v>
      </c>
      <c r="P1394" s="313">
        <f t="shared" ref="P1394" si="1470">100*O1394/$H$1356</f>
        <v>418.42684981210311</v>
      </c>
      <c r="Q1394" s="662">
        <f>[64]PLANCUSce!$I$34</f>
        <v>340.4</v>
      </c>
      <c r="R1394" s="313">
        <f t="shared" ref="R1394" si="1471">100*Q1394/$H$1356</f>
        <v>441.1040559803032</v>
      </c>
      <c r="S1394" s="662">
        <f>[65]PLANCUSce!$I$34</f>
        <v>359.87087999999994</v>
      </c>
      <c r="T1394" s="313">
        <f t="shared" ref="T1394" si="1472">100*S1394/$H$1356</f>
        <v>466.33520798237652</v>
      </c>
    </row>
    <row r="1395" spans="2:20">
      <c r="B1395" s="310" t="s">
        <v>7</v>
      </c>
      <c r="C1395" s="311">
        <f>[66]PLANCUSce!$H$34</f>
        <v>304.47500000000002</v>
      </c>
      <c r="D1395" s="313">
        <f t="shared" si="1431"/>
        <v>394.55099131786966</v>
      </c>
      <c r="E1395" s="662">
        <f>[67]PLANCUSce!$H$34</f>
        <v>312.2833333333333</v>
      </c>
      <c r="F1395" s="313">
        <f t="shared" si="1465"/>
        <v>404.66934473672836</v>
      </c>
      <c r="G1395" s="662">
        <f>[68]PLANCUSce!$H$34</f>
        <v>297.96666666666664</v>
      </c>
      <c r="H1395" s="313">
        <f t="shared" si="1466"/>
        <v>386.11723035721997</v>
      </c>
      <c r="I1395" s="662">
        <f>[69]PLANCUSce!$H$34</f>
        <v>293.45</v>
      </c>
      <c r="J1395" s="313">
        <f t="shared" si="1467"/>
        <v>380.26435143190361</v>
      </c>
      <c r="K1395" s="662">
        <f>[70]PLANCUSce!$H$34</f>
        <v>303.42499999999995</v>
      </c>
      <c r="L1395" s="313">
        <f t="shared" ref="L1395" si="1473">100*K1395/$H$1356</f>
        <v>393.19035894777755</v>
      </c>
      <c r="M1395" s="662">
        <f>[71]PLANCUSce!$H$34</f>
        <v>313.39999999999998</v>
      </c>
      <c r="N1395" s="313">
        <f t="shared" ref="N1395" si="1474">100*M1395/$H$1356</f>
        <v>406.11636646365162</v>
      </c>
      <c r="O1395" s="662">
        <f>[72]PLANCUSce!$I$34</f>
        <v>322.89999999999998</v>
      </c>
      <c r="P1395" s="313">
        <f t="shared" ref="P1395" si="1475">100*O1395/$H$1356</f>
        <v>418.42684981210311</v>
      </c>
      <c r="Q1395" s="662">
        <f>[73]PLANCUSce!$I$34</f>
        <v>340.4</v>
      </c>
      <c r="R1395" s="313">
        <f t="shared" ref="R1395" si="1476">100*Q1395/$H$1356</f>
        <v>441.1040559803032</v>
      </c>
      <c r="S1395" s="662">
        <f>[74]PLANCUSce!$I$34</f>
        <v>359.87087999999994</v>
      </c>
      <c r="T1395" s="313">
        <f t="shared" ref="T1395" si="1477">100*S1395/$H$1356</f>
        <v>466.33520798237652</v>
      </c>
    </row>
    <row r="1396" spans="2:20">
      <c r="B1396" s="310" t="s">
        <v>8</v>
      </c>
      <c r="C1396" s="311">
        <f>[75]PLANCUSce!$H$34</f>
        <v>304.47500000000002</v>
      </c>
      <c r="D1396" s="313">
        <f>100*C1396/$H$1356</f>
        <v>394.55099131786966</v>
      </c>
      <c r="E1396" s="662">
        <f>[76]PLANCUSce!$H$34</f>
        <v>312.2833333333333</v>
      </c>
      <c r="F1396" s="313">
        <f t="shared" si="1465"/>
        <v>404.66934473672836</v>
      </c>
      <c r="G1396" s="662">
        <f>[77]PLANCUSce!$H$34</f>
        <v>297.96666666666664</v>
      </c>
      <c r="H1396" s="313">
        <f t="shared" si="1466"/>
        <v>386.11723035721997</v>
      </c>
      <c r="I1396" s="662">
        <f>[78]PLANCUSce!$H$34</f>
        <v>293.45</v>
      </c>
      <c r="J1396" s="313">
        <f t="shared" si="1467"/>
        <v>380.26435143190361</v>
      </c>
      <c r="K1396" s="662">
        <f>[79]PLANCUSce!$H$34</f>
        <v>303.42499999999995</v>
      </c>
      <c r="L1396" s="313">
        <f t="shared" ref="L1396" si="1478">100*K1396/$H$1356</f>
        <v>393.19035894777755</v>
      </c>
      <c r="M1396" s="662">
        <f>[80]PLANCUSce!$H$34</f>
        <v>313.39999999999998</v>
      </c>
      <c r="N1396" s="313">
        <f t="shared" ref="N1396" si="1479">100*M1396/$H$1356</f>
        <v>406.11636646365162</v>
      </c>
      <c r="O1396" s="662">
        <f>[81]PLANCUSce!$I$34</f>
        <v>322.89999999999998</v>
      </c>
      <c r="P1396" s="313">
        <f t="shared" ref="P1396" si="1480">100*O1396/$H$1356</f>
        <v>418.42684981210311</v>
      </c>
      <c r="Q1396" s="662">
        <f>[82]PLANCUSce!$I$34</f>
        <v>340.4</v>
      </c>
      <c r="R1396" s="313">
        <f t="shared" ref="R1396" si="1481">100*Q1396/$H$1356</f>
        <v>441.1040559803032</v>
      </c>
      <c r="S1396" s="662">
        <f>[123]PLANCUSce!$I$34</f>
        <v>359.87087999999994</v>
      </c>
      <c r="T1396" s="313">
        <f t="shared" ref="T1396" si="1482">100*S1396/$H$1356</f>
        <v>466.33520798237652</v>
      </c>
    </row>
    <row r="1397" spans="2:20">
      <c r="B1397" s="310" t="s">
        <v>9</v>
      </c>
      <c r="C1397" s="311">
        <f>[83]PLANCUSce!$H$34</f>
        <v>304.47500000000002</v>
      </c>
      <c r="D1397" s="313">
        <f>100*C1397/$H$1356</f>
        <v>394.55099131786966</v>
      </c>
      <c r="E1397" s="662">
        <f>[84]PLANCUSce!$H$34</f>
        <v>312.2833333333333</v>
      </c>
      <c r="F1397" s="313">
        <f t="shared" si="1465"/>
        <v>404.66934473672836</v>
      </c>
      <c r="G1397" s="662">
        <f>[85]PLANCUSce!$H$34</f>
        <v>297.96666666666664</v>
      </c>
      <c r="H1397" s="313">
        <f t="shared" si="1466"/>
        <v>386.11723035721997</v>
      </c>
      <c r="I1397" s="662">
        <f>[86]PLANCUSce!$H$34</f>
        <v>293.45</v>
      </c>
      <c r="J1397" s="313">
        <f t="shared" si="1467"/>
        <v>380.26435143190361</v>
      </c>
      <c r="K1397" s="662">
        <f>[87]PLANCUSce!$H$34</f>
        <v>303.42499999999995</v>
      </c>
      <c r="L1397" s="313">
        <f t="shared" ref="L1397" si="1483">100*K1397/$H$1356</f>
        <v>393.19035894777755</v>
      </c>
      <c r="M1397" s="662">
        <f>[88]PLANCUSce!$H$34</f>
        <v>313.39999999999998</v>
      </c>
      <c r="N1397" s="313">
        <f t="shared" ref="N1397" si="1484">100*M1397/$H$1356</f>
        <v>406.11636646365162</v>
      </c>
      <c r="O1397" s="662">
        <f>[89]PLANCUSce!$I$34</f>
        <v>330.4</v>
      </c>
      <c r="P1397" s="313">
        <f t="shared" ref="P1397" si="1485">100*O1397/$H$1356</f>
        <v>428.14565245561744</v>
      </c>
      <c r="Q1397" s="662">
        <f>[90]PLANCUSce!$I$34</f>
        <v>340.4</v>
      </c>
      <c r="R1397" s="313">
        <f t="shared" ref="R1397" si="1486">100*Q1397/$H$1356</f>
        <v>441.1040559803032</v>
      </c>
      <c r="S1397" s="662"/>
      <c r="T1397" s="313"/>
    </row>
    <row r="1398" spans="2:20">
      <c r="B1398" s="310" t="s">
        <v>10</v>
      </c>
      <c r="C1398" s="311">
        <f>[91]PLANCUSce!$H$34</f>
        <v>304.47500000000002</v>
      </c>
      <c r="D1398" s="313">
        <f>100*C1398/$H$1356</f>
        <v>394.55099131786966</v>
      </c>
      <c r="E1398" s="662">
        <f>[92]PLANCUSce!$H$34</f>
        <v>312.2833333333333</v>
      </c>
      <c r="F1398" s="313">
        <f t="shared" si="1465"/>
        <v>404.66934473672836</v>
      </c>
      <c r="G1398" s="662">
        <f>[93]PLANCUSce!$H$34</f>
        <v>297.96666666666664</v>
      </c>
      <c r="H1398" s="313">
        <f t="shared" si="1466"/>
        <v>386.11723035721997</v>
      </c>
      <c r="I1398" s="662">
        <f>[94]PLANCUSce!$H$34</f>
        <v>293.45</v>
      </c>
      <c r="J1398" s="313">
        <f t="shared" si="1467"/>
        <v>380.26435143190361</v>
      </c>
      <c r="K1398" s="662">
        <f>[95]PLANCUSce!$H$34</f>
        <v>303.42499999999995</v>
      </c>
      <c r="L1398" s="313">
        <f t="shared" ref="L1398" si="1487">100*K1398/$H$1356</f>
        <v>393.19035894777755</v>
      </c>
      <c r="M1398" s="662">
        <f>[96]PLANCUSce!$H$34</f>
        <v>313.39999999999998</v>
      </c>
      <c r="N1398" s="313">
        <f t="shared" ref="N1398" si="1488">100*M1398/$H$1356</f>
        <v>406.11636646365162</v>
      </c>
      <c r="O1398" s="662">
        <f>[97]PLANCUSce!$I$34</f>
        <v>330.4</v>
      </c>
      <c r="P1398" s="313">
        <f t="shared" ref="P1398" si="1489">100*O1398/$H$1356</f>
        <v>428.14565245561744</v>
      </c>
      <c r="Q1398" s="662">
        <f>[98]PLANCUSce!$I$34</f>
        <v>340.4</v>
      </c>
      <c r="R1398" s="313">
        <f t="shared" ref="R1398" si="1490">100*Q1398/$H$1356</f>
        <v>441.1040559803032</v>
      </c>
      <c r="S1398" s="662"/>
      <c r="T1398" s="313"/>
    </row>
    <row r="1399" spans="2:20" ht="15.75" thickBot="1">
      <c r="B1399" s="314" t="s">
        <v>11</v>
      </c>
      <c r="C1399" s="315">
        <f>[99]PLANCUSce!$H$34</f>
        <v>304.47500000000002</v>
      </c>
      <c r="D1399" s="317">
        <f>100*C1399/$H$1356</f>
        <v>394.55099131786966</v>
      </c>
      <c r="E1399" s="682">
        <f>[100]PLANCUSce!$H$34</f>
        <v>315.96666666666664</v>
      </c>
      <c r="F1399" s="317">
        <f t="shared" si="1465"/>
        <v>409.44235670165432</v>
      </c>
      <c r="G1399" s="682">
        <f>[101]PLANCUSce!$H$34</f>
        <v>297.96666666666664</v>
      </c>
      <c r="H1399" s="317">
        <f t="shared" si="1466"/>
        <v>386.11723035721997</v>
      </c>
      <c r="I1399" s="682">
        <f>[102]PLANCUSce!$H$34</f>
        <v>293.45</v>
      </c>
      <c r="J1399" s="317">
        <f t="shared" si="1467"/>
        <v>380.26435143190361</v>
      </c>
      <c r="K1399" s="682">
        <f>[103]PLANCUSce!$H$34</f>
        <v>303.42499999999995</v>
      </c>
      <c r="L1399" s="317">
        <f t="shared" ref="L1399" si="1491">100*K1399/$H$1356</f>
        <v>393.19035894777755</v>
      </c>
      <c r="M1399" s="682">
        <f>[104]PLANCUSce!$H$34</f>
        <v>313.39999999999998</v>
      </c>
      <c r="N1399" s="317">
        <f t="shared" ref="N1399" si="1492">100*M1399/$H$1356</f>
        <v>406.11636646365162</v>
      </c>
      <c r="O1399" s="682">
        <f>[105]PLANCUSce!$I$34</f>
        <v>330.4</v>
      </c>
      <c r="P1399" s="317">
        <f t="shared" ref="P1399" si="1493">100*O1399/$H$1356</f>
        <v>428.14565245561744</v>
      </c>
      <c r="Q1399" s="682">
        <f>[106]PLANCUSce!$I$34</f>
        <v>340.4</v>
      </c>
      <c r="R1399" s="317">
        <f t="shared" ref="R1399" si="1494">100*Q1399/$H$1356</f>
        <v>441.1040559803032</v>
      </c>
      <c r="S1399" s="682"/>
      <c r="T1399" s="317"/>
    </row>
    <row r="1400" spans="2:20">
      <c r="B1400" s="119"/>
      <c r="C1400" s="118"/>
      <c r="D1400" s="123"/>
      <c r="E1400" s="118"/>
      <c r="F1400" s="123"/>
      <c r="G1400" s="118"/>
      <c r="H1400" s="123"/>
      <c r="I1400" s="123"/>
      <c r="J1400" s="123"/>
      <c r="K1400" s="123"/>
      <c r="L1400" s="123"/>
      <c r="M1400" s="123"/>
      <c r="N1400" s="123"/>
      <c r="O1400" s="123"/>
      <c r="P1400" s="123"/>
      <c r="Q1400" s="180"/>
      <c r="R1400" s="123"/>
      <c r="S1400" s="119"/>
      <c r="T1400" s="132"/>
    </row>
    <row r="1401" spans="2:20">
      <c r="B1401" s="198"/>
      <c r="C1401" s="199"/>
      <c r="D1401" s="200"/>
      <c r="E1401" s="199"/>
      <c r="F1401" s="200"/>
      <c r="G1401" s="199"/>
      <c r="H1401" s="200"/>
      <c r="I1401" s="200"/>
      <c r="J1401" s="200"/>
      <c r="K1401" s="200"/>
      <c r="L1401" s="200"/>
      <c r="M1401" s="200"/>
      <c r="N1401" s="200"/>
      <c r="O1401" s="123"/>
      <c r="P1401" s="123"/>
      <c r="Q1401" s="180"/>
      <c r="R1401" s="123"/>
      <c r="S1401" s="119"/>
      <c r="T1401" s="132"/>
    </row>
    <row r="1402" spans="2:20">
      <c r="B1402" s="119"/>
      <c r="C1402" s="118"/>
      <c r="D1402" s="123"/>
      <c r="E1402" s="118"/>
      <c r="F1402" s="123"/>
      <c r="G1402" s="118"/>
      <c r="H1402" s="123"/>
      <c r="I1402" s="123"/>
      <c r="J1402" s="123"/>
      <c r="K1402" s="123"/>
      <c r="L1402" s="123"/>
      <c r="M1402" s="123"/>
      <c r="N1402" s="123"/>
      <c r="O1402" s="123"/>
      <c r="P1402" s="123"/>
      <c r="Q1402" s="180"/>
      <c r="R1402" s="123"/>
      <c r="S1402" s="119"/>
      <c r="T1402" s="132"/>
    </row>
    <row r="1403" spans="2:20" ht="24" thickBot="1">
      <c r="B1403" s="1393" t="s">
        <v>306</v>
      </c>
      <c r="C1403" s="1393"/>
      <c r="D1403" s="1393"/>
      <c r="E1403" s="1393"/>
      <c r="F1403" s="1393"/>
      <c r="G1403" s="1393"/>
      <c r="H1403" s="1393"/>
      <c r="I1403" s="1393"/>
      <c r="J1403" s="1393"/>
      <c r="K1403" s="1393"/>
      <c r="L1403" s="1393"/>
      <c r="M1403" s="1393"/>
      <c r="N1403" s="1393"/>
      <c r="O1403" s="1393"/>
      <c r="P1403" s="1393"/>
      <c r="Q1403" s="180"/>
      <c r="R1403" s="123"/>
      <c r="S1403" s="119"/>
      <c r="T1403" s="132"/>
    </row>
    <row r="1404" spans="2:20" ht="15.75" thickBot="1">
      <c r="B1404" s="1329">
        <v>2004</v>
      </c>
      <c r="C1404" s="1330"/>
      <c r="D1404" s="334" t="s">
        <v>15</v>
      </c>
      <c r="E1404" s="337">
        <v>2005</v>
      </c>
      <c r="F1404" s="334" t="s">
        <v>15</v>
      </c>
      <c r="G1404" s="337">
        <v>2006</v>
      </c>
      <c r="H1404" s="334" t="s">
        <v>15</v>
      </c>
      <c r="I1404" s="337">
        <v>2007</v>
      </c>
      <c r="J1404" s="334" t="s">
        <v>15</v>
      </c>
      <c r="K1404" s="337">
        <v>2008</v>
      </c>
      <c r="L1404" s="334" t="s">
        <v>15</v>
      </c>
      <c r="M1404" s="337">
        <v>2009</v>
      </c>
      <c r="N1404" s="334" t="s">
        <v>15</v>
      </c>
      <c r="O1404" s="337">
        <v>2010</v>
      </c>
      <c r="P1404" s="353" t="s">
        <v>15</v>
      </c>
      <c r="Q1404" s="180"/>
      <c r="R1404" s="123"/>
      <c r="S1404" s="119"/>
      <c r="T1404" s="132"/>
    </row>
    <row r="1405" spans="2:20">
      <c r="B1405" s="306" t="s">
        <v>0</v>
      </c>
      <c r="C1405" s="615"/>
      <c r="D1405" s="308"/>
      <c r="E1405" s="615">
        <v>0.1206</v>
      </c>
      <c r="F1405" s="308">
        <f t="shared" ref="F1405:F1416" si="1495">100*(E1405/$C$1411)</f>
        <v>100.50000000000001</v>
      </c>
      <c r="G1405" s="615">
        <v>0.1222</v>
      </c>
      <c r="H1405" s="308">
        <f t="shared" ref="H1405:H1416" si="1496">100*(G1405/$C$1411)</f>
        <v>101.83333333333333</v>
      </c>
      <c r="I1405" s="615">
        <v>0.1265</v>
      </c>
      <c r="J1405" s="308">
        <f t="shared" ref="J1405:J1416" si="1497">100*(I1405/$C$1411)</f>
        <v>105.41666666666667</v>
      </c>
      <c r="K1405" s="615">
        <v>0.13133829923545981</v>
      </c>
      <c r="L1405" s="308">
        <f t="shared" ref="L1405:L1416" si="1498">100*(K1405/$C$1411)</f>
        <v>109.4485826962165</v>
      </c>
      <c r="M1405" s="615">
        <v>0.1398509226641019</v>
      </c>
      <c r="N1405" s="308">
        <f t="shared" ref="N1405:N1416" si="1499">100*(M1405/$C$1411)</f>
        <v>116.54243555341826</v>
      </c>
      <c r="O1405" s="615">
        <v>0.14460484992790612</v>
      </c>
      <c r="P1405" s="309">
        <f t="shared" ref="P1405:P1416" si="1500">100*(O1405/$C$1411)</f>
        <v>120.50404160658843</v>
      </c>
      <c r="Q1405" s="180"/>
      <c r="R1405" s="123"/>
      <c r="S1405" s="119"/>
      <c r="T1405" s="132"/>
    </row>
    <row r="1406" spans="2:20">
      <c r="B1406" s="310" t="s">
        <v>1</v>
      </c>
      <c r="C1406" s="472"/>
      <c r="D1406" s="312"/>
      <c r="E1406" s="472">
        <v>0.1211</v>
      </c>
      <c r="F1406" s="312">
        <f t="shared" si="1495"/>
        <v>100.91666666666667</v>
      </c>
      <c r="G1406" s="472">
        <v>0.12330000000000001</v>
      </c>
      <c r="H1406" s="312">
        <f t="shared" si="1496"/>
        <v>102.75000000000001</v>
      </c>
      <c r="I1406" s="472">
        <v>0.12720000000000001</v>
      </c>
      <c r="J1406" s="312">
        <f t="shared" si="1497"/>
        <v>106</v>
      </c>
      <c r="K1406" s="472">
        <v>0.13224453350018447</v>
      </c>
      <c r="L1406" s="312">
        <f t="shared" si="1498"/>
        <v>110.20377791682039</v>
      </c>
      <c r="M1406" s="472">
        <v>0.14074596856915214</v>
      </c>
      <c r="N1406" s="312">
        <f t="shared" si="1499"/>
        <v>117.28830714096013</v>
      </c>
      <c r="O1406" s="472">
        <v>0.14587737260727168</v>
      </c>
      <c r="P1406" s="313">
        <f t="shared" si="1500"/>
        <v>121.5644771727264</v>
      </c>
      <c r="Q1406" s="180"/>
      <c r="R1406" s="123"/>
      <c r="S1406" s="119"/>
      <c r="T1406" s="132"/>
    </row>
    <row r="1407" spans="2:20">
      <c r="B1407" s="310" t="s">
        <v>2</v>
      </c>
      <c r="C1407" s="472"/>
      <c r="D1407" s="312"/>
      <c r="E1407" s="472">
        <v>0.1215</v>
      </c>
      <c r="F1407" s="312">
        <f t="shared" si="1495"/>
        <v>101.25</v>
      </c>
      <c r="G1407" s="472">
        <v>0.12330000000000001</v>
      </c>
      <c r="H1407" s="312">
        <f t="shared" si="1496"/>
        <v>102.75000000000001</v>
      </c>
      <c r="I1407" s="472">
        <v>0.1275</v>
      </c>
      <c r="J1407" s="312">
        <f t="shared" si="1497"/>
        <v>106.25</v>
      </c>
      <c r="K1407" s="472">
        <v>0.13287930726098535</v>
      </c>
      <c r="L1407" s="312">
        <f t="shared" si="1498"/>
        <v>110.73275605082114</v>
      </c>
      <c r="M1407" s="472">
        <v>0.14119635566857344</v>
      </c>
      <c r="N1407" s="312">
        <f t="shared" si="1499"/>
        <v>117.66362972381121</v>
      </c>
      <c r="O1407" s="472">
        <v>0.14689851421552258</v>
      </c>
      <c r="P1407" s="313">
        <f t="shared" si="1500"/>
        <v>122.41542851293549</v>
      </c>
      <c r="Q1407" s="180"/>
      <c r="R1407" s="123"/>
      <c r="S1407" s="119"/>
      <c r="T1407" s="132"/>
    </row>
    <row r="1408" spans="2:20">
      <c r="B1408" s="310" t="s">
        <v>3</v>
      </c>
      <c r="C1408" s="472"/>
      <c r="D1408" s="312"/>
      <c r="E1408" s="472">
        <v>0.1225</v>
      </c>
      <c r="F1408" s="312">
        <f t="shared" si="1495"/>
        <v>102.08333333333333</v>
      </c>
      <c r="G1408" s="472">
        <v>0.1225</v>
      </c>
      <c r="H1408" s="312">
        <f t="shared" si="1496"/>
        <v>102.08333333333333</v>
      </c>
      <c r="I1408" s="472">
        <v>0.128</v>
      </c>
      <c r="J1408" s="312">
        <f t="shared" si="1497"/>
        <v>106.66666666666667</v>
      </c>
      <c r="K1408" s="472">
        <v>0.13355699172801638</v>
      </c>
      <c r="L1408" s="312">
        <f t="shared" si="1498"/>
        <v>111.29749310668034</v>
      </c>
      <c r="M1408" s="472">
        <v>0.14147874837991059</v>
      </c>
      <c r="N1408" s="312">
        <f t="shared" si="1499"/>
        <v>117.89895698325883</v>
      </c>
      <c r="O1408" s="472">
        <v>0.14794149366645282</v>
      </c>
      <c r="P1408" s="313">
        <f t="shared" si="1500"/>
        <v>123.28457805537735</v>
      </c>
      <c r="Q1408" s="180"/>
      <c r="R1408" s="123"/>
      <c r="S1408" s="119"/>
      <c r="T1408" s="132"/>
    </row>
    <row r="1409" spans="2:22">
      <c r="B1409" s="310" t="s">
        <v>4</v>
      </c>
      <c r="C1409" s="472"/>
      <c r="D1409" s="312"/>
      <c r="E1409" s="472">
        <v>0.1236</v>
      </c>
      <c r="F1409" s="312">
        <f t="shared" si="1495"/>
        <v>103</v>
      </c>
      <c r="G1409" s="472">
        <v>0.1225</v>
      </c>
      <c r="H1409" s="312">
        <f t="shared" si="1496"/>
        <v>102.08333333333333</v>
      </c>
      <c r="I1409" s="472">
        <v>0.128</v>
      </c>
      <c r="J1409" s="312">
        <f t="shared" si="1497"/>
        <v>106.66666666666667</v>
      </c>
      <c r="K1409" s="472">
        <v>0.13441175647507569</v>
      </c>
      <c r="L1409" s="312">
        <f t="shared" si="1498"/>
        <v>112.00979706256308</v>
      </c>
      <c r="M1409" s="472">
        <v>0.14126653025734073</v>
      </c>
      <c r="N1409" s="312">
        <f t="shared" si="1499"/>
        <v>117.72210854778396</v>
      </c>
      <c r="O1409" s="472">
        <v>0.14902146657021795</v>
      </c>
      <c r="P1409" s="313">
        <f t="shared" si="1500"/>
        <v>124.18455547518164</v>
      </c>
      <c r="Q1409" s="180"/>
      <c r="R1409" s="123"/>
      <c r="S1409" s="119"/>
      <c r="T1409" s="132"/>
    </row>
    <row r="1410" spans="2:22">
      <c r="B1410" s="310" t="s">
        <v>5</v>
      </c>
      <c r="C1410" s="472"/>
      <c r="D1410" s="312"/>
      <c r="E1410" s="472">
        <v>0.12330000000000001</v>
      </c>
      <c r="F1410" s="312">
        <f t="shared" si="1495"/>
        <v>102.75000000000001</v>
      </c>
      <c r="G1410" s="472">
        <v>0.123</v>
      </c>
      <c r="H1410" s="312">
        <f t="shared" si="1496"/>
        <v>102.50000000000001</v>
      </c>
      <c r="I1410" s="472">
        <v>0.128</v>
      </c>
      <c r="J1410" s="312">
        <f t="shared" si="1497"/>
        <v>106.66666666666667</v>
      </c>
      <c r="K1410" s="472">
        <v>0.13569999999999999</v>
      </c>
      <c r="L1410" s="312">
        <f t="shared" si="1498"/>
        <v>113.08333333333334</v>
      </c>
      <c r="M1410" s="472">
        <v>0.14211412943888477</v>
      </c>
      <c r="N1410" s="312">
        <f t="shared" si="1499"/>
        <v>118.42844119907063</v>
      </c>
      <c r="O1410" s="472">
        <v>0.14966225887646989</v>
      </c>
      <c r="P1410" s="313">
        <f t="shared" si="1500"/>
        <v>124.71854906372491</v>
      </c>
      <c r="Q1410" s="180"/>
      <c r="R1410" s="123"/>
      <c r="S1410" s="119"/>
      <c r="T1410" s="132"/>
    </row>
    <row r="1411" spans="2:22">
      <c r="B1411" s="310" t="s">
        <v>6</v>
      </c>
      <c r="C1411" s="472">
        <v>0.12</v>
      </c>
      <c r="D1411" s="312">
        <v>100</v>
      </c>
      <c r="E1411" s="472">
        <v>0.12280000000000001</v>
      </c>
      <c r="F1411" s="312">
        <f t="shared" si="1495"/>
        <v>102.33333333333334</v>
      </c>
      <c r="G1411" s="472">
        <v>0.1239</v>
      </c>
      <c r="H1411" s="312">
        <f t="shared" si="1496"/>
        <v>103.25</v>
      </c>
      <c r="I1411" s="472">
        <v>0.12805467748624247</v>
      </c>
      <c r="J1411" s="312">
        <f t="shared" si="1497"/>
        <v>106.7122312385354</v>
      </c>
      <c r="K1411" s="472">
        <v>0.13689999999999999</v>
      </c>
      <c r="L1411" s="312">
        <f t="shared" si="1498"/>
        <v>114.08333333333334</v>
      </c>
      <c r="M1411" s="472">
        <v>0.14269999999999999</v>
      </c>
      <c r="N1411" s="312">
        <f t="shared" si="1499"/>
        <v>118.91666666666667</v>
      </c>
      <c r="O1411" s="472">
        <v>0.14949763039170577</v>
      </c>
      <c r="P1411" s="313">
        <f t="shared" si="1500"/>
        <v>124.58135865975481</v>
      </c>
      <c r="Q1411" s="180"/>
      <c r="R1411" s="123"/>
      <c r="S1411" s="119"/>
      <c r="T1411" s="132"/>
    </row>
    <row r="1412" spans="2:22">
      <c r="B1412" s="310" t="s">
        <v>7</v>
      </c>
      <c r="C1412" s="472">
        <v>0.12</v>
      </c>
      <c r="D1412" s="312">
        <f>100*(C1412/$C$1411)</f>
        <v>100</v>
      </c>
      <c r="E1412" s="472">
        <v>0.12239999999999999</v>
      </c>
      <c r="F1412" s="312">
        <f t="shared" si="1495"/>
        <v>102</v>
      </c>
      <c r="G1412" s="472">
        <v>0.1241</v>
      </c>
      <c r="H1412" s="312">
        <f t="shared" si="1496"/>
        <v>103.41666666666667</v>
      </c>
      <c r="I1412" s="472">
        <v>0.12846445245419799</v>
      </c>
      <c r="J1412" s="312">
        <f t="shared" si="1497"/>
        <v>107.05371037849834</v>
      </c>
      <c r="K1412" s="472">
        <v>0.13773123312369207</v>
      </c>
      <c r="L1412" s="312">
        <f t="shared" si="1498"/>
        <v>114.77602760307673</v>
      </c>
      <c r="M1412" s="472">
        <v>0.14303924410272789</v>
      </c>
      <c r="N1412" s="312">
        <f t="shared" si="1499"/>
        <v>119.19937008560657</v>
      </c>
      <c r="O1412" s="472">
        <v>0.14939298205043158</v>
      </c>
      <c r="P1412" s="313">
        <f t="shared" si="1500"/>
        <v>124.49415170869298</v>
      </c>
      <c r="Q1412" s="180"/>
      <c r="R1412" s="123"/>
      <c r="S1412" s="119"/>
      <c r="T1412" s="132"/>
    </row>
    <row r="1413" spans="2:22">
      <c r="B1413" s="310" t="s">
        <v>8</v>
      </c>
      <c r="C1413" s="472">
        <v>0.12</v>
      </c>
      <c r="D1413" s="312">
        <f>100*(C1413/$C$1411)</f>
        <v>100</v>
      </c>
      <c r="E1413" s="472">
        <v>0.1216</v>
      </c>
      <c r="F1413" s="312">
        <f t="shared" si="1495"/>
        <v>101.33333333333334</v>
      </c>
      <c r="G1413" s="472">
        <v>0.1246</v>
      </c>
      <c r="H1413" s="312">
        <f t="shared" si="1496"/>
        <v>103.83333333333333</v>
      </c>
      <c r="I1413" s="472">
        <v>0.12881020008341082</v>
      </c>
      <c r="J1413" s="312">
        <f t="shared" si="1497"/>
        <v>107.34183340284235</v>
      </c>
      <c r="K1413" s="472">
        <v>0.13802046871325183</v>
      </c>
      <c r="L1413" s="312">
        <f t="shared" si="1498"/>
        <v>115.01705726104319</v>
      </c>
      <c r="M1413" s="472">
        <v>0.14315367549801006</v>
      </c>
      <c r="N1413" s="312">
        <f t="shared" si="1499"/>
        <v>119.29472958167506</v>
      </c>
      <c r="O1413" s="472">
        <v>0.14928840696299628</v>
      </c>
      <c r="P1413" s="313">
        <f t="shared" si="1500"/>
        <v>124.40700580249691</v>
      </c>
      <c r="Q1413" s="180"/>
      <c r="R1413" s="123"/>
      <c r="S1413" s="119"/>
      <c r="T1413" s="132"/>
    </row>
    <row r="1414" spans="2:22">
      <c r="B1414" s="310" t="s">
        <v>9</v>
      </c>
      <c r="C1414" s="472">
        <v>0.12</v>
      </c>
      <c r="D1414" s="312">
        <f>100*(C1414/$C$1411)</f>
        <v>100</v>
      </c>
      <c r="E1414" s="472">
        <v>0.121</v>
      </c>
      <c r="F1414" s="312">
        <f t="shared" si="1495"/>
        <v>100.83333333333333</v>
      </c>
      <c r="G1414" s="472">
        <v>0.1246</v>
      </c>
      <c r="H1414" s="312">
        <f t="shared" si="1496"/>
        <v>103.83333333333333</v>
      </c>
      <c r="I1414" s="472">
        <v>0.12913222558361934</v>
      </c>
      <c r="J1414" s="312">
        <f t="shared" si="1497"/>
        <v>107.61018798634944</v>
      </c>
      <c r="K1414" s="472">
        <v>0.1382274994163217</v>
      </c>
      <c r="L1414" s="312">
        <f t="shared" si="1498"/>
        <v>115.18958284693474</v>
      </c>
      <c r="M1414" s="472">
        <v>0.14338272137880689</v>
      </c>
      <c r="N1414" s="312">
        <f t="shared" si="1499"/>
        <v>119.48560114900575</v>
      </c>
      <c r="O1414" s="472">
        <v>0.15009456436059646</v>
      </c>
      <c r="P1414" s="313">
        <f t="shared" si="1500"/>
        <v>125.07880363383039</v>
      </c>
      <c r="Q1414" s="180"/>
      <c r="R1414" s="123"/>
      <c r="S1414" s="119"/>
      <c r="T1414" s="132"/>
    </row>
    <row r="1415" spans="2:22">
      <c r="B1415" s="310" t="s">
        <v>10</v>
      </c>
      <c r="C1415" s="472">
        <v>0.12</v>
      </c>
      <c r="D1415" s="312">
        <f>100*(C1415/$C$1411)</f>
        <v>100</v>
      </c>
      <c r="E1415" s="472">
        <v>0.1217</v>
      </c>
      <c r="F1415" s="312">
        <f t="shared" si="1495"/>
        <v>101.41666666666667</v>
      </c>
      <c r="G1415" s="472">
        <v>0.12520000000000001</v>
      </c>
      <c r="H1415" s="312">
        <f t="shared" si="1496"/>
        <v>104.33333333333334</v>
      </c>
      <c r="I1415" s="472">
        <v>0.12951962226037017</v>
      </c>
      <c r="J1415" s="312">
        <f t="shared" si="1497"/>
        <v>107.93301855030847</v>
      </c>
      <c r="K1415" s="472">
        <v>0.13891863691340331</v>
      </c>
      <c r="L1415" s="312">
        <f t="shared" si="1498"/>
        <v>115.76553076116942</v>
      </c>
      <c r="M1415" s="472">
        <v>0.14372683991011603</v>
      </c>
      <c r="N1415" s="312">
        <f t="shared" si="1499"/>
        <v>119.77236659176336</v>
      </c>
      <c r="O1415" s="472">
        <v>0.15147543435271396</v>
      </c>
      <c r="P1415" s="313">
        <f t="shared" si="1500"/>
        <v>126.22952862726164</v>
      </c>
      <c r="Q1415" s="180"/>
      <c r="R1415" s="123"/>
      <c r="S1415" s="119"/>
      <c r="T1415" s="132"/>
    </row>
    <row r="1416" spans="2:22" ht="15.75" thickBot="1">
      <c r="B1416" s="314" t="s">
        <v>11</v>
      </c>
      <c r="C1416" s="616">
        <v>0.12</v>
      </c>
      <c r="D1416" s="312">
        <f>100*(C1416/$C$1411)</f>
        <v>100</v>
      </c>
      <c r="E1416" s="616">
        <v>0.1222</v>
      </c>
      <c r="F1416" s="316">
        <f t="shared" si="1495"/>
        <v>101.83333333333333</v>
      </c>
      <c r="G1416" s="616">
        <v>0.12609999999999999</v>
      </c>
      <c r="H1416" s="316">
        <f t="shared" si="1496"/>
        <v>105.08333333333333</v>
      </c>
      <c r="I1416" s="616">
        <v>0.13007655663608975</v>
      </c>
      <c r="J1416" s="316">
        <f t="shared" si="1497"/>
        <v>108.3971305300748</v>
      </c>
      <c r="K1416" s="616">
        <v>0.13944652773367425</v>
      </c>
      <c r="L1416" s="316">
        <f t="shared" si="1498"/>
        <v>116.20543977806189</v>
      </c>
      <c r="M1416" s="616">
        <v>0.14425862921778346</v>
      </c>
      <c r="N1416" s="316">
        <f t="shared" si="1499"/>
        <v>120.21552434815288</v>
      </c>
      <c r="O1416" s="616">
        <v>0.15303563132654691</v>
      </c>
      <c r="P1416" s="317">
        <f t="shared" si="1500"/>
        <v>127.52969277212243</v>
      </c>
      <c r="Q1416" s="180"/>
      <c r="R1416" s="123"/>
      <c r="S1416" s="119"/>
      <c r="T1416" s="132"/>
    </row>
    <row r="1417" spans="2:22">
      <c r="B1417" s="119"/>
      <c r="C1417" s="204"/>
      <c r="D1417" s="123"/>
      <c r="E1417" s="204"/>
      <c r="F1417" s="123"/>
      <c r="G1417" s="204"/>
      <c r="H1417" s="123"/>
      <c r="I1417" s="204"/>
      <c r="J1417" s="123"/>
      <c r="K1417" s="204"/>
      <c r="L1417" s="123"/>
      <c r="M1417" s="204"/>
      <c r="N1417" s="123"/>
      <c r="O1417" s="204"/>
      <c r="P1417" s="123"/>
      <c r="Q1417" s="180"/>
      <c r="R1417" s="123"/>
      <c r="S1417" s="119"/>
      <c r="T1417" s="132"/>
    </row>
    <row r="1418" spans="2:22" ht="20.25">
      <c r="B1418" s="1325" t="s">
        <v>307</v>
      </c>
      <c r="C1418" s="1326"/>
      <c r="D1418" s="1326"/>
      <c r="E1418" s="1326"/>
      <c r="F1418" s="1326"/>
      <c r="G1418" s="1326"/>
      <c r="H1418" s="1326"/>
      <c r="I1418" s="1326"/>
      <c r="J1418" s="1326"/>
      <c r="K1418" s="1326"/>
      <c r="L1418" s="1326"/>
      <c r="M1418" s="1326"/>
      <c r="N1418" s="1326"/>
      <c r="O1418" s="1326"/>
      <c r="P1418" s="1326"/>
      <c r="Q1418" s="1326"/>
      <c r="R1418" s="1326"/>
      <c r="S1418" s="1326"/>
      <c r="T1418" s="1326"/>
      <c r="U1418" s="1326"/>
      <c r="V1418" s="1326"/>
    </row>
    <row r="1419" spans="2:22" ht="15.75" thickBot="1">
      <c r="B1419" s="1314">
        <v>2011</v>
      </c>
      <c r="C1419" s="1315"/>
      <c r="D1419" s="652" t="s">
        <v>15</v>
      </c>
      <c r="E1419" s="653">
        <v>2012</v>
      </c>
      <c r="F1419" s="654" t="s">
        <v>15</v>
      </c>
      <c r="G1419" s="653">
        <v>2013</v>
      </c>
      <c r="H1419" s="654" t="s">
        <v>15</v>
      </c>
      <c r="I1419" s="653">
        <v>2014</v>
      </c>
      <c r="J1419" s="654" t="s">
        <v>15</v>
      </c>
      <c r="K1419" s="653">
        <v>2015</v>
      </c>
      <c r="L1419" s="654" t="s">
        <v>15</v>
      </c>
      <c r="M1419" s="653">
        <v>2016</v>
      </c>
      <c r="N1419" s="654" t="s">
        <v>15</v>
      </c>
      <c r="O1419" s="653">
        <v>2017</v>
      </c>
      <c r="P1419" s="654" t="s">
        <v>15</v>
      </c>
      <c r="Q1419" s="653">
        <v>2018</v>
      </c>
      <c r="R1419" s="654" t="s">
        <v>15</v>
      </c>
      <c r="S1419" s="653">
        <v>2019</v>
      </c>
      <c r="T1419" s="654" t="s">
        <v>15</v>
      </c>
      <c r="U1419" s="653">
        <v>2020</v>
      </c>
      <c r="V1419" s="654" t="s">
        <v>15</v>
      </c>
    </row>
    <row r="1420" spans="2:22">
      <c r="B1420" s="306" t="s">
        <v>0</v>
      </c>
      <c r="C1420" s="615">
        <v>0.15395384511450619</v>
      </c>
      <c r="D1420" s="308">
        <f t="shared" ref="D1420:D1431" si="1501">100*(C1420/$C$1411)</f>
        <v>128.29487092875516</v>
      </c>
      <c r="E1420" s="615">
        <v>0.16258245489158921</v>
      </c>
      <c r="F1420" s="309">
        <f t="shared" ref="F1420:F1431" si="1502">100*(E1420/$C$1411)</f>
        <v>135.48537907632434</v>
      </c>
      <c r="G1420" s="668">
        <f>[9]PLANCUSce!$H$183</f>
        <v>0.17265896553843776</v>
      </c>
      <c r="H1420" s="655">
        <f t="shared" ref="H1420:H1431" si="1503">100*(G1420/$C$1411)</f>
        <v>143.88247128203147</v>
      </c>
      <c r="I1420" s="668">
        <f>[10]PLANCUSce!$H$183</f>
        <v>0.18226340315087125</v>
      </c>
      <c r="J1420" s="655">
        <f t="shared" ref="J1420:J1425" si="1504">100*(I1420/$C$1411)</f>
        <v>151.88616929239271</v>
      </c>
      <c r="K1420" s="668">
        <f>[11]PLANCUSce!$H$191</f>
        <v>0.19361525858001299</v>
      </c>
      <c r="L1420" s="655">
        <f t="shared" ref="L1420:L1425" si="1505">100*(K1420/$C$1411)</f>
        <v>161.34604881667752</v>
      </c>
      <c r="M1420" s="668">
        <f>[12]PLANCUSce!$H$192</f>
        <v>0.21544763692278929</v>
      </c>
      <c r="N1420" s="655">
        <f t="shared" ref="N1420" si="1506">100*(M1420/$C$1411)</f>
        <v>179.53969743565773</v>
      </c>
      <c r="O1420" s="668">
        <f>[13]PLANCUSce!$H$192</f>
        <v>0.22962401303821384</v>
      </c>
      <c r="P1420" s="655">
        <f t="shared" ref="P1420" si="1507">100*(O1420/$C$1411)</f>
        <v>191.35334419851154</v>
      </c>
      <c r="Q1420" s="668">
        <f>[14]PLANCUSce!$H$192</f>
        <v>0.23437018286527214</v>
      </c>
      <c r="R1420" s="655">
        <f t="shared" ref="R1420" si="1508">100*(Q1420/$C$1411)</f>
        <v>195.30848572106012</v>
      </c>
      <c r="S1420" s="668">
        <f>[15]PLANCUSce!$I$194</f>
        <v>0.24241823965308587</v>
      </c>
      <c r="T1420" s="655">
        <f t="shared" ref="T1420" si="1509">100*(S1420/$C$1411)</f>
        <v>202.01519971090488</v>
      </c>
      <c r="U1420" s="668">
        <f>[16]PLANCUSce!$I$194</f>
        <v>0.25248109720334583</v>
      </c>
      <c r="V1420" s="655">
        <f t="shared" ref="V1420" si="1510">100*(U1420/$C$1411)</f>
        <v>210.40091433612153</v>
      </c>
    </row>
    <row r="1421" spans="2:22">
      <c r="B1421" s="310" t="s">
        <v>1</v>
      </c>
      <c r="C1421" s="472">
        <v>0.15540101125858255</v>
      </c>
      <c r="D1421" s="312">
        <f t="shared" si="1501"/>
        <v>129.50084271548545</v>
      </c>
      <c r="E1421" s="472">
        <v>0.16341162541153634</v>
      </c>
      <c r="F1421" s="313">
        <f t="shared" si="1502"/>
        <v>136.17635450961362</v>
      </c>
      <c r="G1421" s="663">
        <f>[17]PLANCUSce!$H$183</f>
        <v>0.1742474280213914</v>
      </c>
      <c r="H1421" s="313">
        <f t="shared" si="1503"/>
        <v>145.20619001782617</v>
      </c>
      <c r="I1421" s="663">
        <f>[18]PLANCUSce!$H$183</f>
        <v>0.18341166259072172</v>
      </c>
      <c r="J1421" s="313">
        <f t="shared" si="1504"/>
        <v>152.84305215893477</v>
      </c>
      <c r="K1421" s="663">
        <f>[19]PLANCUSce!$H$191</f>
        <v>0.19648076440699716</v>
      </c>
      <c r="L1421" s="313">
        <f t="shared" si="1505"/>
        <v>163.7339703391643</v>
      </c>
      <c r="M1421" s="663">
        <f>[20]PLANCUSce!$H$192</f>
        <v>0.21870089624032338</v>
      </c>
      <c r="N1421" s="313">
        <f t="shared" ref="N1421" si="1511">100*(M1421/$C$1411)</f>
        <v>182.25074686693617</v>
      </c>
      <c r="O1421" s="663">
        <f>[21]PLANCUSce!$H$192</f>
        <v>0.23058843389297434</v>
      </c>
      <c r="P1421" s="313">
        <f t="shared" ref="P1421" si="1512">100*(O1421/$C$1411)</f>
        <v>192.15702824414529</v>
      </c>
      <c r="Q1421" s="663">
        <f>[22]PLANCUSce!$H$192</f>
        <v>0.23490923428586227</v>
      </c>
      <c r="R1421" s="313">
        <f t="shared" ref="R1421" si="1513">100*(Q1421/$C$1411)</f>
        <v>195.75769523821859</v>
      </c>
      <c r="S1421" s="663">
        <f>[23]PLANCUSce!$I$194</f>
        <v>0.243290945315837</v>
      </c>
      <c r="T1421" s="313">
        <f t="shared" ref="T1421" si="1514">100*(S1421/$C$1411)</f>
        <v>202.74245442986415</v>
      </c>
      <c r="U1421" s="663">
        <f>[24]PLANCUSce!$I$194</f>
        <v>0.25296059373096108</v>
      </c>
      <c r="V1421" s="313">
        <f t="shared" ref="V1421" si="1515">100*(U1421/$C$1411)</f>
        <v>210.80049477580093</v>
      </c>
    </row>
    <row r="1422" spans="2:22">
      <c r="B1422" s="310" t="s">
        <v>2</v>
      </c>
      <c r="C1422" s="472">
        <v>0.15620000000000001</v>
      </c>
      <c r="D1422" s="312">
        <f t="shared" si="1501"/>
        <v>130.16666666666669</v>
      </c>
      <c r="E1422" s="472">
        <v>0.16404893075064134</v>
      </c>
      <c r="F1422" s="313">
        <f t="shared" si="1502"/>
        <v>136.70744229220111</v>
      </c>
      <c r="G1422" s="663">
        <f>[25]PLANCUSce!$H$183</f>
        <v>0.17515351464710266</v>
      </c>
      <c r="H1422" s="313">
        <f t="shared" si="1503"/>
        <v>145.9612622059189</v>
      </c>
      <c r="I1422" s="663">
        <f>[26]PLANCUSce!$H$183</f>
        <v>0.18458549723130233</v>
      </c>
      <c r="J1422" s="313">
        <f t="shared" si="1504"/>
        <v>153.82124769275194</v>
      </c>
      <c r="K1422" s="663">
        <f>[27]PLANCUSce!$H$191</f>
        <v>0.19875994127411833</v>
      </c>
      <c r="L1422" s="313">
        <f t="shared" si="1505"/>
        <v>165.6332843950986</v>
      </c>
      <c r="M1422" s="663">
        <f>[28]PLANCUSce!$H$192</f>
        <v>0.22077855475460648</v>
      </c>
      <c r="N1422" s="313">
        <f t="shared" ref="N1422" si="1516">100*(M1422/$C$1411)</f>
        <v>183.98212896217208</v>
      </c>
      <c r="O1422" s="663">
        <f>[29]PLANCUSce!$H$192</f>
        <v>0.23114184613431746</v>
      </c>
      <c r="P1422" s="313">
        <f t="shared" ref="P1422" si="1517">100*(O1422/$C$1411)</f>
        <v>192.61820511193122</v>
      </c>
      <c r="Q1422" s="663">
        <f>[30]PLANCUSce!$H$192</f>
        <v>0.23533207090757682</v>
      </c>
      <c r="R1422" s="313">
        <f t="shared" ref="R1422" si="1518">100*(Q1422/$C$1411)</f>
        <v>196.11005908964736</v>
      </c>
      <c r="S1422" s="663">
        <f>[31]PLANCUSce!$I$194</f>
        <v>0.24460471642054255</v>
      </c>
      <c r="T1422" s="313">
        <f t="shared" ref="T1422" si="1519">100*(S1422/$C$1411)</f>
        <v>203.83726368378547</v>
      </c>
      <c r="U1422" s="663">
        <f>[32]PLANCUSce!$I$194</f>
        <v>0.25339051911997212</v>
      </c>
      <c r="V1422" s="313">
        <f t="shared" ref="V1422" si="1520">100*(U1422/$C$1411)</f>
        <v>211.15876593331012</v>
      </c>
    </row>
    <row r="1423" spans="2:22">
      <c r="B1423" s="310" t="s">
        <v>3</v>
      </c>
      <c r="C1423" s="472">
        <v>0.1572713618857268</v>
      </c>
      <c r="D1423" s="312">
        <f t="shared" si="1501"/>
        <v>131.05946823810567</v>
      </c>
      <c r="E1423" s="472">
        <v>0.16434421882599248</v>
      </c>
      <c r="F1423" s="313">
        <f t="shared" si="1502"/>
        <v>136.95351568832709</v>
      </c>
      <c r="G1423" s="663">
        <f>[33]PLANCUSce!$H$183</f>
        <v>0.17620443573498529</v>
      </c>
      <c r="H1423" s="313">
        <f t="shared" si="1503"/>
        <v>146.83702977915439</v>
      </c>
      <c r="I1423" s="663">
        <f>[34]PLANCUSce!$H$183</f>
        <v>0.186099098308599</v>
      </c>
      <c r="J1423" s="313">
        <f t="shared" si="1504"/>
        <v>155.08258192383252</v>
      </c>
      <c r="K1423" s="663">
        <f>[35]PLANCUSce!$H$191</f>
        <v>0.2017612163873575</v>
      </c>
      <c r="L1423" s="313">
        <f t="shared" si="1505"/>
        <v>168.13434698946458</v>
      </c>
      <c r="M1423" s="663">
        <f>[36]PLANCUSce!$H$192</f>
        <v>0.22174998039552674</v>
      </c>
      <c r="N1423" s="313">
        <f t="shared" ref="N1423" si="1521">100*(M1423/$C$1411)</f>
        <v>184.79165032960563</v>
      </c>
      <c r="O1423" s="663">
        <f>[37]PLANCUSce!$H$192</f>
        <v>0.2318815000419473</v>
      </c>
      <c r="P1423" s="313">
        <f t="shared" ref="P1423" si="1522">100*(O1423/$C$1411)</f>
        <v>193.23458336828944</v>
      </c>
      <c r="Q1423" s="663">
        <f>[38]PLANCUSce!$H$192</f>
        <v>0.2354968033572121</v>
      </c>
      <c r="R1423" s="313">
        <f t="shared" ref="R1423" si="1523">100*(Q1423/$C$1411)</f>
        <v>196.24733613101009</v>
      </c>
      <c r="S1423" s="663">
        <f>[39]PLANCUSce!$I$194</f>
        <v>0.24648817273698073</v>
      </c>
      <c r="T1423" s="313">
        <f t="shared" ref="T1423" si="1524">100*(S1423/$C$1411)</f>
        <v>205.40681061415063</v>
      </c>
      <c r="U1423" s="663">
        <f>[40]PLANCUSce!$I$194</f>
        <v>0.2538468515641279</v>
      </c>
      <c r="V1423" s="313">
        <f t="shared" ref="V1423" si="1525">100*(U1423/$C$1411)</f>
        <v>211.53904297010661</v>
      </c>
    </row>
    <row r="1424" spans="2:22">
      <c r="B1424" s="310" t="s">
        <v>4</v>
      </c>
      <c r="C1424" s="472">
        <v>0.15840000000000001</v>
      </c>
      <c r="D1424" s="312">
        <f t="shared" si="1501"/>
        <v>132</v>
      </c>
      <c r="E1424" s="472">
        <v>0.16539602182647883</v>
      </c>
      <c r="F1424" s="313">
        <f t="shared" si="1502"/>
        <v>137.83001818873237</v>
      </c>
      <c r="G1424" s="663">
        <f>[41]PLANCUSce!$H$183</f>
        <v>0.17724404190582171</v>
      </c>
      <c r="H1424" s="313">
        <f t="shared" si="1503"/>
        <v>147.70336825485145</v>
      </c>
      <c r="I1424" s="663">
        <f>[42]PLANCUSce!$H$183</f>
        <v>0.18755067127540609</v>
      </c>
      <c r="J1424" s="313">
        <f t="shared" si="1504"/>
        <v>156.29222606283841</v>
      </c>
      <c r="K1424" s="663">
        <f>[43]PLANCUSce!$H$191</f>
        <v>0.20319372102370775</v>
      </c>
      <c r="L1424" s="313">
        <f t="shared" si="1505"/>
        <v>169.32810085308981</v>
      </c>
      <c r="M1424" s="663">
        <f>[44]PLANCUSce!$H$192</f>
        <v>0.22316918027005811</v>
      </c>
      <c r="N1424" s="313">
        <f t="shared" ref="N1424" si="1526">100*(M1424/$C$1411)</f>
        <v>185.97431689171512</v>
      </c>
      <c r="O1424" s="663">
        <f>[45]PLANCUSce!$H$192</f>
        <v>0.23206700524198084</v>
      </c>
      <c r="P1424" s="313">
        <f t="shared" ref="P1424" si="1527">100*(O1424/$C$1411)</f>
        <v>193.38917103498406</v>
      </c>
      <c r="Q1424" s="663">
        <f>[46]PLANCUSce!$H$192</f>
        <v>0.23599134664426225</v>
      </c>
      <c r="R1424" s="313">
        <f t="shared" ref="R1424" si="1528">100*(Q1424/$C$1411)</f>
        <v>196.65945553688522</v>
      </c>
      <c r="S1424" s="663">
        <f>[47]PLANCUSce!$I$194</f>
        <v>0.24796710177340262</v>
      </c>
      <c r="T1424" s="313">
        <f t="shared" ref="T1424" si="1529">100*(S1424/$C$1411)</f>
        <v>206.6392514778355</v>
      </c>
      <c r="U1424" s="663">
        <f>[48]PLANCUSce!$I$194</f>
        <v>0.25326311666094492</v>
      </c>
      <c r="V1424" s="313">
        <f t="shared" ref="V1424" si="1530">100*(U1424/$C$1411)</f>
        <v>211.05259721745412</v>
      </c>
    </row>
    <row r="1425" spans="2:22">
      <c r="B1425" s="310" t="s">
        <v>5</v>
      </c>
      <c r="C1425" s="472">
        <v>0.1593</v>
      </c>
      <c r="D1425" s="312">
        <f t="shared" si="1501"/>
        <v>132.75</v>
      </c>
      <c r="E1425" s="472">
        <v>0.16630569994652447</v>
      </c>
      <c r="F1425" s="313">
        <f t="shared" si="1502"/>
        <v>138.58808328877041</v>
      </c>
      <c r="G1425" s="663">
        <f>[49]PLANCUSce!$H$183</f>
        <v>0.1778643960524921</v>
      </c>
      <c r="H1425" s="313">
        <f t="shared" si="1503"/>
        <v>148.22033004374342</v>
      </c>
      <c r="I1425" s="663">
        <f>[50]PLANCUSce!$H$183</f>
        <v>0.18867597530305852</v>
      </c>
      <c r="J1425" s="313">
        <f t="shared" si="1504"/>
        <v>157.22997941921543</v>
      </c>
      <c r="K1425" s="663">
        <f>[51]PLANCUSce!$H$191</f>
        <v>0.20520533886184247</v>
      </c>
      <c r="L1425" s="313">
        <f t="shared" si="1505"/>
        <v>171.0044490515354</v>
      </c>
      <c r="M1425" s="663">
        <f>[52]PLANCUSce!$H$192</f>
        <v>0.2253562382367047</v>
      </c>
      <c r="N1425" s="313">
        <f t="shared" ref="N1425" si="1531">100*(M1425/$C$1411)</f>
        <v>187.79686519725391</v>
      </c>
      <c r="O1425" s="663">
        <f>[53]PLANCUSce!$H$192</f>
        <v>0.23290244646085198</v>
      </c>
      <c r="P1425" s="313">
        <f t="shared" ref="P1425" si="1532">100*(O1425/$C$1411)</f>
        <v>194.08537205070999</v>
      </c>
      <c r="Q1425" s="663">
        <f>[54]PLANCUSce!$H$192</f>
        <v>0.23700610943483258</v>
      </c>
      <c r="R1425" s="313">
        <f t="shared" ref="R1425" si="1533">100*(Q1425/$C$1411)</f>
        <v>197.50509119569381</v>
      </c>
      <c r="S1425" s="663">
        <f>[55]PLANCUSce!$I$194</f>
        <v>0.24833890277615869</v>
      </c>
      <c r="T1425" s="313">
        <f t="shared" ref="T1425" si="1534">100*(S1425/$C$1411)</f>
        <v>206.94908564679889</v>
      </c>
      <c r="U1425" s="663">
        <f>[56]PLANCUSce!$I$194</f>
        <v>0.2526298106191584</v>
      </c>
      <c r="V1425" s="313">
        <f t="shared" ref="V1425" si="1535">100*(U1425/$C$1411)</f>
        <v>210.524842182632</v>
      </c>
    </row>
    <row r="1426" spans="2:22">
      <c r="B1426" s="310" t="s">
        <v>6</v>
      </c>
      <c r="C1426" s="472">
        <v>0.15970000000000001</v>
      </c>
      <c r="D1426" s="312">
        <f t="shared" si="1501"/>
        <v>133.08333333333334</v>
      </c>
      <c r="E1426" s="472">
        <f>[57]PLANCUSce!$H$183</f>
        <v>0.16673809476638543</v>
      </c>
      <c r="F1426" s="313">
        <f t="shared" si="1502"/>
        <v>138.9484123053212</v>
      </c>
      <c r="G1426" s="663">
        <f>[58]PLANCUSce!$H$183</f>
        <v>0.17836241636143907</v>
      </c>
      <c r="H1426" s="313">
        <f t="shared" si="1503"/>
        <v>148.6353469678659</v>
      </c>
      <c r="I1426" s="663">
        <f>[59]PLANCUSce!$H$183</f>
        <v>0.18916653283884646</v>
      </c>
      <c r="J1426" s="313">
        <f t="shared" ref="J1426:J1431" si="1536">100*(I1426/$C$1411)</f>
        <v>157.63877736570541</v>
      </c>
      <c r="K1426" s="663">
        <f>[60]PLANCUSce!$H$191</f>
        <v>0.20678541997107866</v>
      </c>
      <c r="L1426" s="313">
        <f t="shared" ref="L1426:L1431" si="1537">100*(K1426/$C$1411)</f>
        <v>172.32118330923223</v>
      </c>
      <c r="M1426" s="663">
        <f>[61]PLANCUSce!$H$192</f>
        <v>0.2264154125564172</v>
      </c>
      <c r="N1426" s="313">
        <f t="shared" ref="N1426" si="1538">100*(M1426/$C$1411)</f>
        <v>188.679510463681</v>
      </c>
      <c r="O1426" s="663">
        <f>[62]PLANCUSce!$H$192</f>
        <v>0.23220373912146944</v>
      </c>
      <c r="P1426" s="313">
        <f t="shared" ref="P1426" si="1539">100*(O1426/$C$1411)</f>
        <v>193.50311593455785</v>
      </c>
      <c r="Q1426" s="663">
        <f>[63]PLANCUSce!$I$194</f>
        <v>0.24039529679975069</v>
      </c>
      <c r="R1426" s="313">
        <f t="shared" ref="R1426" si="1540">100*(Q1426/$C$1411)</f>
        <v>200.32941399979225</v>
      </c>
      <c r="S1426" s="663">
        <f>[64]PLANCUSce!$I$194</f>
        <v>0.24836353459259181</v>
      </c>
      <c r="T1426" s="313">
        <f t="shared" ref="T1426" si="1541">100*(S1426/$C$1411)</f>
        <v>206.9696121604932</v>
      </c>
      <c r="U1426" s="663">
        <f>[65]PLANCUSce!$I$194</f>
        <v>0.2533877394299579</v>
      </c>
      <c r="V1426" s="313">
        <f t="shared" ref="V1426" si="1542">100*(U1426/$C$1411)</f>
        <v>211.15644952496493</v>
      </c>
    </row>
    <row r="1427" spans="2:22">
      <c r="B1427" s="310" t="s">
        <v>7</v>
      </c>
      <c r="C1427" s="472">
        <v>0.15970000000000001</v>
      </c>
      <c r="D1427" s="312">
        <f t="shared" si="1501"/>
        <v>133.08333333333334</v>
      </c>
      <c r="E1427" s="472">
        <f>[66]PLANCUSce!$H$183</f>
        <v>0.16745506857388087</v>
      </c>
      <c r="F1427" s="313">
        <f t="shared" si="1502"/>
        <v>139.54589047823407</v>
      </c>
      <c r="G1427" s="663">
        <f>[67]PLANCUSce!$H$183</f>
        <v>0.17813054522016922</v>
      </c>
      <c r="H1427" s="313">
        <f t="shared" si="1503"/>
        <v>148.4421210168077</v>
      </c>
      <c r="I1427" s="663">
        <f>[68]PLANCUSce!$H$183</f>
        <v>0.18941244933153698</v>
      </c>
      <c r="J1427" s="313">
        <f t="shared" si="1536"/>
        <v>157.84370777628084</v>
      </c>
      <c r="K1427" s="663">
        <f>[69]PLANCUSce!$H$191</f>
        <v>0.20798477540691093</v>
      </c>
      <c r="L1427" s="313">
        <f t="shared" si="1537"/>
        <v>173.32064617242577</v>
      </c>
      <c r="M1427" s="663">
        <f>[70]PLANCUSce!$H$192</f>
        <v>0.22786447119677827</v>
      </c>
      <c r="N1427" s="313">
        <f t="shared" ref="N1427" si="1543">100*(M1427/$C$1411)</f>
        <v>189.88705933064858</v>
      </c>
      <c r="O1427" s="663">
        <f>[71]PLANCUSce!$H$192</f>
        <v>0.23259848547797593</v>
      </c>
      <c r="P1427" s="313">
        <f t="shared" ref="P1427" si="1544">100*(O1427/$C$1411)</f>
        <v>193.83207123164661</v>
      </c>
      <c r="Q1427" s="663">
        <f>[72]PLANCUSce!$I$194</f>
        <v>0.24099628504175005</v>
      </c>
      <c r="R1427" s="313">
        <f t="shared" ref="R1427" si="1545">100*(Q1427/$C$1411)</f>
        <v>200.83023753479173</v>
      </c>
      <c r="S1427" s="663">
        <f>[73]PLANCUSce!$I$194</f>
        <v>0.24782557970962657</v>
      </c>
      <c r="T1427" s="313">
        <f t="shared" ref="T1427" si="1546">100*(S1427/$C$1411)</f>
        <v>206.52131642468879</v>
      </c>
      <c r="U1427" s="663">
        <f>[74]PLANCUSce!$I$194</f>
        <v>0.25450285840770609</v>
      </c>
      <c r="V1427" s="313">
        <f t="shared" ref="V1427" si="1547">100*(U1427/$C$1411)</f>
        <v>212.08571533975507</v>
      </c>
    </row>
    <row r="1428" spans="2:22">
      <c r="B1428" s="310" t="s">
        <v>8</v>
      </c>
      <c r="C1428" s="472">
        <v>0.16032765121185713</v>
      </c>
      <c r="D1428" s="312">
        <f t="shared" si="1501"/>
        <v>133.60637600988093</v>
      </c>
      <c r="E1428" s="472">
        <f>[75]PLANCUSce!$H$183</f>
        <v>0.16820861638246332</v>
      </c>
      <c r="F1428" s="313">
        <f t="shared" si="1502"/>
        <v>140.17384698538612</v>
      </c>
      <c r="G1428" s="663">
        <f>[76]PLANCUSce!$H$183</f>
        <v>0.17841555409252149</v>
      </c>
      <c r="H1428" s="313">
        <f t="shared" si="1503"/>
        <v>148.67962841043459</v>
      </c>
      <c r="I1428" s="663">
        <f>[77]PLANCUSce!$H$191</f>
        <v>0.18975339174033373</v>
      </c>
      <c r="J1428" s="313">
        <f t="shared" si="1536"/>
        <v>158.12782645027812</v>
      </c>
      <c r="K1428" s="663">
        <f>[78]PLANCUSce!$H$191</f>
        <v>0.20850473734542821</v>
      </c>
      <c r="L1428" s="313">
        <f t="shared" si="1537"/>
        <v>173.75394778785684</v>
      </c>
      <c r="M1428" s="663">
        <f>[79]PLANCUSce!$H$192</f>
        <v>0.22857085105748831</v>
      </c>
      <c r="N1428" s="313">
        <f t="shared" ref="N1428" si="1548">100*(M1428/$C$1411)</f>
        <v>190.47570921457358</v>
      </c>
      <c r="O1428" s="663">
        <f>[80]PLANCUSce!$H$192</f>
        <v>0.23252870593233255</v>
      </c>
      <c r="P1428" s="313">
        <f t="shared" ref="P1428" si="1549">100*(O1428/$C$1411)</f>
        <v>193.77392161027714</v>
      </c>
      <c r="Q1428" s="663">
        <f>[81]PLANCUSce!$I$194</f>
        <v>0.24099628504175005</v>
      </c>
      <c r="R1428" s="313">
        <f t="shared" ref="R1428" si="1550">100*(Q1428/$C$1411)</f>
        <v>200.83023753479173</v>
      </c>
      <c r="S1428" s="663">
        <f>[82]PLANCUSce!$I$194</f>
        <v>0.24812300654124883</v>
      </c>
      <c r="T1428" s="313">
        <f t="shared" ref="T1428" si="1551">100*(S1428/$C$1411)</f>
        <v>206.76917211770734</v>
      </c>
      <c r="U1428" s="663">
        <f>[123]PLANCUSce!$I$194</f>
        <v>0.25541922954936919</v>
      </c>
      <c r="V1428" s="313">
        <f t="shared" ref="V1428" si="1552">100*(U1428/$C$1411)</f>
        <v>212.84935795780768</v>
      </c>
    </row>
    <row r="1429" spans="2:22">
      <c r="B1429" s="310" t="s">
        <v>9</v>
      </c>
      <c r="C1429" s="472">
        <v>0.16032765121185713</v>
      </c>
      <c r="D1429" s="312">
        <f t="shared" si="1501"/>
        <v>133.60637600988093</v>
      </c>
      <c r="E1429" s="472">
        <f>[83]PLANCUSce!$H$183</f>
        <v>0.16926833066567282</v>
      </c>
      <c r="F1429" s="313">
        <f t="shared" si="1502"/>
        <v>141.05694222139402</v>
      </c>
      <c r="G1429" s="663">
        <f>[84]PLANCUSce!$H$183</f>
        <v>0.17889727608857128</v>
      </c>
      <c r="H1429" s="313">
        <f t="shared" si="1503"/>
        <v>149.08106340714272</v>
      </c>
      <c r="I1429" s="663">
        <f>[85]PLANCUSce!$H$191</f>
        <v>0.19068318335986134</v>
      </c>
      <c r="J1429" s="313">
        <f t="shared" si="1536"/>
        <v>158.90265279988444</v>
      </c>
      <c r="K1429" s="663">
        <f>[86]PLANCUSce!$H$191</f>
        <v>0.20956811150588991</v>
      </c>
      <c r="L1429" s="313">
        <f t="shared" si="1537"/>
        <v>174.64009292157493</v>
      </c>
      <c r="M1429" s="663">
        <f>[87]PLANCUSce!$H$192</f>
        <v>0.22875370773833428</v>
      </c>
      <c r="N1429" s="313">
        <f t="shared" ref="N1429" si="1553">100*(M1429/$C$1411)</f>
        <v>190.62808978194525</v>
      </c>
      <c r="O1429" s="663">
        <f>[88]PLANCUSce!$H$192</f>
        <v>0.2324822001911461</v>
      </c>
      <c r="P1429" s="313">
        <f t="shared" ref="P1429" si="1554">100*(O1429/$C$1411)</f>
        <v>193.73516682595508</v>
      </c>
      <c r="Q1429" s="663">
        <f>[89]PLANCUSce!$I$194</f>
        <v>0.24171927389687528</v>
      </c>
      <c r="R1429" s="313">
        <f t="shared" ref="R1429" si="1555">100*(Q1429/$C$1411)</f>
        <v>201.43272824739608</v>
      </c>
      <c r="S1429" s="663">
        <f>[90]PLANCUSce!$I$194</f>
        <v>0.24799884705390518</v>
      </c>
      <c r="T1429" s="313">
        <f t="shared" ref="T1429" si="1556">100*(S1429/$C$1411)</f>
        <v>206.66570587825436</v>
      </c>
      <c r="U1429" s="663"/>
      <c r="V1429" s="313"/>
    </row>
    <row r="1430" spans="2:22">
      <c r="B1430" s="310" t="s">
        <v>10</v>
      </c>
      <c r="C1430" s="472">
        <v>0.16084069969573508</v>
      </c>
      <c r="D1430" s="312">
        <f t="shared" si="1501"/>
        <v>134.03391641311256</v>
      </c>
      <c r="E1430" s="472">
        <f>[91]PLANCUSce!$H$183</f>
        <v>0.17047013581339912</v>
      </c>
      <c r="F1430" s="313">
        <f t="shared" si="1502"/>
        <v>142.05844651116595</v>
      </c>
      <c r="G1430" s="663">
        <f>[92]PLANCUSce!$H$183</f>
        <v>0.17998854947271156</v>
      </c>
      <c r="H1430" s="313">
        <f t="shared" si="1503"/>
        <v>149.9904578939263</v>
      </c>
      <c r="I1430" s="663">
        <f>[93]PLANCUSce!$H$191</f>
        <v>0.19140777945662882</v>
      </c>
      <c r="J1430" s="313">
        <f t="shared" si="1536"/>
        <v>159.50648288052403</v>
      </c>
      <c r="K1430" s="663">
        <f>[94]PLANCUSce!$H$191</f>
        <v>0.21118178596448528</v>
      </c>
      <c r="L1430" s="313">
        <f t="shared" si="1537"/>
        <v>175.98482163707106</v>
      </c>
      <c r="M1430" s="1120">
        <f>[95]PLANCUSce!$H$192</f>
        <v>0.22914258904148946</v>
      </c>
      <c r="N1430" s="558">
        <f t="shared" ref="N1430" si="1557">100*(M1430/$C$1411)</f>
        <v>190.95215753457455</v>
      </c>
      <c r="O1430" s="663">
        <f>[96]PLANCUSce!$H$192</f>
        <v>0.23334238433185334</v>
      </c>
      <c r="P1430" s="313">
        <f t="shared" ref="P1430" si="1558">100*(O1430/$C$1411)</f>
        <v>194.45198694321112</v>
      </c>
      <c r="Q1430" s="663">
        <f>[97]PLANCUSce!$I$194</f>
        <v>0.2426861509924628</v>
      </c>
      <c r="R1430" s="313">
        <f t="shared" ref="R1430" si="1559">100*(Q1430/$C$1411)</f>
        <v>202.23845916038567</v>
      </c>
      <c r="S1430" s="663">
        <f>[98]PLANCUSce!$I$194</f>
        <v>0.2480979893311123</v>
      </c>
      <c r="T1430" s="313">
        <f t="shared" ref="T1430" si="1560">100*(S1430/$C$1411)</f>
        <v>206.74832444259357</v>
      </c>
      <c r="U1430" s="663"/>
      <c r="V1430" s="313"/>
    </row>
    <row r="1431" spans="2:22" ht="15.75" thickBot="1">
      <c r="B1431" s="314" t="s">
        <v>11</v>
      </c>
      <c r="C1431" s="616">
        <v>0.16175749168400078</v>
      </c>
      <c r="D1431" s="316">
        <f t="shared" si="1501"/>
        <v>134.79790973666732</v>
      </c>
      <c r="E1431" s="616">
        <f>[99]PLANCUSce!$H$183</f>
        <v>0.17139067454679149</v>
      </c>
      <c r="F1431" s="317">
        <f t="shared" si="1502"/>
        <v>142.82556212232623</v>
      </c>
      <c r="G1431" s="683">
        <f>[100]PLANCUSce!$H$183</f>
        <v>0.18096048763986422</v>
      </c>
      <c r="H1431" s="317">
        <f t="shared" si="1503"/>
        <v>150.80040636655352</v>
      </c>
      <c r="I1431" s="683">
        <f>[101]PLANCUSce!$H$191</f>
        <v>0.19242224068774896</v>
      </c>
      <c r="J1431" s="317">
        <f t="shared" si="1536"/>
        <v>160.35186723979081</v>
      </c>
      <c r="K1431" s="683">
        <f>[102]PLANCUSce!$H$191</f>
        <v>0.2135259037886911</v>
      </c>
      <c r="L1431" s="317">
        <f t="shared" si="1537"/>
        <v>177.9382531572426</v>
      </c>
      <c r="M1431" s="683">
        <f>[103]PLANCUSce!$H$192</f>
        <v>0.22930298885381847</v>
      </c>
      <c r="N1431" s="317">
        <f t="shared" ref="N1431" si="1561">100*(M1431/$C$1411)</f>
        <v>191.08582404484872</v>
      </c>
      <c r="O1431" s="683">
        <f>[104]PLANCUSce!$H$192</f>
        <v>0.23376240062365067</v>
      </c>
      <c r="P1431" s="317">
        <f t="shared" ref="P1431" si="1562">100*(O1431/$C$1411)</f>
        <v>194.80200051970891</v>
      </c>
      <c r="Q1431" s="683">
        <f>[105]PLANCUSce!$I$194</f>
        <v>0.24207943561498166</v>
      </c>
      <c r="R1431" s="317">
        <f t="shared" ref="R1431" si="1563">100*(Q1431/$C$1411)</f>
        <v>201.73286301248476</v>
      </c>
      <c r="S1431" s="683">
        <f>[106]PLANCUSce!$I$194</f>
        <v>0.2494377999184185</v>
      </c>
      <c r="T1431" s="317">
        <f t="shared" ref="T1431" si="1564">100*(S1431/$C$1411)</f>
        <v>207.86483326534878</v>
      </c>
      <c r="U1431" s="683"/>
      <c r="V1431" s="317"/>
    </row>
    <row r="1432" spans="2:22">
      <c r="C1432" s="204"/>
      <c r="D1432" s="123"/>
      <c r="E1432" s="118"/>
      <c r="F1432" s="123"/>
      <c r="G1432" s="118"/>
      <c r="H1432" s="123"/>
      <c r="I1432" s="123"/>
      <c r="J1432" s="123"/>
      <c r="K1432" s="118"/>
      <c r="L1432" s="123"/>
      <c r="M1432" s="118"/>
      <c r="N1432" s="123"/>
      <c r="O1432" s="123"/>
      <c r="P1432" s="123"/>
      <c r="Q1432" s="180"/>
      <c r="R1432" s="123"/>
      <c r="S1432" s="119"/>
      <c r="T1432" s="132"/>
    </row>
    <row r="1433" spans="2:22">
      <c r="B1433" s="207"/>
      <c r="C1433" s="205"/>
      <c r="D1433" s="200"/>
      <c r="E1433" s="199"/>
      <c r="F1433" s="200"/>
      <c r="G1433" s="199"/>
      <c r="H1433" s="200"/>
      <c r="I1433" s="200"/>
      <c r="J1433" s="200"/>
      <c r="K1433" s="199"/>
      <c r="L1433" s="200"/>
      <c r="M1433" s="199"/>
      <c r="N1433" s="200"/>
      <c r="O1433" s="123"/>
      <c r="P1433" s="123"/>
      <c r="Q1433" s="180"/>
      <c r="R1433" s="123"/>
      <c r="S1433" s="119"/>
      <c r="T1433" s="132"/>
    </row>
    <row r="1434" spans="2:22" ht="15.75" thickBot="1">
      <c r="B1434" s="119"/>
      <c r="C1434" s="118"/>
      <c r="D1434" s="124"/>
      <c r="E1434" s="118"/>
      <c r="F1434" s="119"/>
      <c r="G1434" s="122"/>
      <c r="H1434" s="119"/>
      <c r="I1434" s="122"/>
      <c r="J1434" s="119"/>
      <c r="K1434" s="122"/>
      <c r="L1434" s="119"/>
      <c r="M1434" s="122"/>
      <c r="N1434" s="119"/>
      <c r="O1434" s="119"/>
      <c r="P1434" s="119"/>
      <c r="Q1434" s="180"/>
      <c r="R1434" s="123"/>
      <c r="S1434" s="119"/>
      <c r="T1434" s="132"/>
    </row>
    <row r="1435" spans="2:22" s="523" customFormat="1" ht="18.75" thickBot="1">
      <c r="B1435" s="564" t="s">
        <v>227</v>
      </c>
      <c r="C1435" s="521"/>
      <c r="D1435" s="358"/>
      <c r="E1435" s="358"/>
      <c r="F1435" s="541"/>
      <c r="G1435" s="617">
        <v>55</v>
      </c>
      <c r="H1435" s="362" t="s">
        <v>53</v>
      </c>
      <c r="I1435" s="358"/>
      <c r="J1435" s="358"/>
      <c r="K1435" s="364"/>
      <c r="L1435" s="364" t="s">
        <v>52</v>
      </c>
      <c r="M1435" s="364"/>
      <c r="N1435" s="359"/>
      <c r="Q1435" s="605"/>
      <c r="R1435" s="606"/>
      <c r="T1435" s="607"/>
    </row>
    <row r="1436" spans="2:22" ht="15.75" thickBot="1">
      <c r="B1436" s="1306">
        <v>2000</v>
      </c>
      <c r="C1436" s="1307"/>
      <c r="D1436" s="336" t="s">
        <v>15</v>
      </c>
      <c r="E1436" s="336">
        <v>2001</v>
      </c>
      <c r="F1436" s="336" t="s">
        <v>15</v>
      </c>
      <c r="G1436" s="336">
        <v>2002</v>
      </c>
      <c r="H1436" s="336" t="s">
        <v>15</v>
      </c>
      <c r="I1436" s="336">
        <v>2003</v>
      </c>
      <c r="J1436" s="336" t="s">
        <v>15</v>
      </c>
      <c r="K1436" s="336">
        <v>2004</v>
      </c>
      <c r="L1436" s="336" t="s">
        <v>15</v>
      </c>
      <c r="M1436" s="336">
        <v>2005</v>
      </c>
      <c r="N1436" s="354" t="s">
        <v>15</v>
      </c>
      <c r="O1436" s="124"/>
      <c r="P1436" s="124"/>
      <c r="Q1436" s="180"/>
      <c r="R1436" s="123"/>
      <c r="S1436" s="119"/>
      <c r="T1436" s="132"/>
    </row>
    <row r="1437" spans="2:22">
      <c r="B1437" s="306" t="s">
        <v>0</v>
      </c>
      <c r="C1437" s="307"/>
      <c r="D1437" s="308"/>
      <c r="E1437" s="307">
        <v>67</v>
      </c>
      <c r="F1437" s="312">
        <f t="shared" ref="F1437:F1448" si="1565">100*E1437/$C$1440</f>
        <v>109.8360655737705</v>
      </c>
      <c r="G1437" s="307">
        <v>63.4</v>
      </c>
      <c r="H1437" s="312">
        <f t="shared" ref="H1437:H1448" si="1566">100*G1437/$C$1440</f>
        <v>103.93442622950819</v>
      </c>
      <c r="I1437" s="307">
        <v>72.400000000000006</v>
      </c>
      <c r="J1437" s="312">
        <f t="shared" ref="J1437:J1448" si="1567">100*I1437/$C$1440</f>
        <v>118.68852459016395</v>
      </c>
      <c r="K1437" s="307">
        <v>63.2</v>
      </c>
      <c r="L1437" s="312">
        <f t="shared" ref="L1437:L1448" si="1568">100*K1437/$C$1440</f>
        <v>103.60655737704919</v>
      </c>
      <c r="M1437" s="307">
        <v>70.2</v>
      </c>
      <c r="N1437" s="312">
        <f t="shared" ref="N1437:N1448" si="1569">100*M1437/$C$1440</f>
        <v>115.08196721311475</v>
      </c>
      <c r="O1437" s="123"/>
      <c r="P1437" s="123"/>
      <c r="Q1437" s="180"/>
      <c r="R1437" s="123"/>
      <c r="S1437" s="119"/>
      <c r="T1437" s="132"/>
    </row>
    <row r="1438" spans="2:22">
      <c r="B1438" s="310" t="s">
        <v>1</v>
      </c>
      <c r="C1438" s="311"/>
      <c r="D1438" s="312"/>
      <c r="E1438" s="311">
        <v>59</v>
      </c>
      <c r="F1438" s="312">
        <f t="shared" si="1565"/>
        <v>96.721311475409834</v>
      </c>
      <c r="G1438" s="311">
        <v>57.5</v>
      </c>
      <c r="H1438" s="312">
        <f t="shared" si="1566"/>
        <v>94.26229508196721</v>
      </c>
      <c r="I1438" s="311">
        <v>73.8</v>
      </c>
      <c r="J1438" s="312">
        <f t="shared" si="1567"/>
        <v>120.98360655737704</v>
      </c>
      <c r="K1438" s="311">
        <v>62.5</v>
      </c>
      <c r="L1438" s="312">
        <f t="shared" si="1568"/>
        <v>102.45901639344262</v>
      </c>
      <c r="M1438" s="311">
        <v>70.599999999999994</v>
      </c>
      <c r="N1438" s="312">
        <f t="shared" si="1569"/>
        <v>115.73770491803278</v>
      </c>
      <c r="O1438" s="123"/>
      <c r="P1438" s="123"/>
      <c r="Q1438" s="180"/>
      <c r="R1438" s="123"/>
      <c r="S1438" s="119"/>
      <c r="T1438" s="132"/>
    </row>
    <row r="1439" spans="2:22">
      <c r="B1439" s="310" t="s">
        <v>2</v>
      </c>
      <c r="C1439" s="311"/>
      <c r="D1439" s="312"/>
      <c r="E1439" s="311">
        <v>53.75</v>
      </c>
      <c r="F1439" s="312">
        <f t="shared" si="1565"/>
        <v>88.114754098360649</v>
      </c>
      <c r="G1439" s="311">
        <v>68.75</v>
      </c>
      <c r="H1439" s="312">
        <f t="shared" si="1566"/>
        <v>112.70491803278688</v>
      </c>
      <c r="I1439" s="311">
        <v>73.8</v>
      </c>
      <c r="J1439" s="312">
        <f t="shared" si="1567"/>
        <v>120.98360655737704</v>
      </c>
      <c r="K1439" s="311">
        <v>66.25</v>
      </c>
      <c r="L1439" s="312">
        <f t="shared" si="1568"/>
        <v>108.60655737704919</v>
      </c>
      <c r="M1439" s="311">
        <v>69.2</v>
      </c>
      <c r="N1439" s="312">
        <f t="shared" si="1569"/>
        <v>113.44262295081967</v>
      </c>
      <c r="O1439" s="123"/>
      <c r="P1439" s="123"/>
      <c r="Q1439" s="180"/>
      <c r="R1439" s="123"/>
      <c r="S1439" s="119"/>
      <c r="T1439" s="132"/>
    </row>
    <row r="1440" spans="2:22">
      <c r="B1440" s="310" t="s">
        <v>3</v>
      </c>
      <c r="C1440" s="311">
        <v>61</v>
      </c>
      <c r="D1440" s="312">
        <v>100</v>
      </c>
      <c r="E1440" s="311">
        <v>55</v>
      </c>
      <c r="F1440" s="312">
        <f t="shared" si="1565"/>
        <v>90.163934426229503</v>
      </c>
      <c r="G1440" s="311">
        <v>63.75</v>
      </c>
      <c r="H1440" s="312">
        <f t="shared" si="1566"/>
        <v>104.50819672131148</v>
      </c>
      <c r="I1440" s="311">
        <v>73.8</v>
      </c>
      <c r="J1440" s="312">
        <f t="shared" si="1567"/>
        <v>120.98360655737704</v>
      </c>
      <c r="K1440" s="311">
        <v>70</v>
      </c>
      <c r="L1440" s="312">
        <f t="shared" si="1568"/>
        <v>114.75409836065573</v>
      </c>
      <c r="M1440" s="311">
        <v>71</v>
      </c>
      <c r="N1440" s="312">
        <f t="shared" si="1569"/>
        <v>116.39344262295081</v>
      </c>
      <c r="O1440" s="123"/>
      <c r="P1440" s="123"/>
      <c r="Q1440" s="180"/>
      <c r="R1440" s="123"/>
      <c r="S1440" s="119"/>
      <c r="T1440" s="132"/>
    </row>
    <row r="1441" spans="2:20">
      <c r="B1441" s="310" t="s">
        <v>4</v>
      </c>
      <c r="C1441" s="311">
        <v>61.5</v>
      </c>
      <c r="D1441" s="312">
        <f>100*C1441/$C$1440</f>
        <v>100.81967213114754</v>
      </c>
      <c r="E1441" s="311">
        <v>60.2</v>
      </c>
      <c r="F1441" s="312">
        <f t="shared" si="1565"/>
        <v>98.688524590163937</v>
      </c>
      <c r="G1441" s="311">
        <v>66.400000000000006</v>
      </c>
      <c r="H1441" s="312">
        <f t="shared" si="1566"/>
        <v>108.85245901639345</v>
      </c>
      <c r="I1441" s="311">
        <v>73.8</v>
      </c>
      <c r="J1441" s="312">
        <f t="shared" si="1567"/>
        <v>120.98360655737704</v>
      </c>
      <c r="K1441" s="311">
        <v>67.5</v>
      </c>
      <c r="L1441" s="312">
        <f t="shared" si="1568"/>
        <v>110.65573770491804</v>
      </c>
      <c r="M1441" s="311">
        <v>73.75</v>
      </c>
      <c r="N1441" s="312">
        <f t="shared" si="1569"/>
        <v>120.90163934426229</v>
      </c>
      <c r="O1441" s="123"/>
      <c r="P1441" s="123"/>
      <c r="Q1441" s="180"/>
      <c r="R1441" s="123"/>
      <c r="S1441" s="119"/>
      <c r="T1441" s="132"/>
    </row>
    <row r="1442" spans="2:20">
      <c r="B1442" s="310" t="s">
        <v>5</v>
      </c>
      <c r="C1442" s="311">
        <v>60.83</v>
      </c>
      <c r="D1442" s="312">
        <f t="shared" ref="D1442:D1448" si="1570">100*C1442/$C$1440</f>
        <v>99.721311475409834</v>
      </c>
      <c r="E1442" s="311">
        <v>63</v>
      </c>
      <c r="F1442" s="312">
        <f t="shared" si="1565"/>
        <v>103.27868852459017</v>
      </c>
      <c r="G1442" s="311">
        <v>68.400000000000006</v>
      </c>
      <c r="H1442" s="312">
        <f t="shared" si="1566"/>
        <v>112.13114754098362</v>
      </c>
      <c r="I1442" s="311">
        <v>74.8</v>
      </c>
      <c r="J1442" s="312">
        <f t="shared" si="1567"/>
        <v>122.62295081967213</v>
      </c>
      <c r="K1442" s="311">
        <v>67.5</v>
      </c>
      <c r="L1442" s="312">
        <f t="shared" si="1568"/>
        <v>110.65573770491804</v>
      </c>
      <c r="M1442" s="311">
        <v>75</v>
      </c>
      <c r="N1442" s="312">
        <f t="shared" si="1569"/>
        <v>122.95081967213115</v>
      </c>
      <c r="O1442" s="123"/>
      <c r="P1442" s="123"/>
      <c r="Q1442" s="180"/>
      <c r="R1442" s="123"/>
      <c r="S1442" s="119"/>
      <c r="T1442" s="132"/>
    </row>
    <row r="1443" spans="2:20">
      <c r="B1443" s="310" t="s">
        <v>6</v>
      </c>
      <c r="C1443" s="311">
        <v>55.97</v>
      </c>
      <c r="D1443" s="312">
        <f t="shared" si="1570"/>
        <v>91.754098360655732</v>
      </c>
      <c r="E1443" s="311">
        <v>58.2</v>
      </c>
      <c r="F1443" s="312">
        <f t="shared" si="1565"/>
        <v>95.409836065573771</v>
      </c>
      <c r="G1443" s="311">
        <v>63</v>
      </c>
      <c r="H1443" s="312">
        <f t="shared" si="1566"/>
        <v>103.27868852459017</v>
      </c>
      <c r="I1443" s="311">
        <v>76.5</v>
      </c>
      <c r="J1443" s="312">
        <f t="shared" si="1567"/>
        <v>125.40983606557377</v>
      </c>
      <c r="K1443" s="311">
        <v>67.5</v>
      </c>
      <c r="L1443" s="312">
        <f t="shared" si="1568"/>
        <v>110.65573770491804</v>
      </c>
      <c r="M1443" s="311">
        <v>72.75</v>
      </c>
      <c r="N1443" s="312">
        <f t="shared" si="1569"/>
        <v>119.26229508196721</v>
      </c>
      <c r="O1443" s="123"/>
      <c r="P1443" s="123"/>
      <c r="Q1443" s="180"/>
      <c r="R1443" s="123"/>
      <c r="S1443" s="119"/>
      <c r="T1443" s="132"/>
    </row>
    <row r="1444" spans="2:20">
      <c r="B1444" s="310" t="s">
        <v>7</v>
      </c>
      <c r="C1444" s="311">
        <v>61.96</v>
      </c>
      <c r="D1444" s="312">
        <f t="shared" si="1570"/>
        <v>101.57377049180327</v>
      </c>
      <c r="E1444" s="311">
        <v>57</v>
      </c>
      <c r="F1444" s="312">
        <f t="shared" si="1565"/>
        <v>93.442622950819668</v>
      </c>
      <c r="G1444" s="311">
        <v>66.400000000000006</v>
      </c>
      <c r="H1444" s="312">
        <f t="shared" si="1566"/>
        <v>108.85245901639345</v>
      </c>
      <c r="I1444" s="311">
        <v>66.5</v>
      </c>
      <c r="J1444" s="312">
        <f t="shared" si="1567"/>
        <v>109.01639344262296</v>
      </c>
      <c r="K1444" s="311">
        <v>67.5</v>
      </c>
      <c r="L1444" s="312">
        <f t="shared" si="1568"/>
        <v>110.65573770491804</v>
      </c>
      <c r="M1444" s="311">
        <v>75</v>
      </c>
      <c r="N1444" s="312">
        <f t="shared" si="1569"/>
        <v>122.95081967213115</v>
      </c>
      <c r="O1444" s="123"/>
      <c r="P1444" s="123"/>
      <c r="Q1444" s="180"/>
      <c r="R1444" s="123"/>
      <c r="S1444" s="119"/>
      <c r="T1444" s="132"/>
    </row>
    <row r="1445" spans="2:20">
      <c r="B1445" s="310" t="s">
        <v>8</v>
      </c>
      <c r="C1445" s="311">
        <v>60</v>
      </c>
      <c r="D1445" s="312">
        <f t="shared" si="1570"/>
        <v>98.360655737704917</v>
      </c>
      <c r="E1445" s="311">
        <v>61.75</v>
      </c>
      <c r="F1445" s="312">
        <f t="shared" si="1565"/>
        <v>101.22950819672131</v>
      </c>
      <c r="G1445" s="311">
        <v>69.400000000000006</v>
      </c>
      <c r="H1445" s="312">
        <f t="shared" si="1566"/>
        <v>113.7704918032787</v>
      </c>
      <c r="I1445" s="311">
        <v>60.2</v>
      </c>
      <c r="J1445" s="312">
        <f t="shared" si="1567"/>
        <v>98.688524590163937</v>
      </c>
      <c r="K1445" s="311">
        <v>66</v>
      </c>
      <c r="L1445" s="312">
        <f t="shared" si="1568"/>
        <v>108.19672131147541</v>
      </c>
      <c r="M1445" s="311">
        <v>79.17</v>
      </c>
      <c r="N1445" s="312">
        <f t="shared" si="1569"/>
        <v>129.78688524590163</v>
      </c>
      <c r="O1445" s="123"/>
      <c r="P1445" s="123"/>
      <c r="Q1445" s="180"/>
      <c r="R1445" s="123"/>
      <c r="S1445" s="119"/>
      <c r="T1445" s="132"/>
    </row>
    <row r="1446" spans="2:20">
      <c r="B1446" s="310" t="s">
        <v>9</v>
      </c>
      <c r="C1446" s="311">
        <v>56</v>
      </c>
      <c r="D1446" s="312">
        <f t="shared" si="1570"/>
        <v>91.803278688524586</v>
      </c>
      <c r="E1446" s="311">
        <v>57</v>
      </c>
      <c r="F1446" s="312">
        <f t="shared" si="1565"/>
        <v>93.442622950819668</v>
      </c>
      <c r="G1446" s="311">
        <v>71.400000000000006</v>
      </c>
      <c r="H1446" s="312">
        <f t="shared" si="1566"/>
        <v>117.04918032786887</v>
      </c>
      <c r="I1446" s="311">
        <v>68.540000000000006</v>
      </c>
      <c r="J1446" s="312">
        <f t="shared" si="1567"/>
        <v>112.36065573770493</v>
      </c>
      <c r="K1446" s="311">
        <v>67.5</v>
      </c>
      <c r="L1446" s="312">
        <f t="shared" si="1568"/>
        <v>110.65573770491804</v>
      </c>
      <c r="M1446" s="311">
        <v>85</v>
      </c>
      <c r="N1446" s="312">
        <f t="shared" si="1569"/>
        <v>139.34426229508196</v>
      </c>
      <c r="O1446" s="123"/>
      <c r="P1446" s="123"/>
      <c r="Q1446" s="180"/>
      <c r="R1446" s="123"/>
      <c r="S1446" s="119"/>
      <c r="T1446" s="132"/>
    </row>
    <row r="1447" spans="2:20">
      <c r="B1447" s="310" t="s">
        <v>10</v>
      </c>
      <c r="C1447" s="311">
        <v>74.599999999999994</v>
      </c>
      <c r="D1447" s="312">
        <f t="shared" si="1570"/>
        <v>122.29508196721309</v>
      </c>
      <c r="E1447" s="311">
        <v>61.67</v>
      </c>
      <c r="F1447" s="312">
        <f t="shared" si="1565"/>
        <v>101.09836065573771</v>
      </c>
      <c r="G1447" s="311">
        <v>71.75</v>
      </c>
      <c r="H1447" s="312">
        <f t="shared" si="1566"/>
        <v>117.62295081967213</v>
      </c>
      <c r="I1447" s="311">
        <v>64</v>
      </c>
      <c r="J1447" s="312">
        <f t="shared" si="1567"/>
        <v>104.91803278688525</v>
      </c>
      <c r="K1447" s="311">
        <v>67.5</v>
      </c>
      <c r="L1447" s="312">
        <f t="shared" si="1568"/>
        <v>110.65573770491804</v>
      </c>
      <c r="M1447" s="311">
        <v>72</v>
      </c>
      <c r="N1447" s="312">
        <f t="shared" si="1569"/>
        <v>118.0327868852459</v>
      </c>
      <c r="O1447" s="123"/>
      <c r="P1447" s="123"/>
      <c r="Q1447" s="180"/>
      <c r="R1447" s="123"/>
      <c r="S1447" s="119"/>
      <c r="T1447" s="132"/>
    </row>
    <row r="1448" spans="2:20" ht="15.75" thickBot="1">
      <c r="B1448" s="314" t="s">
        <v>11</v>
      </c>
      <c r="C1448" s="315">
        <v>61.67</v>
      </c>
      <c r="D1448" s="316">
        <f t="shared" si="1570"/>
        <v>101.09836065573771</v>
      </c>
      <c r="E1448" s="315">
        <v>58</v>
      </c>
      <c r="F1448" s="316">
        <f t="shared" si="1565"/>
        <v>95.081967213114751</v>
      </c>
      <c r="G1448" s="315">
        <v>73.75</v>
      </c>
      <c r="H1448" s="316">
        <f t="shared" si="1566"/>
        <v>120.90163934426229</v>
      </c>
      <c r="I1448" s="315">
        <v>66.2</v>
      </c>
      <c r="J1448" s="316">
        <f t="shared" si="1567"/>
        <v>108.52459016393442</v>
      </c>
      <c r="K1448" s="315">
        <v>67.5</v>
      </c>
      <c r="L1448" s="316">
        <f t="shared" si="1568"/>
        <v>110.65573770491804</v>
      </c>
      <c r="M1448" s="315">
        <v>69.17</v>
      </c>
      <c r="N1448" s="316">
        <f t="shared" si="1569"/>
        <v>113.39344262295081</v>
      </c>
      <c r="O1448" s="123"/>
      <c r="P1448" s="123"/>
      <c r="Q1448" s="180"/>
      <c r="R1448" s="123"/>
      <c r="S1448" s="119"/>
      <c r="T1448" s="132"/>
    </row>
    <row r="1449" spans="2:20" ht="15.75" thickBot="1">
      <c r="C1449" s="118"/>
      <c r="D1449" s="123"/>
      <c r="E1449" s="118"/>
      <c r="F1449" s="123"/>
      <c r="G1449" s="118"/>
      <c r="H1449" s="123"/>
      <c r="I1449" s="118"/>
      <c r="J1449" s="123"/>
      <c r="K1449" s="118"/>
      <c r="L1449" s="123"/>
      <c r="M1449" s="118"/>
      <c r="N1449" s="123"/>
      <c r="O1449" s="123"/>
      <c r="P1449" s="123"/>
      <c r="Q1449" s="180"/>
      <c r="R1449" s="123"/>
      <c r="S1449" s="119"/>
      <c r="T1449" s="132"/>
    </row>
    <row r="1450" spans="2:20" ht="21" thickBot="1">
      <c r="B1450" s="534" t="s">
        <v>227</v>
      </c>
      <c r="C1450" s="521"/>
      <c r="D1450" s="358"/>
      <c r="E1450" s="358"/>
      <c r="F1450" s="541"/>
      <c r="G1450" s="617">
        <v>55</v>
      </c>
      <c r="H1450" s="362" t="s">
        <v>53</v>
      </c>
      <c r="I1450" s="358"/>
      <c r="J1450" s="358"/>
      <c r="K1450" s="364"/>
      <c r="L1450" s="364" t="s">
        <v>52</v>
      </c>
      <c r="M1450" s="364"/>
      <c r="N1450" s="359"/>
      <c r="O1450" s="119"/>
      <c r="P1450" s="119"/>
      <c r="Q1450" s="180"/>
      <c r="R1450" s="123"/>
      <c r="S1450" s="119"/>
      <c r="T1450" s="132"/>
    </row>
    <row r="1451" spans="2:20" ht="15.75" thickBot="1">
      <c r="B1451" s="1306">
        <v>2006</v>
      </c>
      <c r="C1451" s="1307"/>
      <c r="D1451" s="336" t="s">
        <v>15</v>
      </c>
      <c r="E1451" s="336">
        <v>2007</v>
      </c>
      <c r="F1451" s="336" t="s">
        <v>15</v>
      </c>
      <c r="G1451" s="336">
        <v>2008</v>
      </c>
      <c r="H1451" s="336" t="s">
        <v>15</v>
      </c>
      <c r="I1451" s="336">
        <v>2009</v>
      </c>
      <c r="J1451" s="336" t="s">
        <v>15</v>
      </c>
      <c r="K1451" s="336">
        <v>2010</v>
      </c>
      <c r="L1451" s="336" t="s">
        <v>15</v>
      </c>
      <c r="M1451" s="336">
        <v>2011</v>
      </c>
      <c r="N1451" s="354" t="s">
        <v>15</v>
      </c>
      <c r="O1451" s="124"/>
      <c r="P1451" s="124"/>
      <c r="Q1451" s="180"/>
      <c r="R1451" s="123"/>
      <c r="S1451" s="119"/>
      <c r="T1451" s="132"/>
    </row>
    <row r="1452" spans="2:20">
      <c r="B1452" s="306" t="s">
        <v>0</v>
      </c>
      <c r="C1452" s="307">
        <v>70.2</v>
      </c>
      <c r="D1452" s="312">
        <f t="shared" ref="D1452:D1463" si="1571">100*C1452/$C$1440</f>
        <v>115.08196721311475</v>
      </c>
      <c r="E1452" s="307">
        <v>91.67</v>
      </c>
      <c r="F1452" s="312">
        <f t="shared" ref="F1452:F1463" si="1572">100*E1452/$C$1440</f>
        <v>150.27868852459017</v>
      </c>
      <c r="G1452" s="307">
        <v>75.2</v>
      </c>
      <c r="H1452" s="312">
        <f t="shared" ref="H1452:H1463" si="1573">100*G1452/$C$1440</f>
        <v>123.27868852459017</v>
      </c>
      <c r="I1452" s="307">
        <v>82.5</v>
      </c>
      <c r="J1452" s="312">
        <f t="shared" ref="J1452:J1463" si="1574">100*I1452/$C$1440</f>
        <v>135.24590163934425</v>
      </c>
      <c r="K1452" s="307">
        <v>90</v>
      </c>
      <c r="L1452" s="312">
        <f t="shared" ref="L1452:L1463" si="1575">100*K1452/$C$1440</f>
        <v>147.54098360655738</v>
      </c>
      <c r="M1452" s="307">
        <v>118</v>
      </c>
      <c r="N1452" s="313">
        <f t="shared" ref="N1452:N1463" si="1576">100*M1452/$C$1440</f>
        <v>193.44262295081967</v>
      </c>
      <c r="O1452" s="123"/>
      <c r="P1452" s="174">
        <f>+G1458/G1453-1</f>
        <v>3.5973534971644794E-2</v>
      </c>
      <c r="Q1452" s="180"/>
      <c r="R1452" s="123"/>
      <c r="S1452" s="119"/>
      <c r="T1452" s="132"/>
    </row>
    <row r="1453" spans="2:20">
      <c r="B1453" s="310" t="s">
        <v>1</v>
      </c>
      <c r="C1453" s="311">
        <v>89.17</v>
      </c>
      <c r="D1453" s="312">
        <f t="shared" si="1571"/>
        <v>146.18032786885246</v>
      </c>
      <c r="E1453" s="311">
        <v>90.83</v>
      </c>
      <c r="F1453" s="312">
        <f t="shared" si="1572"/>
        <v>148.90163934426229</v>
      </c>
      <c r="G1453" s="311">
        <v>75.571428571428569</v>
      </c>
      <c r="H1453" s="312">
        <f t="shared" si="1573"/>
        <v>123.88758782201404</v>
      </c>
      <c r="I1453" s="311">
        <v>82</v>
      </c>
      <c r="J1453" s="312">
        <f t="shared" si="1574"/>
        <v>134.42622950819671</v>
      </c>
      <c r="K1453" s="311">
        <v>93.141428571428577</v>
      </c>
      <c r="L1453" s="312">
        <f t="shared" si="1575"/>
        <v>152.69086651053863</v>
      </c>
      <c r="M1453" s="311">
        <v>118</v>
      </c>
      <c r="N1453" s="313">
        <f t="shared" si="1576"/>
        <v>193.44262295081967</v>
      </c>
      <c r="O1453" s="123"/>
      <c r="P1453" s="123"/>
      <c r="Q1453" s="180"/>
      <c r="R1453" s="123"/>
      <c r="S1453" s="119"/>
      <c r="T1453" s="132"/>
    </row>
    <row r="1454" spans="2:20">
      <c r="B1454" s="310" t="s">
        <v>2</v>
      </c>
      <c r="C1454" s="311">
        <v>91</v>
      </c>
      <c r="D1454" s="312">
        <f t="shared" si="1571"/>
        <v>149.18032786885246</v>
      </c>
      <c r="E1454" s="311">
        <v>90</v>
      </c>
      <c r="F1454" s="312">
        <f t="shared" si="1572"/>
        <v>147.54098360655738</v>
      </c>
      <c r="G1454" s="311">
        <v>77</v>
      </c>
      <c r="H1454" s="312">
        <f t="shared" si="1573"/>
        <v>126.22950819672131</v>
      </c>
      <c r="I1454" s="311">
        <v>82.833333333333329</v>
      </c>
      <c r="J1454" s="312">
        <f t="shared" si="1574"/>
        <v>135.79234972677594</v>
      </c>
      <c r="K1454" s="311">
        <v>115.33333333333333</v>
      </c>
      <c r="L1454" s="312">
        <f t="shared" si="1575"/>
        <v>189.0710382513661</v>
      </c>
      <c r="M1454" s="311">
        <v>118</v>
      </c>
      <c r="N1454" s="313">
        <f t="shared" si="1576"/>
        <v>193.44262295081967</v>
      </c>
      <c r="O1454" s="123"/>
      <c r="P1454" s="123"/>
      <c r="Q1454" s="180"/>
      <c r="R1454" s="123"/>
      <c r="S1454" s="119"/>
      <c r="T1454" s="132"/>
    </row>
    <row r="1455" spans="2:20">
      <c r="B1455" s="310" t="s">
        <v>3</v>
      </c>
      <c r="C1455" s="311">
        <v>89</v>
      </c>
      <c r="D1455" s="312">
        <f t="shared" si="1571"/>
        <v>145.90163934426229</v>
      </c>
      <c r="E1455" s="311">
        <v>92.5</v>
      </c>
      <c r="F1455" s="312">
        <f t="shared" si="1572"/>
        <v>151.63934426229508</v>
      </c>
      <c r="G1455" s="311">
        <v>77</v>
      </c>
      <c r="H1455" s="312">
        <f t="shared" si="1573"/>
        <v>126.22950819672131</v>
      </c>
      <c r="I1455" s="311">
        <v>83</v>
      </c>
      <c r="J1455" s="312">
        <f t="shared" si="1574"/>
        <v>136.0655737704918</v>
      </c>
      <c r="K1455" s="311">
        <v>115.33</v>
      </c>
      <c r="L1455" s="312">
        <f t="shared" si="1575"/>
        <v>189.0655737704918</v>
      </c>
      <c r="M1455" s="311">
        <v>118</v>
      </c>
      <c r="N1455" s="313">
        <f t="shared" si="1576"/>
        <v>193.44262295081967</v>
      </c>
      <c r="O1455" s="123"/>
      <c r="P1455" s="123"/>
      <c r="Q1455" s="180"/>
      <c r="R1455" s="123"/>
      <c r="S1455" s="119"/>
      <c r="T1455" s="132"/>
    </row>
    <row r="1456" spans="2:20">
      <c r="B1456" s="310" t="s">
        <v>4</v>
      </c>
      <c r="C1456" s="311">
        <v>93.75</v>
      </c>
      <c r="D1456" s="312">
        <f t="shared" si="1571"/>
        <v>153.68852459016392</v>
      </c>
      <c r="E1456" s="311">
        <v>89.17</v>
      </c>
      <c r="F1456" s="312">
        <f t="shared" si="1572"/>
        <v>146.18032786885246</v>
      </c>
      <c r="G1456" s="311">
        <v>78</v>
      </c>
      <c r="H1456" s="312">
        <f t="shared" si="1573"/>
        <v>127.8688524590164</v>
      </c>
      <c r="I1456" s="311">
        <v>84</v>
      </c>
      <c r="J1456" s="312">
        <f t="shared" si="1574"/>
        <v>137.70491803278688</v>
      </c>
      <c r="K1456" s="311">
        <v>115.33</v>
      </c>
      <c r="L1456" s="312">
        <f t="shared" si="1575"/>
        <v>189.0655737704918</v>
      </c>
      <c r="M1456" s="311">
        <v>118</v>
      </c>
      <c r="N1456" s="313">
        <f t="shared" si="1576"/>
        <v>193.44262295081967</v>
      </c>
      <c r="O1456" s="123"/>
      <c r="P1456" s="123"/>
      <c r="Q1456" s="180"/>
      <c r="R1456" s="123"/>
      <c r="S1456" s="119"/>
      <c r="T1456" s="132"/>
    </row>
    <row r="1457" spans="2:20">
      <c r="B1457" s="310" t="s">
        <v>5</v>
      </c>
      <c r="C1457" s="311">
        <v>92</v>
      </c>
      <c r="D1457" s="312">
        <f t="shared" si="1571"/>
        <v>150.81967213114754</v>
      </c>
      <c r="E1457" s="311">
        <v>91</v>
      </c>
      <c r="F1457" s="312">
        <f t="shared" si="1572"/>
        <v>149.18032786885246</v>
      </c>
      <c r="G1457" s="311">
        <v>78</v>
      </c>
      <c r="H1457" s="312">
        <f t="shared" si="1573"/>
        <v>127.8688524590164</v>
      </c>
      <c r="I1457" s="311">
        <v>86</v>
      </c>
      <c r="J1457" s="312">
        <f t="shared" si="1574"/>
        <v>140.98360655737704</v>
      </c>
      <c r="K1457" s="311">
        <v>115.33</v>
      </c>
      <c r="L1457" s="312">
        <f t="shared" si="1575"/>
        <v>189.0655737704918</v>
      </c>
      <c r="M1457" s="311">
        <v>118</v>
      </c>
      <c r="N1457" s="313">
        <f t="shared" si="1576"/>
        <v>193.44262295081967</v>
      </c>
      <c r="O1457" s="123"/>
      <c r="P1457" s="123"/>
      <c r="Q1457" s="180"/>
      <c r="R1457" s="123"/>
      <c r="S1457" s="119"/>
      <c r="T1457" s="132"/>
    </row>
    <row r="1458" spans="2:20">
      <c r="B1458" s="310" t="s">
        <v>6</v>
      </c>
      <c r="C1458" s="311">
        <v>83.33</v>
      </c>
      <c r="D1458" s="312">
        <f t="shared" si="1571"/>
        <v>136.60655737704917</v>
      </c>
      <c r="E1458" s="311">
        <v>75</v>
      </c>
      <c r="F1458" s="312">
        <f t="shared" si="1572"/>
        <v>122.95081967213115</v>
      </c>
      <c r="G1458" s="311">
        <v>78.290000000000006</v>
      </c>
      <c r="H1458" s="312">
        <f t="shared" si="1573"/>
        <v>128.34426229508199</v>
      </c>
      <c r="I1458" s="311">
        <v>87</v>
      </c>
      <c r="J1458" s="312">
        <f t="shared" si="1574"/>
        <v>142.62295081967213</v>
      </c>
      <c r="K1458" s="311">
        <v>118</v>
      </c>
      <c r="L1458" s="312">
        <f t="shared" si="1575"/>
        <v>193.44262295081967</v>
      </c>
      <c r="M1458" s="311">
        <v>118</v>
      </c>
      <c r="N1458" s="313">
        <f t="shared" si="1576"/>
        <v>193.44262295081967</v>
      </c>
      <c r="O1458" s="123"/>
      <c r="P1458" s="123"/>
      <c r="Q1458" s="180"/>
      <c r="R1458" s="123"/>
      <c r="S1458" s="119"/>
      <c r="T1458" s="132"/>
    </row>
    <row r="1459" spans="2:20">
      <c r="B1459" s="310" t="s">
        <v>7</v>
      </c>
      <c r="C1459" s="311">
        <v>96</v>
      </c>
      <c r="D1459" s="312">
        <f t="shared" si="1571"/>
        <v>157.37704918032787</v>
      </c>
      <c r="E1459" s="311">
        <v>74.166666666666671</v>
      </c>
      <c r="F1459" s="312">
        <f t="shared" si="1572"/>
        <v>121.58469945355192</v>
      </c>
      <c r="G1459" s="311">
        <v>79.8</v>
      </c>
      <c r="H1459" s="312">
        <f t="shared" si="1573"/>
        <v>130.81967213114754</v>
      </c>
      <c r="I1459" s="311">
        <v>87</v>
      </c>
      <c r="J1459" s="312">
        <f t="shared" si="1574"/>
        <v>142.62295081967213</v>
      </c>
      <c r="K1459" s="311">
        <v>118</v>
      </c>
      <c r="L1459" s="312">
        <f t="shared" si="1575"/>
        <v>193.44262295081967</v>
      </c>
      <c r="M1459" s="311">
        <v>122.5</v>
      </c>
      <c r="N1459" s="313">
        <f t="shared" si="1576"/>
        <v>200.81967213114754</v>
      </c>
      <c r="O1459" s="123"/>
      <c r="P1459" s="123"/>
      <c r="Q1459" s="180"/>
      <c r="R1459" s="123"/>
      <c r="S1459" s="119"/>
      <c r="T1459" s="132"/>
    </row>
    <row r="1460" spans="2:20">
      <c r="B1460" s="310" t="s">
        <v>8</v>
      </c>
      <c r="C1460" s="311">
        <v>91</v>
      </c>
      <c r="D1460" s="312">
        <f t="shared" si="1571"/>
        <v>149.18032786885246</v>
      </c>
      <c r="E1460" s="311">
        <v>76</v>
      </c>
      <c r="F1460" s="312">
        <f t="shared" si="1572"/>
        <v>124.59016393442623</v>
      </c>
      <c r="G1460" s="311">
        <v>79</v>
      </c>
      <c r="H1460" s="312">
        <f t="shared" si="1573"/>
        <v>129.50819672131146</v>
      </c>
      <c r="I1460" s="311">
        <v>87.14</v>
      </c>
      <c r="J1460" s="312">
        <f t="shared" si="1574"/>
        <v>142.85245901639345</v>
      </c>
      <c r="K1460" s="311">
        <v>118</v>
      </c>
      <c r="L1460" s="312">
        <f t="shared" si="1575"/>
        <v>193.44262295081967</v>
      </c>
      <c r="M1460" s="311">
        <v>122.5</v>
      </c>
      <c r="N1460" s="313">
        <f t="shared" si="1576"/>
        <v>200.81967213114754</v>
      </c>
      <c r="O1460" s="123"/>
      <c r="P1460" s="123"/>
      <c r="Q1460" s="180"/>
      <c r="R1460" s="123"/>
      <c r="S1460" s="119"/>
      <c r="T1460" s="132"/>
    </row>
    <row r="1461" spans="2:20">
      <c r="B1461" s="310" t="s">
        <v>9</v>
      </c>
      <c r="C1461" s="311">
        <v>93</v>
      </c>
      <c r="D1461" s="312">
        <f t="shared" si="1571"/>
        <v>152.45901639344262</v>
      </c>
      <c r="E1461" s="311">
        <v>75</v>
      </c>
      <c r="F1461" s="312">
        <f t="shared" si="1572"/>
        <v>122.95081967213115</v>
      </c>
      <c r="G1461" s="311">
        <v>80</v>
      </c>
      <c r="H1461" s="312">
        <f t="shared" si="1573"/>
        <v>131.14754098360655</v>
      </c>
      <c r="I1461" s="311">
        <v>89</v>
      </c>
      <c r="J1461" s="312">
        <f t="shared" si="1574"/>
        <v>145.90163934426229</v>
      </c>
      <c r="K1461" s="311">
        <v>118</v>
      </c>
      <c r="L1461" s="312">
        <f t="shared" si="1575"/>
        <v>193.44262295081967</v>
      </c>
      <c r="M1461" s="311">
        <v>122.5</v>
      </c>
      <c r="N1461" s="313">
        <f t="shared" si="1576"/>
        <v>200.81967213114754</v>
      </c>
      <c r="O1461" s="123"/>
      <c r="P1461" s="123"/>
      <c r="Q1461" s="180"/>
      <c r="R1461" s="123"/>
      <c r="S1461" s="119"/>
      <c r="T1461" s="132"/>
    </row>
    <row r="1462" spans="2:20">
      <c r="B1462" s="310" t="s">
        <v>10</v>
      </c>
      <c r="C1462" s="311">
        <v>90</v>
      </c>
      <c r="D1462" s="312">
        <f t="shared" si="1571"/>
        <v>147.54098360655738</v>
      </c>
      <c r="E1462" s="311">
        <v>75.2</v>
      </c>
      <c r="F1462" s="312">
        <f t="shared" si="1572"/>
        <v>123.27868852459017</v>
      </c>
      <c r="G1462" s="311">
        <v>80</v>
      </c>
      <c r="H1462" s="312">
        <f t="shared" si="1573"/>
        <v>131.14754098360655</v>
      </c>
      <c r="I1462" s="311">
        <v>90</v>
      </c>
      <c r="J1462" s="312">
        <f t="shared" si="1574"/>
        <v>147.54098360655738</v>
      </c>
      <c r="K1462" s="311">
        <v>118</v>
      </c>
      <c r="L1462" s="312">
        <f t="shared" si="1575"/>
        <v>193.44262295081967</v>
      </c>
      <c r="M1462" s="311">
        <v>122.5</v>
      </c>
      <c r="N1462" s="313">
        <f t="shared" si="1576"/>
        <v>200.81967213114754</v>
      </c>
      <c r="O1462" s="123"/>
      <c r="P1462" s="123"/>
      <c r="Q1462" s="180"/>
      <c r="R1462" s="123"/>
      <c r="S1462" s="119"/>
      <c r="T1462" s="132"/>
    </row>
    <row r="1463" spans="2:20" ht="15.75" thickBot="1">
      <c r="B1463" s="314" t="s">
        <v>11</v>
      </c>
      <c r="C1463" s="315">
        <v>85</v>
      </c>
      <c r="D1463" s="316">
        <f t="shared" si="1571"/>
        <v>139.34426229508196</v>
      </c>
      <c r="E1463" s="315">
        <v>74.333333333333329</v>
      </c>
      <c r="F1463" s="316">
        <f t="shared" si="1572"/>
        <v>121.85792349726775</v>
      </c>
      <c r="G1463" s="315">
        <v>82</v>
      </c>
      <c r="H1463" s="316">
        <f t="shared" si="1573"/>
        <v>134.42622950819671</v>
      </c>
      <c r="I1463" s="315">
        <v>90</v>
      </c>
      <c r="J1463" s="316">
        <f t="shared" si="1574"/>
        <v>147.54098360655738</v>
      </c>
      <c r="K1463" s="315">
        <v>118</v>
      </c>
      <c r="L1463" s="316">
        <f t="shared" si="1575"/>
        <v>193.44262295081967</v>
      </c>
      <c r="M1463" s="315">
        <v>122.5</v>
      </c>
      <c r="N1463" s="317">
        <f t="shared" si="1576"/>
        <v>200.81967213114754</v>
      </c>
      <c r="O1463" s="123"/>
      <c r="P1463" s="123"/>
      <c r="Q1463" s="180"/>
      <c r="R1463" s="123"/>
      <c r="S1463" s="119"/>
      <c r="T1463" s="132"/>
    </row>
    <row r="1464" spans="2:20">
      <c r="C1464" s="118"/>
      <c r="D1464" s="123"/>
      <c r="E1464" s="118"/>
      <c r="F1464" s="123"/>
      <c r="G1464" s="118"/>
      <c r="H1464" s="123"/>
      <c r="I1464" s="118"/>
      <c r="J1464" s="123"/>
      <c r="K1464" s="118"/>
      <c r="L1464" s="123"/>
      <c r="M1464" s="118"/>
      <c r="N1464" s="123"/>
      <c r="O1464" s="123"/>
      <c r="P1464" s="123"/>
      <c r="Q1464" s="180"/>
      <c r="R1464" s="123"/>
      <c r="S1464" s="119"/>
      <c r="T1464" s="132"/>
    </row>
    <row r="1465" spans="2:20" ht="15.75">
      <c r="B1465" s="1304" t="s">
        <v>227</v>
      </c>
      <c r="C1465" s="1305"/>
      <c r="D1465" s="1305"/>
      <c r="E1465" s="1305"/>
      <c r="F1465" s="1305"/>
      <c r="G1465" s="1305"/>
      <c r="H1465" s="1305"/>
      <c r="I1465" s="1305"/>
      <c r="J1465" s="1305"/>
      <c r="K1465" s="1305"/>
      <c r="L1465" s="1305"/>
      <c r="M1465" s="1305"/>
      <c r="N1465" s="1305"/>
      <c r="O1465" s="1305"/>
      <c r="P1465" s="1305"/>
      <c r="Q1465" s="1305"/>
      <c r="R1465" s="1305"/>
      <c r="S1465" s="1305"/>
      <c r="T1465" s="1305"/>
    </row>
    <row r="1466" spans="2:20" ht="15.75" thickBot="1">
      <c r="B1466" s="1314">
        <v>2012</v>
      </c>
      <c r="C1466" s="1315"/>
      <c r="D1466" s="649" t="s">
        <v>15</v>
      </c>
      <c r="E1466" s="650">
        <v>2013</v>
      </c>
      <c r="F1466" s="649" t="s">
        <v>15</v>
      </c>
      <c r="G1466" s="650">
        <v>2014</v>
      </c>
      <c r="H1466" s="649" t="s">
        <v>15</v>
      </c>
      <c r="I1466" s="650">
        <v>2015</v>
      </c>
      <c r="J1466" s="649" t="s">
        <v>15</v>
      </c>
      <c r="K1466" s="650">
        <v>2016</v>
      </c>
      <c r="L1466" s="649" t="s">
        <v>15</v>
      </c>
      <c r="M1466" s="650">
        <v>2017</v>
      </c>
      <c r="N1466" s="649" t="s">
        <v>15</v>
      </c>
      <c r="O1466" s="650">
        <v>2018</v>
      </c>
      <c r="P1466" s="649" t="s">
        <v>15</v>
      </c>
      <c r="Q1466" s="650">
        <v>2019</v>
      </c>
      <c r="R1466" s="649" t="s">
        <v>15</v>
      </c>
      <c r="S1466" s="1266">
        <v>2020</v>
      </c>
      <c r="T1466" s="649" t="s">
        <v>15</v>
      </c>
    </row>
    <row r="1467" spans="2:20">
      <c r="B1467" s="306" t="s">
        <v>0</v>
      </c>
      <c r="C1467" s="307">
        <v>160</v>
      </c>
      <c r="D1467" s="312">
        <f t="shared" ref="D1467:D1478" si="1577">100*C1467/$C$1440</f>
        <v>262.29508196721309</v>
      </c>
      <c r="E1467" s="657">
        <f>[9]PLANCUSce!$H$40</f>
        <v>171</v>
      </c>
      <c r="F1467" s="312">
        <f t="shared" ref="F1467:F1478" si="1578">100*E1467/$C$1440</f>
        <v>280.32786885245901</v>
      </c>
      <c r="G1467" s="657">
        <f>[10]PLANCUSce!$H$40</f>
        <v>168</v>
      </c>
      <c r="H1467" s="558">
        <f t="shared" ref="H1467:H1472" si="1579">100*G1467/$C$1440</f>
        <v>275.40983606557376</v>
      </c>
      <c r="I1467" s="657">
        <f>[11]PLANCUSce!$H$40</f>
        <v>178.97800000000001</v>
      </c>
      <c r="J1467" s="558">
        <f t="shared" ref="J1467:J1472" si="1580">100*I1467/$C$1440</f>
        <v>293.40655737704918</v>
      </c>
      <c r="K1467" s="657">
        <f>[12]PLANCUSce!$H$40</f>
        <v>190.97800000000001</v>
      </c>
      <c r="L1467" s="558">
        <f t="shared" ref="L1467" si="1581">100*K1467/$C$1440</f>
        <v>313.07868852459018</v>
      </c>
      <c r="M1467" s="657">
        <f>[13]PLANCUSce!$H$40</f>
        <v>207.020152</v>
      </c>
      <c r="N1467" s="558">
        <f t="shared" ref="N1467" si="1582">100*M1467/$C$1440</f>
        <v>339.37729836065569</v>
      </c>
      <c r="O1467" s="657">
        <f>[14]PLANCUSce!$H$40</f>
        <v>215.67047199999996</v>
      </c>
      <c r="P1467" s="558">
        <f t="shared" ref="P1467" si="1583">100*O1467/$C$1440</f>
        <v>353.55815081967211</v>
      </c>
      <c r="Q1467" s="657">
        <f>[15]PLANCUSce!$I$40</f>
        <v>225.37564323999999</v>
      </c>
      <c r="R1467" s="558">
        <f t="shared" ref="R1467" si="1584">100*Q1467/$C$1440</f>
        <v>369.46826760655733</v>
      </c>
      <c r="S1467" s="657">
        <f>[16]PLANCUSce!$I$40</f>
        <v>236.02283937794408</v>
      </c>
      <c r="T1467" s="558">
        <f t="shared" ref="T1467" si="1585">100*S1467/$C$1440</f>
        <v>386.92268750482634</v>
      </c>
    </row>
    <row r="1468" spans="2:20">
      <c r="B1468" s="310" t="s">
        <v>1</v>
      </c>
      <c r="C1468" s="311">
        <v>160</v>
      </c>
      <c r="D1468" s="312">
        <f t="shared" si="1577"/>
        <v>262.29508196721309</v>
      </c>
      <c r="E1468" s="662">
        <f>[17]PLANCUSce!$H$40</f>
        <v>171</v>
      </c>
      <c r="F1468" s="312">
        <f t="shared" si="1578"/>
        <v>280.32786885245901</v>
      </c>
      <c r="G1468" s="311">
        <f>[18]PLANCUSce!$H$40</f>
        <v>167.99799999999999</v>
      </c>
      <c r="H1468" s="313">
        <f t="shared" si="1579"/>
        <v>275.40655737704918</v>
      </c>
      <c r="I1468" s="662">
        <f>[19]PLANCUSce!$H$40</f>
        <v>178.97800000000001</v>
      </c>
      <c r="J1468" s="313">
        <f t="shared" si="1580"/>
        <v>293.40655737704918</v>
      </c>
      <c r="K1468" s="662">
        <f>[20]PLANCUSce!$H$40</f>
        <v>190.97800000000001</v>
      </c>
      <c r="L1468" s="313">
        <f t="shared" ref="L1468" si="1586">100*K1468/$C$1440</f>
        <v>313.07868852459018</v>
      </c>
      <c r="M1468" s="662">
        <f>[21]PLANCUSce!$H$40</f>
        <v>207.020152</v>
      </c>
      <c r="N1468" s="313">
        <f t="shared" ref="N1468" si="1587">100*M1468/$C$1440</f>
        <v>339.37729836065569</v>
      </c>
      <c r="O1468" s="662">
        <f>[22]PLANCUSce!$H$40</f>
        <v>215.67047199999996</v>
      </c>
      <c r="P1468" s="313">
        <f t="shared" ref="P1468" si="1588">100*O1468/$C$1440</f>
        <v>353.55815081967211</v>
      </c>
      <c r="Q1468" s="662">
        <f>[23]PLANCUSce!$I$40</f>
        <v>225.37564323999999</v>
      </c>
      <c r="R1468" s="313">
        <f t="shared" ref="R1468" si="1589">100*Q1468/$C$1440</f>
        <v>369.46826760655733</v>
      </c>
      <c r="S1468" s="662">
        <f>[24]PLANCUSce!$I$40</f>
        <v>236.02283937794408</v>
      </c>
      <c r="T1468" s="313">
        <f t="shared" ref="T1468" si="1590">100*S1468/$C$1440</f>
        <v>386.92268750482634</v>
      </c>
    </row>
    <row r="1469" spans="2:20">
      <c r="B1469" s="310" t="s">
        <v>2</v>
      </c>
      <c r="C1469" s="311">
        <v>160</v>
      </c>
      <c r="D1469" s="312">
        <f t="shared" si="1577"/>
        <v>262.29508196721309</v>
      </c>
      <c r="E1469" s="662">
        <f>[25]PLANCUSce!$H$40</f>
        <v>171</v>
      </c>
      <c r="F1469" s="312">
        <f t="shared" si="1578"/>
        <v>280.32786885245901</v>
      </c>
      <c r="G1469" s="311">
        <f>[26]PLANCUSce!$H$40</f>
        <v>167.99799999999999</v>
      </c>
      <c r="H1469" s="313">
        <f t="shared" si="1579"/>
        <v>275.40655737704918</v>
      </c>
      <c r="I1469" s="662">
        <f>[27]PLANCUSce!$H$40</f>
        <v>178.97800000000001</v>
      </c>
      <c r="J1469" s="313">
        <f t="shared" si="1580"/>
        <v>293.40655737704918</v>
      </c>
      <c r="K1469" s="662">
        <f>[28]PLANCUSce!$H$40</f>
        <v>190.97800000000001</v>
      </c>
      <c r="L1469" s="313">
        <f t="shared" ref="L1469" si="1591">100*K1469/$C$1440</f>
        <v>313.07868852459018</v>
      </c>
      <c r="M1469" s="662">
        <f>[29]PLANCUSce!$H$40</f>
        <v>207.020152</v>
      </c>
      <c r="N1469" s="313">
        <f t="shared" ref="N1469" si="1592">100*M1469/$C$1440</f>
        <v>339.37729836065569</v>
      </c>
      <c r="O1469" s="662">
        <f>[30]PLANCUSce!$H$40</f>
        <v>215.67047199999996</v>
      </c>
      <c r="P1469" s="313">
        <f t="shared" ref="P1469" si="1593">100*O1469/$C$1440</f>
        <v>353.55815081967211</v>
      </c>
      <c r="Q1469" s="662">
        <f>[31]PLANCUSce!$I$40</f>
        <v>225.37564323999999</v>
      </c>
      <c r="R1469" s="313">
        <f t="shared" ref="R1469" si="1594">100*Q1469/$C$1440</f>
        <v>369.46826760655733</v>
      </c>
      <c r="S1469" s="662">
        <f>[32]PLANCUSce!$I$40</f>
        <v>236.02283937794408</v>
      </c>
      <c r="T1469" s="313">
        <f t="shared" ref="T1469" si="1595">100*S1469/$C$1440</f>
        <v>386.92268750482634</v>
      </c>
    </row>
    <row r="1470" spans="2:20">
      <c r="B1470" s="310" t="s">
        <v>3</v>
      </c>
      <c r="C1470" s="311">
        <v>160</v>
      </c>
      <c r="D1470" s="312">
        <f t="shared" si="1577"/>
        <v>262.29508196721309</v>
      </c>
      <c r="E1470" s="662">
        <f>[33]PLANCUSce!$H$40</f>
        <v>176</v>
      </c>
      <c r="F1470" s="312">
        <f t="shared" si="1578"/>
        <v>288.52459016393442</v>
      </c>
      <c r="G1470" s="311">
        <f>[34]PLANCUSce!$H$40</f>
        <v>167.99799999999999</v>
      </c>
      <c r="H1470" s="313">
        <f t="shared" si="1579"/>
        <v>275.40655737704918</v>
      </c>
      <c r="I1470" s="662">
        <f>[35]PLANCUSce!$H$40</f>
        <v>178.97800000000001</v>
      </c>
      <c r="J1470" s="313">
        <f t="shared" si="1580"/>
        <v>293.40655737704918</v>
      </c>
      <c r="K1470" s="662">
        <f>[36]PLANCUSce!$H$40</f>
        <v>190.97800000000001</v>
      </c>
      <c r="L1470" s="313">
        <f t="shared" ref="L1470" si="1596">100*K1470/$C$1440</f>
        <v>313.07868852459018</v>
      </c>
      <c r="M1470" s="662">
        <f>[37]PLANCUSce!$H$40</f>
        <v>207.020152</v>
      </c>
      <c r="N1470" s="313">
        <f t="shared" ref="N1470" si="1597">100*M1470/$C$1440</f>
        <v>339.37729836065569</v>
      </c>
      <c r="O1470" s="662">
        <f>[38]PLANCUSce!$H$40</f>
        <v>215.67047199999996</v>
      </c>
      <c r="P1470" s="313">
        <f t="shared" ref="P1470" si="1598">100*O1470/$C$1440</f>
        <v>353.55815081967211</v>
      </c>
      <c r="Q1470" s="662">
        <f>[39]PLANCUSce!$I$40</f>
        <v>225.37564323999999</v>
      </c>
      <c r="R1470" s="313">
        <f t="shared" ref="R1470" si="1599">100*Q1470/$C$1440</f>
        <v>369.46826760655733</v>
      </c>
      <c r="S1470" s="662">
        <f>[40]PLANCUSce!$I$40</f>
        <v>236.02283937794408</v>
      </c>
      <c r="T1470" s="313">
        <f t="shared" ref="T1470" si="1600">100*S1470/$C$1440</f>
        <v>386.92268750482634</v>
      </c>
    </row>
    <row r="1471" spans="2:20">
      <c r="B1471" s="310" t="s">
        <v>4</v>
      </c>
      <c r="C1471" s="311">
        <v>160</v>
      </c>
      <c r="D1471" s="312">
        <f t="shared" si="1577"/>
        <v>262.29508196721309</v>
      </c>
      <c r="E1471" s="662">
        <v>176</v>
      </c>
      <c r="F1471" s="312">
        <f t="shared" si="1578"/>
        <v>288.52459016393442</v>
      </c>
      <c r="G1471" s="311">
        <f>[42]PLANCUSce!$H$40</f>
        <v>171.99799999999999</v>
      </c>
      <c r="H1471" s="313">
        <f t="shared" si="1579"/>
        <v>281.96393442622951</v>
      </c>
      <c r="I1471" s="662">
        <f>[43]PLANCUSce!$H$40</f>
        <v>178.97800000000001</v>
      </c>
      <c r="J1471" s="313">
        <f t="shared" si="1580"/>
        <v>293.40655737704918</v>
      </c>
      <c r="K1471" s="662">
        <f>[44]PLANCUSce!$H$40</f>
        <v>207.020152</v>
      </c>
      <c r="L1471" s="313">
        <f t="shared" ref="L1471" si="1601">100*K1471/$C$1440</f>
        <v>339.37729836065569</v>
      </c>
      <c r="M1471" s="662">
        <f>[45]PLANCUSce!$H$40</f>
        <v>207.020152</v>
      </c>
      <c r="N1471" s="313">
        <f t="shared" ref="N1471" si="1602">100*M1471/$C$1440</f>
        <v>339.37729836065569</v>
      </c>
      <c r="O1471" s="662">
        <f>[46]PLANCUSce!$H$40</f>
        <v>215.67047199999996</v>
      </c>
      <c r="P1471" s="313">
        <f t="shared" ref="P1471" si="1603">100*O1471/$C$1440</f>
        <v>353.55815081967211</v>
      </c>
      <c r="Q1471" s="662">
        <f>[47]PLANCUSce!$I$40</f>
        <v>225.37564323999999</v>
      </c>
      <c r="R1471" s="313">
        <f t="shared" ref="R1471" si="1604">100*Q1471/$C$1440</f>
        <v>369.46826760655733</v>
      </c>
      <c r="S1471" s="662">
        <f>[48]PLANCUSce!$I$40</f>
        <v>236.02283937794408</v>
      </c>
      <c r="T1471" s="313">
        <f t="shared" ref="T1471" si="1605">100*S1471/$C$1440</f>
        <v>386.92268750482634</v>
      </c>
    </row>
    <row r="1472" spans="2:20">
      <c r="B1472" s="310" t="s">
        <v>5</v>
      </c>
      <c r="C1472" s="311">
        <v>160</v>
      </c>
      <c r="D1472" s="312">
        <f t="shared" si="1577"/>
        <v>262.29508196721309</v>
      </c>
      <c r="E1472" s="662">
        <v>176</v>
      </c>
      <c r="F1472" s="312">
        <f t="shared" si="1578"/>
        <v>288.52459016393442</v>
      </c>
      <c r="G1472" s="311">
        <f>[50]PLANCUSce!$H$40</f>
        <v>171.99799999999999</v>
      </c>
      <c r="H1472" s="313">
        <f t="shared" si="1579"/>
        <v>281.96393442622951</v>
      </c>
      <c r="I1472" s="662">
        <f>[51]PLANCUSce!$H$40</f>
        <v>190.97800000000001</v>
      </c>
      <c r="J1472" s="313">
        <f t="shared" si="1580"/>
        <v>313.07868852459018</v>
      </c>
      <c r="K1472" s="662">
        <f>[52]PLANCUSce!$H$40</f>
        <v>207.020152</v>
      </c>
      <c r="L1472" s="313">
        <f t="shared" ref="L1472" si="1606">100*K1472/$C$1440</f>
        <v>339.37729836065569</v>
      </c>
      <c r="M1472" s="662">
        <f>[53]PLANCUSce!$H$40</f>
        <v>207.020152</v>
      </c>
      <c r="N1472" s="313">
        <f t="shared" ref="N1472" si="1607">100*M1472/$C$1440</f>
        <v>339.37729836065569</v>
      </c>
      <c r="O1472" s="662">
        <f>[54]PLANCUSce!$H$40</f>
        <v>225.37564323999999</v>
      </c>
      <c r="P1472" s="313">
        <f t="shared" ref="P1472" si="1608">100*O1472/$C$1440</f>
        <v>369.46826760655733</v>
      </c>
      <c r="Q1472" s="662">
        <f>[55]PLANCUSce!$I$40</f>
        <v>225.37564323999999</v>
      </c>
      <c r="R1472" s="313">
        <f t="shared" ref="R1472" si="1609">100*Q1472/$C$1440</f>
        <v>369.46826760655733</v>
      </c>
      <c r="S1472" s="662">
        <f>[56]PLANCUSce!$I$40</f>
        <v>236.02283937794408</v>
      </c>
      <c r="T1472" s="313">
        <f t="shared" ref="T1472" si="1610">100*S1472/$C$1440</f>
        <v>386.92268750482634</v>
      </c>
    </row>
    <row r="1473" spans="2:20">
      <c r="B1473" s="310" t="s">
        <v>6</v>
      </c>
      <c r="C1473" s="311">
        <f>[57]PLANCUSce!$H$40</f>
        <v>166</v>
      </c>
      <c r="D1473" s="312">
        <f t="shared" si="1577"/>
        <v>272.13114754098359</v>
      </c>
      <c r="E1473" s="662">
        <f>176</f>
        <v>176</v>
      </c>
      <c r="F1473" s="312">
        <f t="shared" si="1578"/>
        <v>288.52459016393442</v>
      </c>
      <c r="G1473" s="311">
        <f>[59]PLANCUSce!$H$40</f>
        <v>171.99799999999999</v>
      </c>
      <c r="H1473" s="313">
        <f t="shared" ref="H1473:H1478" si="1611">100*G1473/$C$1440</f>
        <v>281.96393442622951</v>
      </c>
      <c r="I1473" s="662">
        <f>[60]PLANCUSce!$H$40</f>
        <v>190.97800000000001</v>
      </c>
      <c r="J1473" s="313">
        <f t="shared" ref="J1473:J1478" si="1612">100*I1473/$C$1440</f>
        <v>313.07868852459018</v>
      </c>
      <c r="K1473" s="662">
        <f>[61]PLANCUSce!$H$40</f>
        <v>207.020152</v>
      </c>
      <c r="L1473" s="313">
        <f t="shared" ref="L1473" si="1613">100*K1473/$C$1440</f>
        <v>339.37729836065569</v>
      </c>
      <c r="M1473" s="662">
        <f>[62]PLANCUSce!$H$40</f>
        <v>207.020152</v>
      </c>
      <c r="N1473" s="313">
        <f t="shared" ref="N1473" si="1614">100*M1473/$C$1440</f>
        <v>339.37729836065569</v>
      </c>
      <c r="O1473" s="662">
        <f>[63]PLANCUSce!$I$40</f>
        <v>225.37564323999999</v>
      </c>
      <c r="P1473" s="313">
        <f t="shared" ref="P1473" si="1615">100*O1473/$C$1440</f>
        <v>369.46826760655733</v>
      </c>
      <c r="Q1473" s="662">
        <f>[64]PLANCUSce!$I$40</f>
        <v>236.02283937794408</v>
      </c>
      <c r="R1473" s="313">
        <f t="shared" ref="R1473" si="1616">100*Q1473/$C$1440</f>
        <v>386.92268750482634</v>
      </c>
      <c r="S1473" s="662">
        <f>[65]PLANCUSce!$I$40</f>
        <v>236.02283937794408</v>
      </c>
      <c r="T1473" s="313">
        <f t="shared" ref="T1473" si="1617">100*S1473/$C$1440</f>
        <v>386.92268750482634</v>
      </c>
    </row>
    <row r="1474" spans="2:20">
      <c r="B1474" s="310" t="s">
        <v>7</v>
      </c>
      <c r="C1474" s="311">
        <f>[66]PLANCUSce!$H$40</f>
        <v>166</v>
      </c>
      <c r="D1474" s="312">
        <f t="shared" si="1577"/>
        <v>272.13114754098359</v>
      </c>
      <c r="E1474" s="662">
        <f>176</f>
        <v>176</v>
      </c>
      <c r="F1474" s="312">
        <f t="shared" si="1578"/>
        <v>288.52459016393442</v>
      </c>
      <c r="G1474" s="311">
        <f>[68]PLANCUSce!$H$40</f>
        <v>171.99799999999999</v>
      </c>
      <c r="H1474" s="313">
        <f t="shared" si="1611"/>
        <v>281.96393442622951</v>
      </c>
      <c r="I1474" s="662">
        <f>[69]PLANCUSce!$H$40</f>
        <v>190.97800000000001</v>
      </c>
      <c r="J1474" s="313">
        <f t="shared" si="1612"/>
        <v>313.07868852459018</v>
      </c>
      <c r="K1474" s="662">
        <f>[70]PLANCUSce!$H$40</f>
        <v>207.020152</v>
      </c>
      <c r="L1474" s="313">
        <f t="shared" ref="L1474" si="1618">100*K1474/$C$1440</f>
        <v>339.37729836065569</v>
      </c>
      <c r="M1474" s="662">
        <f>[71]PLANCUSce!$H$40</f>
        <v>215.67047199999996</v>
      </c>
      <c r="N1474" s="313">
        <f t="shared" ref="N1474" si="1619">100*M1474/$C$1440</f>
        <v>353.55815081967211</v>
      </c>
      <c r="O1474" s="662">
        <f>[72]PLANCUSce!$I$40</f>
        <v>225.37564323999999</v>
      </c>
      <c r="P1474" s="313">
        <f t="shared" ref="P1474" si="1620">100*O1474/$C$1440</f>
        <v>369.46826760655733</v>
      </c>
      <c r="Q1474" s="662">
        <f>[73]PLANCUSce!$I$40</f>
        <v>236.02283937794408</v>
      </c>
      <c r="R1474" s="313">
        <f t="shared" ref="R1474" si="1621">100*Q1474/$C$1440</f>
        <v>386.92268750482634</v>
      </c>
      <c r="S1474" s="662">
        <f>[74]PLANCUSce!$I$40</f>
        <v>236.02283937794408</v>
      </c>
      <c r="T1474" s="313">
        <f t="shared" ref="T1474" si="1622">100*S1474/$C$1440</f>
        <v>386.92268750482634</v>
      </c>
    </row>
    <row r="1475" spans="2:20">
      <c r="B1475" s="310" t="s">
        <v>8</v>
      </c>
      <c r="C1475" s="311">
        <f>[75]PLANCUSce!$H$40</f>
        <v>166</v>
      </c>
      <c r="D1475" s="312">
        <f t="shared" si="1577"/>
        <v>272.13114754098359</v>
      </c>
      <c r="E1475" s="662">
        <f>176</f>
        <v>176</v>
      </c>
      <c r="F1475" s="312">
        <f t="shared" si="1578"/>
        <v>288.52459016393442</v>
      </c>
      <c r="G1475" s="311">
        <f>[77]PLANCUSce!$H$40</f>
        <v>171.99799999999999</v>
      </c>
      <c r="H1475" s="313">
        <f t="shared" si="1611"/>
        <v>281.96393442622951</v>
      </c>
      <c r="I1475" s="662">
        <f>[78]PLANCUSce!$H$40</f>
        <v>190.97800000000001</v>
      </c>
      <c r="J1475" s="313">
        <f t="shared" si="1612"/>
        <v>313.07868852459018</v>
      </c>
      <c r="K1475" s="662">
        <f>[79]PLANCUSce!$H$40</f>
        <v>207.020152</v>
      </c>
      <c r="L1475" s="313">
        <f t="shared" ref="L1475" si="1623">100*K1475/$C$1440</f>
        <v>339.37729836065569</v>
      </c>
      <c r="M1475" s="662">
        <f>[80]PLANCUSce!$H$40</f>
        <v>215.67047199999996</v>
      </c>
      <c r="N1475" s="313">
        <f t="shared" ref="N1475" si="1624">100*M1475/$C$1440</f>
        <v>353.55815081967211</v>
      </c>
      <c r="O1475" s="662">
        <f>[81]PLANCUSce!$I$40</f>
        <v>225.37564323999999</v>
      </c>
      <c r="P1475" s="313">
        <f t="shared" ref="P1475" si="1625">100*O1475/$C$1440</f>
        <v>369.46826760655733</v>
      </c>
      <c r="Q1475" s="662">
        <f>[82]PLANCUSce!$I$40</f>
        <v>236.02283937794408</v>
      </c>
      <c r="R1475" s="313">
        <f t="shared" ref="R1475" si="1626">100*Q1475/$C$1440</f>
        <v>386.92268750482634</v>
      </c>
      <c r="S1475" s="662">
        <f>[123]PLANCUSce!$I$40*1.0340268</f>
        <v>244.05394132888949</v>
      </c>
      <c r="T1475" s="313">
        <f t="shared" ref="T1475" si="1627">100*S1475/$C$1440</f>
        <v>400.08842840801555</v>
      </c>
    </row>
    <row r="1476" spans="2:20">
      <c r="B1476" s="310" t="s">
        <v>9</v>
      </c>
      <c r="C1476" s="311">
        <f>[83]PLANCUSce!$H$40</f>
        <v>166</v>
      </c>
      <c r="D1476" s="312">
        <f t="shared" si="1577"/>
        <v>272.13114754098359</v>
      </c>
      <c r="E1476" s="662">
        <f>176</f>
        <v>176</v>
      </c>
      <c r="F1476" s="312">
        <f t="shared" si="1578"/>
        <v>288.52459016393442</v>
      </c>
      <c r="G1476" s="311">
        <f>[85]PLANCUSce!$H$40</f>
        <v>171.99799999999999</v>
      </c>
      <c r="H1476" s="313">
        <f t="shared" si="1611"/>
        <v>281.96393442622951</v>
      </c>
      <c r="I1476" s="662">
        <f>[86]PLANCUSce!$H$40</f>
        <v>190.97800000000001</v>
      </c>
      <c r="J1476" s="313">
        <f t="shared" si="1612"/>
        <v>313.07868852459018</v>
      </c>
      <c r="K1476" s="662">
        <f>[87]PLANCUSce!$H$40</f>
        <v>207.020152</v>
      </c>
      <c r="L1476" s="313">
        <f t="shared" ref="L1476" si="1628">100*K1476/$C$1440</f>
        <v>339.37729836065569</v>
      </c>
      <c r="M1476" s="662">
        <f>[88]PLANCUSce!$H$40</f>
        <v>215.67047199999996</v>
      </c>
      <c r="N1476" s="313">
        <f t="shared" ref="N1476" si="1629">100*M1476/$C$1440</f>
        <v>353.55815081967211</v>
      </c>
      <c r="O1476" s="662">
        <f>[89]PLANCUSce!$I$40</f>
        <v>225.37564323999999</v>
      </c>
      <c r="P1476" s="313">
        <f t="shared" ref="P1476" si="1630">100*O1476/$C$1440</f>
        <v>369.46826760655733</v>
      </c>
      <c r="Q1476" s="662">
        <f>[90]PLANCUSce!$I$40</f>
        <v>236.02283937794408</v>
      </c>
      <c r="R1476" s="313">
        <f t="shared" ref="R1476" si="1631">100*Q1476/$C$1440</f>
        <v>386.92268750482634</v>
      </c>
      <c r="S1476" s="662"/>
      <c r="T1476" s="313"/>
    </row>
    <row r="1477" spans="2:20">
      <c r="B1477" s="310" t="s">
        <v>10</v>
      </c>
      <c r="C1477" s="311">
        <f>[91]PLANCUSce!$H$40</f>
        <v>166</v>
      </c>
      <c r="D1477" s="312">
        <f t="shared" si="1577"/>
        <v>272.13114754098359</v>
      </c>
      <c r="E1477" s="662">
        <f>176</f>
        <v>176</v>
      </c>
      <c r="F1477" s="312">
        <f t="shared" si="1578"/>
        <v>288.52459016393442</v>
      </c>
      <c r="G1477" s="311">
        <f>[93]PLANCUSce!$H$40</f>
        <v>178.97800000000001</v>
      </c>
      <c r="H1477" s="313">
        <f t="shared" si="1611"/>
        <v>293.40655737704918</v>
      </c>
      <c r="I1477" s="662">
        <f>[94]PLANCUSce!$H$40</f>
        <v>190.97800000000001</v>
      </c>
      <c r="J1477" s="313">
        <f t="shared" si="1612"/>
        <v>313.07868852459018</v>
      </c>
      <c r="K1477" s="662">
        <f>[95]PLANCUSce!$H$40</f>
        <v>207.020152</v>
      </c>
      <c r="L1477" s="313">
        <f t="shared" ref="L1477" si="1632">100*K1477/$C$1440</f>
        <v>339.37729836065569</v>
      </c>
      <c r="M1477" s="662">
        <f>[96]PLANCUSce!$H$40</f>
        <v>215.67047199999996</v>
      </c>
      <c r="N1477" s="313">
        <f t="shared" ref="N1477" si="1633">100*M1477/$C$1440</f>
        <v>353.55815081967211</v>
      </c>
      <c r="O1477" s="662">
        <f>[97]PLANCUSce!$I$40</f>
        <v>225.37564323999999</v>
      </c>
      <c r="P1477" s="313">
        <f t="shared" ref="P1477" si="1634">100*O1477/$C$1440</f>
        <v>369.46826760655733</v>
      </c>
      <c r="Q1477" s="662">
        <f>[98]PLANCUSce!$I$40</f>
        <v>236.02283937794408</v>
      </c>
      <c r="R1477" s="313">
        <f t="shared" ref="R1477" si="1635">100*Q1477/$C$1440</f>
        <v>386.92268750482634</v>
      </c>
      <c r="S1477" s="662"/>
      <c r="T1477" s="313"/>
    </row>
    <row r="1478" spans="2:20" ht="15.75" thickBot="1">
      <c r="B1478" s="314" t="s">
        <v>11</v>
      </c>
      <c r="C1478" s="315">
        <f>[99]PLANCUSce!$H$40</f>
        <v>166</v>
      </c>
      <c r="D1478" s="316">
        <f t="shared" si="1577"/>
        <v>272.13114754098359</v>
      </c>
      <c r="E1478" s="682">
        <f>176</f>
        <v>176</v>
      </c>
      <c r="F1478" s="316">
        <f t="shared" si="1578"/>
        <v>288.52459016393442</v>
      </c>
      <c r="G1478" s="315">
        <f>[101]PLANCUSce!$H$40</f>
        <v>178.97800000000001</v>
      </c>
      <c r="H1478" s="317">
        <f t="shared" si="1611"/>
        <v>293.40655737704918</v>
      </c>
      <c r="I1478" s="682">
        <f>[102]PLANCUSce!$H$40</f>
        <v>190.97800000000001</v>
      </c>
      <c r="J1478" s="317">
        <f t="shared" si="1612"/>
        <v>313.07868852459018</v>
      </c>
      <c r="K1478" s="682">
        <f>[103]PLANCUSce!$H$40</f>
        <v>207.020152</v>
      </c>
      <c r="L1478" s="317">
        <f t="shared" ref="L1478" si="1636">100*K1478/$C$1440</f>
        <v>339.37729836065569</v>
      </c>
      <c r="M1478" s="682">
        <f>[104]PLANCUSce!$H$40</f>
        <v>215.67047199999996</v>
      </c>
      <c r="N1478" s="317">
        <f t="shared" ref="N1478" si="1637">100*M1478/$C$1440</f>
        <v>353.55815081967211</v>
      </c>
      <c r="O1478" s="682">
        <f>[105]PLANCUSce!$I$40</f>
        <v>225.37564323999999</v>
      </c>
      <c r="P1478" s="317">
        <f t="shared" ref="P1478" si="1638">100*O1478/$C$1440</f>
        <v>369.46826760655733</v>
      </c>
      <c r="Q1478" s="682">
        <f>[106]PLANCUSce!$I$40</f>
        <v>236.02283937794408</v>
      </c>
      <c r="R1478" s="317">
        <f t="shared" ref="R1478" si="1639">100*Q1478/$C$1440</f>
        <v>386.92268750482634</v>
      </c>
      <c r="S1478" s="682"/>
      <c r="T1478" s="317"/>
    </row>
    <row r="1479" spans="2:20">
      <c r="C1479" s="118"/>
      <c r="D1479" s="123"/>
      <c r="E1479" s="118"/>
      <c r="F1479" s="123"/>
      <c r="G1479" s="118"/>
      <c r="H1479" s="123"/>
      <c r="I1479" s="118"/>
      <c r="J1479" s="123"/>
      <c r="K1479" s="118"/>
      <c r="L1479" s="123"/>
      <c r="M1479" s="118"/>
      <c r="N1479" s="123"/>
      <c r="O1479" s="123"/>
      <c r="P1479" s="123"/>
      <c r="Q1479" s="180"/>
      <c r="R1479" s="123"/>
      <c r="S1479" s="119"/>
      <c r="T1479" s="132"/>
    </row>
    <row r="1480" spans="2:20">
      <c r="B1480" s="207"/>
      <c r="C1480" s="199"/>
      <c r="D1480" s="200"/>
      <c r="E1480" s="199"/>
      <c r="F1480" s="200"/>
      <c r="G1480" s="199"/>
      <c r="H1480" s="200"/>
      <c r="I1480" s="199"/>
      <c r="J1480" s="200"/>
      <c r="K1480" s="199"/>
      <c r="L1480" s="200"/>
      <c r="M1480" s="199"/>
      <c r="N1480" s="200"/>
      <c r="O1480" s="123"/>
      <c r="P1480" s="123"/>
      <c r="Q1480" s="180"/>
      <c r="R1480" s="123"/>
      <c r="S1480" s="119"/>
      <c r="T1480" s="132"/>
    </row>
    <row r="1481" spans="2:20" ht="15.75" thickBot="1">
      <c r="C1481" s="118"/>
      <c r="D1481" s="123"/>
      <c r="E1481" s="118"/>
      <c r="F1481" s="123"/>
      <c r="G1481" s="118"/>
      <c r="H1481" s="123"/>
      <c r="I1481" s="118"/>
      <c r="J1481" s="123"/>
      <c r="K1481" s="118"/>
      <c r="L1481" s="123"/>
      <c r="M1481" s="118"/>
      <c r="N1481" s="123"/>
      <c r="O1481" s="123"/>
      <c r="P1481" s="123"/>
      <c r="Q1481" s="180"/>
      <c r="R1481" s="123"/>
      <c r="S1481" s="119"/>
      <c r="T1481" s="132"/>
    </row>
    <row r="1482" spans="2:20" s="522" customFormat="1" ht="18.75" thickBot="1">
      <c r="B1482" s="618" t="s">
        <v>73</v>
      </c>
      <c r="C1482" s="484"/>
      <c r="D1482" s="395"/>
      <c r="E1482" s="395"/>
      <c r="F1482" s="476"/>
      <c r="G1482" s="395"/>
      <c r="H1482" s="516">
        <v>768.53</v>
      </c>
      <c r="I1482" s="358" t="s">
        <v>56</v>
      </c>
      <c r="J1482" s="395"/>
      <c r="K1482" s="476"/>
      <c r="L1482" s="395"/>
      <c r="M1482" s="619"/>
      <c r="N1482" s="563"/>
      <c r="Q1482" s="602"/>
      <c r="R1482" s="603"/>
      <c r="T1482" s="604"/>
    </row>
    <row r="1483" spans="2:20" ht="15.75" thickBot="1">
      <c r="B1483" s="1306">
        <v>2000</v>
      </c>
      <c r="C1483" s="1307"/>
      <c r="D1483" s="336" t="s">
        <v>15</v>
      </c>
      <c r="E1483" s="336">
        <v>2001</v>
      </c>
      <c r="F1483" s="694" t="s">
        <v>15</v>
      </c>
      <c r="G1483" s="336">
        <v>2002</v>
      </c>
      <c r="H1483" s="336" t="s">
        <v>15</v>
      </c>
      <c r="I1483" s="336">
        <v>2003</v>
      </c>
      <c r="J1483" s="336" t="s">
        <v>15</v>
      </c>
      <c r="K1483" s="336">
        <v>2004</v>
      </c>
      <c r="L1483" s="336" t="s">
        <v>15</v>
      </c>
      <c r="M1483" s="336">
        <v>2005</v>
      </c>
      <c r="N1483" s="354" t="s">
        <v>15</v>
      </c>
      <c r="O1483" s="124"/>
      <c r="P1483" s="124"/>
      <c r="Q1483" s="180"/>
      <c r="R1483" s="123"/>
      <c r="S1483" s="119"/>
      <c r="T1483" s="132"/>
    </row>
    <row r="1484" spans="2:20">
      <c r="B1484" s="306" t="s">
        <v>0</v>
      </c>
      <c r="C1484" s="307"/>
      <c r="D1484" s="308">
        <f>100*C1484/$H$1482</f>
        <v>0</v>
      </c>
      <c r="E1484" s="307">
        <v>799.27</v>
      </c>
      <c r="F1484" s="312">
        <f t="shared" ref="F1484:F1495" si="1640">100*E1484/$H$1482</f>
        <v>103.99984385775441</v>
      </c>
      <c r="G1484" s="307">
        <v>858.92</v>
      </c>
      <c r="H1484" s="312">
        <f t="shared" ref="H1484:H1495" si="1641">100*G1484/$H$1482</f>
        <v>111.76141464874502</v>
      </c>
      <c r="I1484" s="307">
        <v>930.18</v>
      </c>
      <c r="J1484" s="312">
        <f t="shared" ref="J1484:J1495" si="1642">100*I1484/$H$1482</f>
        <v>121.03366166577753</v>
      </c>
      <c r="K1484" s="307">
        <f>+I1495</f>
        <v>1058.72</v>
      </c>
      <c r="L1484" s="312">
        <f t="shared" ref="L1484:L1495" si="1643">100*K1484/$H$1482</f>
        <v>137.75909853876882</v>
      </c>
      <c r="M1484" s="307">
        <v>1261.97</v>
      </c>
      <c r="N1484" s="313">
        <f t="shared" ref="N1484:N1495" si="1644">100*M1484/$H$1482</f>
        <v>164.2056913848516</v>
      </c>
      <c r="O1484" s="123"/>
      <c r="P1484" s="123"/>
      <c r="Q1484" s="180"/>
      <c r="R1484" s="123"/>
      <c r="S1484" s="119"/>
      <c r="T1484" s="132"/>
    </row>
    <row r="1485" spans="2:20">
      <c r="B1485" s="310" t="s">
        <v>1</v>
      </c>
      <c r="C1485" s="311"/>
      <c r="D1485" s="312">
        <f>100*C1485/$H$1482</f>
        <v>0</v>
      </c>
      <c r="E1485" s="311">
        <v>799.27</v>
      </c>
      <c r="F1485" s="312">
        <f t="shared" si="1640"/>
        <v>103.99984385775441</v>
      </c>
      <c r="G1485" s="311">
        <v>858.92</v>
      </c>
      <c r="H1485" s="312">
        <f t="shared" si="1641"/>
        <v>111.76141464874502</v>
      </c>
      <c r="I1485" s="311">
        <v>930.18</v>
      </c>
      <c r="J1485" s="312">
        <f t="shared" si="1642"/>
        <v>121.03366166577753</v>
      </c>
      <c r="K1485" s="311">
        <v>1058.72</v>
      </c>
      <c r="L1485" s="312">
        <f t="shared" si="1643"/>
        <v>137.75909853876882</v>
      </c>
      <c r="M1485" s="311">
        <v>1261.97</v>
      </c>
      <c r="N1485" s="313">
        <f t="shared" si="1644"/>
        <v>164.2056913848516</v>
      </c>
      <c r="O1485" s="123"/>
      <c r="P1485" s="123"/>
      <c r="Q1485" s="180"/>
      <c r="R1485" s="123"/>
      <c r="S1485" s="119"/>
      <c r="T1485" s="132"/>
    </row>
    <row r="1486" spans="2:20">
      <c r="B1486" s="310" t="s">
        <v>2</v>
      </c>
      <c r="C1486" s="311"/>
      <c r="D1486" s="312">
        <f>100*C1486/$H$1482</f>
        <v>0</v>
      </c>
      <c r="E1486" s="311">
        <v>799.27</v>
      </c>
      <c r="F1486" s="312">
        <f t="shared" si="1640"/>
        <v>103.99984385775441</v>
      </c>
      <c r="G1486" s="311">
        <v>858.92</v>
      </c>
      <c r="H1486" s="312">
        <f t="shared" si="1641"/>
        <v>111.76141464874502</v>
      </c>
      <c r="I1486" s="311">
        <v>937.08</v>
      </c>
      <c r="J1486" s="312">
        <f t="shared" si="1642"/>
        <v>121.93147957789547</v>
      </c>
      <c r="K1486" s="311">
        <v>1066.6600000000001</v>
      </c>
      <c r="L1486" s="312">
        <f t="shared" si="1643"/>
        <v>138.79223973039441</v>
      </c>
      <c r="M1486" s="311">
        <v>1261.97</v>
      </c>
      <c r="N1486" s="313">
        <f t="shared" si="1644"/>
        <v>164.2056913848516</v>
      </c>
      <c r="O1486" s="123"/>
      <c r="P1486" s="123"/>
      <c r="Q1486" s="180"/>
      <c r="R1486" s="123"/>
      <c r="S1486" s="119"/>
      <c r="T1486" s="132"/>
    </row>
    <row r="1487" spans="2:20">
      <c r="B1487" s="310" t="s">
        <v>3</v>
      </c>
      <c r="C1487" s="311">
        <v>768.53</v>
      </c>
      <c r="D1487" s="312">
        <v>100</v>
      </c>
      <c r="E1487" s="311">
        <v>799.27</v>
      </c>
      <c r="F1487" s="312">
        <f t="shared" si="1640"/>
        <v>103.99984385775441</v>
      </c>
      <c r="G1487" s="311">
        <v>858.92</v>
      </c>
      <c r="H1487" s="312">
        <f t="shared" si="1641"/>
        <v>111.76141464874502</v>
      </c>
      <c r="I1487" s="311">
        <v>937.08</v>
      </c>
      <c r="J1487" s="312">
        <f t="shared" si="1642"/>
        <v>121.93147957789547</v>
      </c>
      <c r="K1487" s="311">
        <v>1066.6600000000001</v>
      </c>
      <c r="L1487" s="312">
        <f t="shared" si="1643"/>
        <v>138.79223973039441</v>
      </c>
      <c r="M1487" s="311">
        <v>1261.94</v>
      </c>
      <c r="N1487" s="313">
        <f t="shared" si="1644"/>
        <v>164.20178782871196</v>
      </c>
      <c r="O1487" s="123"/>
      <c r="P1487" s="123"/>
      <c r="Q1487" s="180"/>
      <c r="R1487" s="123"/>
      <c r="S1487" s="119"/>
      <c r="T1487" s="132"/>
    </row>
    <row r="1488" spans="2:20">
      <c r="B1488" s="310" t="s">
        <v>4</v>
      </c>
      <c r="C1488" s="311">
        <v>768.53</v>
      </c>
      <c r="D1488" s="312">
        <f>100*C1488/$H$1482</f>
        <v>100</v>
      </c>
      <c r="E1488" s="311">
        <v>858.92</v>
      </c>
      <c r="F1488" s="312">
        <f t="shared" si="1640"/>
        <v>111.76141464874502</v>
      </c>
      <c r="G1488" s="311">
        <v>923.34</v>
      </c>
      <c r="H1488" s="312">
        <f t="shared" si="1641"/>
        <v>120.14365086593888</v>
      </c>
      <c r="I1488" s="311">
        <v>1003.05</v>
      </c>
      <c r="J1488" s="312">
        <f t="shared" si="1642"/>
        <v>130.5153995289709</v>
      </c>
      <c r="K1488" s="311">
        <v>1130.6600000000001</v>
      </c>
      <c r="L1488" s="312">
        <f t="shared" si="1643"/>
        <v>147.11982616163328</v>
      </c>
      <c r="M1488" s="311">
        <v>1362.92</v>
      </c>
      <c r="N1488" s="313">
        <f t="shared" si="1644"/>
        <v>177.34115779475101</v>
      </c>
      <c r="O1488" s="123"/>
      <c r="P1488" s="123"/>
      <c r="Q1488" s="180"/>
      <c r="R1488" s="123"/>
      <c r="S1488" s="119"/>
      <c r="T1488" s="132"/>
    </row>
    <row r="1489" spans="2:20">
      <c r="B1489" s="310" t="s">
        <v>5</v>
      </c>
      <c r="C1489" s="311">
        <v>799.27</v>
      </c>
      <c r="D1489" s="312">
        <f t="shared" ref="D1489:D1495" si="1645">100*C1489/$H$1482</f>
        <v>103.99984385775441</v>
      </c>
      <c r="E1489" s="311">
        <v>858.92</v>
      </c>
      <c r="F1489" s="312">
        <f t="shared" si="1640"/>
        <v>111.76141464874502</v>
      </c>
      <c r="G1489" s="311">
        <v>923.34</v>
      </c>
      <c r="H1489" s="312">
        <f t="shared" si="1641"/>
        <v>120.14365086593888</v>
      </c>
      <c r="I1489" s="311">
        <v>1003.05</v>
      </c>
      <c r="J1489" s="312">
        <f t="shared" si="1642"/>
        <v>130.5153995289709</v>
      </c>
      <c r="K1489" s="311">
        <v>1130.6600000000001</v>
      </c>
      <c r="L1489" s="312">
        <f t="shared" si="1643"/>
        <v>147.11982616163328</v>
      </c>
      <c r="M1489" s="311">
        <v>1362.92</v>
      </c>
      <c r="N1489" s="313">
        <f t="shared" si="1644"/>
        <v>177.34115779475101</v>
      </c>
      <c r="O1489" s="123"/>
      <c r="P1489" s="123"/>
      <c r="Q1489" s="180"/>
      <c r="R1489" s="123"/>
      <c r="S1489" s="119"/>
      <c r="T1489" s="132"/>
    </row>
    <row r="1490" spans="2:20">
      <c r="B1490" s="310" t="s">
        <v>6</v>
      </c>
      <c r="C1490" s="311">
        <v>799.27</v>
      </c>
      <c r="D1490" s="312">
        <f t="shared" si="1645"/>
        <v>103.99984385775441</v>
      </c>
      <c r="E1490" s="311">
        <v>858.92</v>
      </c>
      <c r="F1490" s="312">
        <f t="shared" si="1640"/>
        <v>111.76141464874502</v>
      </c>
      <c r="G1490" s="311">
        <v>923.34</v>
      </c>
      <c r="H1490" s="312">
        <f t="shared" si="1641"/>
        <v>120.14365086593888</v>
      </c>
      <c r="I1490" s="311">
        <v>1050.8399999999999</v>
      </c>
      <c r="J1490" s="312">
        <f t="shared" si="1642"/>
        <v>136.73376445942253</v>
      </c>
      <c r="K1490" s="311">
        <f>+K1489</f>
        <v>1130.6600000000001</v>
      </c>
      <c r="L1490" s="312">
        <f t="shared" si="1643"/>
        <v>147.11982616163328</v>
      </c>
      <c r="M1490" s="311">
        <v>1362.92</v>
      </c>
      <c r="N1490" s="313">
        <f t="shared" si="1644"/>
        <v>177.34115779475101</v>
      </c>
      <c r="O1490" s="123"/>
      <c r="P1490" s="123"/>
      <c r="Q1490" s="180"/>
      <c r="R1490" s="123"/>
      <c r="S1490" s="119"/>
      <c r="T1490" s="132"/>
    </row>
    <row r="1491" spans="2:20">
      <c r="B1491" s="310" t="s">
        <v>7</v>
      </c>
      <c r="C1491" s="311">
        <v>799.27</v>
      </c>
      <c r="D1491" s="312">
        <f t="shared" si="1645"/>
        <v>103.99984385775441</v>
      </c>
      <c r="E1491" s="311">
        <v>858.92</v>
      </c>
      <c r="F1491" s="312">
        <f t="shared" si="1640"/>
        <v>111.76141464874502</v>
      </c>
      <c r="G1491" s="311">
        <v>923.34</v>
      </c>
      <c r="H1491" s="312">
        <f t="shared" si="1641"/>
        <v>120.14365086593888</v>
      </c>
      <c r="I1491" s="311">
        <v>1050.8399999999999</v>
      </c>
      <c r="J1491" s="312">
        <f t="shared" si="1642"/>
        <v>136.73376445942253</v>
      </c>
      <c r="K1491" s="311">
        <v>1243.67</v>
      </c>
      <c r="L1491" s="312">
        <f t="shared" si="1643"/>
        <v>161.82452213966926</v>
      </c>
      <c r="M1491" s="311">
        <v>1362.92</v>
      </c>
      <c r="N1491" s="313">
        <f t="shared" si="1644"/>
        <v>177.34115779475101</v>
      </c>
      <c r="O1491" s="123"/>
      <c r="P1491" s="123"/>
      <c r="Q1491" s="180"/>
      <c r="R1491" s="123"/>
      <c r="S1491" s="119"/>
      <c r="T1491" s="132"/>
    </row>
    <row r="1492" spans="2:20">
      <c r="B1492" s="310" t="s">
        <v>8</v>
      </c>
      <c r="C1492" s="311">
        <v>799.27</v>
      </c>
      <c r="D1492" s="312">
        <f t="shared" si="1645"/>
        <v>103.99984385775441</v>
      </c>
      <c r="E1492" s="311">
        <v>858.92</v>
      </c>
      <c r="F1492" s="312">
        <f t="shared" si="1640"/>
        <v>111.76141464874502</v>
      </c>
      <c r="G1492" s="311">
        <v>923.34</v>
      </c>
      <c r="H1492" s="312">
        <f t="shared" si="1641"/>
        <v>120.14365086593888</v>
      </c>
      <c r="I1492" s="311">
        <v>1050.8399999999999</v>
      </c>
      <c r="J1492" s="312">
        <f t="shared" si="1642"/>
        <v>136.73376445942253</v>
      </c>
      <c r="K1492" s="311">
        <v>1243.67</v>
      </c>
      <c r="L1492" s="312">
        <f t="shared" si="1643"/>
        <v>161.82452213966926</v>
      </c>
      <c r="M1492" s="311">
        <v>1362.92</v>
      </c>
      <c r="N1492" s="313">
        <f t="shared" si="1644"/>
        <v>177.34115779475101</v>
      </c>
      <c r="O1492" s="123"/>
      <c r="P1492" s="123"/>
      <c r="Q1492" s="180"/>
      <c r="R1492" s="123"/>
      <c r="S1492" s="119"/>
      <c r="T1492" s="132"/>
    </row>
    <row r="1493" spans="2:20">
      <c r="B1493" s="310" t="s">
        <v>9</v>
      </c>
      <c r="C1493" s="311">
        <v>799.27</v>
      </c>
      <c r="D1493" s="312">
        <f t="shared" si="1645"/>
        <v>103.99984385775441</v>
      </c>
      <c r="E1493" s="311">
        <v>858.92</v>
      </c>
      <c r="F1493" s="312">
        <f t="shared" si="1640"/>
        <v>111.76141464874502</v>
      </c>
      <c r="G1493" s="311">
        <v>930.18</v>
      </c>
      <c r="H1493" s="312">
        <f t="shared" si="1641"/>
        <v>121.03366166577753</v>
      </c>
      <c r="I1493" s="311">
        <v>1058.72</v>
      </c>
      <c r="J1493" s="312">
        <f t="shared" si="1642"/>
        <v>137.75909853876882</v>
      </c>
      <c r="K1493" s="311">
        <f>+K1492</f>
        <v>1243.67</v>
      </c>
      <c r="L1493" s="312">
        <f t="shared" si="1643"/>
        <v>161.82452213966926</v>
      </c>
      <c r="M1493" s="311">
        <v>1362.92</v>
      </c>
      <c r="N1493" s="313">
        <f t="shared" si="1644"/>
        <v>177.34115779475101</v>
      </c>
      <c r="O1493" s="123"/>
      <c r="P1493" s="123"/>
      <c r="Q1493" s="180"/>
      <c r="R1493" s="123"/>
      <c r="S1493" s="119"/>
      <c r="T1493" s="132"/>
    </row>
    <row r="1494" spans="2:20">
      <c r="B1494" s="310" t="s">
        <v>10</v>
      </c>
      <c r="C1494" s="311">
        <v>799.27</v>
      </c>
      <c r="D1494" s="312">
        <f>100*C1494/$H$1482</f>
        <v>103.99984385775441</v>
      </c>
      <c r="E1494" s="311">
        <v>858.92</v>
      </c>
      <c r="F1494" s="312">
        <f t="shared" si="1640"/>
        <v>111.76141464874502</v>
      </c>
      <c r="G1494" s="311">
        <v>930.18</v>
      </c>
      <c r="H1494" s="312">
        <f t="shared" si="1641"/>
        <v>121.03366166577753</v>
      </c>
      <c r="I1494" s="311">
        <v>1058.72</v>
      </c>
      <c r="J1494" s="312">
        <f t="shared" si="1642"/>
        <v>137.75909853876882</v>
      </c>
      <c r="K1494" s="311">
        <f>+K1493</f>
        <v>1243.67</v>
      </c>
      <c r="L1494" s="312">
        <f t="shared" si="1643"/>
        <v>161.82452213966926</v>
      </c>
      <c r="M1494" s="311">
        <v>1396.99</v>
      </c>
      <c r="N1494" s="313">
        <f t="shared" si="1644"/>
        <v>181.77429638400582</v>
      </c>
      <c r="O1494" s="123"/>
      <c r="P1494" s="123"/>
      <c r="Q1494" s="180"/>
      <c r="R1494" s="123"/>
      <c r="S1494" s="119"/>
      <c r="T1494" s="132"/>
    </row>
    <row r="1495" spans="2:20" ht="15.75" thickBot="1">
      <c r="B1495" s="314" t="s">
        <v>11</v>
      </c>
      <c r="C1495" s="315">
        <v>799.27</v>
      </c>
      <c r="D1495" s="316">
        <f t="shared" si="1645"/>
        <v>103.99984385775441</v>
      </c>
      <c r="E1495" s="315">
        <v>858.92</v>
      </c>
      <c r="F1495" s="316">
        <f t="shared" si="1640"/>
        <v>111.76141464874502</v>
      </c>
      <c r="G1495" s="315">
        <v>930.18</v>
      </c>
      <c r="H1495" s="316">
        <f t="shared" si="1641"/>
        <v>121.03366166577753</v>
      </c>
      <c r="I1495" s="315">
        <v>1058.72</v>
      </c>
      <c r="J1495" s="316">
        <f t="shared" si="1642"/>
        <v>137.75909853876882</v>
      </c>
      <c r="K1495" s="315">
        <v>1261.96</v>
      </c>
      <c r="L1495" s="316">
        <f t="shared" si="1643"/>
        <v>164.20439019947173</v>
      </c>
      <c r="M1495" s="315">
        <v>1396.99</v>
      </c>
      <c r="N1495" s="317">
        <f t="shared" si="1644"/>
        <v>181.77429638400582</v>
      </c>
      <c r="O1495" s="123"/>
      <c r="P1495" s="123"/>
      <c r="Q1495" s="180"/>
      <c r="R1495" s="123"/>
      <c r="S1495" s="119"/>
      <c r="T1495" s="132"/>
    </row>
    <row r="1496" spans="2:20" ht="15.75" thickBot="1">
      <c r="C1496" s="118"/>
      <c r="D1496" s="124"/>
      <c r="E1496" s="118"/>
      <c r="F1496" s="132"/>
      <c r="G1496" s="122"/>
      <c r="H1496" s="132"/>
      <c r="I1496" s="122"/>
      <c r="J1496" s="132"/>
      <c r="K1496" s="122"/>
      <c r="L1496" s="132"/>
      <c r="M1496" s="122"/>
      <c r="N1496" s="132"/>
      <c r="O1496" s="132"/>
      <c r="P1496" s="132"/>
      <c r="Q1496" s="180"/>
      <c r="R1496" s="123"/>
      <c r="S1496" s="119"/>
      <c r="T1496" s="132"/>
    </row>
    <row r="1497" spans="2:20" ht="18.75" thickBot="1">
      <c r="B1497" s="618" t="s">
        <v>73</v>
      </c>
      <c r="C1497" s="484"/>
      <c r="D1497" s="395"/>
      <c r="E1497" s="395"/>
      <c r="F1497" s="476"/>
      <c r="G1497" s="395"/>
      <c r="H1497" s="516">
        <v>768.53</v>
      </c>
      <c r="I1497" s="358" t="s">
        <v>56</v>
      </c>
      <c r="J1497" s="395"/>
      <c r="K1497" s="476"/>
      <c r="L1497" s="395"/>
      <c r="M1497" s="619"/>
      <c r="N1497" s="563"/>
      <c r="O1497" s="119"/>
      <c r="P1497" s="119"/>
      <c r="Q1497" s="180"/>
      <c r="R1497" s="123"/>
      <c r="S1497" s="119"/>
      <c r="T1497" s="132"/>
    </row>
    <row r="1498" spans="2:20" ht="15.75" thickBot="1">
      <c r="B1498" s="1306">
        <v>2006</v>
      </c>
      <c r="C1498" s="1307"/>
      <c r="D1498" s="336" t="s">
        <v>15</v>
      </c>
      <c r="E1498" s="336">
        <v>2007</v>
      </c>
      <c r="F1498" s="336" t="s">
        <v>15</v>
      </c>
      <c r="G1498" s="336">
        <v>2008</v>
      </c>
      <c r="H1498" s="336" t="s">
        <v>15</v>
      </c>
      <c r="I1498" s="336">
        <v>2009</v>
      </c>
      <c r="J1498" s="336" t="s">
        <v>15</v>
      </c>
      <c r="K1498" s="336">
        <v>2010</v>
      </c>
      <c r="L1498" s="336" t="s">
        <v>15</v>
      </c>
      <c r="M1498" s="336">
        <v>2011</v>
      </c>
      <c r="N1498" s="354" t="s">
        <v>15</v>
      </c>
      <c r="O1498" s="124"/>
      <c r="P1498" s="124"/>
      <c r="Q1498" s="180"/>
      <c r="R1498" s="123"/>
      <c r="S1498" s="119"/>
      <c r="T1498" s="132"/>
    </row>
    <row r="1499" spans="2:20">
      <c r="B1499" s="306" t="s">
        <v>0</v>
      </c>
      <c r="C1499" s="307">
        <v>1396.99</v>
      </c>
      <c r="D1499" s="312">
        <f t="shared" ref="D1499:D1510" si="1646">100*C1499/$H$1482</f>
        <v>181.77429638400582</v>
      </c>
      <c r="E1499" s="307">
        <v>1458.71</v>
      </c>
      <c r="F1499" s="312">
        <f t="shared" ref="F1499:F1510" si="1647">100*E1499/$H$1482</f>
        <v>189.8052125486318</v>
      </c>
      <c r="G1499" s="307">
        <f>E1510</f>
        <v>1537.8</v>
      </c>
      <c r="H1499" s="312">
        <f t="shared" ref="H1499:H1510" si="1648">100*G1499/$H$1482</f>
        <v>200.0962877181112</v>
      </c>
      <c r="I1499" s="307">
        <f>G1510</f>
        <v>1655.74</v>
      </c>
      <c r="J1499" s="312">
        <f t="shared" ref="J1499:J1510" si="1649">100*I1499/$H$1482</f>
        <v>215.44246808842857</v>
      </c>
      <c r="K1499" s="307">
        <f>I1510</f>
        <v>1771.6418000000001</v>
      </c>
      <c r="L1499" s="312">
        <f t="shared" ref="L1499:L1510" si="1650">100*K1499/$H$1482</f>
        <v>230.5234408546186</v>
      </c>
      <c r="M1499" s="307">
        <v>1904.5149349999999</v>
      </c>
      <c r="N1499" s="313">
        <f t="shared" ref="N1499:N1510" si="1651">100*M1499/$H$1482</f>
        <v>247.81269891871494</v>
      </c>
      <c r="O1499" s="123"/>
      <c r="P1499" s="123"/>
      <c r="Q1499" s="180"/>
      <c r="R1499" s="123"/>
      <c r="S1499" s="119"/>
      <c r="T1499" s="132"/>
    </row>
    <row r="1500" spans="2:20">
      <c r="B1500" s="310" t="s">
        <v>1</v>
      </c>
      <c r="C1500" s="311">
        <f>+C1499</f>
        <v>1396.99</v>
      </c>
      <c r="D1500" s="312">
        <f t="shared" si="1646"/>
        <v>181.77429638400582</v>
      </c>
      <c r="E1500" s="311">
        <v>1458.71</v>
      </c>
      <c r="F1500" s="312">
        <f t="shared" si="1647"/>
        <v>189.8052125486318</v>
      </c>
      <c r="G1500" s="311">
        <f>G1499</f>
        <v>1537.8</v>
      </c>
      <c r="H1500" s="312">
        <f t="shared" si="1648"/>
        <v>200.0962877181112</v>
      </c>
      <c r="I1500" s="311">
        <f>I1499</f>
        <v>1655.74</v>
      </c>
      <c r="J1500" s="312">
        <f t="shared" si="1649"/>
        <v>215.44246808842857</v>
      </c>
      <c r="K1500" s="311">
        <f>K1499</f>
        <v>1771.6418000000001</v>
      </c>
      <c r="L1500" s="312">
        <f t="shared" si="1650"/>
        <v>230.5234408546186</v>
      </c>
      <c r="M1500" s="311">
        <v>1904.5149349999999</v>
      </c>
      <c r="N1500" s="313">
        <f t="shared" si="1651"/>
        <v>247.81269891871494</v>
      </c>
      <c r="O1500" s="123"/>
      <c r="P1500" s="123"/>
      <c r="Q1500" s="180"/>
      <c r="R1500" s="123"/>
      <c r="S1500" s="119"/>
      <c r="T1500" s="132"/>
    </row>
    <row r="1501" spans="2:20">
      <c r="B1501" s="310" t="s">
        <v>2</v>
      </c>
      <c r="C1501" s="311">
        <f>+C1500</f>
        <v>1396.99</v>
      </c>
      <c r="D1501" s="312">
        <f t="shared" si="1646"/>
        <v>181.77429638400582</v>
      </c>
      <c r="E1501" s="311">
        <f>+E1499</f>
        <v>1458.71</v>
      </c>
      <c r="F1501" s="312">
        <f t="shared" si="1647"/>
        <v>189.8052125486318</v>
      </c>
      <c r="G1501" s="311">
        <f>G1500</f>
        <v>1537.8</v>
      </c>
      <c r="H1501" s="312">
        <f t="shared" si="1648"/>
        <v>200.0962877181112</v>
      </c>
      <c r="I1501" s="311">
        <f>I1500</f>
        <v>1655.74</v>
      </c>
      <c r="J1501" s="312">
        <f t="shared" si="1649"/>
        <v>215.44246808842857</v>
      </c>
      <c r="K1501" s="311">
        <f>K1500</f>
        <v>1771.6418000000001</v>
      </c>
      <c r="L1501" s="312">
        <f t="shared" si="1650"/>
        <v>230.5234408546186</v>
      </c>
      <c r="M1501" s="311">
        <v>1904.5149349999999</v>
      </c>
      <c r="N1501" s="313">
        <f t="shared" si="1651"/>
        <v>247.81269891871494</v>
      </c>
      <c r="O1501" s="123"/>
      <c r="P1501" s="123"/>
      <c r="Q1501" s="180"/>
      <c r="R1501" s="123"/>
      <c r="S1501" s="119"/>
      <c r="T1501" s="132"/>
    </row>
    <row r="1502" spans="2:20">
      <c r="B1502" s="310" t="s">
        <v>3</v>
      </c>
      <c r="C1502" s="311">
        <v>1396.99</v>
      </c>
      <c r="D1502" s="312">
        <f t="shared" si="1646"/>
        <v>181.77429638400582</v>
      </c>
      <c r="E1502" s="311">
        <f>+E1501</f>
        <v>1458.71</v>
      </c>
      <c r="F1502" s="312">
        <f t="shared" si="1647"/>
        <v>189.8052125486318</v>
      </c>
      <c r="G1502" s="311">
        <f>G1501</f>
        <v>1537.8</v>
      </c>
      <c r="H1502" s="312">
        <f t="shared" si="1648"/>
        <v>200.0962877181112</v>
      </c>
      <c r="I1502" s="311">
        <f>I1501</f>
        <v>1655.74</v>
      </c>
      <c r="J1502" s="312">
        <f t="shared" si="1649"/>
        <v>215.44246808842857</v>
      </c>
      <c r="K1502" s="311">
        <f>K1501</f>
        <v>1771.6418000000001</v>
      </c>
      <c r="L1502" s="312">
        <f t="shared" si="1650"/>
        <v>230.5234408546186</v>
      </c>
      <c r="M1502" s="311">
        <v>1904.5149349999999</v>
      </c>
      <c r="N1502" s="313">
        <f t="shared" si="1651"/>
        <v>247.81269891871494</v>
      </c>
      <c r="O1502" s="123"/>
      <c r="P1502" s="123"/>
      <c r="Q1502" s="180"/>
      <c r="R1502" s="123"/>
      <c r="S1502" s="119"/>
      <c r="T1502" s="132"/>
    </row>
    <row r="1503" spans="2:20">
      <c r="B1503" s="310" t="s">
        <v>4</v>
      </c>
      <c r="C1503" s="311">
        <v>1458.71</v>
      </c>
      <c r="D1503" s="312">
        <f t="shared" si="1646"/>
        <v>189.8052125486318</v>
      </c>
      <c r="E1503" s="311">
        <v>1537.8</v>
      </c>
      <c r="F1503" s="312">
        <f t="shared" si="1647"/>
        <v>200.0962877181112</v>
      </c>
      <c r="G1503" s="311">
        <v>1655.74</v>
      </c>
      <c r="H1503" s="312">
        <f t="shared" si="1648"/>
        <v>215.44246808842857</v>
      </c>
      <c r="I1503" s="311">
        <f>I1502*1.07</f>
        <v>1771.6418000000001</v>
      </c>
      <c r="J1503" s="312">
        <f t="shared" si="1649"/>
        <v>230.5234408546186</v>
      </c>
      <c r="K1503" s="311">
        <f>K1502*1.075</f>
        <v>1904.5149349999999</v>
      </c>
      <c r="L1503" s="312">
        <f t="shared" si="1650"/>
        <v>247.81269891871494</v>
      </c>
      <c r="M1503" s="311">
        <f>M1502*1.09</f>
        <v>2075.9212791499999</v>
      </c>
      <c r="N1503" s="313">
        <f t="shared" si="1651"/>
        <v>270.11584182139927</v>
      </c>
      <c r="O1503" s="123"/>
      <c r="P1503" s="123"/>
      <c r="Q1503" s="180"/>
      <c r="R1503" s="123"/>
      <c r="S1503" s="119"/>
      <c r="T1503" s="132"/>
    </row>
    <row r="1504" spans="2:20">
      <c r="B1504" s="310" t="s">
        <v>5</v>
      </c>
      <c r="C1504" s="311">
        <f>+C1503</f>
        <v>1458.71</v>
      </c>
      <c r="D1504" s="312">
        <f t="shared" si="1646"/>
        <v>189.8052125486318</v>
      </c>
      <c r="E1504" s="311">
        <f t="shared" ref="E1504:E1510" si="1652">E1503</f>
        <v>1537.8</v>
      </c>
      <c r="F1504" s="312">
        <f t="shared" si="1647"/>
        <v>200.0962877181112</v>
      </c>
      <c r="G1504" s="311">
        <f>G1503</f>
        <v>1655.74</v>
      </c>
      <c r="H1504" s="312">
        <f t="shared" si="1648"/>
        <v>215.44246808842857</v>
      </c>
      <c r="I1504" s="311">
        <f t="shared" ref="I1504:I1510" si="1653">I1503</f>
        <v>1771.6418000000001</v>
      </c>
      <c r="J1504" s="312">
        <f t="shared" si="1649"/>
        <v>230.5234408546186</v>
      </c>
      <c r="K1504" s="311">
        <v>1904.5149349999999</v>
      </c>
      <c r="L1504" s="312">
        <f t="shared" si="1650"/>
        <v>247.81269891871494</v>
      </c>
      <c r="M1504" s="311">
        <v>2075.92</v>
      </c>
      <c r="N1504" s="313">
        <f t="shared" si="1651"/>
        <v>270.11567538027145</v>
      </c>
      <c r="O1504" s="123"/>
      <c r="P1504" s="123"/>
      <c r="Q1504" s="180"/>
      <c r="R1504" s="123"/>
      <c r="S1504" s="119"/>
      <c r="T1504" s="132"/>
    </row>
    <row r="1505" spans="2:20">
      <c r="B1505" s="310" t="s">
        <v>6</v>
      </c>
      <c r="C1505" s="311">
        <v>1458.71</v>
      </c>
      <c r="D1505" s="312">
        <f t="shared" si="1646"/>
        <v>189.8052125486318</v>
      </c>
      <c r="E1505" s="311">
        <f t="shared" si="1652"/>
        <v>1537.8</v>
      </c>
      <c r="F1505" s="312">
        <f t="shared" si="1647"/>
        <v>200.0962877181112</v>
      </c>
      <c r="G1505" s="311">
        <f t="shared" ref="G1505:G1510" si="1654">G1504</f>
        <v>1655.74</v>
      </c>
      <c r="H1505" s="312">
        <f t="shared" si="1648"/>
        <v>215.44246808842857</v>
      </c>
      <c r="I1505" s="311">
        <f t="shared" si="1653"/>
        <v>1771.6418000000001</v>
      </c>
      <c r="J1505" s="312">
        <f t="shared" si="1649"/>
        <v>230.5234408546186</v>
      </c>
      <c r="K1505" s="311">
        <v>1904.5149349999999</v>
      </c>
      <c r="L1505" s="312">
        <f t="shared" si="1650"/>
        <v>247.81269891871494</v>
      </c>
      <c r="M1505" s="311">
        <v>2075.92</v>
      </c>
      <c r="N1505" s="313">
        <f t="shared" si="1651"/>
        <v>270.11567538027145</v>
      </c>
      <c r="O1505" s="123"/>
      <c r="P1505" s="123">
        <v>1537.8</v>
      </c>
      <c r="Q1505" s="180"/>
      <c r="R1505" s="123"/>
      <c r="S1505" s="119"/>
      <c r="T1505" s="132"/>
    </row>
    <row r="1506" spans="2:20">
      <c r="B1506" s="310" t="s">
        <v>7</v>
      </c>
      <c r="C1506" s="311">
        <v>1458.71</v>
      </c>
      <c r="D1506" s="312">
        <f t="shared" si="1646"/>
        <v>189.8052125486318</v>
      </c>
      <c r="E1506" s="311">
        <f t="shared" si="1652"/>
        <v>1537.8</v>
      </c>
      <c r="F1506" s="312">
        <f t="shared" si="1647"/>
        <v>200.0962877181112</v>
      </c>
      <c r="G1506" s="311">
        <f t="shared" si="1654"/>
        <v>1655.74</v>
      </c>
      <c r="H1506" s="312">
        <f t="shared" si="1648"/>
        <v>215.44246808842857</v>
      </c>
      <c r="I1506" s="311">
        <f t="shared" si="1653"/>
        <v>1771.6418000000001</v>
      </c>
      <c r="J1506" s="312">
        <f t="shared" si="1649"/>
        <v>230.5234408546186</v>
      </c>
      <c r="K1506" s="311">
        <v>1904.5149349999999</v>
      </c>
      <c r="L1506" s="312">
        <f t="shared" si="1650"/>
        <v>247.81269891871494</v>
      </c>
      <c r="M1506" s="311">
        <v>2075.92</v>
      </c>
      <c r="N1506" s="313">
        <f t="shared" si="1651"/>
        <v>270.11567538027145</v>
      </c>
      <c r="O1506" s="123"/>
      <c r="P1506" s="123"/>
      <c r="Q1506" s="180"/>
      <c r="R1506" s="123"/>
      <c r="S1506" s="119"/>
      <c r="T1506" s="132"/>
    </row>
    <row r="1507" spans="2:20">
      <c r="B1507" s="310" t="s">
        <v>8</v>
      </c>
      <c r="C1507" s="311">
        <v>1458.71</v>
      </c>
      <c r="D1507" s="312">
        <f t="shared" si="1646"/>
        <v>189.8052125486318</v>
      </c>
      <c r="E1507" s="311">
        <f t="shared" si="1652"/>
        <v>1537.8</v>
      </c>
      <c r="F1507" s="312">
        <f t="shared" si="1647"/>
        <v>200.0962877181112</v>
      </c>
      <c r="G1507" s="311">
        <f t="shared" si="1654"/>
        <v>1655.74</v>
      </c>
      <c r="H1507" s="312">
        <f t="shared" si="1648"/>
        <v>215.44246808842857</v>
      </c>
      <c r="I1507" s="311">
        <f t="shared" si="1653"/>
        <v>1771.6418000000001</v>
      </c>
      <c r="J1507" s="312">
        <f t="shared" si="1649"/>
        <v>230.5234408546186</v>
      </c>
      <c r="K1507" s="311">
        <v>1904.5149349999999</v>
      </c>
      <c r="L1507" s="312">
        <f t="shared" si="1650"/>
        <v>247.81269891871494</v>
      </c>
      <c r="M1507" s="311">
        <v>2075.92</v>
      </c>
      <c r="N1507" s="313">
        <f t="shared" si="1651"/>
        <v>270.11567538027145</v>
      </c>
      <c r="O1507" s="123"/>
      <c r="P1507" s="123"/>
      <c r="Q1507" s="180"/>
      <c r="R1507" s="123"/>
      <c r="S1507" s="119"/>
      <c r="T1507" s="132"/>
    </row>
    <row r="1508" spans="2:20">
      <c r="B1508" s="310" t="s">
        <v>9</v>
      </c>
      <c r="C1508" s="311">
        <v>1458.71</v>
      </c>
      <c r="D1508" s="312">
        <f t="shared" si="1646"/>
        <v>189.8052125486318</v>
      </c>
      <c r="E1508" s="311">
        <f t="shared" si="1652"/>
        <v>1537.8</v>
      </c>
      <c r="F1508" s="312">
        <f t="shared" si="1647"/>
        <v>200.0962877181112</v>
      </c>
      <c r="G1508" s="311">
        <f t="shared" si="1654"/>
        <v>1655.74</v>
      </c>
      <c r="H1508" s="312">
        <f t="shared" si="1648"/>
        <v>215.44246808842857</v>
      </c>
      <c r="I1508" s="311">
        <f t="shared" si="1653"/>
        <v>1771.6418000000001</v>
      </c>
      <c r="J1508" s="312">
        <f t="shared" si="1649"/>
        <v>230.5234408546186</v>
      </c>
      <c r="K1508" s="311">
        <v>1904.5149349999999</v>
      </c>
      <c r="L1508" s="312">
        <f t="shared" si="1650"/>
        <v>247.81269891871494</v>
      </c>
      <c r="M1508" s="311">
        <v>2075.92</v>
      </c>
      <c r="N1508" s="313">
        <f t="shared" si="1651"/>
        <v>270.11567538027145</v>
      </c>
      <c r="O1508" s="123"/>
      <c r="P1508" s="123"/>
      <c r="Q1508" s="180"/>
      <c r="R1508" s="123"/>
      <c r="S1508" s="119"/>
      <c r="T1508" s="132"/>
    </row>
    <row r="1509" spans="2:20">
      <c r="B1509" s="310" t="s">
        <v>10</v>
      </c>
      <c r="C1509" s="311">
        <v>1458.71</v>
      </c>
      <c r="D1509" s="312">
        <f t="shared" si="1646"/>
        <v>189.8052125486318</v>
      </c>
      <c r="E1509" s="311">
        <f t="shared" si="1652"/>
        <v>1537.8</v>
      </c>
      <c r="F1509" s="312">
        <f t="shared" si="1647"/>
        <v>200.0962877181112</v>
      </c>
      <c r="G1509" s="311">
        <f t="shared" si="1654"/>
        <v>1655.74</v>
      </c>
      <c r="H1509" s="312">
        <f t="shared" si="1648"/>
        <v>215.44246808842857</v>
      </c>
      <c r="I1509" s="311">
        <f t="shared" si="1653"/>
        <v>1771.6418000000001</v>
      </c>
      <c r="J1509" s="312">
        <f t="shared" si="1649"/>
        <v>230.5234408546186</v>
      </c>
      <c r="K1509" s="311">
        <v>1904.5149349999999</v>
      </c>
      <c r="L1509" s="312">
        <f t="shared" si="1650"/>
        <v>247.81269891871494</v>
      </c>
      <c r="M1509" s="311">
        <v>2075.92</v>
      </c>
      <c r="N1509" s="313">
        <f t="shared" si="1651"/>
        <v>270.11567538027145</v>
      </c>
      <c r="O1509" s="123"/>
      <c r="P1509" s="123"/>
      <c r="Q1509" s="180"/>
      <c r="R1509" s="123"/>
      <c r="S1509" s="119"/>
      <c r="T1509" s="132"/>
    </row>
    <row r="1510" spans="2:20" ht="15.75" thickBot="1">
      <c r="B1510" s="314" t="s">
        <v>11</v>
      </c>
      <c r="C1510" s="315">
        <v>1458.71</v>
      </c>
      <c r="D1510" s="316">
        <f t="shared" si="1646"/>
        <v>189.8052125486318</v>
      </c>
      <c r="E1510" s="315">
        <f t="shared" si="1652"/>
        <v>1537.8</v>
      </c>
      <c r="F1510" s="316">
        <f t="shared" si="1647"/>
        <v>200.0962877181112</v>
      </c>
      <c r="G1510" s="315">
        <f t="shared" si="1654"/>
        <v>1655.74</v>
      </c>
      <c r="H1510" s="316">
        <f t="shared" si="1648"/>
        <v>215.44246808842857</v>
      </c>
      <c r="I1510" s="315">
        <f t="shared" si="1653"/>
        <v>1771.6418000000001</v>
      </c>
      <c r="J1510" s="316">
        <f t="shared" si="1649"/>
        <v>230.5234408546186</v>
      </c>
      <c r="K1510" s="315">
        <v>1904.5149349999999</v>
      </c>
      <c r="L1510" s="316">
        <f t="shared" si="1650"/>
        <v>247.81269891871494</v>
      </c>
      <c r="M1510" s="315">
        <v>2075.92</v>
      </c>
      <c r="N1510" s="317">
        <f t="shared" si="1651"/>
        <v>270.11567538027145</v>
      </c>
      <c r="O1510" s="123"/>
      <c r="P1510" s="123"/>
      <c r="Q1510" s="180"/>
      <c r="R1510" s="123"/>
      <c r="S1510" s="119"/>
      <c r="T1510" s="132"/>
    </row>
    <row r="1511" spans="2:20">
      <c r="B1511" s="119"/>
      <c r="C1511" s="118"/>
      <c r="D1511" s="123"/>
      <c r="E1511" s="118"/>
      <c r="F1511" s="123"/>
      <c r="G1511" s="118"/>
      <c r="H1511" s="123"/>
      <c r="I1511" s="118"/>
      <c r="J1511" s="123"/>
      <c r="K1511" s="118"/>
      <c r="L1511" s="123"/>
      <c r="M1511" s="118"/>
      <c r="N1511" s="123"/>
      <c r="O1511" s="123"/>
      <c r="P1511" s="123"/>
      <c r="Q1511" s="180"/>
      <c r="R1511" s="123"/>
      <c r="S1511" s="119"/>
      <c r="T1511" s="132"/>
    </row>
    <row r="1512" spans="2:20">
      <c r="B1512" s="1327" t="s">
        <v>308</v>
      </c>
      <c r="C1512" s="1328"/>
      <c r="D1512" s="1328"/>
      <c r="E1512" s="1328"/>
      <c r="F1512" s="1328"/>
      <c r="G1512" s="1328"/>
      <c r="H1512" s="1328"/>
      <c r="I1512" s="1328"/>
      <c r="J1512" s="1328"/>
      <c r="K1512" s="1328"/>
      <c r="L1512" s="1328"/>
      <c r="M1512" s="1328"/>
      <c r="N1512" s="1328"/>
      <c r="O1512" s="1328"/>
      <c r="P1512" s="1328"/>
      <c r="Q1512" s="1328"/>
      <c r="R1512" s="1328"/>
      <c r="S1512" s="1328"/>
      <c r="T1512" s="1328"/>
    </row>
    <row r="1513" spans="2:20" ht="15.75" thickBot="1">
      <c r="B1513" s="1314">
        <v>2012</v>
      </c>
      <c r="C1513" s="1315"/>
      <c r="D1513" s="649" t="s">
        <v>15</v>
      </c>
      <c r="E1513" s="650">
        <v>2013</v>
      </c>
      <c r="F1513" s="649" t="s">
        <v>15</v>
      </c>
      <c r="G1513" s="650">
        <v>2014</v>
      </c>
      <c r="H1513" s="649" t="s">
        <v>15</v>
      </c>
      <c r="I1513" s="650">
        <v>2015</v>
      </c>
      <c r="J1513" s="649" t="s">
        <v>15</v>
      </c>
      <c r="K1513" s="650">
        <v>2016</v>
      </c>
      <c r="L1513" s="649" t="s">
        <v>15</v>
      </c>
      <c r="M1513" s="650">
        <v>2017</v>
      </c>
      <c r="N1513" s="649" t="s">
        <v>15</v>
      </c>
      <c r="O1513" s="650">
        <v>2018</v>
      </c>
      <c r="P1513" s="649" t="s">
        <v>15</v>
      </c>
      <c r="Q1513" s="650">
        <v>2019</v>
      </c>
      <c r="R1513" s="649" t="s">
        <v>15</v>
      </c>
      <c r="S1513" s="1266">
        <v>2020</v>
      </c>
      <c r="T1513" s="649" t="s">
        <v>15</v>
      </c>
    </row>
    <row r="1514" spans="2:20">
      <c r="B1514" s="696" t="s">
        <v>0</v>
      </c>
      <c r="C1514" s="368">
        <v>2075.92</v>
      </c>
      <c r="D1514" s="697">
        <f t="shared" ref="D1514:D1525" si="1655">100*C1514/$H$1482</f>
        <v>270.11567538027145</v>
      </c>
      <c r="E1514" s="698">
        <f>$C$1517*1.08</f>
        <v>2241.9936000000002</v>
      </c>
      <c r="F1514" s="351">
        <f t="shared" ref="F1514:F1525" si="1656">100*E1514/$H$1482</f>
        <v>291.72492941069316</v>
      </c>
      <c r="G1514" s="628">
        <f>$E$1517*(1.09+0.01)</f>
        <v>2466.1929600000003</v>
      </c>
      <c r="H1514" s="699">
        <f t="shared" ref="H1514:H1519" si="1657">100*G1514/$H$1482</f>
        <v>320.89742235176249</v>
      </c>
      <c r="I1514" s="705">
        <f>([11]PLANCUSce!$H$41)+40.0352211683325</f>
        <v>2651.1574320000004</v>
      </c>
      <c r="J1514" s="699">
        <f t="shared" ref="J1514:J1519" si="1658">100*I1514/$H$1482</f>
        <v>344.96472902814469</v>
      </c>
      <c r="K1514" s="705">
        <f t="shared" ref="K1514:K1517" si="1659">2651.157432*(1+8.34%+0.66%)</f>
        <v>2889.7616008799996</v>
      </c>
      <c r="L1514" s="699">
        <f t="shared" ref="L1514" si="1660">100*K1514/$H$1482</f>
        <v>376.01155464067762</v>
      </c>
      <c r="M1514" s="705">
        <f t="shared" ref="M1514:M1517" si="1661">2651.157432*(1+8.34%+0.66%)*(1+7%+1.72%)</f>
        <v>3141.748812476736</v>
      </c>
      <c r="N1514" s="699">
        <f t="shared" ref="N1514" si="1662">100*M1514/$H$1482</f>
        <v>408.79976220534473</v>
      </c>
      <c r="O1514" s="1216">
        <f t="shared" ref="O1514:O1518" si="1663">2651.157432*(1+8.34%+0.66%)*(1+7%+1.72%)*(1+3.99%+0.01%)</f>
        <v>3267.4187649758055</v>
      </c>
      <c r="P1514" s="699">
        <f t="shared" ref="P1514" si="1664">100*O1514/$H$1482</f>
        <v>425.15175269355859</v>
      </c>
      <c r="Q1514" s="1216">
        <f>2651.157432*(1+8.34%+0.66%)*(1+7%+1.72%)*(1+3.99%+0.01%)*(1+2.5%)</f>
        <v>3349.1042341002003</v>
      </c>
      <c r="R1514" s="699">
        <f t="shared" ref="R1514" si="1665">100*Q1514/$H$1482</f>
        <v>435.78054651089747</v>
      </c>
      <c r="S1514" s="1216">
        <f t="shared" ref="S1514:S1522" si="1666">2651.157432*(1+8.34%+0.66%)*(1+7%+1.72%)*(1+3.99%+0.01%)*(1+2.5%)*(1+5.07%)</f>
        <v>3518.9038187690803</v>
      </c>
      <c r="T1514" s="699">
        <f t="shared" ref="T1514" si="1667">100*S1514/$H$1482</f>
        <v>457.87462021899995</v>
      </c>
    </row>
    <row r="1515" spans="2:20">
      <c r="B1515" s="310" t="s">
        <v>1</v>
      </c>
      <c r="C1515" s="311">
        <v>2075.92</v>
      </c>
      <c r="D1515" s="379">
        <f t="shared" si="1655"/>
        <v>270.11567538027145</v>
      </c>
      <c r="E1515" s="311">
        <f>$C$1517*1.08</f>
        <v>2241.9936000000002</v>
      </c>
      <c r="F1515" s="312">
        <f t="shared" si="1656"/>
        <v>291.72492941069316</v>
      </c>
      <c r="G1515" s="628">
        <f>$E$1517*(1.09+0.01)</f>
        <v>2466.1929600000003</v>
      </c>
      <c r="H1515" s="558">
        <f t="shared" si="1657"/>
        <v>320.89742235176249</v>
      </c>
      <c r="I1515" s="662">
        <f>([19]PLANCUSce!$H$41)+40.0352211683325</f>
        <v>2651.1574320000004</v>
      </c>
      <c r="J1515" s="313">
        <f t="shared" si="1658"/>
        <v>344.96472902814469</v>
      </c>
      <c r="K1515" s="662">
        <f t="shared" si="1659"/>
        <v>2889.7616008799996</v>
      </c>
      <c r="L1515" s="313">
        <f t="shared" ref="L1515" si="1668">100*K1515/$H$1482</f>
        <v>376.01155464067762</v>
      </c>
      <c r="M1515" s="662">
        <f t="shared" si="1661"/>
        <v>3141.748812476736</v>
      </c>
      <c r="N1515" s="313">
        <f t="shared" ref="N1515" si="1669">100*M1515/$H$1482</f>
        <v>408.79976220534473</v>
      </c>
      <c r="O1515" s="1216">
        <f t="shared" si="1663"/>
        <v>3267.4187649758055</v>
      </c>
      <c r="P1515" s="313">
        <f t="shared" ref="P1515" si="1670">100*O1515/$H$1482</f>
        <v>425.15175269355859</v>
      </c>
      <c r="Q1515" s="662">
        <f>2651.157432*(1+8.34%+0.66%)*(1+7%+1.72%)*(1+3.99%+0.01%)*(1+2.5%)</f>
        <v>3349.1042341002003</v>
      </c>
      <c r="R1515" s="313">
        <f t="shared" ref="R1515" si="1671">100*Q1515/$H$1482</f>
        <v>435.78054651089747</v>
      </c>
      <c r="S1515" s="1216">
        <f t="shared" si="1666"/>
        <v>3518.9038187690803</v>
      </c>
      <c r="T1515" s="558">
        <f t="shared" ref="T1515" si="1672">100*S1515/$H$1482</f>
        <v>457.87462021899995</v>
      </c>
    </row>
    <row r="1516" spans="2:20">
      <c r="B1516" s="310" t="s">
        <v>2</v>
      </c>
      <c r="C1516" s="311">
        <v>2075.92</v>
      </c>
      <c r="D1516" s="379">
        <f t="shared" si="1655"/>
        <v>270.11567538027145</v>
      </c>
      <c r="E1516" s="311">
        <f>$C$1517*1.08</f>
        <v>2241.9936000000002</v>
      </c>
      <c r="F1516" s="312">
        <f t="shared" si="1656"/>
        <v>291.72492941069316</v>
      </c>
      <c r="G1516" s="628">
        <f>$E$1517*(1.09+0.01)</f>
        <v>2466.1929600000003</v>
      </c>
      <c r="H1516" s="558">
        <f t="shared" si="1657"/>
        <v>320.89742235176249</v>
      </c>
      <c r="I1516" s="662">
        <f>([27]PLANCUSce!$H$41)+40.0352211683325</f>
        <v>2651.1574320000004</v>
      </c>
      <c r="J1516" s="313">
        <f t="shared" si="1658"/>
        <v>344.96472902814469</v>
      </c>
      <c r="K1516" s="662">
        <f t="shared" si="1659"/>
        <v>2889.7616008799996</v>
      </c>
      <c r="L1516" s="313">
        <f t="shared" ref="L1516" si="1673">100*K1516/$H$1482</f>
        <v>376.01155464067762</v>
      </c>
      <c r="M1516" s="662">
        <f t="shared" si="1661"/>
        <v>3141.748812476736</v>
      </c>
      <c r="N1516" s="313">
        <f t="shared" ref="N1516" si="1674">100*M1516/$H$1482</f>
        <v>408.79976220534473</v>
      </c>
      <c r="O1516" s="1216">
        <f t="shared" si="1663"/>
        <v>3267.4187649758055</v>
      </c>
      <c r="P1516" s="313">
        <f t="shared" ref="P1516" si="1675">100*O1516/$H$1482</f>
        <v>425.15175269355859</v>
      </c>
      <c r="Q1516" s="662">
        <f>2651.157432*(1+8.34%+0.66%)*(1+7%+1.72%)*(1+3.99%+0.01%)*(1+2.5%)</f>
        <v>3349.1042341002003</v>
      </c>
      <c r="R1516" s="313">
        <f t="shared" ref="R1516" si="1676">100*Q1516/$H$1482</f>
        <v>435.78054651089747</v>
      </c>
      <c r="S1516" s="1216">
        <f t="shared" si="1666"/>
        <v>3518.9038187690803</v>
      </c>
      <c r="T1516" s="558">
        <f t="shared" ref="T1516" si="1677">100*S1516/$H$1482</f>
        <v>457.87462021899995</v>
      </c>
    </row>
    <row r="1517" spans="2:20">
      <c r="B1517" s="310" t="s">
        <v>3</v>
      </c>
      <c r="C1517" s="311">
        <v>2075.92</v>
      </c>
      <c r="D1517" s="379">
        <f t="shared" si="1655"/>
        <v>270.11567538027145</v>
      </c>
      <c r="E1517" s="311">
        <f>$C$1517*1.08</f>
        <v>2241.9936000000002</v>
      </c>
      <c r="F1517" s="312">
        <f t="shared" si="1656"/>
        <v>291.72492941069316</v>
      </c>
      <c r="G1517" s="628">
        <f>$E$1517*(1.09+0.01)</f>
        <v>2466.1929600000003</v>
      </c>
      <c r="H1517" s="558">
        <f t="shared" si="1657"/>
        <v>320.89742235176249</v>
      </c>
      <c r="I1517" s="662">
        <f>([35]PLANCUSce!$H$41)+40.0352211683325</f>
        <v>2651.1574320000004</v>
      </c>
      <c r="J1517" s="313">
        <f t="shared" si="1658"/>
        <v>344.96472902814469</v>
      </c>
      <c r="K1517" s="662">
        <f t="shared" si="1659"/>
        <v>2889.7616008799996</v>
      </c>
      <c r="L1517" s="313">
        <f t="shared" ref="L1517" si="1678">100*K1517/$H$1482</f>
        <v>376.01155464067762</v>
      </c>
      <c r="M1517" s="662">
        <f t="shared" si="1661"/>
        <v>3141.748812476736</v>
      </c>
      <c r="N1517" s="313">
        <f t="shared" ref="N1517" si="1679">100*M1517/$H$1482</f>
        <v>408.79976220534473</v>
      </c>
      <c r="O1517" s="1216">
        <f t="shared" si="1663"/>
        <v>3267.4187649758055</v>
      </c>
      <c r="P1517" s="313">
        <f t="shared" ref="P1517" si="1680">100*O1517/$H$1482</f>
        <v>425.15175269355859</v>
      </c>
      <c r="Q1517" s="662">
        <f>2651.157432*(1+8.34%+0.66%)*(1+7%+1.72%)*(1+3.99%+0.01%)*(1+2.5%)</f>
        <v>3349.1042341002003</v>
      </c>
      <c r="R1517" s="313">
        <f t="shared" ref="R1517" si="1681">100*Q1517/$H$1482</f>
        <v>435.78054651089747</v>
      </c>
      <c r="S1517" s="1216">
        <f t="shared" si="1666"/>
        <v>3518.9038187690803</v>
      </c>
      <c r="T1517" s="558">
        <f t="shared" ref="T1517" si="1682">100*S1517/$H$1482</f>
        <v>457.87462021899995</v>
      </c>
    </row>
    <row r="1518" spans="2:20">
      <c r="B1518" s="310" t="s">
        <v>4</v>
      </c>
      <c r="C1518" s="311">
        <f t="shared" ref="C1518:C1525" si="1683">$C$1517*1.08</f>
        <v>2241.9936000000002</v>
      </c>
      <c r="D1518" s="379">
        <f t="shared" si="1655"/>
        <v>291.72492941069316</v>
      </c>
      <c r="E1518" s="311">
        <f>$E$1517*1.09</f>
        <v>2443.7730240000005</v>
      </c>
      <c r="F1518" s="312">
        <f t="shared" si="1656"/>
        <v>317.98017305765558</v>
      </c>
      <c r="G1518" s="695">
        <f>([42]PLANCUSce!$H$41)+40.0352211683325</f>
        <v>2651.1574320000004</v>
      </c>
      <c r="H1518" s="313">
        <f t="shared" si="1657"/>
        <v>344.96472902814469</v>
      </c>
      <c r="I1518" s="662">
        <f>2651.157432*(1+8.34%)</f>
        <v>2872.2639618287999</v>
      </c>
      <c r="J1518" s="313">
        <f t="shared" si="1658"/>
        <v>373.73478742909191</v>
      </c>
      <c r="K1518" s="662">
        <f>2651.157432*(1+8.34%+0.66%)*(1+7%)</f>
        <v>3092.0449129415997</v>
      </c>
      <c r="L1518" s="313">
        <f t="shared" ref="L1518" si="1684">100*K1518/$H$1482</f>
        <v>402.33236346552508</v>
      </c>
      <c r="M1518" s="662">
        <f>2651.157432*(1+8.34%+0.66%)*(1+7%+1.72%)*(1+3.99%)</f>
        <v>3267.1045900945578</v>
      </c>
      <c r="N1518" s="313">
        <f t="shared" ref="N1518" si="1685">100*M1518/$H$1482</f>
        <v>425.11087271733805</v>
      </c>
      <c r="O1518" s="1216">
        <f t="shared" si="1663"/>
        <v>3267.4187649758055</v>
      </c>
      <c r="P1518" s="313">
        <f t="shared" ref="P1518" si="1686">100*O1518/$H$1482</f>
        <v>425.15175269355859</v>
      </c>
      <c r="Q1518" s="662">
        <f t="shared" ref="Q1518:Q1525" si="1687">2651.157432*(1+8.34%+0.66%)*(1+7%+1.72%)*(1+3.99%+0.01%)*(1+2.5%)*(1+5.07%)</f>
        <v>3518.9038187690803</v>
      </c>
      <c r="R1518" s="313">
        <f t="shared" ref="R1518" si="1688">100*Q1518/$H$1482</f>
        <v>457.87462021899995</v>
      </c>
      <c r="S1518" s="1216">
        <f t="shared" si="1666"/>
        <v>3518.9038187690803</v>
      </c>
      <c r="T1518" s="558">
        <f t="shared" ref="T1518" si="1689">100*S1518/$H$1482</f>
        <v>457.87462021899995</v>
      </c>
    </row>
    <row r="1519" spans="2:20">
      <c r="B1519" s="310" t="s">
        <v>5</v>
      </c>
      <c r="C1519" s="311">
        <f t="shared" si="1683"/>
        <v>2241.9936000000002</v>
      </c>
      <c r="D1519" s="379">
        <f t="shared" si="1655"/>
        <v>291.72492941069316</v>
      </c>
      <c r="E1519" s="311">
        <f>$E$1517*1.09</f>
        <v>2443.7730240000005</v>
      </c>
      <c r="F1519" s="312">
        <f t="shared" si="1656"/>
        <v>317.98017305765558</v>
      </c>
      <c r="G1519" s="695">
        <f>([50]PLANCUSce!$H$41)+40.0352211683325</f>
        <v>2651.1574320000004</v>
      </c>
      <c r="H1519" s="313">
        <f t="shared" si="1657"/>
        <v>344.96472902814469</v>
      </c>
      <c r="I1519" s="662">
        <f t="shared" ref="I1519:I1525" si="1690">2651.157432*(1+8.34%+0.66%)</f>
        <v>2889.7616008799996</v>
      </c>
      <c r="J1519" s="313">
        <f t="shared" si="1658"/>
        <v>376.01155464067762</v>
      </c>
      <c r="K1519" s="662">
        <f t="shared" ref="K1519:K1525" si="1691">2651.157432*(1+8.34%+0.66%)*(1+7%+1.72%)</f>
        <v>3141.748812476736</v>
      </c>
      <c r="L1519" s="313">
        <f t="shared" ref="L1519" si="1692">100*K1519/$H$1482</f>
        <v>408.79976220534473</v>
      </c>
      <c r="M1519" s="662">
        <f t="shared" ref="M1519:M1525" si="1693">2651.157432*(1+8.34%+0.66%)*(1+7%+1.72%)*(1+3.99%+0.01%)</f>
        <v>3267.4187649758055</v>
      </c>
      <c r="N1519" s="313">
        <f t="shared" ref="N1519" si="1694">100*M1519/$H$1482</f>
        <v>425.15175269355859</v>
      </c>
      <c r="O1519" s="1216">
        <f t="shared" ref="O1519:O1525" si="1695">2651.157432*(1+8.34%+0.66%)*(1+7%+1.72%)*(1+3.99%+0.01%)*(1+2.5%)</f>
        <v>3349.1042341002003</v>
      </c>
      <c r="P1519" s="313">
        <f t="shared" ref="P1519" si="1696">100*O1519/$H$1482</f>
        <v>435.78054651089747</v>
      </c>
      <c r="Q1519" s="662">
        <f t="shared" si="1687"/>
        <v>3518.9038187690803</v>
      </c>
      <c r="R1519" s="313">
        <f t="shared" ref="R1519" si="1697">100*Q1519/$H$1482</f>
        <v>457.87462021899995</v>
      </c>
      <c r="S1519" s="1216">
        <f t="shared" si="1666"/>
        <v>3518.9038187690803</v>
      </c>
      <c r="T1519" s="558">
        <f t="shared" ref="T1519" si="1698">100*S1519/$H$1482</f>
        <v>457.87462021899995</v>
      </c>
    </row>
    <row r="1520" spans="2:20">
      <c r="B1520" s="310" t="s">
        <v>6</v>
      </c>
      <c r="C1520" s="311">
        <f t="shared" si="1683"/>
        <v>2241.9936000000002</v>
      </c>
      <c r="D1520" s="379">
        <f t="shared" si="1655"/>
        <v>291.72492941069316</v>
      </c>
      <c r="E1520" s="311">
        <f>$E$1517*1.09</f>
        <v>2443.7730240000005</v>
      </c>
      <c r="F1520" s="312">
        <f t="shared" si="1656"/>
        <v>317.98017305765558</v>
      </c>
      <c r="G1520" s="695">
        <f>([59]PLANCUSce!$H$41)+40.0352211683325</f>
        <v>2651.1574320000004</v>
      </c>
      <c r="H1520" s="313">
        <f t="shared" ref="H1520:H1525" si="1699">100*G1520/$H$1482</f>
        <v>344.96472902814469</v>
      </c>
      <c r="I1520" s="662">
        <f t="shared" si="1690"/>
        <v>2889.7616008799996</v>
      </c>
      <c r="J1520" s="313">
        <f t="shared" ref="J1520:J1525" si="1700">100*I1520/$H$1482</f>
        <v>376.01155464067762</v>
      </c>
      <c r="K1520" s="662">
        <f t="shared" si="1691"/>
        <v>3141.748812476736</v>
      </c>
      <c r="L1520" s="313">
        <f t="shared" ref="L1520" si="1701">100*K1520/$H$1482</f>
        <v>408.79976220534473</v>
      </c>
      <c r="M1520" s="662">
        <f t="shared" si="1693"/>
        <v>3267.4187649758055</v>
      </c>
      <c r="N1520" s="313">
        <f t="shared" ref="N1520" si="1702">100*M1520/$H$1482</f>
        <v>425.15175269355859</v>
      </c>
      <c r="O1520" s="1216">
        <f t="shared" si="1695"/>
        <v>3349.1042341002003</v>
      </c>
      <c r="P1520" s="313">
        <f t="shared" ref="P1520" si="1703">100*O1520/$H$1482</f>
        <v>435.78054651089747</v>
      </c>
      <c r="Q1520" s="662">
        <f t="shared" si="1687"/>
        <v>3518.9038187690803</v>
      </c>
      <c r="R1520" s="313">
        <f t="shared" ref="R1520" si="1704">100*Q1520/$H$1482</f>
        <v>457.87462021899995</v>
      </c>
      <c r="S1520" s="1216">
        <f t="shared" si="1666"/>
        <v>3518.9038187690803</v>
      </c>
      <c r="T1520" s="558">
        <f t="shared" ref="T1520" si="1705">100*S1520/$H$1482</f>
        <v>457.87462021899995</v>
      </c>
    </row>
    <row r="1521" spans="2:20">
      <c r="B1521" s="310" t="s">
        <v>7</v>
      </c>
      <c r="C1521" s="311">
        <f t="shared" si="1683"/>
        <v>2241.9936000000002</v>
      </c>
      <c r="D1521" s="379">
        <f t="shared" si="1655"/>
        <v>291.72492941069316</v>
      </c>
      <c r="E1521" s="311">
        <f>$E$1517*1.09</f>
        <v>2443.7730240000005</v>
      </c>
      <c r="F1521" s="312">
        <f t="shared" si="1656"/>
        <v>317.98017305765558</v>
      </c>
      <c r="G1521" s="695">
        <f>([68]PLANCUSce!$H$41)+40.0352211683325</f>
        <v>2651.1574320000004</v>
      </c>
      <c r="H1521" s="313">
        <f t="shared" si="1699"/>
        <v>344.96472902814469</v>
      </c>
      <c r="I1521" s="662">
        <f t="shared" si="1690"/>
        <v>2889.7616008799996</v>
      </c>
      <c r="J1521" s="313">
        <f t="shared" si="1700"/>
        <v>376.01155464067762</v>
      </c>
      <c r="K1521" s="662">
        <f t="shared" si="1691"/>
        <v>3141.748812476736</v>
      </c>
      <c r="L1521" s="313">
        <f t="shared" ref="L1521" si="1706">100*K1521/$H$1482</f>
        <v>408.79976220534473</v>
      </c>
      <c r="M1521" s="662">
        <f t="shared" si="1693"/>
        <v>3267.4187649758055</v>
      </c>
      <c r="N1521" s="313">
        <f t="shared" ref="N1521" si="1707">100*M1521/$H$1482</f>
        <v>425.15175269355859</v>
      </c>
      <c r="O1521" s="1216">
        <f t="shared" si="1695"/>
        <v>3349.1042341002003</v>
      </c>
      <c r="P1521" s="313">
        <f t="shared" ref="P1521" si="1708">100*O1521/$H$1482</f>
        <v>435.78054651089747</v>
      </c>
      <c r="Q1521" s="662">
        <f t="shared" si="1687"/>
        <v>3518.9038187690803</v>
      </c>
      <c r="R1521" s="313">
        <f t="shared" ref="R1521" si="1709">100*Q1521/$H$1482</f>
        <v>457.87462021899995</v>
      </c>
      <c r="S1521" s="1216">
        <f t="shared" si="1666"/>
        <v>3518.9038187690803</v>
      </c>
      <c r="T1521" s="558">
        <f t="shared" ref="T1521" si="1710">100*S1521/$H$1482</f>
        <v>457.87462021899995</v>
      </c>
    </row>
    <row r="1522" spans="2:20">
      <c r="B1522" s="310" t="s">
        <v>8</v>
      </c>
      <c r="C1522" s="311">
        <f t="shared" si="1683"/>
        <v>2241.9936000000002</v>
      </c>
      <c r="D1522" s="379">
        <f t="shared" si="1655"/>
        <v>291.72492941069316</v>
      </c>
      <c r="E1522" s="311">
        <f>$E$1517*(1.09+0.01)</f>
        <v>2466.1929600000003</v>
      </c>
      <c r="F1522" s="312">
        <f t="shared" si="1656"/>
        <v>320.89742235176249</v>
      </c>
      <c r="G1522" s="695">
        <f>([77]PLANCUSce!$H$41)+40.0352211683325</f>
        <v>2651.1574320000004</v>
      </c>
      <c r="H1522" s="313">
        <f t="shared" si="1699"/>
        <v>344.96472902814469</v>
      </c>
      <c r="I1522" s="662">
        <f t="shared" si="1690"/>
        <v>2889.7616008799996</v>
      </c>
      <c r="J1522" s="313">
        <f t="shared" si="1700"/>
        <v>376.01155464067762</v>
      </c>
      <c r="K1522" s="662">
        <f t="shared" si="1691"/>
        <v>3141.748812476736</v>
      </c>
      <c r="L1522" s="313">
        <f t="shared" ref="L1522" si="1711">100*K1522/$H$1482</f>
        <v>408.79976220534473</v>
      </c>
      <c r="M1522" s="662">
        <f t="shared" si="1693"/>
        <v>3267.4187649758055</v>
      </c>
      <c r="N1522" s="313">
        <f t="shared" ref="N1522" si="1712">100*M1522/$H$1482</f>
        <v>425.15175269355859</v>
      </c>
      <c r="O1522" s="1216">
        <f t="shared" si="1695"/>
        <v>3349.1042341002003</v>
      </c>
      <c r="P1522" s="313">
        <f t="shared" ref="P1522" si="1713">100*O1522/$H$1482</f>
        <v>435.78054651089747</v>
      </c>
      <c r="Q1522" s="662">
        <f t="shared" si="1687"/>
        <v>3518.9038187690803</v>
      </c>
      <c r="R1522" s="313">
        <f t="shared" ref="R1522" si="1714">100*Q1522/$H$1482</f>
        <v>457.87462021899995</v>
      </c>
      <c r="S1522" s="1216">
        <f t="shared" si="1666"/>
        <v>3518.9038187690803</v>
      </c>
      <c r="T1522" s="558">
        <f t="shared" ref="T1522" si="1715">100*S1522/$H$1482</f>
        <v>457.87462021899995</v>
      </c>
    </row>
    <row r="1523" spans="2:20">
      <c r="B1523" s="310" t="s">
        <v>9</v>
      </c>
      <c r="C1523" s="311">
        <f t="shared" si="1683"/>
        <v>2241.9936000000002</v>
      </c>
      <c r="D1523" s="379">
        <f t="shared" si="1655"/>
        <v>291.72492941069316</v>
      </c>
      <c r="E1523" s="311">
        <f>$E$1517*(1.09+0.01)</f>
        <v>2466.1929600000003</v>
      </c>
      <c r="F1523" s="312">
        <f t="shared" si="1656"/>
        <v>320.89742235176249</v>
      </c>
      <c r="G1523" s="695">
        <f>([85]PLANCUSce!$H$41)+40.0352211683325</f>
        <v>2651.1574320000004</v>
      </c>
      <c r="H1523" s="313">
        <f t="shared" si="1699"/>
        <v>344.96472902814469</v>
      </c>
      <c r="I1523" s="662">
        <f t="shared" si="1690"/>
        <v>2889.7616008799996</v>
      </c>
      <c r="J1523" s="313">
        <f t="shared" si="1700"/>
        <v>376.01155464067762</v>
      </c>
      <c r="K1523" s="662">
        <f t="shared" si="1691"/>
        <v>3141.748812476736</v>
      </c>
      <c r="L1523" s="313">
        <f t="shared" ref="L1523" si="1716">100*K1523/$H$1482</f>
        <v>408.79976220534473</v>
      </c>
      <c r="M1523" s="662">
        <f t="shared" si="1693"/>
        <v>3267.4187649758055</v>
      </c>
      <c r="N1523" s="313">
        <f t="shared" ref="N1523" si="1717">100*M1523/$H$1482</f>
        <v>425.15175269355859</v>
      </c>
      <c r="O1523" s="1216">
        <f t="shared" si="1695"/>
        <v>3349.1042341002003</v>
      </c>
      <c r="P1523" s="313">
        <f t="shared" ref="P1523" si="1718">100*O1523/$H$1482</f>
        <v>435.78054651089747</v>
      </c>
      <c r="Q1523" s="662">
        <f t="shared" si="1687"/>
        <v>3518.9038187690803</v>
      </c>
      <c r="R1523" s="313">
        <f t="shared" ref="R1523" si="1719">100*Q1523/$H$1482</f>
        <v>457.87462021899995</v>
      </c>
      <c r="S1523" s="662"/>
      <c r="T1523" s="313"/>
    </row>
    <row r="1524" spans="2:20">
      <c r="B1524" s="310" t="s">
        <v>10</v>
      </c>
      <c r="C1524" s="311">
        <f t="shared" si="1683"/>
        <v>2241.9936000000002</v>
      </c>
      <c r="D1524" s="379">
        <f t="shared" si="1655"/>
        <v>291.72492941069316</v>
      </c>
      <c r="E1524" s="311">
        <f>$E$1517*(1.09+0.01)</f>
        <v>2466.1929600000003</v>
      </c>
      <c r="F1524" s="312">
        <f t="shared" si="1656"/>
        <v>320.89742235176249</v>
      </c>
      <c r="G1524" s="695">
        <f>([93]PLANCUSce!$H$41)+40.0352211683325</f>
        <v>2651.1574320000004</v>
      </c>
      <c r="H1524" s="313">
        <f t="shared" si="1699"/>
        <v>344.96472902814469</v>
      </c>
      <c r="I1524" s="662">
        <f t="shared" si="1690"/>
        <v>2889.7616008799996</v>
      </c>
      <c r="J1524" s="313">
        <f t="shared" si="1700"/>
        <v>376.01155464067762</v>
      </c>
      <c r="K1524" s="662">
        <f t="shared" si="1691"/>
        <v>3141.748812476736</v>
      </c>
      <c r="L1524" s="313">
        <f t="shared" ref="L1524" si="1720">100*K1524/$H$1482</f>
        <v>408.79976220534473</v>
      </c>
      <c r="M1524" s="662">
        <f t="shared" si="1693"/>
        <v>3267.4187649758055</v>
      </c>
      <c r="N1524" s="313">
        <f t="shared" ref="N1524" si="1721">100*M1524/$H$1482</f>
        <v>425.15175269355859</v>
      </c>
      <c r="O1524" s="1216">
        <f t="shared" si="1695"/>
        <v>3349.1042341002003</v>
      </c>
      <c r="P1524" s="313">
        <f t="shared" ref="P1524" si="1722">100*O1524/$H$1482</f>
        <v>435.78054651089747</v>
      </c>
      <c r="Q1524" s="662">
        <f t="shared" si="1687"/>
        <v>3518.9038187690803</v>
      </c>
      <c r="R1524" s="313">
        <f t="shared" ref="R1524" si="1723">100*Q1524/$H$1482</f>
        <v>457.87462021899995</v>
      </c>
      <c r="S1524" s="662"/>
      <c r="T1524" s="313"/>
    </row>
    <row r="1525" spans="2:20" ht="15.75" thickBot="1">
      <c r="B1525" s="314" t="s">
        <v>11</v>
      </c>
      <c r="C1525" s="315">
        <f t="shared" si="1683"/>
        <v>2241.9936000000002</v>
      </c>
      <c r="D1525" s="380">
        <f t="shared" si="1655"/>
        <v>291.72492941069316</v>
      </c>
      <c r="E1525" s="315">
        <f>$E$1517*(1.09+0.01)</f>
        <v>2466.1929600000003</v>
      </c>
      <c r="F1525" s="316">
        <f t="shared" si="1656"/>
        <v>320.89742235176249</v>
      </c>
      <c r="G1525" s="315">
        <f>([101]PLANCUSce!$H$41)+40.0352211683325</f>
        <v>2651.1574320000004</v>
      </c>
      <c r="H1525" s="317">
        <f t="shared" si="1699"/>
        <v>344.96472902814469</v>
      </c>
      <c r="I1525" s="682">
        <f t="shared" si="1690"/>
        <v>2889.7616008799996</v>
      </c>
      <c r="J1525" s="317">
        <f t="shared" si="1700"/>
        <v>376.01155464067762</v>
      </c>
      <c r="K1525" s="682">
        <f t="shared" si="1691"/>
        <v>3141.748812476736</v>
      </c>
      <c r="L1525" s="317">
        <f t="shared" ref="L1525" si="1724">100*K1525/$H$1482</f>
        <v>408.79976220534473</v>
      </c>
      <c r="M1525" s="682">
        <f t="shared" si="1693"/>
        <v>3267.4187649758055</v>
      </c>
      <c r="N1525" s="317">
        <f t="shared" ref="N1525" si="1725">100*M1525/$H$1482</f>
        <v>425.15175269355859</v>
      </c>
      <c r="O1525" s="682">
        <f t="shared" si="1695"/>
        <v>3349.1042341002003</v>
      </c>
      <c r="P1525" s="317">
        <f t="shared" ref="P1525" si="1726">100*O1525/$H$1482</f>
        <v>435.78054651089747</v>
      </c>
      <c r="Q1525" s="682">
        <f t="shared" si="1687"/>
        <v>3518.9038187690803</v>
      </c>
      <c r="R1525" s="317">
        <f t="shared" ref="R1525" si="1727">100*Q1525/$H$1482</f>
        <v>457.87462021899995</v>
      </c>
      <c r="S1525" s="682"/>
      <c r="T1525" s="317"/>
    </row>
    <row r="1526" spans="2:20">
      <c r="B1526" s="119"/>
      <c r="C1526" s="118"/>
      <c r="D1526" s="123"/>
      <c r="E1526" s="118"/>
      <c r="F1526" s="123"/>
      <c r="G1526" s="118"/>
      <c r="H1526" s="123"/>
      <c r="I1526" s="118"/>
      <c r="J1526" s="123"/>
      <c r="K1526" s="118"/>
      <c r="L1526" s="123"/>
      <c r="M1526" s="118"/>
      <c r="N1526" s="123"/>
      <c r="O1526" s="123"/>
      <c r="P1526" s="123"/>
      <c r="Q1526" s="180"/>
      <c r="R1526" s="123"/>
      <c r="S1526" s="119"/>
      <c r="T1526" s="132"/>
    </row>
    <row r="1527" spans="2:20">
      <c r="B1527" s="198"/>
      <c r="C1527" s="199"/>
      <c r="D1527" s="200"/>
      <c r="E1527" s="199"/>
      <c r="F1527" s="200"/>
      <c r="G1527" s="199"/>
      <c r="H1527" s="200"/>
      <c r="I1527" s="199"/>
      <c r="J1527" s="200"/>
      <c r="K1527" s="199"/>
      <c r="L1527" s="200"/>
      <c r="M1527" s="199"/>
      <c r="N1527" s="200"/>
      <c r="O1527" s="123"/>
      <c r="P1527" s="123"/>
      <c r="Q1527" s="180"/>
      <c r="R1527" s="123"/>
      <c r="S1527" s="119"/>
      <c r="T1527" s="132"/>
    </row>
    <row r="1528" spans="2:20" ht="15.75" thickBot="1">
      <c r="B1528" s="119"/>
      <c r="C1528" s="118"/>
      <c r="D1528" s="124"/>
      <c r="E1528" s="118"/>
      <c r="F1528" s="119"/>
      <c r="G1528" s="122"/>
      <c r="H1528" s="119"/>
      <c r="I1528" s="122"/>
      <c r="J1528" s="132"/>
      <c r="K1528" s="122"/>
      <c r="L1528" s="132"/>
      <c r="M1528" s="122"/>
      <c r="N1528" s="132"/>
      <c r="O1528" s="132"/>
      <c r="P1528" s="132"/>
      <c r="Q1528" s="180"/>
      <c r="R1528" s="123"/>
      <c r="S1528" s="119"/>
      <c r="T1528" s="132"/>
    </row>
    <row r="1529" spans="2:20" s="543" customFormat="1" ht="24" thickBot="1">
      <c r="B1529" s="591" t="s">
        <v>54</v>
      </c>
      <c r="C1529" s="545"/>
      <c r="D1529" s="546"/>
      <c r="E1529" s="546"/>
      <c r="F1529" s="550"/>
      <c r="G1529" s="614">
        <v>565.54999999999995</v>
      </c>
      <c r="H1529" s="546" t="s">
        <v>55</v>
      </c>
      <c r="I1529" s="546"/>
      <c r="J1529" s="620"/>
      <c r="K1529" s="550"/>
      <c r="L1529" s="550" t="s">
        <v>42</v>
      </c>
      <c r="M1529" s="550"/>
      <c r="N1529" s="621"/>
      <c r="O1529" s="613"/>
      <c r="P1529" s="613"/>
      <c r="Q1529" s="611"/>
      <c r="R1529" s="612"/>
      <c r="T1529" s="613"/>
    </row>
    <row r="1530" spans="2:20" ht="15.75" thickBot="1">
      <c r="B1530" s="1306">
        <v>2000</v>
      </c>
      <c r="C1530" s="1307"/>
      <c r="D1530" s="336" t="s">
        <v>15</v>
      </c>
      <c r="E1530" s="336">
        <v>2001</v>
      </c>
      <c r="F1530" s="336" t="s">
        <v>15</v>
      </c>
      <c r="G1530" s="336">
        <v>2002</v>
      </c>
      <c r="H1530" s="336" t="s">
        <v>15</v>
      </c>
      <c r="I1530" s="336">
        <v>2003</v>
      </c>
      <c r="J1530" s="336" t="s">
        <v>15</v>
      </c>
      <c r="K1530" s="336">
        <v>2004</v>
      </c>
      <c r="L1530" s="336" t="s">
        <v>15</v>
      </c>
      <c r="M1530" s="336">
        <v>2004</v>
      </c>
      <c r="N1530" s="354" t="s">
        <v>15</v>
      </c>
      <c r="O1530" s="124"/>
      <c r="P1530" s="124"/>
      <c r="Q1530" s="180"/>
      <c r="R1530" s="123"/>
      <c r="S1530" s="119"/>
      <c r="T1530" s="132"/>
    </row>
    <row r="1531" spans="2:20">
      <c r="B1531" s="306" t="s">
        <v>0</v>
      </c>
      <c r="C1531" s="307"/>
      <c r="D1531" s="308"/>
      <c r="E1531" s="307">
        <v>588.16999999999996</v>
      </c>
      <c r="F1531" s="308">
        <f t="shared" ref="F1531:F1542" si="1728">100*E1531/$G$1529</f>
        <v>103.99964636194854</v>
      </c>
      <c r="G1531" s="307">
        <v>632.07000000000005</v>
      </c>
      <c r="H1531" s="308">
        <f t="shared" ref="H1531:H1542" si="1729">100*G1531/$G$1529</f>
        <v>111.76200159137126</v>
      </c>
      <c r="I1531" s="307">
        <v>684.51</v>
      </c>
      <c r="J1531" s="308">
        <f t="shared" ref="J1531:J1542" si="1730">100*I1531/$G$1529</f>
        <v>121.03439130050394</v>
      </c>
      <c r="K1531" s="307">
        <f>+I1542</f>
        <v>779.1</v>
      </c>
      <c r="L1531" s="308">
        <f t="shared" ref="L1531:L1542" si="1731">100*K1531/$G$1529</f>
        <v>137.7597029440368</v>
      </c>
      <c r="M1531" s="634" t="s">
        <v>202</v>
      </c>
      <c r="N1531" s="436">
        <f t="shared" ref="N1531:N1542" si="1732">100*M1531/$G$1529</f>
        <v>152.08027583768015</v>
      </c>
      <c r="O1531" s="156"/>
      <c r="P1531" s="156"/>
      <c r="Q1531" s="180"/>
      <c r="R1531" s="123"/>
      <c r="S1531" s="119"/>
      <c r="T1531" s="132"/>
    </row>
    <row r="1532" spans="2:20">
      <c r="B1532" s="310" t="s">
        <v>1</v>
      </c>
      <c r="C1532" s="311"/>
      <c r="D1532" s="312"/>
      <c r="E1532" s="311">
        <v>588.16999999999996</v>
      </c>
      <c r="F1532" s="312">
        <f t="shared" si="1728"/>
        <v>103.99964636194854</v>
      </c>
      <c r="G1532" s="311">
        <v>632.07000000000005</v>
      </c>
      <c r="H1532" s="312">
        <f t="shared" si="1729"/>
        <v>111.76200159137126</v>
      </c>
      <c r="I1532" s="311">
        <v>684.51</v>
      </c>
      <c r="J1532" s="312">
        <f t="shared" si="1730"/>
        <v>121.03439130050394</v>
      </c>
      <c r="K1532" s="311">
        <v>779.1</v>
      </c>
      <c r="L1532" s="312">
        <f t="shared" si="1731"/>
        <v>137.7597029440368</v>
      </c>
      <c r="M1532" s="311">
        <v>860.09</v>
      </c>
      <c r="N1532" s="371">
        <f t="shared" si="1732"/>
        <v>152.08027583768015</v>
      </c>
      <c r="O1532" s="156"/>
      <c r="P1532" s="156"/>
      <c r="Q1532" s="180"/>
      <c r="R1532" s="123"/>
      <c r="S1532" s="119"/>
      <c r="T1532" s="132"/>
    </row>
    <row r="1533" spans="2:20">
      <c r="B1533" s="310" t="s">
        <v>2</v>
      </c>
      <c r="C1533" s="311"/>
      <c r="D1533" s="312"/>
      <c r="E1533" s="311">
        <v>588.16999999999996</v>
      </c>
      <c r="F1533" s="312">
        <f t="shared" si="1728"/>
        <v>103.99964636194854</v>
      </c>
      <c r="G1533" s="311">
        <v>632.07000000000005</v>
      </c>
      <c r="H1533" s="312">
        <f t="shared" si="1729"/>
        <v>111.76200159137126</v>
      </c>
      <c r="I1533" s="311">
        <v>689.58</v>
      </c>
      <c r="J1533" s="312">
        <f t="shared" si="1730"/>
        <v>121.93086376094068</v>
      </c>
      <c r="K1533" s="311">
        <v>784.94</v>
      </c>
      <c r="L1533" s="312">
        <f t="shared" si="1731"/>
        <v>138.79232605428345</v>
      </c>
      <c r="M1533" s="311">
        <v>860.09</v>
      </c>
      <c r="N1533" s="371">
        <f t="shared" si="1732"/>
        <v>152.08027583768015</v>
      </c>
      <c r="O1533" s="156"/>
      <c r="P1533" s="156"/>
      <c r="Q1533" s="180"/>
      <c r="R1533" s="123"/>
      <c r="S1533" s="119"/>
      <c r="T1533" s="132"/>
    </row>
    <row r="1534" spans="2:20">
      <c r="B1534" s="310" t="s">
        <v>3</v>
      </c>
      <c r="C1534" s="311">
        <v>565.54999999999995</v>
      </c>
      <c r="D1534" s="312">
        <v>100</v>
      </c>
      <c r="E1534" s="311">
        <v>588.16999999999996</v>
      </c>
      <c r="F1534" s="312">
        <f t="shared" si="1728"/>
        <v>103.99964636194854</v>
      </c>
      <c r="G1534" s="311">
        <v>632.07000000000005</v>
      </c>
      <c r="H1534" s="312">
        <f t="shared" si="1729"/>
        <v>111.76200159137126</v>
      </c>
      <c r="I1534" s="311">
        <v>689.58</v>
      </c>
      <c r="J1534" s="312">
        <f t="shared" si="1730"/>
        <v>121.93086376094068</v>
      </c>
      <c r="K1534" s="311">
        <v>784.94</v>
      </c>
      <c r="L1534" s="312">
        <f t="shared" si="1731"/>
        <v>138.79232605428345</v>
      </c>
      <c r="M1534" s="311">
        <v>860.09</v>
      </c>
      <c r="N1534" s="371">
        <f t="shared" si="1732"/>
        <v>152.08027583768015</v>
      </c>
      <c r="O1534" s="156"/>
      <c r="P1534" s="156"/>
      <c r="Q1534" s="180"/>
      <c r="R1534" s="123"/>
      <c r="S1534" s="119"/>
      <c r="T1534" s="132"/>
    </row>
    <row r="1535" spans="2:20">
      <c r="B1535" s="310" t="s">
        <v>4</v>
      </c>
      <c r="C1535" s="311">
        <v>565.54999999999995</v>
      </c>
      <c r="D1535" s="312">
        <f>100*C1535/565.55</f>
        <v>100</v>
      </c>
      <c r="E1535" s="311">
        <v>632.07000000000005</v>
      </c>
      <c r="F1535" s="312">
        <f t="shared" si="1728"/>
        <v>111.76200159137126</v>
      </c>
      <c r="G1535" s="311">
        <v>679.47</v>
      </c>
      <c r="H1535" s="312">
        <f t="shared" si="1729"/>
        <v>120.14322341083901</v>
      </c>
      <c r="I1535" s="311">
        <v>738.13</v>
      </c>
      <c r="J1535" s="312">
        <f t="shared" si="1730"/>
        <v>130.5154274599947</v>
      </c>
      <c r="K1535" s="311">
        <v>832.04</v>
      </c>
      <c r="L1535" s="312">
        <f t="shared" si="1731"/>
        <v>147.12050216603308</v>
      </c>
      <c r="M1535" s="311">
        <v>928.9</v>
      </c>
      <c r="N1535" s="346">
        <f t="shared" si="1732"/>
        <v>164.24719299796661</v>
      </c>
      <c r="O1535" s="132"/>
      <c r="P1535" s="132"/>
      <c r="Q1535" s="180"/>
      <c r="R1535" s="123"/>
      <c r="S1535" s="119"/>
      <c r="T1535" s="132"/>
    </row>
    <row r="1536" spans="2:20">
      <c r="B1536" s="310" t="s">
        <v>5</v>
      </c>
      <c r="C1536" s="311">
        <v>588.16999999999996</v>
      </c>
      <c r="D1536" s="312">
        <f>100*C1536/565.55</f>
        <v>103.99964636194854</v>
      </c>
      <c r="E1536" s="311">
        <v>632.07000000000005</v>
      </c>
      <c r="F1536" s="312">
        <f t="shared" si="1728"/>
        <v>111.76200159137126</v>
      </c>
      <c r="G1536" s="311">
        <v>679.47</v>
      </c>
      <c r="H1536" s="312">
        <f t="shared" si="1729"/>
        <v>120.14322341083901</v>
      </c>
      <c r="I1536" s="311">
        <v>738.13</v>
      </c>
      <c r="J1536" s="312">
        <f t="shared" si="1730"/>
        <v>130.5154274599947</v>
      </c>
      <c r="K1536" s="311">
        <v>832.04</v>
      </c>
      <c r="L1536" s="312">
        <f t="shared" si="1731"/>
        <v>147.12050216603308</v>
      </c>
      <c r="M1536" s="311">
        <v>928.9</v>
      </c>
      <c r="N1536" s="346">
        <f t="shared" si="1732"/>
        <v>164.24719299796661</v>
      </c>
      <c r="O1536" s="132"/>
      <c r="P1536" s="132"/>
      <c r="Q1536" s="180"/>
      <c r="R1536" s="123"/>
      <c r="S1536" s="119"/>
      <c r="T1536" s="132"/>
    </row>
    <row r="1537" spans="2:20">
      <c r="B1537" s="310" t="s">
        <v>6</v>
      </c>
      <c r="C1537" s="311">
        <v>588.16999999999996</v>
      </c>
      <c r="D1537" s="312">
        <f>100*C1537/565.55</f>
        <v>103.99964636194854</v>
      </c>
      <c r="E1537" s="311">
        <v>632.07000000000005</v>
      </c>
      <c r="F1537" s="312">
        <f t="shared" si="1728"/>
        <v>111.76200159137126</v>
      </c>
      <c r="G1537" s="311">
        <v>679.47</v>
      </c>
      <c r="H1537" s="312">
        <f t="shared" si="1729"/>
        <v>120.14322341083901</v>
      </c>
      <c r="I1537" s="311">
        <v>773.3</v>
      </c>
      <c r="J1537" s="312">
        <f t="shared" si="1730"/>
        <v>136.73415259481922</v>
      </c>
      <c r="K1537" s="311">
        <f>K1536</f>
        <v>832.04</v>
      </c>
      <c r="L1537" s="312">
        <f t="shared" si="1731"/>
        <v>147.12050216603308</v>
      </c>
      <c r="M1537" s="311">
        <v>928.9</v>
      </c>
      <c r="N1537" s="346">
        <f t="shared" si="1732"/>
        <v>164.24719299796661</v>
      </c>
      <c r="O1537" s="132"/>
      <c r="P1537" s="132"/>
      <c r="Q1537" s="180"/>
      <c r="R1537" s="123"/>
      <c r="S1537" s="119"/>
      <c r="T1537" s="132"/>
    </row>
    <row r="1538" spans="2:20">
      <c r="B1538" s="310" t="s">
        <v>7</v>
      </c>
      <c r="C1538" s="311">
        <v>588.16999999999996</v>
      </c>
      <c r="D1538" s="312">
        <f>+D1537</f>
        <v>103.99964636194854</v>
      </c>
      <c r="E1538" s="311">
        <v>632.07000000000005</v>
      </c>
      <c r="F1538" s="312">
        <f t="shared" si="1728"/>
        <v>111.76200159137126</v>
      </c>
      <c r="G1538" s="311">
        <v>679.47</v>
      </c>
      <c r="H1538" s="312">
        <f t="shared" si="1729"/>
        <v>120.14322341083901</v>
      </c>
      <c r="I1538" s="311">
        <v>773.3</v>
      </c>
      <c r="J1538" s="312">
        <f t="shared" si="1730"/>
        <v>136.73415259481922</v>
      </c>
      <c r="K1538" s="311">
        <v>847.62</v>
      </c>
      <c r="L1538" s="312">
        <f t="shared" si="1731"/>
        <v>149.87534258686236</v>
      </c>
      <c r="M1538" s="311">
        <v>928.9</v>
      </c>
      <c r="N1538" s="346">
        <f t="shared" si="1732"/>
        <v>164.24719299796661</v>
      </c>
      <c r="O1538" s="132"/>
      <c r="P1538" s="132"/>
      <c r="Q1538" s="180"/>
      <c r="R1538" s="123"/>
      <c r="S1538" s="119"/>
      <c r="T1538" s="132"/>
    </row>
    <row r="1539" spans="2:20">
      <c r="B1539" s="310" t="s">
        <v>8</v>
      </c>
      <c r="C1539" s="311">
        <v>588.16999999999996</v>
      </c>
      <c r="D1539" s="312">
        <f>+D1538</f>
        <v>103.99964636194854</v>
      </c>
      <c r="E1539" s="311">
        <v>632.07000000000005</v>
      </c>
      <c r="F1539" s="312">
        <f t="shared" si="1728"/>
        <v>111.76200159137126</v>
      </c>
      <c r="G1539" s="311">
        <v>679.47</v>
      </c>
      <c r="H1539" s="312">
        <f t="shared" si="1729"/>
        <v>120.14322341083901</v>
      </c>
      <c r="I1539" s="311">
        <v>773.3</v>
      </c>
      <c r="J1539" s="312">
        <f t="shared" si="1730"/>
        <v>136.73415259481922</v>
      </c>
      <c r="K1539" s="311">
        <v>847.62</v>
      </c>
      <c r="L1539" s="312">
        <f t="shared" si="1731"/>
        <v>149.87534258686236</v>
      </c>
      <c r="M1539" s="311">
        <v>928.9</v>
      </c>
      <c r="N1539" s="346">
        <f t="shared" si="1732"/>
        <v>164.24719299796661</v>
      </c>
      <c r="O1539" s="132"/>
      <c r="P1539" s="132"/>
      <c r="Q1539" s="180"/>
      <c r="R1539" s="123"/>
      <c r="S1539" s="119"/>
      <c r="T1539" s="132"/>
    </row>
    <row r="1540" spans="2:20">
      <c r="B1540" s="310" t="s">
        <v>9</v>
      </c>
      <c r="C1540" s="311">
        <v>588.16999999999996</v>
      </c>
      <c r="D1540" s="312">
        <f>+D1539</f>
        <v>103.99964636194854</v>
      </c>
      <c r="E1540" s="311">
        <v>632.07000000000005</v>
      </c>
      <c r="F1540" s="312">
        <f t="shared" si="1728"/>
        <v>111.76200159137126</v>
      </c>
      <c r="G1540" s="311">
        <v>684.51</v>
      </c>
      <c r="H1540" s="312">
        <f t="shared" si="1729"/>
        <v>121.03439130050394</v>
      </c>
      <c r="I1540" s="311">
        <v>779.1</v>
      </c>
      <c r="J1540" s="312">
        <f t="shared" si="1730"/>
        <v>137.7597029440368</v>
      </c>
      <c r="K1540" s="311">
        <f>+K1539</f>
        <v>847.62</v>
      </c>
      <c r="L1540" s="312">
        <f t="shared" si="1731"/>
        <v>149.87534258686236</v>
      </c>
      <c r="M1540" s="311">
        <v>928.9</v>
      </c>
      <c r="N1540" s="346">
        <f t="shared" si="1732"/>
        <v>164.24719299796661</v>
      </c>
      <c r="O1540" s="132"/>
      <c r="P1540" s="132"/>
      <c r="Q1540" s="180"/>
      <c r="R1540" s="123"/>
      <c r="S1540" s="119"/>
      <c r="T1540" s="132"/>
    </row>
    <row r="1541" spans="2:20">
      <c r="B1541" s="310" t="s">
        <v>10</v>
      </c>
      <c r="C1541" s="311">
        <v>588.16999999999996</v>
      </c>
      <c r="D1541" s="312">
        <f>+D1540</f>
        <v>103.99964636194854</v>
      </c>
      <c r="E1541" s="311">
        <v>632.07000000000005</v>
      </c>
      <c r="F1541" s="312">
        <f t="shared" si="1728"/>
        <v>111.76200159137126</v>
      </c>
      <c r="G1541" s="311">
        <v>684.51</v>
      </c>
      <c r="H1541" s="312">
        <f t="shared" si="1729"/>
        <v>121.03439130050394</v>
      </c>
      <c r="I1541" s="311">
        <v>779.1</v>
      </c>
      <c r="J1541" s="312">
        <f t="shared" si="1730"/>
        <v>137.7597029440368</v>
      </c>
      <c r="K1541" s="311">
        <f>+K1540</f>
        <v>847.62</v>
      </c>
      <c r="L1541" s="312">
        <f t="shared" si="1731"/>
        <v>149.87534258686236</v>
      </c>
      <c r="M1541" s="311">
        <f>928.9*1.025</f>
        <v>952.12249999999995</v>
      </c>
      <c r="N1541" s="346">
        <f t="shared" si="1732"/>
        <v>168.35337282291576</v>
      </c>
      <c r="O1541" s="132"/>
      <c r="P1541" s="132"/>
      <c r="Q1541" s="180"/>
      <c r="R1541" s="123"/>
      <c r="S1541" s="119"/>
      <c r="T1541" s="132"/>
    </row>
    <row r="1542" spans="2:20" ht="15.75" thickBot="1">
      <c r="B1542" s="314" t="s">
        <v>11</v>
      </c>
      <c r="C1542" s="316">
        <f>+C1541</f>
        <v>588.16999999999996</v>
      </c>
      <c r="D1542" s="316">
        <f>+D1541</f>
        <v>103.99964636194854</v>
      </c>
      <c r="E1542" s="315">
        <v>632.07000000000005</v>
      </c>
      <c r="F1542" s="316">
        <f t="shared" si="1728"/>
        <v>111.76200159137126</v>
      </c>
      <c r="G1542" s="315">
        <v>684.51</v>
      </c>
      <c r="H1542" s="316">
        <f t="shared" si="1729"/>
        <v>121.03439130050394</v>
      </c>
      <c r="I1542" s="315">
        <v>779.1</v>
      </c>
      <c r="J1542" s="316">
        <f t="shared" si="1730"/>
        <v>137.7597029440368</v>
      </c>
      <c r="K1542" s="315">
        <v>860.09</v>
      </c>
      <c r="L1542" s="316">
        <f t="shared" si="1731"/>
        <v>152.08027583768015</v>
      </c>
      <c r="M1542" s="315">
        <v>952.12</v>
      </c>
      <c r="N1542" s="349">
        <f t="shared" si="1732"/>
        <v>168.35293077535144</v>
      </c>
      <c r="O1542" s="132"/>
      <c r="P1542" s="132"/>
      <c r="Q1542" s="180"/>
      <c r="R1542" s="123"/>
      <c r="S1542" s="119"/>
      <c r="T1542" s="132"/>
    </row>
    <row r="1543" spans="2:20" ht="15.75" thickBot="1">
      <c r="B1543" s="119"/>
      <c r="C1543" s="123"/>
      <c r="D1543" s="123"/>
      <c r="E1543" s="118"/>
      <c r="F1543" s="123"/>
      <c r="G1543" s="118"/>
      <c r="H1543" s="123"/>
      <c r="I1543" s="118"/>
      <c r="J1543" s="132"/>
      <c r="K1543" s="118"/>
      <c r="L1543" s="132"/>
      <c r="M1543" s="118"/>
      <c r="N1543" s="132"/>
      <c r="O1543" s="132"/>
      <c r="P1543" s="132"/>
      <c r="Q1543" s="180"/>
      <c r="R1543" s="123"/>
      <c r="S1543" s="119"/>
      <c r="T1543" s="132"/>
    </row>
    <row r="1544" spans="2:20" ht="24" thickBot="1">
      <c r="B1544" s="591" t="s">
        <v>54</v>
      </c>
      <c r="C1544" s="545"/>
      <c r="D1544" s="546"/>
      <c r="E1544" s="546"/>
      <c r="F1544" s="550"/>
      <c r="G1544" s="614">
        <v>565.54999999999995</v>
      </c>
      <c r="H1544" s="546" t="s">
        <v>55</v>
      </c>
      <c r="I1544" s="546"/>
      <c r="J1544" s="620"/>
      <c r="K1544" s="550"/>
      <c r="L1544" s="550" t="s">
        <v>42</v>
      </c>
      <c r="M1544" s="550"/>
      <c r="N1544" s="621"/>
      <c r="O1544" s="132"/>
      <c r="P1544" s="132"/>
      <c r="Q1544" s="180"/>
      <c r="R1544" s="123"/>
      <c r="S1544" s="119"/>
      <c r="T1544" s="132"/>
    </row>
    <row r="1545" spans="2:20" ht="15.75" thickBot="1">
      <c r="B1545" s="1306">
        <v>2006</v>
      </c>
      <c r="C1545" s="1307"/>
      <c r="D1545" s="336" t="s">
        <v>15</v>
      </c>
      <c r="E1545" s="336">
        <v>2007</v>
      </c>
      <c r="F1545" s="336" t="s">
        <v>15</v>
      </c>
      <c r="G1545" s="336">
        <v>2008</v>
      </c>
      <c r="H1545" s="336" t="s">
        <v>15</v>
      </c>
      <c r="I1545" s="336">
        <v>2009</v>
      </c>
      <c r="J1545" s="336" t="s">
        <v>15</v>
      </c>
      <c r="K1545" s="336">
        <v>2010</v>
      </c>
      <c r="L1545" s="336" t="s">
        <v>15</v>
      </c>
      <c r="M1545" s="336">
        <v>2011</v>
      </c>
      <c r="N1545" s="354" t="s">
        <v>15</v>
      </c>
      <c r="O1545" s="124"/>
      <c r="P1545" s="124"/>
      <c r="Q1545" s="180"/>
      <c r="R1545" s="123"/>
      <c r="S1545" s="119"/>
      <c r="T1545" s="132"/>
    </row>
    <row r="1546" spans="2:20">
      <c r="B1546" s="306" t="s">
        <v>0</v>
      </c>
      <c r="C1546" s="307">
        <v>952.12</v>
      </c>
      <c r="D1546" s="308">
        <f>100*C1546/$G$1529</f>
        <v>168.35293077535144</v>
      </c>
      <c r="E1546" s="307">
        <v>1000.82</v>
      </c>
      <c r="F1546" s="308">
        <f t="shared" ref="F1546:F1557" si="1733">100*E1546/$G$1529</f>
        <v>176.96401732826453</v>
      </c>
      <c r="G1546" s="307">
        <f>E1557</f>
        <v>1054.72</v>
      </c>
      <c r="H1546" s="308">
        <f t="shared" ref="H1546:H1557" si="1734">100*G1546/$G$1529</f>
        <v>186.4945628149589</v>
      </c>
      <c r="I1546" s="307">
        <f>G1557</f>
        <v>1136.43</v>
      </c>
      <c r="J1546" s="308">
        <f t="shared" ref="J1546:J1557" si="1735">100*I1546/$G$1529</f>
        <v>200.94244540712583</v>
      </c>
      <c r="K1546" s="307">
        <f>I1557</f>
        <v>1215.9801000000002</v>
      </c>
      <c r="L1546" s="308">
        <f t="shared" ref="L1546:L1557" si="1736">100*K1546/$G$1529</f>
        <v>215.00841658562467</v>
      </c>
      <c r="M1546" s="307">
        <v>1307.1786075000002</v>
      </c>
      <c r="N1546" s="436">
        <f t="shared" ref="N1546:N1557" si="1737">100*M1546/$G$1529</f>
        <v>231.13404782954652</v>
      </c>
      <c r="O1546" s="156"/>
      <c r="P1546" s="156"/>
      <c r="Q1546" s="180"/>
      <c r="R1546" s="123"/>
      <c r="S1546" s="119"/>
      <c r="T1546" s="132"/>
    </row>
    <row r="1547" spans="2:20">
      <c r="B1547" s="310" t="s">
        <v>1</v>
      </c>
      <c r="C1547" s="311">
        <f>+C1546</f>
        <v>952.12</v>
      </c>
      <c r="D1547" s="312">
        <f>100*C1547/$G$1529</f>
        <v>168.35293077535144</v>
      </c>
      <c r="E1547" s="311">
        <v>1000.82</v>
      </c>
      <c r="F1547" s="312">
        <f t="shared" si="1733"/>
        <v>176.96401732826453</v>
      </c>
      <c r="G1547" s="311">
        <f>G1546</f>
        <v>1054.72</v>
      </c>
      <c r="H1547" s="312">
        <f t="shared" si="1734"/>
        <v>186.4945628149589</v>
      </c>
      <c r="I1547" s="311">
        <f>I1546</f>
        <v>1136.43</v>
      </c>
      <c r="J1547" s="312">
        <f t="shared" si="1735"/>
        <v>200.94244540712583</v>
      </c>
      <c r="K1547" s="311">
        <f>K1546</f>
        <v>1215.9801000000002</v>
      </c>
      <c r="L1547" s="312">
        <f t="shared" si="1736"/>
        <v>215.00841658562467</v>
      </c>
      <c r="M1547" s="311">
        <v>1307.1786075000002</v>
      </c>
      <c r="N1547" s="371">
        <f t="shared" si="1737"/>
        <v>231.13404782954652</v>
      </c>
      <c r="O1547" s="156"/>
      <c r="P1547" s="156"/>
      <c r="Q1547" s="180"/>
      <c r="R1547" s="123"/>
      <c r="S1547" s="119"/>
      <c r="T1547" s="132"/>
    </row>
    <row r="1548" spans="2:20">
      <c r="B1548" s="310" t="s">
        <v>2</v>
      </c>
      <c r="C1548" s="311">
        <f>+C1547</f>
        <v>952.12</v>
      </c>
      <c r="D1548" s="312">
        <f>100*C1548/$G$1529</f>
        <v>168.35293077535144</v>
      </c>
      <c r="E1548" s="311">
        <f>+E1547</f>
        <v>1000.82</v>
      </c>
      <c r="F1548" s="312">
        <f t="shared" si="1733"/>
        <v>176.96401732826453</v>
      </c>
      <c r="G1548" s="311">
        <f>G1547</f>
        <v>1054.72</v>
      </c>
      <c r="H1548" s="312">
        <f t="shared" si="1734"/>
        <v>186.4945628149589</v>
      </c>
      <c r="I1548" s="311">
        <f>I1547</f>
        <v>1136.43</v>
      </c>
      <c r="J1548" s="312">
        <f t="shared" si="1735"/>
        <v>200.94244540712583</v>
      </c>
      <c r="K1548" s="311">
        <f>K1547</f>
        <v>1215.9801000000002</v>
      </c>
      <c r="L1548" s="312">
        <f t="shared" si="1736"/>
        <v>215.00841658562467</v>
      </c>
      <c r="M1548" s="311">
        <v>1307.1786075000002</v>
      </c>
      <c r="N1548" s="371">
        <f t="shared" si="1737"/>
        <v>231.13404782954652</v>
      </c>
      <c r="O1548" s="156"/>
      <c r="P1548" s="156"/>
      <c r="Q1548" s="180"/>
      <c r="R1548" s="123"/>
      <c r="S1548" s="119"/>
      <c r="T1548" s="132"/>
    </row>
    <row r="1549" spans="2:20">
      <c r="B1549" s="310" t="s">
        <v>3</v>
      </c>
      <c r="C1549" s="311">
        <v>952.12</v>
      </c>
      <c r="D1549" s="312">
        <f>100*C1549/$G$1529</f>
        <v>168.35293077535144</v>
      </c>
      <c r="E1549" s="311">
        <f>+E1548</f>
        <v>1000.82</v>
      </c>
      <c r="F1549" s="312">
        <f t="shared" si="1733"/>
        <v>176.96401732826453</v>
      </c>
      <c r="G1549" s="311">
        <f>G1548</f>
        <v>1054.72</v>
      </c>
      <c r="H1549" s="312">
        <f t="shared" si="1734"/>
        <v>186.4945628149589</v>
      </c>
      <c r="I1549" s="311">
        <f>I1548</f>
        <v>1136.43</v>
      </c>
      <c r="J1549" s="312">
        <f t="shared" si="1735"/>
        <v>200.94244540712583</v>
      </c>
      <c r="K1549" s="311">
        <f>K1548</f>
        <v>1215.9801000000002</v>
      </c>
      <c r="L1549" s="312">
        <f t="shared" si="1736"/>
        <v>215.00841658562467</v>
      </c>
      <c r="M1549" s="311">
        <v>1307.1786075000002</v>
      </c>
      <c r="N1549" s="371">
        <f t="shared" si="1737"/>
        <v>231.13404782954652</v>
      </c>
      <c r="O1549" s="156"/>
      <c r="P1549" s="156"/>
      <c r="Q1549" s="180"/>
      <c r="R1549" s="123"/>
      <c r="S1549" s="119"/>
      <c r="T1549" s="132"/>
    </row>
    <row r="1550" spans="2:20">
      <c r="B1550" s="310" t="s">
        <v>4</v>
      </c>
      <c r="C1550" s="311">
        <v>1000.82</v>
      </c>
      <c r="D1550" s="312">
        <f>100*C1550/$G$1529</f>
        <v>176.96401732826453</v>
      </c>
      <c r="E1550" s="311">
        <v>1054.72</v>
      </c>
      <c r="F1550" s="312">
        <f t="shared" si="1733"/>
        <v>186.4945628149589</v>
      </c>
      <c r="G1550" s="311">
        <v>1136.43</v>
      </c>
      <c r="H1550" s="312">
        <f t="shared" si="1734"/>
        <v>200.94244540712583</v>
      </c>
      <c r="I1550" s="311">
        <f>I1549*1.07</f>
        <v>1215.9801000000002</v>
      </c>
      <c r="J1550" s="312">
        <f t="shared" si="1735"/>
        <v>215.00841658562467</v>
      </c>
      <c r="K1550" s="311">
        <f>K1549*1.075</f>
        <v>1307.1786075000002</v>
      </c>
      <c r="L1550" s="312">
        <f t="shared" si="1736"/>
        <v>231.13404782954652</v>
      </c>
      <c r="M1550" s="311">
        <f>M1549*1.09</f>
        <v>1424.8246821750004</v>
      </c>
      <c r="N1550" s="346">
        <f t="shared" si="1737"/>
        <v>251.93611213420576</v>
      </c>
      <c r="O1550" s="132"/>
      <c r="P1550" s="132"/>
      <c r="Q1550" s="180"/>
      <c r="R1550" s="123"/>
      <c r="S1550" s="119"/>
      <c r="T1550" s="132"/>
    </row>
    <row r="1551" spans="2:20">
      <c r="B1551" s="310" t="s">
        <v>5</v>
      </c>
      <c r="C1551" s="311">
        <f>+C1550</f>
        <v>1000.82</v>
      </c>
      <c r="D1551" s="312">
        <f>100*C1551/565.55</f>
        <v>176.96401732826453</v>
      </c>
      <c r="E1551" s="311">
        <f t="shared" ref="E1551:E1557" si="1738">E1550</f>
        <v>1054.72</v>
      </c>
      <c r="F1551" s="312">
        <f t="shared" si="1733"/>
        <v>186.4945628149589</v>
      </c>
      <c r="G1551" s="311">
        <f>G1550</f>
        <v>1136.43</v>
      </c>
      <c r="H1551" s="312">
        <f t="shared" si="1734"/>
        <v>200.94244540712583</v>
      </c>
      <c r="I1551" s="311">
        <f t="shared" ref="I1551:I1557" si="1739">I1550</f>
        <v>1215.9801000000002</v>
      </c>
      <c r="J1551" s="312">
        <f t="shared" si="1735"/>
        <v>215.00841658562467</v>
      </c>
      <c r="K1551" s="311">
        <v>1307.1786075000002</v>
      </c>
      <c r="L1551" s="312">
        <f t="shared" si="1736"/>
        <v>231.13404782954652</v>
      </c>
      <c r="M1551" s="311">
        <v>1424.82</v>
      </c>
      <c r="N1551" s="346">
        <f t="shared" si="1737"/>
        <v>251.93528423658387</v>
      </c>
      <c r="O1551" s="132"/>
      <c r="P1551" s="132"/>
      <c r="Q1551" s="180"/>
      <c r="R1551" s="123"/>
      <c r="S1551" s="119"/>
      <c r="T1551" s="132"/>
    </row>
    <row r="1552" spans="2:20">
      <c r="B1552" s="310" t="s">
        <v>6</v>
      </c>
      <c r="C1552" s="311">
        <v>1000.82</v>
      </c>
      <c r="D1552" s="312">
        <f>100*C1552/565.55</f>
        <v>176.96401732826453</v>
      </c>
      <c r="E1552" s="311">
        <f t="shared" si="1738"/>
        <v>1054.72</v>
      </c>
      <c r="F1552" s="312">
        <f t="shared" si="1733"/>
        <v>186.4945628149589</v>
      </c>
      <c r="G1552" s="311">
        <f t="shared" ref="G1552:G1557" si="1740">G1551</f>
        <v>1136.43</v>
      </c>
      <c r="H1552" s="312">
        <f t="shared" si="1734"/>
        <v>200.94244540712583</v>
      </c>
      <c r="I1552" s="311">
        <f t="shared" si="1739"/>
        <v>1215.9801000000002</v>
      </c>
      <c r="J1552" s="312">
        <f t="shared" si="1735"/>
        <v>215.00841658562467</v>
      </c>
      <c r="K1552" s="311">
        <v>1307.1786075000002</v>
      </c>
      <c r="L1552" s="312">
        <f t="shared" si="1736"/>
        <v>231.13404782954652</v>
      </c>
      <c r="M1552" s="311">
        <v>1424.82</v>
      </c>
      <c r="N1552" s="346">
        <f t="shared" si="1737"/>
        <v>251.93528423658387</v>
      </c>
      <c r="O1552" s="132"/>
      <c r="P1552" s="132"/>
      <c r="Q1552" s="180"/>
      <c r="R1552" s="123"/>
      <c r="S1552" s="119"/>
      <c r="T1552" s="132"/>
    </row>
    <row r="1553" spans="2:20">
      <c r="B1553" s="310" t="s">
        <v>7</v>
      </c>
      <c r="C1553" s="311">
        <v>1000.82</v>
      </c>
      <c r="D1553" s="312">
        <f>+D1552</f>
        <v>176.96401732826453</v>
      </c>
      <c r="E1553" s="311">
        <f t="shared" si="1738"/>
        <v>1054.72</v>
      </c>
      <c r="F1553" s="312">
        <f t="shared" si="1733"/>
        <v>186.4945628149589</v>
      </c>
      <c r="G1553" s="311">
        <f t="shared" si="1740"/>
        <v>1136.43</v>
      </c>
      <c r="H1553" s="312">
        <f t="shared" si="1734"/>
        <v>200.94244540712583</v>
      </c>
      <c r="I1553" s="311">
        <f t="shared" si="1739"/>
        <v>1215.9801000000002</v>
      </c>
      <c r="J1553" s="312">
        <f t="shared" si="1735"/>
        <v>215.00841658562467</v>
      </c>
      <c r="K1553" s="311">
        <v>1307.1786075000002</v>
      </c>
      <c r="L1553" s="312">
        <f t="shared" si="1736"/>
        <v>231.13404782954652</v>
      </c>
      <c r="M1553" s="311">
        <v>1424.82</v>
      </c>
      <c r="N1553" s="346">
        <f t="shared" si="1737"/>
        <v>251.93528423658387</v>
      </c>
      <c r="O1553" s="132"/>
      <c r="P1553" s="132"/>
      <c r="Q1553" s="180"/>
      <c r="R1553" s="123"/>
      <c r="S1553" s="119"/>
      <c r="T1553" s="132"/>
    </row>
    <row r="1554" spans="2:20">
      <c r="B1554" s="310" t="s">
        <v>8</v>
      </c>
      <c r="C1554" s="311">
        <v>1000.82</v>
      </c>
      <c r="D1554" s="312">
        <f>+D1553</f>
        <v>176.96401732826453</v>
      </c>
      <c r="E1554" s="311">
        <f t="shared" si="1738"/>
        <v>1054.72</v>
      </c>
      <c r="F1554" s="312">
        <f t="shared" si="1733"/>
        <v>186.4945628149589</v>
      </c>
      <c r="G1554" s="311">
        <f t="shared" si="1740"/>
        <v>1136.43</v>
      </c>
      <c r="H1554" s="312">
        <f t="shared" si="1734"/>
        <v>200.94244540712583</v>
      </c>
      <c r="I1554" s="311">
        <f t="shared" si="1739"/>
        <v>1215.9801000000002</v>
      </c>
      <c r="J1554" s="312">
        <f t="shared" si="1735"/>
        <v>215.00841658562467</v>
      </c>
      <c r="K1554" s="311">
        <v>1307.1786075000002</v>
      </c>
      <c r="L1554" s="312">
        <f t="shared" si="1736"/>
        <v>231.13404782954652</v>
      </c>
      <c r="M1554" s="311">
        <v>1424.82</v>
      </c>
      <c r="N1554" s="346">
        <f t="shared" si="1737"/>
        <v>251.93528423658387</v>
      </c>
      <c r="O1554" s="132"/>
      <c r="P1554" s="132"/>
      <c r="Q1554" s="180"/>
      <c r="R1554" s="123"/>
      <c r="S1554" s="119"/>
      <c r="T1554" s="132"/>
    </row>
    <row r="1555" spans="2:20">
      <c r="B1555" s="310" t="s">
        <v>9</v>
      </c>
      <c r="C1555" s="311">
        <v>1000.82</v>
      </c>
      <c r="D1555" s="312">
        <f>+D1554</f>
        <v>176.96401732826453</v>
      </c>
      <c r="E1555" s="311">
        <f t="shared" si="1738"/>
        <v>1054.72</v>
      </c>
      <c r="F1555" s="312">
        <f t="shared" si="1733"/>
        <v>186.4945628149589</v>
      </c>
      <c r="G1555" s="311">
        <f t="shared" si="1740"/>
        <v>1136.43</v>
      </c>
      <c r="H1555" s="312">
        <f t="shared" si="1734"/>
        <v>200.94244540712583</v>
      </c>
      <c r="I1555" s="311">
        <f t="shared" si="1739"/>
        <v>1215.9801000000002</v>
      </c>
      <c r="J1555" s="312">
        <f t="shared" si="1735"/>
        <v>215.00841658562467</v>
      </c>
      <c r="K1555" s="311">
        <v>1307.1786075000002</v>
      </c>
      <c r="L1555" s="312">
        <f t="shared" si="1736"/>
        <v>231.13404782954652</v>
      </c>
      <c r="M1555" s="311">
        <v>1424.82</v>
      </c>
      <c r="N1555" s="346">
        <f t="shared" si="1737"/>
        <v>251.93528423658387</v>
      </c>
      <c r="O1555" s="132"/>
      <c r="P1555" s="132"/>
      <c r="Q1555" s="180"/>
      <c r="R1555" s="123"/>
      <c r="S1555" s="119"/>
      <c r="T1555" s="132"/>
    </row>
    <row r="1556" spans="2:20">
      <c r="B1556" s="310" t="s">
        <v>10</v>
      </c>
      <c r="C1556" s="311">
        <v>1000.82</v>
      </c>
      <c r="D1556" s="312">
        <f>+D1555</f>
        <v>176.96401732826453</v>
      </c>
      <c r="E1556" s="311">
        <f t="shared" si="1738"/>
        <v>1054.72</v>
      </c>
      <c r="F1556" s="312">
        <f t="shared" si="1733"/>
        <v>186.4945628149589</v>
      </c>
      <c r="G1556" s="311">
        <f t="shared" si="1740"/>
        <v>1136.43</v>
      </c>
      <c r="H1556" s="312">
        <f t="shared" si="1734"/>
        <v>200.94244540712583</v>
      </c>
      <c r="I1556" s="311">
        <f t="shared" si="1739"/>
        <v>1215.9801000000002</v>
      </c>
      <c r="J1556" s="312">
        <f t="shared" si="1735"/>
        <v>215.00841658562467</v>
      </c>
      <c r="K1556" s="311">
        <v>1307.1786075000002</v>
      </c>
      <c r="L1556" s="312">
        <f t="shared" si="1736"/>
        <v>231.13404782954652</v>
      </c>
      <c r="M1556" s="311">
        <v>1424.82</v>
      </c>
      <c r="N1556" s="346">
        <f t="shared" si="1737"/>
        <v>251.93528423658387</v>
      </c>
      <c r="O1556" s="132"/>
      <c r="P1556" s="132"/>
      <c r="Q1556" s="180"/>
      <c r="R1556" s="123"/>
      <c r="S1556" s="119"/>
      <c r="T1556" s="132"/>
    </row>
    <row r="1557" spans="2:20" ht="15.75" thickBot="1">
      <c r="B1557" s="314" t="s">
        <v>11</v>
      </c>
      <c r="C1557" s="316">
        <v>1000.82</v>
      </c>
      <c r="D1557" s="316">
        <f>+D1556</f>
        <v>176.96401732826453</v>
      </c>
      <c r="E1557" s="315">
        <f t="shared" si="1738"/>
        <v>1054.72</v>
      </c>
      <c r="F1557" s="316">
        <f t="shared" si="1733"/>
        <v>186.4945628149589</v>
      </c>
      <c r="G1557" s="315">
        <f t="shared" si="1740"/>
        <v>1136.43</v>
      </c>
      <c r="H1557" s="316">
        <f t="shared" si="1734"/>
        <v>200.94244540712583</v>
      </c>
      <c r="I1557" s="315">
        <f t="shared" si="1739"/>
        <v>1215.9801000000002</v>
      </c>
      <c r="J1557" s="316">
        <f t="shared" si="1735"/>
        <v>215.00841658562467</v>
      </c>
      <c r="K1557" s="315">
        <v>1307.1786075000002</v>
      </c>
      <c r="L1557" s="316">
        <f t="shared" si="1736"/>
        <v>231.13404782954652</v>
      </c>
      <c r="M1557" s="315">
        <v>1424.82</v>
      </c>
      <c r="N1557" s="349">
        <f t="shared" si="1737"/>
        <v>251.93528423658387</v>
      </c>
      <c r="O1557" s="132"/>
      <c r="P1557" s="132"/>
      <c r="Q1557" s="180"/>
      <c r="R1557" s="123"/>
      <c r="S1557" s="119"/>
      <c r="T1557" s="132"/>
    </row>
    <row r="1558" spans="2:20">
      <c r="B1558" s="119"/>
      <c r="C1558" s="123"/>
      <c r="D1558" s="123"/>
      <c r="E1558" s="118"/>
      <c r="F1558" s="123"/>
      <c r="G1558" s="118"/>
      <c r="H1558" s="123"/>
      <c r="I1558" s="118"/>
      <c r="J1558" s="123"/>
      <c r="K1558" s="118"/>
      <c r="L1558" s="123"/>
      <c r="M1558" s="118"/>
      <c r="N1558" s="132"/>
      <c r="O1558" s="132"/>
      <c r="P1558" s="132"/>
      <c r="Q1558" s="180"/>
      <c r="R1558" s="123"/>
      <c r="S1558" s="119"/>
      <c r="T1558" s="132"/>
    </row>
    <row r="1559" spans="2:20">
      <c r="B1559" s="1292" t="s">
        <v>54</v>
      </c>
      <c r="C1559" s="1293"/>
      <c r="D1559" s="1293"/>
      <c r="E1559" s="1293"/>
      <c r="F1559" s="1293"/>
      <c r="G1559" s="1293"/>
      <c r="H1559" s="1293"/>
      <c r="I1559" s="1293"/>
      <c r="J1559" s="1293"/>
      <c r="K1559" s="1293"/>
      <c r="L1559" s="1293"/>
      <c r="M1559" s="1293"/>
      <c r="N1559" s="1293"/>
      <c r="O1559" s="1293"/>
      <c r="P1559" s="1293"/>
      <c r="Q1559" s="1293"/>
      <c r="R1559" s="1293"/>
      <c r="S1559" s="1293"/>
      <c r="T1559" s="1293"/>
    </row>
    <row r="1560" spans="2:20" ht="15.75" thickBot="1">
      <c r="B1560" s="1314">
        <v>2012</v>
      </c>
      <c r="C1560" s="1315"/>
      <c r="D1560" s="649" t="s">
        <v>15</v>
      </c>
      <c r="E1560" s="650">
        <v>2013</v>
      </c>
      <c r="F1560" s="649" t="s">
        <v>15</v>
      </c>
      <c r="G1560" s="650">
        <v>2014</v>
      </c>
      <c r="H1560" s="649" t="s">
        <v>15</v>
      </c>
      <c r="I1560" s="650">
        <v>2015</v>
      </c>
      <c r="J1560" s="649" t="s">
        <v>15</v>
      </c>
      <c r="K1560" s="650">
        <v>2016</v>
      </c>
      <c r="L1560" s="649" t="s">
        <v>15</v>
      </c>
      <c r="M1560" s="650">
        <v>2017</v>
      </c>
      <c r="N1560" s="649" t="s">
        <v>15</v>
      </c>
      <c r="O1560" s="650">
        <v>2018</v>
      </c>
      <c r="P1560" s="649" t="s">
        <v>15</v>
      </c>
      <c r="Q1560" s="650">
        <v>2019</v>
      </c>
      <c r="R1560" s="649" t="s">
        <v>15</v>
      </c>
      <c r="S1560" s="1266">
        <v>2020</v>
      </c>
      <c r="T1560" s="649" t="s">
        <v>15</v>
      </c>
    </row>
    <row r="1561" spans="2:20">
      <c r="B1561" s="306" t="s">
        <v>0</v>
      </c>
      <c r="C1561" s="307">
        <v>1424.82</v>
      </c>
      <c r="D1561" s="309">
        <f t="shared" ref="D1561:D1568" si="1741">100*C1561/$G$1529</f>
        <v>251.93528423658387</v>
      </c>
      <c r="E1561" s="657">
        <f>$C$1564*1.08</f>
        <v>1538.8056000000001</v>
      </c>
      <c r="F1561" s="655">
        <f t="shared" ref="F1561:F1566" si="1742">100*E1561/$G$1529</f>
        <v>272.09010697551065</v>
      </c>
      <c r="G1561" s="705">
        <f>$E$1564*(1.09+0.01)</f>
        <v>1692.6861600000002</v>
      </c>
      <c r="H1561" s="655">
        <f t="shared" ref="H1561:H1566" si="1743">100*G1561/$G$1529</f>
        <v>299.29911767306169</v>
      </c>
      <c r="I1561" s="705">
        <f>[11]PLANCUSce!$H$42+40.021896513555</f>
        <v>1819.6376220000002</v>
      </c>
      <c r="J1561" s="655">
        <f t="shared" ref="J1561:J1566" si="1744">100*I1561/$G$1529</f>
        <v>321.74655149854129</v>
      </c>
      <c r="K1561" s="705">
        <f t="shared" ref="K1561:K1564" si="1745">1819.637622*(1+8.34%+0.66%)</f>
        <v>1983.4050079799997</v>
      </c>
      <c r="L1561" s="655">
        <f t="shared" ref="L1561" si="1746">100*K1561/$G$1529</f>
        <v>350.70374113340995</v>
      </c>
      <c r="M1561" s="705">
        <f t="shared" ref="M1561:M1564" si="1747">1819.637622*(1+8.34%+0.66%)*(1+7%+1.72%)</f>
        <v>2156.3579246758559</v>
      </c>
      <c r="N1561" s="655">
        <f t="shared" ref="N1561" si="1748">100*M1561/$G$1529</f>
        <v>381.28510736024333</v>
      </c>
      <c r="O1561" s="1216">
        <f t="shared" ref="O1561:O1565" si="1749">1819.637622*(1+8.34%+0.66%)*(1+7%+1.72%)*(1+3.99%+0.01%)</f>
        <v>2242.61224166289</v>
      </c>
      <c r="P1561" s="655">
        <f t="shared" ref="P1561" si="1750">100*O1561/$G$1529</f>
        <v>396.53651165465305</v>
      </c>
      <c r="Q1561" s="1216">
        <f>1819.637622*(1+8.34%+0.66%)*(1+7%+1.72%)*(1+3.99%+0.01%)*(1+2.5%)</f>
        <v>2298.6775477044621</v>
      </c>
      <c r="R1561" s="655">
        <f t="shared" ref="R1561" si="1751">100*Q1561/$G$1529</f>
        <v>406.44992444601934</v>
      </c>
      <c r="S1561" s="1216">
        <f t="shared" ref="S1561:S1569" si="1752">1819.637622*(1+8.34%+0.66%)*(1+7%+1.72%)*(1+3.99%+0.01%)*(1+2.5%)*(1+5.07%)</f>
        <v>2415.2204993730784</v>
      </c>
      <c r="T1561" s="655">
        <f t="shared" ref="T1561" si="1753">100*S1561/$G$1529</f>
        <v>427.05693561543251</v>
      </c>
    </row>
    <row r="1562" spans="2:20">
      <c r="B1562" s="310" t="s">
        <v>1</v>
      </c>
      <c r="C1562" s="311">
        <v>1424.82</v>
      </c>
      <c r="D1562" s="313">
        <f t="shared" si="1741"/>
        <v>251.93528423658387</v>
      </c>
      <c r="E1562" s="662">
        <f>$C$1564*1.08</f>
        <v>1538.8056000000001</v>
      </c>
      <c r="F1562" s="313">
        <f t="shared" si="1742"/>
        <v>272.09010697551065</v>
      </c>
      <c r="G1562" s="662">
        <f>$E$1564*(1.09+0.01)</f>
        <v>1692.6861600000002</v>
      </c>
      <c r="H1562" s="313">
        <f t="shared" si="1743"/>
        <v>299.29911767306169</v>
      </c>
      <c r="I1562" s="662">
        <f>[19]PLANCUSce!$H$42+40.021896513555</f>
        <v>1819.6376220000002</v>
      </c>
      <c r="J1562" s="313">
        <f t="shared" si="1744"/>
        <v>321.74655149854129</v>
      </c>
      <c r="K1562" s="662">
        <f t="shared" si="1745"/>
        <v>1983.4050079799997</v>
      </c>
      <c r="L1562" s="313">
        <f t="shared" ref="L1562" si="1754">100*K1562/$G$1529</f>
        <v>350.70374113340995</v>
      </c>
      <c r="M1562" s="662">
        <f t="shared" si="1747"/>
        <v>2156.3579246758559</v>
      </c>
      <c r="N1562" s="313">
        <f t="shared" ref="N1562" si="1755">100*M1562/$G$1529</f>
        <v>381.28510736024333</v>
      </c>
      <c r="O1562" s="662">
        <f t="shared" si="1749"/>
        <v>2242.61224166289</v>
      </c>
      <c r="P1562" s="313">
        <f t="shared" ref="P1562" si="1756">100*O1562/$G$1529</f>
        <v>396.53651165465305</v>
      </c>
      <c r="Q1562" s="662">
        <f>1819.637622*(1+8.34%+0.66%)*(1+7%+1.72%)*(1+3.99%+0.01%)*(1+2.5%)</f>
        <v>2298.6775477044621</v>
      </c>
      <c r="R1562" s="313">
        <f t="shared" ref="R1562" si="1757">100*Q1562/$G$1529</f>
        <v>406.44992444601934</v>
      </c>
      <c r="S1562" s="1216">
        <f t="shared" si="1752"/>
        <v>2415.2204993730784</v>
      </c>
      <c r="T1562" s="558">
        <f t="shared" ref="T1562" si="1758">100*S1562/$G$1529</f>
        <v>427.05693561543251</v>
      </c>
    </row>
    <row r="1563" spans="2:20">
      <c r="B1563" s="310" t="s">
        <v>2</v>
      </c>
      <c r="C1563" s="311">
        <v>1424.82</v>
      </c>
      <c r="D1563" s="313">
        <f t="shared" si="1741"/>
        <v>251.93528423658387</v>
      </c>
      <c r="E1563" s="662">
        <f>$C$1564*1.08</f>
        <v>1538.8056000000001</v>
      </c>
      <c r="F1563" s="313">
        <f t="shared" si="1742"/>
        <v>272.09010697551065</v>
      </c>
      <c r="G1563" s="662">
        <f>$E$1564*(1.09+0.01)</f>
        <v>1692.6861600000002</v>
      </c>
      <c r="H1563" s="313">
        <f t="shared" si="1743"/>
        <v>299.29911767306169</v>
      </c>
      <c r="I1563" s="662">
        <f>[27]PLANCUSce!$H$42+40.021896513555</f>
        <v>1819.6376220000002</v>
      </c>
      <c r="J1563" s="313">
        <f t="shared" si="1744"/>
        <v>321.74655149854129</v>
      </c>
      <c r="K1563" s="662">
        <f t="shared" si="1745"/>
        <v>1983.4050079799997</v>
      </c>
      <c r="L1563" s="313">
        <f t="shared" ref="L1563" si="1759">100*K1563/$G$1529</f>
        <v>350.70374113340995</v>
      </c>
      <c r="M1563" s="662">
        <f t="shared" si="1747"/>
        <v>2156.3579246758559</v>
      </c>
      <c r="N1563" s="313">
        <f t="shared" ref="N1563" si="1760">100*M1563/$G$1529</f>
        <v>381.28510736024333</v>
      </c>
      <c r="O1563" s="662">
        <f t="shared" si="1749"/>
        <v>2242.61224166289</v>
      </c>
      <c r="P1563" s="313">
        <f t="shared" ref="P1563" si="1761">100*O1563/$G$1529</f>
        <v>396.53651165465305</v>
      </c>
      <c r="Q1563" s="662">
        <f>1819.637622*(1+8.34%+0.66%)*(1+7%+1.72%)*(1+3.99%+0.01%)*(1+2.5%)</f>
        <v>2298.6775477044621</v>
      </c>
      <c r="R1563" s="313">
        <f t="shared" ref="R1563" si="1762">100*Q1563/$G$1529</f>
        <v>406.44992444601934</v>
      </c>
      <c r="S1563" s="1216">
        <f t="shared" si="1752"/>
        <v>2415.2204993730784</v>
      </c>
      <c r="T1563" s="558">
        <f t="shared" ref="T1563" si="1763">100*S1563/$G$1529</f>
        <v>427.05693561543251</v>
      </c>
    </row>
    <row r="1564" spans="2:20">
      <c r="B1564" s="310" t="s">
        <v>3</v>
      </c>
      <c r="C1564" s="311">
        <v>1424.82</v>
      </c>
      <c r="D1564" s="313">
        <f t="shared" si="1741"/>
        <v>251.93528423658387</v>
      </c>
      <c r="E1564" s="662">
        <f>$C$1564*1.08</f>
        <v>1538.8056000000001</v>
      </c>
      <c r="F1564" s="313">
        <f t="shared" si="1742"/>
        <v>272.09010697551065</v>
      </c>
      <c r="G1564" s="662">
        <f>$E$1564*(1.09+0.01)</f>
        <v>1692.6861600000002</v>
      </c>
      <c r="H1564" s="313">
        <f t="shared" si="1743"/>
        <v>299.29911767306169</v>
      </c>
      <c r="I1564" s="662">
        <f>[35]PLANCUSce!$H$42+40.021896513555</f>
        <v>1819.6376220000002</v>
      </c>
      <c r="J1564" s="313">
        <f t="shared" si="1744"/>
        <v>321.74655149854129</v>
      </c>
      <c r="K1564" s="662">
        <f t="shared" si="1745"/>
        <v>1983.4050079799997</v>
      </c>
      <c r="L1564" s="313">
        <f t="shared" ref="L1564" si="1764">100*K1564/$G$1529</f>
        <v>350.70374113340995</v>
      </c>
      <c r="M1564" s="662">
        <f t="shared" si="1747"/>
        <v>2156.3579246758559</v>
      </c>
      <c r="N1564" s="313">
        <f t="shared" ref="N1564" si="1765">100*M1564/$G$1529</f>
        <v>381.28510736024333</v>
      </c>
      <c r="O1564" s="662">
        <f t="shared" si="1749"/>
        <v>2242.61224166289</v>
      </c>
      <c r="P1564" s="313">
        <f t="shared" ref="P1564" si="1766">100*O1564/$G$1529</f>
        <v>396.53651165465305</v>
      </c>
      <c r="Q1564" s="662">
        <f>1819.637622*(1+8.34%+0.66%)*(1+7%+1.72%)*(1+3.99%+0.01%)*(1+2.5%)</f>
        <v>2298.6775477044621</v>
      </c>
      <c r="R1564" s="313">
        <f t="shared" ref="R1564" si="1767">100*Q1564/$G$1529</f>
        <v>406.44992444601934</v>
      </c>
      <c r="S1564" s="1216">
        <f t="shared" si="1752"/>
        <v>2415.2204993730784</v>
      </c>
      <c r="T1564" s="558">
        <f t="shared" ref="T1564" si="1768">100*S1564/$G$1529</f>
        <v>427.05693561543251</v>
      </c>
    </row>
    <row r="1565" spans="2:20">
      <c r="B1565" s="310" t="s">
        <v>4</v>
      </c>
      <c r="C1565" s="311">
        <f t="shared" ref="C1565:C1572" si="1769">$C$1564*1.08</f>
        <v>1538.8056000000001</v>
      </c>
      <c r="D1565" s="313">
        <f t="shared" si="1741"/>
        <v>272.09010697551065</v>
      </c>
      <c r="E1565" s="662">
        <f>$E$1564*1.09</f>
        <v>1677.2981040000002</v>
      </c>
      <c r="F1565" s="313">
        <f t="shared" si="1742"/>
        <v>296.57821660330654</v>
      </c>
      <c r="G1565" s="662">
        <f>[42]PLANCUSce!$H$42+40.021896513555</f>
        <v>1819.6376220000002</v>
      </c>
      <c r="H1565" s="313">
        <f t="shared" si="1743"/>
        <v>321.74655149854129</v>
      </c>
      <c r="I1565" s="662">
        <f>1819.637622*(1+8.34%)</f>
        <v>1971.3953996747998</v>
      </c>
      <c r="J1565" s="313">
        <f t="shared" si="1744"/>
        <v>348.58021389351956</v>
      </c>
      <c r="K1565" s="662">
        <f>1819.637622*(1+8.34%+0.66%)*(1+7%)</f>
        <v>2122.2433585385998</v>
      </c>
      <c r="L1565" s="313">
        <f t="shared" ref="L1565" si="1770">100*K1565/$G$1529</f>
        <v>375.25300301274865</v>
      </c>
      <c r="M1565" s="662">
        <f>1819.637622*(1+8.34%+0.66%)*(1+7%+1.72%)*(1+3.99%)</f>
        <v>2242.3966058704227</v>
      </c>
      <c r="N1565" s="313">
        <f t="shared" ref="N1565" si="1771">100*M1565/$G$1529</f>
        <v>396.49838314391707</v>
      </c>
      <c r="O1565" s="662">
        <f t="shared" si="1749"/>
        <v>2242.61224166289</v>
      </c>
      <c r="P1565" s="313">
        <f t="shared" ref="P1565" si="1772">100*O1565/$G$1529</f>
        <v>396.53651165465305</v>
      </c>
      <c r="Q1565" s="662">
        <f t="shared" ref="Q1565:Q1572" si="1773">1819.637622*(1+8.34%+0.66%)*(1+7%+1.72%)*(1+3.99%+0.01%)*(1+2.5%)*(1+5.07%)</f>
        <v>2415.2204993730784</v>
      </c>
      <c r="R1565" s="313">
        <f t="shared" ref="R1565" si="1774">100*Q1565/$G$1529</f>
        <v>427.05693561543251</v>
      </c>
      <c r="S1565" s="1216">
        <f t="shared" si="1752"/>
        <v>2415.2204993730784</v>
      </c>
      <c r="T1565" s="558">
        <f t="shared" ref="T1565" si="1775">100*S1565/$G$1529</f>
        <v>427.05693561543251</v>
      </c>
    </row>
    <row r="1566" spans="2:20">
      <c r="B1566" s="310" t="s">
        <v>5</v>
      </c>
      <c r="C1566" s="311">
        <f t="shared" si="1769"/>
        <v>1538.8056000000001</v>
      </c>
      <c r="D1566" s="313">
        <f t="shared" si="1741"/>
        <v>272.09010697551065</v>
      </c>
      <c r="E1566" s="662">
        <f>$E$1564*1.09</f>
        <v>1677.2981040000002</v>
      </c>
      <c r="F1566" s="313">
        <f t="shared" si="1742"/>
        <v>296.57821660330654</v>
      </c>
      <c r="G1566" s="662">
        <f>[50]PLANCUSce!$H$42+40.021896513555</f>
        <v>1819.6376220000002</v>
      </c>
      <c r="H1566" s="313">
        <f t="shared" si="1743"/>
        <v>321.74655149854129</v>
      </c>
      <c r="I1566" s="662">
        <f t="shared" ref="I1566:I1572" si="1776">1819.637622*(1+8.34%+0.66%)</f>
        <v>1983.4050079799997</v>
      </c>
      <c r="J1566" s="313">
        <f t="shared" si="1744"/>
        <v>350.70374113340995</v>
      </c>
      <c r="K1566" s="662">
        <f t="shared" ref="K1566:K1572" si="1777">1819.637622*(1+8.34%+0.66%)*(1+7%+1.72%)</f>
        <v>2156.3579246758559</v>
      </c>
      <c r="L1566" s="313">
        <f t="shared" ref="L1566" si="1778">100*K1566/$G$1529</f>
        <v>381.28510736024333</v>
      </c>
      <c r="M1566" s="662">
        <f t="shared" ref="M1566:M1572" si="1779">1819.637622*(1+8.34%+0.66%)*(1+7%+1.72%)*(1+3.99%+0.01%)</f>
        <v>2242.61224166289</v>
      </c>
      <c r="N1566" s="313">
        <f t="shared" ref="N1566" si="1780">100*M1566/$G$1529</f>
        <v>396.53651165465305</v>
      </c>
      <c r="O1566" s="662">
        <f t="shared" ref="O1566:O1572" si="1781">1819.637622*(1+8.34%+0.66%)*(1+7%+1.72%)*(1+3.99%+0.01%)*(1+2.5%)</f>
        <v>2298.6775477044621</v>
      </c>
      <c r="P1566" s="313">
        <f t="shared" ref="P1566" si="1782">100*O1566/$G$1529</f>
        <v>406.44992444601934</v>
      </c>
      <c r="Q1566" s="662">
        <f t="shared" si="1773"/>
        <v>2415.2204993730784</v>
      </c>
      <c r="R1566" s="313">
        <f t="shared" ref="R1566" si="1783">100*Q1566/$G$1529</f>
        <v>427.05693561543251</v>
      </c>
      <c r="S1566" s="1216">
        <f t="shared" si="1752"/>
        <v>2415.2204993730784</v>
      </c>
      <c r="T1566" s="558">
        <f t="shared" ref="T1566" si="1784">100*S1566/$G$1529</f>
        <v>427.05693561543251</v>
      </c>
    </row>
    <row r="1567" spans="2:20">
      <c r="B1567" s="310" t="s">
        <v>6</v>
      </c>
      <c r="C1567" s="311">
        <f t="shared" si="1769"/>
        <v>1538.8056000000001</v>
      </c>
      <c r="D1567" s="313">
        <f t="shared" si="1741"/>
        <v>272.09010697551065</v>
      </c>
      <c r="E1567" s="662">
        <f>$E$1564*1.09</f>
        <v>1677.2981040000002</v>
      </c>
      <c r="F1567" s="313">
        <f t="shared" ref="F1567:F1572" si="1785">100*E1567/$G$1529</f>
        <v>296.57821660330654</v>
      </c>
      <c r="G1567" s="662">
        <f>[59]PLANCUSce!$H$42+40.021896513555</f>
        <v>1819.6376220000002</v>
      </c>
      <c r="H1567" s="313">
        <f t="shared" ref="H1567:H1572" si="1786">100*G1567/$G$1529</f>
        <v>321.74655149854129</v>
      </c>
      <c r="I1567" s="662">
        <f t="shared" si="1776"/>
        <v>1983.4050079799997</v>
      </c>
      <c r="J1567" s="313">
        <f t="shared" ref="J1567:J1572" si="1787">100*I1567/$G$1529</f>
        <v>350.70374113340995</v>
      </c>
      <c r="K1567" s="662">
        <f t="shared" si="1777"/>
        <v>2156.3579246758559</v>
      </c>
      <c r="L1567" s="313">
        <f t="shared" ref="L1567" si="1788">100*K1567/$G$1529</f>
        <v>381.28510736024333</v>
      </c>
      <c r="M1567" s="662">
        <f t="shared" si="1779"/>
        <v>2242.61224166289</v>
      </c>
      <c r="N1567" s="313">
        <f t="shared" ref="N1567" si="1789">100*M1567/$G$1529</f>
        <v>396.53651165465305</v>
      </c>
      <c r="O1567" s="662">
        <f t="shared" si="1781"/>
        <v>2298.6775477044621</v>
      </c>
      <c r="P1567" s="313">
        <f t="shared" ref="P1567" si="1790">100*O1567/$G$1529</f>
        <v>406.44992444601934</v>
      </c>
      <c r="Q1567" s="662">
        <f t="shared" si="1773"/>
        <v>2415.2204993730784</v>
      </c>
      <c r="R1567" s="313">
        <f t="shared" ref="R1567" si="1791">100*Q1567/$G$1529</f>
        <v>427.05693561543251</v>
      </c>
      <c r="S1567" s="1216">
        <f t="shared" si="1752"/>
        <v>2415.2204993730784</v>
      </c>
      <c r="T1567" s="558">
        <f t="shared" ref="T1567" si="1792">100*S1567/$G$1529</f>
        <v>427.05693561543251</v>
      </c>
    </row>
    <row r="1568" spans="2:20">
      <c r="B1568" s="310" t="s">
        <v>7</v>
      </c>
      <c r="C1568" s="311">
        <f t="shared" si="1769"/>
        <v>1538.8056000000001</v>
      </c>
      <c r="D1568" s="313">
        <f t="shared" si="1741"/>
        <v>272.09010697551065</v>
      </c>
      <c r="E1568" s="662">
        <f>$E$1564*1.09</f>
        <v>1677.2981040000002</v>
      </c>
      <c r="F1568" s="313">
        <f t="shared" si="1785"/>
        <v>296.57821660330654</v>
      </c>
      <c r="G1568" s="662">
        <f>[68]PLANCUSce!$H$42+40.021896513555</f>
        <v>1819.6376220000002</v>
      </c>
      <c r="H1568" s="313">
        <f t="shared" si="1786"/>
        <v>321.74655149854129</v>
      </c>
      <c r="I1568" s="662">
        <f t="shared" si="1776"/>
        <v>1983.4050079799997</v>
      </c>
      <c r="J1568" s="313">
        <f t="shared" si="1787"/>
        <v>350.70374113340995</v>
      </c>
      <c r="K1568" s="662">
        <f t="shared" si="1777"/>
        <v>2156.3579246758559</v>
      </c>
      <c r="L1568" s="313">
        <f t="shared" ref="L1568" si="1793">100*K1568/$G$1529</f>
        <v>381.28510736024333</v>
      </c>
      <c r="M1568" s="662">
        <f t="shared" si="1779"/>
        <v>2242.61224166289</v>
      </c>
      <c r="N1568" s="313">
        <f t="shared" ref="N1568" si="1794">100*M1568/$G$1529</f>
        <v>396.53651165465305</v>
      </c>
      <c r="O1568" s="662">
        <f t="shared" si="1781"/>
        <v>2298.6775477044621</v>
      </c>
      <c r="P1568" s="313">
        <f t="shared" ref="P1568" si="1795">100*O1568/$G$1529</f>
        <v>406.44992444601934</v>
      </c>
      <c r="Q1568" s="662">
        <f t="shared" si="1773"/>
        <v>2415.2204993730784</v>
      </c>
      <c r="R1568" s="313">
        <f t="shared" ref="R1568" si="1796">100*Q1568/$G$1529</f>
        <v>427.05693561543251</v>
      </c>
      <c r="S1568" s="1216">
        <f t="shared" si="1752"/>
        <v>2415.2204993730784</v>
      </c>
      <c r="T1568" s="558">
        <f t="shared" ref="T1568" si="1797">100*S1568/$G$1529</f>
        <v>427.05693561543251</v>
      </c>
    </row>
    <row r="1569" spans="2:20">
      <c r="B1569" s="310" t="s">
        <v>8</v>
      </c>
      <c r="C1569" s="311">
        <f t="shared" si="1769"/>
        <v>1538.8056000000001</v>
      </c>
      <c r="D1569" s="313">
        <f>100*C1569/$G$1529</f>
        <v>272.09010697551065</v>
      </c>
      <c r="E1569" s="662">
        <f>$E$1564*(1.09+0.01)</f>
        <v>1692.6861600000002</v>
      </c>
      <c r="F1569" s="313">
        <f t="shared" si="1785"/>
        <v>299.29911767306169</v>
      </c>
      <c r="G1569" s="662">
        <f>[77]PLANCUSce!$H$42+40.021896513555</f>
        <v>1819.6376220000002</v>
      </c>
      <c r="H1569" s="313">
        <f t="shared" si="1786"/>
        <v>321.74655149854129</v>
      </c>
      <c r="I1569" s="662">
        <f t="shared" si="1776"/>
        <v>1983.4050079799997</v>
      </c>
      <c r="J1569" s="313">
        <f t="shared" si="1787"/>
        <v>350.70374113340995</v>
      </c>
      <c r="K1569" s="662">
        <f t="shared" si="1777"/>
        <v>2156.3579246758559</v>
      </c>
      <c r="L1569" s="313">
        <f t="shared" ref="L1569" si="1798">100*K1569/$G$1529</f>
        <v>381.28510736024333</v>
      </c>
      <c r="M1569" s="662">
        <f t="shared" si="1779"/>
        <v>2242.61224166289</v>
      </c>
      <c r="N1569" s="313">
        <f t="shared" ref="N1569" si="1799">100*M1569/$G$1529</f>
        <v>396.53651165465305</v>
      </c>
      <c r="O1569" s="662">
        <f t="shared" si="1781"/>
        <v>2298.6775477044621</v>
      </c>
      <c r="P1569" s="313">
        <f t="shared" ref="P1569" si="1800">100*O1569/$G$1529</f>
        <v>406.44992444601934</v>
      </c>
      <c r="Q1569" s="662">
        <f t="shared" si="1773"/>
        <v>2415.2204993730784</v>
      </c>
      <c r="R1569" s="313">
        <f t="shared" ref="R1569" si="1801">100*Q1569/$G$1529</f>
        <v>427.05693561543251</v>
      </c>
      <c r="S1569" s="1216">
        <f t="shared" si="1752"/>
        <v>2415.2204993730784</v>
      </c>
      <c r="T1569" s="558">
        <f t="shared" ref="T1569" si="1802">100*S1569/$G$1529</f>
        <v>427.05693561543251</v>
      </c>
    </row>
    <row r="1570" spans="2:20">
      <c r="B1570" s="310" t="s">
        <v>9</v>
      </c>
      <c r="C1570" s="311">
        <f t="shared" si="1769"/>
        <v>1538.8056000000001</v>
      </c>
      <c r="D1570" s="313">
        <f>100*C1570/$G$1529</f>
        <v>272.09010697551065</v>
      </c>
      <c r="E1570" s="662">
        <f>$E$1564*(1.09+0.01)</f>
        <v>1692.6861600000002</v>
      </c>
      <c r="F1570" s="313">
        <f t="shared" si="1785"/>
        <v>299.29911767306169</v>
      </c>
      <c r="G1570" s="662">
        <f>[85]PLANCUSce!$H$42+40.021896513555</f>
        <v>1819.6376220000002</v>
      </c>
      <c r="H1570" s="313">
        <f t="shared" si="1786"/>
        <v>321.74655149854129</v>
      </c>
      <c r="I1570" s="662">
        <f t="shared" si="1776"/>
        <v>1983.4050079799997</v>
      </c>
      <c r="J1570" s="313">
        <f t="shared" si="1787"/>
        <v>350.70374113340995</v>
      </c>
      <c r="K1570" s="662">
        <f t="shared" si="1777"/>
        <v>2156.3579246758559</v>
      </c>
      <c r="L1570" s="313">
        <f t="shared" ref="L1570" si="1803">100*K1570/$G$1529</f>
        <v>381.28510736024333</v>
      </c>
      <c r="M1570" s="662">
        <f t="shared" si="1779"/>
        <v>2242.61224166289</v>
      </c>
      <c r="N1570" s="313">
        <f t="shared" ref="N1570" si="1804">100*M1570/$G$1529</f>
        <v>396.53651165465305</v>
      </c>
      <c r="O1570" s="662">
        <f t="shared" si="1781"/>
        <v>2298.6775477044621</v>
      </c>
      <c r="P1570" s="313">
        <f t="shared" ref="P1570" si="1805">100*O1570/$G$1529</f>
        <v>406.44992444601934</v>
      </c>
      <c r="Q1570" s="662">
        <f t="shared" si="1773"/>
        <v>2415.2204993730784</v>
      </c>
      <c r="R1570" s="313">
        <f t="shared" ref="R1570" si="1806">100*Q1570/$G$1529</f>
        <v>427.05693561543251</v>
      </c>
      <c r="S1570" s="662"/>
      <c r="T1570" s="313"/>
    </row>
    <row r="1571" spans="2:20">
      <c r="B1571" s="310" t="s">
        <v>10</v>
      </c>
      <c r="C1571" s="311">
        <f t="shared" si="1769"/>
        <v>1538.8056000000001</v>
      </c>
      <c r="D1571" s="313">
        <f>100*C1571/$G$1529</f>
        <v>272.09010697551065</v>
      </c>
      <c r="E1571" s="662">
        <f>$E$1564*(1.09+0.01)</f>
        <v>1692.6861600000002</v>
      </c>
      <c r="F1571" s="313">
        <f t="shared" si="1785"/>
        <v>299.29911767306169</v>
      </c>
      <c r="G1571" s="662">
        <f>[93]PLANCUSce!$H$42+40.021896513555</f>
        <v>1819.6376220000002</v>
      </c>
      <c r="H1571" s="313">
        <f t="shared" si="1786"/>
        <v>321.74655149854129</v>
      </c>
      <c r="I1571" s="662">
        <f t="shared" si="1776"/>
        <v>1983.4050079799997</v>
      </c>
      <c r="J1571" s="313">
        <f t="shared" si="1787"/>
        <v>350.70374113340995</v>
      </c>
      <c r="K1571" s="662">
        <f t="shared" si="1777"/>
        <v>2156.3579246758559</v>
      </c>
      <c r="L1571" s="313">
        <f t="shared" ref="L1571" si="1807">100*K1571/$G$1529</f>
        <v>381.28510736024333</v>
      </c>
      <c r="M1571" s="662">
        <f t="shared" si="1779"/>
        <v>2242.61224166289</v>
      </c>
      <c r="N1571" s="313">
        <f t="shared" ref="N1571" si="1808">100*M1571/$G$1529</f>
        <v>396.53651165465305</v>
      </c>
      <c r="O1571" s="662">
        <f t="shared" si="1781"/>
        <v>2298.6775477044621</v>
      </c>
      <c r="P1571" s="313">
        <f t="shared" ref="P1571" si="1809">100*O1571/$G$1529</f>
        <v>406.44992444601934</v>
      </c>
      <c r="Q1571" s="662">
        <f t="shared" si="1773"/>
        <v>2415.2204993730784</v>
      </c>
      <c r="R1571" s="313">
        <f t="shared" ref="R1571" si="1810">100*Q1571/$G$1529</f>
        <v>427.05693561543251</v>
      </c>
      <c r="S1571" s="662"/>
      <c r="T1571" s="313"/>
    </row>
    <row r="1572" spans="2:20" ht="15.75" thickBot="1">
      <c r="B1572" s="314" t="s">
        <v>11</v>
      </c>
      <c r="C1572" s="315">
        <f t="shared" si="1769"/>
        <v>1538.8056000000001</v>
      </c>
      <c r="D1572" s="317">
        <f>100*C1572/$G$1529</f>
        <v>272.09010697551065</v>
      </c>
      <c r="E1572" s="682">
        <f>$E$1564*(1.09+0.01)</f>
        <v>1692.6861600000002</v>
      </c>
      <c r="F1572" s="317">
        <f t="shared" si="1785"/>
        <v>299.29911767306169</v>
      </c>
      <c r="G1572" s="682">
        <f>[101]PLANCUSce!$H$42+40.021896513555</f>
        <v>1819.6376220000002</v>
      </c>
      <c r="H1572" s="317">
        <f t="shared" si="1786"/>
        <v>321.74655149854129</v>
      </c>
      <c r="I1572" s="682">
        <f t="shared" si="1776"/>
        <v>1983.4050079799997</v>
      </c>
      <c r="J1572" s="317">
        <f t="shared" si="1787"/>
        <v>350.70374113340995</v>
      </c>
      <c r="K1572" s="682">
        <f t="shared" si="1777"/>
        <v>2156.3579246758559</v>
      </c>
      <c r="L1572" s="317">
        <f t="shared" ref="L1572" si="1811">100*K1572/$G$1529</f>
        <v>381.28510736024333</v>
      </c>
      <c r="M1572" s="682">
        <f t="shared" si="1779"/>
        <v>2242.61224166289</v>
      </c>
      <c r="N1572" s="317">
        <f t="shared" ref="N1572" si="1812">100*M1572/$G$1529</f>
        <v>396.53651165465305</v>
      </c>
      <c r="O1572" s="682">
        <f t="shared" si="1781"/>
        <v>2298.6775477044621</v>
      </c>
      <c r="P1572" s="317">
        <f t="shared" ref="P1572" si="1813">100*O1572/$G$1529</f>
        <v>406.44992444601934</v>
      </c>
      <c r="Q1572" s="682">
        <f t="shared" si="1773"/>
        <v>2415.2204993730784</v>
      </c>
      <c r="R1572" s="317">
        <f t="shared" ref="R1572" si="1814">100*Q1572/$G$1529</f>
        <v>427.05693561543251</v>
      </c>
      <c r="S1572" s="682"/>
      <c r="T1572" s="317"/>
    </row>
    <row r="1573" spans="2:20">
      <c r="B1573" s="119"/>
      <c r="C1573" s="123"/>
      <c r="D1573" s="123"/>
      <c r="E1573" s="118"/>
      <c r="F1573" s="123"/>
      <c r="G1573" s="118"/>
      <c r="H1573" s="123"/>
      <c r="I1573" s="118"/>
      <c r="J1573" s="123"/>
      <c r="K1573" s="118"/>
      <c r="L1573" s="123"/>
      <c r="M1573" s="118"/>
      <c r="N1573" s="132"/>
      <c r="O1573" s="132"/>
      <c r="P1573" s="132"/>
      <c r="Q1573" s="180"/>
      <c r="R1573" s="123"/>
      <c r="S1573" s="119"/>
      <c r="T1573" s="132"/>
    </row>
    <row r="1574" spans="2:20">
      <c r="B1574" s="198"/>
      <c r="C1574" s="200"/>
      <c r="D1574" s="200"/>
      <c r="E1574" s="199"/>
      <c r="F1574" s="200"/>
      <c r="G1574" s="199"/>
      <c r="H1574" s="200"/>
      <c r="I1574" s="199"/>
      <c r="J1574" s="200"/>
      <c r="K1574" s="199"/>
      <c r="L1574" s="200"/>
      <c r="M1574" s="199"/>
      <c r="N1574" s="201"/>
      <c r="O1574" s="132"/>
      <c r="P1574" s="132"/>
      <c r="Q1574" s="180"/>
      <c r="R1574" s="123"/>
      <c r="S1574" s="119"/>
      <c r="T1574" s="132"/>
    </row>
    <row r="1575" spans="2:20" ht="15" customHeight="1" thickBot="1">
      <c r="B1575" s="119"/>
      <c r="C1575" s="118"/>
      <c r="D1575" s="124"/>
      <c r="E1575" s="118"/>
      <c r="F1575" s="119"/>
      <c r="G1575" s="122"/>
      <c r="H1575" s="119"/>
      <c r="I1575" s="122"/>
      <c r="J1575" s="119"/>
      <c r="K1575" s="122"/>
      <c r="L1575" s="119"/>
      <c r="M1575" s="122"/>
      <c r="N1575" s="119"/>
      <c r="O1575" s="119"/>
      <c r="P1575" s="119"/>
      <c r="Q1575" s="180"/>
      <c r="R1575" s="123"/>
      <c r="S1575" s="119"/>
      <c r="T1575" s="132"/>
    </row>
    <row r="1576" spans="2:20" s="542" customFormat="1" ht="28.5" thickBot="1">
      <c r="B1576" s="622" t="s">
        <v>14</v>
      </c>
      <c r="C1576" s="545"/>
      <c r="D1576" s="546"/>
      <c r="E1576" s="546"/>
      <c r="F1576" s="546"/>
      <c r="G1576" s="549"/>
      <c r="H1576" s="614">
        <v>278.68</v>
      </c>
      <c r="I1576" s="547" t="s">
        <v>57</v>
      </c>
      <c r="J1576" s="546"/>
      <c r="K1576" s="550"/>
      <c r="L1576" s="546" t="s">
        <v>42</v>
      </c>
      <c r="M1576" s="550"/>
      <c r="N1576" s="551"/>
      <c r="Q1576" s="608"/>
      <c r="R1576" s="609"/>
      <c r="T1576" s="610"/>
    </row>
    <row r="1577" spans="2:20" ht="15.75" thickBot="1">
      <c r="B1577" s="1306">
        <v>2000</v>
      </c>
      <c r="C1577" s="1307"/>
      <c r="D1577" s="336" t="s">
        <v>15</v>
      </c>
      <c r="E1577" s="336">
        <v>2001</v>
      </c>
      <c r="F1577" s="336" t="s">
        <v>15</v>
      </c>
      <c r="G1577" s="336">
        <v>2002</v>
      </c>
      <c r="H1577" s="336" t="s">
        <v>15</v>
      </c>
      <c r="I1577" s="336">
        <v>2003</v>
      </c>
      <c r="J1577" s="336" t="s">
        <v>15</v>
      </c>
      <c r="K1577" s="336">
        <v>2004</v>
      </c>
      <c r="L1577" s="336" t="s">
        <v>15</v>
      </c>
      <c r="M1577" s="336">
        <v>2005</v>
      </c>
      <c r="N1577" s="354" t="s">
        <v>15</v>
      </c>
      <c r="O1577" s="124"/>
      <c r="P1577" s="124"/>
      <c r="Q1577" s="180"/>
      <c r="R1577" s="123"/>
      <c r="S1577" s="119"/>
      <c r="T1577" s="132"/>
    </row>
    <row r="1578" spans="2:20">
      <c r="B1578" s="306" t="s">
        <v>0</v>
      </c>
      <c r="C1578" s="307"/>
      <c r="D1578" s="308"/>
      <c r="E1578" s="307">
        <v>330.6</v>
      </c>
      <c r="F1578" s="308">
        <f t="shared" ref="F1578:F1589" si="1815">100*E1578/$H$1576</f>
        <v>118.63068752691258</v>
      </c>
      <c r="G1578" s="307">
        <v>339.96</v>
      </c>
      <c r="H1578" s="308">
        <f t="shared" ref="H1578:H1589" si="1816">100*G1578/$H$1576</f>
        <v>121.98937849863643</v>
      </c>
      <c r="I1578" s="308">
        <v>365.18</v>
      </c>
      <c r="J1578" s="308">
        <f t="shared" ref="J1578:J1589" si="1817">100*I1578/$H$1576</f>
        <v>131.03918472800345</v>
      </c>
      <c r="K1578" s="308">
        <v>392.16</v>
      </c>
      <c r="L1578" s="308">
        <f t="shared" ref="L1578:L1589" si="1818">100*K1578/$H$1576</f>
        <v>140.72053968709631</v>
      </c>
      <c r="M1578" s="623">
        <v>459.09</v>
      </c>
      <c r="N1578" s="309">
        <f t="shared" ref="N1578:N1589" si="1819">100*M1578/$H$1576</f>
        <v>164.73733314195493</v>
      </c>
      <c r="O1578" s="123"/>
      <c r="P1578" s="123"/>
      <c r="Q1578" s="180"/>
      <c r="R1578" s="123"/>
      <c r="S1578" s="119"/>
      <c r="T1578" s="132"/>
    </row>
    <row r="1579" spans="2:20">
      <c r="B1579" s="310" t="s">
        <v>1</v>
      </c>
      <c r="C1579" s="311"/>
      <c r="D1579" s="312"/>
      <c r="E1579" s="311">
        <v>334.3</v>
      </c>
      <c r="F1579" s="312">
        <f t="shared" si="1815"/>
        <v>119.95837519735898</v>
      </c>
      <c r="G1579" s="311">
        <v>336.81</v>
      </c>
      <c r="H1579" s="312">
        <f t="shared" si="1816"/>
        <v>120.85904980622936</v>
      </c>
      <c r="I1579" s="311">
        <v>373.45</v>
      </c>
      <c r="J1579" s="312">
        <f t="shared" si="1817"/>
        <v>134.00674608870389</v>
      </c>
      <c r="K1579" s="311">
        <v>392.16</v>
      </c>
      <c r="L1579" s="312">
        <f t="shared" si="1818"/>
        <v>140.72053968709631</v>
      </c>
      <c r="M1579" s="356">
        <v>465.42</v>
      </c>
      <c r="N1579" s="313">
        <f t="shared" si="1819"/>
        <v>167.00875556193483</v>
      </c>
      <c r="O1579" s="123"/>
      <c r="P1579" s="123"/>
      <c r="Q1579" s="180"/>
      <c r="R1579" s="123"/>
      <c r="S1579" s="119"/>
      <c r="T1579" s="132"/>
    </row>
    <row r="1580" spans="2:20">
      <c r="B1580" s="310" t="s">
        <v>2</v>
      </c>
      <c r="C1580" s="311"/>
      <c r="D1580" s="312"/>
      <c r="E1580" s="311">
        <v>332.75</v>
      </c>
      <c r="F1580" s="312">
        <f t="shared" si="1815"/>
        <v>119.4021817137936</v>
      </c>
      <c r="G1580" s="311">
        <v>335.94</v>
      </c>
      <c r="H1580" s="312">
        <f t="shared" si="1816"/>
        <v>120.5468637864217</v>
      </c>
      <c r="I1580" s="311">
        <v>377.95</v>
      </c>
      <c r="J1580" s="312">
        <f t="shared" si="1817"/>
        <v>135.62150136357113</v>
      </c>
      <c r="K1580" s="311">
        <v>392.16</v>
      </c>
      <c r="L1580" s="312">
        <f t="shared" si="1818"/>
        <v>140.72053968709631</v>
      </c>
      <c r="M1580" s="356">
        <v>472.98</v>
      </c>
      <c r="N1580" s="313">
        <f t="shared" si="1819"/>
        <v>169.72154442371178</v>
      </c>
      <c r="O1580" s="123"/>
      <c r="P1580" s="123"/>
      <c r="Q1580" s="180"/>
      <c r="R1580" s="123"/>
      <c r="S1580" s="119"/>
      <c r="T1580" s="132"/>
    </row>
    <row r="1581" spans="2:20">
      <c r="B1581" s="310" t="s">
        <v>3</v>
      </c>
      <c r="C1581" s="311">
        <v>278.68</v>
      </c>
      <c r="D1581" s="312">
        <v>100</v>
      </c>
      <c r="E1581" s="311">
        <v>336.65</v>
      </c>
      <c r="F1581" s="312">
        <f t="shared" si="1815"/>
        <v>120.8016362853452</v>
      </c>
      <c r="G1581" s="311">
        <v>336.21</v>
      </c>
      <c r="H1581" s="312">
        <f t="shared" si="1816"/>
        <v>120.64374910291373</v>
      </c>
      <c r="I1581" s="311">
        <v>377.01</v>
      </c>
      <c r="J1581" s="312">
        <f t="shared" si="1817"/>
        <v>135.28419692837662</v>
      </c>
      <c r="K1581" s="311">
        <v>396.79</v>
      </c>
      <c r="L1581" s="312">
        <f t="shared" si="1818"/>
        <v>142.38194344768192</v>
      </c>
      <c r="M1581" s="356">
        <v>472.32</v>
      </c>
      <c r="N1581" s="313">
        <f t="shared" si="1819"/>
        <v>169.48471365006458</v>
      </c>
      <c r="O1581" s="123"/>
      <c r="P1581" s="123"/>
      <c r="Q1581" s="180"/>
      <c r="R1581" s="123"/>
      <c r="S1581" s="119"/>
      <c r="T1581" s="132"/>
    </row>
    <row r="1582" spans="2:20">
      <c r="B1582" s="310" t="s">
        <v>4</v>
      </c>
      <c r="C1582" s="311">
        <v>366.28</v>
      </c>
      <c r="D1582" s="312">
        <f t="shared" ref="D1582:D1589" si="1820">100*C1582/278.68</f>
        <v>131.43390268408208</v>
      </c>
      <c r="E1582" s="311">
        <v>337.41</v>
      </c>
      <c r="F1582" s="312">
        <f t="shared" si="1815"/>
        <v>121.074350509545</v>
      </c>
      <c r="G1582" s="311">
        <v>337.37</v>
      </c>
      <c r="H1582" s="312">
        <f t="shared" si="1816"/>
        <v>121.05999712932395</v>
      </c>
      <c r="I1582" s="311">
        <v>378.98</v>
      </c>
      <c r="J1582" s="312">
        <f t="shared" si="1817"/>
        <v>135.99110090426296</v>
      </c>
      <c r="K1582" s="311">
        <v>413.92</v>
      </c>
      <c r="L1582" s="312">
        <f t="shared" si="1818"/>
        <v>148.52877852734318</v>
      </c>
      <c r="M1582" s="385">
        <v>478.04</v>
      </c>
      <c r="N1582" s="313">
        <f t="shared" si="1819"/>
        <v>171.53724702167361</v>
      </c>
      <c r="O1582" s="123"/>
      <c r="P1582" s="123"/>
      <c r="Q1582" s="180"/>
      <c r="R1582" s="123"/>
      <c r="S1582" s="119"/>
      <c r="T1582" s="132"/>
    </row>
    <row r="1583" spans="2:20">
      <c r="B1583" s="310" t="s">
        <v>5</v>
      </c>
      <c r="C1583" s="311">
        <v>348.22</v>
      </c>
      <c r="D1583" s="312">
        <f t="shared" si="1820"/>
        <v>124.95335151428161</v>
      </c>
      <c r="E1583" s="311">
        <v>340.43</v>
      </c>
      <c r="F1583" s="312">
        <f t="shared" si="1815"/>
        <v>122.15803071623367</v>
      </c>
      <c r="G1583" s="311">
        <v>337.44</v>
      </c>
      <c r="H1583" s="312">
        <f t="shared" si="1816"/>
        <v>121.08511554471077</v>
      </c>
      <c r="I1583" s="311">
        <v>375.64</v>
      </c>
      <c r="J1583" s="312">
        <f t="shared" si="1817"/>
        <v>134.79259365580594</v>
      </c>
      <c r="K1583" s="311">
        <v>425.86</v>
      </c>
      <c r="L1583" s="312">
        <f t="shared" si="1818"/>
        <v>152.81326252332423</v>
      </c>
      <c r="M1583" s="385">
        <v>484.01</v>
      </c>
      <c r="N1583" s="313">
        <f t="shared" si="1819"/>
        <v>173.67948901966412</v>
      </c>
      <c r="O1583" s="123"/>
      <c r="P1583" s="123"/>
      <c r="Q1583" s="180"/>
      <c r="R1583" s="123"/>
      <c r="S1583" s="119"/>
      <c r="T1583" s="132"/>
    </row>
    <row r="1584" spans="2:20">
      <c r="B1584" s="310" t="s">
        <v>6</v>
      </c>
      <c r="C1584" s="311">
        <v>343.71</v>
      </c>
      <c r="D1584" s="312">
        <f t="shared" si="1820"/>
        <v>123.33500789435912</v>
      </c>
      <c r="E1584" s="311">
        <v>337.68</v>
      </c>
      <c r="F1584" s="312">
        <f t="shared" si="1815"/>
        <v>121.17123582603703</v>
      </c>
      <c r="G1584" s="311">
        <v>341.3</v>
      </c>
      <c r="H1584" s="312">
        <f t="shared" si="1816"/>
        <v>122.47021673604134</v>
      </c>
      <c r="I1584" s="311">
        <v>384.27</v>
      </c>
      <c r="J1584" s="312">
        <f t="shared" si="1817"/>
        <v>137.88933543849575</v>
      </c>
      <c r="K1584" s="311">
        <v>432.11</v>
      </c>
      <c r="L1584" s="312">
        <f t="shared" si="1818"/>
        <v>155.05597818286205</v>
      </c>
      <c r="M1584" s="385">
        <v>487.65</v>
      </c>
      <c r="N1584" s="313">
        <f t="shared" si="1819"/>
        <v>174.98564661977895</v>
      </c>
      <c r="O1584" s="123"/>
      <c r="P1584" s="123"/>
      <c r="Q1584" s="180"/>
      <c r="R1584" s="123"/>
      <c r="S1584" s="119"/>
      <c r="T1584" s="132"/>
    </row>
    <row r="1585" spans="2:20">
      <c r="B1585" s="310" t="s">
        <v>7</v>
      </c>
      <c r="C1585" s="311">
        <v>342.03</v>
      </c>
      <c r="D1585" s="312">
        <f t="shared" si="1820"/>
        <v>122.73216592507535</v>
      </c>
      <c r="E1585" s="311">
        <v>338.56</v>
      </c>
      <c r="F1585" s="312">
        <f t="shared" si="1815"/>
        <v>121.48701019089995</v>
      </c>
      <c r="G1585" s="311">
        <v>341.71</v>
      </c>
      <c r="H1585" s="312">
        <f t="shared" si="1816"/>
        <v>122.61733888330701</v>
      </c>
      <c r="I1585" s="311">
        <v>390.15</v>
      </c>
      <c r="J1585" s="312">
        <f t="shared" si="1817"/>
        <v>139.99928233098893</v>
      </c>
      <c r="K1585" s="311">
        <v>434.6</v>
      </c>
      <c r="L1585" s="312">
        <f t="shared" si="1818"/>
        <v>155.94947610162194</v>
      </c>
      <c r="M1585" s="385">
        <v>500.09</v>
      </c>
      <c r="N1585" s="313">
        <f t="shared" si="1819"/>
        <v>179.44954786852304</v>
      </c>
      <c r="O1585" s="123"/>
      <c r="P1585" s="123"/>
      <c r="Q1585" s="180"/>
      <c r="R1585" s="123"/>
      <c r="S1585" s="119"/>
      <c r="T1585" s="132"/>
    </row>
    <row r="1586" spans="2:20">
      <c r="B1586" s="310" t="s">
        <v>8</v>
      </c>
      <c r="C1586" s="311">
        <v>340.07</v>
      </c>
      <c r="D1586" s="312">
        <f t="shared" si="1820"/>
        <v>122.02885029424429</v>
      </c>
      <c r="E1586" s="311">
        <v>340.31</v>
      </c>
      <c r="F1586" s="312">
        <f t="shared" si="1815"/>
        <v>122.11497057557054</v>
      </c>
      <c r="G1586" s="311">
        <v>342.67</v>
      </c>
      <c r="H1586" s="312">
        <f t="shared" si="1816"/>
        <v>122.96182000861202</v>
      </c>
      <c r="I1586" s="311">
        <v>393.26</v>
      </c>
      <c r="J1586" s="312">
        <f t="shared" si="1817"/>
        <v>141.11525764317497</v>
      </c>
      <c r="K1586" s="311">
        <v>434.62</v>
      </c>
      <c r="L1586" s="312">
        <f t="shared" si="1818"/>
        <v>155.95665279173244</v>
      </c>
      <c r="M1586" s="385">
        <v>497.06</v>
      </c>
      <c r="N1586" s="313">
        <f t="shared" si="1819"/>
        <v>178.36227931677911</v>
      </c>
      <c r="O1586" s="123"/>
      <c r="P1586" s="123"/>
      <c r="Q1586" s="180"/>
      <c r="R1586" s="123"/>
      <c r="S1586" s="119"/>
      <c r="T1586" s="132"/>
    </row>
    <row r="1587" spans="2:20">
      <c r="B1587" s="310" t="s">
        <v>9</v>
      </c>
      <c r="C1587" s="311">
        <v>348.72</v>
      </c>
      <c r="D1587" s="312">
        <f t="shared" si="1820"/>
        <v>125.13276876704464</v>
      </c>
      <c r="E1587" s="311">
        <v>336.85</v>
      </c>
      <c r="F1587" s="312">
        <f t="shared" si="1815"/>
        <v>120.8734031864504</v>
      </c>
      <c r="G1587" s="311">
        <v>347.59</v>
      </c>
      <c r="H1587" s="312">
        <f t="shared" si="1816"/>
        <v>124.7272857758002</v>
      </c>
      <c r="I1587" s="311">
        <v>392.16</v>
      </c>
      <c r="J1587" s="312">
        <f t="shared" si="1817"/>
        <v>140.72053968709631</v>
      </c>
      <c r="K1587" s="311">
        <v>449.64</v>
      </c>
      <c r="L1587" s="312">
        <f t="shared" si="1818"/>
        <v>161.34634706473375</v>
      </c>
      <c r="M1587" s="385">
        <v>500.45</v>
      </c>
      <c r="N1587" s="313">
        <f t="shared" si="1819"/>
        <v>179.5787282905124</v>
      </c>
      <c r="O1587" s="123"/>
      <c r="P1587" s="123"/>
      <c r="Q1587" s="180"/>
      <c r="R1587" s="123"/>
      <c r="S1587" s="119"/>
      <c r="T1587" s="132"/>
    </row>
    <row r="1588" spans="2:20">
      <c r="B1588" s="310" t="s">
        <v>10</v>
      </c>
      <c r="C1588" s="311">
        <v>451.95</v>
      </c>
      <c r="D1588" s="312">
        <f t="shared" si="1820"/>
        <v>162.17525477249893</v>
      </c>
      <c r="E1588" s="311">
        <v>335.06</v>
      </c>
      <c r="F1588" s="312">
        <f t="shared" si="1815"/>
        <v>120.23108942155878</v>
      </c>
      <c r="G1588" s="311">
        <v>355.12</v>
      </c>
      <c r="H1588" s="312">
        <f t="shared" si="1816"/>
        <v>127.42930960241137</v>
      </c>
      <c r="I1588" s="311">
        <v>392.16</v>
      </c>
      <c r="J1588" s="312">
        <f t="shared" si="1817"/>
        <v>140.72053968709631</v>
      </c>
      <c r="K1588" s="311">
        <v>457.62</v>
      </c>
      <c r="L1588" s="312">
        <f t="shared" si="1818"/>
        <v>164.20984641883163</v>
      </c>
      <c r="M1588" s="385">
        <v>504.5</v>
      </c>
      <c r="N1588" s="313">
        <f t="shared" si="1819"/>
        <v>181.03200803789292</v>
      </c>
      <c r="O1588" s="123"/>
      <c r="P1588" s="123"/>
      <c r="Q1588" s="180"/>
      <c r="R1588" s="123"/>
      <c r="S1588" s="119"/>
      <c r="T1588" s="132"/>
    </row>
    <row r="1589" spans="2:20" ht="15.75" thickBot="1">
      <c r="B1589" s="314" t="s">
        <v>11</v>
      </c>
      <c r="C1589" s="315">
        <v>372.5</v>
      </c>
      <c r="D1589" s="316">
        <f t="shared" si="1820"/>
        <v>133.66585330845413</v>
      </c>
      <c r="E1589" s="315">
        <v>334.14</v>
      </c>
      <c r="F1589" s="316">
        <f t="shared" si="1815"/>
        <v>119.90096167647481</v>
      </c>
      <c r="G1589" s="315">
        <v>355.95</v>
      </c>
      <c r="H1589" s="316">
        <f t="shared" si="1816"/>
        <v>127.72714224199798</v>
      </c>
      <c r="I1589" s="315">
        <v>392.16</v>
      </c>
      <c r="J1589" s="316">
        <f t="shared" si="1817"/>
        <v>140.72053968709631</v>
      </c>
      <c r="K1589" s="315">
        <v>451.17</v>
      </c>
      <c r="L1589" s="316">
        <f t="shared" si="1818"/>
        <v>161.8953638581886</v>
      </c>
      <c r="M1589" s="386">
        <v>508.48</v>
      </c>
      <c r="N1589" s="317">
        <f t="shared" si="1819"/>
        <v>182.46016936988661</v>
      </c>
      <c r="O1589" s="123"/>
      <c r="P1589" s="123"/>
      <c r="Q1589" s="180"/>
      <c r="R1589" s="123"/>
      <c r="S1589" s="119"/>
      <c r="T1589" s="132"/>
    </row>
    <row r="1590" spans="2:20" ht="15.75" thickBot="1">
      <c r="C1590" s="119"/>
      <c r="D1590" s="119"/>
      <c r="E1590" s="119"/>
      <c r="F1590" s="119"/>
      <c r="G1590" s="119"/>
      <c r="H1590" s="119"/>
      <c r="I1590" s="119"/>
      <c r="J1590" s="119"/>
      <c r="K1590" s="119"/>
      <c r="L1590" s="119"/>
      <c r="M1590" s="119"/>
      <c r="N1590" s="119"/>
      <c r="O1590" s="119"/>
      <c r="P1590" s="119"/>
      <c r="Q1590" s="177"/>
      <c r="R1590" s="119"/>
      <c r="S1590" s="119"/>
      <c r="T1590" s="132"/>
    </row>
    <row r="1591" spans="2:20" ht="28.5" thickBot="1">
      <c r="B1591" s="622" t="s">
        <v>14</v>
      </c>
      <c r="C1591" s="545"/>
      <c r="D1591" s="546"/>
      <c r="E1591" s="546"/>
      <c r="F1591" s="546"/>
      <c r="G1591" s="549"/>
      <c r="H1591" s="614">
        <v>278.68</v>
      </c>
      <c r="I1591" s="547" t="s">
        <v>57</v>
      </c>
      <c r="J1591" s="546"/>
      <c r="K1591" s="550"/>
      <c r="L1591" s="546" t="s">
        <v>42</v>
      </c>
      <c r="M1591" s="550"/>
      <c r="N1591" s="551"/>
      <c r="O1591" s="119"/>
      <c r="P1591" s="119"/>
      <c r="Q1591" s="177"/>
      <c r="R1591" s="119"/>
      <c r="S1591" s="119"/>
      <c r="T1591" s="132"/>
    </row>
    <row r="1592" spans="2:20" ht="15.75" thickBot="1">
      <c r="B1592" s="1306">
        <v>2006</v>
      </c>
      <c r="C1592" s="1307"/>
      <c r="D1592" s="336" t="s">
        <v>15</v>
      </c>
      <c r="E1592" s="336">
        <v>2007</v>
      </c>
      <c r="F1592" s="336" t="s">
        <v>15</v>
      </c>
      <c r="G1592" s="336">
        <v>2008</v>
      </c>
      <c r="H1592" s="336" t="s">
        <v>15</v>
      </c>
      <c r="I1592" s="336">
        <v>2009</v>
      </c>
      <c r="J1592" s="336" t="s">
        <v>15</v>
      </c>
      <c r="K1592" s="336">
        <v>2010</v>
      </c>
      <c r="L1592" s="336" t="s">
        <v>15</v>
      </c>
      <c r="M1592" s="336">
        <v>2011</v>
      </c>
      <c r="N1592" s="354" t="s">
        <v>15</v>
      </c>
      <c r="O1592" s="124"/>
      <c r="P1592" s="124"/>
      <c r="Q1592" s="177"/>
      <c r="R1592" s="119"/>
      <c r="S1592" s="119"/>
      <c r="T1592" s="132"/>
    </row>
    <row r="1593" spans="2:20">
      <c r="B1593" s="306" t="s">
        <v>0</v>
      </c>
      <c r="C1593" s="307">
        <v>511.01</v>
      </c>
      <c r="D1593" s="308">
        <f>100*C1593/$H$1576</f>
        <v>183.3680206688675</v>
      </c>
      <c r="E1593" s="307">
        <v>541.29</v>
      </c>
      <c r="F1593" s="308">
        <f t="shared" ref="F1593:F1604" si="1821">100*E1593/$H$1576</f>
        <v>194.23352949619635</v>
      </c>
      <c r="G1593" s="307">
        <v>587.4101518841112</v>
      </c>
      <c r="H1593" s="308">
        <f t="shared" ref="H1593:H1604" si="1822">100*G1593/$H$1576</f>
        <v>210.78303139231778</v>
      </c>
      <c r="I1593" s="308">
        <v>613.65413528611123</v>
      </c>
      <c r="J1593" s="308">
        <f t="shared" ref="J1593:J1604" si="1823">100*I1593/$H$1576</f>
        <v>220.20027819940836</v>
      </c>
      <c r="K1593" s="308">
        <v>624.97107936703344</v>
      </c>
      <c r="L1593" s="308">
        <f t="shared" ref="L1593:L1604" si="1824">100*K1593/$H$1576</f>
        <v>224.26118823275206</v>
      </c>
      <c r="M1593" s="624">
        <v>636.11965907742785</v>
      </c>
      <c r="N1593" s="309">
        <f t="shared" ref="N1593:N1604" si="1825">100*M1593/$H$1576</f>
        <v>228.26168332044921</v>
      </c>
      <c r="O1593" s="123"/>
      <c r="P1593" s="174">
        <f>+G1599/G1594-1</f>
        <v>2.563042934952886E-2</v>
      </c>
      <c r="Q1593" s="177"/>
      <c r="R1593" s="119"/>
      <c r="S1593" s="119"/>
      <c r="T1593" s="132"/>
    </row>
    <row r="1594" spans="2:20">
      <c r="B1594" s="310" t="s">
        <v>1</v>
      </c>
      <c r="C1594" s="311">
        <v>523.65</v>
      </c>
      <c r="D1594" s="312">
        <f>100*C1594/$H$1576</f>
        <v>187.9036888187168</v>
      </c>
      <c r="E1594" s="311">
        <v>556.83000000000004</v>
      </c>
      <c r="F1594" s="312">
        <f t="shared" si="1821"/>
        <v>199.80981771207121</v>
      </c>
      <c r="G1594" s="311">
        <v>589.383839150889</v>
      </c>
      <c r="H1594" s="312">
        <f t="shared" si="1822"/>
        <v>211.49125848675507</v>
      </c>
      <c r="I1594" s="311">
        <v>612.84</v>
      </c>
      <c r="J1594" s="312">
        <f t="shared" si="1823"/>
        <v>219.90813836658532</v>
      </c>
      <c r="K1594" s="311">
        <v>631.77126267614449</v>
      </c>
      <c r="L1594" s="312">
        <f t="shared" si="1824"/>
        <v>226.70132864796341</v>
      </c>
      <c r="M1594" s="311">
        <v>643.36147440312232</v>
      </c>
      <c r="N1594" s="313">
        <f t="shared" si="1825"/>
        <v>230.86029654195576</v>
      </c>
      <c r="O1594" s="123"/>
      <c r="P1594" s="123"/>
      <c r="Q1594" s="177"/>
      <c r="R1594" s="119"/>
      <c r="S1594" s="119"/>
      <c r="T1594" s="132"/>
    </row>
    <row r="1595" spans="2:20">
      <c r="B1595" s="310" t="s">
        <v>2</v>
      </c>
      <c r="C1595" s="311">
        <v>523.65</v>
      </c>
      <c r="D1595" s="312">
        <f>100*C1595/$H$1576</f>
        <v>187.9036888187168</v>
      </c>
      <c r="E1595" s="311">
        <v>555.03</v>
      </c>
      <c r="F1595" s="312">
        <f t="shared" si="1821"/>
        <v>199.16391560212429</v>
      </c>
      <c r="G1595" s="311">
        <v>593.25334988977784</v>
      </c>
      <c r="H1595" s="312">
        <f t="shared" si="1822"/>
        <v>212.87977245937196</v>
      </c>
      <c r="I1595" s="311">
        <v>612.22721764750008</v>
      </c>
      <c r="J1595" s="312">
        <f t="shared" si="1823"/>
        <v>219.68825091413092</v>
      </c>
      <c r="K1595" s="311">
        <v>601.94705948043338</v>
      </c>
      <c r="L1595" s="312">
        <f t="shared" si="1824"/>
        <v>215.99937544152195</v>
      </c>
      <c r="M1595" s="311">
        <v>643.36147440312232</v>
      </c>
      <c r="N1595" s="313">
        <f t="shared" si="1825"/>
        <v>230.86029654195576</v>
      </c>
      <c r="O1595" s="123"/>
      <c r="P1595" s="123"/>
      <c r="Q1595" s="177"/>
      <c r="R1595" s="119"/>
      <c r="S1595" s="119"/>
      <c r="T1595" s="132"/>
    </row>
    <row r="1596" spans="2:20">
      <c r="B1596" s="310" t="s">
        <v>3</v>
      </c>
      <c r="C1596" s="311">
        <v>526.57000000000005</v>
      </c>
      <c r="D1596" s="312">
        <f>100*C1596/$H$1576</f>
        <v>188.95148557485291</v>
      </c>
      <c r="E1596" s="311">
        <v>552.30999999999995</v>
      </c>
      <c r="F1596" s="312">
        <f t="shared" si="1821"/>
        <v>198.18788574709342</v>
      </c>
      <c r="G1596" s="311">
        <v>594.06467034561115</v>
      </c>
      <c r="H1596" s="312">
        <f t="shared" si="1822"/>
        <v>213.17090223396409</v>
      </c>
      <c r="I1596" s="311">
        <v>613.84923728916669</v>
      </c>
      <c r="J1596" s="312">
        <f t="shared" si="1823"/>
        <v>220.2702875302019</v>
      </c>
      <c r="K1596" s="311">
        <v>600.5119884187668</v>
      </c>
      <c r="L1596" s="312">
        <f t="shared" si="1824"/>
        <v>215.48442242671408</v>
      </c>
      <c r="M1596" s="311">
        <v>644.11949129912239</v>
      </c>
      <c r="N1596" s="313">
        <f t="shared" si="1825"/>
        <v>231.13229916001234</v>
      </c>
      <c r="O1596" s="123"/>
      <c r="P1596" s="123"/>
      <c r="Q1596" s="177"/>
      <c r="R1596" s="119"/>
      <c r="S1596" s="119"/>
      <c r="T1596" s="132"/>
    </row>
    <row r="1597" spans="2:20">
      <c r="B1597" s="310" t="s">
        <v>4</v>
      </c>
      <c r="C1597" s="311">
        <v>529.24</v>
      </c>
      <c r="D1597" s="312">
        <f t="shared" ref="D1597:D1604" si="1826">100*C1597/278.68</f>
        <v>189.90957370460742</v>
      </c>
      <c r="E1597" s="311">
        <v>559.13</v>
      </c>
      <c r="F1597" s="312">
        <f t="shared" si="1821"/>
        <v>200.63513707478111</v>
      </c>
      <c r="G1597" s="311">
        <v>598.16095158011115</v>
      </c>
      <c r="H1597" s="312">
        <f t="shared" si="1822"/>
        <v>214.64078928524154</v>
      </c>
      <c r="I1597" s="311">
        <v>615.57312624888903</v>
      </c>
      <c r="J1597" s="312">
        <f t="shared" si="1823"/>
        <v>220.88887837264568</v>
      </c>
      <c r="K1597" s="311">
        <v>609.81431982319339</v>
      </c>
      <c r="L1597" s="312">
        <f t="shared" si="1824"/>
        <v>218.82241991646094</v>
      </c>
      <c r="M1597" s="311">
        <v>644.11949129912239</v>
      </c>
      <c r="N1597" s="313">
        <f t="shared" si="1825"/>
        <v>231.13229916001234</v>
      </c>
      <c r="O1597" s="123"/>
      <c r="P1597" s="123"/>
      <c r="Q1597" s="177"/>
      <c r="R1597" s="119"/>
      <c r="S1597" s="119"/>
      <c r="T1597" s="132"/>
    </row>
    <row r="1598" spans="2:20">
      <c r="B1598" s="310" t="s">
        <v>5</v>
      </c>
      <c r="C1598" s="311">
        <v>530.66999999999996</v>
      </c>
      <c r="D1598" s="312">
        <f t="shared" si="1826"/>
        <v>190.42270704750965</v>
      </c>
      <c r="E1598" s="311">
        <v>563.8387695389755</v>
      </c>
      <c r="F1598" s="312">
        <f t="shared" si="1821"/>
        <v>202.32480606393551</v>
      </c>
      <c r="G1598" s="311">
        <v>600.98</v>
      </c>
      <c r="H1598" s="312">
        <f t="shared" si="1822"/>
        <v>215.65236113104635</v>
      </c>
      <c r="I1598" s="311">
        <v>614.66230373527787</v>
      </c>
      <c r="J1598" s="312">
        <f t="shared" si="1823"/>
        <v>220.56204382635204</v>
      </c>
      <c r="K1598" s="311">
        <v>610.85904072263781</v>
      </c>
      <c r="L1598" s="312">
        <f t="shared" si="1824"/>
        <v>219.19730182382582</v>
      </c>
      <c r="M1598" s="311">
        <v>646.21</v>
      </c>
      <c r="N1598" s="313">
        <f t="shared" si="1825"/>
        <v>231.88244581598966</v>
      </c>
      <c r="O1598" s="123"/>
      <c r="P1598" s="123"/>
      <c r="Q1598" s="177"/>
      <c r="R1598" s="119"/>
      <c r="S1598" s="119"/>
      <c r="T1598" s="132"/>
    </row>
    <row r="1599" spans="2:20">
      <c r="B1599" s="310" t="s">
        <v>6</v>
      </c>
      <c r="C1599" s="311">
        <v>529.24</v>
      </c>
      <c r="D1599" s="312">
        <f t="shared" si="1826"/>
        <v>189.90957370460742</v>
      </c>
      <c r="E1599" s="311">
        <v>563.8387695389755</v>
      </c>
      <c r="F1599" s="312">
        <f t="shared" si="1821"/>
        <v>202.32480606393551</v>
      </c>
      <c r="G1599" s="311">
        <v>604.49</v>
      </c>
      <c r="H1599" s="312">
        <f t="shared" si="1822"/>
        <v>216.9118702454428</v>
      </c>
      <c r="I1599" s="311">
        <v>614.32000000000005</v>
      </c>
      <c r="J1599" s="312">
        <f t="shared" si="1823"/>
        <v>220.4392134347639</v>
      </c>
      <c r="K1599" s="311">
        <v>613.54682267302667</v>
      </c>
      <c r="L1599" s="312">
        <f t="shared" si="1824"/>
        <v>220.16177073095545</v>
      </c>
      <c r="M1599" s="311">
        <v>646.21</v>
      </c>
      <c r="N1599" s="313">
        <f t="shared" si="1825"/>
        <v>231.88244581598966</v>
      </c>
      <c r="O1599" s="123"/>
      <c r="P1599" s="123"/>
      <c r="Q1599" s="177"/>
      <c r="R1599" s="119"/>
      <c r="S1599" s="119"/>
      <c r="T1599" s="132"/>
    </row>
    <row r="1600" spans="2:20">
      <c r="B1600" s="310" t="s">
        <v>7</v>
      </c>
      <c r="C1600" s="311">
        <v>528.41999999999996</v>
      </c>
      <c r="D1600" s="312">
        <f t="shared" si="1826"/>
        <v>189.61532941007604</v>
      </c>
      <c r="E1600" s="311">
        <v>573.36859357333333</v>
      </c>
      <c r="F1600" s="312">
        <f t="shared" si="1821"/>
        <v>205.7444357590546</v>
      </c>
      <c r="G1600" s="311">
        <v>608.98881837083343</v>
      </c>
      <c r="H1600" s="312">
        <f t="shared" si="1822"/>
        <v>218.52620151099231</v>
      </c>
      <c r="I1600" s="311">
        <v>615.9</v>
      </c>
      <c r="J1600" s="312">
        <f t="shared" si="1823"/>
        <v>221.00617195349506</v>
      </c>
      <c r="K1600" s="311">
        <v>619.53566288957791</v>
      </c>
      <c r="L1600" s="312">
        <f t="shared" si="1824"/>
        <v>222.31077324873615</v>
      </c>
      <c r="M1600" s="311">
        <v>646.21</v>
      </c>
      <c r="N1600" s="313">
        <f t="shared" si="1825"/>
        <v>231.88244581598966</v>
      </c>
      <c r="O1600" s="123"/>
      <c r="P1600" s="123"/>
      <c r="Q1600" s="177"/>
      <c r="R1600" s="119"/>
      <c r="S1600" s="119"/>
      <c r="T1600" s="132"/>
    </row>
    <row r="1601" spans="2:20">
      <c r="B1601" s="310" t="s">
        <v>8</v>
      </c>
      <c r="C1601" s="311">
        <v>542.30999999999995</v>
      </c>
      <c r="D1601" s="312">
        <f t="shared" si="1826"/>
        <v>194.59954069183289</v>
      </c>
      <c r="E1601" s="311">
        <v>573.58469844166655</v>
      </c>
      <c r="F1601" s="312">
        <f t="shared" si="1821"/>
        <v>205.82198164262471</v>
      </c>
      <c r="G1601" s="311">
        <v>611.00166733666686</v>
      </c>
      <c r="H1601" s="312">
        <f t="shared" si="1822"/>
        <v>219.24848117434578</v>
      </c>
      <c r="I1601" s="311">
        <v>617.40870276583337</v>
      </c>
      <c r="J1601" s="312">
        <f t="shared" si="1823"/>
        <v>221.54754656445866</v>
      </c>
      <c r="K1601" s="311">
        <v>619.53566288957791</v>
      </c>
      <c r="L1601" s="312">
        <f t="shared" si="1824"/>
        <v>222.31077324873615</v>
      </c>
      <c r="M1601" s="311">
        <v>646.21</v>
      </c>
      <c r="N1601" s="313">
        <f t="shared" si="1825"/>
        <v>231.88244581598966</v>
      </c>
      <c r="O1601" s="123"/>
      <c r="P1601" s="123"/>
      <c r="Q1601" s="177"/>
      <c r="R1601" s="119"/>
      <c r="S1601" s="119"/>
      <c r="T1601" s="132"/>
    </row>
    <row r="1602" spans="2:20">
      <c r="B1602" s="310" t="s">
        <v>9</v>
      </c>
      <c r="C1602" s="311">
        <v>544.58000000000004</v>
      </c>
      <c r="D1602" s="312">
        <f t="shared" si="1826"/>
        <v>195.41409501937707</v>
      </c>
      <c r="E1602" s="311">
        <v>575.61096635833326</v>
      </c>
      <c r="F1602" s="312">
        <f t="shared" si="1821"/>
        <v>206.54907648856511</v>
      </c>
      <c r="G1602" s="311">
        <v>616.54911947416679</v>
      </c>
      <c r="H1602" s="312">
        <f t="shared" si="1822"/>
        <v>221.23909841903503</v>
      </c>
      <c r="I1602" s="311">
        <v>621.34555738305562</v>
      </c>
      <c r="J1602" s="312">
        <f t="shared" si="1823"/>
        <v>222.96022584435755</v>
      </c>
      <c r="K1602" s="311">
        <v>619.74306473473337</v>
      </c>
      <c r="L1602" s="312">
        <f t="shared" si="1824"/>
        <v>222.38519618728768</v>
      </c>
      <c r="M1602" s="311">
        <v>646.20893309801113</v>
      </c>
      <c r="N1602" s="313">
        <f t="shared" si="1825"/>
        <v>231.88206297474204</v>
      </c>
      <c r="O1602" s="123"/>
      <c r="P1602" s="123"/>
      <c r="Q1602" s="177"/>
      <c r="R1602" s="119"/>
      <c r="S1602" s="119"/>
      <c r="T1602" s="132"/>
    </row>
    <row r="1603" spans="2:20">
      <c r="B1603" s="310" t="s">
        <v>10</v>
      </c>
      <c r="C1603" s="311">
        <v>536.54</v>
      </c>
      <c r="D1603" s="312">
        <f t="shared" si="1826"/>
        <v>192.52906559494761</v>
      </c>
      <c r="E1603" s="311">
        <v>577.42461279166685</v>
      </c>
      <c r="F1603" s="312">
        <f t="shared" si="1821"/>
        <v>207.19987540966946</v>
      </c>
      <c r="G1603" s="311">
        <v>618.28728102555567</v>
      </c>
      <c r="H1603" s="312">
        <f t="shared" si="1822"/>
        <v>221.86281075985204</v>
      </c>
      <c r="I1603" s="311">
        <v>623.94563701672234</v>
      </c>
      <c r="J1603" s="312">
        <f t="shared" si="1823"/>
        <v>223.89322413403269</v>
      </c>
      <c r="K1603" s="311">
        <v>627.44313263677509</v>
      </c>
      <c r="L1603" s="312">
        <f t="shared" si="1824"/>
        <v>225.14824624543388</v>
      </c>
      <c r="M1603" s="311">
        <v>646.20893309801113</v>
      </c>
      <c r="N1603" s="313">
        <f t="shared" si="1825"/>
        <v>231.88206297474204</v>
      </c>
      <c r="O1603" s="123"/>
      <c r="P1603" s="123"/>
      <c r="Q1603" s="177"/>
      <c r="R1603" s="119"/>
      <c r="S1603" s="119"/>
      <c r="T1603" s="132"/>
    </row>
    <row r="1604" spans="2:20" ht="15.75" thickBot="1">
      <c r="B1604" s="314" t="s">
        <v>11</v>
      </c>
      <c r="C1604" s="315">
        <v>536.44000000000005</v>
      </c>
      <c r="D1604" s="316">
        <f t="shared" si="1826"/>
        <v>192.49318214439504</v>
      </c>
      <c r="E1604" s="315">
        <v>578.72176591952393</v>
      </c>
      <c r="F1604" s="316">
        <f t="shared" si="1821"/>
        <v>207.66533871089561</v>
      </c>
      <c r="G1604" s="315">
        <v>617.2768874241666</v>
      </c>
      <c r="H1604" s="316">
        <f t="shared" si="1822"/>
        <v>221.50024667151092</v>
      </c>
      <c r="I1604" s="315">
        <v>625.88238445561126</v>
      </c>
      <c r="J1604" s="316">
        <f t="shared" si="1823"/>
        <v>224.58819594359525</v>
      </c>
      <c r="K1604" s="315">
        <v>629.37824066642781</v>
      </c>
      <c r="L1604" s="316">
        <f t="shared" si="1824"/>
        <v>225.84262977839379</v>
      </c>
      <c r="M1604" s="315">
        <v>646.20893309801113</v>
      </c>
      <c r="N1604" s="317">
        <f t="shared" si="1825"/>
        <v>231.88206297474204</v>
      </c>
      <c r="O1604" s="123"/>
      <c r="P1604" s="123"/>
      <c r="Q1604" s="177"/>
      <c r="R1604" s="119"/>
      <c r="S1604" s="119"/>
      <c r="T1604" s="132"/>
    </row>
    <row r="1605" spans="2:20">
      <c r="B1605" s="119"/>
      <c r="C1605" s="118"/>
      <c r="D1605" s="123"/>
      <c r="E1605" s="118"/>
      <c r="F1605" s="123"/>
      <c r="G1605" s="118"/>
      <c r="H1605" s="123"/>
      <c r="I1605" s="118"/>
      <c r="J1605" s="123"/>
      <c r="K1605" s="118"/>
      <c r="L1605" s="123"/>
      <c r="M1605" s="122"/>
      <c r="N1605" s="123"/>
      <c r="O1605" s="123"/>
      <c r="P1605" s="123"/>
      <c r="Q1605" s="177"/>
      <c r="R1605" s="119"/>
      <c r="S1605" s="119"/>
      <c r="T1605" s="132"/>
    </row>
    <row r="1606" spans="2:20" ht="18">
      <c r="B1606" s="1294" t="s">
        <v>14</v>
      </c>
      <c r="C1606" s="1295"/>
      <c r="D1606" s="1295"/>
      <c r="E1606" s="1295"/>
      <c r="F1606" s="1295"/>
      <c r="G1606" s="1295"/>
      <c r="H1606" s="1295"/>
      <c r="I1606" s="1295"/>
      <c r="J1606" s="1295"/>
      <c r="K1606" s="1295"/>
      <c r="L1606" s="1295"/>
      <c r="M1606" s="1295"/>
      <c r="N1606" s="1295"/>
      <c r="O1606" s="1295"/>
      <c r="P1606" s="1295"/>
      <c r="Q1606" s="1295"/>
      <c r="R1606" s="1295"/>
      <c r="S1606" s="1295"/>
      <c r="T1606" s="1295"/>
    </row>
    <row r="1607" spans="2:20" ht="15.75" thickBot="1">
      <c r="B1607" s="1314">
        <v>2012</v>
      </c>
      <c r="C1607" s="1315"/>
      <c r="D1607" s="649" t="s">
        <v>15</v>
      </c>
      <c r="E1607" s="650">
        <v>2013</v>
      </c>
      <c r="F1607" s="649" t="s">
        <v>15</v>
      </c>
      <c r="G1607" s="650">
        <v>2014</v>
      </c>
      <c r="H1607" s="649" t="s">
        <v>15</v>
      </c>
      <c r="I1607" s="650">
        <v>2015</v>
      </c>
      <c r="J1607" s="649" t="s">
        <v>15</v>
      </c>
      <c r="K1607" s="650">
        <v>2016</v>
      </c>
      <c r="L1607" s="649" t="s">
        <v>15</v>
      </c>
      <c r="M1607" s="650">
        <v>2017</v>
      </c>
      <c r="N1607" s="649" t="s">
        <v>15</v>
      </c>
      <c r="O1607" s="650">
        <v>2018</v>
      </c>
      <c r="P1607" s="649" t="s">
        <v>15</v>
      </c>
      <c r="Q1607" s="650">
        <v>2019</v>
      </c>
      <c r="R1607" s="649" t="s">
        <v>15</v>
      </c>
      <c r="S1607" s="1266">
        <v>2020</v>
      </c>
      <c r="T1607" s="649" t="s">
        <v>15</v>
      </c>
    </row>
    <row r="1608" spans="2:20">
      <c r="B1608" s="306" t="s">
        <v>0</v>
      </c>
      <c r="C1608" s="307">
        <v>649.92813950003335</v>
      </c>
      <c r="D1608" s="309">
        <f t="shared" ref="D1608:D1615" si="1827">100*C1608/$H$1576</f>
        <v>233.21664256496101</v>
      </c>
      <c r="E1608" s="657">
        <f>[9]PLANCUSce!$H$166</f>
        <v>722.26244016836006</v>
      </c>
      <c r="F1608" s="655">
        <f t="shared" ref="F1608:F1613" si="1828">100*E1608/$H$1576</f>
        <v>259.17268557785275</v>
      </c>
      <c r="G1608" s="657">
        <f>[10]PLANCUSce!$H$166</f>
        <v>780.28363661871856</v>
      </c>
      <c r="H1608" s="655">
        <f t="shared" ref="H1608:H1613" si="1829">100*G1608/$H$1576</f>
        <v>279.99269291614706</v>
      </c>
      <c r="I1608" s="657">
        <f>[11]PLANCUSce!$H$174</f>
        <v>805.22285581616677</v>
      </c>
      <c r="J1608" s="655">
        <f t="shared" ref="J1608:J1613" si="1830">100*I1608/$H$1576</f>
        <v>288.94174530506916</v>
      </c>
      <c r="K1608" s="657">
        <f>[12]PLANCUSce!$H$175</f>
        <v>807.30567533460544</v>
      </c>
      <c r="L1608" s="655">
        <f t="shared" ref="L1608" si="1831">100*K1608/$H$1576</f>
        <v>289.68913281706813</v>
      </c>
      <c r="M1608" s="657">
        <f>[13]PLANCUSce!$H$175</f>
        <v>884.87825907173885</v>
      </c>
      <c r="N1608" s="655">
        <f t="shared" ref="N1608" si="1832">100*M1608/$H$1576</f>
        <v>317.52485254476062</v>
      </c>
      <c r="O1608" s="657">
        <f>[14]PLANCUSce!$H$175</f>
        <v>923.68040380763887</v>
      </c>
      <c r="P1608" s="655">
        <f t="shared" ref="P1608" si="1833">100*O1608/$H$1576</f>
        <v>331.44840096441754</v>
      </c>
      <c r="Q1608" s="657">
        <f>[15]PLANCUSce!$I$177</f>
        <v>982.6807019356221</v>
      </c>
      <c r="R1608" s="655">
        <f t="shared" ref="R1608" si="1834">100*Q1608/$H$1576</f>
        <v>352.61974376906204</v>
      </c>
      <c r="S1608" s="657">
        <f>[16]PLANCUSce!$I$177</f>
        <v>1030.7274652453186</v>
      </c>
      <c r="T1608" s="655">
        <f t="shared" ref="T1608" si="1835">100*S1608/$H$1576</f>
        <v>369.86058032342419</v>
      </c>
    </row>
    <row r="1609" spans="2:20">
      <c r="B1609" s="310" t="s">
        <v>1</v>
      </c>
      <c r="C1609" s="311">
        <v>650.95687671603343</v>
      </c>
      <c r="D1609" s="313">
        <f t="shared" si="1827"/>
        <v>233.58578897518063</v>
      </c>
      <c r="E1609" s="662">
        <f>[17]PLANCUSce!$H$166</f>
        <v>730.24030885502668</v>
      </c>
      <c r="F1609" s="313">
        <f t="shared" si="1828"/>
        <v>262.03542014318452</v>
      </c>
      <c r="G1609" s="662">
        <f>[18]PLANCUSce!$H$166</f>
        <v>785.7822306516</v>
      </c>
      <c r="H1609" s="313">
        <f t="shared" si="1829"/>
        <v>281.96577818702451</v>
      </c>
      <c r="I1609" s="662">
        <f>[19]PLANCUSce!$H$174</f>
        <v>834.13123285006668</v>
      </c>
      <c r="J1609" s="313">
        <f t="shared" si="1830"/>
        <v>299.3150684835893</v>
      </c>
      <c r="K1609" s="662">
        <f>[20]PLANCUSce!$H$175</f>
        <v>821.01621252040559</v>
      </c>
      <c r="L1609" s="313">
        <f t="shared" ref="L1609" si="1836">100*K1609/$H$1576</f>
        <v>294.60894664863122</v>
      </c>
      <c r="M1609" s="662">
        <f>[21]PLANCUSce!$H$175</f>
        <v>891.74492461990542</v>
      </c>
      <c r="N1609" s="313">
        <f t="shared" ref="N1609" si="1837">100*M1609/$H$1576</f>
        <v>319.98884908134971</v>
      </c>
      <c r="O1609" s="662">
        <f>[22]PLANCUSce!$H$175</f>
        <v>931.50441359820536</v>
      </c>
      <c r="P1609" s="313">
        <f t="shared" ref="P1609" si="1838">100*O1609/$H$1576</f>
        <v>334.25592564884647</v>
      </c>
      <c r="Q1609" s="662">
        <f>[23]PLANCUSce!$I$177</f>
        <v>996.65056899798526</v>
      </c>
      <c r="R1609" s="313">
        <f t="shared" ref="R1609" si="1839">100*Q1609/$H$1576</f>
        <v>357.63261410864976</v>
      </c>
      <c r="S1609" s="662">
        <f>[24]PLANCUSce!$I$177</f>
        <v>1046.7759174195942</v>
      </c>
      <c r="T1609" s="313">
        <f t="shared" ref="T1609" si="1840">100*S1609/$H$1576</f>
        <v>375.61931872383889</v>
      </c>
    </row>
    <row r="1610" spans="2:20">
      <c r="B1610" s="310" t="s">
        <v>2</v>
      </c>
      <c r="C1610" s="311">
        <v>702.31776845169327</v>
      </c>
      <c r="D1610" s="313">
        <f t="shared" si="1827"/>
        <v>252.01584916452319</v>
      </c>
      <c r="E1610" s="662">
        <f>[25]PLANCUSce!$H$166</f>
        <v>737.29673370838339</v>
      </c>
      <c r="F1610" s="313">
        <f t="shared" si="1828"/>
        <v>264.56750886622052</v>
      </c>
      <c r="G1610" s="662">
        <f>[26]PLANCUSce!$H$166</f>
        <v>800.31688728870677</v>
      </c>
      <c r="H1610" s="313">
        <f t="shared" si="1829"/>
        <v>287.18131451439172</v>
      </c>
      <c r="I1610" s="662">
        <f>[27]PLANCUSce!$H$174</f>
        <v>846.73056689736677</v>
      </c>
      <c r="J1610" s="313">
        <f t="shared" si="1830"/>
        <v>303.83614428640976</v>
      </c>
      <c r="K1610" s="662">
        <f>[28]PLANCUSce!$H$175</f>
        <v>838.1857256296388</v>
      </c>
      <c r="L1610" s="313">
        <f t="shared" ref="L1610" si="1841">100*K1610/$H$1576</f>
        <v>300.76996039530599</v>
      </c>
      <c r="M1610" s="662">
        <f>[29]PLANCUSce!$H$175</f>
        <v>904.02457407197551</v>
      </c>
      <c r="N1610" s="313">
        <f t="shared" ref="N1610" si="1842">100*M1610/$H$1576</f>
        <v>324.39521102051651</v>
      </c>
      <c r="O1610" s="662">
        <f>[30]PLANCUSce!$H$175</f>
        <v>926.33589438477236</v>
      </c>
      <c r="P1610" s="313">
        <f t="shared" ref="P1610" si="1843">100*O1610/$H$1576</f>
        <v>332.40128261259235</v>
      </c>
      <c r="Q1610" s="662">
        <f>[31]PLANCUSce!$I$177</f>
        <v>1015.9912020855187</v>
      </c>
      <c r="R1610" s="313">
        <f t="shared" ref="R1610" si="1844">100*Q1610/$H$1576</f>
        <v>364.57270061917563</v>
      </c>
      <c r="S1610" s="662">
        <f>[32]PLANCUSce!$I$177</f>
        <v>1062.1504100743275</v>
      </c>
      <c r="T1610" s="313">
        <f t="shared" ref="T1610" si="1845">100*S1610/$H$1576</f>
        <v>381.136217193314</v>
      </c>
    </row>
    <row r="1611" spans="2:20">
      <c r="B1611" s="310" t="s">
        <v>3</v>
      </c>
      <c r="C1611" s="311">
        <v>702.31776845169327</v>
      </c>
      <c r="D1611" s="313">
        <f t="shared" si="1827"/>
        <v>252.01584916452319</v>
      </c>
      <c r="E1611" s="662">
        <f>[33]PLANCUSce!$H$166</f>
        <v>737.64832977835988</v>
      </c>
      <c r="F1611" s="313">
        <f t="shared" si="1828"/>
        <v>264.69367366813543</v>
      </c>
      <c r="G1611" s="662">
        <f>[34]PLANCUSce!$H$166</f>
        <v>807.24222208326671</v>
      </c>
      <c r="H1611" s="313">
        <f t="shared" si="1829"/>
        <v>289.66636360099994</v>
      </c>
      <c r="I1611" s="662">
        <f>[35]PLANCUSce!$H$174</f>
        <v>826.44968500033337</v>
      </c>
      <c r="J1611" s="313">
        <f t="shared" si="1830"/>
        <v>296.55866405925553</v>
      </c>
      <c r="K1611" s="662">
        <f>[36]PLANCUSce!$H$175</f>
        <v>844.68199013163894</v>
      </c>
      <c r="L1611" s="313">
        <f t="shared" ref="L1611" si="1846">100*K1611/$H$1576</f>
        <v>303.10104425564765</v>
      </c>
      <c r="M1611" s="662">
        <f>[37]PLANCUSce!$H$175</f>
        <v>903.859318220609</v>
      </c>
      <c r="N1611" s="313">
        <f t="shared" ref="N1611" si="1847">100*M1611/$H$1576</f>
        <v>324.33591151880614</v>
      </c>
      <c r="O1611" s="662">
        <f>[38]PLANCUSce!$H$175</f>
        <v>933.36607649675568</v>
      </c>
      <c r="P1611" s="313">
        <f t="shared" ref="P1611" si="1848">100*O1611/$H$1576</f>
        <v>334.92395453450399</v>
      </c>
      <c r="Q1611" s="662">
        <f>[39]PLANCUSce!$I$177</f>
        <v>999.363044351452</v>
      </c>
      <c r="R1611" s="313">
        <f t="shared" ref="R1611" si="1849">100*Q1611/$H$1576</f>
        <v>358.60594386086262</v>
      </c>
      <c r="S1611" s="662">
        <f>[40]PLANCUSce!$I$177</f>
        <v>1069.5071446989607</v>
      </c>
      <c r="T1611" s="313">
        <f t="shared" ref="T1611" si="1850">100*S1611/$H$1576</f>
        <v>383.77606742463064</v>
      </c>
    </row>
    <row r="1612" spans="2:20">
      <c r="B1612" s="310" t="s">
        <v>4</v>
      </c>
      <c r="C1612" s="311">
        <v>702.31776845169327</v>
      </c>
      <c r="D1612" s="313">
        <f t="shared" si="1827"/>
        <v>252.01584916452319</v>
      </c>
      <c r="E1612" s="662">
        <f>[41]PLANCUSce!$H$166</f>
        <v>737.64832977835988</v>
      </c>
      <c r="F1612" s="313">
        <f t="shared" si="1828"/>
        <v>264.69367366813543</v>
      </c>
      <c r="G1612" s="662">
        <f>[42]PLANCUSce!$H$166</f>
        <v>799.3345954509067</v>
      </c>
      <c r="H1612" s="313">
        <f t="shared" si="1829"/>
        <v>286.82883430849239</v>
      </c>
      <c r="I1612" s="662">
        <f>[43]PLANCUSce!$H$174</f>
        <v>829.62943551973342</v>
      </c>
      <c r="J1612" s="313">
        <f t="shared" si="1830"/>
        <v>297.69966826458062</v>
      </c>
      <c r="K1612" s="662">
        <f>[44]PLANCUSce!$H$175</f>
        <v>844.68199013163894</v>
      </c>
      <c r="L1612" s="313">
        <f t="shared" ref="L1612" si="1851">100*K1612/$H$1576</f>
        <v>303.10104425564765</v>
      </c>
      <c r="M1612" s="662">
        <f>[45]PLANCUSce!$H$175</f>
        <v>899.95586104177562</v>
      </c>
      <c r="N1612" s="313">
        <f t="shared" ref="N1612" si="1852">100*M1612/$H$1576</f>
        <v>322.93521639219739</v>
      </c>
      <c r="O1612" s="662">
        <f>[46]PLANCUSce!$H$175</f>
        <v>930.82455547228881</v>
      </c>
      <c r="P1612" s="313">
        <f t="shared" ref="P1612" si="1853">100*O1612/$H$1576</f>
        <v>334.01196909440534</v>
      </c>
      <c r="Q1612" s="662">
        <f>[47]PLANCUSce!$I$177</f>
        <v>1004.7879950583856</v>
      </c>
      <c r="R1612" s="313">
        <f t="shared" ref="R1612" si="1854">100*Q1612/$H$1576</f>
        <v>360.55260336528835</v>
      </c>
      <c r="S1612" s="662">
        <f>[48]PLANCUSce!$I$177</f>
        <v>1080.6435096395076</v>
      </c>
      <c r="T1612" s="313">
        <f t="shared" ref="T1612" si="1855">100*S1612/$H$1576</f>
        <v>387.77217943142944</v>
      </c>
    </row>
    <row r="1613" spans="2:20">
      <c r="B1613" s="310" t="s">
        <v>5</v>
      </c>
      <c r="C1613" s="311">
        <v>702.31776845169327</v>
      </c>
      <c r="D1613" s="313">
        <f t="shared" si="1827"/>
        <v>252.01584916452319</v>
      </c>
      <c r="E1613" s="662">
        <f>[49]PLANCUSce!$H$166</f>
        <v>737.64832977835988</v>
      </c>
      <c r="F1613" s="313">
        <f t="shared" si="1828"/>
        <v>264.69367366813543</v>
      </c>
      <c r="G1613" s="662">
        <f>[50]PLANCUSce!$H$166</f>
        <v>792.77874009576669</v>
      </c>
      <c r="H1613" s="313">
        <f t="shared" si="1829"/>
        <v>284.47636719383047</v>
      </c>
      <c r="I1613" s="662">
        <f>[51]PLANCUSce!$H$174</f>
        <v>829.62943551973342</v>
      </c>
      <c r="J1613" s="313">
        <f t="shared" si="1830"/>
        <v>297.69966826458062</v>
      </c>
      <c r="K1613" s="662">
        <f>[52]PLANCUSce!$H$175</f>
        <v>853.68558479230558</v>
      </c>
      <c r="L1613" s="313">
        <f t="shared" ref="L1613" si="1856">100*K1613/$H$1576</f>
        <v>306.331844693665</v>
      </c>
      <c r="M1613" s="662">
        <f>[53]PLANCUSce!$H$175</f>
        <v>921.65566386950877</v>
      </c>
      <c r="N1613" s="313">
        <f t="shared" ref="N1613" si="1857">100*M1613/$H$1576</f>
        <v>330.72185440989978</v>
      </c>
      <c r="O1613" s="662">
        <f>[54]PLANCUSce!$H$175</f>
        <v>938.88220284582212</v>
      </c>
      <c r="P1613" s="313">
        <f t="shared" ref="P1613" si="1858">100*O1613/$H$1576</f>
        <v>336.90333100539044</v>
      </c>
      <c r="Q1613" s="662">
        <f>[55]PLANCUSce!$I$177</f>
        <v>1004.799392013652</v>
      </c>
      <c r="R1613" s="313">
        <f t="shared" ref="R1613" si="1859">100*Q1613/$H$1576</f>
        <v>360.55669298609587</v>
      </c>
      <c r="S1613" s="662">
        <f>[56]PLANCUSce!$I$177</f>
        <v>1079.811531905041</v>
      </c>
      <c r="T1613" s="313">
        <f t="shared" ref="T1613" si="1860">100*S1613/$H$1576</f>
        <v>387.4736371124734</v>
      </c>
    </row>
    <row r="1614" spans="2:20">
      <c r="B1614" s="310" t="s">
        <v>6</v>
      </c>
      <c r="C1614" s="311">
        <f>[57]PLANCUSce!$H$166</f>
        <v>713.71472371836001</v>
      </c>
      <c r="D1614" s="313">
        <f t="shared" si="1827"/>
        <v>256.1054699721401</v>
      </c>
      <c r="E1614" s="662">
        <f>[58]PLANCUSce!$H$166</f>
        <v>746.65192443902663</v>
      </c>
      <c r="F1614" s="313">
        <f t="shared" ref="F1614:F1619" si="1861">100*E1614/$H$1576</f>
        <v>267.92447410615279</v>
      </c>
      <c r="G1614" s="662">
        <f>[59]PLANCUSce!$H$166</f>
        <v>793.64600504583348</v>
      </c>
      <c r="H1614" s="313">
        <f t="shared" ref="H1614:H1619" si="1862">100*G1614/$H$1576</f>
        <v>284.78757178334774</v>
      </c>
      <c r="I1614" s="662">
        <f>[60]PLANCUSce!$H$174</f>
        <v>837.67568593800013</v>
      </c>
      <c r="J1614" s="313">
        <f t="shared" ref="J1614:J1619" si="1863">100*I1614/$H$1576</f>
        <v>300.5869405547582</v>
      </c>
      <c r="K1614" s="662">
        <f>[61]PLANCUSce!$H$175</f>
        <v>860.57752633970551</v>
      </c>
      <c r="L1614" s="313">
        <f t="shared" ref="L1614" si="1864">100*K1614/$H$1576</f>
        <v>308.8049111309407</v>
      </c>
      <c r="M1614" s="662">
        <f>[62]PLANCUSce!$H$175</f>
        <v>935.22373911447539</v>
      </c>
      <c r="N1614" s="313">
        <f t="shared" ref="N1614" si="1865">100*M1614/$H$1576</f>
        <v>335.59054798136765</v>
      </c>
      <c r="O1614" s="662">
        <f>[63]PLANCUSce!$I$177</f>
        <v>928.93266089802216</v>
      </c>
      <c r="P1614" s="313">
        <f t="shared" ref="P1614" si="1866">100*O1614/$H$1576</f>
        <v>333.33309204034094</v>
      </c>
      <c r="Q1614" s="662">
        <f>[64]PLANCUSce!$I$177</f>
        <v>1018.8575363350855</v>
      </c>
      <c r="R1614" s="313">
        <f t="shared" ref="R1614" si="1867">100*Q1614/$H$1576</f>
        <v>365.60124025229129</v>
      </c>
      <c r="S1614" s="662">
        <f>[65]PLANCUSce!$I$177</f>
        <v>1080.5238416092077</v>
      </c>
      <c r="T1614" s="313">
        <f t="shared" ref="T1614" si="1868">100*S1614/$H$1576</f>
        <v>387.72923841294954</v>
      </c>
    </row>
    <row r="1615" spans="2:20">
      <c r="B1615" s="310" t="s">
        <v>7</v>
      </c>
      <c r="C1615" s="311">
        <f>[66]PLANCUSce!$H$166</f>
        <v>713.71472371836001</v>
      </c>
      <c r="D1615" s="313">
        <f t="shared" si="1827"/>
        <v>256.1054699721401</v>
      </c>
      <c r="E1615" s="662">
        <f>[67]PLANCUSce!$H$166</f>
        <v>753.30090814159996</v>
      </c>
      <c r="F1615" s="313">
        <f t="shared" si="1861"/>
        <v>270.31035888531648</v>
      </c>
      <c r="G1615" s="662">
        <f>[68]PLANCUSce!$H$166</f>
        <v>797.36711094040004</v>
      </c>
      <c r="H1615" s="313">
        <f t="shared" si="1862"/>
        <v>286.12283297703459</v>
      </c>
      <c r="I1615" s="662">
        <f>[69]PLANCUSce!$H$174</f>
        <v>836.12000154410009</v>
      </c>
      <c r="J1615" s="313">
        <f t="shared" si="1863"/>
        <v>300.02870731451844</v>
      </c>
      <c r="K1615" s="662">
        <f>[70]PLANCUSce!$H$175</f>
        <v>863.39257429057227</v>
      </c>
      <c r="L1615" s="313">
        <f t="shared" ref="L1615" si="1869">100*K1615/$H$1576</f>
        <v>309.81504747042209</v>
      </c>
      <c r="M1615" s="662">
        <f>[71]PLANCUSce!$H$175</f>
        <v>942.50532466935545</v>
      </c>
      <c r="N1615" s="313">
        <f t="shared" ref="N1615" si="1870">100*M1615/$H$1576</f>
        <v>338.20343213339868</v>
      </c>
      <c r="O1615" s="662">
        <f>[72]PLANCUSce!$I$177</f>
        <v>933.42306127308882</v>
      </c>
      <c r="P1615" s="313">
        <f t="shared" ref="P1615" si="1871">100*O1615/$H$1576</f>
        <v>334.94440263854199</v>
      </c>
      <c r="Q1615" s="662">
        <f>[73]PLANCUSce!$I$177</f>
        <v>1030.009457063519</v>
      </c>
      <c r="R1615" s="313">
        <f t="shared" ref="R1615" si="1872">100*Q1615/$H$1576</f>
        <v>369.60293421254448</v>
      </c>
      <c r="S1615" s="662">
        <f>[74]PLANCUSce!$I$177</f>
        <v>1121.062811492741</v>
      </c>
      <c r="T1615" s="313">
        <f t="shared" ref="T1615" si="1873">100*S1615/$H$1576</f>
        <v>402.27601962564268</v>
      </c>
    </row>
    <row r="1616" spans="2:20">
      <c r="B1616" s="310" t="s">
        <v>8</v>
      </c>
      <c r="C1616" s="311">
        <f>[75]PLANCUSce!$H$166</f>
        <v>712.29344203836001</v>
      </c>
      <c r="D1616" s="313">
        <f>100*C1616/$H$1576</f>
        <v>255.59546506328408</v>
      </c>
      <c r="E1616" s="662">
        <f>[76]PLANCUSce!$H$166</f>
        <v>762.06231750285008</v>
      </c>
      <c r="F1616" s="313">
        <f t="shared" si="1861"/>
        <v>273.45425488117195</v>
      </c>
      <c r="G1616" s="662">
        <f>[77]PLANCUSce!$H$174</f>
        <v>798.10791303273345</v>
      </c>
      <c r="H1616" s="313">
        <f t="shared" si="1862"/>
        <v>286.38865832952973</v>
      </c>
      <c r="I1616" s="662">
        <f>[78]PLANCUSce!$H$174</f>
        <v>825.98810831203343</v>
      </c>
      <c r="J1616" s="313">
        <f t="shared" si="1863"/>
        <v>296.3930344165471</v>
      </c>
      <c r="K1616" s="662">
        <f>[79]PLANCUSce!$H$175</f>
        <v>863.34128799187204</v>
      </c>
      <c r="L1616" s="313">
        <f t="shared" ref="L1616" si="1874">100*K1616/$H$1576</f>
        <v>309.79664417678771</v>
      </c>
      <c r="M1616" s="662">
        <f>[80]PLANCUSce!$H$175</f>
        <v>941.00092657415553</v>
      </c>
      <c r="N1616" s="313">
        <f t="shared" ref="N1616" si="1875">100*M1616/$H$1576</f>
        <v>337.66360218679324</v>
      </c>
      <c r="O1616" s="662">
        <f>[81]PLANCUSce!$I$177</f>
        <v>945.99390293222211</v>
      </c>
      <c r="P1616" s="313">
        <f t="shared" ref="P1616" si="1876">100*O1616/$H$1576</f>
        <v>339.45525438934339</v>
      </c>
      <c r="Q1616" s="662">
        <f>[82]PLANCUSce!$I$177</f>
        <v>1039.4746284124856</v>
      </c>
      <c r="R1616" s="313">
        <f t="shared" ref="R1616" si="1877">100*Q1616/$H$1576</f>
        <v>372.99936429327028</v>
      </c>
      <c r="S1616" s="662">
        <f>[123]PLANCUSce!$I$177</f>
        <v>1145.3326277331078</v>
      </c>
      <c r="T1616" s="313">
        <f t="shared" ref="T1616" si="1878">100*S1616/$H$1576</f>
        <v>410.98486713546282</v>
      </c>
    </row>
    <row r="1617" spans="2:20">
      <c r="B1617" s="310" t="s">
        <v>9</v>
      </c>
      <c r="C1617" s="311">
        <f>[83]PLANCUSce!$H$166</f>
        <v>712.29344203836001</v>
      </c>
      <c r="D1617" s="313">
        <f>100*C1617/$H$1576</f>
        <v>255.59546506328408</v>
      </c>
      <c r="E1617" s="662">
        <f>[84]PLANCUSce!$H$166</f>
        <v>762.06231750285008</v>
      </c>
      <c r="F1617" s="313">
        <f t="shared" si="1861"/>
        <v>273.45425488117195</v>
      </c>
      <c r="G1617" s="662">
        <f>[85]PLANCUSce!$H$174</f>
        <v>797.70901959840012</v>
      </c>
      <c r="H1617" s="313">
        <f t="shared" si="1862"/>
        <v>286.24552160126308</v>
      </c>
      <c r="I1617" s="662">
        <f>[86]PLANCUSce!$H$174</f>
        <v>814.88747388230013</v>
      </c>
      <c r="J1617" s="313">
        <f t="shared" si="1863"/>
        <v>292.40974374992828</v>
      </c>
      <c r="K1617" s="662">
        <f>[87]PLANCUSce!$H$175</f>
        <v>862.36684831657203</v>
      </c>
      <c r="L1617" s="313">
        <f t="shared" ref="L1617" si="1879">100*K1617/$H$1576</f>
        <v>309.44698159773645</v>
      </c>
      <c r="M1617" s="662">
        <f>[88]PLANCUSce!$H$175</f>
        <v>940.84136920042226</v>
      </c>
      <c r="N1617" s="313">
        <f t="shared" ref="N1617" si="1880">100*M1617/$H$1576</f>
        <v>337.60634749548666</v>
      </c>
      <c r="O1617" s="662">
        <f>[89]PLANCUSce!$I$177</f>
        <v>964.66781413665547</v>
      </c>
      <c r="P1617" s="313">
        <f t="shared" ref="P1617" si="1881">100*O1617/$H$1576</f>
        <v>346.1560980826236</v>
      </c>
      <c r="Q1617" s="662">
        <f>[90]PLANCUSce!$I$177</f>
        <v>1040.9505341195188</v>
      </c>
      <c r="R1617" s="313">
        <f t="shared" ref="R1617" si="1882">100*Q1617/$H$1576</f>
        <v>373.5289701878566</v>
      </c>
      <c r="S1617" s="662"/>
      <c r="T1617" s="313"/>
    </row>
    <row r="1618" spans="2:20">
      <c r="B1618" s="310" t="s">
        <v>10</v>
      </c>
      <c r="C1618" s="311">
        <f>[91]PLANCUSce!$H$166</f>
        <v>721.92053151035998</v>
      </c>
      <c r="D1618" s="313">
        <f>100*C1618/$H$1576</f>
        <v>259.0499969536242</v>
      </c>
      <c r="E1618" s="662">
        <f>[92]PLANCUSce!$H$166</f>
        <v>765.76632796451679</v>
      </c>
      <c r="F1618" s="313">
        <f t="shared" si="1861"/>
        <v>274.78338164364749</v>
      </c>
      <c r="G1618" s="662">
        <f>[93]PLANCUSce!$H$174</f>
        <v>801.09391531260007</v>
      </c>
      <c r="H1618" s="313">
        <f t="shared" si="1862"/>
        <v>287.46013898112534</v>
      </c>
      <c r="I1618" s="662">
        <f>[94]PLANCUSce!$H$174</f>
        <v>809.51950795169989</v>
      </c>
      <c r="J1618" s="313">
        <f t="shared" si="1863"/>
        <v>290.48353234954067</v>
      </c>
      <c r="K1618" s="662">
        <f>[95]PLANCUSce!$H$175</f>
        <v>866.70908827317226</v>
      </c>
      <c r="L1618" s="313">
        <f t="shared" ref="L1618" si="1883">100*K1618/$H$1576</f>
        <v>311.00512712543855</v>
      </c>
      <c r="M1618" s="662">
        <f>[96]PLANCUSce!$H$175</f>
        <v>935.65290531527205</v>
      </c>
      <c r="N1618" s="313">
        <f t="shared" ref="N1618" si="1884">100*M1618/$H$1576</f>
        <v>335.74454762281903</v>
      </c>
      <c r="O1618" s="662">
        <f>[97]PLANCUSce!$I$177</f>
        <v>964.66781413665547</v>
      </c>
      <c r="P1618" s="313">
        <f t="shared" ref="P1618" si="1885">100*O1618/$H$1576</f>
        <v>346.1560980826236</v>
      </c>
      <c r="Q1618" s="662">
        <f>[98]PLANCUSce!$I$177</f>
        <v>1029.3997199567523</v>
      </c>
      <c r="R1618" s="313">
        <f t="shared" ref="R1618" si="1886">100*Q1618/$H$1576</f>
        <v>369.38413949933692</v>
      </c>
      <c r="S1618" s="662"/>
      <c r="T1618" s="313"/>
    </row>
    <row r="1619" spans="2:20" ht="15.75" thickBot="1">
      <c r="B1619" s="314" t="s">
        <v>11</v>
      </c>
      <c r="C1619" s="315">
        <f>[99]PLANCUSce!$H$166</f>
        <v>721.92053151035998</v>
      </c>
      <c r="D1619" s="317">
        <f>100*C1619/$H$1576</f>
        <v>259.0499969536242</v>
      </c>
      <c r="E1619" s="682">
        <f>[100]PLANCUSce!$H$166</f>
        <v>765.76632796451679</v>
      </c>
      <c r="F1619" s="317">
        <f t="shared" si="1861"/>
        <v>274.78338164364749</v>
      </c>
      <c r="G1619" s="682">
        <f>[101]PLANCUSce!$H$174</f>
        <v>803.93745565163351</v>
      </c>
      <c r="H1619" s="317">
        <f t="shared" si="1862"/>
        <v>288.48049937262579</v>
      </c>
      <c r="I1619" s="682">
        <f>[102]PLANCUSce!$H$174</f>
        <v>806.88681128510018</v>
      </c>
      <c r="J1619" s="317">
        <f t="shared" si="1863"/>
        <v>289.53882994298124</v>
      </c>
      <c r="K1619" s="682">
        <f>[103]PLANCUSce!$H$175</f>
        <v>880.71594629590561</v>
      </c>
      <c r="L1619" s="317">
        <f t="shared" ref="L1619" si="1887">100*K1619/$H$1576</f>
        <v>316.03127109799971</v>
      </c>
      <c r="M1619" s="682">
        <f>[104]PLANCUSce!$H$175</f>
        <v>926.06236745837225</v>
      </c>
      <c r="N1619" s="317">
        <f t="shared" ref="N1619" si="1888">100*M1619/$H$1576</f>
        <v>332.3031317132095</v>
      </c>
      <c r="O1619" s="682">
        <f>[105]PLANCUSce!$I$177</f>
        <v>974.74842107002223</v>
      </c>
      <c r="P1619" s="317">
        <f t="shared" ref="P1619" si="1889">100*O1619/$H$1576</f>
        <v>349.77336768696074</v>
      </c>
      <c r="Q1619" s="682">
        <f>[106]PLANCUSce!$I$177</f>
        <v>1048.3699519981189</v>
      </c>
      <c r="R1619" s="317">
        <f t="shared" ref="R1619" si="1890">100*Q1619/$H$1576</f>
        <v>376.1913133336152</v>
      </c>
      <c r="S1619" s="682"/>
      <c r="T1619" s="317"/>
    </row>
    <row r="1620" spans="2:20">
      <c r="B1620" s="119"/>
      <c r="C1620" s="118"/>
      <c r="D1620" s="123"/>
      <c r="E1620" s="118"/>
      <c r="F1620" s="123"/>
      <c r="G1620" s="118"/>
      <c r="H1620" s="123"/>
      <c r="I1620" s="118"/>
      <c r="J1620" s="123"/>
      <c r="K1620" s="118"/>
      <c r="L1620" s="123"/>
      <c r="M1620" s="122"/>
      <c r="N1620" s="123"/>
      <c r="O1620" s="123"/>
      <c r="P1620" s="123"/>
      <c r="Q1620" s="177"/>
      <c r="R1620" s="119"/>
      <c r="S1620" s="119"/>
      <c r="T1620" s="132"/>
    </row>
    <row r="1621" spans="2:20">
      <c r="B1621" s="198"/>
      <c r="C1621" s="199"/>
      <c r="D1621" s="200"/>
      <c r="E1621" s="199"/>
      <c r="F1621" s="200"/>
      <c r="G1621" s="199"/>
      <c r="H1621" s="200"/>
      <c r="I1621" s="199"/>
      <c r="J1621" s="200"/>
      <c r="K1621" s="199"/>
      <c r="L1621" s="200"/>
      <c r="M1621" s="202"/>
      <c r="N1621" s="200"/>
      <c r="O1621" s="123"/>
      <c r="P1621" s="123"/>
      <c r="Q1621" s="177"/>
      <c r="R1621" s="119"/>
      <c r="S1621" s="119"/>
      <c r="T1621" s="132"/>
    </row>
    <row r="1622" spans="2:20">
      <c r="C1622" s="119"/>
      <c r="D1622" s="119"/>
      <c r="E1622" s="119"/>
      <c r="F1622" s="119"/>
      <c r="G1622" s="119"/>
      <c r="H1622" s="119"/>
      <c r="I1622" s="119"/>
      <c r="J1622" s="119"/>
      <c r="K1622" s="119"/>
      <c r="L1622" s="119"/>
      <c r="M1622" s="119"/>
      <c r="N1622" s="119"/>
      <c r="O1622" s="119"/>
      <c r="P1622" s="119"/>
      <c r="Q1622" s="177"/>
      <c r="R1622" s="119"/>
      <c r="S1622" s="119"/>
      <c r="T1622" s="132"/>
    </row>
    <row r="1623" spans="2:20" ht="15.75" thickBot="1">
      <c r="C1623" s="168"/>
      <c r="D1623" s="182"/>
      <c r="E1623" s="193"/>
      <c r="G1623" s="173"/>
      <c r="H1623" s="167"/>
      <c r="I1623" s="173"/>
      <c r="J1623" s="167"/>
      <c r="K1623" s="167"/>
      <c r="L1623" s="167"/>
      <c r="M1623" s="167"/>
      <c r="N1623" s="167"/>
      <c r="O1623" s="119"/>
      <c r="P1623" s="119"/>
      <c r="Q1623" s="177"/>
      <c r="R1623" s="119"/>
      <c r="S1623" s="119"/>
      <c r="T1623" s="132"/>
    </row>
    <row r="1624" spans="2:20" ht="16.5" thickBot="1">
      <c r="B1624" s="518" t="s">
        <v>58</v>
      </c>
      <c r="C1624" s="520"/>
      <c r="D1624" s="535"/>
      <c r="E1624" s="363"/>
      <c r="F1624" s="625">
        <v>5.09</v>
      </c>
      <c r="G1624" s="429" t="s">
        <v>137</v>
      </c>
      <c r="H1624" s="535"/>
      <c r="I1624" s="535"/>
      <c r="J1624" s="535"/>
      <c r="K1624" s="477" t="s">
        <v>44</v>
      </c>
      <c r="L1624" s="539"/>
      <c r="M1624" s="167"/>
      <c r="N1624" s="167"/>
      <c r="O1624" s="119"/>
      <c r="P1624" s="119"/>
      <c r="Q1624" s="177"/>
      <c r="R1624" s="119"/>
      <c r="S1624" s="119"/>
      <c r="T1624" s="132"/>
    </row>
    <row r="1625" spans="2:20" ht="15.75" thickBot="1">
      <c r="B1625" s="1306">
        <v>2000</v>
      </c>
      <c r="C1625" s="1307"/>
      <c r="D1625" s="336" t="s">
        <v>15</v>
      </c>
      <c r="E1625" s="336">
        <v>2001</v>
      </c>
      <c r="F1625" s="336" t="s">
        <v>15</v>
      </c>
      <c r="G1625" s="336">
        <v>2002</v>
      </c>
      <c r="H1625" s="336" t="s">
        <v>15</v>
      </c>
      <c r="I1625" s="336">
        <v>2003</v>
      </c>
      <c r="J1625" s="336" t="s">
        <v>15</v>
      </c>
      <c r="K1625" s="336">
        <v>2004</v>
      </c>
      <c r="L1625" s="354" t="s">
        <v>15</v>
      </c>
      <c r="M1625" s="167"/>
      <c r="N1625" s="167"/>
      <c r="O1625" s="119"/>
      <c r="P1625" s="119"/>
      <c r="Q1625" s="177"/>
      <c r="R1625" s="119"/>
      <c r="S1625" s="119"/>
      <c r="T1625" s="132"/>
    </row>
    <row r="1626" spans="2:20">
      <c r="B1626" s="306" t="s">
        <v>0</v>
      </c>
      <c r="C1626" s="307"/>
      <c r="D1626" s="308"/>
      <c r="E1626" s="307">
        <v>5.0999999999999996</v>
      </c>
      <c r="F1626" s="308">
        <f t="shared" ref="F1626:F1637" si="1891">100*E1626/$F$1624</f>
        <v>100.19646365422396</v>
      </c>
      <c r="G1626" s="307">
        <v>5.0999999999999996</v>
      </c>
      <c r="H1626" s="308">
        <f t="shared" ref="H1626:H1637" si="1892">100*G1626/$F$1624</f>
        <v>100.19646365422396</v>
      </c>
      <c r="I1626" s="307">
        <v>5.0999999999999996</v>
      </c>
      <c r="J1626" s="378">
        <f t="shared" ref="J1626:J1637" si="1893">100*I1626/$F$1624</f>
        <v>100.19646365422396</v>
      </c>
      <c r="K1626" s="307">
        <v>5.12</v>
      </c>
      <c r="L1626" s="436">
        <f t="shared" ref="L1626:L1632" si="1894">100*K1626/$F$1624</f>
        <v>100.58939096267191</v>
      </c>
      <c r="M1626" s="167"/>
      <c r="N1626" s="167"/>
      <c r="O1626" s="119"/>
      <c r="P1626" s="119"/>
      <c r="Q1626" s="177"/>
      <c r="R1626" s="119"/>
      <c r="S1626" s="119"/>
      <c r="T1626" s="132"/>
    </row>
    <row r="1627" spans="2:20">
      <c r="B1627" s="310" t="s">
        <v>1</v>
      </c>
      <c r="C1627" s="311"/>
      <c r="D1627" s="312"/>
      <c r="E1627" s="311">
        <v>5.0999999999999996</v>
      </c>
      <c r="F1627" s="312">
        <f t="shared" si="1891"/>
        <v>100.19646365422396</v>
      </c>
      <c r="G1627" s="311">
        <v>5.0999999999999996</v>
      </c>
      <c r="H1627" s="312">
        <f t="shared" si="1892"/>
        <v>100.19646365422396</v>
      </c>
      <c r="I1627" s="311">
        <v>5.0999999999999996</v>
      </c>
      <c r="J1627" s="379">
        <f t="shared" si="1893"/>
        <v>100.19646365422396</v>
      </c>
      <c r="K1627" s="311">
        <v>5.12</v>
      </c>
      <c r="L1627" s="371">
        <f t="shared" si="1894"/>
        <v>100.58939096267191</v>
      </c>
      <c r="M1627" s="167"/>
      <c r="N1627" s="167"/>
      <c r="O1627" s="119"/>
      <c r="P1627" s="119"/>
      <c r="Q1627" s="177"/>
      <c r="R1627" s="119"/>
      <c r="S1627" s="119"/>
      <c r="T1627" s="132"/>
    </row>
    <row r="1628" spans="2:20">
      <c r="B1628" s="310" t="s">
        <v>2</v>
      </c>
      <c r="C1628" s="311"/>
      <c r="D1628" s="312"/>
      <c r="E1628" s="311">
        <v>5.0999999999999996</v>
      </c>
      <c r="F1628" s="312">
        <f t="shared" si="1891"/>
        <v>100.19646365422396</v>
      </c>
      <c r="G1628" s="311">
        <v>5.0999999999999996</v>
      </c>
      <c r="H1628" s="312">
        <f t="shared" si="1892"/>
        <v>100.19646365422396</v>
      </c>
      <c r="I1628" s="311">
        <v>5.0999999999999996</v>
      </c>
      <c r="J1628" s="379">
        <f t="shared" si="1893"/>
        <v>100.19646365422396</v>
      </c>
      <c r="K1628" s="311">
        <v>5.12</v>
      </c>
      <c r="L1628" s="371">
        <f t="shared" si="1894"/>
        <v>100.58939096267191</v>
      </c>
      <c r="M1628" s="167"/>
      <c r="N1628" s="167"/>
      <c r="O1628" s="119"/>
      <c r="P1628" s="119"/>
      <c r="Q1628" s="177"/>
      <c r="R1628" s="119"/>
      <c r="S1628" s="119"/>
      <c r="T1628" s="132"/>
    </row>
    <row r="1629" spans="2:20">
      <c r="B1629" s="310" t="s">
        <v>3</v>
      </c>
      <c r="C1629" s="311">
        <v>5.09</v>
      </c>
      <c r="D1629" s="312">
        <v>100</v>
      </c>
      <c r="E1629" s="311">
        <v>5.0999999999999996</v>
      </c>
      <c r="F1629" s="312">
        <f t="shared" si="1891"/>
        <v>100.19646365422396</v>
      </c>
      <c r="G1629" s="311">
        <v>5.0999999999999996</v>
      </c>
      <c r="H1629" s="312">
        <f t="shared" si="1892"/>
        <v>100.19646365422396</v>
      </c>
      <c r="I1629" s="311">
        <v>5.0999999999999996</v>
      </c>
      <c r="J1629" s="379">
        <f t="shared" si="1893"/>
        <v>100.19646365422396</v>
      </c>
      <c r="K1629" s="311">
        <v>5.12</v>
      </c>
      <c r="L1629" s="371">
        <f t="shared" si="1894"/>
        <v>100.58939096267191</v>
      </c>
      <c r="M1629" s="167"/>
      <c r="N1629" s="167"/>
      <c r="O1629" s="119"/>
      <c r="P1629" s="119"/>
      <c r="Q1629" s="177"/>
      <c r="R1629" s="119"/>
      <c r="S1629" s="119"/>
      <c r="T1629" s="132"/>
    </row>
    <row r="1630" spans="2:20">
      <c r="B1630" s="310" t="s">
        <v>4</v>
      </c>
      <c r="C1630" s="311">
        <v>5.09</v>
      </c>
      <c r="D1630" s="312">
        <f t="shared" ref="D1630:D1637" si="1895">100*((C1630/5.09))</f>
        <v>100</v>
      </c>
      <c r="E1630" s="311">
        <v>5.0999999999999996</v>
      </c>
      <c r="F1630" s="312">
        <f t="shared" si="1891"/>
        <v>100.19646365422396</v>
      </c>
      <c r="G1630" s="311">
        <v>5.0999999999999996</v>
      </c>
      <c r="H1630" s="312">
        <f t="shared" si="1892"/>
        <v>100.19646365422396</v>
      </c>
      <c r="I1630" s="311">
        <v>5.0999999999999996</v>
      </c>
      <c r="J1630" s="626">
        <f t="shared" si="1893"/>
        <v>100.19646365422396</v>
      </c>
      <c r="K1630" s="311">
        <v>5.12</v>
      </c>
      <c r="L1630" s="346">
        <f t="shared" si="1894"/>
        <v>100.58939096267191</v>
      </c>
      <c r="M1630" s="167"/>
      <c r="N1630" s="167"/>
      <c r="O1630" s="119"/>
      <c r="P1630" s="119"/>
      <c r="Q1630" s="177"/>
      <c r="R1630" s="119"/>
      <c r="S1630" s="119"/>
      <c r="T1630" s="132"/>
    </row>
    <row r="1631" spans="2:20">
      <c r="B1631" s="310" t="s">
        <v>5</v>
      </c>
      <c r="C1631" s="311">
        <v>5.09</v>
      </c>
      <c r="D1631" s="312">
        <f t="shared" si="1895"/>
        <v>100</v>
      </c>
      <c r="E1631" s="311">
        <v>5.0999999999999996</v>
      </c>
      <c r="F1631" s="312">
        <f t="shared" si="1891"/>
        <v>100.19646365422396</v>
      </c>
      <c r="G1631" s="311">
        <v>5.0999999999999996</v>
      </c>
      <c r="H1631" s="312">
        <f t="shared" si="1892"/>
        <v>100.19646365422396</v>
      </c>
      <c r="I1631" s="311">
        <v>5.0999999999999996</v>
      </c>
      <c r="J1631" s="626">
        <f t="shared" si="1893"/>
        <v>100.19646365422396</v>
      </c>
      <c r="K1631" s="311">
        <v>5.12</v>
      </c>
      <c r="L1631" s="346">
        <f t="shared" si="1894"/>
        <v>100.58939096267191</v>
      </c>
      <c r="M1631" s="167"/>
      <c r="N1631" s="167"/>
      <c r="O1631" s="119"/>
      <c r="P1631" s="119"/>
      <c r="Q1631" s="177"/>
      <c r="R1631" s="119"/>
      <c r="S1631" s="119"/>
      <c r="T1631" s="132"/>
    </row>
    <row r="1632" spans="2:20">
      <c r="B1632" s="310" t="s">
        <v>6</v>
      </c>
      <c r="C1632" s="311">
        <v>5.09</v>
      </c>
      <c r="D1632" s="312">
        <f t="shared" si="1895"/>
        <v>100</v>
      </c>
      <c r="E1632" s="311">
        <v>5.0999999999999996</v>
      </c>
      <c r="F1632" s="312">
        <f t="shared" si="1891"/>
        <v>100.19646365422396</v>
      </c>
      <c r="G1632" s="311">
        <v>5.0999999999999996</v>
      </c>
      <c r="H1632" s="312">
        <f t="shared" si="1892"/>
        <v>100.19646365422396</v>
      </c>
      <c r="I1632" s="311">
        <v>5.0999999999999996</v>
      </c>
      <c r="J1632" s="626">
        <f t="shared" si="1893"/>
        <v>100.19646365422396</v>
      </c>
      <c r="K1632" s="628">
        <v>5.12</v>
      </c>
      <c r="L1632" s="629">
        <f t="shared" si="1894"/>
        <v>100.58939096267191</v>
      </c>
      <c r="M1632" s="167"/>
      <c r="N1632" s="167"/>
      <c r="O1632" s="119"/>
      <c r="P1632" s="119"/>
      <c r="Q1632" s="177"/>
      <c r="R1632" s="119"/>
      <c r="S1632" s="119"/>
      <c r="T1632" s="132"/>
    </row>
    <row r="1633" spans="2:20" ht="15.75" thickBot="1">
      <c r="B1633" s="310" t="s">
        <v>7</v>
      </c>
      <c r="C1633" s="311">
        <v>5.09</v>
      </c>
      <c r="D1633" s="312">
        <f t="shared" si="1895"/>
        <v>100</v>
      </c>
      <c r="E1633" s="311">
        <v>5.0999999999999996</v>
      </c>
      <c r="F1633" s="312">
        <f t="shared" si="1891"/>
        <v>100.19646365422396</v>
      </c>
      <c r="G1633" s="311">
        <v>5.0999999999999996</v>
      </c>
      <c r="H1633" s="312">
        <f t="shared" si="1892"/>
        <v>100.19646365422396</v>
      </c>
      <c r="I1633" s="311">
        <v>5.12</v>
      </c>
      <c r="J1633" s="626">
        <f t="shared" si="1893"/>
        <v>100.58939096267191</v>
      </c>
      <c r="K1633" s="1359" t="s">
        <v>164</v>
      </c>
      <c r="L1633" s="1360"/>
      <c r="M1633" s="167"/>
      <c r="N1633" s="167"/>
      <c r="O1633" s="119"/>
      <c r="P1633" s="119"/>
      <c r="Q1633" s="177"/>
      <c r="R1633" s="119"/>
      <c r="S1633" s="119"/>
      <c r="T1633" s="132"/>
    </row>
    <row r="1634" spans="2:20">
      <c r="B1634" s="310" t="s">
        <v>8</v>
      </c>
      <c r="C1634" s="311">
        <v>5.09</v>
      </c>
      <c r="D1634" s="312">
        <f t="shared" si="1895"/>
        <v>100</v>
      </c>
      <c r="E1634" s="311">
        <v>5.0999999999999996</v>
      </c>
      <c r="F1634" s="312">
        <f t="shared" si="1891"/>
        <v>100.19646365422396</v>
      </c>
      <c r="G1634" s="311">
        <v>5.0999999999999996</v>
      </c>
      <c r="H1634" s="312">
        <f t="shared" si="1892"/>
        <v>100.19646365422396</v>
      </c>
      <c r="I1634" s="311">
        <v>5.12</v>
      </c>
      <c r="J1634" s="626">
        <f t="shared" si="1893"/>
        <v>100.58939096267191</v>
      </c>
      <c r="K1634" s="630"/>
      <c r="L1634" s="631"/>
      <c r="M1634" s="167"/>
      <c r="N1634" s="167"/>
      <c r="O1634" s="119"/>
      <c r="P1634" s="119"/>
      <c r="Q1634" s="177"/>
      <c r="R1634" s="119"/>
      <c r="S1634" s="119"/>
      <c r="T1634" s="132"/>
    </row>
    <row r="1635" spans="2:20">
      <c r="B1635" s="310" t="s">
        <v>9</v>
      </c>
      <c r="C1635" s="311">
        <v>5.09</v>
      </c>
      <c r="D1635" s="312">
        <f t="shared" si="1895"/>
        <v>100</v>
      </c>
      <c r="E1635" s="311">
        <v>5.0999999999999996</v>
      </c>
      <c r="F1635" s="312">
        <f t="shared" si="1891"/>
        <v>100.19646365422396</v>
      </c>
      <c r="G1635" s="311">
        <v>5.0999999999999996</v>
      </c>
      <c r="H1635" s="312">
        <f t="shared" si="1892"/>
        <v>100.19646365422396</v>
      </c>
      <c r="I1635" s="311">
        <v>5.12</v>
      </c>
      <c r="J1635" s="626">
        <f t="shared" si="1893"/>
        <v>100.58939096267191</v>
      </c>
      <c r="K1635" s="632"/>
      <c r="L1635" s="633"/>
      <c r="M1635" s="167"/>
      <c r="N1635" s="167"/>
      <c r="O1635" s="119"/>
      <c r="P1635" s="119"/>
      <c r="Q1635" s="177"/>
      <c r="R1635" s="119"/>
      <c r="S1635" s="119"/>
      <c r="T1635" s="132"/>
    </row>
    <row r="1636" spans="2:20">
      <c r="B1636" s="310" t="s">
        <v>10</v>
      </c>
      <c r="C1636" s="311">
        <v>5.09</v>
      </c>
      <c r="D1636" s="312">
        <f t="shared" si="1895"/>
        <v>100</v>
      </c>
      <c r="E1636" s="311">
        <v>5.0999999999999996</v>
      </c>
      <c r="F1636" s="312">
        <f t="shared" si="1891"/>
        <v>100.19646365422396</v>
      </c>
      <c r="G1636" s="311">
        <v>5.0999999999999996</v>
      </c>
      <c r="H1636" s="312">
        <f t="shared" si="1892"/>
        <v>100.19646365422396</v>
      </c>
      <c r="I1636" s="311">
        <v>5.12</v>
      </c>
      <c r="J1636" s="626">
        <f t="shared" si="1893"/>
        <v>100.58939096267191</v>
      </c>
      <c r="K1636" s="632"/>
      <c r="L1636" s="633"/>
      <c r="M1636" s="167"/>
      <c r="N1636" s="167"/>
      <c r="O1636" s="119"/>
      <c r="P1636" s="119"/>
      <c r="Q1636" s="177"/>
      <c r="R1636" s="119"/>
      <c r="S1636" s="119"/>
      <c r="T1636" s="132"/>
    </row>
    <row r="1637" spans="2:20" ht="15.75" thickBot="1">
      <c r="B1637" s="314" t="s">
        <v>11</v>
      </c>
      <c r="C1637" s="315">
        <v>5.09</v>
      </c>
      <c r="D1637" s="316">
        <f t="shared" si="1895"/>
        <v>100</v>
      </c>
      <c r="E1637" s="315">
        <v>5.0999999999999996</v>
      </c>
      <c r="F1637" s="316">
        <f t="shared" si="1891"/>
        <v>100.19646365422396</v>
      </c>
      <c r="G1637" s="315">
        <v>5.0999999999999996</v>
      </c>
      <c r="H1637" s="316">
        <f t="shared" si="1892"/>
        <v>100.19646365422396</v>
      </c>
      <c r="I1637" s="315">
        <v>5.12</v>
      </c>
      <c r="J1637" s="627">
        <f t="shared" si="1893"/>
        <v>100.58939096267191</v>
      </c>
      <c r="K1637" s="632"/>
      <c r="L1637" s="633"/>
      <c r="M1637" s="167"/>
      <c r="N1637" s="167"/>
      <c r="O1637" s="119"/>
      <c r="P1637" s="119"/>
      <c r="Q1637" s="177"/>
      <c r="R1637" s="119"/>
      <c r="S1637" s="119"/>
      <c r="T1637" s="132"/>
    </row>
    <row r="1638" spans="2:20">
      <c r="C1638" s="119"/>
      <c r="D1638" s="119"/>
      <c r="E1638" s="119"/>
      <c r="F1638" s="119"/>
      <c r="G1638" s="119"/>
      <c r="H1638" s="119"/>
      <c r="I1638" s="119"/>
      <c r="J1638" s="119"/>
      <c r="K1638" s="119"/>
      <c r="L1638" s="119"/>
      <c r="M1638" s="119"/>
      <c r="N1638" s="119"/>
      <c r="O1638" s="119"/>
      <c r="P1638" s="119"/>
      <c r="Q1638" s="177"/>
      <c r="R1638" s="119"/>
      <c r="S1638" s="119"/>
      <c r="T1638" s="132"/>
    </row>
  </sheetData>
  <mergeCells count="158">
    <mergeCell ref="B53:T53"/>
    <mergeCell ref="B1136:C1136"/>
    <mergeCell ref="B649:C649"/>
    <mergeCell ref="B1451:C1451"/>
    <mergeCell ref="B1293:C1293"/>
    <mergeCell ref="B1310:C1310"/>
    <mergeCell ref="B1292:F1292"/>
    <mergeCell ref="B1245:F1245"/>
    <mergeCell ref="B1419:C1419"/>
    <mergeCell ref="B1153:C1153"/>
    <mergeCell ref="B869:C869"/>
    <mergeCell ref="B884:C884"/>
    <mergeCell ref="M1105:N1105"/>
    <mergeCell ref="B1105:F1105"/>
    <mergeCell ref="B1106:C1106"/>
    <mergeCell ref="M1120:N1120"/>
    <mergeCell ref="B1121:C1121"/>
    <mergeCell ref="B1120:F1120"/>
    <mergeCell ref="B1135:T1135"/>
    <mergeCell ref="B70:N70"/>
    <mergeCell ref="B71:C71"/>
    <mergeCell ref="B619:C619"/>
    <mergeCell ref="B664:I664"/>
    <mergeCell ref="B681:C681"/>
    <mergeCell ref="B1592:C1592"/>
    <mergeCell ref="B1404:C1404"/>
    <mergeCell ref="B100:N100"/>
    <mergeCell ref="B101:C101"/>
    <mergeCell ref="B554:C554"/>
    <mergeCell ref="B553:L553"/>
    <mergeCell ref="B570:C570"/>
    <mergeCell ref="B603:H603"/>
    <mergeCell ref="L633:N633"/>
    <mergeCell ref="G633:K633"/>
    <mergeCell ref="L618:N618"/>
    <mergeCell ref="B132:G132"/>
    <mergeCell ref="B539:L539"/>
    <mergeCell ref="B331:G331"/>
    <mergeCell ref="B411:N411"/>
    <mergeCell ref="B148:C148"/>
    <mergeCell ref="B523:C523"/>
    <mergeCell ref="B116:C116"/>
    <mergeCell ref="B147:N147"/>
    <mergeCell ref="B604:C604"/>
    <mergeCell ref="B587:C587"/>
    <mergeCell ref="B428:C428"/>
    <mergeCell ref="B262:C262"/>
    <mergeCell ref="B396:N396"/>
    <mergeCell ref="B1023:C1023"/>
    <mergeCell ref="B1325:C1325"/>
    <mergeCell ref="B1340:C1340"/>
    <mergeCell ref="B1339:F1339"/>
    <mergeCell ref="B1246:C1246"/>
    <mergeCell ref="B1466:C1466"/>
    <mergeCell ref="B1387:C1387"/>
    <mergeCell ref="B1403:P1403"/>
    <mergeCell ref="B1436:C1436"/>
    <mergeCell ref="B1231:C1231"/>
    <mergeCell ref="B1169:C1169"/>
    <mergeCell ref="B1216:C1216"/>
    <mergeCell ref="B1183:T1183"/>
    <mergeCell ref="B1201:R1201"/>
    <mergeCell ref="K1633:L1633"/>
    <mergeCell ref="B1:N1"/>
    <mergeCell ref="B2:N2"/>
    <mergeCell ref="B3:N3"/>
    <mergeCell ref="B4:D5"/>
    <mergeCell ref="B85:N85"/>
    <mergeCell ref="E4:J5"/>
    <mergeCell ref="B1263:C1263"/>
    <mergeCell ref="B634:C634"/>
    <mergeCell ref="B7:N7"/>
    <mergeCell ref="B23:C23"/>
    <mergeCell ref="B22:N22"/>
    <mergeCell ref="B38:N38"/>
    <mergeCell ref="B86:C86"/>
    <mergeCell ref="B39:C39"/>
    <mergeCell ref="B54:C54"/>
    <mergeCell ref="B728:I728"/>
    <mergeCell ref="B133:C133"/>
    <mergeCell ref="B710:F710"/>
    <mergeCell ref="B1607:C1607"/>
    <mergeCell ref="B1625:C1625"/>
    <mergeCell ref="B1530:C1530"/>
    <mergeCell ref="B1545:C1545"/>
    <mergeCell ref="B1560:C1560"/>
    <mergeCell ref="B115:T115"/>
    <mergeCell ref="B177:T177"/>
    <mergeCell ref="B277:X277"/>
    <mergeCell ref="B363:T363"/>
    <mergeCell ref="B427:T427"/>
    <mergeCell ref="B8:C8"/>
    <mergeCell ref="B899:C899"/>
    <mergeCell ref="B1088:C1088"/>
    <mergeCell ref="B744:C744"/>
    <mergeCell ref="B774:C774"/>
    <mergeCell ref="B759:C759"/>
    <mergeCell ref="B791:C791"/>
    <mergeCell ref="B807:C807"/>
    <mergeCell ref="B854:C854"/>
    <mergeCell ref="B822:C822"/>
    <mergeCell ref="B773:F773"/>
    <mergeCell ref="B1040:C1040"/>
    <mergeCell ref="B993:C993"/>
    <mergeCell ref="B1008:C1008"/>
    <mergeCell ref="B1073:C1073"/>
    <mergeCell ref="B978:C978"/>
    <mergeCell ref="B916:C916"/>
    <mergeCell ref="B508:C508"/>
    <mergeCell ref="B837:C837"/>
    <mergeCell ref="B162:N162"/>
    <mergeCell ref="B412:C412"/>
    <mergeCell ref="B382:C382"/>
    <mergeCell ref="B397:C397"/>
    <mergeCell ref="B507:K507"/>
    <mergeCell ref="B1386:T1386"/>
    <mergeCell ref="B1418:V1418"/>
    <mergeCell ref="B1465:T1465"/>
    <mergeCell ref="B1512:T1512"/>
    <mergeCell ref="B696:C696"/>
    <mergeCell ref="B163:C163"/>
    <mergeCell ref="B261:N261"/>
    <mergeCell ref="B278:C278"/>
    <mergeCell ref="L331:N331"/>
    <mergeCell ref="L347:N347"/>
    <mergeCell ref="B348:C348"/>
    <mergeCell ref="B364:C364"/>
    <mergeCell ref="B381:I381"/>
    <mergeCell ref="M381:N381"/>
    <mergeCell ref="B178:C178"/>
    <mergeCell ref="B1202:C1202"/>
    <mergeCell ref="B1184:C1184"/>
    <mergeCell ref="B1483:C1483"/>
    <mergeCell ref="B1498:C1498"/>
    <mergeCell ref="B1559:T1559"/>
    <mergeCell ref="B1606:T1606"/>
    <mergeCell ref="B522:V522"/>
    <mergeCell ref="B569:V569"/>
    <mergeCell ref="B586:R586"/>
    <mergeCell ref="B648:R648"/>
    <mergeCell ref="B836:T836"/>
    <mergeCell ref="B898:T898"/>
    <mergeCell ref="B960:T960"/>
    <mergeCell ref="B1022:T1022"/>
    <mergeCell ref="B1087:T1087"/>
    <mergeCell ref="B1278:C1278"/>
    <mergeCell ref="B665:C665"/>
    <mergeCell ref="B1577:C1577"/>
    <mergeCell ref="B711:C711"/>
    <mergeCell ref="B1372:C1372"/>
    <mergeCell ref="B1058:C1058"/>
    <mergeCell ref="B931:C931"/>
    <mergeCell ref="B946:C946"/>
    <mergeCell ref="B729:C729"/>
    <mergeCell ref="B1513:C1513"/>
    <mergeCell ref="B1357:C1357"/>
    <mergeCell ref="B961:C961"/>
    <mergeCell ref="B977:H977"/>
  </mergeCells>
  <phoneticPr fontId="0" type="noConversion"/>
  <printOptions gridLines="1"/>
  <pageMargins left="0.5" right="0.5" top="0.50069444444444444" bottom="0.5" header="0" footer="0"/>
  <pageSetup orientation="landscape" r:id="rId1"/>
  <headerFooter alignWithMargins="0">
    <oddHeader>&amp;C&amp;F</oddHeader>
    <oddFooter>&amp;CP Gina &amp;P</oddFooter>
  </headerFooter>
  <rowBreaks count="1" manualBreakCount="1">
    <brk id="692" max="16383" man="1"/>
  </rowBreaks>
  <ignoredErrors>
    <ignoredError sqref="M54:N54 Q31:R52 Q30:R30 N55:O55 Q1:R29 L55 J55 H55 F55 B55:D55 L30:P30 B30:J30 B31:P52 B1:P29 K30 E55 G55 I55 K55 B54:L54 B53 M55 U1096:XFD1096 U1095:XFD1095 U1100:XFD1100 U1099:XFD1099 U1097:XFD1097 U1098:XFD1098 U1089:XFD1090 U1094:XFD1094 U1093:XFD1093 U1091:XFD1091 U1092:XFD1092 U1088:XFD1088 U1144:XFD1144 U1143:XFD1143 U1147:XFD1147 U1148:XFD1148 U1145:XFD1145 U1146:XFD1146 U1137:XFD1138 U1142:XFD1142 U1141:XFD1141 U1136:XFD1136 U1139:XFD1139 U1140:XFD1140 N1613:N1619 M1615:M1617 M57:N58 M56 K56:K58 I56:I58 G56:G58 E56:E58 J56 B56:D56 L56 B57:D58 F57:F58 F56 H57:H58 H56 J57:J58 L57:L58 N56 M1613:M1614 J1613:L1613 L1619:M1619 K1618:K1619 B1619:D1619 B1618:D1618 F1618 F1619 E1619 G1619:H1619 E1618 G1618:H1618 I1618:J1619 L1617 K1614:L1614 K1615:L1615 G1616:I1616 G1615:I1615 E1615 G1614:I1614 E1614 G1613:I1613 E1613 G1617:I1617 E1617 E1616 F1617 F1613 F1614 F1615 F1616 B1617:D1617 B1616:D1616 J1616 B1615:D1615 J1615 B1614:D1614 J1614 B1613:D1613 J1617 K1616:L1616 L1618:M1618 K1617 B1620:P1637 B1638:T1645 Q1620:T1637 O56:Q56 O57:P58 O839:P839 Q525:R525 O179:P180 O181:P181 O182:P182 O1515:P1515 P1514 O1516:P1516 O1517:P1517 O1469:P1470 O1467:P1468 Q1420:R1420 Q1421:R1421 Q1423:R1423 Q1422:R1422 O1390:P1391 O1389:P1389 N1203 M1205:N1206 M1204:N1204 O1187:P1188 O1185:P1186 O1138:P1138 O1140:P1140 O1139:P1139 O1090:P1090 O1091:P1091 O1092:P1092 P962 O901:P901 N650 Q572:R572 S1499:T1500 O1563:P1563 O1562:P1562 O1564:P1564 S1210:T1210 S1209:T1209 S1531:T1531 S1213:T1213 S1214:T1214 S1215:T1383 S1479:T1483 S1532:T1541 S1503:T1503 S1504:T1510 S1511:T1511 S1501:T1502 S1484:T1495 S1496:T1498 S1542:T1545 S1551:T1557 S1549:T1549 S1548:T1548 S1546:T1547 S1384:T1384 S1385:T1385 S1550:T1550 S1558:T1558 S1211:T1211 S1212:T1212 S1101:T1134 S1432:T1464 S1526:T1530 P1184 S1205:T1206 S1203:T1204 S1202:T1202 M1202:N1202 S1207:T1208 S1201:T1201 O1387:P1387 Q1419:R1419 O1466:P1466 O1513:P1513 O1560:P1560 P1561 S1400:T1417 S1197:T1200 S1149:T1182 L661 M589:N589 M590:N591 M440:O440 R523 L660 O903:P903 O964:P964 O1027:P1027 O902:P902 O1026:P1026 L658 L659 O963:P963 P838 O900 O1025:P1025 O840:P841 O965:P965 R289 N439 N438 R524 R571 O119:P119 O120:P120 Q526:R527 Q573:R574 N373 R287 R288 N125 N126 N63 N64 N375 N374 N376 S191:T265 S67:T79 O367:P368 S282:T282 O117:P118 O365:P366 S280:T280 R290 S80:T80 S266:T266 S536:T568 S583:T585 S267:T276 S81:T114 S129:T176 S291:T362 S281:T281 S279:T279 S377:T426 S441:T521 O431:P432 S657:T657 S595:T595 S656:T656 S594:T594 M651:N651 S939:T940 S912:T930 S850:T897 M652:N653 S661:T661 S660:T660 S662:T835 S599:T599 S598:T598 S600:T647 S941:T942 S943:T945 S938:T938 S951:T951 S949:T949 S950:T950 S952:T958 S947:T948 S959:T959 S974:T1021 S1036:T1086 S596:T596 S658:T658 S597:T597 S659:T659 O116:P116 O178:P178 S278:T278 O364:P364 O428:P428 Q570:R570 M587:N587 S587:T587 S592:T592 S593:T593 S588:T589 S590:T591 S586:T586 S652:T653 S650:T651 S655:T655 M649:N649 S649:T649 S654:T654 S648:T648 O837:P837 O899:P899 C961:D961 O429:P430 S932:T937 S931:T931 S946:T946 M1607:P1607 Q1573:T1605 O1611:P1611 O1610:P1610 N1572:O1572 O1609:P1609 P1608 N1569 N1570 K1570:L1570 K1569:L1569 J1569 L1608 L1609 J1612:M1612 J1608 B1608:D1608 J1609 B1609:D1609 J1570 H1571:H1572 H1569:H1570 L1610 B1610:D1610 L1611 B1611:D1611 B1612:D1612 F1571:F1572 B1571:D1572 F1569:F1570 B1569:D1570 B1573:P1605 E1569:E1570 E1571:E1572 J1611 J1610 G1569:G1572 I1569:I1570 F1610 F1609 F1608 F1612 F1611 E1610 E1611 G1611:I1611 E1612 G1612:I1612 E1608 G1608:I1608 E1609 G1609:I1609 G1610:I1610 I1571:J1572 K1608:K1609 K1610:K1611 K1571:M1572 B1607:L1607 B1606 M1608:M1611 M434:M435 M370 M371:N371 N370:O370 Q284 Q285:R285 R284:S284 M122:M123 M60:M62 N122:O122 K654 M433 M369:N369 Q283:R283 M121:N121 M59 N946:P946 C946:D946 L931 N931:P931 B931:F931 B932:P937 N429:N430 M899:N899 M837:N837 K649:L649 K587:L587 O570:P570 M428:N428 M364:N364 Q278:R278 M178:N178 M116:N116 K1035 Q974:R1021 Q959:R959 Q947:R948 Q952:R958 Q950:R950 Q949:R949 Q951:R951 Q938:R938 Q943:R946 Q941:R942 Q600:R647 Q662:R835 L652:L653 Q850:R897 P848 Q912:R937 Q939:R940 L650:L651 N431:N432 Q441:R521 Q377:R426 R279 R281 Q291:R362 Q129:R176 Q81:R114 Q267:R276 Q583:R585 Q536:R568 Q266:R266 Q80:R80 K66 P290:Q290 R280 N365:N366 N117:N118 R282 N367:N368 Q67:R79 Q191:R265 K374:K376 K64:K65 K846:L846 L847 K908:L908 L909 K970:L970 K971:L971 L1033 K1032:L1032 L63 L64 L123 L126:M126 L124 L125 P288 P285 P286 O287:P287 L374:M374 L371 L372 K373:L373 N533 N530 N531 M532:N532 N580 N577 N578 M579:N579 M573:M574 M526:M527 K367:K368 O281:O282 K117:K120 M571:M572 M524:M525 K365:K366 O279:O280 K582:M582 K534:K535 E588:G593 K579 K578 G578:I578 K577 G577:I577 G579:I579 G582:I582 G580:I580 G581:I581 G571:K576 J580:K580 J582 J577 J578 J579 J581:K581 E577:E582 K532:L532 K531:L531 G531:I531 K530:L530 G530:I530 G532:I532 G528:K528 G529:L529 G535:I535 L533 G533:I533 G534:I534 G524:L527 J533:K533 J535 L528 J530 J531 J532 J534 I437:J437 I436:J436 E436:G436 E437:G437 E440:G440 J438 E438:G438 E439:G439 E429:J435 H438:I438 H440:I440 H436 H437 H439:I439 I373 I372 E372:G372 I371 E371:G371 E373:G373 E376:G376 E374:G374 E375:G375 E365:I370 H374:I374 H376:I376 H371 H372 H373 H375:I375 M287:N287 M286:O286 I286:K286 I287:K287 I282:M282 I283:N285 I280:M280 I281:M281 I290:K290 I288:K288 I289:K289 I279:M279 L288:M288 L290:M290 N280 N282 N279 N281 L286 L287 L289:M289 G285:G290 I125 I124 E124:G124 E125:G125 E128:G128 E126:G126 E127:G127 E117:I123 H126:I126 H128:I128 H124 H125 H127:I127 J119 I59:I63 G59:G66 H65:I65 H63 H62 E59:E66 H592 L575 J121 J120 H66:I66 H64:I64 D80 I266 F582 F535 B59:D60 B536:P539 B535:E535 B583:P585 B582:D582 B267:P276 B266:H266 J266:P266 B81:P114 B80:C80 E80:P80 B65 B64 J64 B67:P79 B66 J66 B122:D123 B120:D120 L120 B121:D121 K121:L121 B576:F576 B575:F575 M575:N575 B593:D593 B592:D592 F59:F61 F65 F64 F66 F63 F62 J62 J63:K63 J65 H59:H61 J59:L60 B119:D119 L119 B129:P176 B127:D127 J127 B126:D126 B125:D125 J125 B124:D124 J124 B128:D128 J128:K128 J126 B117:D118 J117:J118 J122:L122 B191:P210 B291:P362 B285:F290 H285 H290 H289 N289 H288 H287 H286 B283:H284 B281:H281 P281 B280:H280 B279:H279 P279:Q279 B282:H282 P282 P280:Q280 N290:O290 N288 O283:P284 B377:P382 B375:D375 J375 B374:D374 B373:D373 J373 B372:D372 J372 B371:D371 J371 B376:D376 J376 J374 B365:D370 J369:L370 B441:P507 B439:D439 J439 B438:D438 B437:D437 B436:D436 N436 B440:D440 J440 B429:D435 B534:F534 L534 B533:F533 B532:F532 B531:F531 B530:F530 B529:F529 B528:F528 M528:N528 L535:M535 B524:F527 N526:N527 M529:N529 B577:D581 F577 F581 L581 F580 F579 L579 F578 L578 L577 L580 B571:F574 L573:L574 L576:N576 B588:D591 H590:H591 H593 J365:J366 L365:L366 N524:N525 L571:L572 N571:N572 H588:H589 L117:L118 J367:J368 L367:L368 N573:N574 J61 J123 K61:L62 O285 K371:K372 M530:M531 M577:M578 J1031 J969 J1030 J1032 J906 J844 H656 H594 K965:K966 L966 L967 J967:K967 L840:L841 L1024:L1025 L900:L901 L838:L839 J838:J839 H650:H651 L962:L963 J1033 J1028:L1029 B1028:D1032 J1024:J1025 B1024:D1025 B1035:D1035 B1034:D1034 J971 J962:J963 J966 J968 H967:H968 H969:H971 H966 J900:J901 B900:D901 J905:L905 J909 B911:D911 J907 B907:D907 J908 B908:D908 B909:D909 B910:D910 B912:P930 J840:J841 B838:D841 J843:L843 J847 B849:D849 J845 B845:D845 J846 B846:D846 B847:D847 B848:D848 B850:P897 H652:H653 B650:D653 H655 H659 B661:D661 H657 B657:D657 H658 B658:D658 B659:D659 B660:D660 B662:P835 H597 B599:D599 H595 B595:D595 H596 B596:D596 B597:D597 B598:D598 B600:P603 L1026 B1026:D1026 F972 L902 B902:D902 L965 K904:L904 B904:D904 K842:L842 B842:D842 B843:D844 B654:D654 B655:D656 B594:D594 L1027 B1027:D1027 B1033:D1033 L964 H964 H965 L903 B903:D903 B905:D906 F973 H962:H963 F962:F965 F969:F971 B969:D973 L941:P942 B941:J942 B943:P945 L938:P938 B938:J938 B939:P940 N951:P951 J951:L951 B952:F958 H950 F950 K949:P950 J952:P958 B951:H951 K947:P948 B947:H948 F949:H949 B949:D950 B959:P959 B966:C966 B967:D968 F966:F968 B962:D965 B974:P1021 E962:E968 D966 E949:E950 I947:I958 G950 G952:G958 M951 K938 K941:K942 E969:E973 G962:G965 H952:H958 J947:J950 H973 J903 J964 J1027 H654 J842 J904 J965 J902 H972 J1026 F598 F596 F595 F599 F597:G597 E594:G594 E598 E597 E599 E596 E595 G595 G596 F660 F658 F657 F661 F659:G659 E650:G656 E660 E659 E661 E658 E657 G657 G658 H848 H846 H845 H849 H847:I847 E838:I844 E848:G848 E847:G847 E849:G849 E846:G846 E845:G845 I845 I846 H910 H908 H907 H911 H909:I909 E900:I906 E910:G910 E909:G909 E911:G911 E908:G908 E907:G907 I907 I908 G966:G973 I967:I968 I966 I962:I965 I969:I971 H1034 H1035 E1024:I1032 E1035:G1035 E1034:G1034 I1033 E1033:H1033 G598:H599 G660:H661 I848:J849 I910:J911 I972:J973 I1034:J1035 K962:K963 K838:K839 K900:K901 K1024:K1025 K840:K841 K902:K903 K964 K1026:K1027 K1031:L1031 K969:L969 K907:L907 K906:L906 K845:L845 K844:L844 K968:L968 K1030:L1030 J970 K123:K125 L1035 K972:L972 K911:L911 K849:L849 K1033 K909 K847 K973:L973 K848:L848 K910:L910 K1034:L1034 M580 M581:N581 N535 M534:N534 L376:M376 L375:M375 O288 O289:Q289 K126 L128 K127:L127 L65 L66 M533 N582 B116:L116 B115 M117:M118 B178:L178 B177 B278:P278 B277 B364:L364 M365:M366 B363 B428:L428 B427 B523:N523 B522 B570:N570 B569 C587:J587 B586 C649:J649 B648 B837:L837 B836 B899:L899 B898 B960 B1023:L1023 B1022 M119:N120 Q281:Q282 M367:M368 K438 K439:M439 L440 K435:K436 L429:L430 K433:L434 K429:K430 K431:L432 K437:M437 L436 L438:M438 L435 M429:M430 M431:M432 K440 I598:J598 I597 J599 I594:J594 I595:J595 J590:J591 J588:J589 I593:J593 I592:J592 I588:I589 I590:I591 J597 I596:J596 I599 I660:K660 I659 J661:K661 I656:J656 I657:J657 I652:I653 I650:I651 I654:J654 I655:J655 J650:J651 J652:J653 J659 I658:J658 K652:K653 K650:K651 I661 K1148 L1146 K1145:L1145 L1137:L1138 K1141:L1142 L1139 L1140 K1137:K1138 K1139:K1140 K1144:L1144 K1143:L1143 K1147:L1147 K1146 L1148 K1196 L1194 K1193:L1193 L1187:L1188 L1185:L1186 K1189:L1190 K1185:K1186 K1187:K1188 K1192:L1192 K1191:L1191 K1195:L1195 K1194 L1196 K1399 L1397 K1396:L1396 L1388:L1389 K1392:L1393 K1388:K1389 K1390:L1391 K1395:L1395 K1394:L1394 K1398:L1398 K1397 L1399 M1561:M1564 B1559 B1560:L1560 B1512 B1513:L1513 B1465 B1466:L1466 B1418 B1419:N1419 B1386 B1387:L1387 B1201 C1202:J1202 B1183 B1184:L1184 B1135 C1136:L1136 B1087 B1088:L1088 K1525:L1525 M1430:N1430 K1099:L1099 M1429 K1098 K1100:L1100 M1431:N1431 K1524:L1524 K1520:L1520 K1095:L1095 K1567:L1567 K1096:L1096 M1426:N1426 M1427:N1427 K1521:L1521 K1568:L1568 K1563:K1564 K1516:K1517 M1422:N1423 K1091:K1092 K1561:K1562 K1514:K1515 M1420:M1421 K1089:K1090 I1524:J1525 K1430:L1431 I1398:J1399 I1195:J1196 I1147:J1148 I1099:J1100 E1398:H1398 E1399:H1399 E1195:H1195 E1196:H1196 E1147:H1147 E1148:H1148 E1098:H1098 E1146:I1146 E1194:I1194 E1397:I1397 I1566:I1568 I1561:I1564 I1565 G1565:G1568 I1519:I1523 I1514:I1517 I1518 G1518:G1525 J1516 I1422:K1422 I1421:K1421 G1421 I1420:K1420 G1420 I1430:J1430 I1429:K1429 G1429 I1428:K1428 G1428 I1427:K1427 G1427 I1426:K1426 G1426 I1425:K1425 G1425 I1424:K1424 G1424 I1431:J1431 G1431 I1423:K1423 G1423 G1430 G1422 H1423 H1431 H1424 H1425 H1426 H1427 H1428 H1429 H1430 H1420 H1421 H1422 E1426:E1431 E1388:I1396 E1185:I1193 E1137:I1145 I1098 E1099:G1099 E1100:G1100 E1089:I1097 H1100 H1099 J1563 J1139 J1091 J1564 J1517 J1140 J1092 M1550 K1384 G1561:G1564 J1546:J1547 G1546:H1547 I1546:I1547 I1548 G1548:H1548 J1548 D1548:F1548 J1549:J1550 I1551:K1557 G1551:G1557 D1551:E1557 D1549:H1550 F1551:F1557 H1551:H1557 I1549:I1550 K1548:K1550 K1531:K1541 G1514:G1517 F1561 K1546:K1547 K1484:K1495 J1499:J1502 F1504:F1510 H1499:H1510 E1501:E1510 G1499:G1510 M1503 K1499:K1503 I1499:I1510 F1514 E1523:E1525 E1561:E1568 E1514:E1522 B1526:P1530 B1514:D1522 F1518:F1522 B1561:D1568 F1565:F1568 B1523:D1525 F1523:F1525 H1514 B1511:P1511 B1499:F1500 J1504:P1510 J1503 L1499:P1502 L1503 N1503:P1503 B1501:D1510 F1501:F1503 B1496:P1498 B1484:J1495 L1484:P1495 B1558:P1558 B1546:F1547 L1546:P1547 H1561 F1515:F1517 H1515 B1542:P1545 B1531:J1541 L1532:P1541 B1548:C1548 L1548:P1549 B1549:C1550 B1551:C1557 L1551:P1557 F1562:F1564 H1562 B1385:P1385 B1384:J1384 L1384:P1384 L1550 N1550:P1550 B1098:D1098 B1092:D1092 L1092 B1147:D1147 B1140:D1140 H1517 L1517 H1564 L1564 B1091:D1091 L1091 B1139:D1139 H1563 L1563 B1036:P1086 B1101:P1105 B1099:D1099 B1100:D1100 B1093:D1097 J1093:L1094 B1089:D1090 J1089:J1090 J1098 B1141:D1145 J1141:J1142 B1137:D1138 J1137:J1138 B1195:D1195 B1185:D1193 J1189:J1190 B1398:D1398 B1388:D1396 J1392:J1393 B1432:P1464 B1426:D1431 F1426 B1423:F1423 B1422:F1422 L1422 B1421:F1421 L1421 B1420:F1420 L1420 F1431 F1430 F1429 L1429 F1428 L1428 F1427 L1427 L1426 B1425:F1425 L1425:N1425 B1424:F1424 L1424:N1424 L1423 B1479:P1483 H1516 L1516 H1519:H1522 H1524:H1525 H1518 J1518:L1518 J1514 J1515 J1522 H1523 J1523 H1566:H1568 H1565 J1565:M1565 J1561 J1562 B1397:D1397 J1397 B1194:D1194 J1194 B1146:D1146 J1146 B1149:P1182 B1148:D1148 B1197:P1200 B1196:D1196 B1215:P1215 B1400:P1417 B1399:D1399 L1089:L1090 J1185:J1186 J1388:J1389 N1421 N1420 L1514 L1515 L1561 L1562 J1187:J1188 J1390:J1391 J1566:K1566 L1566 J1567 L1531 N1531:P1531 J1519:K1519 L1519 J1097 J1095 J1145 J1143 J1193 J1191 J1396 J1394 J1520 J1096 J1144 J1192 J1395 J1521 J1568 K1097:L1097 K1523:L1523 K1522:L1522 M1428:N1428 N1429 L1098 Q1526:R1530 M1568:N1568 Q1531:R1531 M1567:N1567 M1566:N1566 N1562 N1561:O1561 Q1400:R1417 Q1215:R1383 Q1197:R1200 Q1149:R1182 N1565 Q1479:R1483 Q1432:R1464 Q1101:R1134 Q1036:R1086 N1563 N1564 Q1550:R1550 Q1384:R1384 Q1385:R1385 Q1551:R1557 Q1548:R1548 Q1549:R1549 Q1532:R1541 Q1542:R1545 Q1546:R1547 Q1558:R1558 Q1484:R1495 Q1496:R1498 Q1503:R1503 Q1499:R1500 Q1501:R1502 Q1504:R1510 Q1511:R1511 K1202:L1202 M1387:N1387 O1419:P1419 M1466:N1466 M1513:N1513 M1560:N1560 K655:M655 L654 K657:L657 K656:L656 N435 N434:O434 H931 N123 F946 N61 N124 N62 N60:O60 N59 N433 N372 M372:M373 N437 M436 R286 M124:M125 M63:M64 Q286:Q288 K658:K659 M1569:M1570 M65:N66 M127:N128 O578:O579 P578 O576 O577:P577 O572:O574 O571 O581 O580 P573:P574 P572 P571 O575:P575 P576:Q576 P579 Q571 O582:P582 P580 P581 K596:K597 K594:L594 K595:L595 K593 K590:K591 K588:K589 K598 L590:L591 L588:L589 K592:L592 L593:M593 M588:N588 K599:L599 L598 L596:L597 M650 M908:M909 M905:N905 N907 M906:N906 N904 M901:M904 M900 M910 M907 N901 N902 N903 N900 P900 N908:N909 M911:N911 N910 M970:M971 N966 M965 M967:N967 M962:M963 M964 M969:N969 M968:N968 M972 M966 N965 N962:N963 N964 O962 M973:O973 N972 N971 M1031:M1032 M1029:N1029 N1031 M1030:N1030 N1028 M1024:M1028 M1034 M1033 N1024:N1025 N1026 N1027 M1023:N1023 O1023:P1023 M1035:N1035 N1033 N1034 N1032 O1024:P1024 M1096:M1098 N1093 M1088:N1088 N1092 N1091 M1094:N1094 N1089:N1090 M1095:N1095 N1096 M1099 M1089:M1093 O1088:P1088 M1100:N1100 N1099 N1098 N1097 O1089:P1089 M1144:M1146 N1141 M1136:N1136 N1139 N1140 M1142:N1142 N1137:N1138 M1143:N1143 N1144:O1144 M1137:M1138 M1141 M1139 M1140 M1147 O1136:P1136 M1148:N1148 N1147 N1146 N1145 O1137:P1137 M1192:M1194 N1189 M1184:N1184 M1190:N1190 N1185:N1186 N1187:N1188 M1191:N1191 N1192:O1192 M1187:M1189 M1185:M1186 M1195 O1184 M1196:N1196 N1195 N1194 K1211:K1212 L1207 K1208:L1208 L1203:L1204 L1205:L1206 K1209:L1209 K1210:L1210 J1212 I1211:J1211 H1210 H1209 H1211 J1205:J1206 H1205:H1206 J1203:J1204 H1203:H1204 B1214:D1214 H1212 B1212:D1212 H1207:J1208 B1203:D1211 B1213:D1213 E1203:G1211 E1212:G1212 E1214:F1214 E1213:F1213 G1213:H1214 I1203:I1204 I1205:I1206 I1210:J1210 I1209:J1209 I1213:K1213 I1212 I1214:J1214 K1203:K1207 K1214:L1214 L1212 L1213 L1211 M1203 M1395:M1397 N1392 M1393:N1393 N1388:N1389 N1390:N1391 M1394:N1394 N1395:O1395 M1390:M1391 M1388:M1389 M1398 M1392 M1399:N1399 N1398 O1388:P1388 N1396:N1397 O1427:O1429 P1422 P1427:Q1427 O1426:P1426 O1425 P1423 P1421 P1420 O1430 O1420:O1423 O1424:P1424 P1425 P1428:P1429 O1431:P1431 P1430 M1474:M1476 N1471 M1472:N1472 N1467:N1468 N1469:N1470 M1473:N1473 N1474 L1476 K1475:L1475 L1469:L1470 L1467:L1468 K1471:L1472 B1467:D1472 B1473:D1476 B1477:D1478 E1477:E1478 E1473:E1476 E1467:J1472 F1478:H1478 F1473:J1475 F1476:H1476 F1477:H1477 J1476 I1477:J1478 I1476 K1467:K1468 K1469:K1470 K1474:L1474 K1473:L1473 K1476 K1478:L1478 K1477:M1477 M1467:M1471 N1477 M1478:N1478 N1476 N1475 M1522:M1523 N1517 N1516 N1518 N1514:O1514 N1515 M1519:N1519 M1520:N1520 M1521:N1521 M1518 M1524 M1514:M1517 M1525:O1525 N1524 N1522:N1523 N1608:N1612 O1608 M186:M188 N186 N185 M181:M182 M179:M180 L189:M189 L190:M190 K185:K186 J185 L179:L180 J179:J180 B179:D180 J183:L184 J188 J190 B190:D190 J186 B186:D186 J187 B187:D187 B188:D188 J189 B189:D189 L181 B181:D181 L182 B182:D182 B183:D185 J182 J181 H189:I189 H187 H186 H190:I190 H188:I188 E179:I185 E189:G189 E188:G188 E190:G190 E187:G187 E186:G186 I186 I187 K179:K182 K187:L187 L186 L188 L185 K188:K190 N179:N180 N182 N181 M183:N183 N184:O184 M184:M185 N189 N188 N187 N190 O531:O532 P531 O525:O527 O524 O534 O533 P526:P527 P525 P529:Q529 O523:P523 P524 O528:P528 O530:P530 O529 Q523 P532 O535:P535 P533 P534 M845:M847 M843:N843 N845 M844:N844 N842 M839:M842 M838 M848 N840:N841 N839 N838 O838 M849:N849 N848 N847 Q524 A61 A526:A527 A524 A850:A897 A845 A844 A846 A848 A849 A842 A838 A843 A839 A840:A841 O842:Q842 A532 A531 A536:A568 A534 A533 A535 A530 A529 A523 A528 Q528:S528 A525 A267:A276 A190 A189 A187 A188 A186 A184 A183 O183:Q183 A182 A181 A179:A180 A185 A1612 A1608 A1526:A1530 A1523 A1524 A1525 A1519 A1514 A1518 O1518:Q1518 A1521 A1520 A1477 A1475 A1476 A1479:A1483 A1478 A1472 A1467:A1468 A1474 A1473 A1471 A1469:A1470 O1471:Q1471 A1432:A1464 A1430 A1431 A1428 A1427 A1425 A1424 Q1424:S1424 A1422 A1426 A1418 A1397 A1390:A1391 A1388 A1398 A1399 A1393 A1392 O1392:Q1392 A1389 A1395 A1394 A1208 A1203 A1212 A1211 A1215:A1383 A1213 A1214 A1204 A1210 A1209 A1207 A1205:A1206 M1207:O1207 A1197:A1200 A1191 A1192 A1194 A1190 A1195 A1196 A1189 A1184 A1185:A1186 O1189:Q1189 A1138 A1137 A1144 A1140 A1139 A1136 A1141 A1142 A1147 A1146 A1145 A1149:A1182 A1148 A1143 O1141:Q1141 A1090 A1089 A1088 A1096 A1092 A1091 A1093 A1094 A1101:A1134 A1098 A1097 A1099 A1100 A1095 O1093:Q1093 A1025 A1024 A1033 A1031 A1030 A1032 A1036:A1086 A1034 A1035 A1029 A1023 A1028 A1027 A1026 O1028:Q1028 A974:A1021 A969 A968 A971 A972 A973 A963 A962 A967 A966 A964 A965 O966:Q966 A912:A930 A910 A911 A908 A901 A900 A905 A903 A902 A907 A904 O904:Q904 A906 A652:A653 A650 A600:A647 A597 A598 A599 A590:A591 A588 A594 A593 A592 M592:O592 A589 A595 A579 A578 A577 A583:A585 A581 A580 A582 A573:A574 A571 A576 A575 Q575:S575 A572 A129:A176 A128 A81:A114 A65 A1573:A1605 A1569:A1570 A660 A659 A291:A362 A287 A64 A126 A125 A439 A436 A437 A374 A373 A435 A433 O433:Q433 A59 O59:Q59 A932:A937 A931 A60 A62 A951 A946 A123 A434 A657 A656 A655 A654 M654:N654 A1563 A1559 A1560 A1561 A1562 A1513 A1512 A1466 A1465 A1419 A1387 A1386 A1202 A1201 A1183 A1135 A1087 A1568 A1567 A1566 A1565 A1564 A1511 A1504:A1510 A1503 A1501:A1502 A1499:A1500 A1496:A1498 A1484:A1495 A1558 A1548 A1546:A1547 A1542:A1545 A1532:A1541 A1550 A1549 A1551:A1557 A1385 A1384 O1565:Q1565 A1400:A1417 A1531 A1429 A1522 A1396 A1193 A1187:A1188 A1517 A1515 A1420 A1421 A1516 A1423 A662:A835 A661 A651 A658 A596 A441:A521 A440 A431:A432 A429:A430 A438 A369:A370 A367:A368 A283:A284 A281 A121 A120 A1022 A961 A960 A899 A898 A837 A836 A649 A648 A587 A586 A570 A569 A522 A428 A427 A364 A363 A365:A366 A279 A277 A278 A178 A177 A117:A118 A116 A115 A66 A127 A289 A288 A377:A426 A375 A376 A847 A909 A970 A947:A948 A959 A952:A958 A943:A945 A941:A942 A939:A940 A938 A950 A949 A372 A371 A285 A290 A280 A282 A286 A191:A265 A122 A124 A119 A63 O121:Q121 A67:A79 A80 A266 S283:U283 O369:Q369 A1609 A1607 A1606 A1571:A1572 A1611 A1610 O1612:Q1612 O1472:O1473 O1393:O1394 O1190:O1191 O1142:O1143 Q1425:Q1426 O61:O62 O123:O124 O185:O186 S285:S286 O371:O372 O435:O436 Q530:Q531 Q577:Q578 M594:M595 M656:M657 O843:O845 O905:O907 O967:O969 O1029:O1031 O1094:O1096 M1208:M1210 O1519:O1521 O1566:O1568 O1613:O1615 N846 N970 N1193 O1616 O63:P64 O125:P126 O187:O188 S287:S288 O373:O374 O846:P847 O908:P909 O970:O972 O1032:P1033 O1097:O1098 O1145:O1146 O1193:P1194 M1211:M1212 O1396:O1397 Q1428:Q1429 O1474:O1476 O1522:O1524 N1571 O1569:O1571 O1617:P1617 M658:M659 P1618 P1195 P1034 P910 O437:P439 O1618:O1619 P440 O65:P66 O127:O128 O189:O190 S289:S290 O375:O376 Q532:Q535 Q579:Q582 M596:M599 M660:M661 O849:Q849 O848 O910:O911 O1034:O1035 O1099:O1100 O1147:O1148 O1195:O1196 M1213:M1214 O1398:O1399 Q1430:Q1431 O1477:O1478 Q55:R55 Q117:Q118 Q179:Q180 U279:U280 Q365:Q366 Q429:Q430 S524:S525 S571:S572 O588:O589 Q838:Q839 Q900:Q901 Q1024:Q1025 Q1089:Q1090 Q1137:Q1138 Q1185:Q1186 O1203:O1204 Q1388:Q1389 S1420:S1421 Q1467:Q1468 Q1514:Q1515 Q1561:Q1562 Q1608:Q1609 Q431:Q432 Q57:R58 Q119:Q120 Q181:Q182 U281:U282 Q367:Q368 S526:S527 O590:O591 S573:S574 Q840:Q841 Q902:Q903 Q1026:Q1027 Q1091:Q1092 Q1139:Q1140 Q1187:Q1188 O1205:O1206 Q1390:Q1391 S1422:S1423 Q1469:Q1470 Q1516:Q1517 Q1563:Q1564 Q1610:Q1611 P961 Q60:R60 B63 B61 D61 B62 D62 D63 D64 D65 D66 Q61 Q122:Q123 Q184:Q185 B212:P265 B211:J211 L211:P211 U284:U285 Q370:Q371 Q434:Q435 B509:P521 C508:D508 F508:P508 S529:S530 B541:P553 B540:D540 F540 H540 J540 L540:P540 B555:P568 B554:D554 F554 H554 J554 L554 N554 P554 S576:S577 O593:O594 B605:P618 B604:N604 P604 B620:P633 B619:D619 F619 H619 J619 L619 N619:P619 B635:P647 C634:P634 Q843:Q844 Q905:Q906 J931 H946 J946 L946 F961 H961 J961 Q967:Q968 Q1029:Q1030 Q1094:Q1095 B1107:P1120 B1106:D1106 F1106 H1106:P1106 B1122:P1134 C1121:D1121 F1121 H1121:P1121 Q1142:Q1143 Q1190:Q1191 O1208:O1209 B1217:P1230 B1216:D1216 F1216 H1216 J1216 L1216 N1216:P1216 B1232:P1245 C1231:D1231 F1231 H1231 J1231 L1231 N1231:P1231 B1247:P1383 C1246:P1246 Q1393:Q1394 S1425:S1426 Q1472:Q1473 Q1519:Q1520 Q1566:Q1567 Q1613:Q1614 Q1615:Q1616 Q1568:Q1570 Q1521:Q1523 Q1474:Q1475 S1427:S1428 Q1395:Q1396 Q62:Q63 Q124:Q125 Q186:Q187 U286:U287 Q372:Q373 Q436:Q437 S531:S532 S578:S579 O595:O596 Q845:Q846 Q907:Q908 Q969:Q971 Q1031:Q1032 Q1096:Q1097 Q1144:Q1145 Q1192:Q1193 O1210:O1211 Q64:R65 Q126:R127 Q188:R189 U288:V289 Q374:R375 Q438:R439 S533:T534 S580:T581 O597:P598 Q847:R848 Q909:R910 Q972:R973 Q1033:R1034 Q1098:R1099 Q1146:R1147 Q1194:R1195 O1212:P1213 Q1397:R1398 S1429:T1430 Q1476:R1477 Q1524:R1525 Q1571:R1572 Q1617:R1618 O1214:P1214 O599:P599 Q66:R66 R1619 R1478 T1431 R1399 Q1196:R1196 Q1148:R1148 Q1100:R1100 Q1035:R1035 Q911:R911 R849 S582:T582 S535:T535 R440 R376 U290:V290 Q190:R190 Q128:R128 W279 O650:O661 B395:P426 B394:C394 E394 B390:C393 B389:C389 E389 E390:E393 B384:E388 B383:E383 G383 G394 G389 G390:G393 G384:G388 I383 I394 I389 I390:I393 I384:I388 K383 K394 K389 K390:K393 K384:K388 M383 O383:P383 M394 M389 M390:M393 M384:M388 O394:P394 O389:P389 O390:P393 O384:P388" formula="1"/>
    <ignoredError sqref="Q961" numberStoredAsText="1"/>
    <ignoredError sqref="Q962:Q965 K961:O961 K211 B508 E508 E540 G540 I540 K540 E554 G554 I554 K554 M554 O554 B587 O604 E619 G619 I619 K619 M619 B634 B649 G931 I931 K931 M931 B946 E946 G946 I946 K946 M946 B961 E961 G961 I961 E1106 G1106 B1121 E1121 G1121 B1136 B1202 E1216 G1216 I1216 K1216 M1216 B1231 E1231 G1231 I1231 K1231 M1231 B1246 M1531" numberStoredAsText="1" formula="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0">
    <pageSetUpPr fitToPage="1"/>
  </sheetPr>
  <dimension ref="A1:J512"/>
  <sheetViews>
    <sheetView showGridLines="0" showOutlineSymbols="0" topLeftCell="A303" zoomScaleNormal="100" workbookViewId="0">
      <selection activeCell="H323" sqref="H323"/>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29" t="s">
        <v>352</v>
      </c>
      <c r="B4" s="1430"/>
      <c r="C4" s="1431"/>
      <c r="D4" s="1432" t="s">
        <v>340</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831" t="s">
        <v>341</v>
      </c>
      <c r="B6" s="781" t="s">
        <v>64</v>
      </c>
      <c r="C6" s="781" t="s">
        <v>68</v>
      </c>
      <c r="D6" s="781" t="s">
        <v>342</v>
      </c>
      <c r="E6" s="781" t="s">
        <v>343</v>
      </c>
      <c r="F6" s="781" t="s">
        <v>344</v>
      </c>
      <c r="G6" s="781" t="s">
        <v>345</v>
      </c>
      <c r="H6" s="1428"/>
    </row>
    <row r="7" spans="1:8" ht="15.75" customHeight="1" thickBot="1">
      <c r="A7" s="1419" t="s">
        <v>347</v>
      </c>
      <c r="B7" s="1420"/>
      <c r="C7" s="952"/>
      <c r="D7" s="952"/>
      <c r="E7" s="952"/>
      <c r="F7" s="952"/>
      <c r="G7" s="952"/>
      <c r="H7" s="953"/>
    </row>
    <row r="8" spans="1:8" ht="16.5" hidden="1" customHeight="1" thickBot="1">
      <c r="A8" s="972" t="s">
        <v>637</v>
      </c>
      <c r="B8" s="1006">
        <f>+geral!C140</f>
        <v>2.15</v>
      </c>
      <c r="C8" s="997">
        <v>100</v>
      </c>
      <c r="D8" s="997"/>
      <c r="E8" s="997"/>
      <c r="F8" s="997"/>
      <c r="G8" s="1002"/>
      <c r="H8" s="1001">
        <f>$B$322/B8</f>
        <v>9.0166112956810647</v>
      </c>
    </row>
    <row r="9" spans="1:8" ht="16.5" hidden="1" customHeight="1" thickBot="1">
      <c r="A9" s="973" t="s">
        <v>638</v>
      </c>
      <c r="B9" s="773">
        <f>+geral!C141</f>
        <v>2.2000000000000002</v>
      </c>
      <c r="C9" s="748">
        <v>100</v>
      </c>
      <c r="D9" s="748">
        <f t="shared" ref="D9:D73" si="0">100*((B9/B8)-1)</f>
        <v>2.3255813953488413</v>
      </c>
      <c r="E9" s="748"/>
      <c r="F9" s="748"/>
      <c r="G9" s="839"/>
      <c r="H9" s="842">
        <f>$B$322/B9</f>
        <v>8.8116883116883127</v>
      </c>
    </row>
    <row r="10" spans="1:8" ht="16.5" hidden="1" customHeight="1" thickBot="1">
      <c r="A10" s="973" t="s">
        <v>639</v>
      </c>
      <c r="B10" s="773">
        <f>+geral!C142</f>
        <v>2.5099999999999998</v>
      </c>
      <c r="C10" s="748">
        <f t="shared" ref="C10:C73" si="1">100*B10/$B$8</f>
        <v>116.74418604651162</v>
      </c>
      <c r="D10" s="748">
        <f t="shared" si="0"/>
        <v>14.090909090909065</v>
      </c>
      <c r="E10" s="748"/>
      <c r="F10" s="748"/>
      <c r="G10" s="839"/>
      <c r="H10" s="842">
        <f>$B$322/B10</f>
        <v>7.7233921457029053</v>
      </c>
    </row>
    <row r="11" spans="1:8" ht="16.5" hidden="1" customHeight="1" thickBot="1">
      <c r="A11" s="973" t="s">
        <v>640</v>
      </c>
      <c r="B11" s="773">
        <f>+geral!C143</f>
        <v>2.2200000000000002</v>
      </c>
      <c r="C11" s="748">
        <f t="shared" si="1"/>
        <v>103.25581395348838</v>
      </c>
      <c r="D11" s="748">
        <f t="shared" si="0"/>
        <v>-11.553784860557759</v>
      </c>
      <c r="E11" s="748"/>
      <c r="F11" s="748"/>
      <c r="G11" s="839"/>
      <c r="H11" s="842">
        <f>$B$322/B11</f>
        <v>8.732303732303734</v>
      </c>
    </row>
    <row r="12" spans="1:8" ht="16.5" hidden="1" customHeight="1" thickBot="1">
      <c r="A12" s="973" t="s">
        <v>641</v>
      </c>
      <c r="B12" s="773">
        <f>+geral!C144</f>
        <v>2.2000000000000002</v>
      </c>
      <c r="C12" s="748">
        <f t="shared" si="1"/>
        <v>102.32558139534885</v>
      </c>
      <c r="D12" s="748">
        <f t="shared" si="0"/>
        <v>-0.9009009009009028</v>
      </c>
      <c r="E12" s="748"/>
      <c r="F12" s="748"/>
      <c r="G12" s="839"/>
      <c r="H12" s="842">
        <f>$B$322/B12</f>
        <v>8.8116883116883127</v>
      </c>
    </row>
    <row r="13" spans="1:8" ht="16.5" hidden="1" customHeight="1" thickBot="1">
      <c r="A13" s="973" t="s">
        <v>642</v>
      </c>
      <c r="B13" s="773">
        <f>+geral!C145</f>
        <v>2.2599999999999998</v>
      </c>
      <c r="C13" s="748">
        <f t="shared" si="1"/>
        <v>105.11627906976743</v>
      </c>
      <c r="D13" s="748">
        <f>100*((B13/B12)-1)</f>
        <v>2.7272727272727115</v>
      </c>
      <c r="E13" s="748"/>
      <c r="F13" s="748"/>
      <c r="G13" s="839"/>
      <c r="H13" s="842">
        <f>$B$322/B13</f>
        <v>8.5777496839443774</v>
      </c>
    </row>
    <row r="14" spans="1:8" ht="16.5" hidden="1" customHeight="1" thickBot="1">
      <c r="A14" s="973" t="s">
        <v>625</v>
      </c>
      <c r="B14" s="773">
        <f>+geral!E134</f>
        <v>2.17</v>
      </c>
      <c r="C14" s="748">
        <f t="shared" si="1"/>
        <v>100.93023255813954</v>
      </c>
      <c r="D14" s="748">
        <f t="shared" si="0"/>
        <v>-3.9823008849557473</v>
      </c>
      <c r="E14" s="748">
        <f t="shared" ref="E14:E25" si="2">100*((B14/$B$13)-1)</f>
        <v>-3.9823008849557473</v>
      </c>
      <c r="F14" s="748"/>
      <c r="G14" s="839"/>
      <c r="H14" s="842">
        <f>$B$322/B14</f>
        <v>8.9335088874259405</v>
      </c>
    </row>
    <row r="15" spans="1:8" ht="16.5" hidden="1" customHeight="1" thickBot="1">
      <c r="A15" s="973" t="s">
        <v>626</v>
      </c>
      <c r="B15" s="773">
        <f>+geral!E135</f>
        <v>2.2000000000000002</v>
      </c>
      <c r="C15" s="748">
        <f t="shared" si="1"/>
        <v>102.32558139534885</v>
      </c>
      <c r="D15" s="748">
        <f t="shared" si="0"/>
        <v>1.3824884792626779</v>
      </c>
      <c r="E15" s="748">
        <f t="shared" si="2"/>
        <v>-2.6548672566371501</v>
      </c>
      <c r="F15" s="748"/>
      <c r="G15" s="839"/>
      <c r="H15" s="842">
        <f>$B$322/B15</f>
        <v>8.8116883116883127</v>
      </c>
    </row>
    <row r="16" spans="1:8" ht="16.5" hidden="1" customHeight="1" thickBot="1">
      <c r="A16" s="973" t="s">
        <v>627</v>
      </c>
      <c r="B16" s="773">
        <f>+geral!E136</f>
        <v>2</v>
      </c>
      <c r="C16" s="748">
        <f t="shared" si="1"/>
        <v>93.023255813953497</v>
      </c>
      <c r="D16" s="748">
        <f t="shared" si="0"/>
        <v>-9.0909090909090935</v>
      </c>
      <c r="E16" s="748">
        <f t="shared" si="2"/>
        <v>-11.504424778761058</v>
      </c>
      <c r="F16" s="748"/>
      <c r="G16" s="839"/>
      <c r="H16" s="842">
        <f>$B$322/B16</f>
        <v>9.6928571428571448</v>
      </c>
    </row>
    <row r="17" spans="1:8" ht="16.5" hidden="1" customHeight="1" thickBot="1">
      <c r="A17" s="973" t="s">
        <v>628</v>
      </c>
      <c r="B17" s="773">
        <f>+geral!E137</f>
        <v>2.08</v>
      </c>
      <c r="C17" s="748">
        <f t="shared" si="1"/>
        <v>96.744186046511629</v>
      </c>
      <c r="D17" s="748">
        <f t="shared" si="0"/>
        <v>4.0000000000000036</v>
      </c>
      <c r="E17" s="748">
        <f t="shared" si="2"/>
        <v>-7.9646017699114946</v>
      </c>
      <c r="F17" s="748"/>
      <c r="G17" s="839"/>
      <c r="H17" s="842">
        <f>$B$322/B17</f>
        <v>9.320054945054947</v>
      </c>
    </row>
    <row r="18" spans="1:8" ht="16.5" hidden="1" customHeight="1" thickBot="1">
      <c r="A18" s="973" t="s">
        <v>629</v>
      </c>
      <c r="B18" s="773">
        <f>+geral!E138</f>
        <v>1.74</v>
      </c>
      <c r="C18" s="748">
        <f t="shared" si="1"/>
        <v>80.930232558139537</v>
      </c>
      <c r="D18" s="748">
        <f t="shared" si="0"/>
        <v>-16.346153846153854</v>
      </c>
      <c r="E18" s="748">
        <f t="shared" si="2"/>
        <v>-23.008849557522115</v>
      </c>
      <c r="F18" s="748"/>
      <c r="G18" s="839"/>
      <c r="H18" s="842">
        <f>$B$322/B18</f>
        <v>11.14121510673235</v>
      </c>
    </row>
    <row r="19" spans="1:8" ht="16.5" hidden="1" customHeight="1" thickBot="1">
      <c r="A19" s="973" t="s">
        <v>630</v>
      </c>
      <c r="B19" s="773">
        <f>+geral!E139</f>
        <v>2.19</v>
      </c>
      <c r="C19" s="748">
        <f t="shared" si="1"/>
        <v>101.86046511627907</v>
      </c>
      <c r="D19" s="748">
        <f t="shared" si="0"/>
        <v>25.862068965517238</v>
      </c>
      <c r="E19" s="748">
        <f t="shared" si="2"/>
        <v>-3.0973451327433565</v>
      </c>
      <c r="F19" s="748"/>
      <c r="G19" s="839"/>
      <c r="H19" s="842">
        <f>$B$322/B19</f>
        <v>8.851924331376388</v>
      </c>
    </row>
    <row r="20" spans="1:8" ht="16.5" hidden="1" customHeight="1" thickBot="1">
      <c r="A20" s="973" t="s">
        <v>631</v>
      </c>
      <c r="B20" s="773">
        <f>+geral!E140</f>
        <v>2.14</v>
      </c>
      <c r="C20" s="748">
        <f t="shared" si="1"/>
        <v>99.534883720930239</v>
      </c>
      <c r="D20" s="748">
        <f t="shared" si="0"/>
        <v>-2.2831050228310446</v>
      </c>
      <c r="E20" s="748">
        <f t="shared" si="2"/>
        <v>-5.3097345132743223</v>
      </c>
      <c r="F20" s="749">
        <f>100*((B20/B8)-1)</f>
        <v>-0.46511627906975495</v>
      </c>
      <c r="G20" s="840"/>
      <c r="H20" s="842">
        <f>$B$322/B20</f>
        <v>9.0587449933244333</v>
      </c>
    </row>
    <row r="21" spans="1:8" ht="16.5" hidden="1" customHeight="1" thickBot="1">
      <c r="A21" s="973" t="s">
        <v>632</v>
      </c>
      <c r="B21" s="773">
        <f>+geral!E141</f>
        <v>2.23</v>
      </c>
      <c r="C21" s="748">
        <f t="shared" si="1"/>
        <v>103.72093023255815</v>
      </c>
      <c r="D21" s="748">
        <f t="shared" si="0"/>
        <v>4.2056074766354978</v>
      </c>
      <c r="E21" s="748">
        <f t="shared" si="2"/>
        <v>-1.327433628318575</v>
      </c>
      <c r="F21" s="749">
        <f t="shared" ref="F21:F84" si="3">100*((B21/B9)-1)</f>
        <v>1.3636363636363447</v>
      </c>
      <c r="G21" s="840"/>
      <c r="H21" s="842">
        <f>$B$322/B21</f>
        <v>8.6931454196028213</v>
      </c>
    </row>
    <row r="22" spans="1:8" ht="16.5" hidden="1" customHeight="1" thickBot="1">
      <c r="A22" s="973" t="s">
        <v>633</v>
      </c>
      <c r="B22" s="773">
        <f>+geral!E142</f>
        <v>2.21</v>
      </c>
      <c r="C22" s="748">
        <f t="shared" si="1"/>
        <v>102.79069767441861</v>
      </c>
      <c r="D22" s="748">
        <f t="shared" si="0"/>
        <v>-0.89686098654708779</v>
      </c>
      <c r="E22" s="748">
        <f t="shared" si="2"/>
        <v>-2.2123893805309658</v>
      </c>
      <c r="F22" s="749">
        <f t="shared" si="3"/>
        <v>-11.95219123505975</v>
      </c>
      <c r="G22" s="840"/>
      <c r="H22" s="842">
        <f>$B$322/B22</f>
        <v>8.771816418875245</v>
      </c>
    </row>
    <row r="23" spans="1:8" ht="16.5" hidden="1" customHeight="1" thickBot="1">
      <c r="A23" s="973" t="s">
        <v>634</v>
      </c>
      <c r="B23" s="773">
        <f>+geral!E143</f>
        <v>2.4700000000000002</v>
      </c>
      <c r="C23" s="748">
        <f t="shared" si="1"/>
        <v>114.88372093023257</v>
      </c>
      <c r="D23" s="748">
        <f t="shared" si="0"/>
        <v>11.764705882352944</v>
      </c>
      <c r="E23" s="748">
        <f t="shared" si="2"/>
        <v>9.292035398230114</v>
      </c>
      <c r="F23" s="749">
        <f t="shared" si="3"/>
        <v>11.261261261261257</v>
      </c>
      <c r="G23" s="840"/>
      <c r="H23" s="842">
        <f>$B$322/B23</f>
        <v>7.8484673221515333</v>
      </c>
    </row>
    <row r="24" spans="1:8" ht="16.5" hidden="1" customHeight="1" thickBot="1">
      <c r="A24" s="973" t="s">
        <v>635</v>
      </c>
      <c r="B24" s="773">
        <f>+geral!E144</f>
        <v>2.25</v>
      </c>
      <c r="C24" s="748">
        <f t="shared" si="1"/>
        <v>104.65116279069768</v>
      </c>
      <c r="D24" s="748">
        <f t="shared" si="0"/>
        <v>-8.9068825910931242</v>
      </c>
      <c r="E24" s="748">
        <f t="shared" si="2"/>
        <v>-0.44247787610618428</v>
      </c>
      <c r="F24" s="749">
        <f t="shared" si="3"/>
        <v>2.2727272727272707</v>
      </c>
      <c r="G24" s="840"/>
      <c r="H24" s="842">
        <f>$B$322/B24</f>
        <v>8.6158730158730172</v>
      </c>
    </row>
    <row r="25" spans="1:8" ht="16.5" hidden="1" customHeight="1" thickBot="1">
      <c r="A25" s="973" t="s">
        <v>636</v>
      </c>
      <c r="B25" s="773">
        <f>+geral!E145</f>
        <v>2.61</v>
      </c>
      <c r="C25" s="748">
        <f t="shared" si="1"/>
        <v>121.39534883720931</v>
      </c>
      <c r="D25" s="748">
        <f t="shared" si="0"/>
        <v>15.999999999999993</v>
      </c>
      <c r="E25" s="748">
        <f t="shared" si="2"/>
        <v>15.486725663716827</v>
      </c>
      <c r="F25" s="749">
        <f t="shared" si="3"/>
        <v>15.486725663716827</v>
      </c>
      <c r="G25" s="840"/>
      <c r="H25" s="842">
        <f>$B$322/B25</f>
        <v>7.4274767378215669</v>
      </c>
    </row>
    <row r="26" spans="1:8" ht="16.5" hidden="1" customHeight="1" thickBot="1">
      <c r="A26" s="973" t="s">
        <v>613</v>
      </c>
      <c r="B26" s="773">
        <f>+geral!G134</f>
        <v>3.03</v>
      </c>
      <c r="C26" s="748">
        <f t="shared" si="1"/>
        <v>140.93023255813955</v>
      </c>
      <c r="D26" s="748">
        <f t="shared" si="0"/>
        <v>16.09195402298851</v>
      </c>
      <c r="E26" s="748">
        <f>100*((B26/$B$25)-1)</f>
        <v>16.09195402298851</v>
      </c>
      <c r="F26" s="749">
        <f t="shared" si="3"/>
        <v>39.631336405529957</v>
      </c>
      <c r="G26" s="840"/>
      <c r="H26" s="842">
        <f>$B$322/B26</f>
        <v>6.3979255068363994</v>
      </c>
    </row>
    <row r="27" spans="1:8" ht="16.5" hidden="1" customHeight="1" thickBot="1">
      <c r="A27" s="973" t="s">
        <v>614</v>
      </c>
      <c r="B27" s="773">
        <f>+geral!G135</f>
        <v>3.31</v>
      </c>
      <c r="C27" s="748">
        <f t="shared" si="1"/>
        <v>153.95348837209303</v>
      </c>
      <c r="D27" s="748">
        <f t="shared" si="0"/>
        <v>9.2409240924092408</v>
      </c>
      <c r="E27" s="748">
        <f t="shared" ref="E27:E37" si="4">100*((B27/$B$25)-1)</f>
        <v>26.819923371647512</v>
      </c>
      <c r="F27" s="749">
        <f t="shared" si="3"/>
        <v>50.454545454545439</v>
      </c>
      <c r="G27" s="840"/>
      <c r="H27" s="842">
        <f>$B$322/B27</f>
        <v>5.8567112645662505</v>
      </c>
    </row>
    <row r="28" spans="1:8" ht="16.5" hidden="1" customHeight="1" thickBot="1">
      <c r="A28" s="973" t="s">
        <v>615</v>
      </c>
      <c r="B28" s="773">
        <f>+geral!G136</f>
        <v>2.2200000000000002</v>
      </c>
      <c r="C28" s="748">
        <f t="shared" si="1"/>
        <v>103.25581395348838</v>
      </c>
      <c r="D28" s="748">
        <f t="shared" si="0"/>
        <v>-32.930513595166154</v>
      </c>
      <c r="E28" s="748">
        <f t="shared" si="4"/>
        <v>-14.942528735632177</v>
      </c>
      <c r="F28" s="749">
        <f t="shared" si="3"/>
        <v>11.000000000000011</v>
      </c>
      <c r="G28" s="840"/>
      <c r="H28" s="842">
        <f>$B$322/B28</f>
        <v>8.732303732303734</v>
      </c>
    </row>
    <row r="29" spans="1:8" ht="16.5" hidden="1" customHeight="1" thickBot="1">
      <c r="A29" s="973" t="s">
        <v>616</v>
      </c>
      <c r="B29" s="773">
        <f>+geral!G137</f>
        <v>2.56</v>
      </c>
      <c r="C29" s="748">
        <f t="shared" si="1"/>
        <v>119.06976744186046</v>
      </c>
      <c r="D29" s="748">
        <f t="shared" si="0"/>
        <v>15.315315315315313</v>
      </c>
      <c r="E29" s="748">
        <f t="shared" si="4"/>
        <v>-1.9157088122605304</v>
      </c>
      <c r="F29" s="749">
        <f t="shared" si="3"/>
        <v>23.076923076923084</v>
      </c>
      <c r="G29" s="840"/>
      <c r="H29" s="842">
        <f>$B$322/B29</f>
        <v>7.5725446428571441</v>
      </c>
    </row>
    <row r="30" spans="1:8" ht="16.5" hidden="1" customHeight="1" thickBot="1">
      <c r="A30" s="973" t="s">
        <v>617</v>
      </c>
      <c r="B30" s="773">
        <f>+geral!G138</f>
        <v>2.67</v>
      </c>
      <c r="C30" s="748">
        <f t="shared" si="1"/>
        <v>124.18604651162791</v>
      </c>
      <c r="D30" s="748">
        <f t="shared" si="0"/>
        <v>4.296875</v>
      </c>
      <c r="E30" s="748">
        <f t="shared" si="4"/>
        <v>2.2988505747126409</v>
      </c>
      <c r="F30" s="749">
        <f t="shared" si="3"/>
        <v>53.448275862068975</v>
      </c>
      <c r="G30" s="840"/>
      <c r="H30" s="842">
        <f>$B$322/B30</f>
        <v>7.2605671482075991</v>
      </c>
    </row>
    <row r="31" spans="1:8" ht="16.5" hidden="1" customHeight="1" thickBot="1">
      <c r="A31" s="973" t="s">
        <v>618</v>
      </c>
      <c r="B31" s="773">
        <f>+geral!G139</f>
        <v>2.52</v>
      </c>
      <c r="C31" s="748">
        <f t="shared" si="1"/>
        <v>117.2093023255814</v>
      </c>
      <c r="D31" s="748">
        <f t="shared" si="0"/>
        <v>-5.6179775280898792</v>
      </c>
      <c r="E31" s="748">
        <f t="shared" si="4"/>
        <v>-3.4482758620689613</v>
      </c>
      <c r="F31" s="749">
        <f t="shared" si="3"/>
        <v>15.068493150684926</v>
      </c>
      <c r="G31" s="840"/>
      <c r="H31" s="842">
        <f>$B$322/B31</f>
        <v>7.6927437641723371</v>
      </c>
    </row>
    <row r="32" spans="1:8" ht="16.5" hidden="1" customHeight="1" thickBot="1">
      <c r="A32" s="973" t="s">
        <v>619</v>
      </c>
      <c r="B32" s="773">
        <f>+geral!G140</f>
        <v>2.3199999999999998</v>
      </c>
      <c r="C32" s="748">
        <f t="shared" si="1"/>
        <v>107.90697674418604</v>
      </c>
      <c r="D32" s="748">
        <f t="shared" si="0"/>
        <v>-7.9365079365079421</v>
      </c>
      <c r="E32" s="748">
        <f t="shared" si="4"/>
        <v>-11.111111111111116</v>
      </c>
      <c r="F32" s="749">
        <f t="shared" si="3"/>
        <v>8.411214953271017</v>
      </c>
      <c r="G32" s="840">
        <f>100*(B32/B8-1)</f>
        <v>7.9069767441860339</v>
      </c>
      <c r="H32" s="842">
        <f>$B$322/B32</f>
        <v>8.3559113300492633</v>
      </c>
    </row>
    <row r="33" spans="1:10" ht="16.5" hidden="1" customHeight="1" thickBot="1">
      <c r="A33" s="973" t="s">
        <v>620</v>
      </c>
      <c r="B33" s="773">
        <f>+geral!G141</f>
        <v>2.62</v>
      </c>
      <c r="C33" s="748">
        <f t="shared" si="1"/>
        <v>121.86046511627907</v>
      </c>
      <c r="D33" s="748">
        <f t="shared" si="0"/>
        <v>12.93103448275863</v>
      </c>
      <c r="E33" s="748">
        <f t="shared" si="4"/>
        <v>0.38314176245211051</v>
      </c>
      <c r="F33" s="749">
        <f t="shared" si="3"/>
        <v>17.488789237668168</v>
      </c>
      <c r="G33" s="840">
        <f t="shared" ref="G33:G96" si="5">100*(B33/B9-1)</f>
        <v>19.090909090909093</v>
      </c>
      <c r="H33" s="842">
        <f>$B$322/B33</f>
        <v>7.3991275899672857</v>
      </c>
    </row>
    <row r="34" spans="1:10" ht="16.5" hidden="1" customHeight="1" thickBot="1">
      <c r="A34" s="973" t="s">
        <v>621</v>
      </c>
      <c r="B34" s="773">
        <f>+geral!G142</f>
        <v>2.2599999999999998</v>
      </c>
      <c r="C34" s="748">
        <f t="shared" si="1"/>
        <v>105.11627906976743</v>
      </c>
      <c r="D34" s="748">
        <f t="shared" si="0"/>
        <v>-13.740458015267187</v>
      </c>
      <c r="E34" s="748">
        <f t="shared" si="4"/>
        <v>-13.409961685823756</v>
      </c>
      <c r="F34" s="749">
        <f t="shared" si="3"/>
        <v>2.2624434389140191</v>
      </c>
      <c r="G34" s="840">
        <f t="shared" si="5"/>
        <v>-9.9601593625498026</v>
      </c>
      <c r="H34" s="842">
        <f>$B$322/B34</f>
        <v>8.5777496839443774</v>
      </c>
    </row>
    <row r="35" spans="1:10" ht="16.5" hidden="1" customHeight="1" thickBot="1">
      <c r="A35" s="973" t="s">
        <v>622</v>
      </c>
      <c r="B35" s="773">
        <f>+geral!G143</f>
        <v>2.5499999999999998</v>
      </c>
      <c r="C35" s="748">
        <f t="shared" si="1"/>
        <v>118.60465116279069</v>
      </c>
      <c r="D35" s="748">
        <f t="shared" si="0"/>
        <v>12.831858407079654</v>
      </c>
      <c r="E35" s="748">
        <f t="shared" si="4"/>
        <v>-2.2988505747126409</v>
      </c>
      <c r="F35" s="749">
        <f t="shared" si="3"/>
        <v>3.2388663967611198</v>
      </c>
      <c r="G35" s="840">
        <f t="shared" si="5"/>
        <v>14.864864864864845</v>
      </c>
      <c r="H35" s="842">
        <f>$B$322/B35</f>
        <v>7.6022408963585457</v>
      </c>
    </row>
    <row r="36" spans="1:10" ht="16.5" hidden="1" customHeight="1" thickBot="1">
      <c r="A36" s="973" t="s">
        <v>623</v>
      </c>
      <c r="B36" s="773">
        <f>+geral!G144</f>
        <v>2.34</v>
      </c>
      <c r="C36" s="748">
        <f t="shared" si="1"/>
        <v>108.83720930232559</v>
      </c>
      <c r="D36" s="748">
        <f t="shared" si="0"/>
        <v>-8.2352941176470633</v>
      </c>
      <c r="E36" s="748">
        <f t="shared" si="4"/>
        <v>-10.344827586206895</v>
      </c>
      <c r="F36" s="749">
        <f t="shared" si="3"/>
        <v>4.0000000000000036</v>
      </c>
      <c r="G36" s="840">
        <f t="shared" si="5"/>
        <v>6.3636363636363491</v>
      </c>
      <c r="H36" s="842">
        <f>$B$322/B36</f>
        <v>8.284493284493287</v>
      </c>
    </row>
    <row r="37" spans="1:10" ht="16.5" hidden="1" customHeight="1" thickBot="1">
      <c r="A37" s="973" t="s">
        <v>624</v>
      </c>
      <c r="B37" s="773">
        <f>+geral!G145</f>
        <v>2.23</v>
      </c>
      <c r="C37" s="748">
        <f t="shared" si="1"/>
        <v>103.72093023255815</v>
      </c>
      <c r="D37" s="748">
        <f t="shared" si="0"/>
        <v>-4.7008547008546948</v>
      </c>
      <c r="E37" s="748">
        <f t="shared" si="4"/>
        <v>-14.559386973180077</v>
      </c>
      <c r="F37" s="749">
        <f t="shared" si="3"/>
        <v>-14.559386973180077</v>
      </c>
      <c r="G37" s="840">
        <f t="shared" si="5"/>
        <v>-1.327433628318575</v>
      </c>
      <c r="H37" s="842">
        <f>$B$322/B37</f>
        <v>8.6931454196028213</v>
      </c>
    </row>
    <row r="38" spans="1:10" ht="12.95" hidden="1" customHeight="1" thickBot="1">
      <c r="A38" s="973" t="s">
        <v>601</v>
      </c>
      <c r="B38" s="773">
        <f>+geral!I134</f>
        <v>2.23</v>
      </c>
      <c r="C38" s="748">
        <f t="shared" si="1"/>
        <v>103.72093023255815</v>
      </c>
      <c r="D38" s="748">
        <f t="shared" si="0"/>
        <v>0</v>
      </c>
      <c r="E38" s="748">
        <f>100*((B38/$B$37)-1)</f>
        <v>0</v>
      </c>
      <c r="F38" s="749">
        <f t="shared" si="3"/>
        <v>-26.402640264026399</v>
      </c>
      <c r="G38" s="840">
        <f t="shared" si="5"/>
        <v>2.7649769585253559</v>
      </c>
      <c r="H38" s="842">
        <f>$B$322/B38</f>
        <v>8.6931454196028213</v>
      </c>
    </row>
    <row r="39" spans="1:10" ht="16.5" hidden="1" customHeight="1" thickBot="1">
      <c r="A39" s="973" t="s">
        <v>602</v>
      </c>
      <c r="B39" s="773">
        <f>+geral!I135</f>
        <v>2.5299999999999998</v>
      </c>
      <c r="C39" s="748">
        <f t="shared" si="1"/>
        <v>117.67441860465115</v>
      </c>
      <c r="D39" s="748">
        <f t="shared" si="0"/>
        <v>13.452914798206272</v>
      </c>
      <c r="E39" s="748">
        <f t="shared" ref="E39:E49" si="6">100*((B39/$B$37)-1)</f>
        <v>13.452914798206272</v>
      </c>
      <c r="F39" s="749">
        <f t="shared" si="3"/>
        <v>-23.564954682779458</v>
      </c>
      <c r="G39" s="840">
        <f t="shared" si="5"/>
        <v>14.999999999999991</v>
      </c>
      <c r="H39" s="842">
        <f>$B$322/B39</f>
        <v>7.6623376623376647</v>
      </c>
    </row>
    <row r="40" spans="1:10" ht="16.5" hidden="1" customHeight="1" thickBot="1">
      <c r="A40" s="973" t="s">
        <v>603</v>
      </c>
      <c r="B40" s="773">
        <f>+geral!I136</f>
        <v>2.38</v>
      </c>
      <c r="C40" s="748">
        <f t="shared" si="1"/>
        <v>110.69767441860465</v>
      </c>
      <c r="D40" s="748">
        <f t="shared" si="0"/>
        <v>-5.928853754940711</v>
      </c>
      <c r="E40" s="748">
        <f t="shared" si="6"/>
        <v>6.7264573991031362</v>
      </c>
      <c r="F40" s="749">
        <f t="shared" si="3"/>
        <v>7.2072072072072002</v>
      </c>
      <c r="G40" s="840">
        <f t="shared" si="5"/>
        <v>18.999999999999993</v>
      </c>
      <c r="H40" s="842">
        <f>$B$322/B40</f>
        <v>8.1452581032412983</v>
      </c>
    </row>
    <row r="41" spans="1:10" ht="16.5" hidden="1" customHeight="1" thickBot="1">
      <c r="A41" s="973" t="s">
        <v>604</v>
      </c>
      <c r="B41" s="773">
        <f>+geral!I137</f>
        <v>2.3199999999999998</v>
      </c>
      <c r="C41" s="748">
        <f t="shared" si="1"/>
        <v>107.90697674418604</v>
      </c>
      <c r="D41" s="748">
        <f t="shared" si="0"/>
        <v>-2.5210084033613467</v>
      </c>
      <c r="E41" s="748">
        <f t="shared" si="6"/>
        <v>4.0358744394618729</v>
      </c>
      <c r="F41" s="749">
        <f t="shared" si="3"/>
        <v>-9.3750000000000107</v>
      </c>
      <c r="G41" s="840">
        <f t="shared" si="5"/>
        <v>11.538461538461519</v>
      </c>
      <c r="H41" s="842">
        <f>$B$322/B41</f>
        <v>8.3559113300492633</v>
      </c>
    </row>
    <row r="42" spans="1:10" ht="16.5" hidden="1" customHeight="1" thickBot="1">
      <c r="A42" s="973" t="s">
        <v>605</v>
      </c>
      <c r="B42" s="773">
        <f>+geral!I138</f>
        <v>2.44</v>
      </c>
      <c r="C42" s="748">
        <f t="shared" si="1"/>
        <v>113.48837209302326</v>
      </c>
      <c r="D42" s="748">
        <f t="shared" si="0"/>
        <v>5.1724137931034475</v>
      </c>
      <c r="E42" s="748">
        <f t="shared" si="6"/>
        <v>9.4170403587443996</v>
      </c>
      <c r="F42" s="749">
        <f t="shared" si="3"/>
        <v>-8.6142322097378266</v>
      </c>
      <c r="G42" s="840">
        <f t="shared" si="5"/>
        <v>40.229885057471272</v>
      </c>
      <c r="H42" s="842">
        <f>$B$322/B42</f>
        <v>7.9449648711943812</v>
      </c>
    </row>
    <row r="43" spans="1:10" ht="16.5" hidden="1" customHeight="1" thickBot="1">
      <c r="A43" s="973" t="s">
        <v>606</v>
      </c>
      <c r="B43" s="773">
        <f>+geral!I139</f>
        <v>2.41</v>
      </c>
      <c r="C43" s="748">
        <f t="shared" si="1"/>
        <v>112.09302325581396</v>
      </c>
      <c r="D43" s="748">
        <f t="shared" si="0"/>
        <v>-1.2295081967213073</v>
      </c>
      <c r="E43" s="748">
        <f t="shared" si="6"/>
        <v>8.071748878923767</v>
      </c>
      <c r="F43" s="749">
        <f t="shared" si="3"/>
        <v>-4.3650793650793602</v>
      </c>
      <c r="G43" s="840">
        <f t="shared" si="5"/>
        <v>10.045662100456632</v>
      </c>
      <c r="H43" s="842">
        <f>$B$322/B43</f>
        <v>8.0438648488441036</v>
      </c>
    </row>
    <row r="44" spans="1:10" ht="16.5" hidden="1" customHeight="1" thickBot="1">
      <c r="A44" s="973" t="s">
        <v>607</v>
      </c>
      <c r="B44" s="773">
        <f>+geral!I140</f>
        <v>2.5499999999999998</v>
      </c>
      <c r="C44" s="748">
        <f t="shared" si="1"/>
        <v>118.60465116279069</v>
      </c>
      <c r="D44" s="748">
        <f t="shared" si="0"/>
        <v>5.8091286307053736</v>
      </c>
      <c r="E44" s="748">
        <f t="shared" si="6"/>
        <v>14.34977578475336</v>
      </c>
      <c r="F44" s="749">
        <f t="shared" si="3"/>
        <v>9.9137931034482651</v>
      </c>
      <c r="G44" s="840">
        <f t="shared" si="5"/>
        <v>19.158878504672884</v>
      </c>
      <c r="H44" s="842">
        <f>$B$322/B44</f>
        <v>7.6022408963585457</v>
      </c>
      <c r="I44" s="779"/>
      <c r="J44" s="780"/>
    </row>
    <row r="45" spans="1:10" ht="16.5" hidden="1" customHeight="1" thickBot="1">
      <c r="A45" s="973" t="s">
        <v>608</v>
      </c>
      <c r="B45" s="773">
        <f>+geral!I141</f>
        <v>2.34</v>
      </c>
      <c r="C45" s="748">
        <f t="shared" si="1"/>
        <v>108.83720930232559</v>
      </c>
      <c r="D45" s="748">
        <f t="shared" si="0"/>
        <v>-8.2352941176470633</v>
      </c>
      <c r="E45" s="748">
        <f t="shared" si="6"/>
        <v>4.9327354260089606</v>
      </c>
      <c r="F45" s="749">
        <f t="shared" si="3"/>
        <v>-10.687022900763365</v>
      </c>
      <c r="G45" s="840">
        <f t="shared" si="5"/>
        <v>4.9327354260089606</v>
      </c>
      <c r="H45" s="842">
        <f>$B$322/B45</f>
        <v>8.284493284493287</v>
      </c>
    </row>
    <row r="46" spans="1:10" ht="16.5" hidden="1" customHeight="1" thickBot="1">
      <c r="A46" s="973" t="s">
        <v>609</v>
      </c>
      <c r="B46" s="773">
        <f>+geral!I142</f>
        <v>2.4700000000000002</v>
      </c>
      <c r="C46" s="748">
        <f t="shared" si="1"/>
        <v>114.88372093023257</v>
      </c>
      <c r="D46" s="748">
        <f t="shared" si="0"/>
        <v>5.5555555555555802</v>
      </c>
      <c r="E46" s="748">
        <f t="shared" si="6"/>
        <v>10.762331838565032</v>
      </c>
      <c r="F46" s="749">
        <f t="shared" si="3"/>
        <v>9.292035398230114</v>
      </c>
      <c r="G46" s="840">
        <f t="shared" si="5"/>
        <v>11.764705882352944</v>
      </c>
      <c r="H46" s="842">
        <f>$B$322/B46</f>
        <v>7.8484673221515333</v>
      </c>
    </row>
    <row r="47" spans="1:10" ht="16.5" hidden="1" customHeight="1" thickBot="1">
      <c r="A47" s="973" t="s">
        <v>610</v>
      </c>
      <c r="B47" s="773">
        <f>+geral!I143</f>
        <v>2.36</v>
      </c>
      <c r="C47" s="748">
        <f t="shared" si="1"/>
        <v>109.76744186046513</v>
      </c>
      <c r="D47" s="748">
        <f t="shared" si="0"/>
        <v>-4.4534412955465674</v>
      </c>
      <c r="E47" s="748">
        <f t="shared" si="6"/>
        <v>5.8295964125560484</v>
      </c>
      <c r="F47" s="749">
        <f t="shared" si="3"/>
        <v>-7.4509803921568585</v>
      </c>
      <c r="G47" s="840">
        <f t="shared" si="5"/>
        <v>-4.4534412955465674</v>
      </c>
      <c r="H47" s="842">
        <f>$B$322/B47</f>
        <v>8.2142857142857171</v>
      </c>
    </row>
    <row r="48" spans="1:10" ht="16.5" hidden="1" customHeight="1" thickBot="1">
      <c r="A48" s="973" t="s">
        <v>611</v>
      </c>
      <c r="B48" s="773">
        <f>+geral!I144</f>
        <v>2.4500000000000002</v>
      </c>
      <c r="C48" s="748">
        <f t="shared" si="1"/>
        <v>113.95348837209305</v>
      </c>
      <c r="D48" s="748">
        <f t="shared" si="0"/>
        <v>3.8135593220339103</v>
      </c>
      <c r="E48" s="748">
        <f t="shared" si="6"/>
        <v>9.8654708520179426</v>
      </c>
      <c r="F48" s="749">
        <f t="shared" si="3"/>
        <v>4.7008547008547064</v>
      </c>
      <c r="G48" s="840">
        <f t="shared" si="5"/>
        <v>8.8888888888889017</v>
      </c>
      <c r="H48" s="842">
        <f>$B$322/B48</f>
        <v>7.9125364431486886</v>
      </c>
    </row>
    <row r="49" spans="1:8" ht="16.5" hidden="1" customHeight="1" thickBot="1">
      <c r="A49" s="973" t="s">
        <v>612</v>
      </c>
      <c r="B49" s="773">
        <f>+geral!I145</f>
        <v>2.16</v>
      </c>
      <c r="C49" s="748">
        <f t="shared" si="1"/>
        <v>100.46511627906978</v>
      </c>
      <c r="D49" s="748">
        <f t="shared" si="0"/>
        <v>-11.836734693877549</v>
      </c>
      <c r="E49" s="748">
        <f t="shared" si="6"/>
        <v>-3.1390134529147962</v>
      </c>
      <c r="F49" s="749">
        <f t="shared" si="3"/>
        <v>-3.1390134529147962</v>
      </c>
      <c r="G49" s="840">
        <f t="shared" si="5"/>
        <v>-17.241379310344819</v>
      </c>
      <c r="H49" s="842">
        <f>$B$322/B49</f>
        <v>8.9748677248677264</v>
      </c>
    </row>
    <row r="50" spans="1:8" ht="16.5" hidden="1" customHeight="1" thickBot="1">
      <c r="A50" s="973" t="s">
        <v>589</v>
      </c>
      <c r="B50" s="773">
        <f>+geral!K134</f>
        <v>2.65</v>
      </c>
      <c r="C50" s="748">
        <f t="shared" si="1"/>
        <v>123.25581395348837</v>
      </c>
      <c r="D50" s="748">
        <f t="shared" si="0"/>
        <v>22.685185185185162</v>
      </c>
      <c r="E50" s="748">
        <f>100*((B50/$B$49)-1)</f>
        <v>22.685185185185162</v>
      </c>
      <c r="F50" s="749">
        <f t="shared" si="3"/>
        <v>18.834080717488778</v>
      </c>
      <c r="G50" s="840">
        <f t="shared" si="5"/>
        <v>-12.541254125412538</v>
      </c>
      <c r="H50" s="842">
        <f>$B$322/B50</f>
        <v>7.3153638814016189</v>
      </c>
    </row>
    <row r="51" spans="1:8" ht="16.5" hidden="1" customHeight="1" thickBot="1">
      <c r="A51" s="973" t="s">
        <v>590</v>
      </c>
      <c r="B51" s="773">
        <f>+geral!K135</f>
        <v>2.3199999999999998</v>
      </c>
      <c r="C51" s="748">
        <f t="shared" si="1"/>
        <v>107.90697674418604</v>
      </c>
      <c r="D51" s="750">
        <f t="shared" si="0"/>
        <v>-12.452830188679254</v>
      </c>
      <c r="E51" s="750">
        <f t="shared" ref="E51:E61" si="7">100*((B51/$B$49)-1)</f>
        <v>7.4074074074073959</v>
      </c>
      <c r="F51" s="751">
        <f t="shared" si="3"/>
        <v>-8.3003952569169925</v>
      </c>
      <c r="G51" s="840">
        <f t="shared" si="5"/>
        <v>-29.909365558912391</v>
      </c>
      <c r="H51" s="842">
        <f>$B$322/B51</f>
        <v>8.3559113300492633</v>
      </c>
    </row>
    <row r="52" spans="1:8" ht="16.5" hidden="1" customHeight="1" thickBot="1">
      <c r="A52" s="973" t="s">
        <v>591</v>
      </c>
      <c r="B52" s="773">
        <f>+geral!K136</f>
        <v>2.08</v>
      </c>
      <c r="C52" s="748">
        <f t="shared" si="1"/>
        <v>96.744186046511629</v>
      </c>
      <c r="D52" s="750">
        <f t="shared" si="0"/>
        <v>-10.344827586206884</v>
      </c>
      <c r="E52" s="750">
        <f t="shared" si="7"/>
        <v>-3.703703703703709</v>
      </c>
      <c r="F52" s="751">
        <f t="shared" si="3"/>
        <v>-12.605042016806712</v>
      </c>
      <c r="G52" s="840">
        <f t="shared" si="5"/>
        <v>-6.3063063063063085</v>
      </c>
      <c r="H52" s="842">
        <f>$B$322/B52</f>
        <v>9.320054945054947</v>
      </c>
    </row>
    <row r="53" spans="1:8" ht="16.5" hidden="1" customHeight="1" thickBot="1">
      <c r="A53" s="973" t="s">
        <v>592</v>
      </c>
      <c r="B53" s="773">
        <f>+geral!K137</f>
        <v>2.57</v>
      </c>
      <c r="C53" s="748">
        <f t="shared" si="1"/>
        <v>119.53488372093024</v>
      </c>
      <c r="D53" s="750">
        <f t="shared" si="0"/>
        <v>23.557692307692292</v>
      </c>
      <c r="E53" s="750">
        <f t="shared" si="7"/>
        <v>18.981481481481467</v>
      </c>
      <c r="F53" s="751">
        <f t="shared" si="3"/>
        <v>10.775862068965525</v>
      </c>
      <c r="G53" s="840">
        <f t="shared" si="5"/>
        <v>0.390625</v>
      </c>
      <c r="H53" s="842">
        <f>$B$322/B53</f>
        <v>7.5430794886047821</v>
      </c>
    </row>
    <row r="54" spans="1:8" ht="16.5" hidden="1" customHeight="1" thickBot="1">
      <c r="A54" s="973" t="s">
        <v>593</v>
      </c>
      <c r="B54" s="773">
        <f>+geral!K138</f>
        <v>2.06</v>
      </c>
      <c r="C54" s="748">
        <f t="shared" si="1"/>
        <v>95.813953488372093</v>
      </c>
      <c r="D54" s="750">
        <f t="shared" si="0"/>
        <v>-19.844357976653693</v>
      </c>
      <c r="E54" s="750">
        <f t="shared" si="7"/>
        <v>-4.629629629629628</v>
      </c>
      <c r="F54" s="751">
        <f t="shared" si="3"/>
        <v>-15.573770491803273</v>
      </c>
      <c r="G54" s="840">
        <f t="shared" si="5"/>
        <v>-22.846441947565545</v>
      </c>
      <c r="H54" s="842">
        <f>$B$322/B54</f>
        <v>9.4105409153952859</v>
      </c>
    </row>
    <row r="55" spans="1:8" ht="16.5" hidden="1" customHeight="1" thickBot="1">
      <c r="A55" s="973" t="s">
        <v>594</v>
      </c>
      <c r="B55" s="773">
        <f>+geral!K139</f>
        <v>2.58</v>
      </c>
      <c r="C55" s="748">
        <f t="shared" si="1"/>
        <v>120</v>
      </c>
      <c r="D55" s="750">
        <f t="shared" si="0"/>
        <v>25.242718446601952</v>
      </c>
      <c r="E55" s="750">
        <f t="shared" si="7"/>
        <v>19.444444444444443</v>
      </c>
      <c r="F55" s="751">
        <f t="shared" si="3"/>
        <v>7.0539419087136901</v>
      </c>
      <c r="G55" s="840">
        <f t="shared" si="5"/>
        <v>2.3809523809523725</v>
      </c>
      <c r="H55" s="842">
        <f>$B$322/B55</f>
        <v>7.5138427464008872</v>
      </c>
    </row>
    <row r="56" spans="1:8" ht="16.5" hidden="1" customHeight="1" thickBot="1">
      <c r="A56" s="973" t="s">
        <v>595</v>
      </c>
      <c r="B56" s="773">
        <f>+geral!K140</f>
        <v>2.54</v>
      </c>
      <c r="C56" s="748">
        <f t="shared" si="1"/>
        <v>118.13953488372094</v>
      </c>
      <c r="D56" s="750">
        <f t="shared" si="0"/>
        <v>-1.5503875968992276</v>
      </c>
      <c r="E56" s="750">
        <f t="shared" si="7"/>
        <v>17.592592592592581</v>
      </c>
      <c r="F56" s="751">
        <f t="shared" si="3"/>
        <v>-0.39215686274508554</v>
      </c>
      <c r="G56" s="840">
        <f t="shared" si="5"/>
        <v>9.4827586206896584</v>
      </c>
      <c r="H56" s="842">
        <f>$B$322/B56</f>
        <v>7.6321709786276726</v>
      </c>
    </row>
    <row r="57" spans="1:8" ht="16.5" hidden="1" customHeight="1" thickBot="1">
      <c r="A57" s="973" t="s">
        <v>596</v>
      </c>
      <c r="B57" s="773">
        <f>+geral!K141</f>
        <v>2.25</v>
      </c>
      <c r="C57" s="748">
        <f t="shared" si="1"/>
        <v>104.65116279069768</v>
      </c>
      <c r="D57" s="750">
        <f t="shared" si="0"/>
        <v>-11.41732283464567</v>
      </c>
      <c r="E57" s="750">
        <f t="shared" si="7"/>
        <v>4.1666666666666519</v>
      </c>
      <c r="F57" s="751">
        <f t="shared" si="3"/>
        <v>-3.8461538461538436</v>
      </c>
      <c r="G57" s="840">
        <f t="shared" si="5"/>
        <v>-14.12213740458016</v>
      </c>
      <c r="H57" s="842">
        <f>$B$322/B57</f>
        <v>8.6158730158730172</v>
      </c>
    </row>
    <row r="58" spans="1:8" ht="16.5" hidden="1" customHeight="1" thickBot="1">
      <c r="A58" s="973" t="s">
        <v>597</v>
      </c>
      <c r="B58" s="773">
        <f>+geral!K142</f>
        <v>2.5299999999999998</v>
      </c>
      <c r="C58" s="748">
        <f t="shared" si="1"/>
        <v>117.67441860465115</v>
      </c>
      <c r="D58" s="750">
        <f t="shared" si="0"/>
        <v>12.444444444444436</v>
      </c>
      <c r="E58" s="750">
        <f t="shared" si="7"/>
        <v>17.129629629629605</v>
      </c>
      <c r="F58" s="751">
        <f t="shared" si="3"/>
        <v>2.4291497975708287</v>
      </c>
      <c r="G58" s="840">
        <f t="shared" si="5"/>
        <v>11.946902654867264</v>
      </c>
      <c r="H58" s="842">
        <f>$B$322/B58</f>
        <v>7.6623376623376647</v>
      </c>
    </row>
    <row r="59" spans="1:8" ht="16.5" hidden="1" customHeight="1" thickBot="1">
      <c r="A59" s="973" t="s">
        <v>598</v>
      </c>
      <c r="B59" s="773">
        <f>+geral!K143</f>
        <v>2.33</v>
      </c>
      <c r="C59" s="748">
        <f t="shared" si="1"/>
        <v>108.37209302325581</v>
      </c>
      <c r="D59" s="750">
        <f t="shared" si="0"/>
        <v>-7.9051383399209367</v>
      </c>
      <c r="E59" s="750">
        <f t="shared" si="7"/>
        <v>7.870370370370372</v>
      </c>
      <c r="F59" s="751">
        <f t="shared" si="3"/>
        <v>-1.2711864406779627</v>
      </c>
      <c r="G59" s="840">
        <f t="shared" si="5"/>
        <v>-8.6274509803921475</v>
      </c>
      <c r="H59" s="842">
        <f>$B$322/B59</f>
        <v>8.320049049662785</v>
      </c>
    </row>
    <row r="60" spans="1:8" ht="16.5" hidden="1" customHeight="1" thickBot="1">
      <c r="A60" s="973" t="s">
        <v>599</v>
      </c>
      <c r="B60" s="773">
        <f>+geral!K144</f>
        <v>2.3199999999999998</v>
      </c>
      <c r="C60" s="748">
        <f t="shared" si="1"/>
        <v>107.90697674418604</v>
      </c>
      <c r="D60" s="750">
        <f t="shared" si="0"/>
        <v>-0.42918454935623185</v>
      </c>
      <c r="E60" s="750">
        <f t="shared" si="7"/>
        <v>7.4074074074073959</v>
      </c>
      <c r="F60" s="751">
        <f t="shared" si="3"/>
        <v>-5.3061224489796004</v>
      </c>
      <c r="G60" s="840">
        <f t="shared" si="5"/>
        <v>-0.85470085470085166</v>
      </c>
      <c r="H60" s="842">
        <f>$B$322/B60</f>
        <v>8.3559113300492633</v>
      </c>
    </row>
    <row r="61" spans="1:8" ht="16.5" hidden="1" customHeight="1" thickBot="1">
      <c r="A61" s="973" t="s">
        <v>600</v>
      </c>
      <c r="B61" s="773">
        <f>+geral!K145</f>
        <v>2.19</v>
      </c>
      <c r="C61" s="748">
        <f t="shared" si="1"/>
        <v>101.86046511627907</v>
      </c>
      <c r="D61" s="750">
        <f t="shared" si="0"/>
        <v>-5.6034482758620658</v>
      </c>
      <c r="E61" s="750">
        <f t="shared" si="7"/>
        <v>1.388888888888884</v>
      </c>
      <c r="F61" s="751">
        <f t="shared" si="3"/>
        <v>1.388888888888884</v>
      </c>
      <c r="G61" s="840">
        <f t="shared" si="5"/>
        <v>-1.7937219730941756</v>
      </c>
      <c r="H61" s="842">
        <f>$B$322/B61</f>
        <v>8.851924331376388</v>
      </c>
    </row>
    <row r="62" spans="1:8" ht="16.5" hidden="1" customHeight="1" thickBot="1">
      <c r="A62" s="973" t="s">
        <v>577</v>
      </c>
      <c r="B62" s="773">
        <f>+geral!M134</f>
        <v>2.44</v>
      </c>
      <c r="C62" s="748">
        <f t="shared" si="1"/>
        <v>113.48837209302326</v>
      </c>
      <c r="D62" s="750">
        <f t="shared" si="0"/>
        <v>11.415525114155244</v>
      </c>
      <c r="E62" s="750">
        <f>100*((B62/$B$61)-1)</f>
        <v>11.415525114155244</v>
      </c>
      <c r="F62" s="751">
        <f t="shared" si="3"/>
        <v>-7.9245283018867907</v>
      </c>
      <c r="G62" s="840">
        <f t="shared" si="5"/>
        <v>9.4170403587443996</v>
      </c>
      <c r="H62" s="842">
        <f>$B$322/B62</f>
        <v>7.9449648711943812</v>
      </c>
    </row>
    <row r="63" spans="1:8" ht="16.5" hidden="1" customHeight="1" thickBot="1">
      <c r="A63" s="973" t="s">
        <v>578</v>
      </c>
      <c r="B63" s="773">
        <f>+geral!M135</f>
        <v>2.36</v>
      </c>
      <c r="C63" s="748">
        <f t="shared" si="1"/>
        <v>109.76744186046513</v>
      </c>
      <c r="D63" s="750">
        <f t="shared" si="0"/>
        <v>-3.2786885245901676</v>
      </c>
      <c r="E63" s="750">
        <f t="shared" ref="E63:E73" si="8">100*((B63/$B$61)-1)</f>
        <v>7.7625570776255648</v>
      </c>
      <c r="F63" s="751">
        <f t="shared" si="3"/>
        <v>1.7241379310344751</v>
      </c>
      <c r="G63" s="840">
        <f t="shared" si="5"/>
        <v>-6.7193675889328013</v>
      </c>
      <c r="H63" s="842">
        <f>$B$322/B63</f>
        <v>8.2142857142857171</v>
      </c>
    </row>
    <row r="64" spans="1:8" ht="16.5" hidden="1" customHeight="1" thickBot="1">
      <c r="A64" s="973" t="s">
        <v>579</v>
      </c>
      <c r="B64" s="773">
        <f>+geral!M136</f>
        <v>2.4700000000000002</v>
      </c>
      <c r="C64" s="748">
        <f t="shared" si="1"/>
        <v>114.88372093023257</v>
      </c>
      <c r="D64" s="750">
        <f t="shared" si="0"/>
        <v>4.6610169491525522</v>
      </c>
      <c r="E64" s="750">
        <f t="shared" si="8"/>
        <v>12.785388127853903</v>
      </c>
      <c r="F64" s="751">
        <f t="shared" si="3"/>
        <v>18.75</v>
      </c>
      <c r="G64" s="840">
        <f t="shared" si="5"/>
        <v>3.7815126050420256</v>
      </c>
      <c r="H64" s="842">
        <f>$B$322/B64</f>
        <v>7.8484673221515333</v>
      </c>
    </row>
    <row r="65" spans="1:8" ht="16.5" hidden="1" customHeight="1" thickBot="1">
      <c r="A65" s="973" t="s">
        <v>580</v>
      </c>
      <c r="B65" s="773">
        <f>+geral!M137</f>
        <v>2.1800000000000002</v>
      </c>
      <c r="C65" s="748">
        <f t="shared" si="1"/>
        <v>101.39534883720933</v>
      </c>
      <c r="D65" s="750">
        <f t="shared" si="0"/>
        <v>-11.740890688259109</v>
      </c>
      <c r="E65" s="750">
        <f t="shared" si="8"/>
        <v>-0.45662100456620447</v>
      </c>
      <c r="F65" s="751">
        <f t="shared" si="3"/>
        <v>-15.175097276264582</v>
      </c>
      <c r="G65" s="840">
        <f t="shared" si="5"/>
        <v>-6.0344827586206744</v>
      </c>
      <c r="H65" s="842">
        <f>$B$322/B65</f>
        <v>8.8925294888597648</v>
      </c>
    </row>
    <row r="66" spans="1:8" ht="16.5" hidden="1" customHeight="1" thickBot="1">
      <c r="A66" s="973" t="s">
        <v>581</v>
      </c>
      <c r="B66" s="773">
        <f>+geral!M138</f>
        <v>2.62</v>
      </c>
      <c r="C66" s="748">
        <f t="shared" si="1"/>
        <v>121.86046511627907</v>
      </c>
      <c r="D66" s="750">
        <f t="shared" si="0"/>
        <v>20.183486238532101</v>
      </c>
      <c r="E66" s="750">
        <f t="shared" si="8"/>
        <v>19.634703196347036</v>
      </c>
      <c r="F66" s="751">
        <f t="shared" si="3"/>
        <v>27.184466019417485</v>
      </c>
      <c r="G66" s="840">
        <f t="shared" si="5"/>
        <v>7.3770491803278659</v>
      </c>
      <c r="H66" s="842">
        <f>$B$322/B66</f>
        <v>7.3991275899672857</v>
      </c>
    </row>
    <row r="67" spans="1:8" ht="16.5" hidden="1" customHeight="1" thickBot="1">
      <c r="A67" s="973" t="s">
        <v>582</v>
      </c>
      <c r="B67" s="773">
        <f>+geral!M139</f>
        <v>2.25</v>
      </c>
      <c r="C67" s="748">
        <f t="shared" si="1"/>
        <v>104.65116279069768</v>
      </c>
      <c r="D67" s="750">
        <f t="shared" si="0"/>
        <v>-14.12213740458016</v>
      </c>
      <c r="E67" s="750">
        <f t="shared" si="8"/>
        <v>2.7397260273972712</v>
      </c>
      <c r="F67" s="751">
        <f t="shared" si="3"/>
        <v>-12.790697674418606</v>
      </c>
      <c r="G67" s="840">
        <f t="shared" si="5"/>
        <v>-6.6390041493776035</v>
      </c>
      <c r="H67" s="842">
        <f>$B$322/B67</f>
        <v>8.6158730158730172</v>
      </c>
    </row>
    <row r="68" spans="1:8" ht="16.5" hidden="1" customHeight="1" thickBot="1">
      <c r="A68" s="973" t="s">
        <v>583</v>
      </c>
      <c r="B68" s="773">
        <f>+geral!M140</f>
        <v>2.37</v>
      </c>
      <c r="C68" s="748">
        <f t="shared" si="1"/>
        <v>110.23255813953489</v>
      </c>
      <c r="D68" s="750">
        <f t="shared" si="0"/>
        <v>5.3333333333333455</v>
      </c>
      <c r="E68" s="750">
        <f t="shared" si="8"/>
        <v>8.2191780821917924</v>
      </c>
      <c r="F68" s="751">
        <f t="shared" si="3"/>
        <v>-6.6929133858267704</v>
      </c>
      <c r="G68" s="840">
        <f t="shared" si="5"/>
        <v>-7.0588235294117503</v>
      </c>
      <c r="H68" s="842">
        <f>$B$322/B68</f>
        <v>8.179626280892105</v>
      </c>
    </row>
    <row r="69" spans="1:8" ht="16.5" hidden="1" customHeight="1" thickBot="1">
      <c r="A69" s="973" t="s">
        <v>584</v>
      </c>
      <c r="B69" s="773">
        <f>+geral!M141</f>
        <v>2.56</v>
      </c>
      <c r="C69" s="748">
        <f t="shared" si="1"/>
        <v>119.06976744186046</v>
      </c>
      <c r="D69" s="750">
        <f t="shared" si="0"/>
        <v>8.0168776371307935</v>
      </c>
      <c r="E69" s="750">
        <f t="shared" si="8"/>
        <v>16.894977168949787</v>
      </c>
      <c r="F69" s="751">
        <f t="shared" si="3"/>
        <v>13.777777777777779</v>
      </c>
      <c r="G69" s="840">
        <f t="shared" si="5"/>
        <v>9.4017094017094127</v>
      </c>
      <c r="H69" s="842">
        <f>$B$322/B69</f>
        <v>7.5725446428571441</v>
      </c>
    </row>
    <row r="70" spans="1:8" ht="16.5" hidden="1" customHeight="1" thickBot="1">
      <c r="A70" s="973" t="s">
        <v>585</v>
      </c>
      <c r="B70" s="773">
        <f>+geral!M142</f>
        <v>2.44</v>
      </c>
      <c r="C70" s="748">
        <f t="shared" si="1"/>
        <v>113.48837209302326</v>
      </c>
      <c r="D70" s="750">
        <f t="shared" si="0"/>
        <v>-4.6875</v>
      </c>
      <c r="E70" s="750">
        <f t="shared" si="8"/>
        <v>11.415525114155244</v>
      </c>
      <c r="F70" s="751">
        <f t="shared" si="3"/>
        <v>-3.5573122529644174</v>
      </c>
      <c r="G70" s="840">
        <f t="shared" si="5"/>
        <v>-1.2145748987854366</v>
      </c>
      <c r="H70" s="842">
        <f>$B$322/B70</f>
        <v>7.9449648711943812</v>
      </c>
    </row>
    <row r="71" spans="1:8" ht="16.5" hidden="1" customHeight="1" thickBot="1">
      <c r="A71" s="973" t="s">
        <v>586</v>
      </c>
      <c r="B71" s="773">
        <f>+geral!M143</f>
        <v>2.58</v>
      </c>
      <c r="C71" s="748">
        <f t="shared" si="1"/>
        <v>120</v>
      </c>
      <c r="D71" s="750">
        <f t="shared" si="0"/>
        <v>5.7377049180327822</v>
      </c>
      <c r="E71" s="750">
        <f t="shared" si="8"/>
        <v>17.808219178082197</v>
      </c>
      <c r="F71" s="751">
        <f t="shared" si="3"/>
        <v>10.729613733905573</v>
      </c>
      <c r="G71" s="840">
        <f t="shared" si="5"/>
        <v>9.3220338983051043</v>
      </c>
      <c r="H71" s="842">
        <f>$B$322/B71</f>
        <v>7.5138427464008872</v>
      </c>
    </row>
    <row r="72" spans="1:8" ht="16.5" hidden="1" customHeight="1" thickBot="1">
      <c r="A72" s="973" t="s">
        <v>587</v>
      </c>
      <c r="B72" s="773">
        <f>+geral!M144</f>
        <v>2.64</v>
      </c>
      <c r="C72" s="748">
        <f t="shared" si="1"/>
        <v>122.79069767441861</v>
      </c>
      <c r="D72" s="750">
        <f t="shared" si="0"/>
        <v>2.3255813953488413</v>
      </c>
      <c r="E72" s="750">
        <f t="shared" si="8"/>
        <v>20.547945205479468</v>
      </c>
      <c r="F72" s="751">
        <f t="shared" si="3"/>
        <v>13.793103448275868</v>
      </c>
      <c r="G72" s="840">
        <f t="shared" si="5"/>
        <v>7.7551020408163307</v>
      </c>
      <c r="H72" s="842">
        <f>$B$322/B72</f>
        <v>7.3430735930735942</v>
      </c>
    </row>
    <row r="73" spans="1:8" ht="16.5" hidden="1" customHeight="1" thickBot="1">
      <c r="A73" s="973" t="s">
        <v>588</v>
      </c>
      <c r="B73" s="773">
        <f>+geral!M145</f>
        <v>2.44</v>
      </c>
      <c r="C73" s="748">
        <f t="shared" si="1"/>
        <v>113.48837209302326</v>
      </c>
      <c r="D73" s="750">
        <f t="shared" si="0"/>
        <v>-7.5757575757575797</v>
      </c>
      <c r="E73" s="750">
        <f t="shared" si="8"/>
        <v>11.415525114155244</v>
      </c>
      <c r="F73" s="751">
        <f t="shared" si="3"/>
        <v>11.415525114155244</v>
      </c>
      <c r="G73" s="840">
        <f t="shared" si="5"/>
        <v>12.962962962962955</v>
      </c>
      <c r="H73" s="842">
        <f>$B$322/B73</f>
        <v>7.9449648711943812</v>
      </c>
    </row>
    <row r="74" spans="1:8" ht="16.5" hidden="1" customHeight="1" thickBot="1">
      <c r="A74" s="973" t="s">
        <v>574</v>
      </c>
      <c r="B74" s="773">
        <f>+geral!C149</f>
        <v>2.57</v>
      </c>
      <c r="C74" s="748">
        <f t="shared" ref="C74:C91" si="9">100*B74/$B$8</f>
        <v>119.53488372093024</v>
      </c>
      <c r="D74" s="750">
        <f t="shared" ref="D74:D86" si="10">100*((B74/B73)-1)</f>
        <v>5.3278688524590168</v>
      </c>
      <c r="E74" s="750">
        <f>100*((B74/$B$73)-1)</f>
        <v>5.3278688524590168</v>
      </c>
      <c r="F74" s="751">
        <f t="shared" si="3"/>
        <v>5.3278688524590168</v>
      </c>
      <c r="G74" s="840">
        <f t="shared" si="5"/>
        <v>-3.0188679245283012</v>
      </c>
      <c r="H74" s="842">
        <f>$B$322/B74</f>
        <v>7.5430794886047821</v>
      </c>
    </row>
    <row r="75" spans="1:8" ht="16.5" hidden="1" customHeight="1" thickBot="1">
      <c r="A75" s="973" t="s">
        <v>575</v>
      </c>
      <c r="B75" s="773">
        <f>+geral!C150</f>
        <v>2.85</v>
      </c>
      <c r="C75" s="748">
        <f t="shared" si="9"/>
        <v>132.55813953488374</v>
      </c>
      <c r="D75" s="750">
        <f t="shared" si="10"/>
        <v>10.894941634241251</v>
      </c>
      <c r="E75" s="750">
        <f t="shared" ref="E75:E85" si="11">100*((B75/$B$73)-1)</f>
        <v>16.803278688524603</v>
      </c>
      <c r="F75" s="751">
        <f t="shared" si="3"/>
        <v>20.762711864406789</v>
      </c>
      <c r="G75" s="840">
        <f t="shared" si="5"/>
        <v>22.844827586206918</v>
      </c>
      <c r="H75" s="842">
        <f>$B$322/B75</f>
        <v>6.8020050125313292</v>
      </c>
    </row>
    <row r="76" spans="1:8" ht="16.5" hidden="1" customHeight="1" thickBot="1">
      <c r="A76" s="973" t="s">
        <v>576</v>
      </c>
      <c r="B76" s="773">
        <f>+geral!C151</f>
        <v>2.7</v>
      </c>
      <c r="C76" s="748">
        <f t="shared" si="9"/>
        <v>125.58139534883722</v>
      </c>
      <c r="D76" s="750">
        <f t="shared" si="10"/>
        <v>-5.2631578947368363</v>
      </c>
      <c r="E76" s="750">
        <f t="shared" si="11"/>
        <v>10.655737704918034</v>
      </c>
      <c r="F76" s="751">
        <f t="shared" si="3"/>
        <v>9.3117408906882471</v>
      </c>
      <c r="G76" s="840">
        <f t="shared" si="5"/>
        <v>29.807692307692314</v>
      </c>
      <c r="H76" s="842">
        <f>$B$322/B76</f>
        <v>7.1798941798941813</v>
      </c>
    </row>
    <row r="77" spans="1:8" ht="16.5" hidden="1" customHeight="1" thickBot="1">
      <c r="A77" s="973" t="s">
        <v>557</v>
      </c>
      <c r="B77" s="773">
        <f>+geral!C152</f>
        <v>2.68</v>
      </c>
      <c r="C77" s="748">
        <f t="shared" si="9"/>
        <v>124.65116279069768</v>
      </c>
      <c r="D77" s="750">
        <f t="shared" si="10"/>
        <v>-0.74074074074074181</v>
      </c>
      <c r="E77" s="750">
        <f t="shared" si="11"/>
        <v>9.8360655737705027</v>
      </c>
      <c r="F77" s="751">
        <f t="shared" si="3"/>
        <v>22.935779816513758</v>
      </c>
      <c r="G77" s="840">
        <f t="shared" si="5"/>
        <v>4.2801556420233533</v>
      </c>
      <c r="H77" s="842">
        <f>$B$322/B77</f>
        <v>7.2334754797441372</v>
      </c>
    </row>
    <row r="78" spans="1:8" ht="16.5" hidden="1" customHeight="1" thickBot="1">
      <c r="A78" s="973" t="s">
        <v>558</v>
      </c>
      <c r="B78" s="773">
        <f>+geral!C153</f>
        <v>2.66</v>
      </c>
      <c r="C78" s="748">
        <f t="shared" si="9"/>
        <v>123.72093023255815</v>
      </c>
      <c r="D78" s="750">
        <f t="shared" si="10"/>
        <v>-0.74626865671642006</v>
      </c>
      <c r="E78" s="750">
        <f t="shared" si="11"/>
        <v>9.0163934426229488</v>
      </c>
      <c r="F78" s="751">
        <f t="shared" si="3"/>
        <v>1.5267175572519109</v>
      </c>
      <c r="G78" s="840">
        <f t="shared" si="5"/>
        <v>29.126213592233018</v>
      </c>
      <c r="H78" s="842">
        <f>$B$322/B78</f>
        <v>7.2878625134264245</v>
      </c>
    </row>
    <row r="79" spans="1:8" ht="16.5" hidden="1" customHeight="1" thickBot="1">
      <c r="A79" s="973" t="s">
        <v>559</v>
      </c>
      <c r="B79" s="773">
        <f>+geral!C154</f>
        <v>2.92</v>
      </c>
      <c r="C79" s="748">
        <f t="shared" si="9"/>
        <v>135.81395348837211</v>
      </c>
      <c r="D79" s="750">
        <f t="shared" si="10"/>
        <v>9.7744360902255458</v>
      </c>
      <c r="E79" s="750">
        <f t="shared" si="11"/>
        <v>19.672131147540984</v>
      </c>
      <c r="F79" s="751">
        <f t="shared" si="3"/>
        <v>29.777777777777771</v>
      </c>
      <c r="G79" s="840">
        <f t="shared" si="5"/>
        <v>13.178294573643413</v>
      </c>
      <c r="H79" s="842">
        <f>$B$322/B79</f>
        <v>6.638943248532291</v>
      </c>
    </row>
    <row r="80" spans="1:8" ht="16.5" hidden="1" customHeight="1" thickBot="1">
      <c r="A80" s="973" t="s">
        <v>560</v>
      </c>
      <c r="B80" s="773">
        <f>+geral!C155</f>
        <v>2.75</v>
      </c>
      <c r="C80" s="748">
        <f t="shared" si="9"/>
        <v>127.90697674418605</v>
      </c>
      <c r="D80" s="750">
        <f t="shared" si="10"/>
        <v>-5.8219178082191796</v>
      </c>
      <c r="E80" s="750">
        <f t="shared" si="11"/>
        <v>12.704918032786882</v>
      </c>
      <c r="F80" s="751">
        <f t="shared" si="3"/>
        <v>16.033755274261608</v>
      </c>
      <c r="G80" s="840">
        <f t="shared" si="5"/>
        <v>8.2677165354330775</v>
      </c>
      <c r="H80" s="842">
        <f>$B$322/B80</f>
        <v>7.049350649350651</v>
      </c>
    </row>
    <row r="81" spans="1:8" ht="16.5" hidden="1" customHeight="1" thickBot="1">
      <c r="A81" s="973" t="s">
        <v>561</v>
      </c>
      <c r="B81" s="773">
        <f>+geral!C156</f>
        <v>2.63</v>
      </c>
      <c r="C81" s="748">
        <f t="shared" si="9"/>
        <v>122.32558139534885</v>
      </c>
      <c r="D81" s="750">
        <f t="shared" si="10"/>
        <v>-4.3636363636363695</v>
      </c>
      <c r="E81" s="750">
        <f t="shared" si="11"/>
        <v>7.7868852459016313</v>
      </c>
      <c r="F81" s="751">
        <f t="shared" si="3"/>
        <v>2.734375</v>
      </c>
      <c r="G81" s="840">
        <f t="shared" si="5"/>
        <v>16.888888888888886</v>
      </c>
      <c r="H81" s="842">
        <f>$B$322/B81</f>
        <v>7.3709940249864223</v>
      </c>
    </row>
    <row r="82" spans="1:8" ht="16.5" hidden="1" customHeight="1" thickBot="1">
      <c r="A82" s="973" t="s">
        <v>562</v>
      </c>
      <c r="B82" s="773">
        <f>+geral!C157</f>
        <v>2.61</v>
      </c>
      <c r="C82" s="748">
        <f t="shared" si="9"/>
        <v>121.39534883720931</v>
      </c>
      <c r="D82" s="750">
        <f t="shared" si="10"/>
        <v>-0.76045627376425395</v>
      </c>
      <c r="E82" s="750">
        <f t="shared" si="11"/>
        <v>6.9672131147541005</v>
      </c>
      <c r="F82" s="751">
        <f t="shared" si="3"/>
        <v>6.9672131147541005</v>
      </c>
      <c r="G82" s="840">
        <f t="shared" si="5"/>
        <v>3.1620553359683834</v>
      </c>
      <c r="H82" s="842">
        <f>$B$322/B82</f>
        <v>7.4274767378215669</v>
      </c>
    </row>
    <row r="83" spans="1:8" ht="16.5" hidden="1" customHeight="1" thickBot="1">
      <c r="A83" s="973" t="s">
        <v>534</v>
      </c>
      <c r="B83" s="773">
        <f>+geral!C158</f>
        <v>2.73</v>
      </c>
      <c r="C83" s="748">
        <f t="shared" si="9"/>
        <v>126.97674418604652</v>
      </c>
      <c r="D83" s="750">
        <f t="shared" si="10"/>
        <v>4.5977011494252817</v>
      </c>
      <c r="E83" s="750">
        <f t="shared" si="11"/>
        <v>11.885245901639351</v>
      </c>
      <c r="F83" s="751">
        <f t="shared" si="3"/>
        <v>5.8139534883720811</v>
      </c>
      <c r="G83" s="840">
        <f t="shared" si="5"/>
        <v>17.167381974248919</v>
      </c>
      <c r="H83" s="842">
        <f>$B$322/B83</f>
        <v>7.100994243851388</v>
      </c>
    </row>
    <row r="84" spans="1:8" ht="16.5" hidden="1" customHeight="1" thickBot="1">
      <c r="A84" s="973" t="s">
        <v>563</v>
      </c>
      <c r="B84" s="773">
        <f>+geral!C159</f>
        <v>2.83</v>
      </c>
      <c r="C84" s="748">
        <f t="shared" si="9"/>
        <v>131.62790697674419</v>
      </c>
      <c r="D84" s="750">
        <f t="shared" si="10"/>
        <v>3.6630036630036722</v>
      </c>
      <c r="E84" s="750">
        <f t="shared" si="11"/>
        <v>15.983606557377051</v>
      </c>
      <c r="F84" s="751">
        <f t="shared" si="3"/>
        <v>7.1969696969697017</v>
      </c>
      <c r="G84" s="840">
        <f t="shared" si="5"/>
        <v>21.982758620689658</v>
      </c>
      <c r="H84" s="842">
        <f>$B$322/B84</f>
        <v>6.8500757193336712</v>
      </c>
    </row>
    <row r="85" spans="1:8" ht="16.5" hidden="1" customHeight="1" thickBot="1">
      <c r="A85" s="973" t="s">
        <v>564</v>
      </c>
      <c r="B85" s="773">
        <f>+geral!C160</f>
        <v>2.86</v>
      </c>
      <c r="C85" s="748">
        <f t="shared" si="9"/>
        <v>133.02325581395348</v>
      </c>
      <c r="D85" s="750">
        <f t="shared" si="10"/>
        <v>1.0600706713780772</v>
      </c>
      <c r="E85" s="750">
        <f t="shared" si="11"/>
        <v>17.21311475409837</v>
      </c>
      <c r="F85" s="751">
        <f t="shared" ref="F85:F90" si="12">100*((B85/B73)-1)</f>
        <v>17.21311475409837</v>
      </c>
      <c r="G85" s="840">
        <f t="shared" si="5"/>
        <v>30.593607305936075</v>
      </c>
      <c r="H85" s="842">
        <f>$B$322/B85</f>
        <v>6.7782217782217797</v>
      </c>
    </row>
    <row r="86" spans="1:8" ht="16.5" hidden="1" thickBot="1">
      <c r="A86" s="973" t="s">
        <v>546</v>
      </c>
      <c r="B86" s="773">
        <f>+geral!E149</f>
        <v>2.95</v>
      </c>
      <c r="C86" s="748">
        <f t="shared" si="9"/>
        <v>137.2093023255814</v>
      </c>
      <c r="D86" s="750">
        <f t="shared" si="10"/>
        <v>3.146853146853168</v>
      </c>
      <c r="E86" s="750">
        <f t="shared" ref="E86:E92" si="13">100*((B86/$B$85)-1)</f>
        <v>3.146853146853168</v>
      </c>
      <c r="F86" s="751">
        <f t="shared" si="12"/>
        <v>14.785992217898848</v>
      </c>
      <c r="G86" s="840">
        <f t="shared" si="5"/>
        <v>20.9016393442623</v>
      </c>
      <c r="H86" s="842">
        <f>$B$322/B86</f>
        <v>6.5714285714285721</v>
      </c>
    </row>
    <row r="87" spans="1:8" ht="16.5" hidden="1" thickBot="1">
      <c r="A87" s="973" t="s">
        <v>547</v>
      </c>
      <c r="B87" s="773">
        <f>+geral!E150</f>
        <v>2.5</v>
      </c>
      <c r="C87" s="748">
        <f t="shared" si="9"/>
        <v>116.27906976744187</v>
      </c>
      <c r="D87" s="750">
        <f t="shared" ref="D87:D92" si="14">100*((B87/B86)-1)</f>
        <v>-15.254237288135597</v>
      </c>
      <c r="E87" s="750">
        <f t="shared" si="13"/>
        <v>-12.587412587412583</v>
      </c>
      <c r="F87" s="751">
        <f t="shared" si="12"/>
        <v>-12.280701754385969</v>
      </c>
      <c r="G87" s="840">
        <f t="shared" si="5"/>
        <v>5.9322033898305149</v>
      </c>
      <c r="H87" s="842">
        <f>$B$322/B87</f>
        <v>7.7542857142857162</v>
      </c>
    </row>
    <row r="88" spans="1:8" ht="16.5" hidden="1" thickBot="1">
      <c r="A88" s="973" t="s">
        <v>548</v>
      </c>
      <c r="B88" s="773">
        <f>+geral!E151</f>
        <v>3.25</v>
      </c>
      <c r="C88" s="748">
        <f t="shared" si="9"/>
        <v>151.16279069767444</v>
      </c>
      <c r="D88" s="750">
        <f t="shared" si="14"/>
        <v>30.000000000000004</v>
      </c>
      <c r="E88" s="750">
        <f t="shared" si="13"/>
        <v>13.636363636363647</v>
      </c>
      <c r="F88" s="751">
        <f t="shared" si="12"/>
        <v>20.370370370370374</v>
      </c>
      <c r="G88" s="840">
        <f t="shared" si="5"/>
        <v>31.578947368421041</v>
      </c>
      <c r="H88" s="842">
        <f>$B$322/B88</f>
        <v>5.9648351648351658</v>
      </c>
    </row>
    <row r="89" spans="1:8" ht="16.5" hidden="1" thickBot="1">
      <c r="A89" s="973" t="s">
        <v>549</v>
      </c>
      <c r="B89" s="773">
        <f>+geral!E152</f>
        <v>3.03</v>
      </c>
      <c r="C89" s="748">
        <f t="shared" si="9"/>
        <v>140.93023255813955</v>
      </c>
      <c r="D89" s="750">
        <f t="shared" si="14"/>
        <v>-6.7692307692307718</v>
      </c>
      <c r="E89" s="750">
        <f t="shared" si="13"/>
        <v>5.9440559440559371</v>
      </c>
      <c r="F89" s="751">
        <f t="shared" si="12"/>
        <v>13.0597014925373</v>
      </c>
      <c r="G89" s="840">
        <f t="shared" si="5"/>
        <v>38.990825688073372</v>
      </c>
      <c r="H89" s="842">
        <f>$B$322/B89</f>
        <v>6.3979255068363994</v>
      </c>
    </row>
    <row r="90" spans="1:8" ht="16.5" hidden="1" thickBot="1">
      <c r="A90" s="973" t="s">
        <v>550</v>
      </c>
      <c r="B90" s="773">
        <f>+geral!E153</f>
        <v>3.06</v>
      </c>
      <c r="C90" s="748">
        <f t="shared" si="9"/>
        <v>142.32558139534885</v>
      </c>
      <c r="D90" s="750">
        <f t="shared" si="14"/>
        <v>0.99009900990099098</v>
      </c>
      <c r="E90" s="750">
        <f t="shared" si="13"/>
        <v>6.9930069930070005</v>
      </c>
      <c r="F90" s="751">
        <f t="shared" si="12"/>
        <v>15.037593984962406</v>
      </c>
      <c r="G90" s="840">
        <f t="shared" si="5"/>
        <v>16.793893129771</v>
      </c>
      <c r="H90" s="842">
        <f>$B$322/B90</f>
        <v>6.3352007469654543</v>
      </c>
    </row>
    <row r="91" spans="1:8" ht="16.5" hidden="1" thickBot="1">
      <c r="A91" s="973" t="s">
        <v>551</v>
      </c>
      <c r="B91" s="773">
        <f>+geral!E154</f>
        <v>3.04</v>
      </c>
      <c r="C91" s="748">
        <f t="shared" si="9"/>
        <v>141.3953488372093</v>
      </c>
      <c r="D91" s="750">
        <f t="shared" si="14"/>
        <v>-0.65359477124182774</v>
      </c>
      <c r="E91" s="750">
        <f t="shared" si="13"/>
        <v>6.2937062937062915</v>
      </c>
      <c r="F91" s="751">
        <f t="shared" ref="F91:F96" si="15">100*((B91/B79)-1)</f>
        <v>4.1095890410958846</v>
      </c>
      <c r="G91" s="840">
        <f t="shared" si="5"/>
        <v>35.111111111111114</v>
      </c>
      <c r="H91" s="842">
        <f>$B$322/B91</f>
        <v>6.3768796992481214</v>
      </c>
    </row>
    <row r="92" spans="1:8" ht="16.5" hidden="1" thickBot="1">
      <c r="A92" s="973" t="s">
        <v>552</v>
      </c>
      <c r="B92" s="773">
        <f>+geral!E155</f>
        <v>3.53</v>
      </c>
      <c r="C92" s="748">
        <f t="shared" ref="C92:C97" si="16">100*B92/$B$8</f>
        <v>164.18604651162792</v>
      </c>
      <c r="D92" s="750">
        <f t="shared" si="14"/>
        <v>16.118421052631572</v>
      </c>
      <c r="E92" s="750">
        <f t="shared" si="13"/>
        <v>23.426573426573416</v>
      </c>
      <c r="F92" s="751">
        <f t="shared" si="15"/>
        <v>28.363636363636346</v>
      </c>
      <c r="G92" s="840">
        <f t="shared" si="5"/>
        <v>48.945147679324876</v>
      </c>
      <c r="H92" s="842">
        <f>$B$322/B92</f>
        <v>5.4917037636584389</v>
      </c>
    </row>
    <row r="93" spans="1:8" ht="16.5" hidden="1" thickBot="1">
      <c r="A93" s="973" t="s">
        <v>553</v>
      </c>
      <c r="B93" s="773">
        <f>+geral!E156</f>
        <v>2.83</v>
      </c>
      <c r="C93" s="748">
        <f t="shared" si="16"/>
        <v>131.62790697674419</v>
      </c>
      <c r="D93" s="750">
        <f t="shared" ref="D93:D98" si="17">100*((B93/B92)-1)</f>
        <v>-19.830028328611892</v>
      </c>
      <c r="E93" s="750">
        <f>100*((B93/$B$85)-1)</f>
        <v>-1.0489510489510412</v>
      </c>
      <c r="F93" s="751">
        <f t="shared" si="15"/>
        <v>7.6045627376425839</v>
      </c>
      <c r="G93" s="840">
        <f t="shared" si="5"/>
        <v>10.546875</v>
      </c>
      <c r="H93" s="842">
        <f>$B$322/B93</f>
        <v>6.8500757193336712</v>
      </c>
    </row>
    <row r="94" spans="1:8" ht="16.5" hidden="1" thickBot="1">
      <c r="A94" s="973" t="s">
        <v>554</v>
      </c>
      <c r="B94" s="773">
        <f>+geral!E157</f>
        <v>3.03</v>
      </c>
      <c r="C94" s="748">
        <f t="shared" si="16"/>
        <v>140.93023255813955</v>
      </c>
      <c r="D94" s="750">
        <f t="shared" si="17"/>
        <v>7.0671378091872628</v>
      </c>
      <c r="E94" s="750">
        <f>100*((B94/$B$85)-1)</f>
        <v>5.9440559440559371</v>
      </c>
      <c r="F94" s="751">
        <f t="shared" si="15"/>
        <v>16.09195402298851</v>
      </c>
      <c r="G94" s="840">
        <f t="shared" si="5"/>
        <v>24.180327868852448</v>
      </c>
      <c r="H94" s="842">
        <f>$B$322/B94</f>
        <v>6.3979255068363994</v>
      </c>
    </row>
    <row r="95" spans="1:8" ht="16.5" hidden="1" thickBot="1">
      <c r="A95" s="973" t="s">
        <v>533</v>
      </c>
      <c r="B95" s="773">
        <f>+geral!E158</f>
        <v>3.13</v>
      </c>
      <c r="C95" s="748">
        <f t="shared" si="16"/>
        <v>145.58139534883722</v>
      </c>
      <c r="D95" s="750">
        <f t="shared" si="17"/>
        <v>3.3003300330032959</v>
      </c>
      <c r="E95" s="750">
        <f>100*((B95/$B$85)-1)</f>
        <v>9.4405594405594364</v>
      </c>
      <c r="F95" s="751">
        <f t="shared" si="15"/>
        <v>14.652014652014644</v>
      </c>
      <c r="G95" s="840">
        <f t="shared" si="5"/>
        <v>21.317829457364333</v>
      </c>
      <c r="H95" s="842">
        <f>$B$322/B95</f>
        <v>6.1935189411227762</v>
      </c>
    </row>
    <row r="96" spans="1:8" ht="16.5" hidden="1" thickBot="1">
      <c r="A96" s="973" t="s">
        <v>555</v>
      </c>
      <c r="B96" s="773">
        <f>+geral!E159</f>
        <v>3.06</v>
      </c>
      <c r="C96" s="748">
        <f t="shared" si="16"/>
        <v>142.32558139534885</v>
      </c>
      <c r="D96" s="750">
        <f t="shared" si="17"/>
        <v>-2.2364217252396124</v>
      </c>
      <c r="E96" s="750">
        <f>100*((B96/$B$85)-1)</f>
        <v>6.9930069930070005</v>
      </c>
      <c r="F96" s="751">
        <f t="shared" si="15"/>
        <v>8.1272084805653613</v>
      </c>
      <c r="G96" s="840">
        <f t="shared" si="5"/>
        <v>15.909090909090896</v>
      </c>
      <c r="H96" s="842">
        <f>$B$322/B96</f>
        <v>6.3352007469654543</v>
      </c>
    </row>
    <row r="97" spans="1:8" ht="16.5" hidden="1" thickBot="1">
      <c r="A97" s="973" t="s">
        <v>556</v>
      </c>
      <c r="B97" s="773">
        <f>+geral!E160</f>
        <v>2.88</v>
      </c>
      <c r="C97" s="748">
        <f t="shared" si="16"/>
        <v>133.95348837209303</v>
      </c>
      <c r="D97" s="750">
        <f t="shared" si="17"/>
        <v>-5.8823529411764719</v>
      </c>
      <c r="E97" s="750">
        <f>100*((B97/$B$85)-1)</f>
        <v>0.69930069930070893</v>
      </c>
      <c r="F97" s="751">
        <f t="shared" ref="F97:F102" si="18">100*((B97/B85)-1)</f>
        <v>0.69930069930070893</v>
      </c>
      <c r="G97" s="840">
        <f t="shared" ref="G97:G110" si="19">100*(B97/B73-1)</f>
        <v>18.032786885245898</v>
      </c>
      <c r="H97" s="842">
        <f>$B$322/B97</f>
        <v>6.7311507936507953</v>
      </c>
    </row>
    <row r="98" spans="1:8" ht="16.5" hidden="1" thickBot="1">
      <c r="A98" s="973" t="s">
        <v>535</v>
      </c>
      <c r="B98" s="773">
        <f>+geral!G149</f>
        <v>3.28</v>
      </c>
      <c r="C98" s="748">
        <f t="shared" ref="C98:C157" si="20">100*B98/$B$8</f>
        <v>152.55813953488374</v>
      </c>
      <c r="D98" s="750">
        <f t="shared" si="17"/>
        <v>13.888888888888884</v>
      </c>
      <c r="E98" s="750">
        <f t="shared" ref="E98:E103" si="21">100*((B98/$B$97)-1)</f>
        <v>13.888888888888884</v>
      </c>
      <c r="F98" s="751">
        <f t="shared" si="18"/>
        <v>11.186440677966081</v>
      </c>
      <c r="G98" s="840">
        <f t="shared" si="19"/>
        <v>27.626459143968862</v>
      </c>
      <c r="H98" s="842">
        <f>$B$322/B98</f>
        <v>5.9102787456446011</v>
      </c>
    </row>
    <row r="99" spans="1:8" ht="16.5" hidden="1" thickBot="1">
      <c r="A99" s="973" t="s">
        <v>536</v>
      </c>
      <c r="B99" s="773">
        <f>+geral!G150</f>
        <v>3.91</v>
      </c>
      <c r="C99" s="748">
        <f t="shared" si="20"/>
        <v>181.86046511627907</v>
      </c>
      <c r="D99" s="750">
        <f t="shared" ref="D99:D104" si="22">100*((B99/B98)-1)</f>
        <v>19.207317073170739</v>
      </c>
      <c r="E99" s="750">
        <f t="shared" si="21"/>
        <v>35.763888888888907</v>
      </c>
      <c r="F99" s="751">
        <f t="shared" si="18"/>
        <v>56.400000000000006</v>
      </c>
      <c r="G99" s="840">
        <f t="shared" si="19"/>
        <v>37.192982456140356</v>
      </c>
      <c r="H99" s="842">
        <f>$B$322/B99</f>
        <v>4.957983193277312</v>
      </c>
    </row>
    <row r="100" spans="1:8" ht="16.5" hidden="1" thickBot="1">
      <c r="A100" s="973" t="s">
        <v>537</v>
      </c>
      <c r="B100" s="773">
        <f>+geral!G151</f>
        <v>2.78</v>
      </c>
      <c r="C100" s="748">
        <f t="shared" si="20"/>
        <v>129.30232558139537</v>
      </c>
      <c r="D100" s="750">
        <f t="shared" si="22"/>
        <v>-28.900255754475712</v>
      </c>
      <c r="E100" s="750">
        <f t="shared" si="21"/>
        <v>-3.472222222222221</v>
      </c>
      <c r="F100" s="751">
        <f t="shared" si="18"/>
        <v>-14.461538461538471</v>
      </c>
      <c r="G100" s="840">
        <f t="shared" si="19"/>
        <v>2.962962962962945</v>
      </c>
      <c r="H100" s="842">
        <f>$B$322/B100</f>
        <v>6.973278520041112</v>
      </c>
    </row>
    <row r="101" spans="1:8" ht="16.5" hidden="1" thickBot="1">
      <c r="A101" s="973" t="s">
        <v>538</v>
      </c>
      <c r="B101" s="773">
        <f>+geral!G152</f>
        <v>3.21</v>
      </c>
      <c r="C101" s="748">
        <f t="shared" si="20"/>
        <v>149.30232558139537</v>
      </c>
      <c r="D101" s="750">
        <f t="shared" si="22"/>
        <v>15.467625899280591</v>
      </c>
      <c r="E101" s="750">
        <f t="shared" si="21"/>
        <v>11.458333333333325</v>
      </c>
      <c r="F101" s="751">
        <f t="shared" si="18"/>
        <v>5.9405940594059459</v>
      </c>
      <c r="G101" s="840">
        <f t="shared" si="19"/>
        <v>19.776119402985071</v>
      </c>
      <c r="H101" s="842">
        <f>$B$322/B101</f>
        <v>6.0391633288829567</v>
      </c>
    </row>
    <row r="102" spans="1:8" ht="16.5" hidden="1" thickBot="1">
      <c r="A102" s="973" t="s">
        <v>539</v>
      </c>
      <c r="B102" s="773">
        <f>+geral!G153</f>
        <v>3.09</v>
      </c>
      <c r="C102" s="748">
        <f t="shared" si="20"/>
        <v>143.72093023255815</v>
      </c>
      <c r="D102" s="750">
        <f t="shared" si="22"/>
        <v>-3.7383177570093462</v>
      </c>
      <c r="E102" s="750">
        <f t="shared" si="21"/>
        <v>7.2916666666666741</v>
      </c>
      <c r="F102" s="751">
        <f t="shared" si="18"/>
        <v>0.98039215686274161</v>
      </c>
      <c r="G102" s="840">
        <f t="shared" si="19"/>
        <v>16.165413533834581</v>
      </c>
      <c r="H102" s="842">
        <f>$B$322/B102</f>
        <v>6.2736939435968582</v>
      </c>
    </row>
    <row r="103" spans="1:8" ht="16.5" hidden="1" thickBot="1">
      <c r="A103" s="973" t="s">
        <v>540</v>
      </c>
      <c r="B103" s="773">
        <f>+geral!G154</f>
        <v>3.08</v>
      </c>
      <c r="C103" s="748">
        <f t="shared" si="20"/>
        <v>143.25581395348837</v>
      </c>
      <c r="D103" s="750">
        <f t="shared" si="22"/>
        <v>-0.32362459546925182</v>
      </c>
      <c r="E103" s="750">
        <f t="shared" si="21"/>
        <v>6.944444444444442</v>
      </c>
      <c r="F103" s="751">
        <f t="shared" ref="F103:F108" si="23">100*((B103/B91)-1)</f>
        <v>1.3157894736842035</v>
      </c>
      <c r="G103" s="840">
        <f t="shared" si="19"/>
        <v>5.4794520547945202</v>
      </c>
      <c r="H103" s="842">
        <f>$B$322/B103</f>
        <v>6.2940630797773665</v>
      </c>
    </row>
    <row r="104" spans="1:8" ht="16.5" hidden="1" thickBot="1">
      <c r="A104" s="973" t="s">
        <v>541</v>
      </c>
      <c r="B104" s="773">
        <f>+geral!G155</f>
        <v>3.23</v>
      </c>
      <c r="C104" s="748">
        <f t="shared" si="20"/>
        <v>150.23255813953489</v>
      </c>
      <c r="D104" s="750">
        <f t="shared" si="22"/>
        <v>4.870129870129869</v>
      </c>
      <c r="E104" s="750">
        <f t="shared" ref="E104:E109" si="24">100*((B104/$B$97)-1)</f>
        <v>12.152777777777789</v>
      </c>
      <c r="F104" s="751">
        <f t="shared" si="23"/>
        <v>-8.4985835694050937</v>
      </c>
      <c r="G104" s="840">
        <f t="shared" si="19"/>
        <v>17.454545454545457</v>
      </c>
      <c r="H104" s="842">
        <f>$B$322/B104</f>
        <v>6.0017691287041144</v>
      </c>
    </row>
    <row r="105" spans="1:8" ht="16.5" hidden="1" thickBot="1">
      <c r="A105" s="973" t="s">
        <v>542</v>
      </c>
      <c r="B105" s="773">
        <f>+geral!G156</f>
        <v>3.14</v>
      </c>
      <c r="C105" s="748">
        <f t="shared" si="20"/>
        <v>146.04651162790699</v>
      </c>
      <c r="D105" s="750">
        <f t="shared" ref="D105:D110" si="25">100*((B105/B104)-1)</f>
        <v>-2.786377708978327</v>
      </c>
      <c r="E105" s="750">
        <f t="shared" si="24"/>
        <v>9.0277777777777892</v>
      </c>
      <c r="F105" s="751">
        <f t="shared" si="23"/>
        <v>10.954063604240293</v>
      </c>
      <c r="G105" s="840">
        <f t="shared" si="19"/>
        <v>19.391634980988592</v>
      </c>
      <c r="H105" s="842">
        <f>$B$322/B105</f>
        <v>6.1737943585077355</v>
      </c>
    </row>
    <row r="106" spans="1:8" ht="16.5" hidden="1" thickBot="1">
      <c r="A106" s="973" t="s">
        <v>543</v>
      </c>
      <c r="B106" s="773">
        <f>+geral!G157</f>
        <v>3.39</v>
      </c>
      <c r="C106" s="748">
        <f t="shared" si="20"/>
        <v>157.67441860465118</v>
      </c>
      <c r="D106" s="750">
        <f t="shared" si="25"/>
        <v>7.9617834394904552</v>
      </c>
      <c r="E106" s="750">
        <f t="shared" si="24"/>
        <v>17.70833333333335</v>
      </c>
      <c r="F106" s="751">
        <f t="shared" si="23"/>
        <v>11.881188118811892</v>
      </c>
      <c r="G106" s="840">
        <f t="shared" si="19"/>
        <v>29.885057471264375</v>
      </c>
      <c r="H106" s="842">
        <f>$B$322/B106</f>
        <v>5.7184997892962501</v>
      </c>
    </row>
    <row r="107" spans="1:8" ht="16.5" hidden="1" thickBot="1">
      <c r="A107" s="973" t="s">
        <v>532</v>
      </c>
      <c r="B107" s="773">
        <f>+geral!G158</f>
        <v>3.67</v>
      </c>
      <c r="C107" s="748">
        <f t="shared" si="20"/>
        <v>170.69767441860466</v>
      </c>
      <c r="D107" s="750">
        <f t="shared" si="25"/>
        <v>8.2595870206489508</v>
      </c>
      <c r="E107" s="750">
        <f t="shared" si="24"/>
        <v>27.430555555555557</v>
      </c>
      <c r="F107" s="751">
        <f t="shared" si="23"/>
        <v>17.252396166134186</v>
      </c>
      <c r="G107" s="840">
        <f t="shared" si="19"/>
        <v>34.432234432234424</v>
      </c>
      <c r="H107" s="842">
        <f>$B$322/B107</f>
        <v>5.2822109770338663</v>
      </c>
    </row>
    <row r="108" spans="1:8" ht="16.5" hidden="1" thickBot="1">
      <c r="A108" s="973" t="s">
        <v>544</v>
      </c>
      <c r="B108" s="773">
        <f>+geral!G159</f>
        <v>3.4</v>
      </c>
      <c r="C108" s="748">
        <f t="shared" si="20"/>
        <v>158.13953488372093</v>
      </c>
      <c r="D108" s="750">
        <f t="shared" si="25"/>
        <v>-7.3569482288828318</v>
      </c>
      <c r="E108" s="750">
        <f t="shared" si="24"/>
        <v>18.055555555555557</v>
      </c>
      <c r="F108" s="751">
        <f t="shared" si="23"/>
        <v>11.111111111111116</v>
      </c>
      <c r="G108" s="840">
        <f t="shared" si="19"/>
        <v>20.141342756183732</v>
      </c>
      <c r="H108" s="842">
        <f>$B$322/B108</f>
        <v>5.7016806722689086</v>
      </c>
    </row>
    <row r="109" spans="1:8" ht="16.5" hidden="1" thickBot="1">
      <c r="A109" s="973" t="s">
        <v>545</v>
      </c>
      <c r="B109" s="773">
        <f>+geral!G160</f>
        <v>3.45</v>
      </c>
      <c r="C109" s="748">
        <f t="shared" si="20"/>
        <v>160.46511627906978</v>
      </c>
      <c r="D109" s="750">
        <f t="shared" si="25"/>
        <v>1.4705882352941346</v>
      </c>
      <c r="E109" s="750">
        <f t="shared" si="24"/>
        <v>19.791666666666675</v>
      </c>
      <c r="F109" s="751">
        <f t="shared" ref="F109:F114" si="26">100*((B109/B97)-1)</f>
        <v>19.791666666666675</v>
      </c>
      <c r="G109" s="840">
        <f t="shared" si="19"/>
        <v>20.629370629370648</v>
      </c>
      <c r="H109" s="842">
        <f>$B$322/B109</f>
        <v>5.6190476190476195</v>
      </c>
    </row>
    <row r="110" spans="1:8" ht="16.5" hidden="1" thickBot="1">
      <c r="A110" s="973" t="s">
        <v>565</v>
      </c>
      <c r="B110" s="773">
        <f>+geral!I149</f>
        <v>3.62</v>
      </c>
      <c r="C110" s="748">
        <f t="shared" si="20"/>
        <v>168.37209302325581</v>
      </c>
      <c r="D110" s="750">
        <f t="shared" si="25"/>
        <v>4.9275362318840665</v>
      </c>
      <c r="E110" s="750">
        <f t="shared" ref="E110:E115" si="27">100*((B110/$B$109)-1)</f>
        <v>4.9275362318840665</v>
      </c>
      <c r="F110" s="751">
        <f t="shared" si="26"/>
        <v>10.365853658536594</v>
      </c>
      <c r="G110" s="840">
        <f t="shared" si="19"/>
        <v>22.711864406779657</v>
      </c>
      <c r="H110" s="842">
        <f>$B$322/B110</f>
        <v>5.3551696921862675</v>
      </c>
    </row>
    <row r="111" spans="1:8" ht="16.5" hidden="1" thickBot="1">
      <c r="A111" s="973" t="s">
        <v>566</v>
      </c>
      <c r="B111" s="773">
        <f>+geral!I150</f>
        <v>3.67</v>
      </c>
      <c r="C111" s="748">
        <f t="shared" si="20"/>
        <v>170.69767441860466</v>
      </c>
      <c r="D111" s="750">
        <f t="shared" ref="D111:D116" si="28">100*((B111/B110)-1)</f>
        <v>1.3812154696132506</v>
      </c>
      <c r="E111" s="750">
        <f t="shared" si="27"/>
        <v>6.3768115942028913</v>
      </c>
      <c r="F111" s="751">
        <f t="shared" si="26"/>
        <v>-6.1381074168798015</v>
      </c>
      <c r="G111" s="840">
        <f t="shared" ref="G111:G116" si="29">100*(B111/B87-1)</f>
        <v>46.8</v>
      </c>
      <c r="H111" s="842">
        <f>$B$322/B111</f>
        <v>5.2822109770338663</v>
      </c>
    </row>
    <row r="112" spans="1:8" ht="16.5" hidden="1" thickBot="1">
      <c r="A112" s="973" t="s">
        <v>567</v>
      </c>
      <c r="B112" s="773">
        <f>+geral!I151</f>
        <v>4.0599999999999996</v>
      </c>
      <c r="C112" s="748">
        <f t="shared" si="20"/>
        <v>188.83720930232556</v>
      </c>
      <c r="D112" s="750">
        <f t="shared" si="28"/>
        <v>10.626702997275196</v>
      </c>
      <c r="E112" s="750">
        <f t="shared" si="27"/>
        <v>17.681159420289827</v>
      </c>
      <c r="F112" s="751">
        <f t="shared" si="26"/>
        <v>46.043165467625904</v>
      </c>
      <c r="G112" s="840">
        <f t="shared" si="29"/>
        <v>24.923076923076913</v>
      </c>
      <c r="H112" s="842">
        <f>$B$322/B112</f>
        <v>4.7748064743138645</v>
      </c>
    </row>
    <row r="113" spans="1:8" ht="16.5" hidden="1" thickBot="1">
      <c r="A113" s="973" t="s">
        <v>568</v>
      </c>
      <c r="B113" s="773">
        <f>+geral!I152</f>
        <v>4.1399999999999997</v>
      </c>
      <c r="C113" s="748">
        <f t="shared" si="20"/>
        <v>192.55813953488371</v>
      </c>
      <c r="D113" s="750">
        <f t="shared" si="28"/>
        <v>1.9704433497536922</v>
      </c>
      <c r="E113" s="750">
        <f t="shared" si="27"/>
        <v>19.999999999999996</v>
      </c>
      <c r="F113" s="751">
        <f t="shared" si="26"/>
        <v>28.971962616822424</v>
      </c>
      <c r="G113" s="840">
        <f t="shared" si="29"/>
        <v>36.63366336633662</v>
      </c>
      <c r="H113" s="842">
        <f>$B$322/B113</f>
        <v>4.6825396825396837</v>
      </c>
    </row>
    <row r="114" spans="1:8" ht="16.5" hidden="1" thickBot="1">
      <c r="A114" s="973" t="s">
        <v>569</v>
      </c>
      <c r="B114" s="773">
        <f>+geral!I153</f>
        <v>4.16</v>
      </c>
      <c r="C114" s="748">
        <f t="shared" si="20"/>
        <v>193.48837209302326</v>
      </c>
      <c r="D114" s="750">
        <f t="shared" si="28"/>
        <v>0.48309178743961567</v>
      </c>
      <c r="E114" s="750">
        <f t="shared" si="27"/>
        <v>20.579710144927542</v>
      </c>
      <c r="F114" s="751">
        <f t="shared" si="26"/>
        <v>34.627831715210377</v>
      </c>
      <c r="G114" s="840">
        <f t="shared" si="29"/>
        <v>35.947712418300661</v>
      </c>
      <c r="H114" s="842">
        <f>$B$322/B114</f>
        <v>4.6600274725274735</v>
      </c>
    </row>
    <row r="115" spans="1:8" ht="16.5" hidden="1" thickBot="1">
      <c r="A115" s="973" t="s">
        <v>570</v>
      </c>
      <c r="B115" s="773">
        <f>+geral!I154</f>
        <v>4.08</v>
      </c>
      <c r="C115" s="748">
        <f t="shared" si="20"/>
        <v>189.76744186046511</v>
      </c>
      <c r="D115" s="750">
        <f t="shared" si="28"/>
        <v>-1.9230769230769273</v>
      </c>
      <c r="E115" s="750">
        <f t="shared" si="27"/>
        <v>18.260869565217398</v>
      </c>
      <c r="F115" s="751">
        <f t="shared" ref="F115:F120" si="30">100*((B115/B103)-1)</f>
        <v>32.467532467532465</v>
      </c>
      <c r="G115" s="840">
        <f t="shared" si="29"/>
        <v>34.210526315789465</v>
      </c>
      <c r="H115" s="842">
        <f>$B$322/B115</f>
        <v>4.7514005602240905</v>
      </c>
    </row>
    <row r="116" spans="1:8" ht="16.5" hidden="1" thickBot="1">
      <c r="A116" s="973" t="s">
        <v>571</v>
      </c>
      <c r="B116" s="773">
        <f>+geral!I155</f>
        <v>4.2699999999999996</v>
      </c>
      <c r="C116" s="748">
        <f t="shared" si="20"/>
        <v>198.60465116279067</v>
      </c>
      <c r="D116" s="750">
        <f t="shared" si="28"/>
        <v>4.6568627450980227</v>
      </c>
      <c r="E116" s="750">
        <f t="shared" ref="E116:E121" si="31">100*((B116/$B$109)-1)</f>
        <v>23.768115942028967</v>
      </c>
      <c r="F116" s="751">
        <f t="shared" si="30"/>
        <v>32.198142414860676</v>
      </c>
      <c r="G116" s="840">
        <f t="shared" si="29"/>
        <v>20.963172804532569</v>
      </c>
      <c r="H116" s="842">
        <f>$B$322/B116</f>
        <v>4.5399799263967893</v>
      </c>
    </row>
    <row r="117" spans="1:8" ht="16.5" hidden="1" thickBot="1">
      <c r="A117" s="973" t="s">
        <v>572</v>
      </c>
      <c r="B117" s="773">
        <f>+geral!I156</f>
        <v>4.25</v>
      </c>
      <c r="C117" s="748">
        <f t="shared" si="20"/>
        <v>197.67441860465118</v>
      </c>
      <c r="D117" s="750">
        <f t="shared" ref="D117:D122" si="32">100*((B117/B116)-1)</f>
        <v>-0.46838407494144141</v>
      </c>
      <c r="E117" s="750">
        <f t="shared" si="31"/>
        <v>23.188405797101442</v>
      </c>
      <c r="F117" s="751">
        <f t="shared" si="30"/>
        <v>35.35031847133758</v>
      </c>
      <c r="G117" s="840">
        <f t="shared" ref="G117:G122" si="33">100*(B117/B93-1)</f>
        <v>50.176678445229683</v>
      </c>
      <c r="H117" s="842">
        <f>$B$322/B117</f>
        <v>4.5613445378151267</v>
      </c>
    </row>
    <row r="118" spans="1:8" ht="16.5" hidden="1" thickBot="1">
      <c r="A118" s="973" t="s">
        <v>573</v>
      </c>
      <c r="B118" s="773">
        <f>+geral!I157</f>
        <v>4.34</v>
      </c>
      <c r="C118" s="748">
        <f t="shared" si="20"/>
        <v>201.86046511627907</v>
      </c>
      <c r="D118" s="750">
        <f t="shared" si="32"/>
        <v>2.1176470588235352</v>
      </c>
      <c r="E118" s="750">
        <f t="shared" si="31"/>
        <v>25.79710144927536</v>
      </c>
      <c r="F118" s="751">
        <f t="shared" si="30"/>
        <v>28.023598820058982</v>
      </c>
      <c r="G118" s="840">
        <f t="shared" si="33"/>
        <v>43.234323432343238</v>
      </c>
      <c r="H118" s="842">
        <f>$B$322/B118</f>
        <v>4.4667544437129703</v>
      </c>
    </row>
    <row r="119" spans="1:8" ht="16.5" hidden="1" thickBot="1">
      <c r="A119" s="973" t="s">
        <v>396</v>
      </c>
      <c r="B119" s="773">
        <f>+geral!I158</f>
        <v>4.74</v>
      </c>
      <c r="C119" s="748">
        <f t="shared" si="20"/>
        <v>220.46511627906978</v>
      </c>
      <c r="D119" s="750">
        <f t="shared" si="32"/>
        <v>9.2165898617511566</v>
      </c>
      <c r="E119" s="750">
        <f t="shared" si="31"/>
        <v>37.391304347826093</v>
      </c>
      <c r="F119" s="751">
        <f t="shared" si="30"/>
        <v>29.155313351498634</v>
      </c>
      <c r="G119" s="840">
        <f t="shared" si="33"/>
        <v>51.437699680511194</v>
      </c>
      <c r="H119" s="842">
        <f>$B$322/B119</f>
        <v>4.0898131404460525</v>
      </c>
    </row>
    <row r="120" spans="1:8" ht="16.5" hidden="1" thickBot="1">
      <c r="A120" s="973" t="s">
        <v>397</v>
      </c>
      <c r="B120" s="773">
        <f>+geral!I159</f>
        <v>4.72</v>
      </c>
      <c r="C120" s="748">
        <f t="shared" si="20"/>
        <v>219.53488372093025</v>
      </c>
      <c r="D120" s="750">
        <f t="shared" si="32"/>
        <v>-0.42194092827004814</v>
      </c>
      <c r="E120" s="750">
        <f t="shared" si="31"/>
        <v>36.811594202898547</v>
      </c>
      <c r="F120" s="751">
        <f t="shared" si="30"/>
        <v>38.823529411764703</v>
      </c>
      <c r="G120" s="840">
        <f t="shared" si="33"/>
        <v>54.24836601307188</v>
      </c>
      <c r="H120" s="842">
        <f>$B$322/B120</f>
        <v>4.1071428571428585</v>
      </c>
    </row>
    <row r="121" spans="1:8" ht="16.5" hidden="1" thickBot="1">
      <c r="A121" s="973" t="s">
        <v>398</v>
      </c>
      <c r="B121" s="773">
        <f>+geral!I160</f>
        <v>4.62</v>
      </c>
      <c r="C121" s="748">
        <f t="shared" si="20"/>
        <v>214.88372093023256</v>
      </c>
      <c r="D121" s="750">
        <f t="shared" si="32"/>
        <v>-2.1186440677966045</v>
      </c>
      <c r="E121" s="750">
        <f t="shared" si="31"/>
        <v>33.913043478260875</v>
      </c>
      <c r="F121" s="751">
        <f t="shared" ref="F121:F126" si="34">100*((B121/B109)-1)</f>
        <v>33.913043478260875</v>
      </c>
      <c r="G121" s="840">
        <f t="shared" si="33"/>
        <v>60.416666666666671</v>
      </c>
      <c r="H121" s="842">
        <f>$B$322/B121</f>
        <v>4.196042053184911</v>
      </c>
    </row>
    <row r="122" spans="1:8" ht="16.5" hidden="1" thickBot="1">
      <c r="A122" s="973" t="s">
        <v>399</v>
      </c>
      <c r="B122" s="773">
        <f>+geral!K149</f>
        <v>4.5599999999999996</v>
      </c>
      <c r="C122" s="748">
        <f t="shared" si="20"/>
        <v>212.09302325581393</v>
      </c>
      <c r="D122" s="750">
        <f t="shared" si="32"/>
        <v>-1.2987012987013102</v>
      </c>
      <c r="E122" s="750">
        <f t="shared" ref="E122:E127" si="35">100*((B122/$B$121)-1)</f>
        <v>-1.2987012987013102</v>
      </c>
      <c r="F122" s="751">
        <f t="shared" si="34"/>
        <v>25.966850828729271</v>
      </c>
      <c r="G122" s="840">
        <f t="shared" si="33"/>
        <v>39.024390243902431</v>
      </c>
      <c r="H122" s="842">
        <f>$B$322/B122</f>
        <v>4.2512531328320815</v>
      </c>
    </row>
    <row r="123" spans="1:8" ht="16.5" hidden="1" thickBot="1">
      <c r="A123" s="973" t="s">
        <v>400</v>
      </c>
      <c r="B123" s="773">
        <f>+geral!K150</f>
        <v>4.7300000000000004</v>
      </c>
      <c r="C123" s="748">
        <f t="shared" si="20"/>
        <v>220.00000000000003</v>
      </c>
      <c r="D123" s="750">
        <f t="shared" ref="D123:D128" si="36">100*((B123/B122)-1)</f>
        <v>3.7280701754386136</v>
      </c>
      <c r="E123" s="750">
        <f t="shared" si="35"/>
        <v>2.3809523809523947</v>
      </c>
      <c r="F123" s="751">
        <f t="shared" si="34"/>
        <v>28.882833787465945</v>
      </c>
      <c r="G123" s="840">
        <f t="shared" ref="G123:G128" si="37">100*(B123/B99-1)</f>
        <v>20.971867007672639</v>
      </c>
      <c r="H123" s="842">
        <f>$B$322/B123</f>
        <v>4.0984596798550292</v>
      </c>
    </row>
    <row r="124" spans="1:8" ht="16.5" hidden="1" thickBot="1">
      <c r="A124" s="973" t="s">
        <v>401</v>
      </c>
      <c r="B124" s="773">
        <f>+geral!K151</f>
        <v>4.7699999999999996</v>
      </c>
      <c r="C124" s="748">
        <f t="shared" si="20"/>
        <v>221.86046511627904</v>
      </c>
      <c r="D124" s="750">
        <f t="shared" si="36"/>
        <v>0.84566596194501908</v>
      </c>
      <c r="E124" s="750">
        <f t="shared" si="35"/>
        <v>3.2467532467532312</v>
      </c>
      <c r="F124" s="751">
        <f t="shared" si="34"/>
        <v>17.487684729064036</v>
      </c>
      <c r="G124" s="840">
        <f t="shared" si="37"/>
        <v>71.582733812949641</v>
      </c>
      <c r="H124" s="842">
        <f>$B$322/B124</f>
        <v>4.0640910452231216</v>
      </c>
    </row>
    <row r="125" spans="1:8" ht="16.5" hidden="1" thickBot="1">
      <c r="A125" s="973" t="s">
        <v>402</v>
      </c>
      <c r="B125" s="773">
        <f>+geral!K152</f>
        <v>4.67</v>
      </c>
      <c r="C125" s="748">
        <f t="shared" si="20"/>
        <v>217.2093023255814</v>
      </c>
      <c r="D125" s="750">
        <f t="shared" si="36"/>
        <v>-2.0964360587002018</v>
      </c>
      <c r="E125" s="750">
        <f t="shared" si="35"/>
        <v>1.0822510822510845</v>
      </c>
      <c r="F125" s="751">
        <f t="shared" si="34"/>
        <v>12.801932367149771</v>
      </c>
      <c r="G125" s="840">
        <f t="shared" si="37"/>
        <v>45.482866043613711</v>
      </c>
      <c r="H125" s="842">
        <f>$B$322/B125</f>
        <v>4.1511165494034881</v>
      </c>
    </row>
    <row r="126" spans="1:8" ht="16.5" hidden="1" thickBot="1">
      <c r="A126" s="973" t="s">
        <v>403</v>
      </c>
      <c r="B126" s="773">
        <f>+geral!K153</f>
        <v>4.79</v>
      </c>
      <c r="C126" s="748">
        <f t="shared" si="20"/>
        <v>222.79069767441862</v>
      </c>
      <c r="D126" s="750">
        <f t="shared" si="36"/>
        <v>2.5695931477516032</v>
      </c>
      <c r="E126" s="750">
        <f t="shared" si="35"/>
        <v>3.6796536796536827</v>
      </c>
      <c r="F126" s="751">
        <f t="shared" si="34"/>
        <v>15.14423076923077</v>
      </c>
      <c r="G126" s="840">
        <f t="shared" si="37"/>
        <v>55.016181229773473</v>
      </c>
      <c r="H126" s="842">
        <f>$B$322/B126</f>
        <v>4.0471219803161356</v>
      </c>
    </row>
    <row r="127" spans="1:8" ht="16.5" hidden="1" thickBot="1">
      <c r="A127" s="973" t="s">
        <v>404</v>
      </c>
      <c r="B127" s="773">
        <f>+geral!K154</f>
        <v>4.8600000000000003</v>
      </c>
      <c r="C127" s="748">
        <f t="shared" si="20"/>
        <v>226.04651162790702</v>
      </c>
      <c r="D127" s="750">
        <f t="shared" si="36"/>
        <v>1.4613778705636848</v>
      </c>
      <c r="E127" s="750">
        <f t="shared" si="35"/>
        <v>5.1948051948051965</v>
      </c>
      <c r="F127" s="751">
        <f t="shared" ref="F127:F132" si="38">100*((B127/B115)-1)</f>
        <v>19.117647058823529</v>
      </c>
      <c r="G127" s="840">
        <f t="shared" si="37"/>
        <v>57.792207792207797</v>
      </c>
      <c r="H127" s="842">
        <f>$B$322/B127</f>
        <v>3.9888300999412114</v>
      </c>
    </row>
    <row r="128" spans="1:8" s="778" customFormat="1" ht="16.5" hidden="1" thickBot="1">
      <c r="A128" s="973" t="s">
        <v>405</v>
      </c>
      <c r="B128" s="773">
        <f>+geral!K155</f>
        <v>4.92</v>
      </c>
      <c r="C128" s="748">
        <f t="shared" si="20"/>
        <v>228.83720930232559</v>
      </c>
      <c r="D128" s="750">
        <f t="shared" si="36"/>
        <v>1.2345679012345512</v>
      </c>
      <c r="E128" s="750">
        <f t="shared" ref="E128:E133" si="39">100*((B128/$B$121)-1)</f>
        <v>6.4935064935064846</v>
      </c>
      <c r="F128" s="751">
        <f t="shared" si="38"/>
        <v>15.222482435597207</v>
      </c>
      <c r="G128" s="840">
        <f t="shared" si="37"/>
        <v>52.321981424148611</v>
      </c>
      <c r="H128" s="842">
        <f>$B$322/B128</f>
        <v>3.9401858304297339</v>
      </c>
    </row>
    <row r="129" spans="1:8" ht="16.5" hidden="1" thickBot="1">
      <c r="A129" s="973" t="s">
        <v>406</v>
      </c>
      <c r="B129" s="773">
        <f>+geral!K156</f>
        <v>4.95</v>
      </c>
      <c r="C129" s="748">
        <f t="shared" si="20"/>
        <v>230.23255813953489</v>
      </c>
      <c r="D129" s="750">
        <f t="shared" ref="D129:D135" si="40">100*((B129/B128)-1)</f>
        <v>0.60975609756097615</v>
      </c>
      <c r="E129" s="750">
        <f t="shared" si="39"/>
        <v>7.1428571428571397</v>
      </c>
      <c r="F129" s="751">
        <f t="shared" si="38"/>
        <v>16.470588235294127</v>
      </c>
      <c r="G129" s="840">
        <f t="shared" ref="G129:G134" si="41">100*(B129/B105-1)</f>
        <v>57.643312101910823</v>
      </c>
      <c r="H129" s="842">
        <f>$B$322/B129</f>
        <v>3.9163059163059168</v>
      </c>
    </row>
    <row r="130" spans="1:8" ht="16.5" hidden="1" thickBot="1">
      <c r="A130" s="973" t="s">
        <v>407</v>
      </c>
      <c r="B130" s="773">
        <f>+geral!K157</f>
        <v>4.95</v>
      </c>
      <c r="C130" s="748">
        <f t="shared" si="20"/>
        <v>230.23255813953489</v>
      </c>
      <c r="D130" s="750">
        <f t="shared" si="40"/>
        <v>0</v>
      </c>
      <c r="E130" s="750">
        <f t="shared" si="39"/>
        <v>7.1428571428571397</v>
      </c>
      <c r="F130" s="751">
        <f t="shared" si="38"/>
        <v>14.055299539170507</v>
      </c>
      <c r="G130" s="840">
        <f t="shared" si="41"/>
        <v>46.017699115044252</v>
      </c>
      <c r="H130" s="842">
        <f>$B$322/B130</f>
        <v>3.9163059163059168</v>
      </c>
    </row>
    <row r="131" spans="1:8" ht="16.5" hidden="1" thickBot="1">
      <c r="A131" s="973" t="s">
        <v>408</v>
      </c>
      <c r="B131" s="773">
        <f>+geral!K158</f>
        <v>5.0599999999999996</v>
      </c>
      <c r="C131" s="748">
        <f t="shared" si="20"/>
        <v>235.3488372093023</v>
      </c>
      <c r="D131" s="750">
        <f t="shared" si="40"/>
        <v>2.2222222222222143</v>
      </c>
      <c r="E131" s="750">
        <f t="shared" si="39"/>
        <v>9.5238095238095113</v>
      </c>
      <c r="F131" s="751">
        <f t="shared" si="38"/>
        <v>6.7510548523206593</v>
      </c>
      <c r="G131" s="840">
        <f t="shared" si="41"/>
        <v>37.87465940054495</v>
      </c>
      <c r="H131" s="842">
        <f>$B$322/B131</f>
        <v>3.8311688311688323</v>
      </c>
    </row>
    <row r="132" spans="1:8" ht="16.5" hidden="1" thickBot="1">
      <c r="A132" s="973" t="s">
        <v>409</v>
      </c>
      <c r="B132" s="773">
        <f>+geral!K159</f>
        <v>5.3</v>
      </c>
      <c r="C132" s="748">
        <f t="shared" si="20"/>
        <v>246.51162790697674</v>
      </c>
      <c r="D132" s="750">
        <f t="shared" si="40"/>
        <v>4.743083003952564</v>
      </c>
      <c r="E132" s="750">
        <f t="shared" si="39"/>
        <v>14.71861471861471</v>
      </c>
      <c r="F132" s="751">
        <f t="shared" si="38"/>
        <v>12.28813559322035</v>
      </c>
      <c r="G132" s="840">
        <f t="shared" si="41"/>
        <v>55.882352941176471</v>
      </c>
      <c r="H132" s="842">
        <f>$B$322/B132</f>
        <v>3.6576819407008094</v>
      </c>
    </row>
    <row r="133" spans="1:8" ht="16.5" hidden="1" thickBot="1">
      <c r="A133" s="973" t="s">
        <v>410</v>
      </c>
      <c r="B133" s="773">
        <f>+geral!K160</f>
        <v>5.21</v>
      </c>
      <c r="C133" s="748">
        <f t="shared" si="20"/>
        <v>242.32558139534885</v>
      </c>
      <c r="D133" s="750">
        <f t="shared" si="40"/>
        <v>-1.6981132075471694</v>
      </c>
      <c r="E133" s="750">
        <f t="shared" si="39"/>
        <v>12.770562770562766</v>
      </c>
      <c r="F133" s="751">
        <f t="shared" ref="F133:F138" si="42">100*((B133/B121)-1)</f>
        <v>12.770562770562766</v>
      </c>
      <c r="G133" s="840">
        <f t="shared" si="41"/>
        <v>51.014492753623173</v>
      </c>
      <c r="H133" s="842">
        <f>$B$322/B133</f>
        <v>3.7208664655881556</v>
      </c>
    </row>
    <row r="134" spans="1:8" ht="16.5" hidden="1" thickBot="1">
      <c r="A134" s="973" t="s">
        <v>411</v>
      </c>
      <c r="B134" s="773">
        <f>+geral!M149</f>
        <v>5.21</v>
      </c>
      <c r="C134" s="748">
        <f t="shared" si="20"/>
        <v>242.32558139534885</v>
      </c>
      <c r="D134" s="750">
        <f t="shared" si="40"/>
        <v>0</v>
      </c>
      <c r="E134" s="750">
        <f>100*((B134/$B$133-1))</f>
        <v>0</v>
      </c>
      <c r="F134" s="751">
        <f t="shared" si="42"/>
        <v>14.254385964912286</v>
      </c>
      <c r="G134" s="840">
        <f t="shared" si="41"/>
        <v>43.922651933701658</v>
      </c>
      <c r="H134" s="842">
        <f>$B$322/B134</f>
        <v>3.7208664655881556</v>
      </c>
    </row>
    <row r="135" spans="1:8" ht="16.5" hidden="1" thickBot="1">
      <c r="A135" s="973" t="s">
        <v>412</v>
      </c>
      <c r="B135" s="773">
        <f>+geral!M150</f>
        <v>5.2</v>
      </c>
      <c r="C135" s="748">
        <f t="shared" si="20"/>
        <v>241.86046511627907</v>
      </c>
      <c r="D135" s="750">
        <f t="shared" si="40"/>
        <v>-0.19193857965450478</v>
      </c>
      <c r="E135" s="750">
        <f t="shared" ref="E135:E140" si="43">100*((B135/$B$133)-1)</f>
        <v>-0.19193857965450478</v>
      </c>
      <c r="F135" s="751">
        <f t="shared" si="42"/>
        <v>9.9365750528541241</v>
      </c>
      <c r="G135" s="840">
        <f t="shared" ref="G135:G140" si="44">100*(B135/B111-1)</f>
        <v>41.689373297002732</v>
      </c>
      <c r="H135" s="842">
        <f>$B$322/B135</f>
        <v>3.7280219780219785</v>
      </c>
    </row>
    <row r="136" spans="1:8" ht="16.5" hidden="1" thickBot="1">
      <c r="A136" s="973" t="s">
        <v>413</v>
      </c>
      <c r="B136" s="773">
        <f>+geral!M151</f>
        <v>5.24</v>
      </c>
      <c r="C136" s="748">
        <f t="shared" si="20"/>
        <v>243.72093023255815</v>
      </c>
      <c r="D136" s="750">
        <f t="shared" ref="D136:D141" si="45">100*((B136/B135)-1)</f>
        <v>0.7692307692307665</v>
      </c>
      <c r="E136" s="750">
        <f t="shared" si="43"/>
        <v>0.57581573896352545</v>
      </c>
      <c r="F136" s="751">
        <f t="shared" si="42"/>
        <v>9.8532494758909905</v>
      </c>
      <c r="G136" s="840">
        <f t="shared" si="44"/>
        <v>29.064039408867014</v>
      </c>
      <c r="H136" s="842">
        <f>$B$322/B136</f>
        <v>3.6995637949836429</v>
      </c>
    </row>
    <row r="137" spans="1:8" ht="16.5" hidden="1" thickBot="1">
      <c r="A137" s="973" t="s">
        <v>414</v>
      </c>
      <c r="B137" s="773">
        <f>+geral!M152</f>
        <v>5.29</v>
      </c>
      <c r="C137" s="748">
        <f t="shared" si="20"/>
        <v>246.04651162790699</v>
      </c>
      <c r="D137" s="750">
        <f t="shared" si="45"/>
        <v>0.95419847328244156</v>
      </c>
      <c r="E137" s="750">
        <f t="shared" si="43"/>
        <v>1.5355086372360827</v>
      </c>
      <c r="F137" s="751">
        <f t="shared" si="42"/>
        <v>13.276231263383309</v>
      </c>
      <c r="G137" s="840">
        <f t="shared" si="44"/>
        <v>27.777777777777789</v>
      </c>
      <c r="H137" s="842">
        <f>$B$322/B137</f>
        <v>3.6645962732919264</v>
      </c>
    </row>
    <row r="138" spans="1:8" ht="16.5" hidden="1" thickBot="1">
      <c r="A138" s="973" t="s">
        <v>415</v>
      </c>
      <c r="B138" s="773">
        <v>5.56</v>
      </c>
      <c r="C138" s="748">
        <f t="shared" si="20"/>
        <v>258.60465116279073</v>
      </c>
      <c r="D138" s="750">
        <f t="shared" si="45"/>
        <v>5.1039697542532902</v>
      </c>
      <c r="E138" s="750">
        <f t="shared" si="43"/>
        <v>6.7178502879078561</v>
      </c>
      <c r="F138" s="751">
        <f t="shared" si="42"/>
        <v>16.075156576200399</v>
      </c>
      <c r="G138" s="840">
        <f t="shared" si="44"/>
        <v>33.653846153846146</v>
      </c>
      <c r="H138" s="842">
        <f>$B$322/B138</f>
        <v>3.486639260020556</v>
      </c>
    </row>
    <row r="139" spans="1:8" ht="16.5" hidden="1" thickBot="1">
      <c r="A139" s="973" t="s">
        <v>416</v>
      </c>
      <c r="B139" s="773">
        <f>+geral!M154</f>
        <v>5.55</v>
      </c>
      <c r="C139" s="748">
        <f t="shared" si="20"/>
        <v>258.13953488372096</v>
      </c>
      <c r="D139" s="750">
        <f t="shared" si="45"/>
        <v>-0.17985611510791255</v>
      </c>
      <c r="E139" s="750">
        <f t="shared" si="43"/>
        <v>6.5259117082533624</v>
      </c>
      <c r="F139" s="751">
        <f t="shared" ref="F139:F144" si="46">100*((B139/B127)-1)</f>
        <v>14.197530864197528</v>
      </c>
      <c r="G139" s="840">
        <f t="shared" si="44"/>
        <v>36.029411764705863</v>
      </c>
      <c r="H139" s="842">
        <f>$B$322/B139</f>
        <v>3.4929214929214938</v>
      </c>
    </row>
    <row r="140" spans="1:8" ht="16.5" hidden="1" thickBot="1">
      <c r="A140" s="973" t="s">
        <v>417</v>
      </c>
      <c r="B140" s="773">
        <f>+geral!M155</f>
        <v>5.5</v>
      </c>
      <c r="C140" s="748">
        <f t="shared" si="20"/>
        <v>255.81395348837211</v>
      </c>
      <c r="D140" s="750">
        <f t="shared" si="45"/>
        <v>-0.9009009009009028</v>
      </c>
      <c r="E140" s="750">
        <f t="shared" si="43"/>
        <v>5.5662188099808052</v>
      </c>
      <c r="F140" s="751">
        <f t="shared" si="46"/>
        <v>11.788617886178866</v>
      </c>
      <c r="G140" s="840">
        <f t="shared" si="44"/>
        <v>28.805620608899307</v>
      </c>
      <c r="H140" s="842">
        <f>$B$322/B140</f>
        <v>3.5246753246753255</v>
      </c>
    </row>
    <row r="141" spans="1:8" ht="16.5" hidden="1" thickBot="1">
      <c r="A141" s="973" t="s">
        <v>418</v>
      </c>
      <c r="B141" s="773">
        <f>+geral!M156</f>
        <v>5.43</v>
      </c>
      <c r="C141" s="748">
        <f t="shared" si="20"/>
        <v>252.55813953488374</v>
      </c>
      <c r="D141" s="750">
        <f t="shared" si="45"/>
        <v>-1.2727272727272809</v>
      </c>
      <c r="E141" s="750">
        <f>100*((B141/$B$133)-1)</f>
        <v>4.2226487523992384</v>
      </c>
      <c r="F141" s="751">
        <f t="shared" si="46"/>
        <v>9.6969696969696919</v>
      </c>
      <c r="G141" s="840">
        <f t="shared" ref="G141:G146" si="47">100*(B141/B117-1)</f>
        <v>27.764705882352935</v>
      </c>
      <c r="H141" s="842">
        <f>$B$322/B141</f>
        <v>3.5701131281241789</v>
      </c>
    </row>
    <row r="142" spans="1:8" ht="16.5" hidden="1" thickBot="1">
      <c r="A142" s="973" t="s">
        <v>419</v>
      </c>
      <c r="B142" s="773">
        <f>+geral!M157</f>
        <v>5.58</v>
      </c>
      <c r="C142" s="748">
        <f t="shared" si="20"/>
        <v>259.53488372093022</v>
      </c>
      <c r="D142" s="750">
        <f t="shared" ref="D142:D147" si="48">100*((B142/B141)-1)</f>
        <v>2.7624309392265234</v>
      </c>
      <c r="E142" s="750">
        <f>100*((B142/$B$133)-1)</f>
        <v>7.1017274472168879</v>
      </c>
      <c r="F142" s="751">
        <f t="shared" si="46"/>
        <v>12.72727272727272</v>
      </c>
      <c r="G142" s="840">
        <f t="shared" si="47"/>
        <v>28.57142857142858</v>
      </c>
      <c r="H142" s="842">
        <f>$B$322/B142</f>
        <v>3.4741423451100877</v>
      </c>
    </row>
    <row r="143" spans="1:8" ht="16.5" hidden="1" thickBot="1">
      <c r="A143" s="973" t="s">
        <v>420</v>
      </c>
      <c r="B143" s="773">
        <f>+geral!M158</f>
        <v>5.47</v>
      </c>
      <c r="C143" s="748">
        <f t="shared" si="20"/>
        <v>254.41860465116281</v>
      </c>
      <c r="D143" s="750">
        <f t="shared" si="48"/>
        <v>-1.9713261648745539</v>
      </c>
      <c r="E143" s="750">
        <f>100*((B143/$B$133)-1)</f>
        <v>4.9904030710172798</v>
      </c>
      <c r="F143" s="751">
        <f t="shared" si="46"/>
        <v>8.1027667984189691</v>
      </c>
      <c r="G143" s="840">
        <f t="shared" si="47"/>
        <v>15.400843881856542</v>
      </c>
      <c r="H143" s="842">
        <f>$B$322/B143</f>
        <v>3.5440062679550803</v>
      </c>
    </row>
    <row r="144" spans="1:8" ht="16.5" hidden="1" thickBot="1">
      <c r="A144" s="973" t="s">
        <v>421</v>
      </c>
      <c r="B144" s="773">
        <f>+geral!M159</f>
        <v>5.48</v>
      </c>
      <c r="C144" s="748">
        <f t="shared" si="20"/>
        <v>254.88372093023256</v>
      </c>
      <c r="D144" s="750">
        <f t="shared" si="48"/>
        <v>0.18281535648996261</v>
      </c>
      <c r="E144" s="750">
        <f>100*((B144/$B$133)-1)</f>
        <v>5.1823416506717956</v>
      </c>
      <c r="F144" s="751">
        <f t="shared" si="46"/>
        <v>3.3962264150943611</v>
      </c>
      <c r="G144" s="840">
        <f t="shared" si="47"/>
        <v>16.10169491525426</v>
      </c>
      <c r="H144" s="842">
        <f>$B$322/B144</f>
        <v>3.5375391032325343</v>
      </c>
    </row>
    <row r="145" spans="1:8" ht="16.5" hidden="1" thickBot="1">
      <c r="A145" s="973" t="s">
        <v>422</v>
      </c>
      <c r="B145" s="773">
        <f>+geral!M160</f>
        <v>5.5571000000000002</v>
      </c>
      <c r="C145" s="748">
        <f t="shared" si="20"/>
        <v>258.46976744186048</v>
      </c>
      <c r="D145" s="750">
        <f t="shared" si="48"/>
        <v>1.4069343065693296</v>
      </c>
      <c r="E145" s="750">
        <f>100*((B145/$B$133)-1)</f>
        <v>6.6621880998080751</v>
      </c>
      <c r="F145" s="751">
        <f t="shared" ref="F145:F150" si="49">100*((B145/B133)-1)</f>
        <v>6.6621880998080751</v>
      </c>
      <c r="G145" s="840">
        <f t="shared" si="47"/>
        <v>20.28354978354978</v>
      </c>
      <c r="H145" s="842">
        <f>$B$322/B145</f>
        <v>3.4884587798877633</v>
      </c>
    </row>
    <row r="146" spans="1:8" ht="16.5" hidden="1" thickBot="1">
      <c r="A146" s="973" t="s">
        <v>423</v>
      </c>
      <c r="B146" s="773">
        <f>+geral!C164</f>
        <v>5.42</v>
      </c>
      <c r="C146" s="748">
        <f t="shared" si="20"/>
        <v>252.09302325581396</v>
      </c>
      <c r="D146" s="750">
        <f t="shared" si="48"/>
        <v>-2.4671141422684562</v>
      </c>
      <c r="E146" s="750">
        <f t="shared" ref="E146:E151" si="50">100*((B146/$B$145)-1)</f>
        <v>-2.4671141422684562</v>
      </c>
      <c r="F146" s="751">
        <f t="shared" si="49"/>
        <v>4.0307101727447225</v>
      </c>
      <c r="G146" s="840">
        <f t="shared" si="47"/>
        <v>18.859649122807021</v>
      </c>
      <c r="H146" s="842">
        <f>$B$322/B146</f>
        <v>3.5767000527148136</v>
      </c>
    </row>
    <row r="147" spans="1:8" ht="16.5" hidden="1" thickBot="1">
      <c r="A147" s="973" t="s">
        <v>424</v>
      </c>
      <c r="B147" s="773">
        <f>+geral!C165</f>
        <v>5.65</v>
      </c>
      <c r="C147" s="748">
        <f t="shared" si="20"/>
        <v>262.7906976744186</v>
      </c>
      <c r="D147" s="750">
        <f t="shared" si="48"/>
        <v>4.2435424354243523</v>
      </c>
      <c r="E147" s="750">
        <f t="shared" si="50"/>
        <v>1.6717352575983835</v>
      </c>
      <c r="F147" s="751">
        <f t="shared" si="49"/>
        <v>8.6538461538461675</v>
      </c>
      <c r="G147" s="840">
        <f t="shared" ref="G147:G152" si="51">100*(B147/B123-1)</f>
        <v>19.450317124735726</v>
      </c>
      <c r="H147" s="842">
        <f>$B$322/B147</f>
        <v>3.4310998735777503</v>
      </c>
    </row>
    <row r="148" spans="1:8" ht="16.5" hidden="1" thickBot="1">
      <c r="A148" s="973" t="s">
        <v>425</v>
      </c>
      <c r="B148" s="773">
        <f>+geral!C166</f>
        <v>5.99</v>
      </c>
      <c r="C148" s="748">
        <f t="shared" si="20"/>
        <v>278.60465116279073</v>
      </c>
      <c r="D148" s="750">
        <f t="shared" ref="D148:D153" si="52">100*((B148/B147)-1)</f>
        <v>6.0176991150442394</v>
      </c>
      <c r="E148" s="750">
        <f t="shared" si="50"/>
        <v>7.7900343704450092</v>
      </c>
      <c r="F148" s="751">
        <f t="shared" si="49"/>
        <v>14.312977099236646</v>
      </c>
      <c r="G148" s="840">
        <f t="shared" si="51"/>
        <v>25.57651991614258</v>
      </c>
      <c r="H148" s="842">
        <f>$B$322/B148</f>
        <v>3.2363462914381116</v>
      </c>
    </row>
    <row r="149" spans="1:8" ht="16.5" hidden="1" thickBot="1">
      <c r="A149" s="973" t="s">
        <v>426</v>
      </c>
      <c r="B149" s="773">
        <f>+geral!C167</f>
        <v>6.04</v>
      </c>
      <c r="C149" s="748">
        <f t="shared" si="20"/>
        <v>280.93023255813955</v>
      </c>
      <c r="D149" s="750">
        <f t="shared" si="52"/>
        <v>0.83472454090149917</v>
      </c>
      <c r="E149" s="750">
        <f t="shared" si="50"/>
        <v>8.6897842399812788</v>
      </c>
      <c r="F149" s="751">
        <f t="shared" si="49"/>
        <v>14.177693761814748</v>
      </c>
      <c r="G149" s="840">
        <f t="shared" si="51"/>
        <v>29.336188436830835</v>
      </c>
      <c r="H149" s="842">
        <f>$B$322/B149</f>
        <v>3.2095553453169354</v>
      </c>
    </row>
    <row r="150" spans="1:8" ht="16.5" hidden="1" thickBot="1">
      <c r="A150" s="973" t="s">
        <v>427</v>
      </c>
      <c r="B150" s="773">
        <f>+geral!C168</f>
        <v>6</v>
      </c>
      <c r="C150" s="748">
        <f t="shared" si="20"/>
        <v>279.06976744186045</v>
      </c>
      <c r="D150" s="750">
        <f t="shared" si="52"/>
        <v>-0.66225165562914245</v>
      </c>
      <c r="E150" s="750">
        <f t="shared" si="50"/>
        <v>7.9699843443522767</v>
      </c>
      <c r="F150" s="751">
        <f t="shared" si="49"/>
        <v>7.9136690647482189</v>
      </c>
      <c r="G150" s="840">
        <f t="shared" si="51"/>
        <v>25.260960334029225</v>
      </c>
      <c r="H150" s="842">
        <f>$B$322/B150</f>
        <v>3.2309523809523815</v>
      </c>
    </row>
    <row r="151" spans="1:8" ht="16.5" hidden="1" thickBot="1">
      <c r="A151" s="973" t="s">
        <v>428</v>
      </c>
      <c r="B151" s="773">
        <f>+geral!C169</f>
        <v>5.97</v>
      </c>
      <c r="C151" s="748">
        <f t="shared" si="20"/>
        <v>277.67441860465118</v>
      </c>
      <c r="D151" s="750">
        <f t="shared" si="52"/>
        <v>-0.50000000000000044</v>
      </c>
      <c r="E151" s="750">
        <f t="shared" si="50"/>
        <v>7.4301344226304966</v>
      </c>
      <c r="F151" s="751">
        <f t="shared" ref="F151:F156" si="53">100*((B151/B139)-1)</f>
        <v>7.5675675675675569</v>
      </c>
      <c r="G151" s="840">
        <f t="shared" si="51"/>
        <v>22.839506172839496</v>
      </c>
      <c r="H151" s="842">
        <f>$B$322/B151</f>
        <v>3.2471883225652078</v>
      </c>
    </row>
    <row r="152" spans="1:8" ht="16.5" hidden="1" thickBot="1">
      <c r="A152" s="973" t="s">
        <v>429</v>
      </c>
      <c r="B152" s="773">
        <f>+geral!C170</f>
        <v>6.06</v>
      </c>
      <c r="C152" s="748">
        <f t="shared" si="20"/>
        <v>281.8604651162791</v>
      </c>
      <c r="D152" s="750">
        <f t="shared" si="52"/>
        <v>1.5075376884422065</v>
      </c>
      <c r="E152" s="750">
        <f t="shared" ref="E152:E157" si="54">100*((B152/$B$145)-1)</f>
        <v>9.0496841877957923</v>
      </c>
      <c r="F152" s="751">
        <f t="shared" si="53"/>
        <v>10.18181818181818</v>
      </c>
      <c r="G152" s="840">
        <f t="shared" si="51"/>
        <v>23.170731707317071</v>
      </c>
      <c r="H152" s="842">
        <f>$B$322/B152</f>
        <v>3.1989627534181997</v>
      </c>
    </row>
    <row r="153" spans="1:8" ht="16.5" hidden="1" thickBot="1">
      <c r="A153" s="973" t="s">
        <v>430</v>
      </c>
      <c r="B153" s="773">
        <f>+geral!C171</f>
        <v>5.96</v>
      </c>
      <c r="C153" s="748">
        <f t="shared" si="20"/>
        <v>277.2093023255814</v>
      </c>
      <c r="D153" s="750">
        <f t="shared" si="52"/>
        <v>-1.6501650165016479</v>
      </c>
      <c r="E153" s="750">
        <f t="shared" si="54"/>
        <v>7.2501844487232514</v>
      </c>
      <c r="F153" s="751">
        <f t="shared" si="53"/>
        <v>9.7605893186003776</v>
      </c>
      <c r="G153" s="840">
        <f t="shared" ref="G153:G158" si="55">100*(B153/B129-1)</f>
        <v>20.404040404040401</v>
      </c>
      <c r="H153" s="842">
        <f>$B$322/B153</f>
        <v>3.2526366251198473</v>
      </c>
    </row>
    <row r="154" spans="1:8" ht="16.5" hidden="1" thickBot="1">
      <c r="A154" s="973" t="s">
        <v>431</v>
      </c>
      <c r="B154" s="773">
        <f>+geral!C172</f>
        <v>5.96</v>
      </c>
      <c r="C154" s="748">
        <f t="shared" si="20"/>
        <v>277.2093023255814</v>
      </c>
      <c r="D154" s="750">
        <f t="shared" ref="D154:D159" si="56">100*((B154/B153)-1)</f>
        <v>0</v>
      </c>
      <c r="E154" s="750">
        <f t="shared" si="54"/>
        <v>7.2501844487232514</v>
      </c>
      <c r="F154" s="751">
        <f t="shared" si="53"/>
        <v>6.8100358422939156</v>
      </c>
      <c r="G154" s="840">
        <f t="shared" si="55"/>
        <v>20.404040404040401</v>
      </c>
      <c r="H154" s="842">
        <f>$B$322/B154</f>
        <v>3.2526366251198473</v>
      </c>
    </row>
    <row r="155" spans="1:8" ht="16.5" hidden="1" thickBot="1">
      <c r="A155" s="973" t="s">
        <v>432</v>
      </c>
      <c r="B155" s="773">
        <f>+geral!C173</f>
        <v>6.08</v>
      </c>
      <c r="C155" s="748">
        <f t="shared" si="20"/>
        <v>282.7906976744186</v>
      </c>
      <c r="D155" s="750">
        <f t="shared" si="56"/>
        <v>2.0134228187919545</v>
      </c>
      <c r="E155" s="750">
        <f t="shared" si="54"/>
        <v>9.4095841356103058</v>
      </c>
      <c r="F155" s="751">
        <f t="shared" si="53"/>
        <v>11.151736745886653</v>
      </c>
      <c r="G155" s="840">
        <f t="shared" si="55"/>
        <v>20.158102766798436</v>
      </c>
      <c r="H155" s="842">
        <f>$B$322/B155</f>
        <v>3.1884398496240607</v>
      </c>
    </row>
    <row r="156" spans="1:8" ht="16.5" hidden="1" thickBot="1">
      <c r="A156" s="973" t="s">
        <v>433</v>
      </c>
      <c r="B156" s="773">
        <f>+geral!C174</f>
        <v>6.09</v>
      </c>
      <c r="C156" s="748">
        <f t="shared" si="20"/>
        <v>283.25581395348837</v>
      </c>
      <c r="D156" s="750">
        <f t="shared" si="56"/>
        <v>0.16447368421053099</v>
      </c>
      <c r="E156" s="750">
        <f t="shared" si="54"/>
        <v>9.589534109517551</v>
      </c>
      <c r="F156" s="751">
        <f t="shared" si="53"/>
        <v>11.131386861313853</v>
      </c>
      <c r="G156" s="840">
        <f t="shared" si="55"/>
        <v>14.905660377358497</v>
      </c>
      <c r="H156" s="842">
        <f>$B$322/B156</f>
        <v>3.1832043162092432</v>
      </c>
    </row>
    <row r="157" spans="1:8" ht="16.5" hidden="1" thickBot="1">
      <c r="A157" s="973" t="s">
        <v>434</v>
      </c>
      <c r="B157" s="773">
        <f>+geral!C175</f>
        <v>6.06</v>
      </c>
      <c r="C157" s="748">
        <f t="shared" si="20"/>
        <v>281.8604651162791</v>
      </c>
      <c r="D157" s="750">
        <f t="shared" si="56"/>
        <v>-0.49261083743842304</v>
      </c>
      <c r="E157" s="750">
        <f t="shared" si="54"/>
        <v>9.0496841877957923</v>
      </c>
      <c r="F157" s="751">
        <f t="shared" ref="F157:F162" si="57">100*((B157/B145)-1)</f>
        <v>9.0496841877957923</v>
      </c>
      <c r="G157" s="840">
        <f t="shared" si="55"/>
        <v>16.314779270633384</v>
      </c>
      <c r="H157" s="842">
        <f>$B$322/B157</f>
        <v>3.1989627534181997</v>
      </c>
    </row>
    <row r="158" spans="1:8" ht="16.5" hidden="1" thickBot="1">
      <c r="A158" s="973" t="s">
        <v>435</v>
      </c>
      <c r="B158" s="773">
        <f>+geral!E164</f>
        <v>6.07</v>
      </c>
      <c r="C158" s="748">
        <f t="shared" ref="C158:C217" si="58">100*B158/$B$8</f>
        <v>282.32558139534888</v>
      </c>
      <c r="D158" s="750">
        <f t="shared" si="56"/>
        <v>0.16501650165017256</v>
      </c>
      <c r="E158" s="750">
        <f t="shared" ref="E158:E163" si="59">100*((B158/$B$157)-1)</f>
        <v>0.16501650165017256</v>
      </c>
      <c r="F158" s="751">
        <f t="shared" si="57"/>
        <v>11.992619926199266</v>
      </c>
      <c r="G158" s="840">
        <f t="shared" si="55"/>
        <v>16.50671785028792</v>
      </c>
      <c r="H158" s="842">
        <f>$B$322/B158</f>
        <v>3.1936926335608384</v>
      </c>
    </row>
    <row r="159" spans="1:8" ht="16.5" hidden="1" thickBot="1">
      <c r="A159" s="973" t="s">
        <v>436</v>
      </c>
      <c r="B159" s="773">
        <f>+geral!E165</f>
        <v>6.1</v>
      </c>
      <c r="C159" s="748">
        <f t="shared" si="58"/>
        <v>283.72093023255815</v>
      </c>
      <c r="D159" s="750">
        <f t="shared" si="56"/>
        <v>0.49423393739702615</v>
      </c>
      <c r="E159" s="750">
        <f t="shared" si="59"/>
        <v>0.66006600660066805</v>
      </c>
      <c r="F159" s="751">
        <f t="shared" si="57"/>
        <v>7.9646017699114946</v>
      </c>
      <c r="G159" s="840">
        <f t="shared" ref="G159:G169" si="60">100*(B159/B135-1)</f>
        <v>17.307692307692292</v>
      </c>
      <c r="H159" s="842">
        <f>$B$322/B159</f>
        <v>3.1779859484777524</v>
      </c>
    </row>
    <row r="160" spans="1:8" ht="16.5" hidden="1" thickBot="1">
      <c r="A160" s="973" t="s">
        <v>437</v>
      </c>
      <c r="B160" s="773">
        <f>+geral!E166</f>
        <v>6.15</v>
      </c>
      <c r="C160" s="748">
        <f t="shared" si="58"/>
        <v>286.04651162790697</v>
      </c>
      <c r="D160" s="750">
        <f t="shared" ref="D160:D169" si="61">100*((B160/B159)-1)</f>
        <v>0.819672131147553</v>
      </c>
      <c r="E160" s="750">
        <f t="shared" si="59"/>
        <v>1.4851485148514865</v>
      </c>
      <c r="F160" s="751">
        <f t="shared" si="57"/>
        <v>2.6711185308848195</v>
      </c>
      <c r="G160" s="840">
        <f t="shared" si="60"/>
        <v>17.366412213740468</v>
      </c>
      <c r="H160" s="842">
        <f>$B$322/B160</f>
        <v>3.1521486643437866</v>
      </c>
    </row>
    <row r="161" spans="1:9" ht="16.5" hidden="1" thickBot="1">
      <c r="A161" s="973" t="s">
        <v>438</v>
      </c>
      <c r="B161" s="773">
        <f>+geral!E167</f>
        <v>6.13</v>
      </c>
      <c r="C161" s="748">
        <f t="shared" si="58"/>
        <v>285.11627906976747</v>
      </c>
      <c r="D161" s="750">
        <f t="shared" si="61"/>
        <v>-0.32520325203252431</v>
      </c>
      <c r="E161" s="750">
        <f t="shared" si="59"/>
        <v>1.1551155115511635</v>
      </c>
      <c r="F161" s="751">
        <f t="shared" si="57"/>
        <v>1.490066225165565</v>
      </c>
      <c r="G161" s="840">
        <f t="shared" si="60"/>
        <v>15.879017013232509</v>
      </c>
      <c r="H161" s="842">
        <f>$B$322/B161</f>
        <v>3.1624329993008629</v>
      </c>
    </row>
    <row r="162" spans="1:9" ht="16.5" hidden="1" thickBot="1">
      <c r="A162" s="973" t="s">
        <v>439</v>
      </c>
      <c r="B162" s="773">
        <f>+geral!E168</f>
        <v>6.19</v>
      </c>
      <c r="C162" s="748">
        <f t="shared" si="58"/>
        <v>287.90697674418607</v>
      </c>
      <c r="D162" s="750">
        <f t="shared" si="61"/>
        <v>0.97879282218598096</v>
      </c>
      <c r="E162" s="750">
        <f t="shared" si="59"/>
        <v>2.1452145214521545</v>
      </c>
      <c r="F162" s="751">
        <f t="shared" si="57"/>
        <v>3.1666666666666732</v>
      </c>
      <c r="G162" s="840">
        <f t="shared" si="60"/>
        <v>11.330935251798579</v>
      </c>
      <c r="H162" s="842">
        <f>$B$322/B162</f>
        <v>3.1317793676436652</v>
      </c>
    </row>
    <row r="163" spans="1:9" ht="16.5" hidden="1" thickBot="1">
      <c r="A163" s="973" t="s">
        <v>440</v>
      </c>
      <c r="B163" s="773">
        <f>+geral!E169</f>
        <v>6.1905999999999999</v>
      </c>
      <c r="C163" s="748">
        <f t="shared" si="58"/>
        <v>287.9348837209302</v>
      </c>
      <c r="D163" s="750">
        <f t="shared" si="61"/>
        <v>9.6930533117767226E-3</v>
      </c>
      <c r="E163" s="750">
        <f t="shared" si="59"/>
        <v>2.1551155115511644</v>
      </c>
      <c r="F163" s="751">
        <f t="shared" ref="F163:F169" si="62">100*((B163/B151)-1)</f>
        <v>3.6951423785594573</v>
      </c>
      <c r="G163" s="840">
        <f t="shared" si="60"/>
        <v>11.542342342342348</v>
      </c>
      <c r="H163" s="842">
        <f>$B$322/B163</f>
        <v>3.1314758320218217</v>
      </c>
    </row>
    <row r="164" spans="1:9" ht="16.5" hidden="1" thickBot="1">
      <c r="A164" s="973" t="s">
        <v>441</v>
      </c>
      <c r="B164" s="773">
        <f>+geral!E170</f>
        <v>6.5968999999999998</v>
      </c>
      <c r="C164" s="748">
        <f t="shared" si="58"/>
        <v>306.83255813953485</v>
      </c>
      <c r="D164" s="750">
        <f t="shared" si="61"/>
        <v>6.563176428779105</v>
      </c>
      <c r="E164" s="750">
        <f t="shared" ref="E164:E169" si="63">100*((B164/$B$157)-1)</f>
        <v>8.8597359735973704</v>
      </c>
      <c r="F164" s="751">
        <f t="shared" si="62"/>
        <v>8.8597359735973704</v>
      </c>
      <c r="G164" s="840">
        <f t="shared" si="60"/>
        <v>19.943636363636365</v>
      </c>
      <c r="H164" s="842">
        <f>$B$322/B164</f>
        <v>2.9386096932975021</v>
      </c>
      <c r="I164" s="707" t="s">
        <v>241</v>
      </c>
    </row>
    <row r="165" spans="1:9" ht="16.5" hidden="1" thickBot="1">
      <c r="A165" s="973" t="s">
        <v>442</v>
      </c>
      <c r="B165" s="773">
        <f>+geral!E171</f>
        <v>6.55</v>
      </c>
      <c r="C165" s="748">
        <f t="shared" si="58"/>
        <v>304.6511627906977</v>
      </c>
      <c r="D165" s="750">
        <f t="shared" si="61"/>
        <v>-0.71093998696357685</v>
      </c>
      <c r="E165" s="750">
        <f t="shared" si="63"/>
        <v>8.0858085808580995</v>
      </c>
      <c r="F165" s="751">
        <f t="shared" si="62"/>
        <v>9.8993288590603967</v>
      </c>
      <c r="G165" s="840">
        <f t="shared" si="60"/>
        <v>20.626151012891359</v>
      </c>
      <c r="H165" s="842">
        <f>$B$322/B165</f>
        <v>2.9596510359869144</v>
      </c>
    </row>
    <row r="166" spans="1:9" ht="16.5" hidden="1" thickBot="1">
      <c r="A166" s="973" t="s">
        <v>443</v>
      </c>
      <c r="B166" s="773">
        <f>+geral!E172</f>
        <v>6.5093750000000004</v>
      </c>
      <c r="C166" s="748">
        <f t="shared" si="58"/>
        <v>302.76162790697674</v>
      </c>
      <c r="D166" s="750">
        <f t="shared" si="61"/>
        <v>-0.62022900763357702</v>
      </c>
      <c r="E166" s="750">
        <f t="shared" si="63"/>
        <v>7.415429042904309</v>
      </c>
      <c r="F166" s="751">
        <f t="shared" si="62"/>
        <v>9.217701342281881</v>
      </c>
      <c r="G166" s="840">
        <f t="shared" si="60"/>
        <v>16.65546594982079</v>
      </c>
      <c r="H166" s="842">
        <f>$B$322/B166</f>
        <v>2.9781222138399293</v>
      </c>
    </row>
    <row r="167" spans="1:9" ht="16.5" hidden="1" thickBot="1">
      <c r="A167" s="973" t="s">
        <v>444</v>
      </c>
      <c r="B167" s="773">
        <f>+geral!E173</f>
        <v>6.5</v>
      </c>
      <c r="C167" s="748">
        <f t="shared" si="58"/>
        <v>302.32558139534888</v>
      </c>
      <c r="D167" s="750">
        <f t="shared" si="61"/>
        <v>-0.14402304368699159</v>
      </c>
      <c r="E167" s="750">
        <f t="shared" si="63"/>
        <v>7.2607260726072598</v>
      </c>
      <c r="F167" s="751">
        <f t="shared" si="62"/>
        <v>6.9078947368421018</v>
      </c>
      <c r="G167" s="840">
        <f t="shared" si="60"/>
        <v>18.829981718464349</v>
      </c>
      <c r="H167" s="842">
        <f>$B$322/B167</f>
        <v>2.9824175824175829</v>
      </c>
    </row>
    <row r="168" spans="1:9" ht="16.5" hidden="1" thickBot="1">
      <c r="A168" s="973" t="s">
        <v>445</v>
      </c>
      <c r="B168" s="773">
        <f>+geral!E174</f>
        <v>6.6031250000000004</v>
      </c>
      <c r="C168" s="748">
        <f t="shared" si="58"/>
        <v>307.12209302325584</v>
      </c>
      <c r="D168" s="750">
        <f t="shared" si="61"/>
        <v>1.586538461538467</v>
      </c>
      <c r="E168" s="750">
        <f t="shared" si="63"/>
        <v>8.9624587458746028</v>
      </c>
      <c r="F168" s="751">
        <f t="shared" si="62"/>
        <v>8.4256978653530545</v>
      </c>
      <c r="G168" s="840">
        <f t="shared" si="60"/>
        <v>20.494981751824824</v>
      </c>
      <c r="H168" s="842">
        <f>$B$322/B168</f>
        <v>2.9358393617740521</v>
      </c>
    </row>
    <row r="169" spans="1:9" ht="16.5" hidden="1" thickBot="1">
      <c r="A169" s="973" t="s">
        <v>446</v>
      </c>
      <c r="B169" s="773">
        <f>+geral!E175</f>
        <v>6.55</v>
      </c>
      <c r="C169" s="748">
        <f t="shared" si="58"/>
        <v>304.6511627906977</v>
      </c>
      <c r="D169" s="750">
        <f t="shared" si="61"/>
        <v>-0.80454330336016122</v>
      </c>
      <c r="E169" s="750">
        <f t="shared" si="63"/>
        <v>8.0858085808580995</v>
      </c>
      <c r="F169" s="751">
        <f t="shared" si="62"/>
        <v>8.0858085808580995</v>
      </c>
      <c r="G169" s="840">
        <f t="shared" si="60"/>
        <v>17.867232909251229</v>
      </c>
      <c r="H169" s="842">
        <f>$B$322/B169</f>
        <v>2.9596510359869144</v>
      </c>
    </row>
    <row r="170" spans="1:9" ht="16.5" hidden="1" thickBot="1">
      <c r="A170" s="973" t="s">
        <v>447</v>
      </c>
      <c r="B170" s="773">
        <f>geral!G164</f>
        <v>6.4718749999999998</v>
      </c>
      <c r="C170" s="748">
        <f t="shared" si="58"/>
        <v>301.01744186046511</v>
      </c>
      <c r="D170" s="750">
        <f t="shared" ref="D170:D175" si="64">100*((B170/B169)-1)</f>
        <v>-1.1927480916030575</v>
      </c>
      <c r="E170" s="750">
        <f t="shared" ref="E170:E175" si="65">100*((B170/$B$169)-1)</f>
        <v>-1.1927480916030575</v>
      </c>
      <c r="F170" s="751">
        <f t="shared" ref="F170:F175" si="66">100*((B170/B158)-1)</f>
        <v>6.6206754530477641</v>
      </c>
      <c r="G170" s="840">
        <f t="shared" ref="G170:G175" si="67">100*(B170/B146-1)</f>
        <v>19.407287822878217</v>
      </c>
      <c r="H170" s="842">
        <f>$B$322/B170</f>
        <v>2.995378354142237</v>
      </c>
    </row>
    <row r="171" spans="1:9" ht="16.5" hidden="1" thickBot="1">
      <c r="A171" s="973" t="s">
        <v>448</v>
      </c>
      <c r="B171" s="773">
        <f>geral!G165</f>
        <v>6.45</v>
      </c>
      <c r="C171" s="748">
        <f t="shared" si="58"/>
        <v>300</v>
      </c>
      <c r="D171" s="750">
        <f t="shared" si="64"/>
        <v>-0.33800096571704463</v>
      </c>
      <c r="E171" s="750">
        <f t="shared" si="65"/>
        <v>-1.5267175572518998</v>
      </c>
      <c r="F171" s="751">
        <f t="shared" si="66"/>
        <v>5.7377049180328044</v>
      </c>
      <c r="G171" s="840">
        <f t="shared" si="67"/>
        <v>14.159292035398231</v>
      </c>
      <c r="H171" s="842">
        <f>$B$322/B171</f>
        <v>3.0055370985603549</v>
      </c>
    </row>
    <row r="172" spans="1:9" ht="16.5" hidden="1" thickBot="1">
      <c r="A172" s="973" t="s">
        <v>449</v>
      </c>
      <c r="B172" s="773">
        <f>geral!G166</f>
        <v>6.6031250000000004</v>
      </c>
      <c r="C172" s="748">
        <f t="shared" si="58"/>
        <v>307.12209302325584</v>
      </c>
      <c r="D172" s="750">
        <f t="shared" si="64"/>
        <v>2.3740310077519311</v>
      </c>
      <c r="E172" s="750">
        <f t="shared" si="65"/>
        <v>0.81106870229008532</v>
      </c>
      <c r="F172" s="751">
        <f t="shared" si="66"/>
        <v>7.3678861788617933</v>
      </c>
      <c r="G172" s="840">
        <f t="shared" si="67"/>
        <v>10.235809682804685</v>
      </c>
      <c r="H172" s="842">
        <f>$B$322/B172</f>
        <v>2.9358393617740521</v>
      </c>
    </row>
    <row r="173" spans="1:9" ht="16.5" hidden="1" thickBot="1">
      <c r="A173" s="973" t="s">
        <v>450</v>
      </c>
      <c r="B173" s="773">
        <f>geral!G167</f>
        <v>6.7125000000000004</v>
      </c>
      <c r="C173" s="748">
        <f t="shared" si="58"/>
        <v>312.2093023255814</v>
      </c>
      <c r="D173" s="750">
        <f t="shared" si="64"/>
        <v>1.6564126833885418</v>
      </c>
      <c r="E173" s="750">
        <f t="shared" si="65"/>
        <v>2.4809160305343525</v>
      </c>
      <c r="F173" s="751">
        <f t="shared" si="66"/>
        <v>9.5024469820554671</v>
      </c>
      <c r="G173" s="840">
        <f t="shared" si="67"/>
        <v>11.134105960264895</v>
      </c>
      <c r="H173" s="842">
        <f>$B$322/B173</f>
        <v>2.8880021282255925</v>
      </c>
    </row>
    <row r="174" spans="1:9" ht="16.5" hidden="1" thickBot="1">
      <c r="A174" s="973" t="s">
        <v>451</v>
      </c>
      <c r="B174" s="773">
        <f>geral!G168</f>
        <v>6.9968750000000002</v>
      </c>
      <c r="C174" s="748">
        <f t="shared" si="58"/>
        <v>325.43604651162792</v>
      </c>
      <c r="D174" s="750">
        <f t="shared" si="64"/>
        <v>4.2364990689013116</v>
      </c>
      <c r="E174" s="750">
        <f t="shared" si="65"/>
        <v>6.8225190839694694</v>
      </c>
      <c r="F174" s="751">
        <f t="shared" si="66"/>
        <v>13.035137318255252</v>
      </c>
      <c r="G174" s="840">
        <f t="shared" si="67"/>
        <v>16.614583333333343</v>
      </c>
      <c r="H174" s="842">
        <f>$B$322/B174</f>
        <v>2.7706246411025335</v>
      </c>
    </row>
    <row r="175" spans="1:9" ht="16.5" hidden="1" thickBot="1">
      <c r="A175" s="973" t="s">
        <v>452</v>
      </c>
      <c r="B175" s="773">
        <f>geral!G169</f>
        <v>7.3</v>
      </c>
      <c r="C175" s="748">
        <f t="shared" si="58"/>
        <v>339.53488372093022</v>
      </c>
      <c r="D175" s="750">
        <f t="shared" si="64"/>
        <v>4.3322912014291948</v>
      </c>
      <c r="E175" s="750">
        <f t="shared" si="65"/>
        <v>11.45038167938932</v>
      </c>
      <c r="F175" s="751">
        <f t="shared" si="66"/>
        <v>17.920718508706756</v>
      </c>
      <c r="G175" s="840">
        <f t="shared" si="67"/>
        <v>22.278056951423796</v>
      </c>
      <c r="H175" s="842">
        <f>$B$322/B175</f>
        <v>2.6555772994129163</v>
      </c>
    </row>
    <row r="176" spans="1:9" ht="16.5" hidden="1" thickBot="1">
      <c r="A176" s="973" t="s">
        <v>453</v>
      </c>
      <c r="B176" s="773">
        <f>geral!G170</f>
        <v>7.4</v>
      </c>
      <c r="C176" s="748">
        <f t="shared" si="58"/>
        <v>344.18604651162792</v>
      </c>
      <c r="D176" s="750">
        <f t="shared" ref="D176:D181" si="68">100*((B176/B175)-1)</f>
        <v>1.3698630136986356</v>
      </c>
      <c r="E176" s="750">
        <f t="shared" ref="E176:E181" si="69">100*((B176/$B$169)-1)</f>
        <v>12.977099236641232</v>
      </c>
      <c r="F176" s="751">
        <f t="shared" ref="F176:F181" si="70">100*((B176/B164)-1)</f>
        <v>12.173899862056437</v>
      </c>
      <c r="G176" s="840">
        <f t="shared" ref="G176:G181" si="71">100*(B176/B152-1)</f>
        <v>22.112211221122124</v>
      </c>
      <c r="H176" s="842">
        <f>$B$322/B176</f>
        <v>2.6196911196911201</v>
      </c>
    </row>
    <row r="177" spans="1:8" ht="16.5" hidden="1" thickBot="1">
      <c r="A177" s="973" t="s">
        <v>454</v>
      </c>
      <c r="B177" s="773">
        <f>geral!G171</f>
        <v>7.45</v>
      </c>
      <c r="C177" s="748">
        <f t="shared" si="58"/>
        <v>346.51162790697674</v>
      </c>
      <c r="D177" s="750">
        <f t="shared" si="68"/>
        <v>0.67567567567567988</v>
      </c>
      <c r="E177" s="750">
        <f t="shared" si="69"/>
        <v>13.740458015267176</v>
      </c>
      <c r="F177" s="751">
        <f t="shared" si="70"/>
        <v>13.740458015267176</v>
      </c>
      <c r="G177" s="840">
        <f t="shared" si="71"/>
        <v>25</v>
      </c>
      <c r="H177" s="842">
        <f>$B$322/B177</f>
        <v>2.6021093000958779</v>
      </c>
    </row>
    <row r="178" spans="1:8" ht="16.5" hidden="1" thickBot="1">
      <c r="A178" s="973" t="s">
        <v>455</v>
      </c>
      <c r="B178" s="773">
        <f>geral!G172</f>
        <v>7.5</v>
      </c>
      <c r="C178" s="748">
        <f t="shared" si="58"/>
        <v>348.83720930232562</v>
      </c>
      <c r="D178" s="750">
        <f t="shared" si="68"/>
        <v>0.67114093959730337</v>
      </c>
      <c r="E178" s="750">
        <f t="shared" si="69"/>
        <v>14.503816793893144</v>
      </c>
      <c r="F178" s="751">
        <f t="shared" si="70"/>
        <v>15.21843494959192</v>
      </c>
      <c r="G178" s="840">
        <f t="shared" si="71"/>
        <v>25.838926174496635</v>
      </c>
      <c r="H178" s="842">
        <f>$B$322/B178</f>
        <v>2.5847619047619053</v>
      </c>
    </row>
    <row r="179" spans="1:8" ht="16.5" hidden="1" thickBot="1">
      <c r="A179" s="973" t="s">
        <v>456</v>
      </c>
      <c r="B179" s="773">
        <f>geral!G173</f>
        <v>7.55</v>
      </c>
      <c r="C179" s="748">
        <f t="shared" si="58"/>
        <v>351.16279069767444</v>
      </c>
      <c r="D179" s="750">
        <f t="shared" si="68"/>
        <v>0.66666666666665986</v>
      </c>
      <c r="E179" s="750">
        <f t="shared" si="69"/>
        <v>15.267175572519086</v>
      </c>
      <c r="F179" s="751">
        <f t="shared" si="70"/>
        <v>16.153846153846139</v>
      </c>
      <c r="G179" s="840">
        <f t="shared" si="71"/>
        <v>24.177631578947366</v>
      </c>
      <c r="H179" s="842">
        <f>$B$322/B179</f>
        <v>2.5676442762535485</v>
      </c>
    </row>
    <row r="180" spans="1:8" ht="16.5" hidden="1" thickBot="1">
      <c r="A180" s="973" t="s">
        <v>457</v>
      </c>
      <c r="B180" s="773">
        <f>geral!G174</f>
        <v>7.6</v>
      </c>
      <c r="C180" s="748">
        <f t="shared" si="58"/>
        <v>353.48837209302326</v>
      </c>
      <c r="D180" s="750">
        <f t="shared" si="68"/>
        <v>0.66225165562914245</v>
      </c>
      <c r="E180" s="750">
        <f t="shared" si="69"/>
        <v>16.030534351145032</v>
      </c>
      <c r="F180" s="751">
        <f t="shared" si="70"/>
        <v>15.097018457169886</v>
      </c>
      <c r="G180" s="840">
        <f t="shared" si="71"/>
        <v>24.794745484400661</v>
      </c>
      <c r="H180" s="842">
        <f>$B$322/B180</f>
        <v>2.5507518796992485</v>
      </c>
    </row>
    <row r="181" spans="1:8" ht="16.5" hidden="1" thickBot="1">
      <c r="A181" s="973" t="s">
        <v>458</v>
      </c>
      <c r="B181" s="773">
        <f>geral!G175</f>
        <v>7.55</v>
      </c>
      <c r="C181" s="748">
        <f t="shared" si="58"/>
        <v>351.16279069767444</v>
      </c>
      <c r="D181" s="750">
        <f t="shared" si="68"/>
        <v>-0.65789473684210176</v>
      </c>
      <c r="E181" s="750">
        <f t="shared" si="69"/>
        <v>15.267175572519086</v>
      </c>
      <c r="F181" s="751">
        <f t="shared" si="70"/>
        <v>15.267175572519086</v>
      </c>
      <c r="G181" s="840">
        <f t="shared" si="71"/>
        <v>24.587458745874603</v>
      </c>
      <c r="H181" s="842">
        <f>$B$322/B181</f>
        <v>2.5676442762535485</v>
      </c>
    </row>
    <row r="182" spans="1:8" ht="16.5" hidden="1" thickBot="1">
      <c r="A182" s="973" t="s">
        <v>459</v>
      </c>
      <c r="B182" s="773">
        <f>geral!I164</f>
        <v>7.5</v>
      </c>
      <c r="C182" s="748">
        <f t="shared" si="58"/>
        <v>348.83720930232562</v>
      </c>
      <c r="D182" s="750">
        <f t="shared" ref="D182:D187" si="72">100*((B182/B181)-1)</f>
        <v>-0.66225165562913135</v>
      </c>
      <c r="E182" s="750">
        <f t="shared" ref="E182:E187" si="73">100*((B182/$B$181)-1)</f>
        <v>-0.66225165562913135</v>
      </c>
      <c r="F182" s="751">
        <f t="shared" ref="F182:F187" si="74">100*((B182/B170)-1)</f>
        <v>15.88604538870111</v>
      </c>
      <c r="G182" s="840">
        <f t="shared" ref="G182:G187" si="75">100*(B182/B158-1)</f>
        <v>23.558484349258645</v>
      </c>
      <c r="H182" s="842">
        <f>$B$322/B182</f>
        <v>2.5847619047619053</v>
      </c>
    </row>
    <row r="183" spans="1:8" ht="16.5" hidden="1" thickBot="1">
      <c r="A183" s="973" t="s">
        <v>460</v>
      </c>
      <c r="B183" s="773">
        <f>geral!I165</f>
        <v>7.45</v>
      </c>
      <c r="C183" s="748">
        <f t="shared" si="58"/>
        <v>346.51162790697674</v>
      </c>
      <c r="D183" s="750">
        <f t="shared" si="72"/>
        <v>-0.66666666666665986</v>
      </c>
      <c r="E183" s="750">
        <f t="shared" si="73"/>
        <v>-1.3245033112582738</v>
      </c>
      <c r="F183" s="751">
        <f t="shared" si="74"/>
        <v>15.503875968992254</v>
      </c>
      <c r="G183" s="840">
        <f t="shared" si="75"/>
        <v>22.131147540983619</v>
      </c>
      <c r="H183" s="842">
        <f>$B$322/B183</f>
        <v>2.6021093000958779</v>
      </c>
    </row>
    <row r="184" spans="1:8" ht="16.5" hidden="1" thickBot="1">
      <c r="A184" s="973" t="s">
        <v>461</v>
      </c>
      <c r="B184" s="773">
        <f>geral!I166</f>
        <v>7.5</v>
      </c>
      <c r="C184" s="748">
        <f t="shared" si="58"/>
        <v>348.83720930232562</v>
      </c>
      <c r="D184" s="750">
        <f t="shared" si="72"/>
        <v>0.67114093959730337</v>
      </c>
      <c r="E184" s="750">
        <f t="shared" si="73"/>
        <v>-0.66225165562913135</v>
      </c>
      <c r="F184" s="751">
        <f t="shared" si="74"/>
        <v>13.582584003786069</v>
      </c>
      <c r="G184" s="840">
        <f t="shared" si="75"/>
        <v>21.95121951219512</v>
      </c>
      <c r="H184" s="842">
        <f>$B$322/B184</f>
        <v>2.5847619047619053</v>
      </c>
    </row>
    <row r="185" spans="1:8" ht="16.5" hidden="1" thickBot="1">
      <c r="A185" s="973" t="s">
        <v>462</v>
      </c>
      <c r="B185" s="773">
        <f>geral!I167</f>
        <v>7.55</v>
      </c>
      <c r="C185" s="748">
        <f t="shared" si="58"/>
        <v>351.16279069767444</v>
      </c>
      <c r="D185" s="750">
        <f t="shared" si="72"/>
        <v>0.66666666666665986</v>
      </c>
      <c r="E185" s="750">
        <f t="shared" si="73"/>
        <v>0</v>
      </c>
      <c r="F185" s="751">
        <f t="shared" si="74"/>
        <v>12.476722532588447</v>
      </c>
      <c r="G185" s="840">
        <f t="shared" si="75"/>
        <v>23.164763458401303</v>
      </c>
      <c r="H185" s="842">
        <f>$B$322/B185</f>
        <v>2.5676442762535485</v>
      </c>
    </row>
    <row r="186" spans="1:8" ht="16.5" hidden="1" thickBot="1">
      <c r="A186" s="973" t="s">
        <v>463</v>
      </c>
      <c r="B186" s="773">
        <f>geral!I168</f>
        <v>7.6</v>
      </c>
      <c r="C186" s="748">
        <f t="shared" si="58"/>
        <v>353.48837209302326</v>
      </c>
      <c r="D186" s="750">
        <f t="shared" si="72"/>
        <v>0.66225165562914245</v>
      </c>
      <c r="E186" s="750">
        <f t="shared" si="73"/>
        <v>0.66225165562914245</v>
      </c>
      <c r="F186" s="751">
        <f t="shared" si="74"/>
        <v>8.6199196069673967</v>
      </c>
      <c r="G186" s="840">
        <f t="shared" si="75"/>
        <v>22.778675282714044</v>
      </c>
      <c r="H186" s="842">
        <f>$B$322/B186</f>
        <v>2.5507518796992485</v>
      </c>
    </row>
    <row r="187" spans="1:8" ht="16.5" hidden="1" thickBot="1">
      <c r="A187" s="973" t="s">
        <v>464</v>
      </c>
      <c r="B187" s="773">
        <f>geral!I169</f>
        <v>7.5</v>
      </c>
      <c r="C187" s="748">
        <f t="shared" si="58"/>
        <v>348.83720930232562</v>
      </c>
      <c r="D187" s="750">
        <f t="shared" si="72"/>
        <v>-1.3157894736842035</v>
      </c>
      <c r="E187" s="750">
        <f t="shared" si="73"/>
        <v>-0.66225165562913135</v>
      </c>
      <c r="F187" s="751">
        <f t="shared" si="74"/>
        <v>2.7397260273972712</v>
      </c>
      <c r="G187" s="840">
        <f t="shared" si="75"/>
        <v>21.151423125383651</v>
      </c>
      <c r="H187" s="842">
        <f>$B$322/B187</f>
        <v>2.5847619047619053</v>
      </c>
    </row>
    <row r="188" spans="1:8" ht="16.5" hidden="1" thickBot="1">
      <c r="A188" s="973" t="s">
        <v>465</v>
      </c>
      <c r="B188" s="773">
        <f>geral!I170</f>
        <v>7.58</v>
      </c>
      <c r="C188" s="748">
        <f t="shared" si="58"/>
        <v>352.55813953488371</v>
      </c>
      <c r="D188" s="750">
        <f t="shared" ref="D188:D193" si="76">100*((B188/B187)-1)</f>
        <v>1.0666666666666602</v>
      </c>
      <c r="E188" s="750">
        <f t="shared" ref="E188:E193" si="77">100*((B188/$B$181)-1)</f>
        <v>0.39735099337747659</v>
      </c>
      <c r="F188" s="751">
        <f t="shared" ref="F188:F193" si="78">100*((B188/B176)-1)</f>
        <v>2.4324324324324298</v>
      </c>
      <c r="G188" s="840">
        <f t="shared" ref="G188:G193" si="79">100*(B188/B164-1)</f>
        <v>14.902454183025359</v>
      </c>
      <c r="H188" s="842">
        <f>$B$322/B188</f>
        <v>2.5574820957406716</v>
      </c>
    </row>
    <row r="189" spans="1:8" ht="16.5" hidden="1" thickBot="1">
      <c r="A189" s="973" t="s">
        <v>466</v>
      </c>
      <c r="B189" s="773">
        <f>geral!I171</f>
        <v>7.65</v>
      </c>
      <c r="C189" s="748">
        <f t="shared" si="58"/>
        <v>355.81395348837214</v>
      </c>
      <c r="D189" s="750">
        <f t="shared" si="76"/>
        <v>0.923482849604218</v>
      </c>
      <c r="E189" s="750">
        <f t="shared" si="77"/>
        <v>1.3245033112582849</v>
      </c>
      <c r="F189" s="751">
        <f t="shared" si="78"/>
        <v>2.6845637583892579</v>
      </c>
      <c r="G189" s="840">
        <f t="shared" si="79"/>
        <v>16.793893129771</v>
      </c>
      <c r="H189" s="842">
        <f>$B$322/B189</f>
        <v>2.5340802987861815</v>
      </c>
    </row>
    <row r="190" spans="1:8" ht="16.5" hidden="1" thickBot="1">
      <c r="A190" s="973" t="s">
        <v>467</v>
      </c>
      <c r="B190" s="773">
        <f>geral!I172</f>
        <v>7.7</v>
      </c>
      <c r="C190" s="748">
        <f t="shared" si="58"/>
        <v>358.13953488372096</v>
      </c>
      <c r="D190" s="750">
        <f t="shared" si="76"/>
        <v>0.65359477124182774</v>
      </c>
      <c r="E190" s="750">
        <f t="shared" si="77"/>
        <v>1.9867549668874274</v>
      </c>
      <c r="F190" s="751">
        <f t="shared" si="78"/>
        <v>2.6666666666666616</v>
      </c>
      <c r="G190" s="840">
        <f t="shared" si="79"/>
        <v>18.290926548247711</v>
      </c>
      <c r="H190" s="842">
        <f>$B$322/B190</f>
        <v>2.5176252319109467</v>
      </c>
    </row>
    <row r="191" spans="1:8" ht="16.5" hidden="1" thickBot="1">
      <c r="A191" s="973" t="s">
        <v>468</v>
      </c>
      <c r="B191" s="773">
        <f>geral!I173</f>
        <v>7.8</v>
      </c>
      <c r="C191" s="748">
        <f t="shared" si="58"/>
        <v>362.7906976744186</v>
      </c>
      <c r="D191" s="750">
        <f t="shared" si="76"/>
        <v>1.298701298701288</v>
      </c>
      <c r="E191" s="750">
        <f t="shared" si="77"/>
        <v>3.3112582781456901</v>
      </c>
      <c r="F191" s="751">
        <f t="shared" si="78"/>
        <v>3.3112582781456901</v>
      </c>
      <c r="G191" s="840">
        <f t="shared" si="79"/>
        <v>19.999999999999996</v>
      </c>
      <c r="H191" s="842">
        <f>$B$322/B191</f>
        <v>2.4853479853479858</v>
      </c>
    </row>
    <row r="192" spans="1:8" ht="16.5" hidden="1" thickBot="1">
      <c r="A192" s="973" t="s">
        <v>469</v>
      </c>
      <c r="B192" s="773">
        <f>geral!I174</f>
        <v>7.8687500000000004</v>
      </c>
      <c r="C192" s="748">
        <f t="shared" si="58"/>
        <v>365.98837209302326</v>
      </c>
      <c r="D192" s="750">
        <f t="shared" si="76"/>
        <v>0.88141025641026438</v>
      </c>
      <c r="E192" s="750">
        <f t="shared" si="77"/>
        <v>4.2218543046357748</v>
      </c>
      <c r="F192" s="751">
        <f t="shared" si="78"/>
        <v>3.5361842105263275</v>
      </c>
      <c r="G192" s="840">
        <f t="shared" si="79"/>
        <v>19.1670610506389</v>
      </c>
      <c r="H192" s="842">
        <f>$B$322/B192</f>
        <v>2.4636332690343816</v>
      </c>
    </row>
    <row r="193" spans="1:8" ht="16.5" hidden="1" thickBot="1">
      <c r="A193" s="973" t="s">
        <v>470</v>
      </c>
      <c r="B193" s="773">
        <f>geral!I175</f>
        <v>7.9718749999999998</v>
      </c>
      <c r="C193" s="748">
        <f t="shared" si="58"/>
        <v>370.78488372093022</v>
      </c>
      <c r="D193" s="750">
        <f t="shared" si="76"/>
        <v>1.3105639396346236</v>
      </c>
      <c r="E193" s="750">
        <f t="shared" si="77"/>
        <v>5.5877483443708575</v>
      </c>
      <c r="F193" s="751">
        <f t="shared" si="78"/>
        <v>5.5877483443708575</v>
      </c>
      <c r="G193" s="840">
        <f t="shared" si="79"/>
        <v>21.708015267175561</v>
      </c>
      <c r="H193" s="842">
        <f>$B$322/B193</f>
        <v>2.4317634541076334</v>
      </c>
    </row>
    <row r="194" spans="1:8" ht="16.5" hidden="1" thickBot="1">
      <c r="A194" s="973" t="s">
        <v>471</v>
      </c>
      <c r="B194" s="773">
        <f>geral!K164</f>
        <v>8.1286000000000005</v>
      </c>
      <c r="C194" s="748">
        <f t="shared" si="58"/>
        <v>378.07441860465116</v>
      </c>
      <c r="D194" s="750">
        <f t="shared" ref="D194:D199" si="80">100*((B194/B193)-1)</f>
        <v>1.9659741277930243</v>
      </c>
      <c r="E194" s="750">
        <f t="shared" ref="E194:E199" si="81">100*((B194/$B$193)-1)</f>
        <v>1.9659741277930243</v>
      </c>
      <c r="F194" s="751">
        <f t="shared" ref="F194:F199" si="82">100*((B194/B182)-1)</f>
        <v>8.3813333333333304</v>
      </c>
      <c r="G194" s="840">
        <f t="shared" ref="G194:G199" si="83">100*(B194/B170-1)</f>
        <v>25.598841139546114</v>
      </c>
      <c r="H194" s="842">
        <f>$B$322/B194</f>
        <v>2.3848773818018216</v>
      </c>
    </row>
    <row r="195" spans="1:8" ht="16.5" hidden="1" thickBot="1">
      <c r="A195" s="973" t="s">
        <v>472</v>
      </c>
      <c r="B195" s="773">
        <f>geral!K165</f>
        <v>16</v>
      </c>
      <c r="C195" s="748">
        <f t="shared" si="58"/>
        <v>744.18604651162798</v>
      </c>
      <c r="D195" s="750">
        <f t="shared" si="80"/>
        <v>96.835863494328649</v>
      </c>
      <c r="E195" s="750">
        <f t="shared" si="81"/>
        <v>100.70560564484516</v>
      </c>
      <c r="F195" s="751">
        <f t="shared" si="82"/>
        <v>114.76510067114094</v>
      </c>
      <c r="G195" s="840">
        <f t="shared" si="83"/>
        <v>148.06201550387595</v>
      </c>
      <c r="H195" s="842">
        <f>$B$322/B195</f>
        <v>1.2116071428571431</v>
      </c>
    </row>
    <row r="196" spans="1:8" ht="16.5" hidden="1" thickBot="1">
      <c r="A196" s="973" t="s">
        <v>473</v>
      </c>
      <c r="B196" s="773">
        <f>geral!K166</f>
        <v>13.5</v>
      </c>
      <c r="C196" s="748">
        <f t="shared" si="58"/>
        <v>627.90697674418607</v>
      </c>
      <c r="D196" s="750">
        <f t="shared" si="80"/>
        <v>-15.625</v>
      </c>
      <c r="E196" s="750">
        <f t="shared" si="81"/>
        <v>69.345354762838099</v>
      </c>
      <c r="F196" s="751">
        <f t="shared" si="82"/>
        <v>80</v>
      </c>
      <c r="G196" s="840">
        <f t="shared" si="83"/>
        <v>104.44865120681493</v>
      </c>
      <c r="H196" s="842">
        <f>$B$322/B196</f>
        <v>1.4359788359788364</v>
      </c>
    </row>
    <row r="197" spans="1:8" ht="16.5" hidden="1" thickBot="1">
      <c r="A197" s="973" t="s">
        <v>474</v>
      </c>
      <c r="B197" s="773">
        <f>geral!K167</f>
        <v>13.5</v>
      </c>
      <c r="C197" s="748">
        <f t="shared" si="58"/>
        <v>627.90697674418607</v>
      </c>
      <c r="D197" s="750">
        <f t="shared" si="80"/>
        <v>0</v>
      </c>
      <c r="E197" s="750">
        <f t="shared" si="81"/>
        <v>69.345354762838099</v>
      </c>
      <c r="F197" s="751">
        <f t="shared" si="82"/>
        <v>78.807947019867555</v>
      </c>
      <c r="G197" s="840">
        <f t="shared" si="83"/>
        <v>101.1173184357542</v>
      </c>
      <c r="H197" s="842">
        <f>$B$322/B197</f>
        <v>1.4359788359788364</v>
      </c>
    </row>
    <row r="198" spans="1:8" ht="16.5" hidden="1" thickBot="1">
      <c r="A198" s="973" t="s">
        <v>475</v>
      </c>
      <c r="B198" s="773">
        <f>geral!K168</f>
        <v>13.5</v>
      </c>
      <c r="C198" s="748">
        <f t="shared" si="58"/>
        <v>627.90697674418607</v>
      </c>
      <c r="D198" s="750">
        <f t="shared" si="80"/>
        <v>0</v>
      </c>
      <c r="E198" s="750">
        <f t="shared" si="81"/>
        <v>69.345354762838099</v>
      </c>
      <c r="F198" s="751">
        <f t="shared" si="82"/>
        <v>77.631578947368425</v>
      </c>
      <c r="G198" s="840">
        <f t="shared" si="83"/>
        <v>92.943278249218395</v>
      </c>
      <c r="H198" s="842">
        <f>$B$322/B198</f>
        <v>1.4359788359788364</v>
      </c>
    </row>
    <row r="199" spans="1:8" ht="16.5" hidden="1" thickBot="1">
      <c r="A199" s="973" t="s">
        <v>476</v>
      </c>
      <c r="B199" s="773">
        <f>geral!K169</f>
        <v>13.5</v>
      </c>
      <c r="C199" s="748">
        <f t="shared" si="58"/>
        <v>627.90697674418607</v>
      </c>
      <c r="D199" s="750">
        <f t="shared" si="80"/>
        <v>0</v>
      </c>
      <c r="E199" s="750">
        <f t="shared" si="81"/>
        <v>69.345354762838099</v>
      </c>
      <c r="F199" s="751">
        <f t="shared" si="82"/>
        <v>80</v>
      </c>
      <c r="G199" s="840">
        <f t="shared" si="83"/>
        <v>84.93150684931507</v>
      </c>
      <c r="H199" s="842">
        <f>$B$322/B199</f>
        <v>1.4359788359788364</v>
      </c>
    </row>
    <row r="200" spans="1:8" ht="16.5" hidden="1" thickBot="1">
      <c r="A200" s="973" t="s">
        <v>477</v>
      </c>
      <c r="B200" s="773">
        <f>geral!K170</f>
        <v>14.83</v>
      </c>
      <c r="C200" s="748">
        <f t="shared" si="58"/>
        <v>689.76744186046517</v>
      </c>
      <c r="D200" s="750">
        <f t="shared" ref="D200:D205" si="84">100*((B200/B199)-1)</f>
        <v>9.8518518518518441</v>
      </c>
      <c r="E200" s="750">
        <f t="shared" ref="E200:E205" si="85">100*((B200/$B$193)-1)</f>
        <v>86.029008232065848</v>
      </c>
      <c r="F200" s="751">
        <f t="shared" ref="F200:F205" si="86">100*((B200/B188)-1)</f>
        <v>95.646437994722945</v>
      </c>
      <c r="G200" s="840">
        <f t="shared" ref="G200:G205" si="87">100*(B200/B176-1)</f>
        <v>100.40540540540542</v>
      </c>
      <c r="H200" s="842">
        <f>$B$322/B200</f>
        <v>1.3071958385511995</v>
      </c>
    </row>
    <row r="201" spans="1:8" ht="16.5" hidden="1" thickBot="1">
      <c r="A201" s="973" t="s">
        <v>478</v>
      </c>
      <c r="B201" s="773">
        <f>geral!K171</f>
        <v>14.83</v>
      </c>
      <c r="C201" s="748">
        <f t="shared" si="58"/>
        <v>689.76744186046517</v>
      </c>
      <c r="D201" s="750">
        <f t="shared" si="84"/>
        <v>0</v>
      </c>
      <c r="E201" s="750">
        <f t="shared" si="85"/>
        <v>86.029008232065848</v>
      </c>
      <c r="F201" s="751">
        <f t="shared" si="86"/>
        <v>93.856209150326791</v>
      </c>
      <c r="G201" s="840">
        <f t="shared" si="87"/>
        <v>99.060402684563755</v>
      </c>
      <c r="H201" s="842">
        <f>$B$322/B201</f>
        <v>1.3071958385511995</v>
      </c>
    </row>
    <row r="202" spans="1:8" ht="16.5" hidden="1" thickBot="1">
      <c r="A202" s="973" t="s">
        <v>479</v>
      </c>
      <c r="B202" s="773">
        <f>geral!K172</f>
        <v>14.83</v>
      </c>
      <c r="C202" s="748">
        <f t="shared" si="58"/>
        <v>689.76744186046517</v>
      </c>
      <c r="D202" s="750">
        <f t="shared" si="84"/>
        <v>0</v>
      </c>
      <c r="E202" s="750">
        <f t="shared" si="85"/>
        <v>86.029008232065848</v>
      </c>
      <c r="F202" s="751">
        <f t="shared" si="86"/>
        <v>92.597402597402592</v>
      </c>
      <c r="G202" s="840">
        <f t="shared" si="87"/>
        <v>97.733333333333334</v>
      </c>
      <c r="H202" s="842">
        <f>$B$322/B202</f>
        <v>1.3071958385511995</v>
      </c>
    </row>
    <row r="203" spans="1:8" ht="16.5" hidden="1" thickBot="1">
      <c r="A203" s="973" t="s">
        <v>480</v>
      </c>
      <c r="B203" s="773">
        <f>geral!K173</f>
        <v>14.77</v>
      </c>
      <c r="C203" s="748">
        <f t="shared" si="58"/>
        <v>686.97674418604652</v>
      </c>
      <c r="D203" s="750">
        <f t="shared" si="84"/>
        <v>-0.40458530006743931</v>
      </c>
      <c r="E203" s="750">
        <f t="shared" si="85"/>
        <v>85.276362210897688</v>
      </c>
      <c r="F203" s="751">
        <f t="shared" si="86"/>
        <v>89.358974358974351</v>
      </c>
      <c r="G203" s="840">
        <f t="shared" si="87"/>
        <v>95.629139072847693</v>
      </c>
      <c r="H203" s="842">
        <f>$B$322/B203</f>
        <v>1.3125060450720576</v>
      </c>
    </row>
    <row r="204" spans="1:8" ht="16.5" hidden="1" thickBot="1">
      <c r="A204" s="973" t="s">
        <v>481</v>
      </c>
      <c r="B204" s="773">
        <f>geral!K174</f>
        <v>14.77</v>
      </c>
      <c r="C204" s="748">
        <f t="shared" si="58"/>
        <v>686.97674418604652</v>
      </c>
      <c r="D204" s="750">
        <f t="shared" si="84"/>
        <v>0</v>
      </c>
      <c r="E204" s="750">
        <f t="shared" si="85"/>
        <v>85.276362210897688</v>
      </c>
      <c r="F204" s="751">
        <f t="shared" si="86"/>
        <v>87.704527402700535</v>
      </c>
      <c r="G204" s="840">
        <f t="shared" si="87"/>
        <v>94.34210526315789</v>
      </c>
      <c r="H204" s="842">
        <f>$B$322/B204</f>
        <v>1.3125060450720576</v>
      </c>
    </row>
    <row r="205" spans="1:8" ht="16.5" hidden="1" thickBot="1">
      <c r="A205" s="1015" t="s">
        <v>482</v>
      </c>
      <c r="B205" s="931">
        <f>geral!K175</f>
        <v>15.042857142857144</v>
      </c>
      <c r="C205" s="755">
        <f t="shared" si="58"/>
        <v>699.66777408637881</v>
      </c>
      <c r="D205" s="756">
        <f t="shared" si="84"/>
        <v>1.8473740206983447</v>
      </c>
      <c r="E205" s="756">
        <f t="shared" si="85"/>
        <v>88.699109592876766</v>
      </c>
      <c r="F205" s="757">
        <f t="shared" si="86"/>
        <v>88.699109592876766</v>
      </c>
      <c r="G205" s="841">
        <f t="shared" si="87"/>
        <v>99.243140964995291</v>
      </c>
      <c r="H205" s="922">
        <f>$B$322/B205</f>
        <v>1.2886989553656221</v>
      </c>
    </row>
    <row r="206" spans="1:8">
      <c r="A206" s="1013" t="s">
        <v>483</v>
      </c>
      <c r="B206" s="864">
        <f>geral!M164</f>
        <v>15.042857142857144</v>
      </c>
      <c r="C206" s="852">
        <f t="shared" si="58"/>
        <v>699.66777408637881</v>
      </c>
      <c r="D206" s="853">
        <f t="shared" ref="D206:D211" si="88">100*((B206/B205)-1)</f>
        <v>0</v>
      </c>
      <c r="E206" s="853">
        <f t="shared" ref="E206:E211" si="89">100*((B206/$B$205)-1)</f>
        <v>0</v>
      </c>
      <c r="F206" s="854">
        <f t="shared" ref="F206:F211" si="90">100*((B206/B194)-1)</f>
        <v>85.060860946007224</v>
      </c>
      <c r="G206" s="855">
        <f t="shared" ref="G206:G211" si="91">100*(B206/B182-1)</f>
        <v>100.57142857142858</v>
      </c>
      <c r="H206" s="856">
        <f>$B$322/B206</f>
        <v>1.2886989553656221</v>
      </c>
    </row>
    <row r="207" spans="1:8">
      <c r="A207" s="1014" t="s">
        <v>484</v>
      </c>
      <c r="B207" s="868">
        <f>geral!M165</f>
        <v>15.042857142857144</v>
      </c>
      <c r="C207" s="857">
        <f t="shared" si="58"/>
        <v>699.66777408637881</v>
      </c>
      <c r="D207" s="858">
        <f t="shared" si="88"/>
        <v>0</v>
      </c>
      <c r="E207" s="858">
        <f t="shared" si="89"/>
        <v>0</v>
      </c>
      <c r="F207" s="859">
        <f t="shared" si="90"/>
        <v>-5.982142857142847</v>
      </c>
      <c r="G207" s="860">
        <f t="shared" si="91"/>
        <v>101.91754554170664</v>
      </c>
      <c r="H207" s="861">
        <f>$B$322/B207</f>
        <v>1.2886989553656221</v>
      </c>
    </row>
    <row r="208" spans="1:8">
      <c r="A208" s="1014" t="s">
        <v>485</v>
      </c>
      <c r="B208" s="868">
        <f>geral!M166</f>
        <v>15.042857142857144</v>
      </c>
      <c r="C208" s="857">
        <f t="shared" si="58"/>
        <v>699.66777408637881</v>
      </c>
      <c r="D208" s="858">
        <f t="shared" si="88"/>
        <v>0</v>
      </c>
      <c r="E208" s="858">
        <f t="shared" si="89"/>
        <v>0</v>
      </c>
      <c r="F208" s="859">
        <f t="shared" si="90"/>
        <v>11.428571428571432</v>
      </c>
      <c r="G208" s="860">
        <f t="shared" si="91"/>
        <v>100.57142857142858</v>
      </c>
      <c r="H208" s="861">
        <f t="shared" ref="H208:H271" si="92">$B$322/B208</f>
        <v>1.2886989553656221</v>
      </c>
    </row>
    <row r="209" spans="1:8">
      <c r="A209" s="1014" t="s">
        <v>486</v>
      </c>
      <c r="B209" s="868">
        <f>geral!M167</f>
        <v>15.13</v>
      </c>
      <c r="C209" s="857">
        <f t="shared" si="58"/>
        <v>703.7209302325582</v>
      </c>
      <c r="D209" s="858">
        <f t="shared" si="88"/>
        <v>0.57929724596390564</v>
      </c>
      <c r="E209" s="858">
        <f t="shared" si="89"/>
        <v>0.57929724596390564</v>
      </c>
      <c r="F209" s="859">
        <f t="shared" si="90"/>
        <v>12.074074074074082</v>
      </c>
      <c r="G209" s="860">
        <f t="shared" si="91"/>
        <v>100.3973509933775</v>
      </c>
      <c r="H209" s="861">
        <f t="shared" si="92"/>
        <v>1.2812765555660468</v>
      </c>
    </row>
    <row r="210" spans="1:8">
      <c r="A210" s="1014" t="s">
        <v>487</v>
      </c>
      <c r="B210" s="868">
        <f>geral!M168</f>
        <v>15.13</v>
      </c>
      <c r="C210" s="857">
        <f t="shared" si="58"/>
        <v>703.7209302325582</v>
      </c>
      <c r="D210" s="858">
        <f t="shared" si="88"/>
        <v>0</v>
      </c>
      <c r="E210" s="858">
        <f t="shared" si="89"/>
        <v>0.57929724596390564</v>
      </c>
      <c r="F210" s="859">
        <f t="shared" si="90"/>
        <v>12.074074074074082</v>
      </c>
      <c r="G210" s="860">
        <f t="shared" si="91"/>
        <v>99.078947368421069</v>
      </c>
      <c r="H210" s="861">
        <f t="shared" si="92"/>
        <v>1.2812765555660468</v>
      </c>
    </row>
    <row r="211" spans="1:8">
      <c r="A211" s="1014" t="s">
        <v>488</v>
      </c>
      <c r="B211" s="868">
        <f>geral!M169</f>
        <v>15.13</v>
      </c>
      <c r="C211" s="857">
        <f t="shared" si="58"/>
        <v>703.7209302325582</v>
      </c>
      <c r="D211" s="858">
        <f t="shared" si="88"/>
        <v>0</v>
      </c>
      <c r="E211" s="858">
        <f t="shared" si="89"/>
        <v>0.57929724596390564</v>
      </c>
      <c r="F211" s="859">
        <f t="shared" si="90"/>
        <v>12.074074074074082</v>
      </c>
      <c r="G211" s="860">
        <f t="shared" si="91"/>
        <v>101.73333333333336</v>
      </c>
      <c r="H211" s="861">
        <f t="shared" si="92"/>
        <v>1.2812765555660468</v>
      </c>
    </row>
    <row r="212" spans="1:8">
      <c r="A212" s="1014" t="s">
        <v>489</v>
      </c>
      <c r="B212" s="868">
        <f>geral!M170</f>
        <v>15.93</v>
      </c>
      <c r="C212" s="857">
        <f t="shared" si="58"/>
        <v>740.93023255813955</v>
      </c>
      <c r="D212" s="858">
        <f t="shared" ref="D212:D217" si="93">100*((B212/B211)-1)</f>
        <v>5.2875082617316549</v>
      </c>
      <c r="E212" s="858">
        <f t="shared" ref="E212:E217" si="94">100*((B212/$B$205)-1)</f>
        <v>5.8974358974358765</v>
      </c>
      <c r="F212" s="859">
        <f t="shared" ref="F212:F217" si="95">100*((B212/B200)-1)</f>
        <v>7.417397167902906</v>
      </c>
      <c r="G212" s="860">
        <f t="shared" ref="G212:G217" si="96">100*(B212/B188-1)</f>
        <v>110.15831134564644</v>
      </c>
      <c r="H212" s="861">
        <f t="shared" si="92"/>
        <v>1.2169312169312172</v>
      </c>
    </row>
    <row r="213" spans="1:8">
      <c r="A213" s="1014" t="s">
        <v>490</v>
      </c>
      <c r="B213" s="868">
        <f>geral!M171</f>
        <v>15.49</v>
      </c>
      <c r="C213" s="857">
        <f t="shared" si="58"/>
        <v>720.46511627906978</v>
      </c>
      <c r="D213" s="858">
        <f t="shared" si="93"/>
        <v>-2.7620841180163169</v>
      </c>
      <c r="E213" s="858">
        <f t="shared" si="94"/>
        <v>2.9724596391262903</v>
      </c>
      <c r="F213" s="859">
        <f t="shared" si="95"/>
        <v>4.4504383007417436</v>
      </c>
      <c r="G213" s="860">
        <f t="shared" si="96"/>
        <v>102.48366013071895</v>
      </c>
      <c r="H213" s="861">
        <f t="shared" si="92"/>
        <v>1.2514986627317166</v>
      </c>
    </row>
    <row r="214" spans="1:8">
      <c r="A214" s="1014" t="s">
        <v>491</v>
      </c>
      <c r="B214" s="868">
        <f>geral!M172</f>
        <v>15.49</v>
      </c>
      <c r="C214" s="857">
        <f t="shared" si="58"/>
        <v>720.46511627906978</v>
      </c>
      <c r="D214" s="858">
        <f t="shared" si="93"/>
        <v>0</v>
      </c>
      <c r="E214" s="858">
        <f t="shared" si="94"/>
        <v>2.9724596391262903</v>
      </c>
      <c r="F214" s="859">
        <f t="shared" si="95"/>
        <v>4.4504383007417436</v>
      </c>
      <c r="G214" s="860">
        <f t="shared" si="96"/>
        <v>101.16883116883115</v>
      </c>
      <c r="H214" s="861">
        <f t="shared" si="92"/>
        <v>1.2514986627317166</v>
      </c>
    </row>
    <row r="215" spans="1:8">
      <c r="A215" s="1014" t="s">
        <v>492</v>
      </c>
      <c r="B215" s="868">
        <f>geral!M173</f>
        <v>15.49</v>
      </c>
      <c r="C215" s="857">
        <f t="shared" si="58"/>
        <v>720.46511627906978</v>
      </c>
      <c r="D215" s="858">
        <f t="shared" si="93"/>
        <v>0</v>
      </c>
      <c r="E215" s="858">
        <f t="shared" si="94"/>
        <v>2.9724596391262903</v>
      </c>
      <c r="F215" s="859">
        <f t="shared" si="95"/>
        <v>4.8747461069736042</v>
      </c>
      <c r="G215" s="860">
        <f t="shared" si="96"/>
        <v>98.589743589743591</v>
      </c>
      <c r="H215" s="861">
        <f t="shared" si="92"/>
        <v>1.2514986627317166</v>
      </c>
    </row>
    <row r="216" spans="1:8">
      <c r="A216" s="1014" t="s">
        <v>493</v>
      </c>
      <c r="B216" s="868">
        <f>geral!M174</f>
        <v>15.49</v>
      </c>
      <c r="C216" s="857">
        <f t="shared" si="58"/>
        <v>720.46511627906978</v>
      </c>
      <c r="D216" s="858">
        <f t="shared" si="93"/>
        <v>0</v>
      </c>
      <c r="E216" s="858">
        <f t="shared" si="94"/>
        <v>2.9724596391262903</v>
      </c>
      <c r="F216" s="859">
        <f t="shared" si="95"/>
        <v>4.8747461069736042</v>
      </c>
      <c r="G216" s="860">
        <f t="shared" si="96"/>
        <v>96.854646544876871</v>
      </c>
      <c r="H216" s="861">
        <f t="shared" si="92"/>
        <v>1.2514986627317166</v>
      </c>
    </row>
    <row r="217" spans="1:8">
      <c r="A217" s="1014" t="s">
        <v>494</v>
      </c>
      <c r="B217" s="868">
        <f>geral!M175</f>
        <v>15.49</v>
      </c>
      <c r="C217" s="857">
        <f t="shared" si="58"/>
        <v>720.46511627906978</v>
      </c>
      <c r="D217" s="858">
        <f t="shared" si="93"/>
        <v>0</v>
      </c>
      <c r="E217" s="858">
        <f t="shared" si="94"/>
        <v>2.9724596391262903</v>
      </c>
      <c r="F217" s="859">
        <f t="shared" si="95"/>
        <v>2.9724596391262903</v>
      </c>
      <c r="G217" s="860">
        <f t="shared" si="96"/>
        <v>94.308114464915718</v>
      </c>
      <c r="H217" s="861">
        <f t="shared" si="92"/>
        <v>1.2514986627317166</v>
      </c>
    </row>
    <row r="218" spans="1:8">
      <c r="A218" s="1014" t="s">
        <v>495</v>
      </c>
      <c r="B218" s="868">
        <f>geral!C179</f>
        <v>15.7</v>
      </c>
      <c r="C218" s="857">
        <f t="shared" ref="C218:C223" si="97">100*B218/$B$8</f>
        <v>730.23255813953494</v>
      </c>
      <c r="D218" s="858">
        <f t="shared" ref="D218:D223" si="98">100*((B218/B217)-1)</f>
        <v>1.355713363460298</v>
      </c>
      <c r="E218" s="858">
        <f t="shared" ref="E218:E223" si="99">100*((B218/$B$217)-1)</f>
        <v>1.355713363460298</v>
      </c>
      <c r="F218" s="859">
        <f t="shared" ref="F218:F223" si="100">100*((B218/B206)-1)</f>
        <v>4.3684710351376888</v>
      </c>
      <c r="G218" s="860">
        <f t="shared" ref="G218:G223" si="101">100*(B218/B194-1)</f>
        <v>93.145191053809981</v>
      </c>
      <c r="H218" s="861">
        <f t="shared" si="92"/>
        <v>1.2347588717015472</v>
      </c>
    </row>
    <row r="219" spans="1:8">
      <c r="A219" s="1014" t="s">
        <v>496</v>
      </c>
      <c r="B219" s="868">
        <f>geral!C180</f>
        <v>15.7</v>
      </c>
      <c r="C219" s="857">
        <f t="shared" si="97"/>
        <v>730.23255813953494</v>
      </c>
      <c r="D219" s="858">
        <f t="shared" si="98"/>
        <v>0</v>
      </c>
      <c r="E219" s="858">
        <f t="shared" si="99"/>
        <v>1.355713363460298</v>
      </c>
      <c r="F219" s="859">
        <f t="shared" si="100"/>
        <v>4.3684710351376888</v>
      </c>
      <c r="G219" s="860">
        <f t="shared" si="101"/>
        <v>-1.8750000000000044</v>
      </c>
      <c r="H219" s="861">
        <f t="shared" si="92"/>
        <v>1.2347588717015472</v>
      </c>
    </row>
    <row r="220" spans="1:8">
      <c r="A220" s="1014" t="s">
        <v>497</v>
      </c>
      <c r="B220" s="868">
        <f>geral!C181</f>
        <v>15.77</v>
      </c>
      <c r="C220" s="857">
        <f t="shared" si="97"/>
        <v>733.48837209302326</v>
      </c>
      <c r="D220" s="858">
        <f t="shared" si="98"/>
        <v>0.44585987261147597</v>
      </c>
      <c r="E220" s="858">
        <f t="shared" si="99"/>
        <v>1.8076178179470492</v>
      </c>
      <c r="F220" s="859">
        <f t="shared" si="100"/>
        <v>4.8338081671414956</v>
      </c>
      <c r="G220" s="860">
        <f t="shared" si="101"/>
        <v>16.814814814814817</v>
      </c>
      <c r="H220" s="861">
        <f t="shared" si="92"/>
        <v>1.229278014312891</v>
      </c>
    </row>
    <row r="221" spans="1:8">
      <c r="A221" s="1014" t="s">
        <v>498</v>
      </c>
      <c r="B221" s="868">
        <f>geral!C182</f>
        <v>15.77</v>
      </c>
      <c r="C221" s="857">
        <f t="shared" si="97"/>
        <v>733.48837209302326</v>
      </c>
      <c r="D221" s="858">
        <f t="shared" si="98"/>
        <v>0</v>
      </c>
      <c r="E221" s="858">
        <f t="shared" si="99"/>
        <v>1.8076178179470492</v>
      </c>
      <c r="F221" s="859">
        <f t="shared" si="100"/>
        <v>4.2300066093853284</v>
      </c>
      <c r="G221" s="860">
        <f t="shared" si="101"/>
        <v>16.814814814814817</v>
      </c>
      <c r="H221" s="861">
        <f t="shared" si="92"/>
        <v>1.229278014312891</v>
      </c>
    </row>
    <row r="222" spans="1:8">
      <c r="A222" s="1014" t="s">
        <v>499</v>
      </c>
      <c r="B222" s="868">
        <f>geral!C183</f>
        <v>15.957142857142859</v>
      </c>
      <c r="C222" s="857">
        <f t="shared" si="97"/>
        <v>742.19269102990052</v>
      </c>
      <c r="D222" s="858">
        <f t="shared" si="98"/>
        <v>1.1867016939940411</v>
      </c>
      <c r="E222" s="858">
        <f t="shared" si="99"/>
        <v>3.0157705432076076</v>
      </c>
      <c r="F222" s="859">
        <f t="shared" si="100"/>
        <v>5.4669058634689849</v>
      </c>
      <c r="G222" s="860">
        <f t="shared" si="101"/>
        <v>18.201058201058217</v>
      </c>
      <c r="H222" s="861">
        <f t="shared" si="92"/>
        <v>1.214861235452104</v>
      </c>
    </row>
    <row r="223" spans="1:8">
      <c r="A223" s="1014" t="s">
        <v>500</v>
      </c>
      <c r="B223" s="868">
        <f>geral!C184</f>
        <v>15.957142857142859</v>
      </c>
      <c r="C223" s="857">
        <f t="shared" si="97"/>
        <v>742.19269102990052</v>
      </c>
      <c r="D223" s="858">
        <f t="shared" si="98"/>
        <v>0</v>
      </c>
      <c r="E223" s="858">
        <f t="shared" si="99"/>
        <v>3.0157705432076076</v>
      </c>
      <c r="F223" s="859">
        <f t="shared" si="100"/>
        <v>5.4669058634689849</v>
      </c>
      <c r="G223" s="860">
        <f t="shared" si="101"/>
        <v>18.201058201058217</v>
      </c>
      <c r="H223" s="861">
        <f t="shared" si="92"/>
        <v>1.214861235452104</v>
      </c>
    </row>
    <row r="224" spans="1:8">
      <c r="A224" s="1014" t="s">
        <v>501</v>
      </c>
      <c r="B224" s="868">
        <f>geral!C185</f>
        <v>15.957142857142859</v>
      </c>
      <c r="C224" s="857">
        <f t="shared" ref="C224:C229" si="102">100*B224/$B$8</f>
        <v>742.19269102990052</v>
      </c>
      <c r="D224" s="858">
        <f t="shared" ref="D224:D229" si="103">100*((B224/B223)-1)</f>
        <v>0</v>
      </c>
      <c r="E224" s="858">
        <f t="shared" ref="E224:E229" si="104">100*((B224/$B$217)-1)</f>
        <v>3.0157705432076076</v>
      </c>
      <c r="F224" s="859">
        <f t="shared" ref="F224:F229" si="105">100*((B224/B212)-1)</f>
        <v>0.1703883059815503</v>
      </c>
      <c r="G224" s="860">
        <f t="shared" ref="G224:G229" si="106">100*(B224/B200-1)</f>
        <v>7.6004238512667577</v>
      </c>
      <c r="H224" s="861">
        <f t="shared" si="92"/>
        <v>1.214861235452104</v>
      </c>
    </row>
    <row r="225" spans="1:8">
      <c r="A225" s="1014" t="s">
        <v>502</v>
      </c>
      <c r="B225" s="868">
        <f>geral!C186</f>
        <v>15.957142857142859</v>
      </c>
      <c r="C225" s="857">
        <f t="shared" si="102"/>
        <v>742.19269102990052</v>
      </c>
      <c r="D225" s="858">
        <f t="shared" si="103"/>
        <v>0</v>
      </c>
      <c r="E225" s="858">
        <f t="shared" si="104"/>
        <v>3.0157705432076076</v>
      </c>
      <c r="F225" s="859">
        <f t="shared" si="105"/>
        <v>3.0157705432076076</v>
      </c>
      <c r="G225" s="860">
        <f t="shared" si="106"/>
        <v>7.6004238512667577</v>
      </c>
      <c r="H225" s="861">
        <f t="shared" si="92"/>
        <v>1.214861235452104</v>
      </c>
    </row>
    <row r="226" spans="1:8">
      <c r="A226" s="1014" t="s">
        <v>503</v>
      </c>
      <c r="B226" s="868">
        <f>geral!C187</f>
        <v>15.957142857142859</v>
      </c>
      <c r="C226" s="857">
        <f t="shared" si="102"/>
        <v>742.19269102990052</v>
      </c>
      <c r="D226" s="858">
        <f t="shared" si="103"/>
        <v>0</v>
      </c>
      <c r="E226" s="858">
        <f t="shared" si="104"/>
        <v>3.0157705432076076</v>
      </c>
      <c r="F226" s="859">
        <f t="shared" si="105"/>
        <v>3.0157705432076076</v>
      </c>
      <c r="G226" s="860">
        <f t="shared" si="106"/>
        <v>7.6004238512667577</v>
      </c>
      <c r="H226" s="861">
        <f t="shared" si="92"/>
        <v>1.214861235452104</v>
      </c>
    </row>
    <row r="227" spans="1:8">
      <c r="A227" s="1014" t="s">
        <v>504</v>
      </c>
      <c r="B227" s="868">
        <f>geral!C188</f>
        <v>16.3</v>
      </c>
      <c r="C227" s="857">
        <f t="shared" si="102"/>
        <v>758.13953488372101</v>
      </c>
      <c r="D227" s="858">
        <f t="shared" si="103"/>
        <v>2.14861235452104</v>
      </c>
      <c r="E227" s="858">
        <f t="shared" si="104"/>
        <v>5.229180116204013</v>
      </c>
      <c r="F227" s="859">
        <f t="shared" si="105"/>
        <v>5.229180116204013</v>
      </c>
      <c r="G227" s="860">
        <f t="shared" si="106"/>
        <v>10.358835477318905</v>
      </c>
      <c r="H227" s="861">
        <f t="shared" si="92"/>
        <v>1.1893076248904471</v>
      </c>
    </row>
    <row r="228" spans="1:8">
      <c r="A228" s="1014" t="s">
        <v>505</v>
      </c>
      <c r="B228" s="868">
        <f>geral!C189</f>
        <v>16.3</v>
      </c>
      <c r="C228" s="857">
        <f t="shared" si="102"/>
        <v>758.13953488372101</v>
      </c>
      <c r="D228" s="858">
        <f t="shared" si="103"/>
        <v>0</v>
      </c>
      <c r="E228" s="858">
        <f t="shared" si="104"/>
        <v>5.229180116204013</v>
      </c>
      <c r="F228" s="859">
        <f t="shared" si="105"/>
        <v>5.229180116204013</v>
      </c>
      <c r="G228" s="860">
        <f t="shared" si="106"/>
        <v>10.358835477318905</v>
      </c>
      <c r="H228" s="861">
        <f t="shared" si="92"/>
        <v>1.1893076248904471</v>
      </c>
    </row>
    <row r="229" spans="1:8">
      <c r="A229" s="1014" t="s">
        <v>506</v>
      </c>
      <c r="B229" s="868">
        <f>geral!C190</f>
        <v>16.3</v>
      </c>
      <c r="C229" s="857">
        <f t="shared" si="102"/>
        <v>758.13953488372101</v>
      </c>
      <c r="D229" s="858">
        <f t="shared" si="103"/>
        <v>0</v>
      </c>
      <c r="E229" s="858">
        <f t="shared" si="104"/>
        <v>5.229180116204013</v>
      </c>
      <c r="F229" s="859">
        <f t="shared" si="105"/>
        <v>5.229180116204013</v>
      </c>
      <c r="G229" s="860">
        <f t="shared" si="106"/>
        <v>8.3570750237416789</v>
      </c>
      <c r="H229" s="861">
        <f t="shared" si="92"/>
        <v>1.1893076248904471</v>
      </c>
    </row>
    <row r="230" spans="1:8">
      <c r="A230" s="1014" t="s">
        <v>507</v>
      </c>
      <c r="B230" s="868">
        <f>geral!E179</f>
        <v>16.3</v>
      </c>
      <c r="C230" s="857">
        <f t="shared" ref="C230:C235" si="107">100*B230/$B$8</f>
        <v>758.13953488372101</v>
      </c>
      <c r="D230" s="858">
        <f t="shared" ref="D230:D235" si="108">100*((B230/B229)-1)</f>
        <v>0</v>
      </c>
      <c r="E230" s="858">
        <f t="shared" ref="E230:E235" si="109">100*((B230/$B$229)-1)</f>
        <v>0</v>
      </c>
      <c r="F230" s="859">
        <f t="shared" ref="F230:F235" si="110">100*((B230/B218)-1)</f>
        <v>3.8216560509554132</v>
      </c>
      <c r="G230" s="860">
        <f t="shared" ref="G230:G235" si="111">100*(B230/B206-1)</f>
        <v>8.3570750237416789</v>
      </c>
      <c r="H230" s="861">
        <f t="shared" si="92"/>
        <v>1.1893076248904471</v>
      </c>
    </row>
    <row r="231" spans="1:8">
      <c r="A231" s="1014" t="s">
        <v>508</v>
      </c>
      <c r="B231" s="868">
        <f>geral!E180</f>
        <v>16.3</v>
      </c>
      <c r="C231" s="857">
        <f t="shared" si="107"/>
        <v>758.13953488372101</v>
      </c>
      <c r="D231" s="858">
        <f t="shared" si="108"/>
        <v>0</v>
      </c>
      <c r="E231" s="858">
        <f t="shared" si="109"/>
        <v>0</v>
      </c>
      <c r="F231" s="859">
        <f t="shared" si="110"/>
        <v>3.8216560509554132</v>
      </c>
      <c r="G231" s="860">
        <f t="shared" si="111"/>
        <v>8.3570750237416789</v>
      </c>
      <c r="H231" s="861">
        <f t="shared" si="92"/>
        <v>1.1893076248904471</v>
      </c>
    </row>
    <row r="232" spans="1:8">
      <c r="A232" s="1014" t="s">
        <v>509</v>
      </c>
      <c r="B232" s="868">
        <f>geral!E181</f>
        <v>16.3</v>
      </c>
      <c r="C232" s="857">
        <f t="shared" si="107"/>
        <v>758.13953488372101</v>
      </c>
      <c r="D232" s="858">
        <f t="shared" si="108"/>
        <v>0</v>
      </c>
      <c r="E232" s="858">
        <f t="shared" si="109"/>
        <v>0</v>
      </c>
      <c r="F232" s="859">
        <f t="shared" si="110"/>
        <v>3.3608116677235289</v>
      </c>
      <c r="G232" s="860">
        <f t="shared" si="111"/>
        <v>8.3570750237416789</v>
      </c>
      <c r="H232" s="861">
        <f t="shared" si="92"/>
        <v>1.1893076248904471</v>
      </c>
    </row>
    <row r="233" spans="1:8">
      <c r="A233" s="1014" t="s">
        <v>510</v>
      </c>
      <c r="B233" s="868">
        <f>geral!E182</f>
        <v>16.3</v>
      </c>
      <c r="C233" s="857">
        <f t="shared" si="107"/>
        <v>758.13953488372101</v>
      </c>
      <c r="D233" s="858">
        <f t="shared" si="108"/>
        <v>0</v>
      </c>
      <c r="E233" s="858">
        <f t="shared" si="109"/>
        <v>0</v>
      </c>
      <c r="F233" s="859">
        <f t="shared" si="110"/>
        <v>3.3608116677235289</v>
      </c>
      <c r="G233" s="860">
        <f t="shared" si="111"/>
        <v>7.7329808327825544</v>
      </c>
      <c r="H233" s="861">
        <f t="shared" si="92"/>
        <v>1.1893076248904471</v>
      </c>
    </row>
    <row r="234" spans="1:8">
      <c r="A234" s="1014" t="s">
        <v>511</v>
      </c>
      <c r="B234" s="868">
        <f>geral!E183</f>
        <v>16.328571428571429</v>
      </c>
      <c r="C234" s="857">
        <f t="shared" si="107"/>
        <v>759.46843853820599</v>
      </c>
      <c r="D234" s="858">
        <f t="shared" si="108"/>
        <v>0.17528483786153348</v>
      </c>
      <c r="E234" s="858">
        <f t="shared" si="109"/>
        <v>0.17528483786153348</v>
      </c>
      <c r="F234" s="859">
        <f t="shared" si="110"/>
        <v>2.3276633840644489</v>
      </c>
      <c r="G234" s="860">
        <f t="shared" si="111"/>
        <v>7.9218204135586889</v>
      </c>
      <c r="H234" s="861">
        <f t="shared" si="92"/>
        <v>1.1872265966754159</v>
      </c>
    </row>
    <row r="235" spans="1:8">
      <c r="A235" s="1014" t="s">
        <v>512</v>
      </c>
      <c r="B235" s="868">
        <f>geral!E184</f>
        <v>16.328571428571429</v>
      </c>
      <c r="C235" s="857">
        <f t="shared" si="107"/>
        <v>759.46843853820599</v>
      </c>
      <c r="D235" s="858">
        <f t="shared" si="108"/>
        <v>0</v>
      </c>
      <c r="E235" s="858">
        <f t="shared" si="109"/>
        <v>0.17528483786153348</v>
      </c>
      <c r="F235" s="859">
        <f t="shared" si="110"/>
        <v>2.3276633840644489</v>
      </c>
      <c r="G235" s="860">
        <f t="shared" si="111"/>
        <v>7.9218204135586889</v>
      </c>
      <c r="H235" s="861">
        <f t="shared" si="92"/>
        <v>1.1872265966754159</v>
      </c>
    </row>
    <row r="236" spans="1:8">
      <c r="A236" s="1014" t="s">
        <v>513</v>
      </c>
      <c r="B236" s="868">
        <f>geral!E185</f>
        <v>16.442857142857143</v>
      </c>
      <c r="C236" s="857">
        <f t="shared" ref="C236:C241" si="112">100*B236/$B$8</f>
        <v>764.78405315614623</v>
      </c>
      <c r="D236" s="858">
        <f t="shared" ref="D236:D241" si="113">100*((B236/B235)-1)</f>
        <v>0.69991251093612927</v>
      </c>
      <c r="E236" s="858">
        <f t="shared" ref="E236:E241" si="114">100*((B236/$B$229)-1)</f>
        <v>0.876424189307623</v>
      </c>
      <c r="F236" s="859">
        <f t="shared" ref="F236:F241" si="115">100*((B236/B224)-1)</f>
        <v>3.043867502238129</v>
      </c>
      <c r="G236" s="860">
        <f t="shared" ref="G236:G241" si="116">100*(B236/B212-1)</f>
        <v>3.2194422024930613</v>
      </c>
      <c r="H236" s="861">
        <f t="shared" si="92"/>
        <v>1.1789748045178108</v>
      </c>
    </row>
    <row r="237" spans="1:8">
      <c r="A237" s="1014" t="s">
        <v>514</v>
      </c>
      <c r="B237" s="868">
        <f>geral!E186</f>
        <v>16.442857142857143</v>
      </c>
      <c r="C237" s="857">
        <f t="shared" si="112"/>
        <v>764.78405315614623</v>
      </c>
      <c r="D237" s="858">
        <f t="shared" si="113"/>
        <v>0</v>
      </c>
      <c r="E237" s="858">
        <f t="shared" si="114"/>
        <v>0.876424189307623</v>
      </c>
      <c r="F237" s="859">
        <f t="shared" si="115"/>
        <v>3.043867502238129</v>
      </c>
      <c r="G237" s="860">
        <f t="shared" si="116"/>
        <v>6.1514341049525134</v>
      </c>
      <c r="H237" s="861">
        <f t="shared" si="92"/>
        <v>1.1789748045178108</v>
      </c>
    </row>
    <row r="238" spans="1:8">
      <c r="A238" s="1014" t="s">
        <v>515</v>
      </c>
      <c r="B238" s="868">
        <f>geral!E187</f>
        <v>16.442857142857143</v>
      </c>
      <c r="C238" s="857">
        <f t="shared" si="112"/>
        <v>764.78405315614623</v>
      </c>
      <c r="D238" s="858">
        <f t="shared" si="113"/>
        <v>0</v>
      </c>
      <c r="E238" s="858">
        <f t="shared" si="114"/>
        <v>0.876424189307623</v>
      </c>
      <c r="F238" s="859">
        <f t="shared" si="115"/>
        <v>3.043867502238129</v>
      </c>
      <c r="G238" s="860">
        <f t="shared" si="116"/>
        <v>6.1514341049525134</v>
      </c>
      <c r="H238" s="861">
        <f t="shared" si="92"/>
        <v>1.1789748045178108</v>
      </c>
    </row>
    <row r="239" spans="1:8">
      <c r="A239" s="1014" t="s">
        <v>516</v>
      </c>
      <c r="B239" s="868">
        <f>geral!E188</f>
        <v>16.442857142857143</v>
      </c>
      <c r="C239" s="857">
        <f t="shared" si="112"/>
        <v>764.78405315614623</v>
      </c>
      <c r="D239" s="858">
        <f t="shared" si="113"/>
        <v>0</v>
      </c>
      <c r="E239" s="858">
        <f t="shared" si="114"/>
        <v>0.876424189307623</v>
      </c>
      <c r="F239" s="859">
        <f t="shared" si="115"/>
        <v>0.876424189307623</v>
      </c>
      <c r="G239" s="860">
        <f t="shared" si="116"/>
        <v>6.1514341049525134</v>
      </c>
      <c r="H239" s="861">
        <f t="shared" si="92"/>
        <v>1.1789748045178108</v>
      </c>
    </row>
    <row r="240" spans="1:8">
      <c r="A240" s="1014" t="s">
        <v>517</v>
      </c>
      <c r="B240" s="868">
        <f>geral!E189</f>
        <v>16.442857142857143</v>
      </c>
      <c r="C240" s="857">
        <f t="shared" si="112"/>
        <v>764.78405315614623</v>
      </c>
      <c r="D240" s="858">
        <f t="shared" si="113"/>
        <v>0</v>
      </c>
      <c r="E240" s="858">
        <f t="shared" si="114"/>
        <v>0.876424189307623</v>
      </c>
      <c r="F240" s="859">
        <f t="shared" si="115"/>
        <v>0.876424189307623</v>
      </c>
      <c r="G240" s="860">
        <f t="shared" si="116"/>
        <v>6.1514341049525134</v>
      </c>
      <c r="H240" s="861">
        <f t="shared" si="92"/>
        <v>1.1789748045178108</v>
      </c>
    </row>
    <row r="241" spans="1:8">
      <c r="A241" s="1014" t="s">
        <v>518</v>
      </c>
      <c r="B241" s="868">
        <f>geral!E190</f>
        <v>16.585714285714285</v>
      </c>
      <c r="C241" s="857">
        <f t="shared" si="112"/>
        <v>771.42857142857144</v>
      </c>
      <c r="D241" s="858">
        <f t="shared" si="113"/>
        <v>0.86880973066898459</v>
      </c>
      <c r="E241" s="858">
        <f t="shared" si="114"/>
        <v>1.752848378615246</v>
      </c>
      <c r="F241" s="859">
        <f t="shared" si="115"/>
        <v>1.752848378615246</v>
      </c>
      <c r="G241" s="860">
        <f t="shared" si="116"/>
        <v>7.0736880937009916</v>
      </c>
      <c r="H241" s="861">
        <f t="shared" si="92"/>
        <v>1.1688199827734713</v>
      </c>
    </row>
    <row r="242" spans="1:8">
      <c r="A242" s="1014" t="s">
        <v>519</v>
      </c>
      <c r="B242" s="868">
        <f>geral!G179</f>
        <v>16.585714285714285</v>
      </c>
      <c r="C242" s="857">
        <f t="shared" ref="C242:C247" si="117">100*B242/$B$8</f>
        <v>771.42857142857144</v>
      </c>
      <c r="D242" s="858">
        <f t="shared" ref="D242:D247" si="118">100*((B242/B241)-1)</f>
        <v>0</v>
      </c>
      <c r="E242" s="858">
        <f t="shared" ref="E242:E247" si="119">100*((B242/$B$241)-1)</f>
        <v>0</v>
      </c>
      <c r="F242" s="859">
        <f t="shared" ref="F242:F247" si="120">100*((B242/B230)-1)</f>
        <v>1.752848378615246</v>
      </c>
      <c r="G242" s="860">
        <f t="shared" ref="G242:G247" si="121">100*(B242/B218-1)</f>
        <v>5.6414922656960798</v>
      </c>
      <c r="H242" s="861">
        <f t="shared" si="92"/>
        <v>1.1688199827734713</v>
      </c>
    </row>
    <row r="243" spans="1:8">
      <c r="A243" s="1014" t="s">
        <v>520</v>
      </c>
      <c r="B243" s="868">
        <f>geral!G180</f>
        <v>16.585714285714285</v>
      </c>
      <c r="C243" s="857">
        <f t="shared" si="117"/>
        <v>771.42857142857144</v>
      </c>
      <c r="D243" s="858">
        <f t="shared" si="118"/>
        <v>0</v>
      </c>
      <c r="E243" s="858">
        <f t="shared" si="119"/>
        <v>0</v>
      </c>
      <c r="F243" s="859">
        <f t="shared" si="120"/>
        <v>1.752848378615246</v>
      </c>
      <c r="G243" s="860">
        <f t="shared" si="121"/>
        <v>5.6414922656960798</v>
      </c>
      <c r="H243" s="861">
        <f t="shared" si="92"/>
        <v>1.1688199827734713</v>
      </c>
    </row>
    <row r="244" spans="1:8">
      <c r="A244" s="1014" t="s">
        <v>521</v>
      </c>
      <c r="B244" s="868">
        <f>geral!G181</f>
        <v>16.585714285714285</v>
      </c>
      <c r="C244" s="857">
        <f t="shared" si="117"/>
        <v>771.42857142857144</v>
      </c>
      <c r="D244" s="858">
        <f t="shared" si="118"/>
        <v>0</v>
      </c>
      <c r="E244" s="858">
        <f t="shared" si="119"/>
        <v>0</v>
      </c>
      <c r="F244" s="859">
        <f t="shared" si="120"/>
        <v>1.752848378615246</v>
      </c>
      <c r="G244" s="860">
        <f t="shared" si="121"/>
        <v>5.1725699791647761</v>
      </c>
      <c r="H244" s="861">
        <f t="shared" si="92"/>
        <v>1.1688199827734713</v>
      </c>
    </row>
    <row r="245" spans="1:8">
      <c r="A245" s="1014" t="s">
        <v>522</v>
      </c>
      <c r="B245" s="868">
        <f>geral!G182</f>
        <v>16.585714285714285</v>
      </c>
      <c r="C245" s="857">
        <f t="shared" si="117"/>
        <v>771.42857142857144</v>
      </c>
      <c r="D245" s="858">
        <f t="shared" si="118"/>
        <v>0</v>
      </c>
      <c r="E245" s="858">
        <f t="shared" si="119"/>
        <v>0</v>
      </c>
      <c r="F245" s="859">
        <f t="shared" si="120"/>
        <v>1.752848378615246</v>
      </c>
      <c r="G245" s="860">
        <f t="shared" si="121"/>
        <v>5.1725699791647761</v>
      </c>
      <c r="H245" s="861">
        <f t="shared" si="92"/>
        <v>1.1688199827734713</v>
      </c>
    </row>
    <row r="246" spans="1:8">
      <c r="A246" s="1014" t="s">
        <v>523</v>
      </c>
      <c r="B246" s="868">
        <f>geral!G183</f>
        <v>16.585714285714285</v>
      </c>
      <c r="C246" s="857">
        <f t="shared" si="117"/>
        <v>771.42857142857144</v>
      </c>
      <c r="D246" s="858">
        <f t="shared" si="118"/>
        <v>0</v>
      </c>
      <c r="E246" s="858">
        <f t="shared" si="119"/>
        <v>0</v>
      </c>
      <c r="F246" s="859">
        <f t="shared" si="120"/>
        <v>1.5748031496062964</v>
      </c>
      <c r="G246" s="860">
        <f t="shared" si="121"/>
        <v>3.9391226499552179</v>
      </c>
      <c r="H246" s="861">
        <f t="shared" si="92"/>
        <v>1.1688199827734713</v>
      </c>
    </row>
    <row r="247" spans="1:8">
      <c r="A247" s="1014" t="s">
        <v>524</v>
      </c>
      <c r="B247" s="868">
        <f>geral!G184</f>
        <v>16.585714285714285</v>
      </c>
      <c r="C247" s="857">
        <f t="shared" si="117"/>
        <v>771.42857142857144</v>
      </c>
      <c r="D247" s="858">
        <f t="shared" si="118"/>
        <v>0</v>
      </c>
      <c r="E247" s="858">
        <f t="shared" si="119"/>
        <v>0</v>
      </c>
      <c r="F247" s="859">
        <f t="shared" si="120"/>
        <v>1.5748031496062964</v>
      </c>
      <c r="G247" s="860">
        <f t="shared" si="121"/>
        <v>3.9391226499552179</v>
      </c>
      <c r="H247" s="861">
        <f t="shared" si="92"/>
        <v>1.1688199827734713</v>
      </c>
    </row>
    <row r="248" spans="1:8">
      <c r="A248" s="1014" t="s">
        <v>525</v>
      </c>
      <c r="B248" s="868">
        <f>geral!G185</f>
        <v>16.585714285714285</v>
      </c>
      <c r="C248" s="857">
        <f t="shared" ref="C248:C253" si="122">100*B248/$B$8</f>
        <v>771.42857142857144</v>
      </c>
      <c r="D248" s="858">
        <f t="shared" ref="D248:D253" si="123">100*((B248/B247)-1)</f>
        <v>0</v>
      </c>
      <c r="E248" s="858">
        <f t="shared" ref="E248:E253" si="124">100*((B248/$B$241)-1)</f>
        <v>0</v>
      </c>
      <c r="F248" s="859">
        <f t="shared" ref="F248:F253" si="125">100*((B248/B236)-1)</f>
        <v>0.86880973066898459</v>
      </c>
      <c r="G248" s="860">
        <f t="shared" ref="G248:G253" si="126">100*(B248/B224-1)</f>
        <v>3.9391226499552179</v>
      </c>
      <c r="H248" s="861">
        <f t="shared" si="92"/>
        <v>1.1688199827734713</v>
      </c>
    </row>
    <row r="249" spans="1:8">
      <c r="A249" s="1014" t="s">
        <v>526</v>
      </c>
      <c r="B249" s="868">
        <f>geral!G186</f>
        <v>16.585714285714285</v>
      </c>
      <c r="C249" s="857">
        <f t="shared" si="122"/>
        <v>771.42857142857144</v>
      </c>
      <c r="D249" s="858">
        <f t="shared" si="123"/>
        <v>0</v>
      </c>
      <c r="E249" s="858">
        <f t="shared" si="124"/>
        <v>0</v>
      </c>
      <c r="F249" s="859">
        <f t="shared" si="125"/>
        <v>0.86880973066898459</v>
      </c>
      <c r="G249" s="860">
        <f t="shared" si="126"/>
        <v>3.9391226499552179</v>
      </c>
      <c r="H249" s="861">
        <f t="shared" si="92"/>
        <v>1.1688199827734713</v>
      </c>
    </row>
    <row r="250" spans="1:8">
      <c r="A250" s="1014" t="s">
        <v>527</v>
      </c>
      <c r="B250" s="868">
        <f>geral!G187</f>
        <v>16.585714285714285</v>
      </c>
      <c r="C250" s="857">
        <f t="shared" si="122"/>
        <v>771.42857142857144</v>
      </c>
      <c r="D250" s="858">
        <f t="shared" si="123"/>
        <v>0</v>
      </c>
      <c r="E250" s="858">
        <f t="shared" si="124"/>
        <v>0</v>
      </c>
      <c r="F250" s="859">
        <f t="shared" si="125"/>
        <v>0.86880973066898459</v>
      </c>
      <c r="G250" s="860">
        <f t="shared" si="126"/>
        <v>3.9391226499552179</v>
      </c>
      <c r="H250" s="861">
        <f t="shared" si="92"/>
        <v>1.1688199827734713</v>
      </c>
    </row>
    <row r="251" spans="1:8">
      <c r="A251" s="1014" t="s">
        <v>528</v>
      </c>
      <c r="B251" s="868">
        <f>geral!G188</f>
        <v>16.585714285714285</v>
      </c>
      <c r="C251" s="857">
        <f t="shared" si="122"/>
        <v>771.42857142857144</v>
      </c>
      <c r="D251" s="858">
        <f t="shared" si="123"/>
        <v>0</v>
      </c>
      <c r="E251" s="858">
        <f t="shared" si="124"/>
        <v>0</v>
      </c>
      <c r="F251" s="859">
        <f t="shared" si="125"/>
        <v>0.86880973066898459</v>
      </c>
      <c r="G251" s="860">
        <f t="shared" si="126"/>
        <v>1.752848378615246</v>
      </c>
      <c r="H251" s="861">
        <f t="shared" si="92"/>
        <v>1.1688199827734713</v>
      </c>
    </row>
    <row r="252" spans="1:8">
      <c r="A252" s="1014" t="s">
        <v>529</v>
      </c>
      <c r="B252" s="868">
        <f>geral!G189</f>
        <v>16.585714285714285</v>
      </c>
      <c r="C252" s="857">
        <f t="shared" si="122"/>
        <v>771.42857142857144</v>
      </c>
      <c r="D252" s="858">
        <f t="shared" si="123"/>
        <v>0</v>
      </c>
      <c r="E252" s="858">
        <f t="shared" si="124"/>
        <v>0</v>
      </c>
      <c r="F252" s="859">
        <f t="shared" si="125"/>
        <v>0.86880973066898459</v>
      </c>
      <c r="G252" s="860">
        <f t="shared" si="126"/>
        <v>1.752848378615246</v>
      </c>
      <c r="H252" s="861">
        <f t="shared" si="92"/>
        <v>1.1688199827734713</v>
      </c>
    </row>
    <row r="253" spans="1:8">
      <c r="A253" s="1014" t="s">
        <v>530</v>
      </c>
      <c r="B253" s="868">
        <f>geral!G190</f>
        <v>16.585714285714285</v>
      </c>
      <c r="C253" s="857">
        <f t="shared" si="122"/>
        <v>771.42857142857144</v>
      </c>
      <c r="D253" s="858">
        <f t="shared" si="123"/>
        <v>0</v>
      </c>
      <c r="E253" s="858">
        <f t="shared" si="124"/>
        <v>0</v>
      </c>
      <c r="F253" s="859">
        <f t="shared" si="125"/>
        <v>0</v>
      </c>
      <c r="G253" s="860">
        <f t="shared" si="126"/>
        <v>1.752848378615246</v>
      </c>
      <c r="H253" s="861">
        <f t="shared" si="92"/>
        <v>1.1688199827734713</v>
      </c>
    </row>
    <row r="254" spans="1:8">
      <c r="A254" s="1014" t="s">
        <v>531</v>
      </c>
      <c r="B254" s="868">
        <f>geral!I179</f>
        <v>16.942857142857143</v>
      </c>
      <c r="C254" s="857">
        <f t="shared" ref="C254:C259" si="127">100*B254/$B$8</f>
        <v>788.03986710963454</v>
      </c>
      <c r="D254" s="858">
        <f t="shared" ref="D254:D259" si="128">100*((B254/B253)-1)</f>
        <v>2.1533161068044926</v>
      </c>
      <c r="E254" s="858">
        <f t="shared" ref="E254:E259" si="129">100*((B254/$B$253)-1)</f>
        <v>2.1533161068044926</v>
      </c>
      <c r="F254" s="859">
        <f t="shared" ref="F254:F259" si="130">100*((B254/B242)-1)</f>
        <v>2.1533161068044926</v>
      </c>
      <c r="G254" s="860">
        <f t="shared" ref="G254:G259" si="131">100*(B254/B230-1)</f>
        <v>3.9439088518843146</v>
      </c>
      <c r="H254" s="861">
        <f t="shared" si="92"/>
        <v>1.1441821247892077</v>
      </c>
    </row>
    <row r="255" spans="1:8">
      <c r="A255" s="1014" t="s">
        <v>649</v>
      </c>
      <c r="B255" s="868">
        <f>geral!I180</f>
        <v>17.057142857142857</v>
      </c>
      <c r="C255" s="857">
        <f t="shared" si="127"/>
        <v>793.35548172757478</v>
      </c>
      <c r="D255" s="858">
        <f t="shared" si="128"/>
        <v>0.67453625632376557</v>
      </c>
      <c r="E255" s="858">
        <f t="shared" si="129"/>
        <v>2.8423772609819098</v>
      </c>
      <c r="F255" s="859">
        <f t="shared" si="130"/>
        <v>2.8423772609819098</v>
      </c>
      <c r="G255" s="860">
        <f t="shared" si="131"/>
        <v>4.6450482033304041</v>
      </c>
      <c r="H255" s="861">
        <f t="shared" si="92"/>
        <v>1.1365159128978226</v>
      </c>
    </row>
    <row r="256" spans="1:8">
      <c r="A256" s="1014" t="s">
        <v>650</v>
      </c>
      <c r="B256" s="868">
        <f>geral!I181</f>
        <v>17.057142857142857</v>
      </c>
      <c r="C256" s="857">
        <f t="shared" si="127"/>
        <v>793.35548172757478</v>
      </c>
      <c r="D256" s="858">
        <f t="shared" si="128"/>
        <v>0</v>
      </c>
      <c r="E256" s="858">
        <f t="shared" si="129"/>
        <v>2.8423772609819098</v>
      </c>
      <c r="F256" s="859">
        <f t="shared" si="130"/>
        <v>2.8423772609819098</v>
      </c>
      <c r="G256" s="860">
        <f t="shared" si="131"/>
        <v>4.6450482033304041</v>
      </c>
      <c r="H256" s="861">
        <f t="shared" si="92"/>
        <v>1.1365159128978226</v>
      </c>
    </row>
    <row r="257" spans="1:8">
      <c r="A257" s="1014" t="s">
        <v>652</v>
      </c>
      <c r="B257" s="868">
        <f>geral!I182</f>
        <v>17.057142857142857</v>
      </c>
      <c r="C257" s="857">
        <f t="shared" si="127"/>
        <v>793.35548172757478</v>
      </c>
      <c r="D257" s="858">
        <f t="shared" si="128"/>
        <v>0</v>
      </c>
      <c r="E257" s="858">
        <f t="shared" si="129"/>
        <v>2.8423772609819098</v>
      </c>
      <c r="F257" s="859">
        <f t="shared" si="130"/>
        <v>2.8423772609819098</v>
      </c>
      <c r="G257" s="860">
        <f t="shared" si="131"/>
        <v>4.6450482033304041</v>
      </c>
      <c r="H257" s="861">
        <f t="shared" si="92"/>
        <v>1.1365159128978226</v>
      </c>
    </row>
    <row r="258" spans="1:8">
      <c r="A258" s="1014" t="s">
        <v>653</v>
      </c>
      <c r="B258" s="868">
        <f>geral!I183</f>
        <v>17.057142857142857</v>
      </c>
      <c r="C258" s="857">
        <f t="shared" si="127"/>
        <v>793.35548172757478</v>
      </c>
      <c r="D258" s="858">
        <f t="shared" si="128"/>
        <v>0</v>
      </c>
      <c r="E258" s="858">
        <f t="shared" si="129"/>
        <v>2.8423772609819098</v>
      </c>
      <c r="F258" s="859">
        <f t="shared" si="130"/>
        <v>2.8423772609819098</v>
      </c>
      <c r="G258" s="860">
        <f t="shared" si="131"/>
        <v>4.4619422572178324</v>
      </c>
      <c r="H258" s="861">
        <f t="shared" si="92"/>
        <v>1.1365159128978226</v>
      </c>
    </row>
    <row r="259" spans="1:8">
      <c r="A259" s="1014" t="s">
        <v>654</v>
      </c>
      <c r="B259" s="868">
        <f>geral!I184</f>
        <v>17.057142857142857</v>
      </c>
      <c r="C259" s="857">
        <f t="shared" si="127"/>
        <v>793.35548172757478</v>
      </c>
      <c r="D259" s="858">
        <f t="shared" si="128"/>
        <v>0</v>
      </c>
      <c r="E259" s="858">
        <f t="shared" si="129"/>
        <v>2.8423772609819098</v>
      </c>
      <c r="F259" s="859">
        <f t="shared" si="130"/>
        <v>2.8423772609819098</v>
      </c>
      <c r="G259" s="860">
        <f t="shared" si="131"/>
        <v>4.4619422572178324</v>
      </c>
      <c r="H259" s="861">
        <f t="shared" si="92"/>
        <v>1.1365159128978226</v>
      </c>
    </row>
    <row r="260" spans="1:8">
      <c r="A260" s="1014" t="s">
        <v>657</v>
      </c>
      <c r="B260" s="868">
        <f>geral!I185</f>
        <v>17.057142857142857</v>
      </c>
      <c r="C260" s="857">
        <f t="shared" ref="C260:C265" si="132">100*B260/$B$8</f>
        <v>793.35548172757478</v>
      </c>
      <c r="D260" s="858">
        <f t="shared" ref="D260:D265" si="133">100*((B260/B259)-1)</f>
        <v>0</v>
      </c>
      <c r="E260" s="858">
        <f t="shared" ref="E260:E265" si="134">100*((B260/$B$253)-1)</f>
        <v>2.8423772609819098</v>
      </c>
      <c r="F260" s="859">
        <f t="shared" ref="F260:F265" si="135">100*((B260/B248)-1)</f>
        <v>2.8423772609819098</v>
      </c>
      <c r="G260" s="860">
        <f t="shared" ref="G260:G265" si="136">100*(B260/B236-1)</f>
        <v>3.7358818418766315</v>
      </c>
      <c r="H260" s="861">
        <f t="shared" si="92"/>
        <v>1.1365159128978226</v>
      </c>
    </row>
    <row r="261" spans="1:8">
      <c r="A261" s="1014" t="str">
        <f>câmbio!A261</f>
        <v>AGOSTO|15</v>
      </c>
      <c r="B261" s="868">
        <f>geral!I186</f>
        <v>17.185714285714283</v>
      </c>
      <c r="C261" s="857">
        <f t="shared" si="132"/>
        <v>799.3355481727574</v>
      </c>
      <c r="D261" s="858">
        <f t="shared" si="133"/>
        <v>0.75376884422109214</v>
      </c>
      <c r="E261" s="858">
        <f t="shared" si="134"/>
        <v>3.6175710594315014</v>
      </c>
      <c r="F261" s="859">
        <f t="shared" si="135"/>
        <v>3.6175710594315014</v>
      </c>
      <c r="G261" s="860">
        <f t="shared" si="136"/>
        <v>4.5178105994786888</v>
      </c>
      <c r="H261" s="861">
        <f t="shared" si="92"/>
        <v>1.1280133000831258</v>
      </c>
    </row>
    <row r="262" spans="1:8">
      <c r="A262" s="1032" t="str">
        <f>câmbio!A262</f>
        <v>SETEMBRO|15</v>
      </c>
      <c r="B262" s="1072">
        <f>geral!I187</f>
        <v>17.185714285714283</v>
      </c>
      <c r="C262" s="918">
        <f t="shared" si="132"/>
        <v>799.3355481727574</v>
      </c>
      <c r="D262" s="919">
        <f t="shared" si="133"/>
        <v>0</v>
      </c>
      <c r="E262" s="919">
        <f t="shared" si="134"/>
        <v>3.6175710594315014</v>
      </c>
      <c r="F262" s="920">
        <f t="shared" si="135"/>
        <v>3.6175710594315014</v>
      </c>
      <c r="G262" s="921">
        <f t="shared" si="136"/>
        <v>4.5178105994786888</v>
      </c>
      <c r="H262" s="861">
        <f t="shared" si="92"/>
        <v>1.1280133000831258</v>
      </c>
    </row>
    <row r="263" spans="1:8">
      <c r="A263" s="1032" t="str">
        <f>câmbio!A263</f>
        <v>OUTUBRO|15</v>
      </c>
      <c r="B263" s="1072">
        <f>geral!I188</f>
        <v>17.185714285714283</v>
      </c>
      <c r="C263" s="918">
        <f t="shared" si="132"/>
        <v>799.3355481727574</v>
      </c>
      <c r="D263" s="919">
        <f t="shared" si="133"/>
        <v>0</v>
      </c>
      <c r="E263" s="919">
        <f t="shared" si="134"/>
        <v>3.6175710594315014</v>
      </c>
      <c r="F263" s="920">
        <f t="shared" si="135"/>
        <v>3.6175710594315014</v>
      </c>
      <c r="G263" s="921">
        <f t="shared" si="136"/>
        <v>4.5178105994786888</v>
      </c>
      <c r="H263" s="861">
        <f t="shared" si="92"/>
        <v>1.1280133000831258</v>
      </c>
    </row>
    <row r="264" spans="1:8">
      <c r="A264" s="1032" t="str">
        <f>câmbio!A264</f>
        <v>NOVEMBRO|15</v>
      </c>
      <c r="B264" s="1072">
        <f>geral!I189</f>
        <v>17.185714285714283</v>
      </c>
      <c r="C264" s="918">
        <f t="shared" si="132"/>
        <v>799.3355481727574</v>
      </c>
      <c r="D264" s="919">
        <f t="shared" si="133"/>
        <v>0</v>
      </c>
      <c r="E264" s="919">
        <f t="shared" si="134"/>
        <v>3.6175710594315014</v>
      </c>
      <c r="F264" s="920">
        <f t="shared" si="135"/>
        <v>3.6175710594315014</v>
      </c>
      <c r="G264" s="921">
        <f t="shared" si="136"/>
        <v>4.5178105994786888</v>
      </c>
      <c r="H264" s="861">
        <f t="shared" si="92"/>
        <v>1.1280133000831258</v>
      </c>
    </row>
    <row r="265" spans="1:8">
      <c r="A265" s="1032" t="str">
        <f>câmbio!A265</f>
        <v>DEZEMBRO|15</v>
      </c>
      <c r="B265" s="1072">
        <f>geral!I190</f>
        <v>17.185714285714283</v>
      </c>
      <c r="C265" s="918">
        <f t="shared" si="132"/>
        <v>799.3355481727574</v>
      </c>
      <c r="D265" s="919">
        <f t="shared" si="133"/>
        <v>0</v>
      </c>
      <c r="E265" s="919">
        <f t="shared" si="134"/>
        <v>3.6175710594315014</v>
      </c>
      <c r="F265" s="920">
        <f t="shared" si="135"/>
        <v>3.6175710594315014</v>
      </c>
      <c r="G265" s="921">
        <f t="shared" si="136"/>
        <v>3.6175710594315014</v>
      </c>
      <c r="H265" s="861">
        <f t="shared" si="92"/>
        <v>1.1280133000831258</v>
      </c>
    </row>
    <row r="266" spans="1:8">
      <c r="A266" s="1032" t="str">
        <f>câmbio!A266</f>
        <v>JANEIRO|16</v>
      </c>
      <c r="B266" s="1072">
        <f>geral!K179</f>
        <v>17.185714285714283</v>
      </c>
      <c r="C266" s="918">
        <f t="shared" ref="C266" si="137">100*B266/$B$8</f>
        <v>799.3355481727574</v>
      </c>
      <c r="D266" s="919">
        <f t="shared" ref="D266" si="138">100*((B266/B265)-1)</f>
        <v>0</v>
      </c>
      <c r="E266" s="919">
        <f t="shared" ref="E266:E271" si="139">100*((B266/$B$265)-1)</f>
        <v>0</v>
      </c>
      <c r="F266" s="920">
        <f t="shared" ref="F266" si="140">100*((B266/B254)-1)</f>
        <v>1.4333895446880129</v>
      </c>
      <c r="G266" s="921">
        <f t="shared" ref="G266" si="141">100*(B266/B242-1)</f>
        <v>3.6175710594315014</v>
      </c>
      <c r="H266" s="861">
        <f t="shared" si="92"/>
        <v>1.1280133000831258</v>
      </c>
    </row>
    <row r="267" spans="1:8">
      <c r="A267" s="1032" t="str">
        <f>câmbio!A267</f>
        <v>FEVEREIRO|16</v>
      </c>
      <c r="B267" s="1072">
        <f>geral!K180</f>
        <v>17.185714285714283</v>
      </c>
      <c r="C267" s="918">
        <f t="shared" ref="C267" si="142">100*B267/$B$8</f>
        <v>799.3355481727574</v>
      </c>
      <c r="D267" s="919">
        <f t="shared" ref="D267" si="143">100*((B267/B266)-1)</f>
        <v>0</v>
      </c>
      <c r="E267" s="919">
        <f t="shared" si="139"/>
        <v>0</v>
      </c>
      <c r="F267" s="920">
        <f t="shared" ref="F267" si="144">100*((B267/B255)-1)</f>
        <v>0.75376884422109214</v>
      </c>
      <c r="G267" s="921">
        <f t="shared" ref="G267" si="145">100*(B267/B243-1)</f>
        <v>3.6175710594315014</v>
      </c>
      <c r="H267" s="861">
        <f t="shared" si="92"/>
        <v>1.1280133000831258</v>
      </c>
    </row>
    <row r="268" spans="1:8">
      <c r="A268" s="1032" t="str">
        <f>câmbio!A268</f>
        <v>MARÇO|16</v>
      </c>
      <c r="B268" s="1072">
        <f>geral!K181</f>
        <v>17.185714285714283</v>
      </c>
      <c r="C268" s="918">
        <f t="shared" ref="C268" si="146">100*B268/$B$8</f>
        <v>799.3355481727574</v>
      </c>
      <c r="D268" s="919">
        <f t="shared" ref="D268" si="147">100*((B268/B267)-1)</f>
        <v>0</v>
      </c>
      <c r="E268" s="919">
        <f t="shared" si="139"/>
        <v>0</v>
      </c>
      <c r="F268" s="920">
        <f t="shared" ref="F268" si="148">100*((B268/B256)-1)</f>
        <v>0.75376884422109214</v>
      </c>
      <c r="G268" s="921">
        <f t="shared" ref="G268" si="149">100*(B268/B244-1)</f>
        <v>3.6175710594315014</v>
      </c>
      <c r="H268" s="861">
        <f t="shared" si="92"/>
        <v>1.1280133000831258</v>
      </c>
    </row>
    <row r="269" spans="1:8">
      <c r="A269" s="1032" t="str">
        <f>câmbio!A269</f>
        <v>ABRIL|16</v>
      </c>
      <c r="B269" s="1072">
        <f>geral!K182</f>
        <v>17.442857142857143</v>
      </c>
      <c r="C269" s="918">
        <f t="shared" ref="C269" si="150">100*B269/$B$8</f>
        <v>811.29568106312297</v>
      </c>
      <c r="D269" s="919">
        <f t="shared" ref="D269" si="151">100*((B269/B268)-1)</f>
        <v>1.4962593516209655</v>
      </c>
      <c r="E269" s="919">
        <f t="shared" si="139"/>
        <v>1.4962593516209655</v>
      </c>
      <c r="F269" s="920">
        <f t="shared" ref="F269" si="152">100*((B269/B257)-1)</f>
        <v>2.2613065326633208</v>
      </c>
      <c r="G269" s="921">
        <f t="shared" ref="G269" si="153">100*(B269/B245-1)</f>
        <v>5.1679586563307511</v>
      </c>
      <c r="H269" s="861">
        <f t="shared" si="92"/>
        <v>1.1113841113841116</v>
      </c>
    </row>
    <row r="270" spans="1:8">
      <c r="A270" s="1032" t="str">
        <f>câmbio!A270</f>
        <v>MAIO|16</v>
      </c>
      <c r="B270" s="1072">
        <f>geral!K183</f>
        <v>17.442857142857143</v>
      </c>
      <c r="C270" s="918">
        <f t="shared" ref="C270" si="154">100*B270/$B$8</f>
        <v>811.29568106312297</v>
      </c>
      <c r="D270" s="919">
        <f t="shared" ref="D270" si="155">100*((B270/B269)-1)</f>
        <v>0</v>
      </c>
      <c r="E270" s="919">
        <f t="shared" si="139"/>
        <v>1.4962593516209655</v>
      </c>
      <c r="F270" s="920">
        <f t="shared" ref="F270" si="156">100*((B270/B258)-1)</f>
        <v>2.2613065326633208</v>
      </c>
      <c r="G270" s="921">
        <f t="shared" ref="G270" si="157">100*(B270/B246-1)</f>
        <v>5.1679586563307511</v>
      </c>
      <c r="H270" s="861">
        <f t="shared" si="92"/>
        <v>1.1113841113841116</v>
      </c>
    </row>
    <row r="271" spans="1:8">
      <c r="A271" s="1032" t="str">
        <f>câmbio!A271</f>
        <v>JUNHO|16</v>
      </c>
      <c r="B271" s="1072">
        <f>geral!K184</f>
        <v>17.442857142857143</v>
      </c>
      <c r="C271" s="918">
        <f t="shared" ref="C271" si="158">100*B271/$B$8</f>
        <v>811.29568106312297</v>
      </c>
      <c r="D271" s="919">
        <f t="shared" ref="D271" si="159">100*((B271/B270)-1)</f>
        <v>0</v>
      </c>
      <c r="E271" s="919">
        <f t="shared" si="139"/>
        <v>1.4962593516209655</v>
      </c>
      <c r="F271" s="920">
        <f t="shared" ref="F271" si="160">100*((B271/B259)-1)</f>
        <v>2.2613065326633208</v>
      </c>
      <c r="G271" s="921">
        <f t="shared" ref="G271" si="161">100*(B271/B247-1)</f>
        <v>5.1679586563307511</v>
      </c>
      <c r="H271" s="861">
        <f t="shared" si="92"/>
        <v>1.1113841113841116</v>
      </c>
    </row>
    <row r="272" spans="1:8">
      <c r="A272" s="1032" t="str">
        <f>câmbio!A272</f>
        <v>JULHO|16</v>
      </c>
      <c r="B272" s="1072">
        <f>geral!K185</f>
        <v>17.442857142857143</v>
      </c>
      <c r="C272" s="918">
        <f t="shared" ref="C272" si="162">100*B272/$B$8</f>
        <v>811.29568106312297</v>
      </c>
      <c r="D272" s="919">
        <f t="shared" ref="D272" si="163">100*((B272/B271)-1)</f>
        <v>0</v>
      </c>
      <c r="E272" s="919">
        <f t="shared" ref="E272" si="164">100*((B272/$B$265)-1)</f>
        <v>1.4962593516209655</v>
      </c>
      <c r="F272" s="920">
        <f t="shared" ref="F272" si="165">100*((B272/B260)-1)</f>
        <v>2.2613065326633208</v>
      </c>
      <c r="G272" s="921">
        <f t="shared" ref="G272" si="166">100*(B272/B248-1)</f>
        <v>5.1679586563307511</v>
      </c>
      <c r="H272" s="861">
        <f t="shared" ref="H272:H322" si="167">$B$322/B272</f>
        <v>1.1113841113841116</v>
      </c>
    </row>
    <row r="273" spans="1:8">
      <c r="A273" s="1032" t="str">
        <f>câmbio!A273</f>
        <v>AGOSTO|16</v>
      </c>
      <c r="B273" s="1072">
        <f>geral!K186</f>
        <v>17.442857142857143</v>
      </c>
      <c r="C273" s="918">
        <f t="shared" ref="C273" si="168">100*B273/$B$8</f>
        <v>811.29568106312297</v>
      </c>
      <c r="D273" s="919">
        <f t="shared" ref="D273" si="169">100*((B273/B272)-1)</f>
        <v>0</v>
      </c>
      <c r="E273" s="919">
        <f t="shared" ref="E273" si="170">100*((B273/$B$265)-1)</f>
        <v>1.4962593516209655</v>
      </c>
      <c r="F273" s="920">
        <f t="shared" ref="F273" si="171">100*((B273/B261)-1)</f>
        <v>1.4962593516209655</v>
      </c>
      <c r="G273" s="921">
        <f t="shared" ref="G273" si="172">100*(B273/B249-1)</f>
        <v>5.1679586563307511</v>
      </c>
      <c r="H273" s="861">
        <f t="shared" si="167"/>
        <v>1.1113841113841116</v>
      </c>
    </row>
    <row r="274" spans="1:8">
      <c r="A274" s="1032" t="str">
        <f>câmbio!A274</f>
        <v>SETEMBRO|16</v>
      </c>
      <c r="B274" s="1072">
        <f>geral!K187</f>
        <v>17.442857142857143</v>
      </c>
      <c r="C274" s="918">
        <f t="shared" ref="C274" si="173">100*B274/$B$8</f>
        <v>811.29568106312297</v>
      </c>
      <c r="D274" s="919">
        <f t="shared" ref="D274" si="174">100*((B274/B273)-1)</f>
        <v>0</v>
      </c>
      <c r="E274" s="919">
        <f t="shared" ref="E274" si="175">100*((B274/$B$265)-1)</f>
        <v>1.4962593516209655</v>
      </c>
      <c r="F274" s="920">
        <f t="shared" ref="F274" si="176">100*((B274/B262)-1)</f>
        <v>1.4962593516209655</v>
      </c>
      <c r="G274" s="921">
        <f t="shared" ref="G274" si="177">100*(B274/B250-1)</f>
        <v>5.1679586563307511</v>
      </c>
      <c r="H274" s="861">
        <f t="shared" si="167"/>
        <v>1.1113841113841116</v>
      </c>
    </row>
    <row r="275" spans="1:8">
      <c r="A275" s="1032" t="str">
        <f>câmbio!A275</f>
        <v>OUTUBRO|16</v>
      </c>
      <c r="B275" s="1072">
        <f>geral!K188</f>
        <v>17.442857142857143</v>
      </c>
      <c r="C275" s="918">
        <f t="shared" ref="C275" si="178">100*B275/$B$8</f>
        <v>811.29568106312297</v>
      </c>
      <c r="D275" s="919">
        <f t="shared" ref="D275" si="179">100*((B275/B274)-1)</f>
        <v>0</v>
      </c>
      <c r="E275" s="919">
        <f t="shared" ref="E275" si="180">100*((B275/$B$265)-1)</f>
        <v>1.4962593516209655</v>
      </c>
      <c r="F275" s="920">
        <f t="shared" ref="F275" si="181">100*((B275/B263)-1)</f>
        <v>1.4962593516209655</v>
      </c>
      <c r="G275" s="921">
        <f t="shared" ref="G275" si="182">100*(B275/B251-1)</f>
        <v>5.1679586563307511</v>
      </c>
      <c r="H275" s="861">
        <f t="shared" si="167"/>
        <v>1.1113841113841116</v>
      </c>
    </row>
    <row r="276" spans="1:8">
      <c r="A276" s="1032" t="str">
        <f>câmbio!A276</f>
        <v>NOVEMBRO|16</v>
      </c>
      <c r="B276" s="1072">
        <f>geral!K189</f>
        <v>17.442857142857143</v>
      </c>
      <c r="C276" s="918">
        <f t="shared" ref="C276" si="183">100*B276/$B$8</f>
        <v>811.29568106312297</v>
      </c>
      <c r="D276" s="919">
        <f t="shared" ref="D276" si="184">100*((B276/B275)-1)</f>
        <v>0</v>
      </c>
      <c r="E276" s="919">
        <f t="shared" ref="E276" si="185">100*((B276/$B$265)-1)</f>
        <v>1.4962593516209655</v>
      </c>
      <c r="F276" s="920">
        <f t="shared" ref="F276" si="186">100*((B276/B264)-1)</f>
        <v>1.4962593516209655</v>
      </c>
      <c r="G276" s="921">
        <f t="shared" ref="G276" si="187">100*(B276/B252-1)</f>
        <v>5.1679586563307511</v>
      </c>
      <c r="H276" s="861">
        <f t="shared" si="167"/>
        <v>1.1113841113841116</v>
      </c>
    </row>
    <row r="277" spans="1:8">
      <c r="A277" s="1032" t="str">
        <f>câmbio!A277</f>
        <v>DEZEMBRO|16</v>
      </c>
      <c r="B277" s="1072">
        <f>geral!K190</f>
        <v>17.442857142857143</v>
      </c>
      <c r="C277" s="918">
        <f t="shared" ref="C277" si="188">100*B277/$B$8</f>
        <v>811.29568106312297</v>
      </c>
      <c r="D277" s="919">
        <f t="shared" ref="D277" si="189">100*((B277/B276)-1)</f>
        <v>0</v>
      </c>
      <c r="E277" s="919">
        <f t="shared" ref="E277" si="190">100*((B277/$B$265)-1)</f>
        <v>1.4962593516209655</v>
      </c>
      <c r="F277" s="920">
        <f t="shared" ref="F277" si="191">100*((B277/B265)-1)</f>
        <v>1.4962593516209655</v>
      </c>
      <c r="G277" s="921">
        <f t="shared" ref="G277" si="192">100*(B277/B253-1)</f>
        <v>5.1679586563307511</v>
      </c>
      <c r="H277" s="861">
        <f t="shared" si="167"/>
        <v>1.1113841113841116</v>
      </c>
    </row>
    <row r="278" spans="1:8">
      <c r="A278" s="1032" t="str">
        <f>câmbio!A278</f>
        <v>JANEIRO|17</v>
      </c>
      <c r="B278" s="1072">
        <f>geral!M179</f>
        <v>17.442857142857143</v>
      </c>
      <c r="C278" s="918">
        <f t="shared" ref="C278" si="193">100*B278/$B$8</f>
        <v>811.29568106312297</v>
      </c>
      <c r="D278" s="919">
        <f t="shared" ref="D278" si="194">100*((B278/B277)-1)</f>
        <v>0</v>
      </c>
      <c r="E278" s="919">
        <f t="shared" ref="E278:E283" si="195">100*((B278/$B$277)-1)</f>
        <v>0</v>
      </c>
      <c r="F278" s="920">
        <f t="shared" ref="F278" si="196">100*((B278/B266)-1)</f>
        <v>1.4962593516209655</v>
      </c>
      <c r="G278" s="921">
        <f t="shared" ref="G278" si="197">100*(B278/B254-1)</f>
        <v>2.9510961214165299</v>
      </c>
      <c r="H278" s="861">
        <f t="shared" si="167"/>
        <v>1.1113841113841116</v>
      </c>
    </row>
    <row r="279" spans="1:8">
      <c r="A279" s="1032" t="str">
        <f>câmbio!A279</f>
        <v>FEVEREIRO|17</v>
      </c>
      <c r="B279" s="1072">
        <f>geral!M180</f>
        <v>17.442857142857143</v>
      </c>
      <c r="C279" s="918">
        <f t="shared" ref="C279" si="198">100*B279/$B$8</f>
        <v>811.29568106312297</v>
      </c>
      <c r="D279" s="919">
        <f t="shared" ref="D279" si="199">100*((B279/B278)-1)</f>
        <v>0</v>
      </c>
      <c r="E279" s="919">
        <f t="shared" si="195"/>
        <v>0</v>
      </c>
      <c r="F279" s="920">
        <f t="shared" ref="F279" si="200">100*((B279/B267)-1)</f>
        <v>1.4962593516209655</v>
      </c>
      <c r="G279" s="921">
        <f t="shared" ref="G279" si="201">100*(B279/B255-1)</f>
        <v>2.2613065326633208</v>
      </c>
      <c r="H279" s="861">
        <f t="shared" si="167"/>
        <v>1.1113841113841116</v>
      </c>
    </row>
    <row r="280" spans="1:8">
      <c r="A280" s="1032" t="str">
        <f>câmbio!A280</f>
        <v>MARÇO|17</v>
      </c>
      <c r="B280" s="1072">
        <f>geral!M181</f>
        <v>17.642857142857142</v>
      </c>
      <c r="C280" s="918">
        <f t="shared" ref="C280" si="202">100*B280/$B$8</f>
        <v>820.59800664451825</v>
      </c>
      <c r="D280" s="919">
        <f t="shared" ref="D280" si="203">100*((B280/B279)-1)</f>
        <v>1.146601146601145</v>
      </c>
      <c r="E280" s="919">
        <f t="shared" si="195"/>
        <v>1.146601146601145</v>
      </c>
      <c r="F280" s="920">
        <f t="shared" ref="F280" si="204">100*((B280/B268)-1)</f>
        <v>2.6600166251039115</v>
      </c>
      <c r="G280" s="921">
        <f t="shared" ref="G280" si="205">100*(B280/B256-1)</f>
        <v>3.4338358458961382</v>
      </c>
      <c r="H280" s="861">
        <f t="shared" si="167"/>
        <v>1.0987854251012148</v>
      </c>
    </row>
    <row r="281" spans="1:8">
      <c r="A281" s="1032" t="str">
        <f>câmbio!A281</f>
        <v>ABRIL|17</v>
      </c>
      <c r="B281" s="1072">
        <f>geral!M182</f>
        <v>17.642857142857142</v>
      </c>
      <c r="C281" s="918">
        <f t="shared" ref="C281" si="206">100*B281/$B$8</f>
        <v>820.59800664451825</v>
      </c>
      <c r="D281" s="919">
        <f t="shared" ref="D281" si="207">100*((B281/B280)-1)</f>
        <v>0</v>
      </c>
      <c r="E281" s="919">
        <f t="shared" si="195"/>
        <v>1.146601146601145</v>
      </c>
      <c r="F281" s="920">
        <f t="shared" ref="F281" si="208">100*((B281/B269)-1)</f>
        <v>1.146601146601145</v>
      </c>
      <c r="G281" s="921">
        <f t="shared" ref="G281" si="209">100*(B281/B257-1)</f>
        <v>3.4338358458961382</v>
      </c>
      <c r="H281" s="861">
        <f t="shared" si="167"/>
        <v>1.0987854251012148</v>
      </c>
    </row>
    <row r="282" spans="1:8">
      <c r="A282" s="1032" t="str">
        <f>câmbio!A282</f>
        <v>MAIO|17</v>
      </c>
      <c r="B282" s="1072">
        <f>geral!M183</f>
        <v>17.642857142857142</v>
      </c>
      <c r="C282" s="918">
        <f t="shared" ref="C282" si="210">100*B282/$B$8</f>
        <v>820.59800664451825</v>
      </c>
      <c r="D282" s="919">
        <f t="shared" ref="D282" si="211">100*((B282/B281)-1)</f>
        <v>0</v>
      </c>
      <c r="E282" s="919">
        <f t="shared" si="195"/>
        <v>1.146601146601145</v>
      </c>
      <c r="F282" s="920">
        <f t="shared" ref="F282" si="212">100*((B282/B270)-1)</f>
        <v>1.146601146601145</v>
      </c>
      <c r="G282" s="921">
        <f t="shared" ref="G282" si="213">100*(B282/B258-1)</f>
        <v>3.4338358458961382</v>
      </c>
      <c r="H282" s="861">
        <f t="shared" si="167"/>
        <v>1.0987854251012148</v>
      </c>
    </row>
    <row r="283" spans="1:8">
      <c r="A283" s="1032" t="str">
        <f>câmbio!A283</f>
        <v>JUNHO|17</v>
      </c>
      <c r="B283" s="1072">
        <f>geral!M184</f>
        <v>17.642857142857142</v>
      </c>
      <c r="C283" s="918">
        <f t="shared" ref="C283" si="214">100*B283/$B$8</f>
        <v>820.59800664451825</v>
      </c>
      <c r="D283" s="919">
        <f t="shared" ref="D283" si="215">100*((B283/B282)-1)</f>
        <v>0</v>
      </c>
      <c r="E283" s="919">
        <f t="shared" si="195"/>
        <v>1.146601146601145</v>
      </c>
      <c r="F283" s="920">
        <f t="shared" ref="F283" si="216">100*((B283/B271)-1)</f>
        <v>1.146601146601145</v>
      </c>
      <c r="G283" s="921">
        <f t="shared" ref="G283" si="217">100*(B283/B259-1)</f>
        <v>3.4338358458961382</v>
      </c>
      <c r="H283" s="861">
        <f t="shared" si="167"/>
        <v>1.0987854251012148</v>
      </c>
    </row>
    <row r="284" spans="1:8">
      <c r="A284" s="1032" t="str">
        <f>câmbio!A284</f>
        <v>JULHO|17</v>
      </c>
      <c r="B284" s="1072">
        <f>geral!M185</f>
        <v>17.642857142857142</v>
      </c>
      <c r="C284" s="918">
        <f t="shared" ref="C284" si="218">100*B284/$B$8</f>
        <v>820.59800664451825</v>
      </c>
      <c r="D284" s="919">
        <f t="shared" ref="D284" si="219">100*((B284/B283)-1)</f>
        <v>0</v>
      </c>
      <c r="E284" s="919">
        <f t="shared" ref="E284" si="220">100*((B284/$B$277)-1)</f>
        <v>1.146601146601145</v>
      </c>
      <c r="F284" s="920">
        <f t="shared" ref="F284" si="221">100*((B284/B272)-1)</f>
        <v>1.146601146601145</v>
      </c>
      <c r="G284" s="921">
        <f t="shared" ref="G284" si="222">100*(B284/B260-1)</f>
        <v>3.4338358458961382</v>
      </c>
      <c r="H284" s="861">
        <f t="shared" si="167"/>
        <v>1.0987854251012148</v>
      </c>
    </row>
    <row r="285" spans="1:8">
      <c r="A285" s="1032" t="str">
        <f>câmbio!A285</f>
        <v>AGOSTO|17</v>
      </c>
      <c r="B285" s="1072">
        <f>geral!M186</f>
        <v>17.642857142857142</v>
      </c>
      <c r="C285" s="918">
        <f t="shared" ref="C285" si="223">100*B285/$B$8</f>
        <v>820.59800664451825</v>
      </c>
      <c r="D285" s="919">
        <f t="shared" ref="D285" si="224">100*((B285/B284)-1)</f>
        <v>0</v>
      </c>
      <c r="E285" s="919">
        <f t="shared" ref="E285" si="225">100*((B285/$B$277)-1)</f>
        <v>1.146601146601145</v>
      </c>
      <c r="F285" s="920">
        <f t="shared" ref="F285" si="226">100*((B285/B273)-1)</f>
        <v>1.146601146601145</v>
      </c>
      <c r="G285" s="921">
        <f t="shared" ref="G285" si="227">100*(B285/B261-1)</f>
        <v>2.6600166251039115</v>
      </c>
      <c r="H285" s="861">
        <f t="shared" si="167"/>
        <v>1.0987854251012148</v>
      </c>
    </row>
    <row r="286" spans="1:8">
      <c r="A286" s="1032" t="str">
        <f>câmbio!A286</f>
        <v>SETEMBRO|17</v>
      </c>
      <c r="B286" s="1072">
        <f>geral!M187</f>
        <v>17.642857142857142</v>
      </c>
      <c r="C286" s="918">
        <f t="shared" ref="C286" si="228">100*B286/$B$8</f>
        <v>820.59800664451825</v>
      </c>
      <c r="D286" s="919">
        <f t="shared" ref="D286" si="229">100*((B286/B285)-1)</f>
        <v>0</v>
      </c>
      <c r="E286" s="919">
        <f t="shared" ref="E286" si="230">100*((B286/$B$277)-1)</f>
        <v>1.146601146601145</v>
      </c>
      <c r="F286" s="920">
        <f t="shared" ref="F286" si="231">100*((B286/B274)-1)</f>
        <v>1.146601146601145</v>
      </c>
      <c r="G286" s="921">
        <f t="shared" ref="G286" si="232">100*(B286/B262-1)</f>
        <v>2.6600166251039115</v>
      </c>
      <c r="H286" s="861">
        <f t="shared" si="167"/>
        <v>1.0987854251012148</v>
      </c>
    </row>
    <row r="287" spans="1:8">
      <c r="A287" s="1032" t="str">
        <f>câmbio!A287</f>
        <v>OUTUBRO|17</v>
      </c>
      <c r="B287" s="1072">
        <f>geral!M188</f>
        <v>17.642857142857142</v>
      </c>
      <c r="C287" s="918">
        <f t="shared" ref="C287" si="233">100*B287/$B$8</f>
        <v>820.59800664451825</v>
      </c>
      <c r="D287" s="919">
        <f t="shared" ref="D287" si="234">100*((B287/B286)-1)</f>
        <v>0</v>
      </c>
      <c r="E287" s="919">
        <f t="shared" ref="E287" si="235">100*((B287/$B$277)-1)</f>
        <v>1.146601146601145</v>
      </c>
      <c r="F287" s="920">
        <f t="shared" ref="F287" si="236">100*((B287/B275)-1)</f>
        <v>1.146601146601145</v>
      </c>
      <c r="G287" s="921">
        <f t="shared" ref="G287" si="237">100*(B287/B263-1)</f>
        <v>2.6600166251039115</v>
      </c>
      <c r="H287" s="861">
        <f t="shared" si="167"/>
        <v>1.0987854251012148</v>
      </c>
    </row>
    <row r="288" spans="1:8">
      <c r="A288" s="1032" t="str">
        <f>câmbio!A288</f>
        <v>NOVEMBRO|17</v>
      </c>
      <c r="B288" s="1072">
        <f>geral!M189</f>
        <v>18.271428571428572</v>
      </c>
      <c r="C288" s="918">
        <f t="shared" ref="C288" si="238">100*B288/$B$8</f>
        <v>849.83388704318952</v>
      </c>
      <c r="D288" s="919">
        <f t="shared" ref="D288" si="239">100*((B288/B287)-1)</f>
        <v>3.5627530364372495</v>
      </c>
      <c r="E288" s="919">
        <f t="shared" ref="E288" si="240">100*((B288/$B$277)-1)</f>
        <v>4.7502047502047562</v>
      </c>
      <c r="F288" s="920">
        <f t="shared" ref="F288" si="241">100*((B288/B276)-1)</f>
        <v>4.7502047502047562</v>
      </c>
      <c r="G288" s="921">
        <f t="shared" ref="G288" si="242">100*(B288/B264-1)</f>
        <v>6.3175394846217925</v>
      </c>
      <c r="H288" s="861">
        <f t="shared" si="167"/>
        <v>1.0609851446442535</v>
      </c>
    </row>
    <row r="289" spans="1:8">
      <c r="A289" s="1032" t="str">
        <f>câmbio!A289</f>
        <v>DEZEMBRO|17</v>
      </c>
      <c r="B289" s="1072">
        <f>geral!M190</f>
        <v>18.271428571428572</v>
      </c>
      <c r="C289" s="918">
        <f t="shared" ref="C289" si="243">100*B289/$B$8</f>
        <v>849.83388704318952</v>
      </c>
      <c r="D289" s="919">
        <f t="shared" ref="D289" si="244">100*((B289/B288)-1)</f>
        <v>0</v>
      </c>
      <c r="E289" s="919">
        <f t="shared" ref="E289" si="245">100*((B289/$B$277)-1)</f>
        <v>4.7502047502047562</v>
      </c>
      <c r="F289" s="920">
        <f t="shared" ref="F289" si="246">100*((B289/B277)-1)</f>
        <v>4.7502047502047562</v>
      </c>
      <c r="G289" s="921">
        <f t="shared" ref="G289" si="247">100*(B289/B265-1)</f>
        <v>6.3175394846217925</v>
      </c>
      <c r="H289" s="861">
        <f t="shared" si="167"/>
        <v>1.0609851446442535</v>
      </c>
    </row>
    <row r="290" spans="1:8">
      <c r="A290" s="1032" t="str">
        <f>câmbio!A290</f>
        <v>JANEIRO|18</v>
      </c>
      <c r="B290" s="1072">
        <f>geral!O179</f>
        <v>18.271428571428572</v>
      </c>
      <c r="C290" s="918">
        <f t="shared" ref="C290" si="248">100*B290/$B$8</f>
        <v>849.83388704318952</v>
      </c>
      <c r="D290" s="919">
        <f t="shared" ref="D290" si="249">100*((B290/B289)-1)</f>
        <v>0</v>
      </c>
      <c r="E290" s="919">
        <f t="shared" ref="E290:E295" si="250">100*((B290/$B$289)-1)</f>
        <v>0</v>
      </c>
      <c r="F290" s="920">
        <f t="shared" ref="F290" si="251">100*((B290/B278)-1)</f>
        <v>4.7502047502047562</v>
      </c>
      <c r="G290" s="921">
        <f t="shared" ref="G290" si="252">100*(B290/B266-1)</f>
        <v>6.3175394846217925</v>
      </c>
      <c r="H290" s="861">
        <f t="shared" si="167"/>
        <v>1.0609851446442535</v>
      </c>
    </row>
    <row r="291" spans="1:8">
      <c r="A291" s="1032" t="str">
        <f>câmbio!A291</f>
        <v>FEVEREIRO|18</v>
      </c>
      <c r="B291" s="1072">
        <f>geral!O180</f>
        <v>18.271428571428572</v>
      </c>
      <c r="C291" s="918">
        <f t="shared" ref="C291" si="253">100*B291/$B$8</f>
        <v>849.83388704318952</v>
      </c>
      <c r="D291" s="919">
        <f t="shared" ref="D291" si="254">100*((B291/B290)-1)</f>
        <v>0</v>
      </c>
      <c r="E291" s="919">
        <f t="shared" si="250"/>
        <v>0</v>
      </c>
      <c r="F291" s="920">
        <f t="shared" ref="F291" si="255">100*((B291/B279)-1)</f>
        <v>4.7502047502047562</v>
      </c>
      <c r="G291" s="921">
        <f t="shared" ref="G291" si="256">100*(B291/B267-1)</f>
        <v>6.3175394846217925</v>
      </c>
      <c r="H291" s="861">
        <f t="shared" si="167"/>
        <v>1.0609851446442535</v>
      </c>
    </row>
    <row r="292" spans="1:8">
      <c r="A292" s="1032" t="str">
        <f>câmbio!A292</f>
        <v>MARÇO|18</v>
      </c>
      <c r="B292" s="1072">
        <f>geral!O181</f>
        <v>18.271428571428572</v>
      </c>
      <c r="C292" s="918">
        <f t="shared" ref="C292" si="257">100*B292/$B$8</f>
        <v>849.83388704318952</v>
      </c>
      <c r="D292" s="919">
        <f t="shared" ref="D292" si="258">100*((B292/B291)-1)</f>
        <v>0</v>
      </c>
      <c r="E292" s="919">
        <f t="shared" si="250"/>
        <v>0</v>
      </c>
      <c r="F292" s="920">
        <f t="shared" ref="F292" si="259">100*((B292/B280)-1)</f>
        <v>3.5627530364372495</v>
      </c>
      <c r="G292" s="921">
        <f t="shared" ref="G292" si="260">100*(B292/B268-1)</f>
        <v>6.3175394846217925</v>
      </c>
      <c r="H292" s="861">
        <f t="shared" si="167"/>
        <v>1.0609851446442535</v>
      </c>
    </row>
    <row r="293" spans="1:8">
      <c r="A293" s="1032" t="str">
        <f>câmbio!A293</f>
        <v>ABRIL|18</v>
      </c>
      <c r="B293" s="1072">
        <f>geral!O182</f>
        <v>18.271428571428572</v>
      </c>
      <c r="C293" s="918">
        <f t="shared" ref="C293" si="261">100*B293/$B$8</f>
        <v>849.83388704318952</v>
      </c>
      <c r="D293" s="919">
        <f t="shared" ref="D293" si="262">100*((B293/B292)-1)</f>
        <v>0</v>
      </c>
      <c r="E293" s="919">
        <f t="shared" si="250"/>
        <v>0</v>
      </c>
      <c r="F293" s="920">
        <f t="shared" ref="F293" si="263">100*((B293/B281)-1)</f>
        <v>3.5627530364372495</v>
      </c>
      <c r="G293" s="921">
        <f t="shared" ref="G293" si="264">100*(B293/B269-1)</f>
        <v>4.7502047502047562</v>
      </c>
      <c r="H293" s="861">
        <f t="shared" si="167"/>
        <v>1.0609851446442535</v>
      </c>
    </row>
    <row r="294" spans="1:8">
      <c r="A294" s="1032" t="str">
        <f>câmbio!A294</f>
        <v>MAIO|18</v>
      </c>
      <c r="B294" s="1072">
        <f>geral!O183</f>
        <v>18.271428571428572</v>
      </c>
      <c r="C294" s="918">
        <f t="shared" ref="C294" si="265">100*B294/$B$8</f>
        <v>849.83388704318952</v>
      </c>
      <c r="D294" s="919">
        <f t="shared" ref="D294" si="266">100*((B294/B293)-1)</f>
        <v>0</v>
      </c>
      <c r="E294" s="919">
        <f t="shared" si="250"/>
        <v>0</v>
      </c>
      <c r="F294" s="920">
        <f t="shared" ref="F294" si="267">100*((B294/B282)-1)</f>
        <v>3.5627530364372495</v>
      </c>
      <c r="G294" s="921">
        <f t="shared" ref="G294" si="268">100*(B294/B270-1)</f>
        <v>4.7502047502047562</v>
      </c>
      <c r="H294" s="861">
        <f t="shared" si="167"/>
        <v>1.0609851446442535</v>
      </c>
    </row>
    <row r="295" spans="1:8">
      <c r="A295" s="1032" t="str">
        <f>câmbio!A295</f>
        <v>JUNHO|18</v>
      </c>
      <c r="B295" s="1072">
        <f>geral!O184</f>
        <v>18.642857142857142</v>
      </c>
      <c r="C295" s="918">
        <f t="shared" ref="C295" si="269">100*B295/$B$8</f>
        <v>867.10963455149499</v>
      </c>
      <c r="D295" s="919">
        <f t="shared" ref="D295" si="270">100*((B295/B294)-1)</f>
        <v>2.0328381548084362</v>
      </c>
      <c r="E295" s="919">
        <f t="shared" si="250"/>
        <v>2.0328381548084362</v>
      </c>
      <c r="F295" s="920">
        <f t="shared" ref="F295" si="271">100*((B295/B283)-1)</f>
        <v>5.6680161943319929</v>
      </c>
      <c r="G295" s="921">
        <f t="shared" ref="G295" si="272">100*(B295/B271-1)</f>
        <v>6.8796068796068699</v>
      </c>
      <c r="H295" s="861">
        <f t="shared" si="167"/>
        <v>1.0398467432950194</v>
      </c>
    </row>
    <row r="296" spans="1:8">
      <c r="A296" s="1032" t="str">
        <f>câmbio!A296</f>
        <v>JULHO|18</v>
      </c>
      <c r="B296" s="1072">
        <f>geral!O185</f>
        <v>18.642857142857142</v>
      </c>
      <c r="C296" s="918">
        <f t="shared" ref="C296" si="273">100*B296/$B$8</f>
        <v>867.10963455149499</v>
      </c>
      <c r="D296" s="919">
        <f t="shared" ref="D296" si="274">100*((B296/B295)-1)</f>
        <v>0</v>
      </c>
      <c r="E296" s="919">
        <f t="shared" ref="E296" si="275">100*((B296/$B$289)-1)</f>
        <v>2.0328381548084362</v>
      </c>
      <c r="F296" s="920">
        <f t="shared" ref="F296" si="276">100*((B296/B284)-1)</f>
        <v>5.6680161943319929</v>
      </c>
      <c r="G296" s="921">
        <f t="shared" ref="G296" si="277">100*(B296/B272-1)</f>
        <v>6.8796068796068699</v>
      </c>
      <c r="H296" s="861">
        <f t="shared" si="167"/>
        <v>1.0398467432950194</v>
      </c>
    </row>
    <row r="297" spans="1:8">
      <c r="A297" s="1032" t="str">
        <f>câmbio!A297</f>
        <v>AGOSTO|18</v>
      </c>
      <c r="B297" s="1072">
        <f>geral!O186</f>
        <v>18.642857142857142</v>
      </c>
      <c r="C297" s="918">
        <f t="shared" ref="C297" si="278">100*B297/$B$8</f>
        <v>867.10963455149499</v>
      </c>
      <c r="D297" s="919">
        <f t="shared" ref="D297" si="279">100*((B297/B296)-1)</f>
        <v>0</v>
      </c>
      <c r="E297" s="919">
        <f t="shared" ref="E297" si="280">100*((B297/$B$289)-1)</f>
        <v>2.0328381548084362</v>
      </c>
      <c r="F297" s="920">
        <f t="shared" ref="F297" si="281">100*((B297/B285)-1)</f>
        <v>5.6680161943319929</v>
      </c>
      <c r="G297" s="921">
        <f t="shared" ref="G297" si="282">100*(B297/B273-1)</f>
        <v>6.8796068796068699</v>
      </c>
      <c r="H297" s="861">
        <f t="shared" si="167"/>
        <v>1.0398467432950194</v>
      </c>
    </row>
    <row r="298" spans="1:8">
      <c r="A298" s="1032" t="str">
        <f>câmbio!A298</f>
        <v>SETEMBRO|18</v>
      </c>
      <c r="B298" s="1072">
        <f>geral!O187</f>
        <v>18.642857142857142</v>
      </c>
      <c r="C298" s="918">
        <f t="shared" ref="C298" si="283">100*B298/$B$8</f>
        <v>867.10963455149499</v>
      </c>
      <c r="D298" s="919">
        <f t="shared" ref="D298" si="284">100*((B298/B297)-1)</f>
        <v>0</v>
      </c>
      <c r="E298" s="919">
        <f t="shared" ref="E298" si="285">100*((B298/$B$289)-1)</f>
        <v>2.0328381548084362</v>
      </c>
      <c r="F298" s="920">
        <f t="shared" ref="F298" si="286">100*((B298/B286)-1)</f>
        <v>5.6680161943319929</v>
      </c>
      <c r="G298" s="921">
        <f t="shared" ref="G298" si="287">100*(B298/B274-1)</f>
        <v>6.8796068796068699</v>
      </c>
      <c r="H298" s="861">
        <f t="shared" si="167"/>
        <v>1.0398467432950194</v>
      </c>
    </row>
    <row r="299" spans="1:8">
      <c r="A299" s="1032" t="str">
        <f>câmbio!A299</f>
        <v>OUTUBRO|18</v>
      </c>
      <c r="B299" s="1072">
        <f>geral!O188</f>
        <v>18.642857142857142</v>
      </c>
      <c r="C299" s="918">
        <f t="shared" ref="C299" si="288">100*B299/$B$8</f>
        <v>867.10963455149499</v>
      </c>
      <c r="D299" s="919">
        <f t="shared" ref="D299" si="289">100*((B299/B298)-1)</f>
        <v>0</v>
      </c>
      <c r="E299" s="919">
        <f t="shared" ref="E299" si="290">100*((B299/$B$289)-1)</f>
        <v>2.0328381548084362</v>
      </c>
      <c r="F299" s="920">
        <f t="shared" ref="F299" si="291">100*((B299/B287)-1)</f>
        <v>5.6680161943319929</v>
      </c>
      <c r="G299" s="921">
        <f t="shared" ref="G299" si="292">100*(B299/B275-1)</f>
        <v>6.8796068796068699</v>
      </c>
      <c r="H299" s="861">
        <f t="shared" si="167"/>
        <v>1.0398467432950194</v>
      </c>
    </row>
    <row r="300" spans="1:8">
      <c r="A300" s="1032" t="str">
        <f>câmbio!A300</f>
        <v>NOVEMBRO|18</v>
      </c>
      <c r="B300" s="1072">
        <f>geral!O189</f>
        <v>18.642857142857142</v>
      </c>
      <c r="C300" s="918">
        <f t="shared" ref="C300" si="293">100*B300/$B$8</f>
        <v>867.10963455149499</v>
      </c>
      <c r="D300" s="919">
        <f t="shared" ref="D300" si="294">100*((B300/B299)-1)</f>
        <v>0</v>
      </c>
      <c r="E300" s="919">
        <f t="shared" ref="E300" si="295">100*((B300/$B$289)-1)</f>
        <v>2.0328381548084362</v>
      </c>
      <c r="F300" s="920">
        <f t="shared" ref="F300" si="296">100*((B300/B288)-1)</f>
        <v>2.0328381548084362</v>
      </c>
      <c r="G300" s="921">
        <f t="shared" ref="G300" si="297">100*(B300/B276-1)</f>
        <v>6.8796068796068699</v>
      </c>
      <c r="H300" s="861">
        <f t="shared" si="167"/>
        <v>1.0398467432950194</v>
      </c>
    </row>
    <row r="301" spans="1:8">
      <c r="A301" s="1032" t="str">
        <f>câmbio!A301</f>
        <v>DEZEMBRO|18</v>
      </c>
      <c r="B301" s="1072">
        <f>geral!O190</f>
        <v>18.642857142857142</v>
      </c>
      <c r="C301" s="918">
        <f t="shared" ref="C301" si="298">100*B301/$B$8</f>
        <v>867.10963455149499</v>
      </c>
      <c r="D301" s="919">
        <f t="shared" ref="D301" si="299">100*((B301/B300)-1)</f>
        <v>0</v>
      </c>
      <c r="E301" s="919">
        <f t="shared" ref="E301" si="300">100*((B301/$B$289)-1)</f>
        <v>2.0328381548084362</v>
      </c>
      <c r="F301" s="920">
        <f t="shared" ref="F301" si="301">100*((B301/B289)-1)</f>
        <v>2.0328381548084362</v>
      </c>
      <c r="G301" s="921">
        <f t="shared" ref="G301" si="302">100*(B301/B277-1)</f>
        <v>6.8796068796068699</v>
      </c>
      <c r="H301" s="861">
        <f t="shared" si="167"/>
        <v>1.0398467432950194</v>
      </c>
    </row>
    <row r="302" spans="1:8">
      <c r="A302" s="1032" t="str">
        <f>câmbio!A302</f>
        <v>JANEIRO|19</v>
      </c>
      <c r="B302" s="1072">
        <f>geral!Q179</f>
        <v>18.642857142857142</v>
      </c>
      <c r="C302" s="918">
        <f t="shared" ref="C302" si="303">100*B302/$B$8</f>
        <v>867.10963455149499</v>
      </c>
      <c r="D302" s="919">
        <f t="shared" ref="D302" si="304">100*((B302/B301)-1)</f>
        <v>0</v>
      </c>
      <c r="E302" s="919">
        <f t="shared" ref="E302:E307" si="305">100*((B302/$B$301)-1)</f>
        <v>0</v>
      </c>
      <c r="F302" s="920">
        <f t="shared" ref="F302" si="306">100*((B302/B290)-1)</f>
        <v>2.0328381548084362</v>
      </c>
      <c r="G302" s="921">
        <f t="shared" ref="G302" si="307">100*(B302/B278-1)</f>
        <v>6.8796068796068699</v>
      </c>
      <c r="H302" s="861">
        <f t="shared" si="167"/>
        <v>1.0398467432950194</v>
      </c>
    </row>
    <row r="303" spans="1:8">
      <c r="A303" s="1032" t="str">
        <f>câmbio!A303</f>
        <v>FEVEREIRO|19</v>
      </c>
      <c r="B303" s="1072">
        <f>geral!Q180</f>
        <v>19.071428571428573</v>
      </c>
      <c r="C303" s="918">
        <f t="shared" ref="C303" si="308">100*B303/$B$8</f>
        <v>887.04318936877087</v>
      </c>
      <c r="D303" s="919">
        <f t="shared" ref="D303" si="309">100*((B303/B302)-1)</f>
        <v>2.2988505747126631</v>
      </c>
      <c r="E303" s="919">
        <f t="shared" si="305"/>
        <v>2.2988505747126631</v>
      </c>
      <c r="F303" s="920">
        <f t="shared" ref="F303" si="310">100*((B303/B291)-1)</f>
        <v>4.3784206411258797</v>
      </c>
      <c r="G303" s="921">
        <f t="shared" ref="G303" si="311">100*(B303/B279-1)</f>
        <v>9.3366093366093352</v>
      </c>
      <c r="H303" s="861">
        <f t="shared" si="167"/>
        <v>1.0164794007490638</v>
      </c>
    </row>
    <row r="304" spans="1:8">
      <c r="A304" s="1032" t="str">
        <f>câmbio!A304</f>
        <v>MARÇO|19</v>
      </c>
      <c r="B304" s="1072">
        <f>geral!Q181</f>
        <v>19.071428571428573</v>
      </c>
      <c r="C304" s="918">
        <f t="shared" ref="C304" si="312">100*B304/$B$8</f>
        <v>887.04318936877087</v>
      </c>
      <c r="D304" s="919">
        <f t="shared" ref="D304" si="313">100*((B304/B303)-1)</f>
        <v>0</v>
      </c>
      <c r="E304" s="919">
        <f t="shared" si="305"/>
        <v>2.2988505747126631</v>
      </c>
      <c r="F304" s="920">
        <f t="shared" ref="F304" si="314">100*((B304/B292)-1)</f>
        <v>4.3784206411258797</v>
      </c>
      <c r="G304" s="921">
        <f t="shared" ref="G304" si="315">100*(B304/B280-1)</f>
        <v>8.0971659919028447</v>
      </c>
      <c r="H304" s="861">
        <f t="shared" si="167"/>
        <v>1.0164794007490638</v>
      </c>
    </row>
    <row r="305" spans="1:8">
      <c r="A305" s="1032" t="str">
        <f>câmbio!A305</f>
        <v>ABRIL|19</v>
      </c>
      <c r="B305" s="1072">
        <f>geral!Q182</f>
        <v>19.071428571428573</v>
      </c>
      <c r="C305" s="918">
        <f t="shared" ref="C305" si="316">100*B305/$B$8</f>
        <v>887.04318936877087</v>
      </c>
      <c r="D305" s="919">
        <f t="shared" ref="D305" si="317">100*((B305/B304)-1)</f>
        <v>0</v>
      </c>
      <c r="E305" s="919">
        <f t="shared" si="305"/>
        <v>2.2988505747126631</v>
      </c>
      <c r="F305" s="920">
        <f t="shared" ref="F305" si="318">100*((B305/B293)-1)</f>
        <v>4.3784206411258797</v>
      </c>
      <c r="G305" s="921">
        <f t="shared" ref="G305" si="319">100*(B305/B281-1)</f>
        <v>8.0971659919028447</v>
      </c>
      <c r="H305" s="861">
        <f t="shared" si="167"/>
        <v>1.0164794007490638</v>
      </c>
    </row>
    <row r="306" spans="1:8">
      <c r="A306" s="1032" t="str">
        <f>câmbio!A306</f>
        <v>MAIO|19</v>
      </c>
      <c r="B306" s="1072">
        <f>geral!Q183</f>
        <v>19.071428571428573</v>
      </c>
      <c r="C306" s="918">
        <f t="shared" ref="C306" si="320">100*B306/$B$8</f>
        <v>887.04318936877087</v>
      </c>
      <c r="D306" s="919">
        <f t="shared" ref="D306" si="321">100*((B306/B305)-1)</f>
        <v>0</v>
      </c>
      <c r="E306" s="919">
        <f t="shared" si="305"/>
        <v>2.2988505747126631</v>
      </c>
      <c r="F306" s="920">
        <f t="shared" ref="F306" si="322">100*((B306/B294)-1)</f>
        <v>4.3784206411258797</v>
      </c>
      <c r="G306" s="921">
        <f t="shared" ref="G306" si="323">100*(B306/B282-1)</f>
        <v>8.0971659919028447</v>
      </c>
      <c r="H306" s="861">
        <f t="shared" si="167"/>
        <v>1.0164794007490638</v>
      </c>
    </row>
    <row r="307" spans="1:8">
      <c r="A307" s="1032" t="str">
        <f>câmbio!A307</f>
        <v>JUNHO|19</v>
      </c>
      <c r="B307" s="1072">
        <f>geral!Q184</f>
        <v>19.071428571428573</v>
      </c>
      <c r="C307" s="918">
        <f t="shared" ref="C307" si="324">100*B307/$B$8</f>
        <v>887.04318936877087</v>
      </c>
      <c r="D307" s="919">
        <f t="shared" ref="D307" si="325">100*((B307/B306)-1)</f>
        <v>0</v>
      </c>
      <c r="E307" s="919">
        <f t="shared" si="305"/>
        <v>2.2988505747126631</v>
      </c>
      <c r="F307" s="920">
        <f t="shared" ref="F307" si="326">100*((B307/B295)-1)</f>
        <v>2.2988505747126631</v>
      </c>
      <c r="G307" s="921">
        <f t="shared" ref="G307" si="327">100*(B307/B283-1)</f>
        <v>8.0971659919028447</v>
      </c>
      <c r="H307" s="861">
        <f t="shared" si="167"/>
        <v>1.0164794007490638</v>
      </c>
    </row>
    <row r="308" spans="1:8">
      <c r="A308" s="1032" t="str">
        <f>câmbio!A308</f>
        <v>JULHO|19</v>
      </c>
      <c r="B308" s="1072">
        <f>geral!Q185</f>
        <v>19.071428571428573</v>
      </c>
      <c r="C308" s="918">
        <f t="shared" ref="C308" si="328">100*B308/$B$8</f>
        <v>887.04318936877087</v>
      </c>
      <c r="D308" s="919">
        <f t="shared" ref="D308" si="329">100*((B308/B307)-1)</f>
        <v>0</v>
      </c>
      <c r="E308" s="919">
        <f t="shared" ref="E308" si="330">100*((B308/$B$301)-1)</f>
        <v>2.2988505747126631</v>
      </c>
      <c r="F308" s="920">
        <f t="shared" ref="F308" si="331">100*((B308/B296)-1)</f>
        <v>2.2988505747126631</v>
      </c>
      <c r="G308" s="921">
        <f t="shared" ref="G308" si="332">100*(B308/B284-1)</f>
        <v>8.0971659919028447</v>
      </c>
      <c r="H308" s="861">
        <f t="shared" si="167"/>
        <v>1.0164794007490638</v>
      </c>
    </row>
    <row r="309" spans="1:8">
      <c r="A309" s="1032" t="str">
        <f>câmbio!A309</f>
        <v>AGOSTO|19</v>
      </c>
      <c r="B309" s="1072">
        <f>geral!Q186</f>
        <v>19.071428571428573</v>
      </c>
      <c r="C309" s="918">
        <f t="shared" ref="C309" si="333">100*B309/$B$8</f>
        <v>887.04318936877087</v>
      </c>
      <c r="D309" s="919">
        <f t="shared" ref="D309" si="334">100*((B309/B308)-1)</f>
        <v>0</v>
      </c>
      <c r="E309" s="919">
        <f t="shared" ref="E309" si="335">100*((B309/$B$301)-1)</f>
        <v>2.2988505747126631</v>
      </c>
      <c r="F309" s="920">
        <f t="shared" ref="F309" si="336">100*((B309/B297)-1)</f>
        <v>2.2988505747126631</v>
      </c>
      <c r="G309" s="921">
        <f t="shared" ref="G309" si="337">100*(B309/B285-1)</f>
        <v>8.0971659919028447</v>
      </c>
      <c r="H309" s="861">
        <f t="shared" si="167"/>
        <v>1.0164794007490638</v>
      </c>
    </row>
    <row r="310" spans="1:8">
      <c r="A310" s="1032" t="str">
        <f>câmbio!A310</f>
        <v>SETEMBRO|19</v>
      </c>
      <c r="B310" s="1072">
        <f>geral!Q187</f>
        <v>19.071428571428573</v>
      </c>
      <c r="C310" s="918">
        <f t="shared" ref="C310" si="338">100*B310/$B$8</f>
        <v>887.04318936877087</v>
      </c>
      <c r="D310" s="919">
        <f t="shared" ref="D310" si="339">100*((B310/B309)-1)</f>
        <v>0</v>
      </c>
      <c r="E310" s="919">
        <f t="shared" ref="E310" si="340">100*((B310/$B$301)-1)</f>
        <v>2.2988505747126631</v>
      </c>
      <c r="F310" s="920">
        <f t="shared" ref="F310" si="341">100*((B310/B298)-1)</f>
        <v>2.2988505747126631</v>
      </c>
      <c r="G310" s="921">
        <f t="shared" ref="G310" si="342">100*(B310/B286-1)</f>
        <v>8.0971659919028447</v>
      </c>
      <c r="H310" s="861">
        <f t="shared" si="167"/>
        <v>1.0164794007490638</v>
      </c>
    </row>
    <row r="311" spans="1:8">
      <c r="A311" s="1032" t="str">
        <f>câmbio!A311</f>
        <v>OUTUBRO|19</v>
      </c>
      <c r="B311" s="1072">
        <f>geral!Q188</f>
        <v>19.071428571428573</v>
      </c>
      <c r="C311" s="918">
        <f t="shared" ref="C311" si="343">100*B311/$B$8</f>
        <v>887.04318936877087</v>
      </c>
      <c r="D311" s="919">
        <f t="shared" ref="D311" si="344">100*((B311/B310)-1)</f>
        <v>0</v>
      </c>
      <c r="E311" s="919">
        <f t="shared" ref="E311" si="345">100*((B311/$B$301)-1)</f>
        <v>2.2988505747126631</v>
      </c>
      <c r="F311" s="920">
        <f t="shared" ref="F311" si="346">100*((B311/B299)-1)</f>
        <v>2.2988505747126631</v>
      </c>
      <c r="G311" s="921">
        <f t="shared" ref="G311" si="347">100*(B311/B287-1)</f>
        <v>8.0971659919028447</v>
      </c>
      <c r="H311" s="861">
        <f t="shared" si="167"/>
        <v>1.0164794007490638</v>
      </c>
    </row>
    <row r="312" spans="1:8">
      <c r="A312" s="1032" t="str">
        <f>câmbio!A312</f>
        <v>NOVEMBRO|19</v>
      </c>
      <c r="B312" s="1072">
        <f>geral!Q189</f>
        <v>19.071428571428573</v>
      </c>
      <c r="C312" s="918">
        <f t="shared" ref="C312" si="348">100*B312/$B$8</f>
        <v>887.04318936877087</v>
      </c>
      <c r="D312" s="919">
        <f t="shared" ref="D312" si="349">100*((B312/B311)-1)</f>
        <v>0</v>
      </c>
      <c r="E312" s="919">
        <f t="shared" ref="E312" si="350">100*((B312/$B$301)-1)</f>
        <v>2.2988505747126631</v>
      </c>
      <c r="F312" s="920">
        <f t="shared" ref="F312" si="351">100*((B312/B300)-1)</f>
        <v>2.2988505747126631</v>
      </c>
      <c r="G312" s="921">
        <f t="shared" ref="G312" si="352">100*(B312/B288-1)</f>
        <v>4.3784206411258797</v>
      </c>
      <c r="H312" s="861">
        <f t="shared" si="167"/>
        <v>1.0164794007490638</v>
      </c>
    </row>
    <row r="313" spans="1:8">
      <c r="A313" s="1032" t="str">
        <f>câmbio!A313</f>
        <v>DEZEMBRO|19</v>
      </c>
      <c r="B313" s="1072">
        <f>geral!Q190</f>
        <v>19.071428571428573</v>
      </c>
      <c r="C313" s="918">
        <f t="shared" ref="C313" si="353">100*B313/$B$8</f>
        <v>887.04318936877087</v>
      </c>
      <c r="D313" s="919">
        <f t="shared" ref="D313" si="354">100*((B313/B312)-1)</f>
        <v>0</v>
      </c>
      <c r="E313" s="919">
        <f t="shared" ref="E313" si="355">100*((B313/$B$301)-1)</f>
        <v>2.2988505747126631</v>
      </c>
      <c r="F313" s="920">
        <f t="shared" ref="F313" si="356">100*((B313/B301)-1)</f>
        <v>2.2988505747126631</v>
      </c>
      <c r="G313" s="921">
        <f t="shared" ref="G313" si="357">100*(B313/B289-1)</f>
        <v>4.3784206411258797</v>
      </c>
      <c r="H313" s="861">
        <f t="shared" si="167"/>
        <v>1.0164794007490638</v>
      </c>
    </row>
    <row r="314" spans="1:8">
      <c r="A314" s="1032" t="str">
        <f>câmbio!A314</f>
        <v>JANEIRO|20</v>
      </c>
      <c r="B314" s="1072">
        <f>geral!S179</f>
        <v>19.071428571428573</v>
      </c>
      <c r="C314" s="918">
        <f t="shared" ref="C314" si="358">100*B314/$B$8</f>
        <v>887.04318936877087</v>
      </c>
      <c r="D314" s="919">
        <f t="shared" ref="D314" si="359">100*((B314/B313)-1)</f>
        <v>0</v>
      </c>
      <c r="E314" s="919">
        <f t="shared" ref="E314:E319" si="360">100*((B314/$B$313)-1)</f>
        <v>0</v>
      </c>
      <c r="F314" s="920">
        <f t="shared" ref="F314" si="361">100*((B314/B302)-1)</f>
        <v>2.2988505747126631</v>
      </c>
      <c r="G314" s="921">
        <f t="shared" ref="G314" si="362">100*(B314/B290-1)</f>
        <v>4.3784206411258797</v>
      </c>
      <c r="H314" s="861">
        <f t="shared" si="167"/>
        <v>1.0164794007490638</v>
      </c>
    </row>
    <row r="315" spans="1:8">
      <c r="A315" s="1032" t="str">
        <f>câmbio!A315</f>
        <v>FEVEREIRO|20</v>
      </c>
      <c r="B315" s="1072">
        <f>geral!S180</f>
        <v>19.38571428571429</v>
      </c>
      <c r="C315" s="918">
        <f t="shared" ref="C315" si="363">100*B315/$B$8</f>
        <v>901.6611295681065</v>
      </c>
      <c r="D315" s="919">
        <f t="shared" ref="D315" si="364">100*((B315/B314)-1)</f>
        <v>1.6479400749063844</v>
      </c>
      <c r="E315" s="919">
        <f t="shared" si="360"/>
        <v>1.6479400749063844</v>
      </c>
      <c r="F315" s="920">
        <f t="shared" ref="F315" si="365">100*((B315/B303)-1)</f>
        <v>1.6479400749063844</v>
      </c>
      <c r="G315" s="921">
        <f t="shared" ref="G315" si="366">100*(B315/B291-1)</f>
        <v>6.0985144644253531</v>
      </c>
      <c r="H315" s="861">
        <f t="shared" si="167"/>
        <v>1</v>
      </c>
    </row>
    <row r="316" spans="1:8">
      <c r="A316" s="1032" t="str">
        <f>câmbio!A316</f>
        <v>MARÇO|20</v>
      </c>
      <c r="B316" s="1072">
        <f>geral!S181</f>
        <v>19.38571428571429</v>
      </c>
      <c r="C316" s="918">
        <f t="shared" ref="C316" si="367">100*B316/$B$8</f>
        <v>901.6611295681065</v>
      </c>
      <c r="D316" s="919">
        <f t="shared" ref="D316" si="368">100*((B316/B315)-1)</f>
        <v>0</v>
      </c>
      <c r="E316" s="919">
        <f t="shared" si="360"/>
        <v>1.6479400749063844</v>
      </c>
      <c r="F316" s="920">
        <f t="shared" ref="F316" si="369">100*((B316/B304)-1)</f>
        <v>1.6479400749063844</v>
      </c>
      <c r="G316" s="921">
        <f t="shared" ref="G316" si="370">100*(B316/B292-1)</f>
        <v>6.0985144644253531</v>
      </c>
      <c r="H316" s="861">
        <f t="shared" si="167"/>
        <v>1</v>
      </c>
    </row>
    <row r="317" spans="1:8">
      <c r="A317" s="1032" t="str">
        <f>câmbio!A317</f>
        <v>ABRIL|20</v>
      </c>
      <c r="B317" s="1072">
        <f>geral!S182</f>
        <v>19.38571428571429</v>
      </c>
      <c r="C317" s="918">
        <f t="shared" ref="C317" si="371">100*B317/$B$8</f>
        <v>901.6611295681065</v>
      </c>
      <c r="D317" s="919">
        <f t="shared" ref="D317" si="372">100*((B317/B316)-1)</f>
        <v>0</v>
      </c>
      <c r="E317" s="919">
        <f t="shared" si="360"/>
        <v>1.6479400749063844</v>
      </c>
      <c r="F317" s="920">
        <f t="shared" ref="F317" si="373">100*((B317/B305)-1)</f>
        <v>1.6479400749063844</v>
      </c>
      <c r="G317" s="921">
        <f t="shared" ref="G317" si="374">100*(B317/B293-1)</f>
        <v>6.0985144644253531</v>
      </c>
      <c r="H317" s="861">
        <f t="shared" si="167"/>
        <v>1</v>
      </c>
    </row>
    <row r="318" spans="1:8">
      <c r="A318" s="1032" t="str">
        <f>câmbio!A318</f>
        <v>MAIO|20</v>
      </c>
      <c r="B318" s="1072">
        <f>geral!S183</f>
        <v>19.38571428571429</v>
      </c>
      <c r="C318" s="918">
        <f t="shared" ref="C318" si="375">100*B318/$B$8</f>
        <v>901.6611295681065</v>
      </c>
      <c r="D318" s="919">
        <f t="shared" ref="D318" si="376">100*((B318/B317)-1)</f>
        <v>0</v>
      </c>
      <c r="E318" s="919">
        <f t="shared" si="360"/>
        <v>1.6479400749063844</v>
      </c>
      <c r="F318" s="920">
        <f t="shared" ref="F318" si="377">100*((B318/B306)-1)</f>
        <v>1.6479400749063844</v>
      </c>
      <c r="G318" s="921">
        <f t="shared" ref="G318" si="378">100*(B318/B294-1)</f>
        <v>6.0985144644253531</v>
      </c>
      <c r="H318" s="861">
        <f t="shared" si="167"/>
        <v>1</v>
      </c>
    </row>
    <row r="319" spans="1:8">
      <c r="A319" s="1032" t="str">
        <f>câmbio!A319</f>
        <v>JUNHO|20</v>
      </c>
      <c r="B319" s="1072">
        <f>geral!S184</f>
        <v>19.38571428571429</v>
      </c>
      <c r="C319" s="918">
        <f t="shared" ref="C319" si="379">100*B319/$B$8</f>
        <v>901.6611295681065</v>
      </c>
      <c r="D319" s="919">
        <f t="shared" ref="D319" si="380">100*((B319/B318)-1)</f>
        <v>0</v>
      </c>
      <c r="E319" s="919">
        <f t="shared" si="360"/>
        <v>1.6479400749063844</v>
      </c>
      <c r="F319" s="920">
        <f t="shared" ref="F319" si="381">100*((B319/B307)-1)</f>
        <v>1.6479400749063844</v>
      </c>
      <c r="G319" s="921">
        <f t="shared" ref="G319" si="382">100*(B319/B295-1)</f>
        <v>3.984674329501936</v>
      </c>
      <c r="H319" s="861">
        <f t="shared" si="167"/>
        <v>1</v>
      </c>
    </row>
    <row r="320" spans="1:8">
      <c r="A320" s="1032" t="str">
        <f>câmbio!A320</f>
        <v>JULHO|20</v>
      </c>
      <c r="B320" s="1072">
        <f>geral!S185</f>
        <v>19.38571428571429</v>
      </c>
      <c r="C320" s="918">
        <f t="shared" ref="C320" si="383">100*B320/$B$8</f>
        <v>901.6611295681065</v>
      </c>
      <c r="D320" s="919">
        <f t="shared" ref="D320" si="384">100*((B320/B319)-1)</f>
        <v>0</v>
      </c>
      <c r="E320" s="919">
        <f t="shared" ref="E320" si="385">100*((B320/$B$313)-1)</f>
        <v>1.6479400749063844</v>
      </c>
      <c r="F320" s="920">
        <f t="shared" ref="F320" si="386">100*((B320/B308)-1)</f>
        <v>1.6479400749063844</v>
      </c>
      <c r="G320" s="921">
        <f t="shared" ref="G320" si="387">100*(B320/B296-1)</f>
        <v>3.984674329501936</v>
      </c>
      <c r="H320" s="861">
        <f t="shared" si="167"/>
        <v>1</v>
      </c>
    </row>
    <row r="321" spans="1:8">
      <c r="A321" s="1032" t="str">
        <f>câmbio!A321</f>
        <v>AGOSTO|20</v>
      </c>
      <c r="B321" s="1072">
        <f>geral!S186</f>
        <v>19.38571428571429</v>
      </c>
      <c r="C321" s="918">
        <f t="shared" ref="C321" si="388">100*B321/$B$8</f>
        <v>901.6611295681065</v>
      </c>
      <c r="D321" s="919">
        <f t="shared" ref="D321" si="389">100*((B321/B320)-1)</f>
        <v>0</v>
      </c>
      <c r="E321" s="919">
        <f t="shared" ref="E321" si="390">100*((B321/$B$313)-1)</f>
        <v>1.6479400749063844</v>
      </c>
      <c r="F321" s="920">
        <f t="shared" ref="F321" si="391">100*((B321/B309)-1)</f>
        <v>1.6479400749063844</v>
      </c>
      <c r="G321" s="921">
        <f t="shared" ref="G321" si="392">100*(B321/B297-1)</f>
        <v>3.984674329501936</v>
      </c>
      <c r="H321" s="926">
        <f t="shared" si="167"/>
        <v>1</v>
      </c>
    </row>
    <row r="322" spans="1:8" ht="16.5" thickBot="1">
      <c r="A322" s="1046" t="str">
        <f>câmbio!A322</f>
        <v>SETEMBRO|20</v>
      </c>
      <c r="B322" s="1061">
        <f>geral!S187</f>
        <v>19.38571428571429</v>
      </c>
      <c r="C322" s="1047">
        <f t="shared" ref="C322" si="393">100*B322/$B$8</f>
        <v>901.6611295681065</v>
      </c>
      <c r="D322" s="1062">
        <f t="shared" ref="D322" si="394">100*((B322/B321)-1)</f>
        <v>0</v>
      </c>
      <c r="E322" s="1062">
        <f t="shared" ref="E322" si="395">100*((B322/$B$313)-1)</f>
        <v>1.6479400749063844</v>
      </c>
      <c r="F322" s="1063">
        <f t="shared" ref="F322" si="396">100*((B322/B310)-1)</f>
        <v>1.6479400749063844</v>
      </c>
      <c r="G322" s="1064">
        <f t="shared" ref="G322" si="397">100*(B322/B298-1)</f>
        <v>3.984674329501936</v>
      </c>
      <c r="H322" s="1053">
        <f t="shared" si="167"/>
        <v>1</v>
      </c>
    </row>
    <row r="323" spans="1:8">
      <c r="A323" s="758" t="s">
        <v>238</v>
      </c>
      <c r="B323" s="759"/>
      <c r="C323" s="759"/>
      <c r="D323" s="759"/>
      <c r="E323" s="759"/>
      <c r="F323" s="759"/>
      <c r="G323" s="759"/>
      <c r="H323" s="759"/>
    </row>
    <row r="324" spans="1:8">
      <c r="B324" s="759"/>
      <c r="C324" s="759"/>
      <c r="D324" s="759"/>
      <c r="E324" s="759"/>
      <c r="F324" s="759"/>
      <c r="G324" s="759"/>
      <c r="H324" s="759"/>
    </row>
    <row r="325" spans="1:8">
      <c r="B325" s="759"/>
      <c r="C325" s="759"/>
      <c r="D325" s="759"/>
      <c r="E325" s="759"/>
      <c r="F325" s="759"/>
      <c r="G325" s="759"/>
      <c r="H325" s="759"/>
    </row>
    <row r="326" spans="1:8">
      <c r="B326" s="759"/>
      <c r="C326" s="759"/>
      <c r="D326" s="759"/>
      <c r="E326" s="759"/>
      <c r="F326" s="759"/>
      <c r="G326" s="759"/>
      <c r="H326" s="759"/>
    </row>
    <row r="327" spans="1:8">
      <c r="B327" s="759"/>
      <c r="C327" s="759"/>
      <c r="D327" s="759"/>
      <c r="E327" s="759"/>
      <c r="F327" s="759"/>
      <c r="G327" s="759"/>
      <c r="H327" s="759"/>
    </row>
    <row r="328" spans="1:8">
      <c r="B328" s="759"/>
      <c r="C328" s="759"/>
      <c r="D328" s="759"/>
      <c r="E328" s="759"/>
      <c r="F328" s="759"/>
      <c r="G328" s="759"/>
      <c r="H328" s="759"/>
    </row>
    <row r="329" spans="1:8">
      <c r="B329" s="759"/>
      <c r="C329" s="759"/>
      <c r="D329" s="759"/>
      <c r="E329" s="759"/>
      <c r="F329" s="759"/>
      <c r="G329" s="759"/>
      <c r="H329" s="759"/>
    </row>
    <row r="330" spans="1:8">
      <c r="B330" s="759"/>
      <c r="C330" s="759"/>
      <c r="D330" s="759"/>
      <c r="E330" s="759"/>
      <c r="F330" s="759"/>
      <c r="G330" s="759"/>
      <c r="H330" s="759"/>
    </row>
    <row r="331" spans="1:8">
      <c r="B331" s="759"/>
      <c r="C331" s="759"/>
      <c r="D331" s="759"/>
      <c r="E331" s="759"/>
      <c r="F331" s="759"/>
      <c r="G331" s="759"/>
      <c r="H331" s="759"/>
    </row>
    <row r="332" spans="1:8">
      <c r="B332" s="759"/>
      <c r="C332" s="759"/>
      <c r="D332" s="759"/>
      <c r="E332" s="759"/>
      <c r="F332" s="759"/>
      <c r="G332" s="759"/>
      <c r="H332" s="759"/>
    </row>
    <row r="333" spans="1:8">
      <c r="B333" s="759"/>
      <c r="C333" s="759"/>
      <c r="D333" s="759"/>
      <c r="E333" s="759"/>
      <c r="F333" s="759"/>
      <c r="G333" s="759"/>
      <c r="H333" s="759"/>
    </row>
    <row r="334" spans="1:8">
      <c r="B334" s="759"/>
      <c r="C334" s="759"/>
      <c r="D334" s="759"/>
      <c r="E334" s="759"/>
      <c r="F334" s="759"/>
      <c r="G334" s="759"/>
      <c r="H334" s="759"/>
    </row>
    <row r="335" spans="1:8">
      <c r="B335" s="759"/>
      <c r="C335" s="759"/>
      <c r="D335" s="759"/>
      <c r="E335" s="759"/>
      <c r="F335" s="759"/>
      <c r="G335" s="759"/>
      <c r="H335" s="759"/>
    </row>
    <row r="336" spans="1:8">
      <c r="B336" s="759"/>
      <c r="C336" s="759"/>
      <c r="D336" s="759"/>
      <c r="E336" s="759"/>
      <c r="F336" s="759"/>
      <c r="G336" s="759"/>
      <c r="H336" s="759"/>
    </row>
    <row r="337" spans="2:8">
      <c r="B337" s="759"/>
      <c r="C337" s="759"/>
      <c r="D337" s="759"/>
      <c r="E337" s="759"/>
      <c r="F337" s="759"/>
      <c r="G337" s="759"/>
      <c r="H337" s="759"/>
    </row>
    <row r="338" spans="2:8">
      <c r="B338" s="759"/>
      <c r="C338" s="759"/>
      <c r="D338" s="759"/>
      <c r="E338" s="759"/>
      <c r="F338" s="759"/>
      <c r="G338" s="759"/>
      <c r="H338" s="759"/>
    </row>
    <row r="339" spans="2:8">
      <c r="B339" s="759"/>
      <c r="C339" s="759"/>
      <c r="D339" s="759"/>
      <c r="E339" s="759"/>
      <c r="F339" s="759"/>
      <c r="G339" s="759"/>
      <c r="H339" s="759"/>
    </row>
    <row r="340" spans="2:8">
      <c r="B340" s="759"/>
      <c r="C340" s="759"/>
      <c r="D340" s="759"/>
      <c r="E340" s="759"/>
      <c r="F340" s="759"/>
      <c r="G340" s="759"/>
      <c r="H340" s="759"/>
    </row>
    <row r="341" spans="2:8">
      <c r="B341" s="759"/>
      <c r="C341" s="759"/>
      <c r="D341" s="759"/>
      <c r="E341" s="759"/>
      <c r="F341" s="759"/>
      <c r="G341" s="759"/>
      <c r="H341" s="759"/>
    </row>
    <row r="342" spans="2:8">
      <c r="B342" s="759"/>
      <c r="C342" s="759"/>
      <c r="D342" s="759"/>
      <c r="E342" s="759"/>
      <c r="F342" s="759"/>
      <c r="G342" s="759"/>
      <c r="H342" s="759"/>
    </row>
    <row r="343" spans="2:8">
      <c r="B343" s="759"/>
      <c r="C343" s="759"/>
      <c r="D343" s="759"/>
      <c r="E343" s="759"/>
      <c r="F343" s="759"/>
      <c r="G343" s="759"/>
      <c r="H343" s="759"/>
    </row>
    <row r="344" spans="2:8">
      <c r="B344" s="759"/>
      <c r="C344" s="759"/>
      <c r="D344" s="759"/>
      <c r="E344" s="759"/>
      <c r="F344" s="759"/>
      <c r="G344" s="759"/>
      <c r="H344" s="759"/>
    </row>
    <row r="345" spans="2:8">
      <c r="B345" s="759"/>
      <c r="C345" s="759"/>
      <c r="D345" s="759"/>
      <c r="E345" s="759"/>
      <c r="F345" s="759"/>
      <c r="G345" s="759"/>
      <c r="H345" s="759"/>
    </row>
    <row r="346" spans="2:8">
      <c r="B346" s="759"/>
      <c r="C346" s="759"/>
      <c r="D346" s="759"/>
      <c r="E346" s="759"/>
      <c r="F346" s="759"/>
      <c r="G346" s="759"/>
      <c r="H346" s="759"/>
    </row>
    <row r="347" spans="2:8">
      <c r="B347" s="759"/>
      <c r="C347" s="759"/>
      <c r="D347" s="759"/>
      <c r="E347" s="759"/>
      <c r="F347" s="759"/>
      <c r="G347" s="759"/>
      <c r="H347" s="759"/>
    </row>
    <row r="348" spans="2:8">
      <c r="B348" s="759"/>
      <c r="C348" s="759"/>
      <c r="D348" s="759"/>
      <c r="E348" s="759"/>
      <c r="F348" s="759"/>
      <c r="G348" s="759"/>
      <c r="H348" s="759"/>
    </row>
    <row r="349" spans="2:8">
      <c r="B349" s="759"/>
      <c r="C349" s="759"/>
      <c r="D349" s="759"/>
      <c r="E349" s="759"/>
      <c r="F349" s="759"/>
      <c r="G349" s="759"/>
      <c r="H349" s="759"/>
    </row>
    <row r="350" spans="2:8">
      <c r="B350" s="759"/>
      <c r="C350" s="759"/>
      <c r="D350" s="759"/>
      <c r="E350" s="759"/>
      <c r="F350" s="759"/>
      <c r="G350" s="759"/>
      <c r="H350" s="759"/>
    </row>
    <row r="351" spans="2:8">
      <c r="B351" s="759"/>
      <c r="C351" s="759"/>
      <c r="D351" s="759"/>
      <c r="E351" s="759"/>
      <c r="F351" s="759"/>
      <c r="G351" s="759"/>
      <c r="H351" s="759"/>
    </row>
    <row r="352" spans="2:8">
      <c r="B352" s="759"/>
      <c r="C352" s="759"/>
      <c r="D352" s="759"/>
      <c r="E352" s="759"/>
      <c r="F352" s="759"/>
      <c r="G352" s="759"/>
      <c r="H352" s="759"/>
    </row>
    <row r="353" spans="2:8">
      <c r="B353" s="759"/>
      <c r="C353" s="759"/>
      <c r="D353" s="759"/>
      <c r="E353" s="759"/>
      <c r="F353" s="759"/>
      <c r="G353" s="759"/>
      <c r="H353" s="759"/>
    </row>
    <row r="354" spans="2:8">
      <c r="B354" s="759"/>
      <c r="C354" s="759"/>
      <c r="D354" s="759"/>
      <c r="E354" s="759"/>
      <c r="F354" s="759"/>
      <c r="G354" s="759"/>
      <c r="H354" s="759"/>
    </row>
    <row r="355" spans="2:8">
      <c r="B355" s="759"/>
      <c r="C355" s="759"/>
      <c r="D355" s="759"/>
      <c r="E355" s="759"/>
      <c r="F355" s="759"/>
      <c r="G355" s="759"/>
      <c r="H355" s="759"/>
    </row>
    <row r="356" spans="2:8">
      <c r="B356" s="759"/>
      <c r="C356" s="759"/>
      <c r="D356" s="759"/>
      <c r="E356" s="759"/>
      <c r="F356" s="759"/>
      <c r="G356" s="759"/>
      <c r="H356" s="759"/>
    </row>
    <row r="357" spans="2:8">
      <c r="B357" s="759"/>
      <c r="C357" s="759"/>
      <c r="D357" s="759"/>
      <c r="E357" s="759"/>
      <c r="F357" s="759"/>
      <c r="G357" s="759"/>
      <c r="H357" s="759"/>
    </row>
    <row r="358" spans="2:8">
      <c r="B358" s="759"/>
      <c r="C358" s="759"/>
      <c r="D358" s="759"/>
      <c r="E358" s="759"/>
      <c r="F358" s="759"/>
      <c r="G358" s="759"/>
      <c r="H358" s="759"/>
    </row>
    <row r="359" spans="2:8">
      <c r="B359" s="759"/>
      <c r="C359" s="759"/>
      <c r="D359" s="759"/>
      <c r="E359" s="759"/>
      <c r="F359" s="759"/>
      <c r="G359" s="759"/>
      <c r="H359" s="759"/>
    </row>
    <row r="360" spans="2:8">
      <c r="B360" s="759"/>
      <c r="C360" s="759"/>
      <c r="D360" s="759"/>
      <c r="E360" s="759"/>
      <c r="F360" s="759"/>
      <c r="G360" s="759"/>
      <c r="H360" s="759"/>
    </row>
    <row r="361" spans="2:8">
      <c r="B361" s="759"/>
      <c r="C361" s="759"/>
      <c r="D361" s="759"/>
      <c r="E361" s="759"/>
      <c r="F361" s="759"/>
      <c r="G361" s="759"/>
      <c r="H361" s="759"/>
    </row>
    <row r="362" spans="2:8">
      <c r="B362" s="759"/>
      <c r="C362" s="759"/>
      <c r="D362" s="759"/>
      <c r="E362" s="759"/>
      <c r="F362" s="759"/>
      <c r="G362" s="759"/>
      <c r="H362" s="759"/>
    </row>
    <row r="363" spans="2:8">
      <c r="B363" s="759"/>
      <c r="C363" s="759"/>
      <c r="D363" s="759"/>
      <c r="E363" s="759"/>
      <c r="F363" s="759"/>
      <c r="G363" s="759"/>
      <c r="H363" s="759"/>
    </row>
    <row r="364" spans="2:8">
      <c r="B364" s="759"/>
      <c r="C364" s="759"/>
      <c r="D364" s="759"/>
      <c r="E364" s="759"/>
      <c r="F364" s="759"/>
      <c r="G364" s="759"/>
      <c r="H364" s="759"/>
    </row>
    <row r="365" spans="2:8">
      <c r="B365" s="759"/>
      <c r="C365" s="759"/>
      <c r="D365" s="759"/>
      <c r="E365" s="759"/>
      <c r="F365" s="759"/>
      <c r="G365" s="759"/>
      <c r="H365" s="759"/>
    </row>
    <row r="366" spans="2:8">
      <c r="B366" s="759"/>
      <c r="C366" s="759"/>
      <c r="D366" s="759"/>
      <c r="E366" s="759"/>
      <c r="F366" s="759"/>
      <c r="G366" s="759"/>
      <c r="H366" s="759"/>
    </row>
    <row r="367" spans="2:8">
      <c r="B367" s="759"/>
      <c r="C367" s="759"/>
      <c r="D367" s="759"/>
      <c r="E367" s="759"/>
      <c r="F367" s="759"/>
      <c r="G367" s="759"/>
      <c r="H367" s="759"/>
    </row>
    <row r="368" spans="2:8">
      <c r="B368" s="759"/>
      <c r="C368" s="759"/>
      <c r="D368" s="759"/>
      <c r="E368" s="759"/>
      <c r="F368" s="759"/>
      <c r="G368" s="759"/>
      <c r="H368" s="759"/>
    </row>
    <row r="369" spans="2:8">
      <c r="B369" s="759"/>
      <c r="C369" s="759"/>
      <c r="D369" s="759"/>
      <c r="E369" s="759"/>
      <c r="F369" s="759"/>
      <c r="G369" s="759"/>
      <c r="H369" s="759"/>
    </row>
    <row r="370" spans="2:8">
      <c r="B370" s="759"/>
      <c r="C370" s="759"/>
      <c r="D370" s="759"/>
      <c r="E370" s="759"/>
      <c r="F370" s="759"/>
      <c r="G370" s="759"/>
      <c r="H370" s="759"/>
    </row>
    <row r="371" spans="2:8">
      <c r="B371" s="759"/>
      <c r="C371" s="759"/>
      <c r="D371" s="759"/>
      <c r="E371" s="759"/>
      <c r="F371" s="759"/>
      <c r="G371" s="759"/>
      <c r="H371" s="759"/>
    </row>
    <row r="372" spans="2:8">
      <c r="B372" s="759"/>
      <c r="C372" s="759"/>
      <c r="D372" s="759"/>
      <c r="E372" s="759"/>
      <c r="F372" s="759"/>
      <c r="G372" s="759"/>
      <c r="H372" s="759"/>
    </row>
    <row r="373" spans="2:8">
      <c r="B373" s="759"/>
      <c r="C373" s="759"/>
      <c r="D373" s="759"/>
      <c r="E373" s="759"/>
      <c r="F373" s="759"/>
      <c r="G373" s="759"/>
      <c r="H373" s="759"/>
    </row>
    <row r="374" spans="2:8">
      <c r="B374" s="759"/>
      <c r="C374" s="759"/>
      <c r="D374" s="759"/>
      <c r="E374" s="759"/>
      <c r="F374" s="759"/>
      <c r="G374" s="759"/>
      <c r="H374" s="759"/>
    </row>
    <row r="375" spans="2:8">
      <c r="B375" s="759"/>
      <c r="C375" s="759"/>
      <c r="D375" s="759"/>
      <c r="E375" s="759"/>
      <c r="F375" s="759"/>
      <c r="G375" s="759"/>
      <c r="H375" s="759"/>
    </row>
    <row r="376" spans="2:8">
      <c r="B376" s="759"/>
      <c r="C376" s="759"/>
      <c r="D376" s="759"/>
      <c r="E376" s="759"/>
      <c r="F376" s="759"/>
      <c r="G376" s="759"/>
      <c r="H376" s="759"/>
    </row>
    <row r="377" spans="2:8">
      <c r="B377" s="759"/>
      <c r="C377" s="759"/>
      <c r="D377" s="759"/>
      <c r="E377" s="759"/>
      <c r="F377" s="759"/>
      <c r="G377" s="759"/>
      <c r="H377" s="759"/>
    </row>
    <row r="378" spans="2:8">
      <c r="B378" s="759"/>
      <c r="C378" s="759"/>
      <c r="D378" s="759"/>
      <c r="E378" s="759"/>
      <c r="F378" s="759"/>
      <c r="G378" s="759"/>
      <c r="H378" s="759"/>
    </row>
    <row r="379" spans="2:8">
      <c r="B379" s="759"/>
      <c r="C379" s="759"/>
      <c r="D379" s="759"/>
      <c r="E379" s="759"/>
      <c r="F379" s="759"/>
      <c r="G379" s="759"/>
      <c r="H379" s="759"/>
    </row>
    <row r="380" spans="2:8">
      <c r="B380" s="759"/>
      <c r="C380" s="759"/>
      <c r="D380" s="759"/>
      <c r="E380" s="759"/>
      <c r="F380" s="759"/>
      <c r="G380" s="759"/>
      <c r="H380" s="759"/>
    </row>
    <row r="381" spans="2:8">
      <c r="B381" s="759"/>
      <c r="C381" s="759"/>
      <c r="D381" s="759"/>
      <c r="E381" s="759"/>
      <c r="F381" s="759"/>
      <c r="G381" s="759"/>
      <c r="H381" s="759"/>
    </row>
    <row r="382" spans="2:8">
      <c r="B382" s="759"/>
      <c r="C382" s="759"/>
      <c r="D382" s="759"/>
      <c r="E382" s="759"/>
      <c r="F382" s="759"/>
      <c r="G382" s="759"/>
      <c r="H382" s="759"/>
    </row>
    <row r="383" spans="2:8">
      <c r="B383" s="759"/>
      <c r="C383" s="759"/>
      <c r="D383" s="759"/>
      <c r="E383" s="759"/>
      <c r="F383" s="759"/>
      <c r="G383" s="759"/>
      <c r="H383" s="759"/>
    </row>
    <row r="384" spans="2:8">
      <c r="B384" s="759"/>
      <c r="C384" s="759"/>
      <c r="D384" s="759"/>
      <c r="E384" s="759"/>
      <c r="F384" s="759"/>
      <c r="G384" s="759"/>
      <c r="H384" s="759"/>
    </row>
    <row r="385" spans="2:8">
      <c r="B385" s="759"/>
      <c r="C385" s="759"/>
      <c r="D385" s="759"/>
      <c r="E385" s="759"/>
      <c r="F385" s="759"/>
      <c r="G385" s="759"/>
      <c r="H385" s="759"/>
    </row>
    <row r="386" spans="2:8">
      <c r="B386" s="759"/>
      <c r="C386" s="759"/>
      <c r="D386" s="759"/>
      <c r="E386" s="759"/>
      <c r="F386" s="759"/>
      <c r="G386" s="759"/>
      <c r="H386" s="759"/>
    </row>
    <row r="387" spans="2:8">
      <c r="B387" s="759"/>
      <c r="C387" s="759"/>
      <c r="D387" s="759"/>
      <c r="E387" s="759"/>
      <c r="F387" s="759"/>
      <c r="G387" s="759"/>
      <c r="H387" s="759"/>
    </row>
    <row r="388" spans="2:8">
      <c r="B388" s="759"/>
      <c r="C388" s="759"/>
      <c r="D388" s="759"/>
      <c r="E388" s="759"/>
      <c r="F388" s="759"/>
      <c r="G388" s="759"/>
      <c r="H388" s="759"/>
    </row>
    <row r="389" spans="2:8">
      <c r="B389" s="759"/>
      <c r="C389" s="759"/>
      <c r="D389" s="759"/>
      <c r="E389" s="759"/>
      <c r="F389" s="759"/>
      <c r="G389" s="759"/>
      <c r="H389" s="759"/>
    </row>
    <row r="390" spans="2:8">
      <c r="B390" s="759"/>
      <c r="C390" s="759"/>
      <c r="D390" s="759"/>
      <c r="E390" s="759"/>
      <c r="F390" s="759"/>
      <c r="G390" s="759"/>
      <c r="H390" s="759"/>
    </row>
    <row r="391" spans="2:8">
      <c r="B391" s="759"/>
      <c r="C391" s="759"/>
      <c r="D391" s="759"/>
      <c r="E391" s="759"/>
      <c r="F391" s="759"/>
      <c r="G391" s="759"/>
      <c r="H391" s="759"/>
    </row>
    <row r="392" spans="2:8">
      <c r="B392" s="759"/>
      <c r="C392" s="759"/>
      <c r="D392" s="759"/>
      <c r="E392" s="759"/>
      <c r="F392" s="759"/>
      <c r="G392" s="759"/>
      <c r="H392" s="759"/>
    </row>
    <row r="393" spans="2:8">
      <c r="B393" s="759"/>
      <c r="C393" s="759"/>
      <c r="D393" s="759"/>
      <c r="E393" s="759"/>
      <c r="F393" s="759"/>
      <c r="G393" s="759"/>
      <c r="H393" s="759"/>
    </row>
    <row r="394" spans="2:8">
      <c r="B394" s="759"/>
      <c r="C394" s="759"/>
      <c r="D394" s="759"/>
      <c r="E394" s="759"/>
      <c r="F394" s="759"/>
      <c r="G394" s="759"/>
      <c r="H394" s="759"/>
    </row>
    <row r="395" spans="2:8">
      <c r="B395" s="759"/>
      <c r="C395" s="759"/>
      <c r="D395" s="759"/>
      <c r="E395" s="759"/>
      <c r="F395" s="759"/>
      <c r="G395" s="759"/>
      <c r="H395" s="759"/>
    </row>
    <row r="396" spans="2:8">
      <c r="B396" s="759"/>
      <c r="C396" s="759"/>
      <c r="D396" s="759"/>
      <c r="E396" s="759"/>
      <c r="F396" s="759"/>
      <c r="G396" s="759"/>
      <c r="H396" s="759"/>
    </row>
    <row r="397" spans="2:8">
      <c r="B397" s="759"/>
      <c r="C397" s="759"/>
      <c r="D397" s="759"/>
      <c r="E397" s="759"/>
      <c r="F397" s="759"/>
      <c r="G397" s="759"/>
      <c r="H397" s="759"/>
    </row>
    <row r="398" spans="2:8">
      <c r="B398" s="759"/>
      <c r="C398" s="759"/>
      <c r="D398" s="759"/>
      <c r="E398" s="759"/>
      <c r="F398" s="759"/>
      <c r="G398" s="759"/>
      <c r="H398" s="759"/>
    </row>
    <row r="399" spans="2:8">
      <c r="B399" s="759"/>
      <c r="C399" s="759"/>
      <c r="D399" s="759"/>
      <c r="E399" s="759"/>
      <c r="F399" s="759"/>
      <c r="G399" s="759"/>
      <c r="H399" s="759"/>
    </row>
    <row r="400" spans="2:8">
      <c r="B400" s="759"/>
      <c r="C400" s="759"/>
      <c r="D400" s="759"/>
      <c r="E400" s="759"/>
      <c r="F400" s="759"/>
      <c r="G400" s="759"/>
      <c r="H400" s="759"/>
    </row>
    <row r="401" spans="2:8">
      <c r="B401" s="759"/>
      <c r="C401" s="759"/>
      <c r="D401" s="759"/>
      <c r="E401" s="759"/>
      <c r="F401" s="759"/>
      <c r="G401" s="759"/>
      <c r="H401" s="759"/>
    </row>
    <row r="402" spans="2:8">
      <c r="B402" s="759"/>
      <c r="C402" s="759"/>
      <c r="D402" s="759"/>
      <c r="E402" s="759"/>
      <c r="F402" s="759"/>
      <c r="G402" s="759"/>
      <c r="H402" s="759"/>
    </row>
    <row r="403" spans="2:8">
      <c r="B403" s="759"/>
      <c r="C403" s="759"/>
      <c r="D403" s="759"/>
      <c r="E403" s="759"/>
      <c r="F403" s="759"/>
      <c r="G403" s="759"/>
      <c r="H403" s="759"/>
    </row>
    <row r="404" spans="2:8">
      <c r="B404" s="759"/>
      <c r="C404" s="759"/>
      <c r="D404" s="759"/>
      <c r="E404" s="759"/>
      <c r="F404" s="759"/>
      <c r="G404" s="759"/>
      <c r="H404" s="759"/>
    </row>
    <row r="405" spans="2:8">
      <c r="B405" s="759"/>
      <c r="C405" s="759"/>
      <c r="D405" s="759"/>
      <c r="E405" s="759"/>
      <c r="F405" s="759"/>
      <c r="G405" s="759"/>
      <c r="H405" s="759"/>
    </row>
    <row r="406" spans="2:8">
      <c r="B406" s="759"/>
      <c r="C406" s="759"/>
      <c r="D406" s="759"/>
      <c r="E406" s="759"/>
      <c r="F406" s="759"/>
      <c r="G406" s="759"/>
      <c r="H406" s="759"/>
    </row>
    <row r="407" spans="2:8">
      <c r="B407" s="759"/>
      <c r="C407" s="759"/>
      <c r="D407" s="759"/>
      <c r="E407" s="759"/>
      <c r="F407" s="759"/>
      <c r="G407" s="759"/>
      <c r="H407" s="759"/>
    </row>
    <row r="408" spans="2:8">
      <c r="B408" s="759"/>
      <c r="C408" s="759"/>
      <c r="D408" s="759"/>
      <c r="E408" s="759"/>
      <c r="F408" s="759"/>
      <c r="G408" s="759"/>
      <c r="H408" s="759"/>
    </row>
    <row r="409" spans="2:8">
      <c r="B409" s="759"/>
      <c r="C409" s="759"/>
      <c r="D409" s="759"/>
      <c r="E409" s="759"/>
      <c r="F409" s="759"/>
      <c r="G409" s="759"/>
      <c r="H409" s="759"/>
    </row>
    <row r="410" spans="2:8">
      <c r="B410" s="759"/>
      <c r="C410" s="759"/>
      <c r="D410" s="759"/>
      <c r="E410" s="759"/>
      <c r="F410" s="759"/>
      <c r="G410" s="759"/>
      <c r="H410" s="759"/>
    </row>
    <row r="411" spans="2:8">
      <c r="B411" s="759"/>
      <c r="C411" s="759"/>
      <c r="D411" s="759"/>
      <c r="E411" s="759"/>
      <c r="F411" s="759"/>
      <c r="G411" s="759"/>
      <c r="H411" s="759"/>
    </row>
    <row r="412" spans="2:8">
      <c r="B412" s="759"/>
      <c r="C412" s="759"/>
      <c r="D412" s="759"/>
      <c r="E412" s="759"/>
      <c r="F412" s="759"/>
      <c r="G412" s="759"/>
      <c r="H412" s="759"/>
    </row>
    <row r="413" spans="2:8">
      <c r="B413" s="759"/>
      <c r="C413" s="759"/>
      <c r="D413" s="759"/>
      <c r="E413" s="759"/>
      <c r="F413" s="759"/>
      <c r="G413" s="759"/>
      <c r="H413" s="759"/>
    </row>
    <row r="414" spans="2:8">
      <c r="B414" s="759"/>
      <c r="C414" s="759"/>
      <c r="D414" s="759"/>
      <c r="E414" s="759"/>
      <c r="F414" s="759"/>
      <c r="G414" s="759"/>
      <c r="H414" s="759"/>
    </row>
    <row r="415" spans="2:8">
      <c r="B415" s="759"/>
      <c r="C415" s="759"/>
      <c r="D415" s="759"/>
      <c r="E415" s="759"/>
      <c r="F415" s="759"/>
      <c r="G415" s="759"/>
      <c r="H415" s="759"/>
    </row>
    <row r="416" spans="2:8">
      <c r="B416" s="759"/>
      <c r="C416" s="759"/>
      <c r="D416" s="759"/>
      <c r="E416" s="759"/>
      <c r="F416" s="759"/>
      <c r="G416" s="759"/>
      <c r="H416" s="759"/>
    </row>
    <row r="417" spans="2:8">
      <c r="B417" s="759"/>
      <c r="C417" s="759"/>
      <c r="D417" s="759"/>
      <c r="E417" s="759"/>
      <c r="F417" s="759"/>
      <c r="G417" s="759"/>
      <c r="H417" s="759"/>
    </row>
    <row r="418" spans="2:8">
      <c r="B418" s="759"/>
      <c r="C418" s="759"/>
      <c r="D418" s="759"/>
      <c r="E418" s="759"/>
      <c r="F418" s="759"/>
      <c r="G418" s="759"/>
      <c r="H418" s="759"/>
    </row>
    <row r="419" spans="2:8">
      <c r="B419" s="759"/>
      <c r="C419" s="759"/>
      <c r="D419" s="759"/>
      <c r="E419" s="759"/>
      <c r="F419" s="759"/>
      <c r="G419" s="759"/>
      <c r="H419" s="759"/>
    </row>
    <row r="420" spans="2:8">
      <c r="B420" s="759"/>
      <c r="C420" s="759"/>
      <c r="D420" s="759"/>
      <c r="E420" s="759"/>
      <c r="F420" s="759"/>
      <c r="G420" s="759"/>
      <c r="H420" s="759"/>
    </row>
    <row r="421" spans="2:8">
      <c r="B421" s="759"/>
      <c r="C421" s="759"/>
      <c r="D421" s="759"/>
      <c r="E421" s="759"/>
      <c r="F421" s="759"/>
      <c r="G421" s="759"/>
      <c r="H421" s="759"/>
    </row>
    <row r="422" spans="2:8">
      <c r="B422" s="759"/>
      <c r="C422" s="759"/>
      <c r="D422" s="759"/>
      <c r="E422" s="759"/>
      <c r="F422" s="759"/>
      <c r="G422" s="759"/>
      <c r="H422" s="759"/>
    </row>
    <row r="423" spans="2:8">
      <c r="B423" s="759"/>
      <c r="C423" s="759"/>
      <c r="D423" s="759"/>
      <c r="E423" s="759"/>
      <c r="F423" s="759"/>
      <c r="G423" s="759"/>
      <c r="H423" s="759"/>
    </row>
    <row r="424" spans="2:8">
      <c r="B424" s="759"/>
      <c r="C424" s="759"/>
      <c r="D424" s="759"/>
      <c r="E424" s="759"/>
      <c r="F424" s="759"/>
      <c r="G424" s="759"/>
      <c r="H424" s="759"/>
    </row>
    <row r="425" spans="2:8">
      <c r="B425" s="759"/>
      <c r="C425" s="759"/>
      <c r="D425" s="759"/>
      <c r="E425" s="759"/>
      <c r="F425" s="759"/>
      <c r="G425" s="759"/>
      <c r="H425" s="759"/>
    </row>
    <row r="426" spans="2:8">
      <c r="B426" s="759"/>
      <c r="C426" s="759"/>
      <c r="D426" s="759"/>
      <c r="E426" s="759"/>
      <c r="F426" s="759"/>
      <c r="G426" s="759"/>
      <c r="H426" s="759"/>
    </row>
    <row r="427" spans="2:8">
      <c r="B427" s="759"/>
      <c r="C427" s="759"/>
      <c r="D427" s="759"/>
      <c r="E427" s="759"/>
      <c r="F427" s="759"/>
      <c r="G427" s="759"/>
      <c r="H427" s="759"/>
    </row>
    <row r="428" spans="2:8">
      <c r="B428" s="759"/>
      <c r="C428" s="759"/>
      <c r="D428" s="759"/>
      <c r="E428" s="759"/>
      <c r="F428" s="759"/>
      <c r="G428" s="759"/>
      <c r="H428" s="759"/>
    </row>
    <row r="429" spans="2:8">
      <c r="B429" s="759"/>
      <c r="C429" s="759"/>
      <c r="D429" s="759"/>
      <c r="E429" s="759"/>
      <c r="F429" s="759"/>
      <c r="G429" s="759"/>
      <c r="H429" s="759"/>
    </row>
    <row r="430" spans="2:8">
      <c r="B430" s="759"/>
      <c r="C430" s="759"/>
      <c r="D430" s="759"/>
      <c r="E430" s="759"/>
      <c r="F430" s="759"/>
      <c r="G430" s="759"/>
      <c r="H430" s="759"/>
    </row>
    <row r="431" spans="2:8">
      <c r="B431" s="759"/>
      <c r="C431" s="759"/>
      <c r="D431" s="759"/>
      <c r="E431" s="759"/>
      <c r="F431" s="759"/>
      <c r="G431" s="759"/>
      <c r="H431" s="759"/>
    </row>
    <row r="432" spans="2:8">
      <c r="B432" s="759"/>
      <c r="C432" s="759"/>
      <c r="D432" s="759"/>
      <c r="E432" s="759"/>
      <c r="F432" s="759"/>
      <c r="G432" s="759"/>
      <c r="H432" s="759"/>
    </row>
    <row r="433" spans="2:8">
      <c r="B433" s="759"/>
      <c r="C433" s="759"/>
      <c r="D433" s="759"/>
      <c r="E433" s="759"/>
      <c r="F433" s="759"/>
      <c r="G433" s="759"/>
      <c r="H433" s="759"/>
    </row>
    <row r="434" spans="2:8">
      <c r="B434" s="759"/>
      <c r="C434" s="759"/>
      <c r="D434" s="759"/>
      <c r="E434" s="759"/>
      <c r="F434" s="759"/>
      <c r="G434" s="759"/>
      <c r="H434" s="759"/>
    </row>
    <row r="435" spans="2:8">
      <c r="B435" s="759"/>
      <c r="C435" s="759"/>
      <c r="D435" s="759"/>
      <c r="E435" s="759"/>
      <c r="F435" s="759"/>
      <c r="G435" s="759"/>
      <c r="H435" s="759"/>
    </row>
    <row r="436" spans="2:8">
      <c r="B436" s="759"/>
      <c r="C436" s="759"/>
      <c r="D436" s="759"/>
      <c r="E436" s="759"/>
      <c r="F436" s="759"/>
      <c r="G436" s="759"/>
      <c r="H436" s="759"/>
    </row>
    <row r="437" spans="2:8">
      <c r="B437" s="759"/>
      <c r="C437" s="759"/>
      <c r="D437" s="759"/>
      <c r="E437" s="759"/>
      <c r="F437" s="759"/>
      <c r="G437" s="759"/>
      <c r="H437" s="759"/>
    </row>
    <row r="438" spans="2:8">
      <c r="B438" s="759"/>
      <c r="C438" s="759"/>
      <c r="D438" s="759"/>
      <c r="E438" s="759"/>
      <c r="F438" s="759"/>
      <c r="G438" s="759"/>
      <c r="H438" s="759"/>
    </row>
    <row r="439" spans="2:8">
      <c r="B439" s="759"/>
      <c r="C439" s="759"/>
      <c r="D439" s="759"/>
      <c r="E439" s="759"/>
      <c r="F439" s="759"/>
      <c r="G439" s="759"/>
      <c r="H439" s="759"/>
    </row>
    <row r="440" spans="2:8">
      <c r="B440" s="759"/>
      <c r="C440" s="759"/>
      <c r="D440" s="759"/>
      <c r="E440" s="759"/>
      <c r="F440" s="759"/>
      <c r="G440" s="759"/>
      <c r="H440" s="759"/>
    </row>
    <row r="441" spans="2:8">
      <c r="B441" s="759"/>
      <c r="C441" s="759"/>
      <c r="D441" s="759"/>
      <c r="E441" s="759"/>
      <c r="F441" s="759"/>
      <c r="G441" s="759"/>
      <c r="H441" s="759"/>
    </row>
    <row r="442" spans="2:8">
      <c r="B442" s="759"/>
      <c r="C442" s="759"/>
      <c r="D442" s="759"/>
      <c r="E442" s="759"/>
      <c r="F442" s="759"/>
      <c r="G442" s="759"/>
      <c r="H442" s="759"/>
    </row>
    <row r="443" spans="2:8">
      <c r="B443" s="759"/>
      <c r="C443" s="759"/>
      <c r="D443" s="759"/>
      <c r="E443" s="759"/>
      <c r="F443" s="759"/>
      <c r="G443" s="759"/>
      <c r="H443" s="759"/>
    </row>
    <row r="444" spans="2:8">
      <c r="B444" s="759"/>
      <c r="C444" s="759"/>
      <c r="D444" s="759"/>
      <c r="E444" s="759"/>
      <c r="F444" s="759"/>
      <c r="G444" s="759"/>
      <c r="H444" s="759"/>
    </row>
    <row r="445" spans="2:8">
      <c r="B445" s="759"/>
      <c r="C445" s="759"/>
      <c r="D445" s="759"/>
      <c r="E445" s="759"/>
      <c r="F445" s="759"/>
      <c r="G445" s="759"/>
      <c r="H445" s="759"/>
    </row>
    <row r="446" spans="2:8">
      <c r="B446" s="759"/>
      <c r="C446" s="759"/>
      <c r="D446" s="759"/>
      <c r="E446" s="759"/>
      <c r="F446" s="759"/>
      <c r="G446" s="759"/>
      <c r="H446" s="759"/>
    </row>
    <row r="447" spans="2:8">
      <c r="B447" s="759"/>
      <c r="C447" s="759"/>
      <c r="D447" s="759"/>
      <c r="E447" s="759"/>
      <c r="F447" s="759"/>
      <c r="G447" s="759"/>
      <c r="H447" s="759"/>
    </row>
    <row r="448" spans="2:8">
      <c r="B448" s="759"/>
      <c r="C448" s="759"/>
      <c r="D448" s="759"/>
      <c r="E448" s="759"/>
      <c r="F448" s="759"/>
      <c r="G448" s="759"/>
      <c r="H448" s="759"/>
    </row>
    <row r="449" spans="2:8">
      <c r="B449" s="759"/>
      <c r="C449" s="759"/>
      <c r="D449" s="759"/>
      <c r="E449" s="759"/>
      <c r="F449" s="759"/>
      <c r="G449" s="759"/>
      <c r="H449" s="759"/>
    </row>
    <row r="450" spans="2:8">
      <c r="B450" s="759"/>
      <c r="C450" s="759"/>
      <c r="D450" s="759"/>
      <c r="E450" s="759"/>
      <c r="F450" s="759"/>
      <c r="G450" s="759"/>
      <c r="H450" s="759"/>
    </row>
    <row r="451" spans="2:8">
      <c r="B451" s="759"/>
      <c r="C451" s="759"/>
      <c r="D451" s="759"/>
      <c r="E451" s="759"/>
      <c r="F451" s="759"/>
      <c r="G451" s="759"/>
      <c r="H451" s="759"/>
    </row>
    <row r="452" spans="2:8">
      <c r="B452" s="759"/>
      <c r="C452" s="759"/>
      <c r="D452" s="759"/>
      <c r="E452" s="759"/>
      <c r="F452" s="759"/>
      <c r="G452" s="759"/>
      <c r="H452" s="759"/>
    </row>
    <row r="453" spans="2:8">
      <c r="B453" s="759"/>
      <c r="C453" s="759"/>
      <c r="D453" s="759"/>
      <c r="E453" s="759"/>
      <c r="F453" s="759"/>
      <c r="G453" s="759"/>
      <c r="H453" s="759"/>
    </row>
    <row r="454" spans="2:8">
      <c r="B454" s="759"/>
      <c r="C454" s="759"/>
      <c r="D454" s="759"/>
      <c r="E454" s="759"/>
      <c r="F454" s="759"/>
      <c r="G454" s="759"/>
      <c r="H454" s="759"/>
    </row>
    <row r="455" spans="2:8">
      <c r="B455" s="759"/>
      <c r="C455" s="759"/>
      <c r="D455" s="759"/>
      <c r="E455" s="759"/>
      <c r="F455" s="759"/>
      <c r="G455" s="759"/>
      <c r="H455" s="759"/>
    </row>
    <row r="456" spans="2:8">
      <c r="B456" s="759"/>
      <c r="C456" s="759"/>
      <c r="D456" s="759"/>
      <c r="E456" s="759"/>
      <c r="F456" s="759"/>
      <c r="G456" s="759"/>
      <c r="H456" s="759"/>
    </row>
    <row r="457" spans="2:8">
      <c r="B457" s="759"/>
      <c r="C457" s="759"/>
      <c r="D457" s="759"/>
      <c r="E457" s="759"/>
      <c r="F457" s="759"/>
      <c r="G457" s="759"/>
      <c r="H457" s="759"/>
    </row>
    <row r="458" spans="2:8">
      <c r="B458" s="759"/>
      <c r="C458" s="759"/>
      <c r="D458" s="759"/>
      <c r="E458" s="759"/>
      <c r="F458" s="759"/>
      <c r="G458" s="759"/>
      <c r="H458" s="759"/>
    </row>
    <row r="459" spans="2:8">
      <c r="B459" s="759"/>
      <c r="C459" s="759"/>
      <c r="D459" s="759"/>
      <c r="E459" s="759"/>
      <c r="F459" s="759"/>
      <c r="G459" s="759"/>
      <c r="H459" s="759"/>
    </row>
    <row r="460" spans="2:8">
      <c r="B460" s="759"/>
      <c r="C460" s="759"/>
      <c r="D460" s="759"/>
      <c r="E460" s="759"/>
      <c r="F460" s="759"/>
      <c r="G460" s="759"/>
      <c r="H460" s="759"/>
    </row>
    <row r="461" spans="2:8">
      <c r="B461" s="759"/>
      <c r="C461" s="759"/>
      <c r="D461" s="759"/>
      <c r="E461" s="759"/>
      <c r="F461" s="759"/>
      <c r="G461" s="759"/>
      <c r="H461" s="759"/>
    </row>
    <row r="462" spans="2:8">
      <c r="B462" s="759"/>
      <c r="C462" s="759"/>
      <c r="D462" s="759"/>
      <c r="E462" s="759"/>
      <c r="F462" s="759"/>
      <c r="G462" s="759"/>
      <c r="H462" s="759"/>
    </row>
    <row r="463" spans="2:8">
      <c r="B463" s="759"/>
      <c r="C463" s="759"/>
      <c r="D463" s="759"/>
      <c r="E463" s="759"/>
      <c r="F463" s="759"/>
      <c r="G463" s="759"/>
      <c r="H463" s="759"/>
    </row>
    <row r="464" spans="2:8">
      <c r="B464" s="759"/>
      <c r="C464" s="759"/>
      <c r="D464" s="759"/>
      <c r="E464" s="759"/>
      <c r="F464" s="759"/>
      <c r="G464" s="759"/>
      <c r="H464" s="759"/>
    </row>
    <row r="465" spans="2:8">
      <c r="B465" s="759"/>
      <c r="C465" s="759"/>
      <c r="D465" s="759"/>
      <c r="E465" s="759"/>
      <c r="F465" s="759"/>
      <c r="G465" s="759"/>
      <c r="H465" s="759"/>
    </row>
    <row r="466" spans="2:8">
      <c r="B466" s="759"/>
      <c r="C466" s="759"/>
      <c r="D466" s="759"/>
      <c r="E466" s="759"/>
      <c r="F466" s="759"/>
      <c r="G466" s="759"/>
      <c r="H466" s="759"/>
    </row>
    <row r="467" spans="2:8">
      <c r="B467" s="759"/>
      <c r="C467" s="759"/>
      <c r="D467" s="759"/>
      <c r="E467" s="759"/>
      <c r="F467" s="759"/>
      <c r="G467" s="759"/>
      <c r="H467" s="759"/>
    </row>
    <row r="468" spans="2:8">
      <c r="B468" s="759"/>
      <c r="C468" s="759"/>
      <c r="D468" s="759"/>
      <c r="E468" s="759"/>
      <c r="F468" s="759"/>
      <c r="G468" s="759"/>
      <c r="H468" s="759"/>
    </row>
    <row r="469" spans="2:8">
      <c r="B469" s="759"/>
      <c r="C469" s="759"/>
      <c r="D469" s="759"/>
      <c r="E469" s="759"/>
      <c r="F469" s="759"/>
      <c r="G469" s="759"/>
      <c r="H469" s="759"/>
    </row>
    <row r="470" spans="2:8">
      <c r="B470" s="759"/>
      <c r="C470" s="759"/>
      <c r="D470" s="759"/>
      <c r="E470" s="759"/>
      <c r="F470" s="759"/>
      <c r="G470" s="759"/>
      <c r="H470" s="759"/>
    </row>
    <row r="471" spans="2:8">
      <c r="B471" s="759"/>
      <c r="C471" s="759"/>
      <c r="D471" s="759"/>
      <c r="E471" s="759"/>
      <c r="F471" s="759"/>
      <c r="G471" s="759"/>
      <c r="H471" s="759"/>
    </row>
    <row r="472" spans="2:8">
      <c r="B472" s="759"/>
      <c r="C472" s="759"/>
      <c r="D472" s="759"/>
      <c r="E472" s="759"/>
      <c r="F472" s="759"/>
      <c r="G472" s="759"/>
      <c r="H472" s="759"/>
    </row>
    <row r="473" spans="2:8">
      <c r="B473" s="759"/>
      <c r="C473" s="759"/>
      <c r="D473" s="759"/>
      <c r="E473" s="759"/>
      <c r="F473" s="759"/>
      <c r="G473" s="759"/>
      <c r="H473" s="759"/>
    </row>
    <row r="474" spans="2:8">
      <c r="B474" s="759"/>
      <c r="C474" s="759"/>
      <c r="D474" s="759"/>
      <c r="E474" s="759"/>
      <c r="F474" s="759"/>
      <c r="G474" s="759"/>
      <c r="H474" s="759"/>
    </row>
    <row r="475" spans="2:8">
      <c r="B475" s="759"/>
      <c r="C475" s="759"/>
      <c r="D475" s="759"/>
      <c r="E475" s="759"/>
      <c r="F475" s="759"/>
      <c r="G475" s="759"/>
      <c r="H475" s="759"/>
    </row>
    <row r="476" spans="2:8">
      <c r="B476" s="759"/>
      <c r="C476" s="759"/>
      <c r="D476" s="759"/>
      <c r="E476" s="759"/>
      <c r="F476" s="759"/>
      <c r="G476" s="759"/>
      <c r="H476" s="759"/>
    </row>
    <row r="477" spans="2:8">
      <c r="B477" s="759"/>
      <c r="C477" s="759"/>
      <c r="D477" s="759"/>
      <c r="E477" s="759"/>
      <c r="F477" s="759"/>
      <c r="G477" s="759"/>
      <c r="H477" s="759"/>
    </row>
    <row r="478" spans="2:8">
      <c r="B478" s="759"/>
      <c r="C478" s="759"/>
      <c r="D478" s="759"/>
      <c r="E478" s="759"/>
      <c r="F478" s="759"/>
      <c r="G478" s="759"/>
      <c r="H478" s="759"/>
    </row>
    <row r="479" spans="2:8">
      <c r="B479" s="759"/>
      <c r="C479" s="759"/>
      <c r="D479" s="759"/>
      <c r="E479" s="759"/>
      <c r="F479" s="759"/>
      <c r="G479" s="759"/>
      <c r="H479" s="759"/>
    </row>
    <row r="480" spans="2:8">
      <c r="B480" s="759"/>
      <c r="C480" s="759"/>
      <c r="D480" s="759"/>
      <c r="E480" s="759"/>
      <c r="F480" s="759"/>
      <c r="G480" s="759"/>
      <c r="H480" s="759"/>
    </row>
    <row r="481" spans="2:8">
      <c r="B481" s="759"/>
      <c r="C481" s="759"/>
      <c r="D481" s="759"/>
      <c r="E481" s="759"/>
      <c r="F481" s="759"/>
      <c r="G481" s="759"/>
      <c r="H481" s="759"/>
    </row>
    <row r="482" spans="2:8">
      <c r="B482" s="759"/>
      <c r="C482" s="759"/>
      <c r="D482" s="759"/>
      <c r="E482" s="759"/>
      <c r="F482" s="759"/>
      <c r="G482" s="759"/>
      <c r="H482" s="759"/>
    </row>
    <row r="483" spans="2:8">
      <c r="B483" s="759"/>
      <c r="C483" s="759"/>
      <c r="D483" s="759"/>
      <c r="E483" s="759"/>
      <c r="F483" s="759"/>
      <c r="G483" s="759"/>
      <c r="H483" s="759"/>
    </row>
    <row r="484" spans="2:8">
      <c r="B484" s="759"/>
      <c r="C484" s="759"/>
      <c r="D484" s="759"/>
      <c r="E484" s="759"/>
      <c r="F484" s="759"/>
      <c r="G484" s="759"/>
      <c r="H484" s="759"/>
    </row>
    <row r="485" spans="2:8">
      <c r="B485" s="759"/>
      <c r="C485" s="759"/>
      <c r="D485" s="759"/>
      <c r="E485" s="759"/>
      <c r="F485" s="759"/>
      <c r="G485" s="759"/>
      <c r="H485" s="759"/>
    </row>
    <row r="486" spans="2:8">
      <c r="B486" s="759"/>
      <c r="C486" s="759"/>
      <c r="D486" s="759"/>
      <c r="E486" s="759"/>
      <c r="F486" s="759"/>
      <c r="G486" s="759"/>
      <c r="H486" s="759"/>
    </row>
    <row r="487" spans="2:8">
      <c r="B487" s="759"/>
      <c r="C487" s="759"/>
      <c r="D487" s="759"/>
      <c r="E487" s="759"/>
      <c r="F487" s="759"/>
      <c r="G487" s="759"/>
      <c r="H487" s="759"/>
    </row>
    <row r="488" spans="2:8">
      <c r="B488" s="759"/>
      <c r="C488" s="759"/>
      <c r="D488" s="759"/>
      <c r="E488" s="759"/>
      <c r="F488" s="759"/>
      <c r="G488" s="759"/>
      <c r="H488" s="759"/>
    </row>
    <row r="489" spans="2:8">
      <c r="B489" s="759"/>
      <c r="C489" s="759"/>
      <c r="D489" s="759"/>
      <c r="E489" s="759"/>
      <c r="F489" s="759"/>
      <c r="G489" s="759"/>
      <c r="H489" s="759"/>
    </row>
    <row r="490" spans="2:8">
      <c r="B490" s="759"/>
      <c r="C490" s="759"/>
      <c r="D490" s="759"/>
      <c r="E490" s="759"/>
      <c r="F490" s="759"/>
      <c r="G490" s="759"/>
      <c r="H490" s="759"/>
    </row>
    <row r="491" spans="2:8">
      <c r="B491" s="759"/>
      <c r="C491" s="759"/>
      <c r="D491" s="759"/>
      <c r="E491" s="759"/>
      <c r="F491" s="759"/>
      <c r="G491" s="759"/>
      <c r="H491" s="759"/>
    </row>
    <row r="492" spans="2:8">
      <c r="B492" s="759"/>
      <c r="C492" s="759"/>
      <c r="D492" s="759"/>
      <c r="E492" s="759"/>
      <c r="F492" s="759"/>
      <c r="G492" s="759"/>
      <c r="H492" s="759"/>
    </row>
    <row r="493" spans="2:8">
      <c r="B493" s="759"/>
      <c r="C493" s="759"/>
      <c r="D493" s="759"/>
      <c r="E493" s="759"/>
      <c r="F493" s="759"/>
      <c r="G493" s="759"/>
      <c r="H493" s="759"/>
    </row>
    <row r="494" spans="2:8">
      <c r="B494" s="759"/>
      <c r="C494" s="759"/>
      <c r="D494" s="759"/>
      <c r="E494" s="759"/>
      <c r="F494" s="759"/>
      <c r="G494" s="759"/>
      <c r="H494" s="759"/>
    </row>
    <row r="495" spans="2:8">
      <c r="B495" s="759"/>
      <c r="C495" s="759"/>
      <c r="D495" s="759"/>
      <c r="E495" s="759"/>
      <c r="F495" s="759"/>
      <c r="G495" s="759"/>
      <c r="H495" s="759"/>
    </row>
    <row r="496" spans="2:8">
      <c r="B496" s="759"/>
      <c r="C496" s="759"/>
      <c r="D496" s="759"/>
      <c r="E496" s="759"/>
      <c r="F496" s="759"/>
      <c r="G496" s="759"/>
      <c r="H496" s="759"/>
    </row>
    <row r="497" spans="2:8">
      <c r="B497" s="759"/>
      <c r="C497" s="759"/>
      <c r="D497" s="759"/>
      <c r="E497" s="759"/>
      <c r="F497" s="759"/>
      <c r="G497" s="759"/>
      <c r="H497" s="759"/>
    </row>
    <row r="498" spans="2:8">
      <c r="B498" s="759"/>
      <c r="C498" s="759"/>
      <c r="D498" s="759"/>
      <c r="E498" s="759"/>
      <c r="F498" s="759"/>
      <c r="G498" s="759"/>
      <c r="H498" s="759"/>
    </row>
    <row r="499" spans="2:8">
      <c r="B499" s="759"/>
      <c r="C499" s="759"/>
      <c r="D499" s="759"/>
      <c r="E499" s="759"/>
      <c r="F499" s="759"/>
      <c r="G499" s="759"/>
      <c r="H499" s="759"/>
    </row>
    <row r="500" spans="2:8">
      <c r="B500" s="759"/>
      <c r="C500" s="759"/>
      <c r="D500" s="759"/>
      <c r="E500" s="759"/>
      <c r="F500" s="759"/>
      <c r="G500" s="759"/>
      <c r="H500" s="759"/>
    </row>
    <row r="501" spans="2:8">
      <c r="B501" s="759"/>
      <c r="C501" s="759"/>
      <c r="D501" s="759"/>
      <c r="E501" s="759"/>
      <c r="F501" s="759"/>
      <c r="G501" s="759"/>
      <c r="H501" s="759"/>
    </row>
    <row r="502" spans="2:8">
      <c r="B502" s="759"/>
      <c r="C502" s="759"/>
      <c r="D502" s="759"/>
      <c r="E502" s="759"/>
      <c r="F502" s="759"/>
      <c r="G502" s="759"/>
      <c r="H502" s="759"/>
    </row>
    <row r="503" spans="2:8">
      <c r="B503" s="759"/>
      <c r="C503" s="759"/>
      <c r="D503" s="759"/>
      <c r="E503" s="759"/>
      <c r="F503" s="759"/>
      <c r="G503" s="759"/>
      <c r="H503" s="759"/>
    </row>
    <row r="504" spans="2:8">
      <c r="B504" s="759"/>
      <c r="C504" s="759"/>
      <c r="D504" s="759"/>
      <c r="E504" s="759"/>
      <c r="F504" s="759"/>
      <c r="G504" s="759"/>
      <c r="H504" s="759"/>
    </row>
    <row r="505" spans="2:8">
      <c r="B505" s="759"/>
      <c r="C505" s="759"/>
      <c r="D505" s="759"/>
      <c r="E505" s="759"/>
      <c r="F505" s="759"/>
      <c r="G505" s="759"/>
      <c r="H505" s="759"/>
    </row>
    <row r="506" spans="2:8">
      <c r="B506" s="759"/>
      <c r="C506" s="759"/>
      <c r="D506" s="759"/>
      <c r="E506" s="759"/>
      <c r="F506" s="759"/>
      <c r="G506" s="759"/>
      <c r="H506" s="759"/>
    </row>
    <row r="507" spans="2:8">
      <c r="B507" s="759"/>
      <c r="C507" s="759"/>
      <c r="D507" s="759"/>
      <c r="E507" s="759"/>
      <c r="F507" s="759"/>
      <c r="G507" s="759"/>
      <c r="H507" s="759"/>
    </row>
    <row r="508" spans="2:8">
      <c r="B508" s="759"/>
      <c r="C508" s="759"/>
      <c r="D508" s="759"/>
      <c r="E508" s="759"/>
      <c r="F508" s="759"/>
      <c r="G508" s="759"/>
      <c r="H508" s="759"/>
    </row>
    <row r="509" spans="2:8">
      <c r="B509" s="759"/>
      <c r="C509" s="759"/>
      <c r="D509" s="759"/>
      <c r="E509" s="759"/>
      <c r="F509" s="759"/>
      <c r="G509" s="759"/>
      <c r="H509" s="759"/>
    </row>
    <row r="510" spans="2:8">
      <c r="B510" s="759"/>
      <c r="C510" s="759"/>
      <c r="D510" s="759"/>
      <c r="E510" s="759"/>
      <c r="F510" s="759"/>
      <c r="G510" s="759"/>
      <c r="H510" s="759"/>
    </row>
    <row r="511" spans="2:8">
      <c r="B511" s="759"/>
      <c r="C511" s="759"/>
      <c r="D511" s="759"/>
      <c r="E511" s="759"/>
      <c r="F511" s="759"/>
      <c r="G511" s="759"/>
      <c r="H511" s="759"/>
    </row>
    <row r="512" spans="2:8">
      <c r="B512" s="759"/>
      <c r="C512" s="759"/>
      <c r="D512" s="759"/>
      <c r="E512" s="759"/>
      <c r="F512" s="759"/>
      <c r="G512" s="759"/>
      <c r="H512" s="759"/>
    </row>
  </sheetData>
  <mergeCells count="7">
    <mergeCell ref="C1:H3"/>
    <mergeCell ref="A7:B7"/>
    <mergeCell ref="H5:H6"/>
    <mergeCell ref="D4:H4"/>
    <mergeCell ref="A4:C4"/>
    <mergeCell ref="A5:C5"/>
    <mergeCell ref="D5:G5"/>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1">
    <pageSetUpPr fitToPage="1"/>
  </sheetPr>
  <dimension ref="A1:J513"/>
  <sheetViews>
    <sheetView showGridLines="0" topLeftCell="A183" zoomScaleNormal="100" workbookViewId="0">
      <selection activeCell="H203" sqref="H203"/>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29" t="s">
        <v>383</v>
      </c>
      <c r="B4" s="1430"/>
      <c r="C4" s="1431"/>
      <c r="D4" s="1432" t="s">
        <v>354</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831" t="s">
        <v>341</v>
      </c>
      <c r="B6" s="781" t="s">
        <v>64</v>
      </c>
      <c r="C6" s="781" t="s">
        <v>68</v>
      </c>
      <c r="D6" s="781" t="s">
        <v>342</v>
      </c>
      <c r="E6" s="781" t="s">
        <v>343</v>
      </c>
      <c r="F6" s="781" t="s">
        <v>344</v>
      </c>
      <c r="G6" s="781" t="s">
        <v>345</v>
      </c>
      <c r="H6" s="1428"/>
    </row>
    <row r="7" spans="1:8" ht="15.75" customHeight="1" thickBot="1">
      <c r="A7" s="1419" t="s">
        <v>347</v>
      </c>
      <c r="B7" s="1420"/>
      <c r="C7" s="1009"/>
      <c r="D7" s="1009"/>
      <c r="E7" s="1009"/>
      <c r="F7" s="1009"/>
      <c r="G7" s="1009"/>
      <c r="H7" s="951" t="s">
        <v>692</v>
      </c>
    </row>
    <row r="8" spans="1:8" ht="16.5" hidden="1" customHeight="1" thickBot="1">
      <c r="A8" s="1008" t="s">
        <v>405</v>
      </c>
      <c r="B8" s="1006">
        <f>geral!C562</f>
        <v>0.14000000000000001</v>
      </c>
      <c r="C8" s="997">
        <v>100</v>
      </c>
      <c r="D8" s="997"/>
      <c r="E8" s="997"/>
      <c r="F8" s="997"/>
      <c r="G8" s="1002"/>
      <c r="H8" s="1001">
        <f>B$202/B8</f>
        <v>2.1602267558700015</v>
      </c>
    </row>
    <row r="9" spans="1:8" ht="16.5" hidden="1" customHeight="1" thickBot="1">
      <c r="A9" s="971" t="s">
        <v>406</v>
      </c>
      <c r="B9" s="773">
        <f>geral!C563</f>
        <v>0.14000000000000001</v>
      </c>
      <c r="C9" s="748">
        <f t="shared" ref="C9:C37" si="0">100*B9/$B$8</f>
        <v>100</v>
      </c>
      <c r="D9" s="748">
        <f>100*(B9/B8-1)</f>
        <v>0</v>
      </c>
      <c r="E9" s="748"/>
      <c r="F9" s="748"/>
      <c r="G9" s="839"/>
      <c r="H9" s="842">
        <f>B$202/B9</f>
        <v>2.1602267558700015</v>
      </c>
    </row>
    <row r="10" spans="1:8" ht="16.5" hidden="1" customHeight="1" thickBot="1">
      <c r="A10" s="971" t="s">
        <v>407</v>
      </c>
      <c r="B10" s="773">
        <f>geral!C564</f>
        <v>0.14000000000000001</v>
      </c>
      <c r="C10" s="748">
        <f t="shared" si="0"/>
        <v>100</v>
      </c>
      <c r="D10" s="748">
        <f t="shared" ref="D10:D15" si="1">100*(B10/B9-1)</f>
        <v>0</v>
      </c>
      <c r="E10" s="748"/>
      <c r="F10" s="748"/>
      <c r="G10" s="839"/>
      <c r="H10" s="842">
        <f>B$202/B10</f>
        <v>2.1602267558700015</v>
      </c>
    </row>
    <row r="11" spans="1:8" ht="16.5" hidden="1" customHeight="1" thickBot="1">
      <c r="A11" s="971" t="s">
        <v>408</v>
      </c>
      <c r="B11" s="773">
        <v>0.14000000000000001</v>
      </c>
      <c r="C11" s="748">
        <f t="shared" si="0"/>
        <v>100</v>
      </c>
      <c r="D11" s="748">
        <f t="shared" si="1"/>
        <v>0</v>
      </c>
      <c r="E11" s="748"/>
      <c r="F11" s="748"/>
      <c r="G11" s="839"/>
      <c r="H11" s="842">
        <f>B$202/B11</f>
        <v>2.1602267558700015</v>
      </c>
    </row>
    <row r="12" spans="1:8" ht="16.5" hidden="1" customHeight="1" thickBot="1">
      <c r="A12" s="971" t="s">
        <v>409</v>
      </c>
      <c r="B12" s="773">
        <v>0.14000000000000001</v>
      </c>
      <c r="C12" s="748">
        <f t="shared" si="0"/>
        <v>100</v>
      </c>
      <c r="D12" s="748">
        <f t="shared" si="1"/>
        <v>0</v>
      </c>
      <c r="E12" s="748"/>
      <c r="F12" s="748"/>
      <c r="G12" s="839"/>
      <c r="H12" s="842">
        <f>B$202/B12</f>
        <v>2.1602267558700015</v>
      </c>
    </row>
    <row r="13" spans="1:8" ht="16.5" hidden="1" customHeight="1" thickBot="1">
      <c r="A13" s="971" t="s">
        <v>410</v>
      </c>
      <c r="B13" s="773">
        <v>0.14000000000000001</v>
      </c>
      <c r="C13" s="748">
        <f t="shared" si="0"/>
        <v>100</v>
      </c>
      <c r="D13" s="748">
        <f t="shared" si="1"/>
        <v>0</v>
      </c>
      <c r="E13" s="748"/>
      <c r="F13" s="748"/>
      <c r="G13" s="839"/>
      <c r="H13" s="842">
        <f>B$202/B13</f>
        <v>2.1602267558700015</v>
      </c>
    </row>
    <row r="14" spans="1:8" ht="16.5" hidden="1" customHeight="1" thickBot="1">
      <c r="A14" s="971" t="s">
        <v>411</v>
      </c>
      <c r="B14" s="773">
        <f>+geral!E555</f>
        <v>0.1411</v>
      </c>
      <c r="C14" s="748">
        <f t="shared" si="0"/>
        <v>100.78571428571428</v>
      </c>
      <c r="D14" s="748">
        <f t="shared" si="1"/>
        <v>0.78571428571427848</v>
      </c>
      <c r="E14" s="748">
        <f t="shared" ref="E14:E19" si="2">100*(B14/B$13-1)</f>
        <v>0.78571428571427848</v>
      </c>
      <c r="F14" s="748"/>
      <c r="G14" s="839"/>
      <c r="H14" s="842">
        <f>B$202/B14</f>
        <v>2.143385866915664</v>
      </c>
    </row>
    <row r="15" spans="1:8" ht="16.5" hidden="1" customHeight="1" thickBot="1">
      <c r="A15" s="971" t="s">
        <v>412</v>
      </c>
      <c r="B15" s="773">
        <f>+geral!E556</f>
        <v>0.14169999999999999</v>
      </c>
      <c r="C15" s="748">
        <f t="shared" si="0"/>
        <v>101.21428571428571</v>
      </c>
      <c r="D15" s="748">
        <f t="shared" si="1"/>
        <v>0.42523033309709302</v>
      </c>
      <c r="E15" s="748">
        <f t="shared" si="2"/>
        <v>1.2142857142857011</v>
      </c>
      <c r="F15" s="748"/>
      <c r="G15" s="839"/>
      <c r="H15" s="842">
        <f>B$202/B15</f>
        <v>2.1343101328285123</v>
      </c>
    </row>
    <row r="16" spans="1:8" ht="16.5" hidden="1" customHeight="1" thickBot="1">
      <c r="A16" s="971" t="s">
        <v>413</v>
      </c>
      <c r="B16" s="773">
        <f>+geral!E557</f>
        <v>0.1421</v>
      </c>
      <c r="C16" s="748">
        <f t="shared" si="0"/>
        <v>101.5</v>
      </c>
      <c r="D16" s="748">
        <f t="shared" ref="D16:D21" si="3">100*(B16/B15-1)</f>
        <v>0.28228652081863093</v>
      </c>
      <c r="E16" s="748">
        <f t="shared" si="2"/>
        <v>1.4999999999999902</v>
      </c>
      <c r="F16" s="748"/>
      <c r="G16" s="839"/>
      <c r="H16" s="842">
        <f>B$202/B16</f>
        <v>2.1283022225320209</v>
      </c>
    </row>
    <row r="17" spans="1:8" ht="16.5" hidden="1" customHeight="1" thickBot="1">
      <c r="A17" s="971" t="s">
        <v>414</v>
      </c>
      <c r="B17" s="773">
        <f>+geral!E558</f>
        <v>0.14330000000000001</v>
      </c>
      <c r="C17" s="748">
        <f t="shared" si="0"/>
        <v>102.35714285714286</v>
      </c>
      <c r="D17" s="748">
        <f t="shared" si="3"/>
        <v>0.84447572132302362</v>
      </c>
      <c r="E17" s="748">
        <f t="shared" si="2"/>
        <v>2.3571428571428577</v>
      </c>
      <c r="F17" s="748"/>
      <c r="G17" s="839"/>
      <c r="H17" s="842">
        <f>B$202/B17</f>
        <v>2.1104797335785079</v>
      </c>
    </row>
    <row r="18" spans="1:8" ht="16.5" hidden="1" customHeight="1" thickBot="1">
      <c r="A18" s="971" t="s">
        <v>415</v>
      </c>
      <c r="B18" s="773">
        <f>+geral!E559</f>
        <v>0.14449999999999999</v>
      </c>
      <c r="C18" s="748">
        <f t="shared" si="0"/>
        <v>103.21428571428569</v>
      </c>
      <c r="D18" s="748">
        <f t="shared" si="3"/>
        <v>0.83740404745287211</v>
      </c>
      <c r="E18" s="748">
        <f t="shared" si="2"/>
        <v>3.2142857142857029</v>
      </c>
      <c r="F18" s="748"/>
      <c r="G18" s="839"/>
      <c r="H18" s="842">
        <f>B$202/B18</f>
        <v>2.0929532582823547</v>
      </c>
    </row>
    <row r="19" spans="1:8" ht="16.5" hidden="1" customHeight="1" thickBot="1">
      <c r="A19" s="971" t="s">
        <v>416</v>
      </c>
      <c r="B19" s="773">
        <f>+geral!E560</f>
        <v>0.14419999999999999</v>
      </c>
      <c r="C19" s="748">
        <f t="shared" si="0"/>
        <v>102.99999999999999</v>
      </c>
      <c r="D19" s="748">
        <f t="shared" si="3"/>
        <v>-0.20761245674739692</v>
      </c>
      <c r="E19" s="748">
        <f t="shared" si="2"/>
        <v>2.9999999999999805</v>
      </c>
      <c r="F19" s="748"/>
      <c r="G19" s="839"/>
      <c r="H19" s="842">
        <f>B$202/B19</f>
        <v>2.0973075299708754</v>
      </c>
    </row>
    <row r="20" spans="1:8" ht="16.5" hidden="1" customHeight="1" thickBot="1">
      <c r="A20" s="971" t="s">
        <v>417</v>
      </c>
      <c r="B20" s="773">
        <f>+geral!E561</f>
        <v>0.14360000000000001</v>
      </c>
      <c r="C20" s="748">
        <f t="shared" si="0"/>
        <v>102.57142857142857</v>
      </c>
      <c r="D20" s="748">
        <f t="shared" si="3"/>
        <v>-0.41608876560331742</v>
      </c>
      <c r="E20" s="748">
        <f t="shared" ref="E20:E25" si="4">100*(B20/B$13-1)</f>
        <v>2.5714285714285579</v>
      </c>
      <c r="F20" s="749">
        <f t="shared" ref="F20:F25" si="5">100*(B20/B8-1)</f>
        <v>2.5714285714285579</v>
      </c>
      <c r="G20" s="840"/>
      <c r="H20" s="842">
        <f>B$202/B20</f>
        <v>2.1060706533551548</v>
      </c>
    </row>
    <row r="21" spans="1:8" ht="16.5" hidden="1" customHeight="1" thickBot="1">
      <c r="A21" s="971" t="s">
        <v>418</v>
      </c>
      <c r="B21" s="773">
        <f>+geral!E562</f>
        <v>0.1431</v>
      </c>
      <c r="C21" s="748">
        <f t="shared" si="0"/>
        <v>102.21428571428571</v>
      </c>
      <c r="D21" s="748">
        <f t="shared" si="3"/>
        <v>-0.34818941504177747</v>
      </c>
      <c r="E21" s="748">
        <f t="shared" si="4"/>
        <v>2.214285714285702</v>
      </c>
      <c r="F21" s="749">
        <f t="shared" si="5"/>
        <v>2.214285714285702</v>
      </c>
      <c r="G21" s="840"/>
      <c r="H21" s="842">
        <f>B$202/B21</f>
        <v>2.1134293907882613</v>
      </c>
    </row>
    <row r="22" spans="1:8" ht="16.5" hidden="1" customHeight="1" thickBot="1">
      <c r="A22" s="971" t="s">
        <v>419</v>
      </c>
      <c r="B22" s="773">
        <f>+geral!E563</f>
        <v>0.14219999999999999</v>
      </c>
      <c r="C22" s="748">
        <f t="shared" si="0"/>
        <v>101.57142857142856</v>
      </c>
      <c r="D22" s="748">
        <f t="shared" ref="D22:D27" si="6">100*(B22/B21-1)</f>
        <v>-0.62893081761007386</v>
      </c>
      <c r="E22" s="748">
        <f t="shared" si="4"/>
        <v>1.571428571428557</v>
      </c>
      <c r="F22" s="749">
        <f t="shared" si="5"/>
        <v>1.571428571428557</v>
      </c>
      <c r="G22" s="840"/>
      <c r="H22" s="842">
        <f>B$202/B22</f>
        <v>2.1268055261729972</v>
      </c>
    </row>
    <row r="23" spans="1:8" ht="16.5" hidden="1" customHeight="1" thickBot="1">
      <c r="A23" s="971" t="s">
        <v>420</v>
      </c>
      <c r="B23" s="773">
        <f>+geral!E564</f>
        <v>0.1414</v>
      </c>
      <c r="C23" s="748">
        <f t="shared" si="0"/>
        <v>101</v>
      </c>
      <c r="D23" s="748">
        <f t="shared" si="6"/>
        <v>-0.56258790436005679</v>
      </c>
      <c r="E23" s="748">
        <f t="shared" si="4"/>
        <v>0.99999999999997868</v>
      </c>
      <c r="F23" s="749">
        <f t="shared" si="5"/>
        <v>0.99999999999997868</v>
      </c>
      <c r="G23" s="840"/>
      <c r="H23" s="842">
        <f>B$202/B23</f>
        <v>2.1388383721485162</v>
      </c>
    </row>
    <row r="24" spans="1:8" ht="16.5" hidden="1" customHeight="1" thickBot="1">
      <c r="A24" s="971" t="s">
        <v>421</v>
      </c>
      <c r="B24" s="773">
        <f>+geral!E565</f>
        <v>0.14219999999999999</v>
      </c>
      <c r="C24" s="748">
        <f t="shared" si="0"/>
        <v>101.57142857142856</v>
      </c>
      <c r="D24" s="748">
        <f t="shared" si="6"/>
        <v>0.5657708628005631</v>
      </c>
      <c r="E24" s="748">
        <f t="shared" si="4"/>
        <v>1.571428571428557</v>
      </c>
      <c r="F24" s="749">
        <f t="shared" si="5"/>
        <v>1.571428571428557</v>
      </c>
      <c r="G24" s="840"/>
      <c r="H24" s="842">
        <f>B$202/B24</f>
        <v>2.1268055261729972</v>
      </c>
    </row>
    <row r="25" spans="1:8" ht="16.5" hidden="1" customHeight="1" thickBot="1">
      <c r="A25" s="971" t="s">
        <v>422</v>
      </c>
      <c r="B25" s="773">
        <f>+geral!E566</f>
        <v>0.14280000000000001</v>
      </c>
      <c r="C25" s="748">
        <f t="shared" si="0"/>
        <v>102</v>
      </c>
      <c r="D25" s="748">
        <f t="shared" si="6"/>
        <v>0.42194092827005925</v>
      </c>
      <c r="E25" s="748">
        <f t="shared" si="4"/>
        <v>2.0000000000000018</v>
      </c>
      <c r="F25" s="749">
        <f t="shared" si="5"/>
        <v>2.0000000000000018</v>
      </c>
      <c r="G25" s="840"/>
      <c r="H25" s="842">
        <f>B$202/B25</f>
        <v>2.1178693685000014</v>
      </c>
    </row>
    <row r="26" spans="1:8" ht="16.5" hidden="1" customHeight="1" thickBot="1">
      <c r="A26" s="971" t="s">
        <v>423</v>
      </c>
      <c r="B26" s="773">
        <f>+geral!G555</f>
        <v>0.14280000000000001</v>
      </c>
      <c r="C26" s="748">
        <f t="shared" si="0"/>
        <v>102</v>
      </c>
      <c r="D26" s="748">
        <f t="shared" si="6"/>
        <v>0</v>
      </c>
      <c r="E26" s="748">
        <f t="shared" ref="E26:E31" si="7">100*(B26/B$25-1)</f>
        <v>0</v>
      </c>
      <c r="F26" s="749">
        <f t="shared" ref="F26:F31" si="8">100*(B26/B14-1)</f>
        <v>1.2048192771084487</v>
      </c>
      <c r="G26" s="840"/>
      <c r="H26" s="842">
        <f>B$202/B26</f>
        <v>2.1178693685000014</v>
      </c>
    </row>
    <row r="27" spans="1:8" ht="16.5" hidden="1" customHeight="1" thickBot="1">
      <c r="A27" s="971" t="s">
        <v>424</v>
      </c>
      <c r="B27" s="773">
        <f>+geral!G556</f>
        <v>0.14410000000000001</v>
      </c>
      <c r="C27" s="748">
        <f t="shared" si="0"/>
        <v>102.92857142857142</v>
      </c>
      <c r="D27" s="748">
        <f t="shared" si="6"/>
        <v>0.91036414565826007</v>
      </c>
      <c r="E27" s="748">
        <f t="shared" si="7"/>
        <v>0.91036414565826007</v>
      </c>
      <c r="F27" s="749">
        <f t="shared" si="8"/>
        <v>1.6937191249117856</v>
      </c>
      <c r="G27" s="840"/>
      <c r="H27" s="842">
        <f>B$202/B27</f>
        <v>2.0987629828022221</v>
      </c>
    </row>
    <row r="28" spans="1:8" ht="16.5" hidden="1" customHeight="1" thickBot="1">
      <c r="A28" s="971" t="s">
        <v>425</v>
      </c>
      <c r="B28" s="773">
        <f>+geral!G557</f>
        <v>0.14410000000000001</v>
      </c>
      <c r="C28" s="748">
        <f t="shared" si="0"/>
        <v>102.92857142857142</v>
      </c>
      <c r="D28" s="748">
        <f t="shared" ref="D28:D33" si="9">100*(B28/B27-1)</f>
        <v>0</v>
      </c>
      <c r="E28" s="748">
        <f t="shared" si="7"/>
        <v>0.91036414565826007</v>
      </c>
      <c r="F28" s="749">
        <f t="shared" si="8"/>
        <v>1.4074595355383579</v>
      </c>
      <c r="G28" s="840"/>
      <c r="H28" s="842">
        <f>B$202/B28</f>
        <v>2.0987629828022221</v>
      </c>
    </row>
    <row r="29" spans="1:8" ht="16.5" hidden="1" customHeight="1" thickBot="1">
      <c r="A29" s="971" t="s">
        <v>426</v>
      </c>
      <c r="B29" s="773">
        <f>+geral!G558</f>
        <v>0.14380000000000001</v>
      </c>
      <c r="C29" s="748">
        <f t="shared" si="0"/>
        <v>102.71428571428571</v>
      </c>
      <c r="D29" s="748">
        <f t="shared" si="9"/>
        <v>-0.20818875780707069</v>
      </c>
      <c r="E29" s="748">
        <f t="shared" si="7"/>
        <v>0.70028011204481544</v>
      </c>
      <c r="F29" s="749">
        <f t="shared" si="8"/>
        <v>0.34891835310537633</v>
      </c>
      <c r="G29" s="840"/>
      <c r="H29" s="842">
        <f>B$202/B29</f>
        <v>2.1031414869388052</v>
      </c>
    </row>
    <row r="30" spans="1:8" ht="16.5" hidden="1" customHeight="1" thickBot="1">
      <c r="A30" s="971" t="s">
        <v>427</v>
      </c>
      <c r="B30" s="773">
        <f>+geral!G559</f>
        <v>0.14319999999999999</v>
      </c>
      <c r="C30" s="748">
        <f t="shared" si="0"/>
        <v>102.28571428571428</v>
      </c>
      <c r="D30" s="748">
        <f t="shared" si="9"/>
        <v>-0.41724617524340202</v>
      </c>
      <c r="E30" s="748">
        <f t="shared" si="7"/>
        <v>0.28011204481792618</v>
      </c>
      <c r="F30" s="749">
        <f t="shared" si="8"/>
        <v>-0.8996539792387459</v>
      </c>
      <c r="G30" s="840"/>
      <c r="H30" s="842">
        <f>B$202/B30</f>
        <v>2.111953532275141</v>
      </c>
    </row>
    <row r="31" spans="1:8" ht="16.5" hidden="1" customHeight="1" thickBot="1">
      <c r="A31" s="971" t="s">
        <v>428</v>
      </c>
      <c r="B31" s="773">
        <f>+geral!G560</f>
        <v>0.14369999999999999</v>
      </c>
      <c r="C31" s="748">
        <f t="shared" si="0"/>
        <v>102.64285714285712</v>
      </c>
      <c r="D31" s="748">
        <f t="shared" si="9"/>
        <v>0.34916201117318746</v>
      </c>
      <c r="E31" s="748">
        <f t="shared" si="7"/>
        <v>0.6302521008403339</v>
      </c>
      <c r="F31" s="749">
        <f t="shared" si="8"/>
        <v>-0.34674063800277377</v>
      </c>
      <c r="G31" s="840"/>
      <c r="H31" s="842">
        <f>B$202/B31</f>
        <v>2.1046050509519847</v>
      </c>
    </row>
    <row r="32" spans="1:8" ht="16.5" hidden="1" customHeight="1" thickBot="1">
      <c r="A32" s="971" t="s">
        <v>429</v>
      </c>
      <c r="B32" s="773">
        <f>+geral!G561</f>
        <v>0.14480000000000001</v>
      </c>
      <c r="C32" s="748">
        <f t="shared" si="0"/>
        <v>103.42857142857142</v>
      </c>
      <c r="D32" s="748">
        <f t="shared" si="9"/>
        <v>0.76548364648574285</v>
      </c>
      <c r="E32" s="748">
        <f t="shared" ref="E32:E37" si="10">100*(B32/B$25-1)</f>
        <v>1.4005602240896309</v>
      </c>
      <c r="F32" s="749">
        <f t="shared" ref="F32:F37" si="11">100*(B32/B20-1)</f>
        <v>0.83565459610028814</v>
      </c>
      <c r="G32" s="840">
        <f t="shared" ref="G32:G37" si="12">100*(B32/B8-1)</f>
        <v>3.4285714285714253</v>
      </c>
      <c r="H32" s="842">
        <f>B$202/B32</f>
        <v>2.0886170291560786</v>
      </c>
    </row>
    <row r="33" spans="1:10" ht="16.5" hidden="1" customHeight="1" thickBot="1">
      <c r="A33" s="971" t="s">
        <v>430</v>
      </c>
      <c r="B33" s="773">
        <f>+geral!G562</f>
        <v>0.14510000000000001</v>
      </c>
      <c r="C33" s="748">
        <f t="shared" si="0"/>
        <v>103.64285714285714</v>
      </c>
      <c r="D33" s="748">
        <f t="shared" si="9"/>
        <v>0.20718232044198981</v>
      </c>
      <c r="E33" s="748">
        <f t="shared" si="10"/>
        <v>1.6106442577030755</v>
      </c>
      <c r="F33" s="749">
        <f t="shared" si="11"/>
        <v>1.3976240391334827</v>
      </c>
      <c r="G33" s="840">
        <f t="shared" si="12"/>
        <v>3.6428571428571477</v>
      </c>
      <c r="H33" s="842">
        <f>B$202/B33</f>
        <v>2.0842987306809109</v>
      </c>
    </row>
    <row r="34" spans="1:10" ht="16.5" hidden="1" customHeight="1" thickBot="1">
      <c r="A34" s="971" t="s">
        <v>431</v>
      </c>
      <c r="B34" s="773">
        <f>+geral!G563</f>
        <v>0.14560000000000001</v>
      </c>
      <c r="C34" s="748">
        <f t="shared" si="0"/>
        <v>104</v>
      </c>
      <c r="D34" s="748">
        <f t="shared" ref="D34:D39" si="13">100*(B34/B33-1)</f>
        <v>0.34458993797381599</v>
      </c>
      <c r="E34" s="748">
        <f t="shared" si="10"/>
        <v>1.9607843137254832</v>
      </c>
      <c r="F34" s="749">
        <f t="shared" si="11"/>
        <v>2.3909985935302469</v>
      </c>
      <c r="G34" s="840">
        <f t="shared" si="12"/>
        <v>4.0000000000000036</v>
      </c>
      <c r="H34" s="842">
        <f>B$202/B34</f>
        <v>2.077141111413463</v>
      </c>
    </row>
    <row r="35" spans="1:10" ht="16.5" hidden="1" customHeight="1" thickBot="1">
      <c r="A35" s="971" t="s">
        <v>432</v>
      </c>
      <c r="B35" s="773">
        <f>+geral!G564</f>
        <v>0.14610000000000001</v>
      </c>
      <c r="C35" s="748">
        <f t="shared" si="0"/>
        <v>104.35714285714286</v>
      </c>
      <c r="D35" s="748">
        <f t="shared" si="13"/>
        <v>0.34340659340659219</v>
      </c>
      <c r="E35" s="748">
        <f t="shared" si="10"/>
        <v>2.3109243697478909</v>
      </c>
      <c r="F35" s="749">
        <f t="shared" si="11"/>
        <v>3.3239038189533332</v>
      </c>
      <c r="G35" s="840">
        <f t="shared" si="12"/>
        <v>4.3571428571428594</v>
      </c>
      <c r="H35" s="842">
        <f>B$202/B35</f>
        <v>2.0700324833798782</v>
      </c>
    </row>
    <row r="36" spans="1:10" ht="16.5" hidden="1" customHeight="1" thickBot="1">
      <c r="A36" s="971" t="s">
        <v>433</v>
      </c>
      <c r="B36" s="773">
        <f>+geral!G565</f>
        <v>0.1467</v>
      </c>
      <c r="C36" s="748">
        <f t="shared" si="0"/>
        <v>104.78571428571428</v>
      </c>
      <c r="D36" s="748">
        <f t="shared" si="13"/>
        <v>0.41067761806981018</v>
      </c>
      <c r="E36" s="748">
        <f t="shared" si="10"/>
        <v>2.7310924369747802</v>
      </c>
      <c r="F36" s="749">
        <f t="shared" si="11"/>
        <v>3.1645569620253111</v>
      </c>
      <c r="G36" s="840">
        <f t="shared" si="12"/>
        <v>4.785714285714282</v>
      </c>
      <c r="H36" s="842">
        <f>B$202/B36</f>
        <v>2.0615660928548074</v>
      </c>
    </row>
    <row r="37" spans="1:10" ht="16.5" hidden="1" customHeight="1" thickBot="1">
      <c r="A37" s="971" t="s">
        <v>434</v>
      </c>
      <c r="B37" s="773">
        <f>+geral!G566</f>
        <v>0.14779999999999999</v>
      </c>
      <c r="C37" s="748">
        <f t="shared" si="0"/>
        <v>105.57142857142856</v>
      </c>
      <c r="D37" s="748">
        <f t="shared" si="13"/>
        <v>0.74982958418541301</v>
      </c>
      <c r="E37" s="748">
        <f t="shared" si="10"/>
        <v>3.5014005602240772</v>
      </c>
      <c r="F37" s="749">
        <f t="shared" si="11"/>
        <v>3.5014005602240772</v>
      </c>
      <c r="G37" s="840">
        <f t="shared" si="12"/>
        <v>5.5714285714285605</v>
      </c>
      <c r="H37" s="842">
        <f>B$202/B37</f>
        <v>2.0462229081312602</v>
      </c>
    </row>
    <row r="38" spans="1:10" ht="12.95" hidden="1" customHeight="1" thickBot="1">
      <c r="A38" s="971" t="s">
        <v>435</v>
      </c>
      <c r="B38" s="773">
        <f>+geral!I555</f>
        <v>0.14829999999999999</v>
      </c>
      <c r="C38" s="748">
        <f t="shared" ref="C38:C97" si="14">100*B38/$B$8</f>
        <v>105.9285714285714</v>
      </c>
      <c r="D38" s="748">
        <f t="shared" si="13"/>
        <v>0.33829499323410062</v>
      </c>
      <c r="E38" s="748">
        <f t="shared" ref="E38:E43" si="15">100*(B38/B$37-1)</f>
        <v>0.33829499323410062</v>
      </c>
      <c r="F38" s="749">
        <f t="shared" ref="F38:F43" si="16">100*(B38/B26-1)</f>
        <v>3.8515406162464849</v>
      </c>
      <c r="G38" s="840">
        <f t="shared" ref="G38:G43" si="17">100*(B38/B14-1)</f>
        <v>5.1027639971651162</v>
      </c>
      <c r="H38" s="842">
        <f>B$202/B38</f>
        <v>2.0393239772205005</v>
      </c>
    </row>
    <row r="39" spans="1:10" ht="16.5" hidden="1" customHeight="1" thickBot="1">
      <c r="A39" s="971" t="s">
        <v>436</v>
      </c>
      <c r="B39" s="773">
        <f>+geral!I556</f>
        <v>0.14910000000000001</v>
      </c>
      <c r="C39" s="748">
        <f t="shared" si="14"/>
        <v>106.49999999999999</v>
      </c>
      <c r="D39" s="748">
        <f t="shared" si="13"/>
        <v>0.53944706675659315</v>
      </c>
      <c r="E39" s="748">
        <f t="shared" si="15"/>
        <v>0.87956698240867492</v>
      </c>
      <c r="F39" s="749">
        <f t="shared" si="16"/>
        <v>3.4698126301179855</v>
      </c>
      <c r="G39" s="840">
        <f t="shared" si="17"/>
        <v>5.2223006351446832</v>
      </c>
      <c r="H39" s="842">
        <f>B$202/B39</f>
        <v>2.0283819303943673</v>
      </c>
    </row>
    <row r="40" spans="1:10" ht="16.5" hidden="1" customHeight="1" thickBot="1">
      <c r="A40" s="971" t="s">
        <v>437</v>
      </c>
      <c r="B40" s="773">
        <f>+geral!I557</f>
        <v>0.14949999999999999</v>
      </c>
      <c r="C40" s="748">
        <f t="shared" si="14"/>
        <v>106.78571428571426</v>
      </c>
      <c r="D40" s="748">
        <f t="shared" ref="D40:D49" si="18">100*(B40/B39-1)</f>
        <v>0.26827632461434714</v>
      </c>
      <c r="E40" s="748">
        <f t="shared" si="15"/>
        <v>1.150202976995951</v>
      </c>
      <c r="F40" s="749">
        <f t="shared" si="16"/>
        <v>3.7473976405274056</v>
      </c>
      <c r="G40" s="840">
        <f t="shared" si="17"/>
        <v>5.2076002814918976</v>
      </c>
      <c r="H40" s="842">
        <f>B$202/B40</f>
        <v>2.0229548215505031</v>
      </c>
    </row>
    <row r="41" spans="1:10" ht="16.5" hidden="1" customHeight="1" thickBot="1">
      <c r="A41" s="971" t="s">
        <v>438</v>
      </c>
      <c r="B41" s="773">
        <f>+geral!I558</f>
        <v>0.15</v>
      </c>
      <c r="C41" s="748">
        <f t="shared" si="14"/>
        <v>107.14285714285714</v>
      </c>
      <c r="D41" s="748">
        <f t="shared" si="18"/>
        <v>0.33444816053511683</v>
      </c>
      <c r="E41" s="748">
        <f t="shared" si="15"/>
        <v>1.4884979702300516</v>
      </c>
      <c r="F41" s="749">
        <f t="shared" si="16"/>
        <v>4.311543810848395</v>
      </c>
      <c r="G41" s="840">
        <f t="shared" si="17"/>
        <v>4.6755059316119896</v>
      </c>
      <c r="H41" s="842">
        <f>B$202/B41</f>
        <v>2.0162116388120017</v>
      </c>
    </row>
    <row r="42" spans="1:10" ht="16.5" hidden="1" customHeight="1" thickBot="1">
      <c r="A42" s="971" t="s">
        <v>439</v>
      </c>
      <c r="B42" s="773">
        <f>+geral!I559</f>
        <v>0.15</v>
      </c>
      <c r="C42" s="748">
        <f t="shared" si="14"/>
        <v>107.14285714285714</v>
      </c>
      <c r="D42" s="748">
        <f t="shared" si="18"/>
        <v>0</v>
      </c>
      <c r="E42" s="748">
        <f t="shared" si="15"/>
        <v>1.4884979702300516</v>
      </c>
      <c r="F42" s="749">
        <f t="shared" si="16"/>
        <v>4.748603351955305</v>
      </c>
      <c r="G42" s="840">
        <f t="shared" si="17"/>
        <v>3.8062283737024361</v>
      </c>
      <c r="H42" s="842">
        <f>B$202/B42</f>
        <v>2.0162116388120017</v>
      </c>
    </row>
    <row r="43" spans="1:10" ht="16.5" hidden="1" customHeight="1" thickBot="1">
      <c r="A43" s="971" t="s">
        <v>440</v>
      </c>
      <c r="B43" s="773">
        <f>+geral!I560</f>
        <v>0.15</v>
      </c>
      <c r="C43" s="748">
        <f t="shared" si="14"/>
        <v>107.14285714285714</v>
      </c>
      <c r="D43" s="748">
        <f t="shared" si="18"/>
        <v>0</v>
      </c>
      <c r="E43" s="748">
        <f t="shared" si="15"/>
        <v>1.4884979702300516</v>
      </c>
      <c r="F43" s="749">
        <f t="shared" si="16"/>
        <v>4.3841336116910323</v>
      </c>
      <c r="G43" s="840">
        <f t="shared" si="17"/>
        <v>4.0221914008321757</v>
      </c>
      <c r="H43" s="842">
        <f>B$202/B43</f>
        <v>2.0162116388120017</v>
      </c>
    </row>
    <row r="44" spans="1:10" ht="16.5" hidden="1" customHeight="1" thickBot="1">
      <c r="A44" s="971" t="s">
        <v>441</v>
      </c>
      <c r="B44" s="773">
        <f>+geral!I561</f>
        <v>0.15009163479854343</v>
      </c>
      <c r="C44" s="748">
        <f t="shared" si="14"/>
        <v>107.20831057038815</v>
      </c>
      <c r="D44" s="748">
        <f t="shared" si="18"/>
        <v>6.1089865695618251E-2</v>
      </c>
      <c r="E44" s="748">
        <f t="shared" ref="E44:E49" si="19">100*(B44/B$37-1)</f>
        <v>1.5504971573365722</v>
      </c>
      <c r="F44" s="749">
        <f t="shared" ref="F44:F49" si="20">100*(B44/B32-1)</f>
        <v>3.6544439216460001</v>
      </c>
      <c r="G44" s="840">
        <f t="shared" ref="G44:G49" si="21">100*(B44/B20-1)</f>
        <v>4.5206370463394263</v>
      </c>
      <c r="H44" s="842">
        <f>B$202/B44</f>
        <v>2.0149806898148008</v>
      </c>
      <c r="I44" s="779" t="s">
        <v>241</v>
      </c>
      <c r="J44" s="780"/>
    </row>
    <row r="45" spans="1:10" ht="16.5" hidden="1" customHeight="1" thickBot="1">
      <c r="A45" s="971" t="s">
        <v>442</v>
      </c>
      <c r="B45" s="773">
        <f>+geral!I562</f>
        <v>0.15057192802989836</v>
      </c>
      <c r="C45" s="748">
        <f t="shared" si="14"/>
        <v>107.55137716421309</v>
      </c>
      <c r="D45" s="748">
        <f t="shared" si="18"/>
        <v>0.31999999999972051</v>
      </c>
      <c r="E45" s="748">
        <f t="shared" si="19"/>
        <v>1.8754587482397556</v>
      </c>
      <c r="F45" s="749">
        <f t="shared" si="20"/>
        <v>3.7711426808396675</v>
      </c>
      <c r="G45" s="840">
        <f t="shared" si="21"/>
        <v>5.2214731166305706</v>
      </c>
      <c r="H45" s="842">
        <f>B$202/B45</f>
        <v>2.0085533191933878</v>
      </c>
    </row>
    <row r="46" spans="1:10" ht="16.5" hidden="1" customHeight="1" thickBot="1">
      <c r="A46" s="971" t="s">
        <v>443</v>
      </c>
      <c r="B46" s="773">
        <f>+geral!I563</f>
        <v>0.15097717544385442</v>
      </c>
      <c r="C46" s="748">
        <f t="shared" si="14"/>
        <v>107.84083960275314</v>
      </c>
      <c r="D46" s="748">
        <f t="shared" si="18"/>
        <v>0.26913875598086889</v>
      </c>
      <c r="E46" s="748">
        <f t="shared" si="19"/>
        <v>2.149645090564567</v>
      </c>
      <c r="F46" s="749">
        <f t="shared" si="20"/>
        <v>3.6931150026472626</v>
      </c>
      <c r="G46" s="840">
        <f t="shared" si="21"/>
        <v>6.1724159239482601</v>
      </c>
      <c r="H46" s="842">
        <f>B$202/B46</f>
        <v>2.0031620338152965</v>
      </c>
    </row>
    <row r="47" spans="1:10" ht="16.5" hidden="1" customHeight="1" thickBot="1">
      <c r="A47" s="971" t="s">
        <v>444</v>
      </c>
      <c r="B47" s="773">
        <f>+geral!I564</f>
        <v>0.15135461838246406</v>
      </c>
      <c r="C47" s="748">
        <f t="shared" si="14"/>
        <v>108.11044170176002</v>
      </c>
      <c r="D47" s="748">
        <f t="shared" si="18"/>
        <v>0.24999999999999467</v>
      </c>
      <c r="E47" s="748">
        <f t="shared" si="19"/>
        <v>2.4050192032909701</v>
      </c>
      <c r="F47" s="749">
        <f t="shared" si="20"/>
        <v>3.5965902686269979</v>
      </c>
      <c r="G47" s="840">
        <f t="shared" si="21"/>
        <v>7.0400412888713237</v>
      </c>
      <c r="H47" s="842">
        <f>B$202/B47</f>
        <v>1.998166617272116</v>
      </c>
    </row>
    <row r="48" spans="1:10" ht="16.5" hidden="1" customHeight="1" thickBot="1">
      <c r="A48" s="971" t="s">
        <v>445</v>
      </c>
      <c r="B48" s="773">
        <f>+geral!I565</f>
        <v>0.15180868223761143</v>
      </c>
      <c r="C48" s="748">
        <f t="shared" si="14"/>
        <v>108.4347730268653</v>
      </c>
      <c r="D48" s="748">
        <f t="shared" si="18"/>
        <v>0.29999999999998916</v>
      </c>
      <c r="E48" s="748">
        <f t="shared" si="19"/>
        <v>2.7122342609008365</v>
      </c>
      <c r="F48" s="749">
        <f t="shared" si="20"/>
        <v>3.4824009799669042</v>
      </c>
      <c r="G48" s="840">
        <f t="shared" si="21"/>
        <v>6.7571605046493843</v>
      </c>
      <c r="H48" s="842">
        <f>B$202/B48</f>
        <v>1.9921900471307239</v>
      </c>
    </row>
    <row r="49" spans="1:8" ht="16.5" hidden="1" customHeight="1" thickBot="1">
      <c r="A49" s="971" t="s">
        <v>446</v>
      </c>
      <c r="B49" s="773">
        <f>+geral!I566</f>
        <v>0.15246145957123317</v>
      </c>
      <c r="C49" s="748">
        <f t="shared" si="14"/>
        <v>108.90104255088082</v>
      </c>
      <c r="D49" s="748">
        <f t="shared" si="18"/>
        <v>0.42999999999999705</v>
      </c>
      <c r="E49" s="748">
        <f t="shared" si="19"/>
        <v>3.1538968682227164</v>
      </c>
      <c r="F49" s="749">
        <f t="shared" si="20"/>
        <v>3.1538968682227164</v>
      </c>
      <c r="G49" s="840">
        <f t="shared" si="21"/>
        <v>6.7657279910596335</v>
      </c>
      <c r="H49" s="842">
        <f>B$202/B49</f>
        <v>1.9836603078071531</v>
      </c>
    </row>
    <row r="50" spans="1:8" ht="16.5" hidden="1" customHeight="1" thickBot="1">
      <c r="A50" s="971" t="s">
        <v>447</v>
      </c>
      <c r="B50" s="773">
        <f>geral!K555</f>
        <v>0.15394033572907415</v>
      </c>
      <c r="C50" s="748">
        <f t="shared" si="14"/>
        <v>109.95738266362437</v>
      </c>
      <c r="D50" s="748">
        <f t="shared" ref="D50:D55" si="22">100*(B50/B49-1)</f>
        <v>0.97000000000000419</v>
      </c>
      <c r="E50" s="748">
        <f t="shared" ref="E50:E55" si="23">100*(B50/B$49-1)</f>
        <v>0.97000000000000419</v>
      </c>
      <c r="F50" s="749">
        <f t="shared" ref="F50:F55" si="24">100*(B50/B38-1)</f>
        <v>3.803328205714207</v>
      </c>
      <c r="G50" s="840">
        <f t="shared" ref="G50:G55" si="25">100*(B50/B26-1)</f>
        <v>7.8013555525729306</v>
      </c>
      <c r="H50" s="842">
        <f>B$202/B50</f>
        <v>1.9646036523790757</v>
      </c>
    </row>
    <row r="51" spans="1:8" ht="16.5" hidden="1" customHeight="1" thickBot="1">
      <c r="A51" s="971" t="s">
        <v>448</v>
      </c>
      <c r="B51" s="773">
        <f>geral!K556</f>
        <v>0.15497173597845892</v>
      </c>
      <c r="C51" s="748">
        <f t="shared" si="14"/>
        <v>110.69409712747064</v>
      </c>
      <c r="D51" s="750">
        <f t="shared" si="22"/>
        <v>0.66999999999999282</v>
      </c>
      <c r="E51" s="750">
        <f t="shared" si="23"/>
        <v>1.6464990000000013</v>
      </c>
      <c r="F51" s="751">
        <f t="shared" si="24"/>
        <v>3.9381193685170457</v>
      </c>
      <c r="G51" s="840">
        <f t="shared" si="25"/>
        <v>7.5445773618729506</v>
      </c>
      <c r="H51" s="842">
        <f>B$202/B51</f>
        <v>1.9515284120185519</v>
      </c>
    </row>
    <row r="52" spans="1:8" ht="16.5" hidden="1" customHeight="1" thickBot="1">
      <c r="A52" s="971" t="s">
        <v>449</v>
      </c>
      <c r="B52" s="773">
        <f>geral!K557</f>
        <v>0.15574653616102363</v>
      </c>
      <c r="C52" s="748">
        <f t="shared" si="14"/>
        <v>111.24752582930259</v>
      </c>
      <c r="D52" s="750">
        <f t="shared" si="22"/>
        <v>0.49996225290551699</v>
      </c>
      <c r="E52" s="750">
        <f t="shared" si="23"/>
        <v>2.154693126399998</v>
      </c>
      <c r="F52" s="751">
        <f t="shared" si="24"/>
        <v>4.1782850575408981</v>
      </c>
      <c r="G52" s="840">
        <f t="shared" si="25"/>
        <v>8.0822596537290856</v>
      </c>
      <c r="H52" s="842">
        <f>B$202/B52</f>
        <v>1.941820044775322</v>
      </c>
    </row>
    <row r="53" spans="1:8" ht="16.5" hidden="1" customHeight="1" thickBot="1">
      <c r="A53" s="971" t="s">
        <v>450</v>
      </c>
      <c r="B53" s="773">
        <f>geral!K558</f>
        <v>0.15654084349544486</v>
      </c>
      <c r="C53" s="748">
        <f t="shared" si="14"/>
        <v>111.81488821103204</v>
      </c>
      <c r="D53" s="750">
        <f t="shared" si="22"/>
        <v>0.51000000000001044</v>
      </c>
      <c r="E53" s="750">
        <f t="shared" si="23"/>
        <v>2.6756820613446308</v>
      </c>
      <c r="F53" s="751">
        <f t="shared" si="24"/>
        <v>4.3605623302965801</v>
      </c>
      <c r="G53" s="840">
        <f t="shared" si="25"/>
        <v>8.8601136964150626</v>
      </c>
      <c r="H53" s="842">
        <f>B$202/B53</f>
        <v>1.9319670130089761</v>
      </c>
    </row>
    <row r="54" spans="1:8" ht="16.5" hidden="1" customHeight="1" thickBot="1">
      <c r="A54" s="971" t="s">
        <v>451</v>
      </c>
      <c r="B54" s="773">
        <f>geral!K559</f>
        <v>0.15754270489381569</v>
      </c>
      <c r="C54" s="748">
        <f t="shared" si="14"/>
        <v>112.53050349558264</v>
      </c>
      <c r="D54" s="750">
        <f t="shared" si="22"/>
        <v>0.63999999999999613</v>
      </c>
      <c r="E54" s="750">
        <f t="shared" si="23"/>
        <v>3.3328064265372381</v>
      </c>
      <c r="F54" s="751">
        <f t="shared" si="24"/>
        <v>5.0284699292104662</v>
      </c>
      <c r="G54" s="840">
        <f t="shared" si="25"/>
        <v>10.015855372776317</v>
      </c>
      <c r="H54" s="842">
        <f>B$202/B54</f>
        <v>1.9196810542617013</v>
      </c>
    </row>
    <row r="55" spans="1:8" ht="16.5" hidden="1" customHeight="1" thickBot="1">
      <c r="A55" s="971" t="s">
        <v>452</v>
      </c>
      <c r="B55" s="773">
        <f>geral!K560</f>
        <v>0.15909999999999999</v>
      </c>
      <c r="C55" s="748">
        <f t="shared" si="14"/>
        <v>113.64285714285712</v>
      </c>
      <c r="D55" s="750">
        <f t="shared" si="22"/>
        <v>0.98849077603049285</v>
      </c>
      <c r="E55" s="750">
        <f t="shared" si="23"/>
        <v>4.3542416866769962</v>
      </c>
      <c r="F55" s="751">
        <f t="shared" si="24"/>
        <v>6.0666666666666647</v>
      </c>
      <c r="G55" s="840">
        <f t="shared" si="25"/>
        <v>10.716771050800267</v>
      </c>
      <c r="H55" s="842">
        <f>B$202/B55</f>
        <v>1.9008909228271542</v>
      </c>
    </row>
    <row r="56" spans="1:8" ht="16.5" hidden="1" customHeight="1" thickBot="1">
      <c r="A56" s="971" t="s">
        <v>453</v>
      </c>
      <c r="B56" s="773">
        <f>geral!K561</f>
        <v>0.1605</v>
      </c>
      <c r="C56" s="748">
        <f t="shared" si="14"/>
        <v>114.64285714285714</v>
      </c>
      <c r="D56" s="750">
        <f t="shared" ref="D56:D61" si="26">100*(B56/B55-1)</f>
        <v>0.87994971715903425</v>
      </c>
      <c r="E56" s="750">
        <f t="shared" ref="E56:E61" si="27">100*(B56/B$49-1)</f>
        <v>5.2725065412423611</v>
      </c>
      <c r="F56" s="751">
        <f t="shared" ref="F56:F61" si="28">100*(B56/B44-1)</f>
        <v>6.9346737514232037</v>
      </c>
      <c r="G56" s="840">
        <f t="shared" ref="G56:G61" si="29">100*(B56/B32-1)</f>
        <v>10.842541436464082</v>
      </c>
      <c r="H56" s="842">
        <f>B$202/B56</f>
        <v>1.8843099428149546</v>
      </c>
    </row>
    <row r="57" spans="1:8" ht="16.5" hidden="1" customHeight="1" thickBot="1">
      <c r="A57" s="971" t="s">
        <v>454</v>
      </c>
      <c r="B57" s="773">
        <f>geral!K562</f>
        <v>0.16143343100118457</v>
      </c>
      <c r="C57" s="748">
        <f t="shared" si="14"/>
        <v>115.30959357227468</v>
      </c>
      <c r="D57" s="750">
        <f t="shared" si="26"/>
        <v>0.5815769477785393</v>
      </c>
      <c r="E57" s="750">
        <f t="shared" si="27"/>
        <v>5.8847471716348743</v>
      </c>
      <c r="F57" s="751">
        <f t="shared" si="28"/>
        <v>7.213497969641125</v>
      </c>
      <c r="G57" s="840">
        <f t="shared" si="29"/>
        <v>11.256671951195418</v>
      </c>
      <c r="H57" s="842">
        <f>B$202/B57</f>
        <v>1.8734145953918369</v>
      </c>
    </row>
    <row r="58" spans="1:8" ht="16.5" hidden="1" customHeight="1" thickBot="1">
      <c r="A58" s="971" t="s">
        <v>455</v>
      </c>
      <c r="B58" s="773">
        <f>geral!K563</f>
        <v>0.16177244120628706</v>
      </c>
      <c r="C58" s="748">
        <f t="shared" si="14"/>
        <v>115.55174371877646</v>
      </c>
      <c r="D58" s="750">
        <f t="shared" si="26"/>
        <v>0.20999999999999908</v>
      </c>
      <c r="E58" s="750">
        <f t="shared" si="27"/>
        <v>6.1071051406953236</v>
      </c>
      <c r="F58" s="751">
        <f t="shared" si="28"/>
        <v>7.1502634293534095</v>
      </c>
      <c r="G58" s="840">
        <f t="shared" si="29"/>
        <v>11.107445883438904</v>
      </c>
      <c r="H58" s="842">
        <f>B$202/B58</f>
        <v>1.8694886691865451</v>
      </c>
    </row>
    <row r="59" spans="1:8" ht="16.5" hidden="1" customHeight="1" thickBot="1">
      <c r="A59" s="971" t="s">
        <v>456</v>
      </c>
      <c r="B59" s="773">
        <f>geral!K564</f>
        <v>0.16201509986809651</v>
      </c>
      <c r="C59" s="748">
        <f t="shared" si="14"/>
        <v>115.72507133435464</v>
      </c>
      <c r="D59" s="750">
        <f t="shared" si="26"/>
        <v>0.15000000000000568</v>
      </c>
      <c r="E59" s="750">
        <f t="shared" si="27"/>
        <v>6.2662657984063674</v>
      </c>
      <c r="F59" s="751">
        <f t="shared" si="28"/>
        <v>7.0433803735635347</v>
      </c>
      <c r="G59" s="840">
        <f t="shared" si="29"/>
        <v>10.893292175288494</v>
      </c>
      <c r="H59" s="842">
        <f>B$202/B59</f>
        <v>1.8666886362321966</v>
      </c>
    </row>
    <row r="60" spans="1:8" ht="16.5" hidden="1" customHeight="1" thickBot="1">
      <c r="A60" s="971" t="s">
        <v>457</v>
      </c>
      <c r="B60" s="773">
        <f>geral!K565</f>
        <v>0.16282517536743699</v>
      </c>
      <c r="C60" s="748">
        <f t="shared" si="14"/>
        <v>116.3036966910264</v>
      </c>
      <c r="D60" s="750">
        <f t="shared" si="26"/>
        <v>0.49999999999998934</v>
      </c>
      <c r="E60" s="750">
        <f t="shared" si="27"/>
        <v>6.7975971273984026</v>
      </c>
      <c r="F60" s="751">
        <f t="shared" si="28"/>
        <v>7.2568267950462229</v>
      </c>
      <c r="G60" s="840">
        <f t="shared" si="29"/>
        <v>10.991939582438292</v>
      </c>
      <c r="H60" s="842">
        <f>B$202/B60</f>
        <v>1.857401628091738</v>
      </c>
    </row>
    <row r="61" spans="1:8" ht="16.5" hidden="1" customHeight="1" thickBot="1">
      <c r="A61" s="971" t="s">
        <v>458</v>
      </c>
      <c r="B61" s="773">
        <f>geral!K566</f>
        <v>0.16344391103383324</v>
      </c>
      <c r="C61" s="748">
        <f t="shared" si="14"/>
        <v>116.7456507384523</v>
      </c>
      <c r="D61" s="750">
        <f t="shared" si="26"/>
        <v>0.38000000000000256</v>
      </c>
      <c r="E61" s="750">
        <f t="shared" si="27"/>
        <v>7.2034279964825032</v>
      </c>
      <c r="F61" s="751">
        <f t="shared" si="28"/>
        <v>7.2034279964825032</v>
      </c>
      <c r="G61" s="840">
        <f t="shared" si="29"/>
        <v>10.584513554690966</v>
      </c>
      <c r="H61" s="842">
        <f>B$202/B61</f>
        <v>1.8503702212509843</v>
      </c>
    </row>
    <row r="62" spans="1:8" ht="16.5" hidden="1" customHeight="1" thickBot="1">
      <c r="A62" s="971" t="s">
        <v>459</v>
      </c>
      <c r="B62" s="773">
        <f>geral!M555</f>
        <v>0.16391789837583134</v>
      </c>
      <c r="C62" s="748">
        <f t="shared" si="14"/>
        <v>117.08421312559379</v>
      </c>
      <c r="D62" s="750">
        <f t="shared" ref="D62:D67" si="30">100*(B62/B61-1)</f>
        <v>0.28999999999999027</v>
      </c>
      <c r="E62" s="750">
        <f t="shared" ref="E62:E67" si="31">100*(B62/B$61-1)</f>
        <v>0.28999999999999027</v>
      </c>
      <c r="F62" s="751">
        <f t="shared" ref="F62:F67" si="32">100*(B62/B50-1)</f>
        <v>6.4814478931091379</v>
      </c>
      <c r="G62" s="840">
        <f t="shared" ref="G62:G67" si="33">100*(B62/B38-1)</f>
        <v>10.531286834680609</v>
      </c>
      <c r="H62" s="842">
        <f>B$202/B62</f>
        <v>1.8450196642247327</v>
      </c>
    </row>
    <row r="63" spans="1:8" ht="16.5" hidden="1" customHeight="1" thickBot="1">
      <c r="A63" s="971" t="s">
        <v>460</v>
      </c>
      <c r="B63" s="773">
        <f>geral!M556</f>
        <v>0.16496697292543666</v>
      </c>
      <c r="C63" s="748">
        <f t="shared" si="14"/>
        <v>117.83355208959759</v>
      </c>
      <c r="D63" s="750">
        <f t="shared" si="30"/>
        <v>0.63999999999999613</v>
      </c>
      <c r="E63" s="750">
        <f t="shared" si="31"/>
        <v>0.93185599999998647</v>
      </c>
      <c r="F63" s="751">
        <f t="shared" si="32"/>
        <v>6.4497160620095695</v>
      </c>
      <c r="G63" s="840">
        <f t="shared" si="33"/>
        <v>10.64183294797898</v>
      </c>
      <c r="H63" s="842">
        <f>B$202/B63</f>
        <v>1.8332866297940509</v>
      </c>
    </row>
    <row r="64" spans="1:8" ht="16.5" hidden="1" customHeight="1" thickBot="1">
      <c r="A64" s="971" t="s">
        <v>461</v>
      </c>
      <c r="B64" s="773">
        <f>geral!M557</f>
        <v>0.16549486723879808</v>
      </c>
      <c r="C64" s="748">
        <f t="shared" si="14"/>
        <v>118.21061945628433</v>
      </c>
      <c r="D64" s="750">
        <f t="shared" si="30"/>
        <v>0.32000000000000917</v>
      </c>
      <c r="E64" s="750">
        <f t="shared" si="31"/>
        <v>1.2548379392000042</v>
      </c>
      <c r="F64" s="751">
        <f t="shared" si="32"/>
        <v>6.2590997643092505</v>
      </c>
      <c r="G64" s="840">
        <f t="shared" si="33"/>
        <v>10.698907852038865</v>
      </c>
      <c r="H64" s="842">
        <f>B$202/B64</f>
        <v>1.8274388255522833</v>
      </c>
    </row>
    <row r="65" spans="1:8" ht="16.5" hidden="1" customHeight="1" thickBot="1">
      <c r="A65" s="971" t="s">
        <v>462</v>
      </c>
      <c r="B65" s="773">
        <f>geral!M558</f>
        <v>0.16582585697327568</v>
      </c>
      <c r="C65" s="748">
        <f t="shared" si="14"/>
        <v>118.44704069519689</v>
      </c>
      <c r="D65" s="750">
        <f t="shared" si="30"/>
        <v>0.20000000000000018</v>
      </c>
      <c r="E65" s="750">
        <f t="shared" si="31"/>
        <v>1.4573476150784082</v>
      </c>
      <c r="F65" s="751">
        <f t="shared" si="32"/>
        <v>5.9313679871036307</v>
      </c>
      <c r="G65" s="840">
        <f t="shared" si="33"/>
        <v>10.550571315517132</v>
      </c>
      <c r="H65" s="842">
        <f>B$202/B65</f>
        <v>1.8237912430661509</v>
      </c>
    </row>
    <row r="66" spans="1:8" ht="16.5" hidden="1" customHeight="1" thickBot="1">
      <c r="A66" s="971" t="s">
        <v>463</v>
      </c>
      <c r="B66" s="773">
        <f>geral!M559</f>
        <v>0.16557711818781576</v>
      </c>
      <c r="C66" s="748">
        <f t="shared" si="14"/>
        <v>118.26937013415412</v>
      </c>
      <c r="D66" s="750">
        <f t="shared" si="30"/>
        <v>-0.15000000000000568</v>
      </c>
      <c r="E66" s="750">
        <f t="shared" si="31"/>
        <v>1.3051615936557903</v>
      </c>
      <c r="F66" s="751">
        <f t="shared" si="32"/>
        <v>5.0998320102573436</v>
      </c>
      <c r="G66" s="840">
        <f t="shared" si="33"/>
        <v>10.384745458543843</v>
      </c>
      <c r="H66" s="842">
        <f>B$202/B66</f>
        <v>1.8265310396255894</v>
      </c>
    </row>
    <row r="67" spans="1:8" ht="16.5" hidden="1" customHeight="1" thickBot="1">
      <c r="A67" s="971" t="s">
        <v>464</v>
      </c>
      <c r="B67" s="773">
        <f>geral!M560</f>
        <v>0.16657058089694265</v>
      </c>
      <c r="C67" s="748">
        <f t="shared" si="14"/>
        <v>118.97898635495903</v>
      </c>
      <c r="D67" s="750">
        <f t="shared" si="30"/>
        <v>0.60000000000000053</v>
      </c>
      <c r="E67" s="750">
        <f t="shared" si="31"/>
        <v>1.9129925632177303</v>
      </c>
      <c r="F67" s="751">
        <f t="shared" si="32"/>
        <v>4.6955253909130468</v>
      </c>
      <c r="G67" s="840">
        <f t="shared" si="33"/>
        <v>11.047053931295103</v>
      </c>
      <c r="H67" s="842">
        <f>B$202/B67</f>
        <v>1.8156372163276238</v>
      </c>
    </row>
    <row r="68" spans="1:8" ht="16.5" hidden="1" customHeight="1" thickBot="1">
      <c r="A68" s="971" t="s">
        <v>465</v>
      </c>
      <c r="B68" s="773">
        <f>geral!M561</f>
        <v>0.1673</v>
      </c>
      <c r="C68" s="748">
        <f t="shared" si="14"/>
        <v>119.49999999999999</v>
      </c>
      <c r="D68" s="750">
        <f t="shared" ref="D68:D73" si="34">100*(B68/B67-1)</f>
        <v>0.43790391984563914</v>
      </c>
      <c r="E68" s="750">
        <f t="shared" ref="E68:E73" si="35">100*(B68/B$61-1)</f>
        <v>2.3592735524840425</v>
      </c>
      <c r="F68" s="751">
        <f t="shared" ref="F68:F73" si="36">100*(B68/B56-1)</f>
        <v>4.2367601246105835</v>
      </c>
      <c r="G68" s="840">
        <f t="shared" ref="G68:G73" si="37">100*(B68/B44-1)</f>
        <v>11.465239368305946</v>
      </c>
      <c r="H68" s="842">
        <f>B$202/B68</f>
        <v>1.8077211346192481</v>
      </c>
    </row>
    <row r="69" spans="1:8" ht="16.5" hidden="1" customHeight="1" thickBot="1">
      <c r="A69" s="971" t="s">
        <v>466</v>
      </c>
      <c r="B69" s="773">
        <f>geral!M562</f>
        <v>0.16765489874458425</v>
      </c>
      <c r="C69" s="748">
        <f t="shared" si="14"/>
        <v>119.75349910327445</v>
      </c>
      <c r="D69" s="750">
        <f t="shared" si="34"/>
        <v>0.21213314081545143</v>
      </c>
      <c r="E69" s="750">
        <f t="shared" si="35"/>
        <v>2.5764114943868099</v>
      </c>
      <c r="F69" s="751">
        <f t="shared" si="36"/>
        <v>3.8538905509318155</v>
      </c>
      <c r="G69" s="840">
        <f t="shared" si="37"/>
        <v>11.345388837216607</v>
      </c>
      <c r="H69" s="842">
        <f>B$202/B69</f>
        <v>1.803894476609021</v>
      </c>
    </row>
    <row r="70" spans="1:8" ht="16.5" hidden="1" customHeight="1" thickBot="1">
      <c r="A70" s="971" t="s">
        <v>467</v>
      </c>
      <c r="B70" s="773">
        <f>geral!M563</f>
        <v>0.1677890226635799</v>
      </c>
      <c r="C70" s="748">
        <f t="shared" si="14"/>
        <v>119.84930190255704</v>
      </c>
      <c r="D70" s="750">
        <f t="shared" si="34"/>
        <v>7.9999999999991189E-2</v>
      </c>
      <c r="E70" s="750">
        <f t="shared" si="35"/>
        <v>2.6584726235822975</v>
      </c>
      <c r="F70" s="751">
        <f t="shared" si="36"/>
        <v>3.7191634201901413</v>
      </c>
      <c r="G70" s="840">
        <f t="shared" si="37"/>
        <v>11.13535683145528</v>
      </c>
      <c r="H70" s="842">
        <f>B$202/B70</f>
        <v>1.8024525145973433</v>
      </c>
    </row>
    <row r="71" spans="1:8" ht="16.5" hidden="1" customHeight="1" thickBot="1">
      <c r="A71" s="971" t="s">
        <v>468</v>
      </c>
      <c r="B71" s="773">
        <f>geral!M564</f>
        <v>0.16805748509984164</v>
      </c>
      <c r="C71" s="748">
        <f t="shared" si="14"/>
        <v>120.04106078560115</v>
      </c>
      <c r="D71" s="750">
        <f t="shared" si="34"/>
        <v>0.16000000000000458</v>
      </c>
      <c r="E71" s="750">
        <f t="shared" si="35"/>
        <v>2.8227261797800329</v>
      </c>
      <c r="F71" s="751">
        <f t="shared" si="36"/>
        <v>3.7295198019595022</v>
      </c>
      <c r="G71" s="840">
        <f t="shared" si="37"/>
        <v>11.03558444128241</v>
      </c>
      <c r="H71" s="842">
        <f>B$202/B71</f>
        <v>1.7995731974813729</v>
      </c>
    </row>
    <row r="72" spans="1:8" ht="16.5" hidden="1" customHeight="1" thickBot="1">
      <c r="A72" s="971" t="s">
        <v>469</v>
      </c>
      <c r="B72" s="773">
        <f>geral!M565</f>
        <v>0.16846082306408125</v>
      </c>
      <c r="C72" s="748">
        <f t="shared" si="14"/>
        <v>120.32915933148659</v>
      </c>
      <c r="D72" s="750">
        <f t="shared" si="34"/>
        <v>0.23999999999999577</v>
      </c>
      <c r="E72" s="750">
        <f t="shared" si="35"/>
        <v>3.0695007226114956</v>
      </c>
      <c r="F72" s="751">
        <f t="shared" si="36"/>
        <v>3.4611648253574101</v>
      </c>
      <c r="G72" s="840">
        <f t="shared" si="37"/>
        <v>10.969162356870887</v>
      </c>
      <c r="H72" s="842">
        <f>B$202/B72</f>
        <v>1.795264562531298</v>
      </c>
    </row>
    <row r="73" spans="1:8" ht="16.5" hidden="1" customHeight="1" thickBot="1">
      <c r="A73" s="971" t="s">
        <v>470</v>
      </c>
      <c r="B73" s="773">
        <f>geral!M566</f>
        <v>0.16908412810941836</v>
      </c>
      <c r="C73" s="748">
        <f t="shared" si="14"/>
        <v>120.77437722101311</v>
      </c>
      <c r="D73" s="750">
        <f t="shared" si="34"/>
        <v>0.37000000000000366</v>
      </c>
      <c r="E73" s="750">
        <f t="shared" si="35"/>
        <v>3.4508578752851626</v>
      </c>
      <c r="F73" s="751">
        <f t="shared" si="36"/>
        <v>3.4508578752851626</v>
      </c>
      <c r="G73" s="840">
        <f t="shared" si="37"/>
        <v>10.902865934074789</v>
      </c>
      <c r="H73" s="842">
        <f>B$202/B73</f>
        <v>1.7886465702214784</v>
      </c>
    </row>
    <row r="74" spans="1:8" ht="16.5" hidden="1" customHeight="1" thickBot="1">
      <c r="A74" s="971" t="s">
        <v>471</v>
      </c>
      <c r="B74" s="773">
        <f>geral!O555</f>
        <v>0.16948993001688095</v>
      </c>
      <c r="C74" s="748">
        <f t="shared" si="14"/>
        <v>121.06423572634353</v>
      </c>
      <c r="D74" s="750">
        <f t="shared" ref="D74:D79" si="38">100*(B74/B73-1)</f>
        <v>0.23999999999999577</v>
      </c>
      <c r="E74" s="750">
        <f t="shared" ref="E74:E79" si="39">100*(B74/B$73-1)</f>
        <v>0.23999999999999577</v>
      </c>
      <c r="F74" s="751">
        <f t="shared" ref="F74:F79" si="40">100*(B74/B62-1)</f>
        <v>3.3992820163384785</v>
      </c>
      <c r="G74" s="840">
        <f t="shared" ref="G74:G79" si="41">100*(B74/B50-1)</f>
        <v>10.101052602076411</v>
      </c>
      <c r="H74" s="842">
        <f>B$202/B74</f>
        <v>1.7843640963901422</v>
      </c>
    </row>
    <row r="75" spans="1:8" ht="16.5" hidden="1" customHeight="1" thickBot="1">
      <c r="A75" s="971" t="s">
        <v>472</v>
      </c>
      <c r="B75" s="773">
        <f>geral!O556</f>
        <v>0.17091364542902274</v>
      </c>
      <c r="C75" s="748">
        <f t="shared" si="14"/>
        <v>122.08117530644479</v>
      </c>
      <c r="D75" s="750">
        <f t="shared" si="38"/>
        <v>0.83999999999999631</v>
      </c>
      <c r="E75" s="750">
        <f t="shared" si="39"/>
        <v>1.0820159999999746</v>
      </c>
      <c r="F75" s="751">
        <f t="shared" si="40"/>
        <v>3.6047654861642631</v>
      </c>
      <c r="G75" s="840">
        <f t="shared" si="41"/>
        <v>10.28697868673274</v>
      </c>
      <c r="H75" s="842">
        <f>B$202/B75</f>
        <v>1.7695002939212041</v>
      </c>
    </row>
    <row r="76" spans="1:8" ht="16.5" hidden="1" customHeight="1" thickBot="1">
      <c r="A76" s="971" t="s">
        <v>473</v>
      </c>
      <c r="B76" s="773">
        <f>geral!O557</f>
        <v>0.17217831149083668</v>
      </c>
      <c r="C76" s="748">
        <f t="shared" si="14"/>
        <v>122.98450820774048</v>
      </c>
      <c r="D76" s="750">
        <f t="shared" si="38"/>
        <v>0.73994446648153467</v>
      </c>
      <c r="E76" s="750">
        <f t="shared" si="39"/>
        <v>1.8299667839999811</v>
      </c>
      <c r="F76" s="751">
        <f t="shared" si="40"/>
        <v>4.0384601429329203</v>
      </c>
      <c r="G76" s="840">
        <f t="shared" si="41"/>
        <v>10.550331156530191</v>
      </c>
      <c r="H76" s="842">
        <f>B$202/B76</f>
        <v>1.7565031460881506</v>
      </c>
    </row>
    <row r="77" spans="1:8" ht="16.5" hidden="1" customHeight="1" thickBot="1">
      <c r="A77" s="971" t="s">
        <v>474</v>
      </c>
      <c r="B77" s="773">
        <f>geral!O558</f>
        <v>0.17340077750242164</v>
      </c>
      <c r="C77" s="748">
        <f t="shared" si="14"/>
        <v>123.85769821601544</v>
      </c>
      <c r="D77" s="750">
        <f t="shared" si="38"/>
        <v>0.71000000000001062</v>
      </c>
      <c r="E77" s="750">
        <f t="shared" si="39"/>
        <v>2.5529595481663891</v>
      </c>
      <c r="F77" s="751">
        <f t="shared" si="40"/>
        <v>4.5679972155167059</v>
      </c>
      <c r="G77" s="840">
        <f t="shared" si="41"/>
        <v>10.770309927113297</v>
      </c>
      <c r="H77" s="842">
        <f>B$202/B77</f>
        <v>1.7441198948348233</v>
      </c>
    </row>
    <row r="78" spans="1:8" ht="16.5" hidden="1" customHeight="1" thickBot="1">
      <c r="A78" s="971" t="s">
        <v>475</v>
      </c>
      <c r="B78" s="773">
        <f>geral!O559</f>
        <v>0.17466660317818933</v>
      </c>
      <c r="C78" s="748">
        <f t="shared" si="14"/>
        <v>124.76185941299235</v>
      </c>
      <c r="D78" s="750">
        <f t="shared" si="38"/>
        <v>0.73000000000000842</v>
      </c>
      <c r="E78" s="750">
        <f t="shared" si="39"/>
        <v>3.3015961528680027</v>
      </c>
      <c r="F78" s="751">
        <f t="shared" si="40"/>
        <v>5.4895779621331853</v>
      </c>
      <c r="G78" s="840">
        <f t="shared" si="41"/>
        <v>10.869369226531433</v>
      </c>
      <c r="H78" s="842">
        <f>B$202/B78</f>
        <v>1.7314800901765344</v>
      </c>
    </row>
    <row r="79" spans="1:8" ht="16.5" hidden="1" customHeight="1" thickBot="1">
      <c r="A79" s="971" t="s">
        <v>476</v>
      </c>
      <c r="B79" s="773">
        <f>geral!O560</f>
        <v>0.17541766957185553</v>
      </c>
      <c r="C79" s="748">
        <f t="shared" si="14"/>
        <v>125.29833540846823</v>
      </c>
      <c r="D79" s="750">
        <f t="shared" si="38"/>
        <v>0.42999999999999705</v>
      </c>
      <c r="E79" s="750">
        <f t="shared" si="39"/>
        <v>3.7457930163253383</v>
      </c>
      <c r="F79" s="751">
        <f t="shared" si="40"/>
        <v>5.3113152558353471</v>
      </c>
      <c r="G79" s="840">
        <f t="shared" si="41"/>
        <v>10.256234803177588</v>
      </c>
      <c r="H79" s="842">
        <f>B$202/B79</f>
        <v>1.7240666037802792</v>
      </c>
    </row>
    <row r="80" spans="1:8" ht="16.5" hidden="1" customHeight="1" thickBot="1">
      <c r="A80" s="971" t="s">
        <v>477</v>
      </c>
      <c r="B80" s="773">
        <f>geral!O561</f>
        <v>0.17522471013532651</v>
      </c>
      <c r="C80" s="748">
        <f t="shared" si="14"/>
        <v>125.16050723951894</v>
      </c>
      <c r="D80" s="750">
        <f t="shared" ref="D80:D85" si="42">100*(B80/B79-1)</f>
        <v>-0.10999999999998789</v>
      </c>
      <c r="E80" s="750">
        <f t="shared" ref="E80:E85" si="43">100*(B80/B$73-1)</f>
        <v>3.6316726440073888</v>
      </c>
      <c r="F80" s="751">
        <f t="shared" ref="F80:F85" si="44">100*(B80/B68-1)</f>
        <v>4.7368261418568425</v>
      </c>
      <c r="G80" s="840">
        <f t="shared" ref="G80:G85" si="45">100*(B80/B56-1)</f>
        <v>9.1742742276177616</v>
      </c>
      <c r="H80" s="842">
        <f>B$202/B80</f>
        <v>1.7259651654622876</v>
      </c>
    </row>
    <row r="81" spans="1:8" ht="16.5" hidden="1" customHeight="1" thickBot="1">
      <c r="A81" s="971" t="s">
        <v>478</v>
      </c>
      <c r="B81" s="773">
        <f>geral!O562</f>
        <v>0.17510000000000001</v>
      </c>
      <c r="C81" s="748">
        <f t="shared" si="14"/>
        <v>125.07142857142857</v>
      </c>
      <c r="D81" s="750">
        <f t="shared" si="42"/>
        <v>-7.1171546085135873E-2</v>
      </c>
      <c r="E81" s="750">
        <f t="shared" si="43"/>
        <v>3.5579163803527658</v>
      </c>
      <c r="F81" s="751">
        <f t="shared" si="44"/>
        <v>4.4407299226955965</v>
      </c>
      <c r="G81" s="840">
        <f t="shared" si="45"/>
        <v>8.4657613445105806</v>
      </c>
      <c r="H81" s="842">
        <f>B$202/B81</f>
        <v>1.7271944364466032</v>
      </c>
    </row>
    <row r="82" spans="1:8" ht="16.5" hidden="1" customHeight="1" thickBot="1">
      <c r="A82" s="971" t="s">
        <v>479</v>
      </c>
      <c r="B82" s="773">
        <f>geral!O563</f>
        <v>0.17499999999999999</v>
      </c>
      <c r="C82" s="748">
        <f t="shared" si="14"/>
        <v>124.99999999999999</v>
      </c>
      <c r="D82" s="750">
        <f t="shared" si="42"/>
        <v>-5.7110222729883642E-2</v>
      </c>
      <c r="E82" s="750">
        <f t="shared" si="43"/>
        <v>3.4987742236535224</v>
      </c>
      <c r="F82" s="751">
        <f t="shared" si="44"/>
        <v>4.2976454728377744</v>
      </c>
      <c r="G82" s="840">
        <f t="shared" si="45"/>
        <v>8.1766453513831614</v>
      </c>
      <c r="H82" s="842">
        <f>B$202/B82</f>
        <v>1.7281814046960013</v>
      </c>
    </row>
    <row r="83" spans="1:8" ht="16.5" hidden="1" customHeight="1" thickBot="1">
      <c r="A83" s="971" t="s">
        <v>480</v>
      </c>
      <c r="B83" s="773">
        <f>geral!O564</f>
        <v>0.17592437060081173</v>
      </c>
      <c r="C83" s="748">
        <f t="shared" si="14"/>
        <v>125.66026471486552</v>
      </c>
      <c r="D83" s="750">
        <f t="shared" si="42"/>
        <v>0.5282117718924173</v>
      </c>
      <c r="E83" s="750">
        <f t="shared" si="43"/>
        <v>4.0454669328672255</v>
      </c>
      <c r="F83" s="751">
        <f t="shared" si="44"/>
        <v>4.6810682049040819</v>
      </c>
      <c r="G83" s="840">
        <f t="shared" si="45"/>
        <v>8.5851693725087053</v>
      </c>
      <c r="H83" s="842">
        <f>B$202/B83</f>
        <v>1.7191009113117428</v>
      </c>
    </row>
    <row r="84" spans="1:8" ht="16.5" hidden="1" customHeight="1" thickBot="1">
      <c r="A84" s="971" t="s">
        <v>481</v>
      </c>
      <c r="B84" s="773">
        <f>geral!O565</f>
        <v>0.1775428748103392</v>
      </c>
      <c r="C84" s="748">
        <f t="shared" si="14"/>
        <v>126.81633915024227</v>
      </c>
      <c r="D84" s="750">
        <f t="shared" si="42"/>
        <v>0.9200000000000097</v>
      </c>
      <c r="E84" s="750">
        <f t="shared" si="43"/>
        <v>5.0026852286495949</v>
      </c>
      <c r="F84" s="751">
        <f t="shared" si="44"/>
        <v>5.3911951639956213</v>
      </c>
      <c r="G84" s="840">
        <f t="shared" si="45"/>
        <v>9.0389581400356143</v>
      </c>
      <c r="H84" s="842">
        <f>B$202/B84</f>
        <v>1.7034293611888056</v>
      </c>
    </row>
    <row r="85" spans="1:8" ht="16.5" hidden="1" customHeight="1" thickBot="1">
      <c r="A85" s="1016" t="s">
        <v>482</v>
      </c>
      <c r="B85" s="931">
        <f>geral!O566</f>
        <v>0.1794</v>
      </c>
      <c r="C85" s="755">
        <f t="shared" si="14"/>
        <v>128.14285714285714</v>
      </c>
      <c r="D85" s="756">
        <f t="shared" si="42"/>
        <v>1.0460150494040921</v>
      </c>
      <c r="E85" s="756">
        <f t="shared" si="43"/>
        <v>6.1010291184196763</v>
      </c>
      <c r="F85" s="757">
        <f t="shared" si="44"/>
        <v>6.1010291184196763</v>
      </c>
      <c r="G85" s="841">
        <f t="shared" si="45"/>
        <v>9.7624248375112632</v>
      </c>
      <c r="H85" s="922">
        <f>B$202/B85</f>
        <v>1.6857956846254192</v>
      </c>
    </row>
    <row r="86" spans="1:8">
      <c r="A86" s="1017" t="s">
        <v>483</v>
      </c>
      <c r="B86" s="864">
        <f>geral!C571</f>
        <v>0.18044779581941101</v>
      </c>
      <c r="C86" s="852">
        <f t="shared" si="14"/>
        <v>128.89128272815071</v>
      </c>
      <c r="D86" s="853">
        <f t="shared" ref="D86:D91" si="46">100*(B86/B85-1)</f>
        <v>0.58405564069732296</v>
      </c>
      <c r="E86" s="853">
        <f t="shared" ref="E86:E91" si="47">100*(B86/B$85-1)</f>
        <v>0.58405564069732296</v>
      </c>
      <c r="F86" s="854">
        <f t="shared" ref="F86:F91" si="48">100*(B86/B74-1)</f>
        <v>6.4652016797922318</v>
      </c>
      <c r="G86" s="855">
        <f t="shared" ref="G86:G91" si="49">100*(B86/B62-1)</f>
        <v>10.084254134151882</v>
      </c>
      <c r="H86" s="856">
        <f>B$202/B86</f>
        <v>1.6760068719513128</v>
      </c>
    </row>
    <row r="87" spans="1:8">
      <c r="A87" s="1018" t="s">
        <v>484</v>
      </c>
      <c r="B87" s="868">
        <f>geral!C572</f>
        <v>0.18210000000000001</v>
      </c>
      <c r="C87" s="857">
        <f t="shared" si="14"/>
        <v>130.07142857142856</v>
      </c>
      <c r="D87" s="858">
        <f t="shared" si="46"/>
        <v>0.91561339005907794</v>
      </c>
      <c r="E87" s="858">
        <f t="shared" si="47"/>
        <v>1.5050167224080369</v>
      </c>
      <c r="F87" s="859">
        <f t="shared" si="48"/>
        <v>6.5450330445515847</v>
      </c>
      <c r="G87" s="860">
        <f t="shared" si="49"/>
        <v>10.385731622963878</v>
      </c>
      <c r="H87" s="861">
        <f>B$202/B87</f>
        <v>1.6608003614596387</v>
      </c>
    </row>
    <row r="88" spans="1:8">
      <c r="A88" s="1018" t="s">
        <v>485</v>
      </c>
      <c r="B88" s="868">
        <f>geral!C573</f>
        <v>0.18310000000000001</v>
      </c>
      <c r="C88" s="857">
        <f t="shared" si="14"/>
        <v>130.78571428571428</v>
      </c>
      <c r="D88" s="858">
        <f t="shared" si="46"/>
        <v>0.54914881933003645</v>
      </c>
      <c r="E88" s="858">
        <f t="shared" si="47"/>
        <v>2.0624303232998908</v>
      </c>
      <c r="F88" s="859">
        <f t="shared" si="48"/>
        <v>6.3432428942971741</v>
      </c>
      <c r="G88" s="860">
        <f t="shared" si="49"/>
        <v>10.637872373285685</v>
      </c>
      <c r="H88" s="861">
        <f>B$202/B88</f>
        <v>1.6517299061813226</v>
      </c>
    </row>
    <row r="89" spans="1:8">
      <c r="A89" s="1018" t="s">
        <v>486</v>
      </c>
      <c r="B89" s="868">
        <f>geral!C574</f>
        <v>0.1843362247736566</v>
      </c>
      <c r="C89" s="857">
        <f t="shared" si="14"/>
        <v>131.66873198118327</v>
      </c>
      <c r="D89" s="858">
        <f t="shared" si="46"/>
        <v>0.67516372127611746</v>
      </c>
      <c r="E89" s="858">
        <f t="shared" si="47"/>
        <v>2.7515188258955492</v>
      </c>
      <c r="F89" s="859">
        <f t="shared" si="48"/>
        <v>6.3064580382762303</v>
      </c>
      <c r="G89" s="860">
        <f t="shared" si="49"/>
        <v>11.16253408137915</v>
      </c>
      <c r="H89" s="861">
        <f t="shared" ref="H89:H152" si="50">B$202/B89</f>
        <v>1.6406528135918546</v>
      </c>
    </row>
    <row r="90" spans="1:8">
      <c r="A90" s="1018" t="s">
        <v>487</v>
      </c>
      <c r="B90" s="868">
        <f>geral!C575</f>
        <v>0.1857</v>
      </c>
      <c r="C90" s="857">
        <f t="shared" si="14"/>
        <v>132.64285714285714</v>
      </c>
      <c r="D90" s="858">
        <f t="shared" si="46"/>
        <v>0.73983029001378764</v>
      </c>
      <c r="E90" s="858">
        <f t="shared" si="47"/>
        <v>3.5117056856187379</v>
      </c>
      <c r="F90" s="859">
        <f t="shared" si="48"/>
        <v>6.316832537559991</v>
      </c>
      <c r="G90" s="860">
        <f t="shared" si="49"/>
        <v>12.153177946579952</v>
      </c>
      <c r="H90" s="861">
        <f t="shared" si="50"/>
        <v>1.6286039085718913</v>
      </c>
    </row>
    <row r="91" spans="1:8">
      <c r="A91" s="1018" t="s">
        <v>488</v>
      </c>
      <c r="B91" s="868">
        <f>geral!C576</f>
        <v>0.1867</v>
      </c>
      <c r="C91" s="857">
        <f t="shared" si="14"/>
        <v>133.35714285714286</v>
      </c>
      <c r="D91" s="858">
        <f t="shared" si="46"/>
        <v>0.5385029617662962</v>
      </c>
      <c r="E91" s="858">
        <f t="shared" si="47"/>
        <v>4.0691192865105918</v>
      </c>
      <c r="F91" s="859">
        <f t="shared" si="48"/>
        <v>6.4316955388139752</v>
      </c>
      <c r="G91" s="860">
        <f t="shared" si="49"/>
        <v>12.084618421011228</v>
      </c>
      <c r="H91" s="861">
        <f t="shared" si="50"/>
        <v>1.6198808024734879</v>
      </c>
    </row>
    <row r="92" spans="1:8">
      <c r="A92" s="1018" t="s">
        <v>489</v>
      </c>
      <c r="B92" s="868">
        <f>geral!C577</f>
        <v>0.18709999999999999</v>
      </c>
      <c r="C92" s="857">
        <f t="shared" si="14"/>
        <v>133.64285714285711</v>
      </c>
      <c r="D92" s="858">
        <f t="shared" ref="D92:D97" si="51">100*(B92/B91-1)</f>
        <v>0.21424745581144489</v>
      </c>
      <c r="E92" s="858">
        <f t="shared" ref="E92:E97" si="52">100*(B92/B$85-1)</f>
        <v>4.292084726867329</v>
      </c>
      <c r="F92" s="859">
        <f t="shared" ref="F92:F97" si="53">100*(B92/B80-1)</f>
        <v>6.7771776340803669</v>
      </c>
      <c r="G92" s="860">
        <f t="shared" ref="G92:G97" si="54">100*(B92/B68-1)</f>
        <v>11.835026897788392</v>
      </c>
      <c r="H92" s="861">
        <f t="shared" si="50"/>
        <v>1.6164176687429195</v>
      </c>
    </row>
    <row r="93" spans="1:8">
      <c r="A93" s="1018" t="s">
        <v>490</v>
      </c>
      <c r="B93" s="868">
        <f>geral!C578</f>
        <v>0.18713251503181169</v>
      </c>
      <c r="C93" s="857">
        <f t="shared" si="14"/>
        <v>133.66608216557978</v>
      </c>
      <c r="D93" s="858">
        <f t="shared" si="51"/>
        <v>1.7378424271363713E-2</v>
      </c>
      <c r="E93" s="858">
        <f t="shared" si="52"/>
        <v>4.3102090478325916</v>
      </c>
      <c r="F93" s="859">
        <f t="shared" si="53"/>
        <v>6.8717961346725698</v>
      </c>
      <c r="G93" s="860">
        <f t="shared" si="54"/>
        <v>11.61768396454721</v>
      </c>
      <c r="H93" s="861">
        <f t="shared" si="50"/>
        <v>1.6161368096313362</v>
      </c>
    </row>
    <row r="94" spans="1:8">
      <c r="A94" s="1018" t="s">
        <v>491</v>
      </c>
      <c r="B94" s="868">
        <f>geral!C579</f>
        <v>0.18791847159494529</v>
      </c>
      <c r="C94" s="857">
        <f t="shared" si="14"/>
        <v>134.2274797106752</v>
      </c>
      <c r="D94" s="858">
        <f t="shared" si="51"/>
        <v>0.41999999999999815</v>
      </c>
      <c r="E94" s="858">
        <f t="shared" si="52"/>
        <v>4.7483119258334927</v>
      </c>
      <c r="F94" s="859">
        <f t="shared" si="53"/>
        <v>7.381983768540179</v>
      </c>
      <c r="G94" s="860">
        <f t="shared" si="54"/>
        <v>11.996880732612247</v>
      </c>
      <c r="H94" s="861">
        <f t="shared" si="50"/>
        <v>1.6093774244486521</v>
      </c>
    </row>
    <row r="95" spans="1:8">
      <c r="A95" s="1018" t="s">
        <v>492</v>
      </c>
      <c r="B95" s="868">
        <f>geral!C580</f>
        <v>0.18876410471712254</v>
      </c>
      <c r="C95" s="857">
        <f t="shared" si="14"/>
        <v>134.83150336937322</v>
      </c>
      <c r="D95" s="858">
        <f t="shared" si="51"/>
        <v>0.44999999999999485</v>
      </c>
      <c r="E95" s="858">
        <f t="shared" si="52"/>
        <v>5.2196793294997379</v>
      </c>
      <c r="F95" s="859">
        <f t="shared" si="53"/>
        <v>7.2984397059150607</v>
      </c>
      <c r="G95" s="860">
        <f t="shared" si="54"/>
        <v>12.321152851346827</v>
      </c>
      <c r="H95" s="861">
        <f t="shared" si="50"/>
        <v>1.6021676699339491</v>
      </c>
    </row>
    <row r="96" spans="1:8">
      <c r="A96" s="1018" t="s">
        <v>493</v>
      </c>
      <c r="B96" s="868">
        <f>geral!C581</f>
        <v>0.18936814985221737</v>
      </c>
      <c r="C96" s="857">
        <f t="shared" si="14"/>
        <v>135.26296418015525</v>
      </c>
      <c r="D96" s="858">
        <f t="shared" si="51"/>
        <v>0.32000000000000917</v>
      </c>
      <c r="E96" s="858">
        <f t="shared" si="52"/>
        <v>5.5563823033541571</v>
      </c>
      <c r="F96" s="859">
        <f t="shared" si="53"/>
        <v>6.6605179478537613</v>
      </c>
      <c r="G96" s="860">
        <f t="shared" si="54"/>
        <v>12.410794633351108</v>
      </c>
      <c r="H96" s="861">
        <f t="shared" si="50"/>
        <v>1.5970570872547338</v>
      </c>
    </row>
    <row r="97" spans="1:8">
      <c r="A97" s="1018" t="s">
        <v>494</v>
      </c>
      <c r="B97" s="868">
        <f>geral!C582</f>
        <v>0.190447548306375</v>
      </c>
      <c r="C97" s="857">
        <f t="shared" si="14"/>
        <v>136.03396307598214</v>
      </c>
      <c r="D97" s="858">
        <f t="shared" si="51"/>
        <v>0.57000000000000384</v>
      </c>
      <c r="E97" s="858">
        <f t="shared" si="52"/>
        <v>6.1580536824832777</v>
      </c>
      <c r="F97" s="859">
        <f t="shared" si="53"/>
        <v>6.1580536824832777</v>
      </c>
      <c r="G97" s="860">
        <f t="shared" si="54"/>
        <v>12.63478744919917</v>
      </c>
      <c r="H97" s="861">
        <f t="shared" si="50"/>
        <v>1.5880054561546524</v>
      </c>
    </row>
    <row r="98" spans="1:8">
      <c r="A98" s="1018" t="s">
        <v>495</v>
      </c>
      <c r="B98" s="868">
        <f>geral!E571</f>
        <v>0.19141883080273753</v>
      </c>
      <c r="C98" s="857">
        <f t="shared" ref="C98:C103" si="55">100*B98/$B$8</f>
        <v>136.72773628766967</v>
      </c>
      <c r="D98" s="858">
        <f t="shared" ref="D98:D103" si="56">100*(B98/B97-1)</f>
        <v>0.51000000000001044</v>
      </c>
      <c r="E98" s="858">
        <f t="shared" ref="E98:E103" si="57">100*(B98/B$97-1)</f>
        <v>0.51000000000001044</v>
      </c>
      <c r="F98" s="859">
        <f t="shared" ref="F98:F103" si="58">100*(B98/B86-1)</f>
        <v>6.0798941508302784</v>
      </c>
      <c r="G98" s="860">
        <f t="shared" ref="G98:G103" si="59">100*(B98/B74-1)</f>
        <v>12.938173249391571</v>
      </c>
      <c r="H98" s="861">
        <f t="shared" si="50"/>
        <v>1.5799477227685326</v>
      </c>
    </row>
    <row r="99" spans="1:8">
      <c r="A99" s="1018" t="s">
        <v>496</v>
      </c>
      <c r="B99" s="868">
        <f>geral!E572</f>
        <v>0.19239506683983151</v>
      </c>
      <c r="C99" s="857">
        <f t="shared" si="55"/>
        <v>137.42504774273678</v>
      </c>
      <c r="D99" s="858">
        <f t="shared" si="56"/>
        <v>0.51000000000001044</v>
      </c>
      <c r="E99" s="858">
        <f t="shared" si="57"/>
        <v>1.022601000000023</v>
      </c>
      <c r="F99" s="859">
        <f t="shared" si="58"/>
        <v>5.6535238000172905</v>
      </c>
      <c r="G99" s="860">
        <f t="shared" si="59"/>
        <v>12.568581845461612</v>
      </c>
      <c r="H99" s="861">
        <f t="shared" si="50"/>
        <v>1.5719308753044796</v>
      </c>
    </row>
    <row r="100" spans="1:8">
      <c r="A100" s="1018" t="s">
        <v>497</v>
      </c>
      <c r="B100" s="868">
        <f>geral!E573</f>
        <v>0.19314540760050686</v>
      </c>
      <c r="C100" s="857">
        <f t="shared" si="55"/>
        <v>137.96100542893348</v>
      </c>
      <c r="D100" s="858">
        <f t="shared" si="56"/>
        <v>0.39000000000000146</v>
      </c>
      <c r="E100" s="858">
        <f t="shared" si="57"/>
        <v>1.4165891439000156</v>
      </c>
      <c r="F100" s="859">
        <f t="shared" si="58"/>
        <v>5.486295794924545</v>
      </c>
      <c r="G100" s="860">
        <f t="shared" si="59"/>
        <v>12.177547757393391</v>
      </c>
      <c r="H100" s="861">
        <f t="shared" si="50"/>
        <v>1.5658241610762822</v>
      </c>
    </row>
    <row r="101" spans="1:8">
      <c r="A101" s="1018" t="s">
        <v>498</v>
      </c>
      <c r="B101" s="868">
        <f>geral!E574</f>
        <v>0.19349306933418778</v>
      </c>
      <c r="C101" s="857">
        <f t="shared" si="55"/>
        <v>138.20933523870553</v>
      </c>
      <c r="D101" s="858">
        <f t="shared" si="56"/>
        <v>0.18000000000000238</v>
      </c>
      <c r="E101" s="858">
        <f t="shared" si="57"/>
        <v>1.5991390043590403</v>
      </c>
      <c r="F101" s="859">
        <f t="shared" si="58"/>
        <v>4.9674688584811388</v>
      </c>
      <c r="G101" s="860">
        <f t="shared" si="59"/>
        <v>11.587198235881925</v>
      </c>
      <c r="H101" s="861">
        <f t="shared" si="50"/>
        <v>1.5630107417411481</v>
      </c>
    </row>
    <row r="102" spans="1:8">
      <c r="A102" s="1018" t="s">
        <v>499</v>
      </c>
      <c r="B102" s="868">
        <f>geral!E575</f>
        <v>0.19473142497792656</v>
      </c>
      <c r="C102" s="857">
        <f t="shared" si="55"/>
        <v>139.09387498423322</v>
      </c>
      <c r="D102" s="858">
        <f t="shared" si="56"/>
        <v>0.63999999999999613</v>
      </c>
      <c r="E102" s="858">
        <f t="shared" si="57"/>
        <v>2.2493734939869281</v>
      </c>
      <c r="F102" s="859">
        <f t="shared" si="58"/>
        <v>4.8634490995834945</v>
      </c>
      <c r="G102" s="860">
        <f t="shared" si="59"/>
        <v>11.487497572313664</v>
      </c>
      <c r="H102" s="861">
        <f t="shared" si="50"/>
        <v>1.5530710867857196</v>
      </c>
    </row>
    <row r="103" spans="1:8">
      <c r="A103" s="1018" t="s">
        <v>500</v>
      </c>
      <c r="B103" s="868">
        <f>geral!E576</f>
        <v>0.19580244781530518</v>
      </c>
      <c r="C103" s="857">
        <f t="shared" si="55"/>
        <v>139.85889129664653</v>
      </c>
      <c r="D103" s="858">
        <f t="shared" si="56"/>
        <v>0.55000000000000604</v>
      </c>
      <c r="E103" s="858">
        <f t="shared" si="57"/>
        <v>2.8117450482038731</v>
      </c>
      <c r="F103" s="859">
        <f t="shared" si="58"/>
        <v>4.8754407152143298</v>
      </c>
      <c r="G103" s="860">
        <f t="shared" si="59"/>
        <v>11.620709757006264</v>
      </c>
      <c r="H103" s="861">
        <f t="shared" si="50"/>
        <v>1.5445759192299546</v>
      </c>
    </row>
    <row r="104" spans="1:8">
      <c r="A104" s="1018" t="s">
        <v>501</v>
      </c>
      <c r="B104" s="868">
        <f>geral!E577</f>
        <v>0.19631153417962496</v>
      </c>
      <c r="C104" s="857">
        <f t="shared" ref="C104:C109" si="60">100*B104/$B$8</f>
        <v>140.22252441401784</v>
      </c>
      <c r="D104" s="858">
        <f t="shared" ref="D104:D109" si="61">100*(B104/B103-1)</f>
        <v>0.25999999999999357</v>
      </c>
      <c r="E104" s="858">
        <f t="shared" ref="E104:E109" si="62">100*(B104/B$97-1)</f>
        <v>3.0790555853291934</v>
      </c>
      <c r="F104" s="859">
        <f t="shared" ref="F104:F109" si="63">100*(B104/B92-1)</f>
        <v>4.9233213146044674</v>
      </c>
      <c r="G104" s="860">
        <f t="shared" ref="G104:G109" si="64">100*(B104/B80-1)</f>
        <v>12.034161179672109</v>
      </c>
      <c r="H104" s="861">
        <f t="shared" si="50"/>
        <v>1.5405704360961048</v>
      </c>
    </row>
    <row r="105" spans="1:8">
      <c r="A105" s="1018" t="s">
        <v>502</v>
      </c>
      <c r="B105" s="868">
        <f>geral!E578</f>
        <v>0.19715567377659735</v>
      </c>
      <c r="C105" s="857">
        <f t="shared" si="60"/>
        <v>140.82548126899809</v>
      </c>
      <c r="D105" s="858">
        <f t="shared" si="61"/>
        <v>0.42999999999999705</v>
      </c>
      <c r="E105" s="858">
        <f t="shared" si="62"/>
        <v>3.5222955243461085</v>
      </c>
      <c r="F105" s="859">
        <f t="shared" si="63"/>
        <v>5.3561823518920582</v>
      </c>
      <c r="G105" s="860">
        <f t="shared" si="64"/>
        <v>12.596044418387976</v>
      </c>
      <c r="H105" s="861">
        <f t="shared" si="50"/>
        <v>1.5339743464065567</v>
      </c>
    </row>
    <row r="106" spans="1:8">
      <c r="A106" s="1018" t="s">
        <v>503</v>
      </c>
      <c r="B106" s="868">
        <f>geral!E579</f>
        <v>0.19804287430859202</v>
      </c>
      <c r="C106" s="857">
        <f t="shared" si="60"/>
        <v>141.45919593470856</v>
      </c>
      <c r="D106" s="858">
        <f t="shared" si="61"/>
        <v>0.44999999999999485</v>
      </c>
      <c r="E106" s="858">
        <f t="shared" si="62"/>
        <v>3.9881458542056603</v>
      </c>
      <c r="F106" s="859">
        <f t="shared" si="63"/>
        <v>5.3876570130208856</v>
      </c>
      <c r="G106" s="860">
        <f t="shared" si="64"/>
        <v>13.167356747766878</v>
      </c>
      <c r="H106" s="861">
        <f t="shared" si="50"/>
        <v>1.5271023856710371</v>
      </c>
    </row>
    <row r="107" spans="1:8">
      <c r="A107" s="1018" t="s">
        <v>504</v>
      </c>
      <c r="B107" s="868">
        <f>geral!E580</f>
        <v>0.19929054441673613</v>
      </c>
      <c r="C107" s="857">
        <f t="shared" si="60"/>
        <v>142.35038886909723</v>
      </c>
      <c r="D107" s="858">
        <f t="shared" si="61"/>
        <v>0.62999999999999723</v>
      </c>
      <c r="E107" s="858">
        <f t="shared" si="62"/>
        <v>4.6432711730871379</v>
      </c>
      <c r="F107" s="859">
        <f t="shared" si="63"/>
        <v>5.5765049797938282</v>
      </c>
      <c r="G107" s="860">
        <f t="shared" si="64"/>
        <v>13.281942539356507</v>
      </c>
      <c r="H107" s="861">
        <f t="shared" si="50"/>
        <v>1.5175418718782046</v>
      </c>
    </row>
    <row r="108" spans="1:8">
      <c r="A108" s="1018" t="s">
        <v>505</v>
      </c>
      <c r="B108" s="868">
        <f>geral!E581</f>
        <v>0.20070550728209499</v>
      </c>
      <c r="C108" s="857">
        <f t="shared" si="60"/>
        <v>143.36107663006786</v>
      </c>
      <c r="D108" s="858">
        <f t="shared" si="61"/>
        <v>0.71000000000001062</v>
      </c>
      <c r="E108" s="858">
        <f t="shared" si="62"/>
        <v>5.3862383984160767</v>
      </c>
      <c r="F108" s="859">
        <f t="shared" si="63"/>
        <v>5.9869399572870519</v>
      </c>
      <c r="G108" s="860">
        <f t="shared" si="64"/>
        <v>13.046219115523151</v>
      </c>
      <c r="H108" s="861">
        <f t="shared" si="50"/>
        <v>1.5068432845578437</v>
      </c>
    </row>
    <row r="109" spans="1:8">
      <c r="A109" s="1018" t="s">
        <v>506</v>
      </c>
      <c r="B109" s="868">
        <f>geral!E582</f>
        <v>0.20178931702141831</v>
      </c>
      <c r="C109" s="857">
        <f t="shared" si="60"/>
        <v>144.13522644387021</v>
      </c>
      <c r="D109" s="858">
        <f t="shared" si="61"/>
        <v>0.54000000000000714</v>
      </c>
      <c r="E109" s="858">
        <f t="shared" si="62"/>
        <v>5.9553240857675327</v>
      </c>
      <c r="F109" s="859">
        <f t="shared" si="63"/>
        <v>5.9553240857675327</v>
      </c>
      <c r="G109" s="860">
        <f t="shared" si="64"/>
        <v>12.480109822418228</v>
      </c>
      <c r="H109" s="861">
        <f t="shared" si="50"/>
        <v>1.4987500343722335</v>
      </c>
    </row>
    <row r="110" spans="1:8">
      <c r="A110" s="1018" t="s">
        <v>507</v>
      </c>
      <c r="B110" s="868">
        <f>geral!G571</f>
        <v>0.20328255796737682</v>
      </c>
      <c r="C110" s="857">
        <f t="shared" ref="C110:C115" si="65">100*B110/$B$8</f>
        <v>145.20182711955485</v>
      </c>
      <c r="D110" s="858">
        <f t="shared" ref="D110:D115" si="66">100*(B110/B109-1)</f>
        <v>0.74000000000000732</v>
      </c>
      <c r="E110" s="858">
        <f t="shared" ref="E110:E115" si="67">100*(B110/B$109-1)</f>
        <v>0.74000000000000732</v>
      </c>
      <c r="F110" s="859">
        <f t="shared" ref="F110:F115" si="68">100*(B110/B98-1)</f>
        <v>6.197784781615967</v>
      </c>
      <c r="G110" s="860">
        <f t="shared" ref="G110:G115" si="69">100*(B110/B86-1)</f>
        <v>12.654497686864751</v>
      </c>
      <c r="H110" s="861">
        <f t="shared" si="50"/>
        <v>1.4877407528015023</v>
      </c>
    </row>
    <row r="111" spans="1:8">
      <c r="A111" s="1018" t="s">
        <v>508</v>
      </c>
      <c r="B111" s="868">
        <f>geral!G572</f>
        <v>0.20515275750067671</v>
      </c>
      <c r="C111" s="857">
        <f t="shared" si="65"/>
        <v>146.53768392905479</v>
      </c>
      <c r="D111" s="858">
        <f t="shared" si="66"/>
        <v>0.9200000000000097</v>
      </c>
      <c r="E111" s="858">
        <f t="shared" si="67"/>
        <v>1.6668080000000307</v>
      </c>
      <c r="F111" s="859">
        <f t="shared" si="68"/>
        <v>6.630986371114167</v>
      </c>
      <c r="G111" s="860">
        <f t="shared" si="69"/>
        <v>12.659394563798298</v>
      </c>
      <c r="H111" s="861">
        <f t="shared" si="50"/>
        <v>1.4741783123280836</v>
      </c>
    </row>
    <row r="112" spans="1:8">
      <c r="A112" s="1018" t="s">
        <v>509</v>
      </c>
      <c r="B112" s="868">
        <f>geral!G573</f>
        <v>0.20621955183968024</v>
      </c>
      <c r="C112" s="857">
        <f t="shared" si="65"/>
        <v>147.29967988548586</v>
      </c>
      <c r="D112" s="858">
        <f t="shared" si="66"/>
        <v>0.52000000000000934</v>
      </c>
      <c r="E112" s="858">
        <f t="shared" si="67"/>
        <v>2.1954754016000333</v>
      </c>
      <c r="F112" s="859">
        <f t="shared" si="68"/>
        <v>6.7690681345193404</v>
      </c>
      <c r="G112" s="860">
        <f t="shared" si="69"/>
        <v>12.626735029863578</v>
      </c>
      <c r="H112" s="861">
        <f t="shared" si="50"/>
        <v>1.4665522406765654</v>
      </c>
    </row>
    <row r="113" spans="1:8">
      <c r="A113" s="1018" t="s">
        <v>510</v>
      </c>
      <c r="B113" s="868">
        <f>geral!G574</f>
        <v>0.20745686915071831</v>
      </c>
      <c r="C113" s="857">
        <f t="shared" si="65"/>
        <v>148.18347796479878</v>
      </c>
      <c r="D113" s="858">
        <f t="shared" si="66"/>
        <v>0.60000000000000053</v>
      </c>
      <c r="E113" s="858">
        <f t="shared" si="67"/>
        <v>2.8086482540096158</v>
      </c>
      <c r="F113" s="859">
        <f t="shared" si="68"/>
        <v>7.2166924968321444</v>
      </c>
      <c r="G113" s="860">
        <f t="shared" si="69"/>
        <v>12.54264830770575</v>
      </c>
      <c r="H113" s="861">
        <f t="shared" si="50"/>
        <v>1.4578054082272023</v>
      </c>
    </row>
    <row r="114" spans="1:8">
      <c r="A114" s="1018" t="s">
        <v>511</v>
      </c>
      <c r="B114" s="868">
        <f>geral!G575</f>
        <v>0.20868086467870756</v>
      </c>
      <c r="C114" s="857">
        <f t="shared" si="65"/>
        <v>149.05776048479112</v>
      </c>
      <c r="D114" s="858">
        <f t="shared" si="66"/>
        <v>0.59000000000000163</v>
      </c>
      <c r="E114" s="858">
        <f t="shared" si="67"/>
        <v>3.4152192787082702</v>
      </c>
      <c r="F114" s="859">
        <f t="shared" si="68"/>
        <v>7.163425062165607</v>
      </c>
      <c r="G114" s="860">
        <f t="shared" si="69"/>
        <v>12.375263693434334</v>
      </c>
      <c r="H114" s="861">
        <f t="shared" si="50"/>
        <v>1.4492548048784197</v>
      </c>
    </row>
    <row r="115" spans="1:8">
      <c r="A115" s="1018" t="s">
        <v>512</v>
      </c>
      <c r="B115" s="868">
        <f>geral!G576</f>
        <v>0.20941124770508304</v>
      </c>
      <c r="C115" s="857">
        <f t="shared" si="65"/>
        <v>149.57946264648785</v>
      </c>
      <c r="D115" s="858">
        <f t="shared" si="66"/>
        <v>0.35000000000000586</v>
      </c>
      <c r="E115" s="858">
        <f t="shared" si="67"/>
        <v>3.7771725461837713</v>
      </c>
      <c r="F115" s="859">
        <f t="shared" si="68"/>
        <v>6.9502705617933147</v>
      </c>
      <c r="G115" s="860">
        <f t="shared" si="69"/>
        <v>12.164567597794873</v>
      </c>
      <c r="H115" s="861">
        <f t="shared" si="50"/>
        <v>1.4442001045126254</v>
      </c>
    </row>
    <row r="116" spans="1:8">
      <c r="A116" s="1018" t="s">
        <v>513</v>
      </c>
      <c r="B116" s="868">
        <f>geral!G577</f>
        <v>0.20999759919865726</v>
      </c>
      <c r="C116" s="857">
        <f t="shared" ref="C116:C121" si="70">100*B116/$B$8</f>
        <v>149.99828514189804</v>
      </c>
      <c r="D116" s="858">
        <f t="shared" ref="D116:D121" si="71">100*(B116/B115-1)</f>
        <v>0.27999999999999137</v>
      </c>
      <c r="E116" s="858">
        <f t="shared" ref="E116:E121" si="72">100*(B116/B$109-1)</f>
        <v>4.0677486293130727</v>
      </c>
      <c r="F116" s="859">
        <f t="shared" ref="F116:F121" si="73">100*(B116/B104-1)</f>
        <v>6.971605145986759</v>
      </c>
      <c r="G116" s="860">
        <f t="shared" ref="G116:G121" si="74">100*(B116/B92-1)</f>
        <v>12.238160982713664</v>
      </c>
      <c r="H116" s="861">
        <f t="shared" si="50"/>
        <v>1.4401676351342496</v>
      </c>
    </row>
    <row r="117" spans="1:8">
      <c r="A117" s="1018" t="s">
        <v>514</v>
      </c>
      <c r="B117" s="868">
        <f>geral!G578</f>
        <v>0.20972460231969903</v>
      </c>
      <c r="C117" s="857">
        <f t="shared" si="70"/>
        <v>149.8032873712136</v>
      </c>
      <c r="D117" s="858">
        <f t="shared" si="71"/>
        <v>-0.12999999999999678</v>
      </c>
      <c r="E117" s="858">
        <f t="shared" si="72"/>
        <v>3.9324605560949744</v>
      </c>
      <c r="F117" s="859">
        <f t="shared" si="73"/>
        <v>6.3751290045773068</v>
      </c>
      <c r="G117" s="860">
        <f t="shared" si="74"/>
        <v>12.072774891122883</v>
      </c>
      <c r="H117" s="861">
        <f t="shared" si="50"/>
        <v>1.4420422901113943</v>
      </c>
    </row>
    <row r="118" spans="1:8">
      <c r="A118" s="1018" t="s">
        <v>515</v>
      </c>
      <c r="B118" s="868">
        <f>geral!G579</f>
        <v>0.21006016168341055</v>
      </c>
      <c r="C118" s="857">
        <f t="shared" si="70"/>
        <v>150.04297263100753</v>
      </c>
      <c r="D118" s="858">
        <f t="shared" si="71"/>
        <v>0.16000000000000458</v>
      </c>
      <c r="E118" s="858">
        <f t="shared" si="72"/>
        <v>4.0987524929847252</v>
      </c>
      <c r="F118" s="859">
        <f t="shared" si="73"/>
        <v>6.0680231070031176</v>
      </c>
      <c r="G118" s="860">
        <f t="shared" si="74"/>
        <v>11.782604392500184</v>
      </c>
      <c r="H118" s="861">
        <f t="shared" si="50"/>
        <v>1.4397387081783091</v>
      </c>
    </row>
    <row r="119" spans="1:8">
      <c r="A119" s="1018" t="s">
        <v>516</v>
      </c>
      <c r="B119" s="868">
        <f>geral!G580</f>
        <v>0.21062732411995574</v>
      </c>
      <c r="C119" s="857">
        <f t="shared" si="70"/>
        <v>150.44808865711124</v>
      </c>
      <c r="D119" s="858">
        <f t="shared" si="71"/>
        <v>0.26999999999999247</v>
      </c>
      <c r="E119" s="858">
        <f t="shared" si="72"/>
        <v>4.3798191247157892</v>
      </c>
      <c r="F119" s="859">
        <f t="shared" si="73"/>
        <v>5.6885687860399825</v>
      </c>
      <c r="G119" s="860">
        <f t="shared" si="74"/>
        <v>11.582297087466342</v>
      </c>
      <c r="H119" s="861">
        <f t="shared" si="50"/>
        <v>1.4358618810993409</v>
      </c>
    </row>
    <row r="120" spans="1:8">
      <c r="A120" s="1018" t="s">
        <v>517</v>
      </c>
      <c r="B120" s="868">
        <f>geral!G581</f>
        <v>0.21191215079708747</v>
      </c>
      <c r="C120" s="857">
        <f t="shared" si="70"/>
        <v>151.36582199791962</v>
      </c>
      <c r="D120" s="858">
        <f t="shared" si="71"/>
        <v>0.60999999999999943</v>
      </c>
      <c r="E120" s="858">
        <f t="shared" si="72"/>
        <v>5.0165360213765497</v>
      </c>
      <c r="F120" s="859">
        <f t="shared" si="73"/>
        <v>5.5836253158919824</v>
      </c>
      <c r="G120" s="860">
        <f t="shared" si="74"/>
        <v>11.904853568281371</v>
      </c>
      <c r="H120" s="861">
        <f t="shared" si="50"/>
        <v>1.4271562281078827</v>
      </c>
    </row>
    <row r="121" spans="1:8">
      <c r="A121" s="1018" t="s">
        <v>518</v>
      </c>
      <c r="B121" s="868">
        <f>geral!G582</f>
        <v>0.21305647641139175</v>
      </c>
      <c r="C121" s="857">
        <f t="shared" si="70"/>
        <v>152.18319743670838</v>
      </c>
      <c r="D121" s="858">
        <f t="shared" si="71"/>
        <v>0.54000000000000714</v>
      </c>
      <c r="E121" s="858">
        <f t="shared" si="72"/>
        <v>5.5836253158919824</v>
      </c>
      <c r="F121" s="859">
        <f t="shared" si="73"/>
        <v>5.5836253158919824</v>
      </c>
      <c r="G121" s="860">
        <f t="shared" si="74"/>
        <v>11.871472384955851</v>
      </c>
      <c r="H121" s="861">
        <f t="shared" si="50"/>
        <v>1.4194909768329846</v>
      </c>
    </row>
    <row r="122" spans="1:8">
      <c r="A122" s="1018" t="s">
        <v>519</v>
      </c>
      <c r="B122" s="868">
        <f>geral!I571</f>
        <v>0.21459048304155379</v>
      </c>
      <c r="C122" s="857">
        <f t="shared" ref="C122:C127" si="75">100*B122/$B$8</f>
        <v>153.2789164582527</v>
      </c>
      <c r="D122" s="858">
        <f t="shared" ref="D122:D127" si="76">100*(B122/B121-1)</f>
        <v>0.72000000000000952</v>
      </c>
      <c r="E122" s="858">
        <f t="shared" ref="E122:E127" si="77">100*(B122/B$121-1)</f>
        <v>0.72000000000000952</v>
      </c>
      <c r="F122" s="859">
        <f t="shared" ref="F122:F127" si="78">100*(B122/B110-1)</f>
        <v>5.5626637067365481</v>
      </c>
      <c r="G122" s="860">
        <f t="shared" ref="G122:G127" si="79">100*(B122/B98-1)</f>
        <v>12.105210413021128</v>
      </c>
      <c r="H122" s="861">
        <f t="shared" si="50"/>
        <v>1.4093437021773079</v>
      </c>
    </row>
    <row r="123" spans="1:8">
      <c r="A123" s="1018" t="s">
        <v>520</v>
      </c>
      <c r="B123" s="868">
        <f>geral!I572</f>
        <v>0.21594240308471557</v>
      </c>
      <c r="C123" s="857">
        <f t="shared" si="75"/>
        <v>154.24457363193969</v>
      </c>
      <c r="D123" s="858">
        <f t="shared" si="76"/>
        <v>0.62999999999999723</v>
      </c>
      <c r="E123" s="858">
        <f t="shared" si="77"/>
        <v>1.3545360000000173</v>
      </c>
      <c r="F123" s="859">
        <f t="shared" si="78"/>
        <v>5.2593227190735004</v>
      </c>
      <c r="G123" s="860">
        <f t="shared" si="79"/>
        <v>12.239054062902333</v>
      </c>
      <c r="H123" s="861">
        <f t="shared" si="50"/>
        <v>1.4005204235091999</v>
      </c>
    </row>
    <row r="124" spans="1:8">
      <c r="A124" s="1018" t="s">
        <v>521</v>
      </c>
      <c r="B124" s="868">
        <f>geral!I573</f>
        <v>0.21732443446445773</v>
      </c>
      <c r="C124" s="857">
        <f t="shared" si="75"/>
        <v>155.23173890318409</v>
      </c>
      <c r="D124" s="858">
        <f t="shared" si="76"/>
        <v>0.63999999999999613</v>
      </c>
      <c r="E124" s="858">
        <f t="shared" si="77"/>
        <v>2.0032050303999904</v>
      </c>
      <c r="F124" s="859">
        <f t="shared" si="78"/>
        <v>5.3849804859486206</v>
      </c>
      <c r="G124" s="860">
        <f t="shared" si="79"/>
        <v>12.518561618592393</v>
      </c>
      <c r="H124" s="861">
        <f t="shared" si="50"/>
        <v>1.3916140933120031</v>
      </c>
    </row>
    <row r="125" spans="1:8">
      <c r="A125" s="1018" t="s">
        <v>522</v>
      </c>
      <c r="B125" s="868">
        <f>geral!I574</f>
        <v>0.21910649482706629</v>
      </c>
      <c r="C125" s="857">
        <f t="shared" si="75"/>
        <v>156.50463916219019</v>
      </c>
      <c r="D125" s="858">
        <f t="shared" si="76"/>
        <v>0.81999999999999851</v>
      </c>
      <c r="E125" s="858">
        <f t="shared" si="77"/>
        <v>2.8396313116492822</v>
      </c>
      <c r="F125" s="859">
        <f t="shared" si="78"/>
        <v>5.6154446579854911</v>
      </c>
      <c r="G125" s="860">
        <f t="shared" si="79"/>
        <v>13.237386528114236</v>
      </c>
      <c r="H125" s="861">
        <f t="shared" si="50"/>
        <v>1.3802956688276167</v>
      </c>
    </row>
    <row r="126" spans="1:8">
      <c r="A126" s="1018" t="s">
        <v>523</v>
      </c>
      <c r="B126" s="868">
        <f>geral!I575</f>
        <v>0.2208155254867174</v>
      </c>
      <c r="C126" s="857">
        <f t="shared" si="75"/>
        <v>157.72537534765527</v>
      </c>
      <c r="D126" s="858">
        <f t="shared" si="76"/>
        <v>0.78000000000000291</v>
      </c>
      <c r="E126" s="858">
        <f t="shared" si="77"/>
        <v>3.6417804358801487</v>
      </c>
      <c r="F126" s="859">
        <f t="shared" si="78"/>
        <v>5.8149369980293963</v>
      </c>
      <c r="G126" s="860">
        <f t="shared" si="79"/>
        <v>13.394910714460995</v>
      </c>
      <c r="H126" s="861">
        <f t="shared" si="50"/>
        <v>1.3696126898468117</v>
      </c>
    </row>
    <row r="127" spans="1:8">
      <c r="A127" s="1018" t="s">
        <v>524</v>
      </c>
      <c r="B127" s="868">
        <f>geral!I576</f>
        <v>0.22214041863963771</v>
      </c>
      <c r="C127" s="857">
        <f t="shared" si="75"/>
        <v>158.67172759974122</v>
      </c>
      <c r="D127" s="858">
        <f t="shared" si="76"/>
        <v>0.60000000000000053</v>
      </c>
      <c r="E127" s="858">
        <f t="shared" si="77"/>
        <v>4.2636311184954145</v>
      </c>
      <c r="F127" s="859">
        <f t="shared" si="78"/>
        <v>6.0785516891057156</v>
      </c>
      <c r="G127" s="860">
        <f t="shared" si="79"/>
        <v>13.451298039530336</v>
      </c>
      <c r="H127" s="861">
        <f t="shared" si="50"/>
        <v>1.3614440256926557</v>
      </c>
    </row>
    <row r="128" spans="1:8">
      <c r="A128" s="1018" t="s">
        <v>525</v>
      </c>
      <c r="B128" s="868">
        <f>geral!I577</f>
        <v>0.22271798372810075</v>
      </c>
      <c r="C128" s="857">
        <f t="shared" ref="C128:C133" si="80">100*B128/$B$8</f>
        <v>159.08427409150053</v>
      </c>
      <c r="D128" s="858">
        <f t="shared" ref="D128:D133" si="81">100*(B128/B127-1)</f>
        <v>0.25999999999999357</v>
      </c>
      <c r="E128" s="858">
        <f t="shared" ref="E128:E133" si="82">100*(B128/B$121-1)</f>
        <v>4.5347165594034955</v>
      </c>
      <c r="F128" s="859">
        <f t="shared" ref="F128:F133" si="83">100*(B128/B116-1)</f>
        <v>6.0573952168900824</v>
      </c>
      <c r="G128" s="860">
        <f t="shared" ref="G128:G133" si="84">100*(B128/B104-1)</f>
        <v>13.451298039530313</v>
      </c>
      <c r="H128" s="861">
        <f t="shared" si="50"/>
        <v>1.3579134507207817</v>
      </c>
    </row>
    <row r="129" spans="1:8">
      <c r="A129" s="1018" t="s">
        <v>526</v>
      </c>
      <c r="B129" s="868">
        <f>geral!I578</f>
        <v>0.2230075171069473</v>
      </c>
      <c r="C129" s="857">
        <f t="shared" si="80"/>
        <v>159.29108364781948</v>
      </c>
      <c r="D129" s="858">
        <f t="shared" si="81"/>
        <v>0.13000000000000789</v>
      </c>
      <c r="E129" s="858">
        <f t="shared" si="82"/>
        <v>4.6706116909307482</v>
      </c>
      <c r="F129" s="859">
        <f t="shared" si="83"/>
        <v>6.3335033850726363</v>
      </c>
      <c r="G129" s="860">
        <f t="shared" si="84"/>
        <v>13.112401400957596</v>
      </c>
      <c r="H129" s="861">
        <f t="shared" si="50"/>
        <v>1.3561504551291137</v>
      </c>
    </row>
    <row r="130" spans="1:8">
      <c r="A130" s="1018" t="s">
        <v>527</v>
      </c>
      <c r="B130" s="868">
        <f>geral!I579</f>
        <v>0.22340893063773981</v>
      </c>
      <c r="C130" s="857">
        <f t="shared" si="80"/>
        <v>159.57780759838559</v>
      </c>
      <c r="D130" s="858">
        <f t="shared" si="81"/>
        <v>0.18000000000000238</v>
      </c>
      <c r="E130" s="858">
        <f t="shared" si="82"/>
        <v>4.8590187919744121</v>
      </c>
      <c r="F130" s="859">
        <f t="shared" si="83"/>
        <v>6.3547361133843516</v>
      </c>
      <c r="G130" s="860">
        <f t="shared" si="84"/>
        <v>12.808366076136712</v>
      </c>
      <c r="H130" s="861">
        <f t="shared" si="50"/>
        <v>1.3537137703424973</v>
      </c>
    </row>
    <row r="131" spans="1:8">
      <c r="A131" s="1018" t="s">
        <v>528</v>
      </c>
      <c r="B131" s="868">
        <f>geral!I580</f>
        <v>0.22450363439786472</v>
      </c>
      <c r="C131" s="857">
        <f t="shared" si="80"/>
        <v>160.35973885561765</v>
      </c>
      <c r="D131" s="858">
        <f t="shared" si="81"/>
        <v>0.48999999999999044</v>
      </c>
      <c r="E131" s="858">
        <f t="shared" si="82"/>
        <v>5.372827984055073</v>
      </c>
      <c r="F131" s="859">
        <f t="shared" si="83"/>
        <v>6.5880864868255173</v>
      </c>
      <c r="G131" s="860">
        <f t="shared" si="84"/>
        <v>12.651423104352366</v>
      </c>
      <c r="H131" s="861">
        <f t="shared" si="50"/>
        <v>1.3471129170489575</v>
      </c>
    </row>
    <row r="132" spans="1:8">
      <c r="A132" s="1018" t="s">
        <v>529</v>
      </c>
      <c r="B132" s="868">
        <f>geral!I581</f>
        <v>0.22535674820857662</v>
      </c>
      <c r="C132" s="857">
        <f t="shared" si="80"/>
        <v>160.96910586326899</v>
      </c>
      <c r="D132" s="858">
        <f t="shared" si="81"/>
        <v>0.38000000000000256</v>
      </c>
      <c r="E132" s="858">
        <f t="shared" si="82"/>
        <v>5.7732447303945111</v>
      </c>
      <c r="F132" s="859">
        <f t="shared" si="83"/>
        <v>6.3444202519386428</v>
      </c>
      <c r="G132" s="860">
        <f t="shared" si="84"/>
        <v>12.282294223164447</v>
      </c>
      <c r="H132" s="861">
        <f t="shared" si="50"/>
        <v>1.3420132666357416</v>
      </c>
    </row>
    <row r="133" spans="1:8">
      <c r="A133" s="1018" t="s">
        <v>530</v>
      </c>
      <c r="B133" s="868">
        <f>geral!I582</f>
        <v>0.22655113897408211</v>
      </c>
      <c r="C133" s="857">
        <f t="shared" si="80"/>
        <v>161.82224212434434</v>
      </c>
      <c r="D133" s="858">
        <f t="shared" si="81"/>
        <v>0.53000000000000824</v>
      </c>
      <c r="E133" s="858">
        <f t="shared" si="82"/>
        <v>6.3338429274655939</v>
      </c>
      <c r="F133" s="859">
        <f t="shared" si="83"/>
        <v>6.3338429274655939</v>
      </c>
      <c r="G133" s="860">
        <f t="shared" si="84"/>
        <v>12.271126300524383</v>
      </c>
      <c r="H133" s="861">
        <f t="shared" si="50"/>
        <v>1.3349380947336531</v>
      </c>
    </row>
    <row r="134" spans="1:8">
      <c r="A134" s="1018" t="s">
        <v>531</v>
      </c>
      <c r="B134" s="868">
        <f>geral!K571</f>
        <v>0.22795575603572141</v>
      </c>
      <c r="C134" s="857">
        <f t="shared" ref="C134:C139" si="85">100*B134/$B$8</f>
        <v>162.82554002551527</v>
      </c>
      <c r="D134" s="858">
        <f t="shared" ref="D134:D139" si="86">100*(B134/B133-1)</f>
        <v>0.61999999999999833</v>
      </c>
      <c r="E134" s="858">
        <f t="shared" ref="E134:E139" si="87">100*(B134/B$133-1)</f>
        <v>0.61999999999999833</v>
      </c>
      <c r="F134" s="859">
        <f t="shared" ref="F134:F139" si="88">100*(B134/B122-1)</f>
        <v>6.228269215265958</v>
      </c>
      <c r="G134" s="860">
        <f t="shared" ref="G134:G139" si="89">100*(B134/B110-1)</f>
        <v>12.13739059319796</v>
      </c>
      <c r="H134" s="861">
        <f t="shared" si="50"/>
        <v>1.3267124773739347</v>
      </c>
    </row>
    <row r="135" spans="1:8">
      <c r="A135" s="1014" t="s">
        <v>649</v>
      </c>
      <c r="B135" s="868">
        <f>geral!K572</f>
        <v>0.23132950122505005</v>
      </c>
      <c r="C135" s="857">
        <f t="shared" si="85"/>
        <v>165.23535801789288</v>
      </c>
      <c r="D135" s="858">
        <f t="shared" si="86"/>
        <v>1.4799999999999924</v>
      </c>
      <c r="E135" s="858">
        <f t="shared" si="87"/>
        <v>2.1091759999999793</v>
      </c>
      <c r="F135" s="859">
        <f t="shared" si="88"/>
        <v>7.1255565931152676</v>
      </c>
      <c r="G135" s="860">
        <f t="shared" si="89"/>
        <v>12.759635328950925</v>
      </c>
      <c r="H135" s="861">
        <f t="shared" si="50"/>
        <v>1.3073634976093169</v>
      </c>
    </row>
    <row r="136" spans="1:8">
      <c r="A136" s="1014" t="s">
        <v>650</v>
      </c>
      <c r="B136" s="868">
        <f>geral!K573</f>
        <v>0.23401292343926064</v>
      </c>
      <c r="C136" s="857">
        <f t="shared" si="85"/>
        <v>167.15208817090044</v>
      </c>
      <c r="D136" s="858">
        <f t="shared" si="86"/>
        <v>1.1600000000000055</v>
      </c>
      <c r="E136" s="858">
        <f t="shared" si="87"/>
        <v>3.2936424415999754</v>
      </c>
      <c r="F136" s="859">
        <f t="shared" si="88"/>
        <v>7.6790670206631662</v>
      </c>
      <c r="G136" s="860">
        <f t="shared" si="89"/>
        <v>13.477563767177415</v>
      </c>
      <c r="H136" s="861">
        <f t="shared" si="50"/>
        <v>1.2923719826110289</v>
      </c>
    </row>
    <row r="137" spans="1:8">
      <c r="A137" s="1014" t="s">
        <v>652</v>
      </c>
      <c r="B137" s="868">
        <f>geral!K574</f>
        <v>0.23754651858319345</v>
      </c>
      <c r="C137" s="857">
        <f t="shared" si="85"/>
        <v>169.67608470228103</v>
      </c>
      <c r="D137" s="858">
        <f t="shared" si="86"/>
        <v>1.5099999999999891</v>
      </c>
      <c r="E137" s="858">
        <f t="shared" si="87"/>
        <v>4.8533764424681269</v>
      </c>
      <c r="F137" s="859">
        <f t="shared" si="88"/>
        <v>8.4160096535163209</v>
      </c>
      <c r="G137" s="860">
        <f t="shared" si="89"/>
        <v>14.504050676005754</v>
      </c>
      <c r="H137" s="861">
        <f t="shared" si="50"/>
        <v>1.2731474560250509</v>
      </c>
    </row>
    <row r="138" spans="1:8">
      <c r="A138" s="1014" t="s">
        <v>653</v>
      </c>
      <c r="B138" s="868">
        <f>geral!K575</f>
        <v>0.23923309886513414</v>
      </c>
      <c r="C138" s="857">
        <f t="shared" si="85"/>
        <v>170.88078490366723</v>
      </c>
      <c r="D138" s="858">
        <f t="shared" si="86"/>
        <v>0.71000000000001062</v>
      </c>
      <c r="E138" s="858">
        <f t="shared" si="87"/>
        <v>5.5978354152096621</v>
      </c>
      <c r="F138" s="859">
        <f t="shared" si="88"/>
        <v>8.3407058166861567</v>
      </c>
      <c r="G138" s="860">
        <f t="shared" si="89"/>
        <v>14.640649603146837</v>
      </c>
      <c r="H138" s="861">
        <f t="shared" si="50"/>
        <v>1.2641718359895251</v>
      </c>
    </row>
    <row r="139" spans="1:8">
      <c r="A139" s="1014" t="s">
        <v>654</v>
      </c>
      <c r="B139" s="868">
        <f>geral!K576</f>
        <v>0.24160150654389898</v>
      </c>
      <c r="C139" s="857">
        <f t="shared" si="85"/>
        <v>172.57250467421355</v>
      </c>
      <c r="D139" s="858">
        <f t="shared" si="86"/>
        <v>0.99000000000000199</v>
      </c>
      <c r="E139" s="858">
        <f t="shared" si="87"/>
        <v>6.6432539858202411</v>
      </c>
      <c r="F139" s="859">
        <f t="shared" si="88"/>
        <v>8.7607145171683332</v>
      </c>
      <c r="G139" s="860">
        <f t="shared" si="89"/>
        <v>15.371790766535121</v>
      </c>
      <c r="H139" s="861">
        <f t="shared" si="50"/>
        <v>1.2517792216947472</v>
      </c>
    </row>
    <row r="140" spans="1:8">
      <c r="A140" s="1014" t="s">
        <v>657</v>
      </c>
      <c r="B140" s="868">
        <f>geral!K577</f>
        <v>0.24346183814428701</v>
      </c>
      <c r="C140" s="857">
        <f t="shared" ref="C140:C145" si="90">100*B140/$B$8</f>
        <v>173.90131296020499</v>
      </c>
      <c r="D140" s="858">
        <f t="shared" ref="D140:D145" si="91">100*(B140/B139-1)</f>
        <v>0.77000000000000401</v>
      </c>
      <c r="E140" s="858">
        <f t="shared" ref="E140:E145" si="92">100*(B140/B$133-1)</f>
        <v>7.4644070415110564</v>
      </c>
      <c r="F140" s="859">
        <f t="shared" ref="F140:F145" si="93">100*(B140/B128-1)</f>
        <v>9.3139557340420343</v>
      </c>
      <c r="G140" s="860">
        <f t="shared" ref="G140:G145" si="94">100*(B140/B116-1)</f>
        <v>15.935534060069244</v>
      </c>
      <c r="H140" s="861">
        <f t="shared" si="50"/>
        <v>1.242214172565989</v>
      </c>
    </row>
    <row r="141" spans="1:8">
      <c r="A141" s="1014" t="str">
        <f>cárter!A261</f>
        <v>AGOSTO|15</v>
      </c>
      <c r="B141" s="868">
        <f>geral!K578</f>
        <v>0.24487391680552389</v>
      </c>
      <c r="C141" s="857">
        <f t="shared" si="90"/>
        <v>174.90994057537418</v>
      </c>
      <c r="D141" s="858">
        <f t="shared" si="91"/>
        <v>0.58000000000000274</v>
      </c>
      <c r="E141" s="858">
        <f t="shared" si="92"/>
        <v>8.0877006023518447</v>
      </c>
      <c r="F141" s="859">
        <f t="shared" si="93"/>
        <v>9.8052298784574887</v>
      </c>
      <c r="G141" s="860">
        <f t="shared" si="94"/>
        <v>16.759747829796389</v>
      </c>
      <c r="H141" s="861">
        <f t="shared" si="50"/>
        <v>1.2350508774766245</v>
      </c>
    </row>
    <row r="142" spans="1:8">
      <c r="A142" s="1032" t="str">
        <f>cárter!A262</f>
        <v>SETEMBRO|15</v>
      </c>
      <c r="B142" s="1072">
        <f>geral!K579</f>
        <v>0.2454861015975377</v>
      </c>
      <c r="C142" s="918">
        <f t="shared" si="90"/>
        <v>175.34721542681262</v>
      </c>
      <c r="D142" s="919">
        <f t="shared" si="91"/>
        <v>0.24999999999999467</v>
      </c>
      <c r="E142" s="919">
        <f t="shared" si="92"/>
        <v>8.3579198538577195</v>
      </c>
      <c r="F142" s="920">
        <f t="shared" si="93"/>
        <v>9.8819554333735571</v>
      </c>
      <c r="G142" s="921">
        <f t="shared" si="94"/>
        <v>16.864663737391062</v>
      </c>
      <c r="H142" s="861">
        <f t="shared" si="50"/>
        <v>1.2319709501013709</v>
      </c>
    </row>
    <row r="143" spans="1:8">
      <c r="A143" s="1032" t="str">
        <f>cárter!A263</f>
        <v>OUTUBRO|15</v>
      </c>
      <c r="B143" s="1072">
        <f>geral!K580</f>
        <v>0.24673808071568518</v>
      </c>
      <c r="C143" s="918">
        <f t="shared" si="90"/>
        <v>176.24148622548941</v>
      </c>
      <c r="D143" s="919">
        <f t="shared" si="91"/>
        <v>0.51000000000001044</v>
      </c>
      <c r="E143" s="919">
        <f t="shared" si="92"/>
        <v>8.9105452451124112</v>
      </c>
      <c r="F143" s="920">
        <f t="shared" si="93"/>
        <v>9.9038246652241924</v>
      </c>
      <c r="G143" s="921">
        <f t="shared" si="94"/>
        <v>17.144383686498223</v>
      </c>
      <c r="H143" s="861">
        <f t="shared" si="50"/>
        <v>1.2257197792273116</v>
      </c>
    </row>
    <row r="144" spans="1:8">
      <c r="A144" s="1032" t="str">
        <f>cárter!A264</f>
        <v>NOVEMBRO|15</v>
      </c>
      <c r="B144" s="1072">
        <f>geral!K581</f>
        <v>0.24863796393719595</v>
      </c>
      <c r="C144" s="918">
        <f t="shared" si="90"/>
        <v>177.59854566942568</v>
      </c>
      <c r="D144" s="919">
        <f t="shared" si="91"/>
        <v>0.77000000000000401</v>
      </c>
      <c r="E144" s="919">
        <f t="shared" si="92"/>
        <v>9.7491564434997624</v>
      </c>
      <c r="F144" s="920">
        <f t="shared" si="93"/>
        <v>10.330826972650332</v>
      </c>
      <c r="G144" s="921">
        <f t="shared" si="94"/>
        <v>17.330678303234535</v>
      </c>
      <c r="H144" s="861">
        <f t="shared" si="50"/>
        <v>1.2163538545472974</v>
      </c>
    </row>
    <row r="145" spans="1:8">
      <c r="A145" s="1032" t="str">
        <f>cárter!A265</f>
        <v>DEZEMBRO|15</v>
      </c>
      <c r="B145" s="1072">
        <f>geral!K582</f>
        <v>0.24863796393719595</v>
      </c>
      <c r="C145" s="918">
        <f t="shared" si="90"/>
        <v>177.59854566942568</v>
      </c>
      <c r="D145" s="919">
        <f t="shared" si="91"/>
        <v>0</v>
      </c>
      <c r="E145" s="919">
        <f t="shared" si="92"/>
        <v>9.7491564434997624</v>
      </c>
      <c r="F145" s="920">
        <f t="shared" si="93"/>
        <v>9.7491564434997624</v>
      </c>
      <c r="G145" s="921">
        <f t="shared" si="94"/>
        <v>16.700495626849545</v>
      </c>
      <c r="H145" s="861">
        <f t="shared" si="50"/>
        <v>1.2163538545472974</v>
      </c>
    </row>
    <row r="146" spans="1:8">
      <c r="A146" s="1032" t="str">
        <f>cárter!A266</f>
        <v>JANEIRO|16</v>
      </c>
      <c r="B146" s="1072">
        <f>geral!M571</f>
        <v>0.25366042594493093</v>
      </c>
      <c r="C146" s="918">
        <f t="shared" ref="C146" si="95">100*B146/$B$8</f>
        <v>181.18601853209353</v>
      </c>
      <c r="D146" s="919">
        <f t="shared" ref="D146" si="96">100*(B146/B145-1)</f>
        <v>2.0199900000000159</v>
      </c>
      <c r="E146" s="919">
        <f t="shared" ref="E146:E151" si="97">100*(B146/B$145-1)</f>
        <v>2.0199900000000159</v>
      </c>
      <c r="F146" s="920">
        <f t="shared" ref="F146" si="98">100*(B146/B134-1)</f>
        <v>11.276166198313287</v>
      </c>
      <c r="G146" s="921">
        <f t="shared" ref="G146" si="99">100*(B146/B122-1)</f>
        <v>18.206745401571034</v>
      </c>
      <c r="H146" s="861">
        <f t="shared" si="50"/>
        <v>1.192270117402773</v>
      </c>
    </row>
    <row r="147" spans="1:8">
      <c r="A147" s="1032" t="str">
        <f>cárter!A267</f>
        <v>FEVEREIRO|16</v>
      </c>
      <c r="B147" s="1072">
        <f>geral!M572</f>
        <v>0.25749069837669936</v>
      </c>
      <c r="C147" s="918">
        <f t="shared" ref="C147" si="100">100*B147/$B$8</f>
        <v>183.9219274119281</v>
      </c>
      <c r="D147" s="919">
        <f t="shared" ref="D147" si="101">100*(B147/B146-1)</f>
        <v>1.5099999999999891</v>
      </c>
      <c r="E147" s="919">
        <f t="shared" si="97"/>
        <v>3.5604918490000026</v>
      </c>
      <c r="F147" s="920">
        <f t="shared" ref="F147" si="102">100*(B147/B135-1)</f>
        <v>11.309062187532337</v>
      </c>
      <c r="G147" s="921">
        <f t="shared" ref="G147" si="103">100*(B147/B123-1)</f>
        <v>19.24045240697081</v>
      </c>
      <c r="H147" s="861">
        <f t="shared" si="50"/>
        <v>1.1745346442742322</v>
      </c>
    </row>
    <row r="148" spans="1:8">
      <c r="A148" s="1032" t="str">
        <f>cárter!A268</f>
        <v>MARÇO|16</v>
      </c>
      <c r="B148" s="1072">
        <f>geral!M573</f>
        <v>0.25993686001127803</v>
      </c>
      <c r="C148" s="918">
        <f t="shared" ref="C148" si="104">100*B148/$B$8</f>
        <v>185.66918572234144</v>
      </c>
      <c r="D148" s="919">
        <f t="shared" ref="D148" si="105">100*(B148/B147-1)</f>
        <v>0.95000000000000639</v>
      </c>
      <c r="E148" s="919">
        <f t="shared" si="97"/>
        <v>4.5443165215655057</v>
      </c>
      <c r="F148" s="920">
        <f t="shared" ref="F148" si="106">100*(B148/B136-1)</f>
        <v>11.077993553097976</v>
      </c>
      <c r="G148" s="921">
        <f t="shared" ref="G148" si="107">100*(B148/B124-1)</f>
        <v>19.607747123248267</v>
      </c>
      <c r="H148" s="861">
        <f t="shared" si="50"/>
        <v>1.1634815693652623</v>
      </c>
    </row>
    <row r="149" spans="1:8">
      <c r="A149" s="1032" t="str">
        <f>cárter!A269</f>
        <v>ABRIL|16</v>
      </c>
      <c r="B149" s="1072">
        <f>geral!M574</f>
        <v>0.26108058219532765</v>
      </c>
      <c r="C149" s="918">
        <f t="shared" ref="C149" si="108">100*B149/$B$8</f>
        <v>186.48613013951973</v>
      </c>
      <c r="D149" s="919">
        <f t="shared" ref="D149" si="109">100*(B149/B148-1)</f>
        <v>0.43999999999999595</v>
      </c>
      <c r="E149" s="919">
        <f t="shared" si="97"/>
        <v>5.0043115142603956</v>
      </c>
      <c r="F149" s="920">
        <f t="shared" ref="F149" si="110">100*(B149/B137-1)</f>
        <v>9.9071389269348877</v>
      </c>
      <c r="G149" s="921">
        <f t="shared" ref="G149" si="111">100*(B149/B125-1)</f>
        <v>19.156934348929354</v>
      </c>
      <c r="H149" s="861">
        <f t="shared" si="50"/>
        <v>1.1583846767873975</v>
      </c>
    </row>
    <row r="150" spans="1:8">
      <c r="A150" s="1032" t="str">
        <f>cárter!A270</f>
        <v>MAIO|16</v>
      </c>
      <c r="B150" s="1072">
        <f>geral!M575</f>
        <v>0.26275149792137775</v>
      </c>
      <c r="C150" s="918">
        <f t="shared" ref="C150" si="112">100*B150/$B$8</f>
        <v>187.67964137241265</v>
      </c>
      <c r="D150" s="919">
        <f t="shared" ref="D150" si="113">100*(B150/B149-1)</f>
        <v>0.63999999999999613</v>
      </c>
      <c r="E150" s="919">
        <f t="shared" si="97"/>
        <v>5.6763391079516667</v>
      </c>
      <c r="F150" s="920">
        <f t="shared" ref="F150" si="114">100*(B150/B138-1)</f>
        <v>9.8307463172150555</v>
      </c>
      <c r="G150" s="921">
        <f t="shared" ref="G150" si="115">100*(B150/B126-1)</f>
        <v>18.991405763804824</v>
      </c>
      <c r="H150" s="861">
        <f t="shared" si="50"/>
        <v>1.1510181605598149</v>
      </c>
    </row>
    <row r="151" spans="1:8">
      <c r="A151" s="1032" t="str">
        <f>cárter!A271</f>
        <v>JUNHO|16</v>
      </c>
      <c r="B151" s="1072">
        <f>geral!M576</f>
        <v>0.26532646260100728</v>
      </c>
      <c r="C151" s="918">
        <f t="shared" ref="C151" si="116">100*B151/$B$8</f>
        <v>189.51890185786235</v>
      </c>
      <c r="D151" s="919">
        <f t="shared" ref="D151" si="117">100*(B151/B150-1)</f>
        <v>0.98000000000000309</v>
      </c>
      <c r="E151" s="919">
        <f t="shared" si="97"/>
        <v>6.7119672312095924</v>
      </c>
      <c r="F151" s="920">
        <f t="shared" ref="F151" si="118">100*(B151/B139-1)</f>
        <v>9.8198709091234413</v>
      </c>
      <c r="G151" s="921">
        <f t="shared" ref="G151" si="119">100*(B151/B127-1)</f>
        <v>19.440876282594544</v>
      </c>
      <c r="H151" s="861">
        <f t="shared" si="50"/>
        <v>1.139847653554976</v>
      </c>
    </row>
    <row r="152" spans="1:8">
      <c r="A152" s="1032" t="str">
        <f>cárter!A272</f>
        <v>JULHO|16</v>
      </c>
      <c r="B152" s="1072">
        <f>geral!M577</f>
        <v>0.26657349697523197</v>
      </c>
      <c r="C152" s="918">
        <f t="shared" ref="C152" si="120">100*B152/$B$8</f>
        <v>190.40964069659427</v>
      </c>
      <c r="D152" s="919">
        <f t="shared" ref="D152" si="121">100*(B152/B151-1)</f>
        <v>0.46999999999999265</v>
      </c>
      <c r="E152" s="919">
        <f t="shared" ref="E152" si="122">100*(B152/B$145-1)</f>
        <v>7.2135134771962761</v>
      </c>
      <c r="F152" s="920">
        <f t="shared" ref="F152" si="123">100*(B152/B140-1)</f>
        <v>9.4929287510134852</v>
      </c>
      <c r="G152" s="921">
        <f t="shared" ref="G152" si="124">100*(B152/B128-1)</f>
        <v>19.691051666789082</v>
      </c>
      <c r="H152" s="861">
        <f t="shared" si="50"/>
        <v>1.1345154310291392</v>
      </c>
    </row>
    <row r="153" spans="1:8">
      <c r="A153" s="1032" t="str">
        <f>cárter!A273</f>
        <v>AGOSTO|16</v>
      </c>
      <c r="B153" s="1072">
        <f>geral!M578</f>
        <v>0.26827956735587344</v>
      </c>
      <c r="C153" s="918">
        <f t="shared" ref="C153" si="125">100*B153/$B$8</f>
        <v>191.62826239705242</v>
      </c>
      <c r="D153" s="919">
        <f t="shared" ref="D153" si="126">100*(B153/B152-1)</f>
        <v>0.63999999999999613</v>
      </c>
      <c r="E153" s="919">
        <f t="shared" ref="E153" si="127">100*(B153/B$145-1)</f>
        <v>7.8996799634503123</v>
      </c>
      <c r="F153" s="920">
        <f t="shared" ref="F153" si="128">100*(B153/B141-1)</f>
        <v>9.5582456701331928</v>
      </c>
      <c r="G153" s="921">
        <f t="shared" ref="G153" si="129">100*(B153/B129-1)</f>
        <v>20.300683508894956</v>
      </c>
      <c r="H153" s="861">
        <f t="shared" ref="H153:H202" si="130">B$202/B153</f>
        <v>1.1273007065074911</v>
      </c>
    </row>
    <row r="154" spans="1:8">
      <c r="A154" s="1032" t="str">
        <f>cárter!A274</f>
        <v>SETEMBRO|16</v>
      </c>
      <c r="B154" s="1072">
        <f>geral!M579</f>
        <v>0.26911123401467668</v>
      </c>
      <c r="C154" s="918">
        <f t="shared" ref="C154" si="131">100*B154/$B$8</f>
        <v>192.22231001048334</v>
      </c>
      <c r="D154" s="919">
        <f t="shared" ref="D154" si="132">100*(B154/B153-1)</f>
        <v>0.31000000000001027</v>
      </c>
      <c r="E154" s="919">
        <f t="shared" ref="E154" si="133">100*(B154/B$145-1)</f>
        <v>8.2341689713370201</v>
      </c>
      <c r="F154" s="920">
        <f t="shared" ref="F154" si="134">100*(B154/B142-1)</f>
        <v>9.6238166899856648</v>
      </c>
      <c r="G154" s="921">
        <f t="shared" ref="G154" si="135">100*(B154/B130-1)</f>
        <v>20.456793399653161</v>
      </c>
      <c r="H154" s="861">
        <f t="shared" si="130"/>
        <v>1.123816874197479</v>
      </c>
    </row>
    <row r="155" spans="1:8">
      <c r="A155" s="1032" t="str">
        <f>cárter!A275</f>
        <v>OUTUBRO|16</v>
      </c>
      <c r="B155" s="1072">
        <f>geral!M580</f>
        <v>0.26932652300188842</v>
      </c>
      <c r="C155" s="918">
        <f t="shared" ref="C155" si="136">100*B155/$B$8</f>
        <v>192.3760878584917</v>
      </c>
      <c r="D155" s="919">
        <f t="shared" ref="D155" si="137">100*(B155/B154-1)</f>
        <v>7.9999999999991189E-2</v>
      </c>
      <c r="E155" s="919">
        <f t="shared" ref="E155" si="138">100*(B155/B$145-1)</f>
        <v>8.3207563065140988</v>
      </c>
      <c r="F155" s="920">
        <f t="shared" ref="F155" si="139">100*(B155/B143-1)</f>
        <v>9.1548261300742553</v>
      </c>
      <c r="G155" s="921">
        <f t="shared" ref="G155" si="140">100*(B155/B131-1)</f>
        <v>19.965328723627131</v>
      </c>
      <c r="H155" s="861">
        <f t="shared" si="130"/>
        <v>1.1229185393659862</v>
      </c>
    </row>
    <row r="156" spans="1:8">
      <c r="A156" s="1032" t="str">
        <f>cárter!A276</f>
        <v>NOVEMBRO|16</v>
      </c>
      <c r="B156" s="1072">
        <f>geral!M581</f>
        <v>0.26978437809099165</v>
      </c>
      <c r="C156" s="918">
        <f t="shared" ref="C156" si="141">100*B156/$B$8</f>
        <v>192.70312720785117</v>
      </c>
      <c r="D156" s="919">
        <f t="shared" ref="D156" si="142">100*(B156/B155-1)</f>
        <v>0.17000000000000348</v>
      </c>
      <c r="E156" s="919">
        <f t="shared" ref="E156" si="143">100*(B156/B$145-1)</f>
        <v>8.5049015922351821</v>
      </c>
      <c r="F156" s="920">
        <f t="shared" ref="F156" si="144">100*(B156/B144-1)</f>
        <v>8.5049015922351821</v>
      </c>
      <c r="G156" s="921">
        <f t="shared" ref="G156" si="145">100*(B156/B132-1)</f>
        <v>19.714355232573499</v>
      </c>
      <c r="H156" s="861">
        <f t="shared" si="130"/>
        <v>1.1210128175761067</v>
      </c>
    </row>
    <row r="157" spans="1:8">
      <c r="A157" s="1032" t="str">
        <f>cárter!A277</f>
        <v>DEZEMBRO|16</v>
      </c>
      <c r="B157" s="1072">
        <f>geral!M582</f>
        <v>0.2699732271556553</v>
      </c>
      <c r="C157" s="918">
        <f t="shared" ref="C157" si="146">100*B157/$B$8</f>
        <v>192.83801939689664</v>
      </c>
      <c r="D157" s="919">
        <f t="shared" ref="D157" si="147">100*(B157/B156-1)</f>
        <v>6.9999999999992291E-2</v>
      </c>
      <c r="E157" s="919">
        <f t="shared" ref="E157" si="148">100*(B157/B$145-1)</f>
        <v>8.5808550233497307</v>
      </c>
      <c r="F157" s="920">
        <f t="shared" ref="F157" si="149">100*(B157/B145-1)</f>
        <v>8.5808550233497307</v>
      </c>
      <c r="G157" s="921">
        <f t="shared" ref="G157" si="150">100*(B157/B133-1)</f>
        <v>19.166572447265761</v>
      </c>
      <c r="H157" s="861">
        <f t="shared" si="130"/>
        <v>1.1202286575158458</v>
      </c>
    </row>
    <row r="158" spans="1:8">
      <c r="A158" s="1032" t="str">
        <f>cárter!A278</f>
        <v>JANEIRO|17</v>
      </c>
      <c r="B158" s="1072">
        <f>geral!O571</f>
        <v>0.27035118967367322</v>
      </c>
      <c r="C158" s="918">
        <f t="shared" ref="C158" si="151">100*B158/$B$8</f>
        <v>193.10799262405229</v>
      </c>
      <c r="D158" s="919">
        <f t="shared" ref="D158" si="152">100*(B158/B157-1)</f>
        <v>0.14000000000000679</v>
      </c>
      <c r="E158" s="919">
        <f t="shared" ref="E158:E163" si="153">100*(B158/B$157-1)</f>
        <v>0.14000000000000679</v>
      </c>
      <c r="F158" s="920">
        <f t="shared" ref="F158" si="154">100*(B158/B146-1)</f>
        <v>6.5799636133883288</v>
      </c>
      <c r="G158" s="921">
        <f t="shared" ref="G158" si="155">100*(B158/B134-1)</f>
        <v>18.598097444535821</v>
      </c>
      <c r="H158" s="861">
        <f t="shared" si="130"/>
        <v>1.1186625299738824</v>
      </c>
    </row>
    <row r="159" spans="1:8">
      <c r="A159" s="1032" t="str">
        <f>cárter!A279</f>
        <v>FEVEREIRO|17</v>
      </c>
      <c r="B159" s="1072">
        <f>geral!O572</f>
        <v>0.27148666467030264</v>
      </c>
      <c r="C159" s="918">
        <f t="shared" ref="C159" si="156">100*B159/$B$8</f>
        <v>193.91904619307329</v>
      </c>
      <c r="D159" s="919">
        <f t="shared" ref="D159" si="157">100*(B159/B158-1)</f>
        <v>0.41999999999999815</v>
      </c>
      <c r="E159" s="919">
        <f t="shared" si="153"/>
        <v>0.5605879999999841</v>
      </c>
      <c r="F159" s="920">
        <f t="shared" ref="F159" si="158">100*(B159/B147-1)</f>
        <v>5.4355230623234885</v>
      </c>
      <c r="G159" s="921">
        <f t="shared" ref="G159" si="159">100*(B159/B135-1)</f>
        <v>17.359291933191635</v>
      </c>
      <c r="H159" s="861">
        <f t="shared" si="130"/>
        <v>1.1139837980221892</v>
      </c>
    </row>
    <row r="160" spans="1:8">
      <c r="A160" s="1032" t="str">
        <f>cárter!A280</f>
        <v>MARÇO|17</v>
      </c>
      <c r="B160" s="1072">
        <f>geral!O573</f>
        <v>0.27213823266551135</v>
      </c>
      <c r="C160" s="918">
        <f t="shared" ref="C160" si="160">100*B160/$B$8</f>
        <v>194.38445190393665</v>
      </c>
      <c r="D160" s="919">
        <f t="shared" ref="D160" si="161">100*(B160/B159-1)</f>
        <v>0.23999999999999577</v>
      </c>
      <c r="E160" s="919">
        <f t="shared" si="153"/>
        <v>0.80193341119998429</v>
      </c>
      <c r="F160" s="920">
        <f t="shared" ref="F160" si="162">100*(B160/B148-1)</f>
        <v>4.6939755499485258</v>
      </c>
      <c r="G160" s="921">
        <f t="shared" ref="G160" si="163">100*(B160/B136-1)</f>
        <v>16.29196741185379</v>
      </c>
      <c r="H160" s="861">
        <f t="shared" si="130"/>
        <v>1.1113166380907713</v>
      </c>
    </row>
    <row r="161" spans="1:8">
      <c r="A161" s="1032" t="str">
        <f>cárter!A281</f>
        <v>ABRIL|17</v>
      </c>
      <c r="B161" s="1072">
        <f>geral!O574</f>
        <v>0.27300907501004101</v>
      </c>
      <c r="C161" s="918">
        <f t="shared" ref="C161" si="164">100*B161/$B$8</f>
        <v>195.00648215002929</v>
      </c>
      <c r="D161" s="919">
        <f t="shared" ref="D161" si="165">100*(B161/B160-1)</f>
        <v>0.32000000000000917</v>
      </c>
      <c r="E161" s="919">
        <f t="shared" si="153"/>
        <v>1.1244995981158468</v>
      </c>
      <c r="F161" s="920">
        <f t="shared" ref="F161" si="166">100*(B161/B149-1)</f>
        <v>4.5688931418840895</v>
      </c>
      <c r="G161" s="921">
        <f t="shared" ref="G161" si="167">100*(B161/B137-1)</f>
        <v>14.928678659808647</v>
      </c>
      <c r="H161" s="861">
        <f t="shared" si="130"/>
        <v>1.1077717684317896</v>
      </c>
    </row>
    <row r="162" spans="1:8">
      <c r="A162" s="1032" t="str">
        <f>cárter!A282</f>
        <v>MAIO|17</v>
      </c>
      <c r="B162" s="1072">
        <f>geral!O575</f>
        <v>0.273227482270049</v>
      </c>
      <c r="C162" s="918">
        <f t="shared" ref="C162" si="168">100*B162/$B$8</f>
        <v>195.16248733574926</v>
      </c>
      <c r="D162" s="919">
        <f t="shared" ref="D162" si="169">100*(B162/B161-1)</f>
        <v>7.9999999999991189E-2</v>
      </c>
      <c r="E162" s="919">
        <f t="shared" si="153"/>
        <v>1.2053991977943213</v>
      </c>
      <c r="F162" s="920">
        <f t="shared" ref="F162" si="170">100*(B162/B150-1)</f>
        <v>3.9870312563568877</v>
      </c>
      <c r="G162" s="921">
        <f t="shared" ref="G162" si="171">100*(B162/B138-1)</f>
        <v>14.209732501972461</v>
      </c>
      <c r="H162" s="861">
        <f t="shared" si="130"/>
        <v>1.1068862594242503</v>
      </c>
    </row>
    <row r="163" spans="1:8">
      <c r="A163" s="1032" t="str">
        <f>cárter!A283</f>
        <v>JUNHO|17</v>
      </c>
      <c r="B163" s="1072">
        <f>geral!O576</f>
        <v>0.27421110120622122</v>
      </c>
      <c r="C163" s="918">
        <f t="shared" ref="C163" si="172">100*B163/$B$8</f>
        <v>195.865072290158</v>
      </c>
      <c r="D163" s="919">
        <f t="shared" ref="D163" si="173">100*(B163/B162-1)</f>
        <v>0.36000000000000476</v>
      </c>
      <c r="E163" s="919">
        <f t="shared" si="153"/>
        <v>1.5697386349063924</v>
      </c>
      <c r="F163" s="920">
        <f t="shared" ref="F163" si="174">100*(B163/B151-1)</f>
        <v>3.3485685966327727</v>
      </c>
      <c r="G163" s="921">
        <f t="shared" ref="G163" si="175">100*(B163/B139-1)</f>
        <v>13.497264619249005</v>
      </c>
      <c r="H163" s="861">
        <f t="shared" si="130"/>
        <v>1.1029157626786072</v>
      </c>
    </row>
    <row r="164" spans="1:8">
      <c r="A164" s="1032" t="str">
        <f>cárter!A284</f>
        <v>JULHO|17</v>
      </c>
      <c r="B164" s="1072">
        <f>geral!O577</f>
        <v>0.27338846790260257</v>
      </c>
      <c r="C164" s="918">
        <f t="shared" ref="C164" si="176">100*B164/$B$8</f>
        <v>195.27747707328751</v>
      </c>
      <c r="D164" s="919">
        <f t="shared" ref="D164" si="177">100*(B164/B163-1)</f>
        <v>-0.29999999999998916</v>
      </c>
      <c r="E164" s="919">
        <f t="shared" ref="E164" si="178">100*(B164/B$157-1)</f>
        <v>1.2650294190016842</v>
      </c>
      <c r="F164" s="920">
        <f t="shared" ref="F164" si="179">100*(B164/B152-1)</f>
        <v>2.5565073065023425</v>
      </c>
      <c r="G164" s="921">
        <f t="shared" ref="G164" si="180">100*(B164/B140-1)</f>
        <v>12.292123474636551</v>
      </c>
      <c r="H164" s="861">
        <f t="shared" si="130"/>
        <v>1.1062344660768375</v>
      </c>
    </row>
    <row r="165" spans="1:8">
      <c r="A165" s="1032" t="str">
        <f>cárter!A285</f>
        <v>AGOSTO|17</v>
      </c>
      <c r="B165" s="1072">
        <f>geral!O578</f>
        <v>0.27385322829803699</v>
      </c>
      <c r="C165" s="918">
        <f t="shared" ref="C165" si="181">100*B165/$B$8</f>
        <v>195.60944878431212</v>
      </c>
      <c r="D165" s="919">
        <f t="shared" ref="D165" si="182">100*(B165/B164-1)</f>
        <v>0.17000000000000348</v>
      </c>
      <c r="E165" s="919">
        <f t="shared" ref="E165" si="183">100*(B165/B$157-1)</f>
        <v>1.4371799690139797</v>
      </c>
      <c r="F165" s="920">
        <f t="shared" ref="F165" si="184">100*(B165/B153-1)</f>
        <v>2.0775570040971747</v>
      </c>
      <c r="G165" s="921">
        <f t="shared" ref="G165" si="185">100*(B165/B141-1)</f>
        <v>11.834380676619038</v>
      </c>
      <c r="H165" s="861">
        <f t="shared" si="130"/>
        <v>1.1043570590764078</v>
      </c>
    </row>
    <row r="166" spans="1:8">
      <c r="A166" s="1032" t="str">
        <f>cárter!A286</f>
        <v>SETEMBRO|17</v>
      </c>
      <c r="B166" s="1072">
        <f>geral!O579</f>
        <v>0.27377107232954756</v>
      </c>
      <c r="C166" s="918">
        <f t="shared" ref="C166" si="186">100*B166/$B$8</f>
        <v>195.55076594967682</v>
      </c>
      <c r="D166" s="919">
        <f t="shared" ref="D166" si="187">100*(B166/B165-1)</f>
        <v>-3.0000000000007798E-2</v>
      </c>
      <c r="E166" s="919">
        <f t="shared" ref="E166" si="188">100*(B166/B$157-1)</f>
        <v>1.4067488150232732</v>
      </c>
      <c r="F166" s="920">
        <f t="shared" ref="F166" si="189">100*(B166/B154-1)</f>
        <v>1.7315658827593783</v>
      </c>
      <c r="G166" s="921">
        <f t="shared" ref="G166" si="190">100*(B166/B142-1)</f>
        <v>11.522025299168126</v>
      </c>
      <c r="H166" s="861">
        <f t="shared" si="130"/>
        <v>1.1046884656160927</v>
      </c>
    </row>
    <row r="167" spans="1:8">
      <c r="A167" s="1032" t="str">
        <f>cárter!A287</f>
        <v>OUTUBRO|17</v>
      </c>
      <c r="B167" s="1072">
        <f>geral!O580</f>
        <v>0.27371631811508168</v>
      </c>
      <c r="C167" s="918">
        <f t="shared" ref="C167" si="191">100*B167/$B$8</f>
        <v>195.51165579648688</v>
      </c>
      <c r="D167" s="919">
        <f t="shared" ref="D167" si="192">100*(B167/B166-1)</f>
        <v>-1.9999999999986695E-2</v>
      </c>
      <c r="E167" s="919">
        <f t="shared" ref="E167" si="193">100*(B167/B$157-1)</f>
        <v>1.3864674652602771</v>
      </c>
      <c r="F167" s="920">
        <f t="shared" ref="F167" si="194">100*(B167/B155-1)</f>
        <v>1.629915637073176</v>
      </c>
      <c r="G167" s="921">
        <f t="shared" ref="G167" si="195">100*(B167/B143-1)</f>
        <v>10.933957709788377</v>
      </c>
      <c r="H167" s="861">
        <f t="shared" si="130"/>
        <v>1.1049094475055936</v>
      </c>
    </row>
    <row r="168" spans="1:8">
      <c r="A168" s="1032" t="str">
        <f>cárter!A288</f>
        <v>NOVEMBRO|17</v>
      </c>
      <c r="B168" s="1072">
        <f>geral!O581</f>
        <v>0.27472906849210749</v>
      </c>
      <c r="C168" s="918">
        <f t="shared" ref="C168" si="196">100*B168/$B$8</f>
        <v>196.23504892293388</v>
      </c>
      <c r="D168" s="919">
        <f t="shared" ref="D168" si="197">100*(B168/B167-1)</f>
        <v>0.37000000000000366</v>
      </c>
      <c r="E168" s="919">
        <f t="shared" ref="E168" si="198">100*(B168/B$157-1)</f>
        <v>1.7615973948817309</v>
      </c>
      <c r="F168" s="920">
        <f t="shared" ref="F168" si="199">100*(B168/B156-1)</f>
        <v>1.8328305130581368</v>
      </c>
      <c r="G168" s="921">
        <f t="shared" ref="G168" si="200">100*(B168/B144-1)</f>
        <v>10.49361253678136</v>
      </c>
      <c r="H168" s="861">
        <f t="shared" si="130"/>
        <v>1.1008363529994956</v>
      </c>
    </row>
    <row r="169" spans="1:8">
      <c r="A169" s="1032" t="str">
        <f>cárter!A289</f>
        <v>DEZEMBRO|17</v>
      </c>
      <c r="B169" s="1072">
        <f>geral!O582</f>
        <v>0.27522358081539328</v>
      </c>
      <c r="C169" s="918">
        <f t="shared" ref="C169" si="201">100*B169/$B$8</f>
        <v>196.58827201099518</v>
      </c>
      <c r="D169" s="919">
        <f t="shared" ref="D169" si="202">100*(B169/B168-1)</f>
        <v>0.18000000000000238</v>
      </c>
      <c r="E169" s="919">
        <f t="shared" ref="E169" si="203">100*(B169/B$157-1)</f>
        <v>1.9447682701925206</v>
      </c>
      <c r="F169" s="920">
        <f t="shared" ref="F169" si="204">100*(B169/B157-1)</f>
        <v>1.9447682701925206</v>
      </c>
      <c r="G169" s="921">
        <f t="shared" ref="G169" si="205">100*(B169/B145-1)</f>
        <v>10.692501039347579</v>
      </c>
      <c r="H169" s="861">
        <f t="shared" si="130"/>
        <v>1.0988584078653378</v>
      </c>
    </row>
    <row r="170" spans="1:8">
      <c r="A170" s="1032" t="str">
        <f>cárter!A290</f>
        <v>JANEIRO|18</v>
      </c>
      <c r="B170" s="1072">
        <f>geral!Q571</f>
        <v>0.27593916212551328</v>
      </c>
      <c r="C170" s="918">
        <f t="shared" ref="C170" si="206">100*B170/$B$8</f>
        <v>197.09940151822374</v>
      </c>
      <c r="D170" s="919">
        <f t="shared" ref="D170" si="207">100*(B170/B169-1)</f>
        <v>0.25999999999999357</v>
      </c>
      <c r="E170" s="919">
        <f t="shared" ref="E170:E175" si="208">100*(B170/B$169-1)</f>
        <v>0.25999999999999357</v>
      </c>
      <c r="F170" s="920">
        <f t="shared" ref="F170" si="209">100*(B170/B158-1)</f>
        <v>2.0669309643449374</v>
      </c>
      <c r="G170" s="921">
        <f t="shared" ref="G170" si="210">100*(B170/B146-1)</f>
        <v>8.7828978831010041</v>
      </c>
      <c r="H170" s="861">
        <f t="shared" si="130"/>
        <v>1.0960087850242748</v>
      </c>
    </row>
    <row r="171" spans="1:8">
      <c r="A171" s="1032" t="str">
        <f>cárter!A291</f>
        <v>FEVEREIRO|18</v>
      </c>
      <c r="B171" s="1072">
        <f>geral!Q572</f>
        <v>0.27657382219840193</v>
      </c>
      <c r="C171" s="918">
        <f t="shared" ref="C171" si="211">100*B171/$B$8</f>
        <v>197.55273014171564</v>
      </c>
      <c r="D171" s="919">
        <f t="shared" ref="D171" si="212">100*(B171/B170-1)</f>
        <v>0.22999999999999687</v>
      </c>
      <c r="E171" s="919">
        <f t="shared" si="208"/>
        <v>0.49059799999997544</v>
      </c>
      <c r="F171" s="920">
        <f t="shared" ref="F171" si="213">100*(B171/B159-1)</f>
        <v>1.8738148830540924</v>
      </c>
      <c r="G171" s="921">
        <f t="shared" ref="G171" si="214">100*(B171/B147-1)</f>
        <v>7.4111895854912291</v>
      </c>
      <c r="H171" s="861">
        <f t="shared" si="130"/>
        <v>1.0934937494006536</v>
      </c>
    </row>
    <row r="172" spans="1:8">
      <c r="A172" s="1032" t="str">
        <f>cárter!A292</f>
        <v>MARÇO|18</v>
      </c>
      <c r="B172" s="1072">
        <f>geral!Q573</f>
        <v>0.27707165507835907</v>
      </c>
      <c r="C172" s="918">
        <f t="shared" ref="C172" si="215">100*B172/$B$8</f>
        <v>197.90832505597075</v>
      </c>
      <c r="D172" s="919">
        <f t="shared" ref="D172" si="216">100*(B172/B171-1)</f>
        <v>0.18000000000000238</v>
      </c>
      <c r="E172" s="919">
        <f t="shared" si="208"/>
        <v>0.67148107639998234</v>
      </c>
      <c r="F172" s="920">
        <f t="shared" ref="F172" si="217">100*(B172/B160-1)</f>
        <v>1.81283694118477</v>
      </c>
      <c r="G172" s="921">
        <f t="shared" ref="G172" si="218">100*(B172/B148-1)</f>
        <v>6.5919066139129345</v>
      </c>
      <c r="H172" s="861">
        <f t="shared" si="130"/>
        <v>1.0915289972056832</v>
      </c>
    </row>
    <row r="173" spans="1:8">
      <c r="A173" s="1032" t="str">
        <f>cárter!A293</f>
        <v>ABRIL|18</v>
      </c>
      <c r="B173" s="1072">
        <f>geral!Q574</f>
        <v>0.2772656052369139</v>
      </c>
      <c r="C173" s="918">
        <f t="shared" ref="C173" si="219">100*B173/$B$8</f>
        <v>198.04686088350991</v>
      </c>
      <c r="D173" s="919">
        <f t="shared" ref="D173" si="220">100*(B173/B172-1)</f>
        <v>6.9999999999992291E-2</v>
      </c>
      <c r="E173" s="919">
        <f t="shared" si="208"/>
        <v>0.74195111315347173</v>
      </c>
      <c r="F173" s="920">
        <f t="shared" ref="F173" si="221">100*(B173/B161-1)</f>
        <v>1.5591167534325878</v>
      </c>
      <c r="G173" s="921">
        <f t="shared" ref="G173" si="222">100*(B173/B149-1)</f>
        <v>6.1992442737382136</v>
      </c>
      <c r="H173" s="861">
        <f t="shared" si="130"/>
        <v>1.0907654613827154</v>
      </c>
    </row>
    <row r="174" spans="1:8">
      <c r="A174" s="1032" t="str">
        <f>cárter!A294</f>
        <v>MAIO|18</v>
      </c>
      <c r="B174" s="1072">
        <f>geral!Q575</f>
        <v>0.27784786300791142</v>
      </c>
      <c r="C174" s="918">
        <f t="shared" ref="C174" si="223">100*B174/$B$8</f>
        <v>198.4627592913653</v>
      </c>
      <c r="D174" s="919">
        <f t="shared" ref="D174" si="224">100*(B174/B173-1)</f>
        <v>0.20999999999999908</v>
      </c>
      <c r="E174" s="919">
        <f t="shared" si="208"/>
        <v>0.95350921049108806</v>
      </c>
      <c r="F174" s="920">
        <f t="shared" ref="F174" si="225">100*(B174/B162-1)</f>
        <v>1.6910380681602888</v>
      </c>
      <c r="G174" s="921">
        <f t="shared" ref="G174" si="226">100*(B174/B150-1)</f>
        <v>5.7454915408516216</v>
      </c>
      <c r="H174" s="861">
        <f t="shared" si="130"/>
        <v>1.0884796541090862</v>
      </c>
    </row>
    <row r="175" spans="1:8">
      <c r="A175" s="1032" t="str">
        <f>cárter!A295</f>
        <v>JUNHO|18</v>
      </c>
      <c r="B175" s="1072">
        <f>geral!Q576</f>
        <v>0.27904260881884541</v>
      </c>
      <c r="C175" s="918">
        <f t="shared" ref="C175" si="227">100*B175/$B$8</f>
        <v>199.31614915631812</v>
      </c>
      <c r="D175" s="919">
        <f t="shared" ref="D175" si="228">100*(B175/B174-1)</f>
        <v>0.42999999999999705</v>
      </c>
      <c r="E175" s="919">
        <f t="shared" si="208"/>
        <v>1.387609300096182</v>
      </c>
      <c r="F175" s="920">
        <f t="shared" ref="F175" si="229">100*(B175/B163-1)</f>
        <v>1.7619664526238976</v>
      </c>
      <c r="G175" s="921">
        <f t="shared" ref="G175" si="230">100*(B175/B151-1)</f>
        <v>5.1695357045724366</v>
      </c>
      <c r="H175" s="861">
        <f t="shared" si="130"/>
        <v>1.0838192314140063</v>
      </c>
    </row>
    <row r="176" spans="1:8">
      <c r="A176" s="1032" t="str">
        <f>cárter!A296</f>
        <v>JULHO|18</v>
      </c>
      <c r="B176" s="1072">
        <f>geral!Q577</f>
        <v>0.2830329181249549</v>
      </c>
      <c r="C176" s="918">
        <f t="shared" ref="C176" si="231">100*B176/$B$8</f>
        <v>202.16637008925349</v>
      </c>
      <c r="D176" s="919">
        <f t="shared" ref="D176" si="232">100*(B176/B175-1)</f>
        <v>1.4299999999999979</v>
      </c>
      <c r="E176" s="919">
        <f t="shared" ref="E176" si="233">100*(B176/B$169-1)</f>
        <v>2.8374521130875685</v>
      </c>
      <c r="F176" s="920">
        <f t="shared" ref="F176" si="234">100*(B176/B164-1)</f>
        <v>3.5277458103273984</v>
      </c>
      <c r="G176" s="921">
        <f t="shared" ref="G176" si="235">100*(B176/B152-1)</f>
        <v>6.1744401962255946</v>
      </c>
      <c r="H176" s="861">
        <f t="shared" si="130"/>
        <v>1.0685391219698375</v>
      </c>
    </row>
    <row r="177" spans="1:8">
      <c r="A177" s="1032" t="str">
        <f>cárter!A297</f>
        <v>AGOSTO|18</v>
      </c>
      <c r="B177" s="1072">
        <f>geral!Q578</f>
        <v>0.28374050042026727</v>
      </c>
      <c r="C177" s="918">
        <f t="shared" ref="C177" si="236">100*B177/$B$8</f>
        <v>202.6717860144766</v>
      </c>
      <c r="D177" s="919">
        <f t="shared" ref="D177" si="237">100*(B177/B176-1)</f>
        <v>0.24999999999999467</v>
      </c>
      <c r="E177" s="919">
        <f t="shared" ref="E177" si="238">100*(B177/B$169-1)</f>
        <v>3.0945457433702694</v>
      </c>
      <c r="F177" s="920">
        <f t="shared" ref="F177" si="239">100*(B177/B165-1)</f>
        <v>3.610427448191289</v>
      </c>
      <c r="G177" s="921">
        <f t="shared" ref="G177" si="240">100*(B177/B153-1)</f>
        <v>5.7629931406162127</v>
      </c>
      <c r="H177" s="861">
        <f t="shared" si="130"/>
        <v>1.0658744358801373</v>
      </c>
    </row>
    <row r="178" spans="1:8">
      <c r="A178" s="1032" t="str">
        <f>cárter!A298</f>
        <v>SETEMBRO|18</v>
      </c>
      <c r="B178" s="1072">
        <f>geral!Q579</f>
        <v>0.28374050042026727</v>
      </c>
      <c r="C178" s="918">
        <f t="shared" ref="C178" si="241">100*B178/$B$8</f>
        <v>202.6717860144766</v>
      </c>
      <c r="D178" s="919">
        <f t="shared" ref="D178" si="242">100*(B178/B177-1)</f>
        <v>0</v>
      </c>
      <c r="E178" s="919">
        <f t="shared" ref="E178" si="243">100*(B178/B$169-1)</f>
        <v>3.0945457433702694</v>
      </c>
      <c r="F178" s="920">
        <f t="shared" ref="F178" si="244">100*(B178/B166-1)</f>
        <v>3.641519904162549</v>
      </c>
      <c r="G178" s="921">
        <f t="shared" ref="G178" si="245">100*(B178/B154-1)</f>
        <v>5.4361411031962792</v>
      </c>
      <c r="H178" s="861">
        <f t="shared" si="130"/>
        <v>1.0658744358801373</v>
      </c>
    </row>
    <row r="179" spans="1:8">
      <c r="A179" s="1032" t="str">
        <f>cárter!A299</f>
        <v>OUTUBRO|18</v>
      </c>
      <c r="B179" s="1072">
        <f>geral!Q580</f>
        <v>0.28459172192152804</v>
      </c>
      <c r="C179" s="918">
        <f t="shared" ref="C179" si="246">100*B179/$B$8</f>
        <v>203.27980137252001</v>
      </c>
      <c r="D179" s="919">
        <f t="shared" ref="D179" si="247">100*(B179/B178-1)</f>
        <v>0.29999999999998916</v>
      </c>
      <c r="E179" s="919">
        <f t="shared" ref="E179" si="248">100*(B179/B$169-1)</f>
        <v>3.4038293806003761</v>
      </c>
      <c r="F179" s="920">
        <f t="shared" ref="F179" si="249">100*(B179/B167-1)</f>
        <v>3.9732391116973576</v>
      </c>
      <c r="G179" s="921">
        <f t="shared" ref="G179" si="250">100*(B179/B155-1)</f>
        <v>5.6679151943503925</v>
      </c>
      <c r="H179" s="861">
        <f t="shared" si="130"/>
        <v>1.0626863767498878</v>
      </c>
    </row>
    <row r="180" spans="1:8">
      <c r="A180" s="1032" t="str">
        <f>cárter!A300</f>
        <v>NOVEMBRO|18</v>
      </c>
      <c r="B180" s="1072">
        <f>geral!Q581</f>
        <v>0.28573008880921413</v>
      </c>
      <c r="C180" s="918">
        <f t="shared" ref="C180" si="251">100*B180/$B$8</f>
        <v>204.09292057801008</v>
      </c>
      <c r="D180" s="919">
        <f t="shared" ref="D180" si="252">100*(B180/B179-1)</f>
        <v>0.40000000000000036</v>
      </c>
      <c r="E180" s="919">
        <f t="shared" ref="E180" si="253">100*(B180/B$169-1)</f>
        <v>3.8174446981227739</v>
      </c>
      <c r="F180" s="920">
        <f t="shared" ref="F180" si="254">100*(B180/B168-1)</f>
        <v>4.0043160985793858</v>
      </c>
      <c r="G180" s="921">
        <f t="shared" ref="G180" si="255">100*(B180/B156-1)</f>
        <v>5.9105389389315866</v>
      </c>
      <c r="H180" s="861">
        <f t="shared" si="130"/>
        <v>1.0584525664839519</v>
      </c>
    </row>
    <row r="181" spans="1:8">
      <c r="A181" s="1032" t="str">
        <f>cárter!A301</f>
        <v>DEZEMBRO|18</v>
      </c>
      <c r="B181" s="1072">
        <f>geral!Q582</f>
        <v>0.28501576358719111</v>
      </c>
      <c r="C181" s="918">
        <f t="shared" ref="C181" si="256">100*B181/$B$8</f>
        <v>203.58268827656505</v>
      </c>
      <c r="D181" s="919">
        <f t="shared" ref="D181" si="257">100*(B181/B180-1)</f>
        <v>-0.24999999999999467</v>
      </c>
      <c r="E181" s="919">
        <f t="shared" ref="E181" si="258">100*(B181/B$169-1)</f>
        <v>3.5579010863774574</v>
      </c>
      <c r="F181" s="920">
        <f t="shared" ref="F181" si="259">100*(B181/B169-1)</f>
        <v>3.5579010863774574</v>
      </c>
      <c r="G181" s="921">
        <f t="shared" ref="G181" si="260">100*(B181/B157-1)</f>
        <v>5.5718622879826984</v>
      </c>
      <c r="H181" s="861">
        <f t="shared" si="130"/>
        <v>1.0611053298084732</v>
      </c>
    </row>
    <row r="182" spans="1:8">
      <c r="A182" s="1032" t="str">
        <f>cárter!A302</f>
        <v>JANEIRO|19</v>
      </c>
      <c r="B182" s="1072">
        <f>geral!S571</f>
        <v>0.28541465947597811</v>
      </c>
      <c r="C182" s="918">
        <f t="shared" ref="C182" si="261">100*B182/$B$8</f>
        <v>203.86761391141292</v>
      </c>
      <c r="D182" s="919">
        <f t="shared" ref="D182" si="262">100*(B182/B181-1)</f>
        <v>0.13995572868199524</v>
      </c>
      <c r="E182" s="919">
        <f t="shared" ref="E182:E187" si="263">100*(B182/B$181-1)</f>
        <v>0.13995572868199524</v>
      </c>
      <c r="F182" s="920">
        <f t="shared" ref="F182" si="264">100*(B182/B170-1)</f>
        <v>3.4339081402859462</v>
      </c>
      <c r="G182" s="921">
        <f t="shared" ref="G182" si="265">100*(B182/B158-1)</f>
        <v>5.5718156152696041</v>
      </c>
      <c r="H182" s="861">
        <f t="shared" si="130"/>
        <v>1.0596223276585215</v>
      </c>
    </row>
    <row r="183" spans="1:8">
      <c r="A183" s="1032" t="str">
        <f>cárter!A303</f>
        <v>FEVEREIRO|19</v>
      </c>
      <c r="B183" s="1072">
        <f>geral!S572</f>
        <v>0.28644215225009162</v>
      </c>
      <c r="C183" s="918">
        <f t="shared" ref="C183" si="266">100*B183/$B$8</f>
        <v>204.60153732149399</v>
      </c>
      <c r="D183" s="919">
        <f t="shared" ref="D183" si="267">100*(B183/B182-1)</f>
        <v>0.36000000000000476</v>
      </c>
      <c r="E183" s="919">
        <f t="shared" si="263"/>
        <v>0.50045956930524493</v>
      </c>
      <c r="F183" s="920">
        <f t="shared" ref="F183" si="268">100*(B183/B171-1)</f>
        <v>3.5680636631657103</v>
      </c>
      <c r="G183" s="921">
        <f t="shared" ref="G183" si="269">100*(B183/B159-1)</f>
        <v>5.5087374541770373</v>
      </c>
      <c r="H183" s="861">
        <f t="shared" si="130"/>
        <v>1.0558213707239155</v>
      </c>
    </row>
    <row r="184" spans="1:8">
      <c r="A184" s="1032" t="str">
        <f>cárter!A304</f>
        <v>MARÇO|19</v>
      </c>
      <c r="B184" s="1072">
        <f>geral!S573</f>
        <v>0.28798893987224211</v>
      </c>
      <c r="C184" s="918">
        <f t="shared" ref="C184" si="270">100*B184/$B$8</f>
        <v>205.70638562303006</v>
      </c>
      <c r="D184" s="919">
        <f t="shared" ref="D184" si="271">100*(B184/B183-1)</f>
        <v>0.54000000000000714</v>
      </c>
      <c r="E184" s="919">
        <f t="shared" si="263"/>
        <v>1.0431620509794959</v>
      </c>
      <c r="F184" s="920">
        <f t="shared" ref="F184" si="272">100*(B184/B172-1)</f>
        <v>3.9402387771479308</v>
      </c>
      <c r="G184" s="921">
        <f t="shared" ref="G184" si="273">100*(B184/B160-1)</f>
        <v>5.8245058224557056</v>
      </c>
      <c r="H184" s="861">
        <f t="shared" si="130"/>
        <v>1.0501505577122692</v>
      </c>
    </row>
    <row r="185" spans="1:8">
      <c r="A185" s="1032" t="str">
        <f>cárter!A305</f>
        <v>ABRIL|19</v>
      </c>
      <c r="B185" s="1072">
        <f>geral!S574</f>
        <v>0.29020645470925838</v>
      </c>
      <c r="C185" s="918">
        <f t="shared" ref="C185" si="274">100*B185/$B$8</f>
        <v>207.2903247923274</v>
      </c>
      <c r="D185" s="919">
        <f t="shared" ref="D185" si="275">100*(B185/B184-1)</f>
        <v>0.77000000000000401</v>
      </c>
      <c r="E185" s="919">
        <f t="shared" si="263"/>
        <v>1.8211943987720414</v>
      </c>
      <c r="F185" s="920">
        <f t="shared" ref="F185" si="276">100*(B185/B173-1)</f>
        <v>4.6673114976835794</v>
      </c>
      <c r="G185" s="921">
        <f t="shared" ref="G185" si="277">100*(B185/B161-1)</f>
        <v>6.2991970866114411</v>
      </c>
      <c r="H185" s="861">
        <f t="shared" si="130"/>
        <v>1.0421261860794573</v>
      </c>
    </row>
    <row r="186" spans="1:8">
      <c r="A186" s="1032" t="str">
        <f>cárter!A306</f>
        <v>MAIO|19</v>
      </c>
      <c r="B186" s="1072">
        <f>geral!S575</f>
        <v>0.29194769343751392</v>
      </c>
      <c r="C186" s="918">
        <f t="shared" ref="C186" si="278">100*B186/$B$8</f>
        <v>208.53406674108135</v>
      </c>
      <c r="D186" s="919">
        <f t="shared" ref="D186" si="279">100*(B186/B185-1)</f>
        <v>0.60000000000000053</v>
      </c>
      <c r="E186" s="919">
        <f t="shared" si="263"/>
        <v>2.4321215651646577</v>
      </c>
      <c r="F186" s="920">
        <f t="shared" ref="F186" si="280">100*(B186/B174-1)</f>
        <v>5.0746585836440428</v>
      </c>
      <c r="G186" s="921">
        <f t="shared" ref="G186" si="281">100*(B186/B162-1)</f>
        <v>6.8515110602828999</v>
      </c>
      <c r="H186" s="861">
        <f t="shared" si="130"/>
        <v>1.0359107217489636</v>
      </c>
    </row>
    <row r="187" spans="1:8">
      <c r="A187" s="1032" t="str">
        <f>cárter!A307</f>
        <v>JUNHO|19</v>
      </c>
      <c r="B187" s="1072">
        <f>geral!S576</f>
        <v>0.29238543878516726</v>
      </c>
      <c r="C187" s="918">
        <f t="shared" ref="C187" si="282">100*B187/$B$8</f>
        <v>208.84674198940516</v>
      </c>
      <c r="D187" s="919">
        <f t="shared" ref="D187" si="283">100*(B187/B186-1)</f>
        <v>0.14993964929099768</v>
      </c>
      <c r="E187" s="919">
        <f t="shared" si="263"/>
        <v>2.5857079290007912</v>
      </c>
      <c r="F187" s="920">
        <f t="shared" ref="F187" si="284">100*(B187/B175-1)</f>
        <v>4.7816460800737426</v>
      </c>
      <c r="G187" s="921">
        <f t="shared" ref="G187" si="285">100*(B187/B163-1)</f>
        <v>6.6278635325117463</v>
      </c>
      <c r="H187" s="861">
        <f t="shared" si="130"/>
        <v>1.0343598062830159</v>
      </c>
    </row>
    <row r="188" spans="1:8">
      <c r="A188" s="1032" t="str">
        <f>cárter!A308</f>
        <v>JULHO|19</v>
      </c>
      <c r="B188" s="1072">
        <f>geral!S577</f>
        <v>0.29241443941444989</v>
      </c>
      <c r="C188" s="918">
        <f t="shared" ref="C188" si="286">100*B188/$B$8</f>
        <v>208.86745672460702</v>
      </c>
      <c r="D188" s="919">
        <f t="shared" ref="D188" si="287">100*(B188/B187-1)</f>
        <v>9.9186298069930956E-3</v>
      </c>
      <c r="E188" s="919">
        <f t="shared" ref="E188" si="288">100*(B188/B$181-1)</f>
        <v>2.5958830256051391</v>
      </c>
      <c r="F188" s="920">
        <f t="shared" ref="F188" si="289">100*(B188/B176-1)</f>
        <v>3.314639636847172</v>
      </c>
      <c r="G188" s="921">
        <f t="shared" ref="G188" si="290">100*(B188/B164-1)</f>
        <v>6.959317508090912</v>
      </c>
      <c r="H188" s="861">
        <f t="shared" si="130"/>
        <v>1.0342572221379001</v>
      </c>
    </row>
    <row r="189" spans="1:8">
      <c r="A189" s="1032" t="str">
        <f>cárter!A309</f>
        <v>AGOSTO|19</v>
      </c>
      <c r="B189" s="1072">
        <f>geral!S578</f>
        <v>0.29270663443400807</v>
      </c>
      <c r="C189" s="918">
        <f t="shared" ref="C189" si="291">100*B189/$B$8</f>
        <v>209.07616745286288</v>
      </c>
      <c r="D189" s="919">
        <f t="shared" ref="D189" si="292">100*(B189/B188-1)</f>
        <v>9.9924962715003396E-2</v>
      </c>
      <c r="E189" s="919">
        <f t="shared" ref="E189" si="293">100*(B189/B$181-1)</f>
        <v>2.6984019234656209</v>
      </c>
      <c r="F189" s="920">
        <f t="shared" ref="F189" si="294">100*(B189/B177-1)</f>
        <v>3.1599768099585646</v>
      </c>
      <c r="G189" s="921">
        <f t="shared" ref="G189" si="295">100*(B189/B165-1)</f>
        <v>6.8844929282530609</v>
      </c>
      <c r="H189" s="861">
        <f t="shared" si="130"/>
        <v>1.0332247726690482</v>
      </c>
    </row>
    <row r="190" spans="1:8">
      <c r="A190" s="1032" t="str">
        <f>cárter!A310</f>
        <v>SETEMBRO|19</v>
      </c>
      <c r="B190" s="1072">
        <f>geral!S579</f>
        <v>0.29305792507550088</v>
      </c>
      <c r="C190" s="918">
        <f t="shared" ref="C190" si="296">100*B190/$B$8</f>
        <v>209.32708933964346</v>
      </c>
      <c r="D190" s="919">
        <f t="shared" ref="D190" si="297">100*(B190/B189-1)</f>
        <v>0.12001458121100317</v>
      </c>
      <c r="E190" s="919">
        <f t="shared" ref="E190" si="298">100*(B190/B$181-1)</f>
        <v>2.8216549804444657</v>
      </c>
      <c r="F190" s="920">
        <f t="shared" ref="F190" si="299">100*(B190/B178-1)</f>
        <v>3.2837838241043915</v>
      </c>
      <c r="G190" s="921">
        <f t="shared" ref="G190" si="300">100*(B190/B166-1)</f>
        <v>7.0448833698313784</v>
      </c>
      <c r="H190" s="861">
        <f t="shared" si="130"/>
        <v>1.0319862387065095</v>
      </c>
    </row>
    <row r="191" spans="1:8">
      <c r="A191" s="1032" t="str">
        <f>cárter!A311</f>
        <v>OUTUBRO|19</v>
      </c>
      <c r="B191" s="1072">
        <f>geral!S580</f>
        <v>0.29291128038403685</v>
      </c>
      <c r="C191" s="918">
        <f t="shared" ref="C191" si="301">100*B191/$B$8</f>
        <v>209.22234313145486</v>
      </c>
      <c r="D191" s="919">
        <f t="shared" ref="D191" si="302">100*(B191/B190-1)</f>
        <v>-5.0039490120001862E-2</v>
      </c>
      <c r="E191" s="919">
        <f t="shared" ref="E191" si="303">100*(B191/B$181-1)</f>
        <v>2.7702035485593024</v>
      </c>
      <c r="F191" s="920">
        <f t="shared" ref="F191" si="304">100*(B191/B179-1)</f>
        <v>2.9233311518466421</v>
      </c>
      <c r="G191" s="921">
        <f t="shared" ref="G191" si="305">100*(B191/B167-1)</f>
        <v>7.0127212002335959</v>
      </c>
      <c r="H191" s="861">
        <f t="shared" si="130"/>
        <v>1.0325028978920889</v>
      </c>
    </row>
    <row r="192" spans="1:8">
      <c r="A192" s="1032" t="str">
        <f>cárter!A312</f>
        <v>NOVEMBRO|19</v>
      </c>
      <c r="B192" s="1072">
        <f>geral!S581</f>
        <v>0.29302837726453407</v>
      </c>
      <c r="C192" s="918">
        <f t="shared" ref="C192" si="306">100*B192/$B$8</f>
        <v>209.30598376038145</v>
      </c>
      <c r="D192" s="919">
        <f t="shared" ref="D192" si="307">100*(B192/B191-1)</f>
        <v>3.9976910531991372E-2</v>
      </c>
      <c r="E192" s="919">
        <f t="shared" ref="E192" si="308">100*(B192/B$181-1)</f>
        <v>2.8112879008854508</v>
      </c>
      <c r="F192" s="920">
        <f t="shared" ref="F192" si="309">100*(B192/B180-1)</f>
        <v>2.5542596811332308</v>
      </c>
      <c r="G192" s="921">
        <f t="shared" ref="G192" si="310">100*(B192/B168-1)</f>
        <v>6.6608564113237678</v>
      </c>
      <c r="H192" s="861">
        <f t="shared" si="130"/>
        <v>1.032090300076218</v>
      </c>
    </row>
    <row r="193" spans="1:8">
      <c r="A193" s="1032" t="str">
        <f>cárter!A313</f>
        <v>DEZEMBRO|19</v>
      </c>
      <c r="B193" s="1072">
        <f>geral!S582</f>
        <v>0.29461082669630362</v>
      </c>
      <c r="C193" s="918">
        <f t="shared" ref="C193" si="311">100*B193/$B$8</f>
        <v>210.43630478307398</v>
      </c>
      <c r="D193" s="919">
        <f t="shared" ref="D193" si="312">100*(B193/B192-1)</f>
        <v>0.54003282772199235</v>
      </c>
      <c r="E193" s="919">
        <f t="shared" ref="E193" si="313">100*(B193/B$181-1)</f>
        <v>3.3665026061540093</v>
      </c>
      <c r="F193" s="920">
        <f t="shared" ref="F193" si="314">100*(B193/B181-1)</f>
        <v>3.3665026061540093</v>
      </c>
      <c r="G193" s="921">
        <f t="shared" ref="G193" si="315">100*(B193/B169-1)</f>
        <v>7.044180525328736</v>
      </c>
      <c r="H193" s="861">
        <f t="shared" si="130"/>
        <v>1.0265466113828827</v>
      </c>
    </row>
    <row r="194" spans="1:8">
      <c r="A194" s="1032" t="str">
        <f>cárter!A314</f>
        <v>JANEIRO|20</v>
      </c>
      <c r="B194" s="1072">
        <f>geral!U571</f>
        <v>0.29820526318222634</v>
      </c>
      <c r="C194" s="918">
        <f t="shared" ref="C194" si="316">100*B194/$B$8</f>
        <v>213.00375941587592</v>
      </c>
      <c r="D194" s="919">
        <f t="shared" ref="D194" si="317">100*(B194/B193-1)</f>
        <v>1.2200625911239937</v>
      </c>
      <c r="E194" s="919">
        <f t="shared" ref="E194:E199" si="318">100*(B194/B$193-1)</f>
        <v>1.2200625911239937</v>
      </c>
      <c r="F194" s="920">
        <f t="shared" ref="F194" si="319">100*(B194/B182-1)</f>
        <v>4.4814109162198745</v>
      </c>
      <c r="G194" s="921">
        <f t="shared" ref="G194" si="320">100*(B194/B170-1)</f>
        <v>8.0692065907575383</v>
      </c>
      <c r="H194" s="861">
        <f t="shared" si="130"/>
        <v>1.0141730652050602</v>
      </c>
    </row>
    <row r="195" spans="1:8">
      <c r="A195" s="1032" t="str">
        <f>cárter!A315</f>
        <v>FEVEREIRO|20</v>
      </c>
      <c r="B195" s="1072">
        <f>geral!U572</f>
        <v>0.29877159622575444</v>
      </c>
      <c r="C195" s="918">
        <f t="shared" ref="C195" si="321">100*B195/$B$8</f>
        <v>213.40828301839602</v>
      </c>
      <c r="D195" s="919">
        <f t="shared" ref="D195" si="322">100*(B195/B194-1)</f>
        <v>0.18991383233299963</v>
      </c>
      <c r="E195" s="919">
        <f t="shared" si="318"/>
        <v>1.4122934910806517</v>
      </c>
      <c r="F195" s="920">
        <f t="shared" ref="F195" si="323">100*(B195/B183-1)</f>
        <v>4.3043399439681718</v>
      </c>
      <c r="G195" s="921">
        <f t="shared" ref="G195" si="324">100*(B195/B171-1)</f>
        <v>8.0259851966137283</v>
      </c>
      <c r="H195" s="861">
        <f t="shared" si="130"/>
        <v>1.0122506611815942</v>
      </c>
    </row>
    <row r="196" spans="1:8">
      <c r="A196" s="1032" t="str">
        <f>cárter!A316</f>
        <v>MARÇO|20</v>
      </c>
      <c r="B196" s="1072">
        <f>geral!U573</f>
        <v>0.2992793808290331</v>
      </c>
      <c r="C196" s="918">
        <f t="shared" ref="C196" si="325">100*B196/$B$8</f>
        <v>213.77098630645219</v>
      </c>
      <c r="D196" s="919">
        <f t="shared" ref="D196" si="326">100*(B196/B195-1)</f>
        <v>0.16995745569299281</v>
      </c>
      <c r="E196" s="919">
        <f t="shared" si="318"/>
        <v>1.5846512448580263</v>
      </c>
      <c r="F196" s="920">
        <f t="shared" ref="F196" si="327">100*(B196/B184-1)</f>
        <v>3.9204425565091627</v>
      </c>
      <c r="G196" s="921">
        <f t="shared" ref="G196" si="328">100*(B196/B172-1)</f>
        <v>8.0151561315044759</v>
      </c>
      <c r="H196" s="861">
        <f t="shared" si="130"/>
        <v>1.0105331846919583</v>
      </c>
    </row>
    <row r="197" spans="1:8">
      <c r="A197" s="1032" t="str">
        <f>cárter!A317</f>
        <v>ABRIL|20</v>
      </c>
      <c r="B197" s="1072">
        <f>geral!U574</f>
        <v>0.29981835478833296</v>
      </c>
      <c r="C197" s="918">
        <f t="shared" ref="C197" si="329">100*B197/$B$8</f>
        <v>214.15596770595209</v>
      </c>
      <c r="D197" s="919">
        <f t="shared" ref="D197" si="330">100*(B197/B196-1)</f>
        <v>0.18009057550401053</v>
      </c>
      <c r="E197" s="919">
        <f t="shared" si="318"/>
        <v>1.7675956279086247</v>
      </c>
      <c r="F197" s="920">
        <f t="shared" ref="F197" si="331">100*(B197/B185-1)</f>
        <v>3.3120903836216131</v>
      </c>
      <c r="G197" s="921">
        <f t="shared" ref="G197" si="332">100*(B197/B173-1)</f>
        <v>8.1339874565936618</v>
      </c>
      <c r="H197" s="861">
        <f t="shared" si="130"/>
        <v>1.0087165811956784</v>
      </c>
    </row>
    <row r="198" spans="1:8">
      <c r="A198" s="1032" t="str">
        <f>cárter!A318</f>
        <v>MAIO|20</v>
      </c>
      <c r="B198" s="1072">
        <f>geral!U575</f>
        <v>0.29912890586577806</v>
      </c>
      <c r="C198" s="918">
        <f t="shared" ref="C198" si="333">100*B198/$B$8</f>
        <v>213.66350418984146</v>
      </c>
      <c r="D198" s="919">
        <f t="shared" ref="D198" si="334">100*(B198/B197-1)</f>
        <v>-0.2299555419285948</v>
      </c>
      <c r="E198" s="919">
        <f t="shared" si="318"/>
        <v>1.533575401874776</v>
      </c>
      <c r="F198" s="920">
        <f t="shared" ref="F198" si="335">100*(B198/B186-1)</f>
        <v>2.459759946622464</v>
      </c>
      <c r="G198" s="921">
        <f t="shared" ref="G198" si="336">100*(B198/B174-1)</f>
        <v>7.6592429495348169</v>
      </c>
      <c r="H198" s="861">
        <f t="shared" si="130"/>
        <v>1.0110415272187174</v>
      </c>
    </row>
    <row r="199" spans="1:8">
      <c r="A199" s="1032" t="str">
        <f>cárter!A319</f>
        <v>JUNHO|20</v>
      </c>
      <c r="B199" s="1072">
        <f>geral!U576</f>
        <v>0.29912890586577806</v>
      </c>
      <c r="C199" s="918">
        <f t="shared" ref="C199" si="337">100*B199/$B$8</f>
        <v>213.66350418984146</v>
      </c>
      <c r="D199" s="919">
        <f t="shared" ref="D199" si="338">100*(B199/B198-1)</f>
        <v>0</v>
      </c>
      <c r="E199" s="919">
        <f t="shared" si="318"/>
        <v>1.533575401874776</v>
      </c>
      <c r="F199" s="920">
        <f t="shared" ref="F199" si="339">100*(B199/B187-1)</f>
        <v>2.3063621460183592</v>
      </c>
      <c r="G199" s="921">
        <f t="shared" ref="G199" si="340">100*(B199/B175-1)</f>
        <v>7.1982903012395072</v>
      </c>
      <c r="H199" s="861">
        <f t="shared" si="130"/>
        <v>1.0110415272187174</v>
      </c>
    </row>
    <row r="200" spans="1:8">
      <c r="A200" s="1032" t="str">
        <f>cárter!A320</f>
        <v>JULHO|20</v>
      </c>
      <c r="B200" s="1072">
        <f>geral!U577</f>
        <v>0.30002633921041366</v>
      </c>
      <c r="C200" s="918">
        <f t="shared" ref="C200" si="341">100*B200/$B$8</f>
        <v>214.30452800743831</v>
      </c>
      <c r="D200" s="919">
        <f t="shared" ref="D200" si="342">100*(B200/B199-1)</f>
        <v>0.30001558760699432</v>
      </c>
      <c r="E200" s="919">
        <f t="shared" ref="E200" si="343">100*(B200/B$193-1)</f>
        <v>1.8381919547351133</v>
      </c>
      <c r="F200" s="920">
        <f t="shared" ref="F200" si="344">100*(B200/B188-1)</f>
        <v>2.6031203558915639</v>
      </c>
      <c r="G200" s="921">
        <f t="shared" ref="G200" si="345">100*(B200/B176-1)</f>
        <v>6.0040440518499771</v>
      </c>
      <c r="H200" s="861">
        <f t="shared" si="130"/>
        <v>1.0080173181385239</v>
      </c>
    </row>
    <row r="201" spans="1:8">
      <c r="A201" s="1032" t="str">
        <f>cárter!A321</f>
        <v>AGOSTO|20</v>
      </c>
      <c r="B201" s="1072">
        <f>geral!U578</f>
        <v>0.3013467072180786</v>
      </c>
      <c r="C201" s="918">
        <f t="shared" ref="C201" si="346">100*B201/$B$8</f>
        <v>215.24764801291329</v>
      </c>
      <c r="D201" s="919">
        <f t="shared" ref="D201" si="347">100*(B201/B200-1)</f>
        <v>0.44008403100199711</v>
      </c>
      <c r="E201" s="919">
        <f t="shared" ref="E201" si="348">100*(B201/B$193-1)</f>
        <v>2.2863655749890688</v>
      </c>
      <c r="F201" s="920">
        <f t="shared" ref="F201" si="349">100*(B201/B189-1)</f>
        <v>2.9517857703421635</v>
      </c>
      <c r="G201" s="921">
        <f t="shared" ref="G201" si="350">100*(B201/B177-1)</f>
        <v>6.2050383261232023</v>
      </c>
      <c r="H201" s="926">
        <f t="shared" si="130"/>
        <v>1.0036006320219599</v>
      </c>
    </row>
    <row r="202" spans="1:8" ht="16.5" thickBot="1">
      <c r="A202" s="1046" t="str">
        <f>cárter!A322</f>
        <v>SETEMBRO|20</v>
      </c>
      <c r="B202" s="1061">
        <f>geral!U579</f>
        <v>0.30243174582180021</v>
      </c>
      <c r="C202" s="1047">
        <f t="shared" ref="C202" si="351">100*B202/$B$8</f>
        <v>216.02267558700012</v>
      </c>
      <c r="D202" s="1062">
        <f t="shared" ref="D202" si="352">100*(B202/B201-1)</f>
        <v>0.36006320219599264</v>
      </c>
      <c r="E202" s="1062">
        <f t="shared" ref="E202" si="353">100*(B202/B$193-1)</f>
        <v>2.6546611382882723</v>
      </c>
      <c r="F202" s="1063">
        <f t="shared" ref="F202" si="354">100*(B202/B190-1)</f>
        <v>3.1986238706509518</v>
      </c>
      <c r="G202" s="1064">
        <f t="shared" ref="G202" si="355">100*(B202/B178-1)</f>
        <v>6.5874435880137305</v>
      </c>
      <c r="H202" s="1053">
        <f t="shared" si="130"/>
        <v>1</v>
      </c>
    </row>
    <row r="203" spans="1:8" s="1286" customFormat="1">
      <c r="A203" s="1284" t="s">
        <v>238</v>
      </c>
      <c r="B203" s="1285"/>
      <c r="C203" s="1285"/>
      <c r="D203" s="1285"/>
      <c r="E203" s="1285"/>
      <c r="F203" s="729"/>
      <c r="G203" s="729"/>
      <c r="H203" s="1285"/>
    </row>
    <row r="204" spans="1:8">
      <c r="A204" s="758" t="s">
        <v>246</v>
      </c>
      <c r="B204" s="775"/>
      <c r="C204" s="728"/>
      <c r="D204" s="762"/>
      <c r="E204" s="762"/>
      <c r="F204" s="776"/>
      <c r="G204" s="763"/>
      <c r="H204" s="777"/>
    </row>
    <row r="205" spans="1:8">
      <c r="B205" s="775"/>
      <c r="C205" s="728"/>
      <c r="D205" s="762"/>
      <c r="E205" s="762"/>
      <c r="F205" s="776"/>
      <c r="G205" s="763"/>
      <c r="H205" s="777"/>
    </row>
    <row r="206" spans="1:8">
      <c r="A206" s="733"/>
      <c r="B206" s="775"/>
      <c r="C206" s="728"/>
      <c r="D206" s="762"/>
      <c r="E206" s="762"/>
      <c r="F206" s="776"/>
      <c r="G206" s="763"/>
      <c r="H206" s="777"/>
    </row>
    <row r="207" spans="1:8">
      <c r="A207" s="733"/>
      <c r="B207" s="775"/>
      <c r="C207" s="728"/>
      <c r="D207" s="762"/>
      <c r="E207" s="762"/>
      <c r="F207" s="776"/>
      <c r="G207" s="763"/>
      <c r="H207" s="777"/>
    </row>
    <row r="208" spans="1:8">
      <c r="A208" s="733"/>
      <c r="B208" s="775"/>
      <c r="C208" s="728"/>
      <c r="D208" s="762"/>
      <c r="E208" s="762"/>
      <c r="F208" s="776"/>
      <c r="G208" s="763"/>
      <c r="H208" s="777"/>
    </row>
    <row r="209" spans="1:8">
      <c r="A209" s="733"/>
      <c r="B209" s="775"/>
      <c r="C209" s="728"/>
      <c r="D209" s="762"/>
      <c r="E209" s="762"/>
      <c r="F209" s="776"/>
      <c r="G209" s="763"/>
      <c r="H209" s="777"/>
    </row>
    <row r="210" spans="1:8">
      <c r="A210" s="733"/>
      <c r="B210" s="775"/>
      <c r="C210" s="728"/>
      <c r="D210" s="762"/>
      <c r="E210" s="762"/>
      <c r="F210" s="776"/>
      <c r="G210" s="763"/>
      <c r="H210" s="777"/>
    </row>
    <row r="211" spans="1:8">
      <c r="A211" s="733"/>
      <c r="B211" s="775"/>
      <c r="C211" s="728"/>
      <c r="D211" s="762"/>
      <c r="E211" s="762"/>
      <c r="F211" s="776"/>
      <c r="G211" s="763"/>
      <c r="H211" s="777"/>
    </row>
    <row r="212" spans="1:8">
      <c r="A212" s="733"/>
      <c r="B212" s="775"/>
      <c r="C212" s="728"/>
      <c r="D212" s="762"/>
      <c r="E212" s="762"/>
      <c r="F212" s="776"/>
      <c r="G212" s="763"/>
      <c r="H212" s="777"/>
    </row>
    <row r="213" spans="1:8">
      <c r="A213" s="733"/>
      <c r="B213" s="775"/>
      <c r="C213" s="728"/>
      <c r="D213" s="762"/>
      <c r="E213" s="762"/>
      <c r="F213" s="776"/>
      <c r="G213" s="763"/>
      <c r="H213" s="777"/>
    </row>
    <row r="214" spans="1:8">
      <c r="A214" s="733"/>
      <c r="B214" s="775"/>
      <c r="C214" s="728"/>
      <c r="D214" s="762"/>
      <c r="E214" s="762"/>
      <c r="F214" s="776"/>
      <c r="G214" s="763"/>
      <c r="H214" s="777"/>
    </row>
    <row r="215" spans="1:8">
      <c r="A215" s="733"/>
      <c r="B215" s="775"/>
      <c r="C215" s="728"/>
      <c r="D215" s="762"/>
      <c r="E215" s="762"/>
      <c r="F215" s="776"/>
      <c r="G215" s="763"/>
      <c r="H215" s="777"/>
    </row>
    <row r="216" spans="1:8">
      <c r="A216" s="733"/>
      <c r="B216" s="775"/>
      <c r="C216" s="728"/>
      <c r="D216" s="762"/>
      <c r="E216" s="762"/>
      <c r="F216" s="776"/>
      <c r="G216" s="763"/>
      <c r="H216" s="777"/>
    </row>
    <row r="217" spans="1:8">
      <c r="A217" s="733"/>
      <c r="B217" s="775"/>
      <c r="C217" s="728"/>
      <c r="D217" s="762"/>
      <c r="E217" s="762"/>
      <c r="F217" s="776"/>
      <c r="G217" s="763"/>
      <c r="H217" s="777"/>
    </row>
    <row r="218" spans="1:8">
      <c r="A218" s="733"/>
      <c r="B218" s="775"/>
      <c r="C218" s="728"/>
      <c r="D218" s="762"/>
      <c r="E218" s="762"/>
      <c r="F218" s="776"/>
      <c r="G218" s="763"/>
      <c r="H218" s="777"/>
    </row>
    <row r="219" spans="1:8">
      <c r="A219" s="733"/>
      <c r="B219" s="775"/>
      <c r="C219" s="728"/>
      <c r="D219" s="762"/>
      <c r="E219" s="762"/>
      <c r="F219" s="776"/>
      <c r="G219" s="763"/>
      <c r="H219" s="777"/>
    </row>
    <row r="220" spans="1:8">
      <c r="A220" s="733"/>
      <c r="B220" s="775"/>
      <c r="C220" s="728"/>
      <c r="D220" s="762"/>
      <c r="E220" s="762"/>
      <c r="F220" s="776"/>
      <c r="G220" s="763"/>
      <c r="H220" s="777"/>
    </row>
    <row r="221" spans="1:8">
      <c r="A221" s="733"/>
      <c r="B221" s="775"/>
      <c r="C221" s="728"/>
      <c r="D221" s="762"/>
      <c r="E221" s="762"/>
      <c r="F221" s="776"/>
      <c r="G221" s="763"/>
      <c r="H221" s="777"/>
    </row>
    <row r="222" spans="1:8">
      <c r="A222" s="733"/>
      <c r="B222" s="775"/>
      <c r="C222" s="728"/>
      <c r="D222" s="762"/>
      <c r="E222" s="762"/>
      <c r="F222" s="776"/>
      <c r="G222" s="763"/>
      <c r="H222" s="777"/>
    </row>
    <row r="223" spans="1:8">
      <c r="A223" s="733"/>
      <c r="B223" s="775"/>
      <c r="C223" s="728"/>
      <c r="D223" s="762"/>
      <c r="E223" s="762"/>
      <c r="F223" s="776"/>
      <c r="G223" s="763"/>
      <c r="H223" s="777"/>
    </row>
    <row r="224" spans="1:8">
      <c r="A224" s="733"/>
      <c r="B224" s="775"/>
      <c r="C224" s="728"/>
      <c r="D224" s="762"/>
      <c r="E224" s="762"/>
      <c r="F224" s="776"/>
      <c r="G224" s="763"/>
      <c r="H224" s="777"/>
    </row>
    <row r="225" spans="1:8">
      <c r="A225" s="733"/>
      <c r="B225" s="775"/>
      <c r="C225" s="728"/>
      <c r="D225" s="762"/>
      <c r="E225" s="762"/>
      <c r="F225" s="776"/>
      <c r="G225" s="763"/>
      <c r="H225" s="777"/>
    </row>
    <row r="226" spans="1:8">
      <c r="A226" s="733"/>
      <c r="B226" s="775"/>
      <c r="C226" s="728"/>
      <c r="D226" s="762"/>
      <c r="E226" s="762"/>
      <c r="F226" s="776"/>
      <c r="G226" s="763"/>
      <c r="H226" s="777"/>
    </row>
    <row r="227" spans="1:8">
      <c r="A227" s="733"/>
      <c r="B227" s="775"/>
      <c r="C227" s="728"/>
      <c r="D227" s="762"/>
      <c r="E227" s="762"/>
      <c r="F227" s="776"/>
      <c r="G227" s="763"/>
      <c r="H227" s="777"/>
    </row>
    <row r="228" spans="1:8">
      <c r="A228" s="733"/>
      <c r="B228" s="775"/>
      <c r="C228" s="728"/>
      <c r="D228" s="762"/>
      <c r="E228" s="762"/>
      <c r="F228" s="776"/>
      <c r="G228" s="763"/>
      <c r="H228" s="777"/>
    </row>
    <row r="229" spans="1:8">
      <c r="A229" s="733"/>
      <c r="B229" s="775"/>
      <c r="C229" s="728"/>
      <c r="D229" s="762"/>
      <c r="E229" s="762"/>
      <c r="F229" s="776"/>
      <c r="G229" s="763"/>
      <c r="H229" s="777"/>
    </row>
    <row r="230" spans="1:8">
      <c r="A230" s="733"/>
      <c r="B230" s="775"/>
      <c r="C230" s="728"/>
      <c r="D230" s="762"/>
      <c r="E230" s="762"/>
      <c r="F230" s="776"/>
      <c r="G230" s="763"/>
      <c r="H230" s="777"/>
    </row>
    <row r="231" spans="1:8">
      <c r="A231" s="733"/>
      <c r="B231" s="775"/>
      <c r="C231" s="728"/>
      <c r="D231" s="762"/>
      <c r="E231" s="762"/>
      <c r="F231" s="776"/>
      <c r="G231" s="763"/>
      <c r="H231" s="777"/>
    </row>
    <row r="232" spans="1:8">
      <c r="A232" s="733"/>
      <c r="B232" s="775"/>
      <c r="C232" s="728"/>
      <c r="D232" s="762"/>
      <c r="E232" s="762"/>
      <c r="F232" s="776"/>
      <c r="G232" s="763"/>
      <c r="H232" s="777"/>
    </row>
    <row r="233" spans="1:8">
      <c r="A233" s="733"/>
      <c r="B233" s="775"/>
      <c r="C233" s="728"/>
      <c r="D233" s="762"/>
      <c r="E233" s="762"/>
      <c r="F233" s="776"/>
      <c r="G233" s="763"/>
      <c r="H233" s="777"/>
    </row>
    <row r="234" spans="1:8">
      <c r="A234" s="733"/>
      <c r="B234" s="775"/>
      <c r="C234" s="728"/>
      <c r="D234" s="762"/>
      <c r="E234" s="762"/>
      <c r="F234" s="776"/>
      <c r="G234" s="763"/>
      <c r="H234" s="777"/>
    </row>
    <row r="235" spans="1:8">
      <c r="A235" s="733"/>
      <c r="B235" s="775"/>
      <c r="C235" s="728"/>
      <c r="D235" s="762"/>
      <c r="E235" s="762"/>
      <c r="F235" s="776"/>
      <c r="G235" s="763"/>
      <c r="H235" s="777"/>
    </row>
    <row r="236" spans="1:8">
      <c r="A236" s="733"/>
      <c r="B236" s="775"/>
      <c r="C236" s="728"/>
      <c r="D236" s="762"/>
      <c r="E236" s="762"/>
      <c r="F236" s="776"/>
      <c r="G236" s="763"/>
      <c r="H236" s="777"/>
    </row>
    <row r="237" spans="1:8">
      <c r="A237" s="733"/>
      <c r="B237" s="775"/>
      <c r="C237" s="728"/>
      <c r="D237" s="762"/>
      <c r="E237" s="762"/>
      <c r="F237" s="776"/>
      <c r="G237" s="763"/>
      <c r="H237" s="777"/>
    </row>
    <row r="238" spans="1:8">
      <c r="A238" s="733"/>
      <c r="B238" s="775"/>
      <c r="C238" s="728"/>
      <c r="D238" s="762"/>
      <c r="E238" s="762"/>
      <c r="F238" s="776"/>
      <c r="G238" s="763"/>
      <c r="H238" s="777"/>
    </row>
    <row r="239" spans="1:8">
      <c r="A239" s="733"/>
      <c r="B239" s="775"/>
      <c r="C239" s="728"/>
      <c r="D239" s="762"/>
      <c r="E239" s="762"/>
      <c r="F239" s="776"/>
      <c r="G239" s="763"/>
      <c r="H239" s="777"/>
    </row>
    <row r="240" spans="1:8">
      <c r="A240" s="733"/>
      <c r="B240" s="775"/>
      <c r="C240" s="728"/>
      <c r="D240" s="762"/>
      <c r="E240" s="762"/>
      <c r="F240" s="776"/>
      <c r="G240" s="763"/>
      <c r="H240" s="777"/>
    </row>
    <row r="241" spans="1:8">
      <c r="A241" s="733"/>
      <c r="B241" s="775"/>
      <c r="C241" s="728"/>
      <c r="D241" s="762"/>
      <c r="E241" s="762"/>
      <c r="F241" s="776"/>
      <c r="G241" s="763"/>
      <c r="H241" s="777"/>
    </row>
    <row r="242" spans="1:8">
      <c r="A242" s="733"/>
      <c r="B242" s="775"/>
      <c r="C242" s="728"/>
      <c r="D242" s="762"/>
      <c r="E242" s="762"/>
      <c r="F242" s="776"/>
      <c r="G242" s="763"/>
      <c r="H242" s="777"/>
    </row>
    <row r="243" spans="1:8">
      <c r="A243" s="733"/>
      <c r="B243" s="775"/>
      <c r="C243" s="728"/>
      <c r="D243" s="762"/>
      <c r="E243" s="762"/>
      <c r="F243" s="776"/>
      <c r="G243" s="763"/>
      <c r="H243" s="777"/>
    </row>
    <row r="244" spans="1:8">
      <c r="A244" s="733"/>
      <c r="B244" s="775"/>
      <c r="C244" s="728"/>
      <c r="D244" s="762"/>
      <c r="E244" s="762"/>
      <c r="F244" s="776"/>
      <c r="G244" s="763"/>
      <c r="H244" s="777"/>
    </row>
    <row r="245" spans="1:8">
      <c r="A245" s="733"/>
      <c r="B245" s="775"/>
      <c r="C245" s="728"/>
      <c r="D245" s="762"/>
      <c r="E245" s="762"/>
      <c r="F245" s="776"/>
      <c r="G245" s="763"/>
      <c r="H245" s="777"/>
    </row>
    <row r="246" spans="1:8">
      <c r="A246" s="733"/>
      <c r="B246" s="775"/>
      <c r="C246" s="728"/>
      <c r="D246" s="762"/>
      <c r="E246" s="762"/>
      <c r="F246" s="776"/>
      <c r="G246" s="763"/>
      <c r="H246" s="777"/>
    </row>
    <row r="247" spans="1:8">
      <c r="A247" s="733"/>
      <c r="B247" s="775"/>
      <c r="C247" s="728"/>
      <c r="D247" s="762"/>
      <c r="E247" s="762"/>
      <c r="F247" s="776"/>
      <c r="G247" s="763"/>
      <c r="H247" s="777"/>
    </row>
    <row r="248" spans="1:8">
      <c r="A248" s="733"/>
      <c r="B248" s="775"/>
      <c r="C248" s="728"/>
      <c r="D248" s="762"/>
      <c r="E248" s="762"/>
      <c r="F248" s="776"/>
      <c r="G248" s="763"/>
      <c r="H248" s="777"/>
    </row>
    <row r="249" spans="1:8">
      <c r="A249" s="733"/>
      <c r="B249" s="775"/>
      <c r="C249" s="728"/>
      <c r="D249" s="762"/>
      <c r="E249" s="762"/>
      <c r="F249" s="776"/>
      <c r="G249" s="763"/>
      <c r="H249" s="777"/>
    </row>
    <row r="250" spans="1:8">
      <c r="A250" s="733"/>
      <c r="B250" s="775"/>
      <c r="C250" s="728"/>
      <c r="D250" s="762"/>
      <c r="E250" s="762"/>
      <c r="F250" s="776"/>
      <c r="G250" s="763"/>
      <c r="H250" s="777"/>
    </row>
    <row r="251" spans="1:8">
      <c r="A251" s="733"/>
      <c r="B251" s="775"/>
      <c r="C251" s="728"/>
      <c r="D251" s="762"/>
      <c r="E251" s="762"/>
      <c r="F251" s="776"/>
      <c r="G251" s="763"/>
      <c r="H251" s="777"/>
    </row>
    <row r="252" spans="1:8">
      <c r="A252" s="733"/>
      <c r="B252" s="775"/>
      <c r="C252" s="728"/>
      <c r="D252" s="762"/>
      <c r="E252" s="762"/>
      <c r="F252" s="776"/>
      <c r="G252" s="763"/>
      <c r="H252" s="777"/>
    </row>
    <row r="253" spans="1:8">
      <c r="A253" s="733"/>
      <c r="B253" s="775"/>
      <c r="C253" s="728"/>
      <c r="D253" s="762"/>
      <c r="E253" s="762"/>
      <c r="F253" s="776"/>
      <c r="G253" s="763"/>
      <c r="H253" s="777"/>
    </row>
    <row r="254" spans="1:8">
      <c r="A254" s="733"/>
      <c r="B254" s="775"/>
      <c r="C254" s="728"/>
      <c r="D254" s="762"/>
      <c r="E254" s="762"/>
      <c r="F254" s="776"/>
      <c r="G254" s="763"/>
      <c r="H254" s="777"/>
    </row>
    <row r="255" spans="1:8">
      <c r="A255" s="733"/>
      <c r="B255" s="775"/>
      <c r="C255" s="728"/>
      <c r="D255" s="762"/>
      <c r="E255" s="762"/>
      <c r="F255" s="776"/>
      <c r="G255" s="763"/>
      <c r="H255" s="777"/>
    </row>
    <row r="256" spans="1:8">
      <c r="A256" s="733"/>
      <c r="B256" s="775"/>
      <c r="C256" s="728"/>
      <c r="D256" s="762"/>
      <c r="E256" s="762"/>
      <c r="F256" s="776"/>
      <c r="G256" s="763"/>
      <c r="H256" s="777"/>
    </row>
    <row r="257" spans="1:8">
      <c r="A257" s="733"/>
      <c r="B257" s="775"/>
      <c r="C257" s="728"/>
      <c r="D257" s="762"/>
      <c r="E257" s="762"/>
      <c r="F257" s="776"/>
      <c r="G257" s="763"/>
      <c r="H257" s="777"/>
    </row>
    <row r="258" spans="1:8">
      <c r="A258" s="733"/>
      <c r="B258" s="775"/>
      <c r="C258" s="728"/>
      <c r="D258" s="762"/>
      <c r="E258" s="762"/>
      <c r="F258" s="776"/>
      <c r="G258" s="763"/>
      <c r="H258" s="777"/>
    </row>
    <row r="259" spans="1:8">
      <c r="A259" s="733"/>
      <c r="B259" s="775"/>
      <c r="C259" s="728"/>
      <c r="D259" s="762"/>
      <c r="E259" s="762"/>
      <c r="F259" s="776"/>
      <c r="G259" s="763"/>
      <c r="H259" s="777"/>
    </row>
    <row r="260" spans="1:8">
      <c r="A260" s="733"/>
      <c r="B260" s="775"/>
      <c r="C260" s="728"/>
      <c r="D260" s="762"/>
      <c r="E260" s="762"/>
      <c r="F260" s="776"/>
      <c r="G260" s="763"/>
      <c r="H260" s="777"/>
    </row>
    <row r="261" spans="1:8">
      <c r="A261" s="733"/>
      <c r="B261" s="775"/>
      <c r="C261" s="728"/>
      <c r="D261" s="762"/>
      <c r="E261" s="762"/>
      <c r="F261" s="776"/>
      <c r="G261" s="763"/>
      <c r="H261" s="777"/>
    </row>
    <row r="262" spans="1:8">
      <c r="A262" s="733"/>
      <c r="B262" s="775"/>
      <c r="C262" s="728"/>
      <c r="D262" s="762"/>
      <c r="E262" s="762"/>
      <c r="F262" s="776"/>
      <c r="G262" s="763"/>
      <c r="H262" s="777"/>
    </row>
    <row r="263" spans="1:8">
      <c r="A263" s="733"/>
      <c r="B263" s="775"/>
      <c r="C263" s="728"/>
      <c r="D263" s="762"/>
      <c r="E263" s="762"/>
      <c r="F263" s="776"/>
      <c r="G263" s="763"/>
      <c r="H263" s="777"/>
    </row>
    <row r="264" spans="1:8">
      <c r="A264" s="733"/>
      <c r="B264" s="775"/>
      <c r="C264" s="728"/>
      <c r="D264" s="762"/>
      <c r="E264" s="762"/>
      <c r="F264" s="776"/>
      <c r="G264" s="763"/>
      <c r="H264" s="777"/>
    </row>
    <row r="265" spans="1:8">
      <c r="A265" s="733"/>
      <c r="B265" s="775"/>
      <c r="C265" s="728"/>
      <c r="D265" s="762"/>
      <c r="E265" s="762"/>
      <c r="F265" s="776"/>
      <c r="G265" s="763"/>
      <c r="H265" s="777"/>
    </row>
    <row r="266" spans="1:8">
      <c r="A266" s="733"/>
      <c r="B266" s="775"/>
      <c r="C266" s="728"/>
      <c r="D266" s="762"/>
      <c r="E266" s="762"/>
      <c r="F266" s="776"/>
      <c r="G266" s="763"/>
      <c r="H266" s="777"/>
    </row>
    <row r="267" spans="1:8">
      <c r="A267" s="733"/>
      <c r="B267" s="775"/>
      <c r="C267" s="728"/>
      <c r="D267" s="762"/>
      <c r="E267" s="762"/>
      <c r="F267" s="776"/>
      <c r="G267" s="763"/>
      <c r="H267" s="777"/>
    </row>
    <row r="268" spans="1:8">
      <c r="A268" s="733"/>
      <c r="B268" s="775"/>
      <c r="C268" s="728"/>
      <c r="D268" s="762"/>
      <c r="E268" s="762"/>
      <c r="F268" s="776"/>
      <c r="G268" s="763"/>
      <c r="H268" s="777"/>
    </row>
    <row r="269" spans="1:8">
      <c r="A269" s="733"/>
      <c r="B269" s="775"/>
      <c r="C269" s="728"/>
      <c r="D269" s="762"/>
      <c r="E269" s="762"/>
      <c r="F269" s="776"/>
      <c r="G269" s="763"/>
      <c r="H269" s="777"/>
    </row>
    <row r="270" spans="1:8">
      <c r="A270" s="733"/>
      <c r="B270" s="775"/>
      <c r="C270" s="728"/>
      <c r="D270" s="762"/>
      <c r="E270" s="762"/>
      <c r="F270" s="776"/>
      <c r="G270" s="763"/>
      <c r="H270" s="777"/>
    </row>
    <row r="271" spans="1:8">
      <c r="A271" s="733"/>
      <c r="B271" s="775"/>
      <c r="C271" s="728"/>
      <c r="D271" s="762"/>
      <c r="E271" s="762"/>
      <c r="F271" s="776"/>
      <c r="G271" s="763"/>
      <c r="H271" s="777"/>
    </row>
    <row r="272" spans="1:8">
      <c r="A272" s="733"/>
      <c r="B272" s="775"/>
      <c r="C272" s="728"/>
      <c r="D272" s="762"/>
      <c r="E272" s="762"/>
      <c r="F272" s="776"/>
      <c r="G272" s="763"/>
      <c r="H272" s="777"/>
    </row>
    <row r="273" spans="1:8">
      <c r="A273" s="733"/>
      <c r="B273" s="775"/>
      <c r="C273" s="728"/>
      <c r="D273" s="762"/>
      <c r="E273" s="762"/>
      <c r="F273" s="776"/>
      <c r="G273" s="763"/>
      <c r="H273" s="777"/>
    </row>
    <row r="274" spans="1:8">
      <c r="A274" s="733"/>
      <c r="B274" s="775"/>
      <c r="C274" s="728"/>
      <c r="D274" s="762"/>
      <c r="E274" s="762"/>
      <c r="F274" s="776"/>
      <c r="G274" s="763"/>
      <c r="H274" s="777"/>
    </row>
    <row r="275" spans="1:8">
      <c r="A275" s="733"/>
      <c r="B275" s="775"/>
      <c r="C275" s="728"/>
      <c r="D275" s="762"/>
      <c r="E275" s="762"/>
      <c r="F275" s="776"/>
      <c r="G275" s="763"/>
      <c r="H275" s="777"/>
    </row>
    <row r="276" spans="1:8">
      <c r="A276" s="733"/>
      <c r="B276" s="775"/>
      <c r="C276" s="728"/>
      <c r="D276" s="762"/>
      <c r="E276" s="762"/>
      <c r="F276" s="776"/>
      <c r="G276" s="763"/>
      <c r="H276" s="777"/>
    </row>
    <row r="277" spans="1:8">
      <c r="A277" s="733"/>
      <c r="B277" s="775"/>
      <c r="C277" s="728"/>
      <c r="D277" s="762"/>
      <c r="E277" s="762"/>
      <c r="F277" s="776"/>
      <c r="G277" s="763"/>
      <c r="H277" s="777"/>
    </row>
    <row r="278" spans="1:8">
      <c r="A278" s="733"/>
      <c r="B278" s="775"/>
      <c r="C278" s="728"/>
      <c r="D278" s="762"/>
      <c r="E278" s="762"/>
      <c r="F278" s="776"/>
      <c r="G278" s="763"/>
      <c r="H278" s="777"/>
    </row>
    <row r="279" spans="1:8">
      <c r="A279" s="733"/>
      <c r="B279" s="775"/>
      <c r="C279" s="728"/>
      <c r="D279" s="762"/>
      <c r="E279" s="762"/>
      <c r="F279" s="776"/>
      <c r="G279" s="763"/>
      <c r="H279" s="777"/>
    </row>
    <row r="280" spans="1:8">
      <c r="A280" s="733"/>
      <c r="B280" s="775"/>
      <c r="C280" s="728"/>
      <c r="D280" s="762"/>
      <c r="E280" s="762"/>
      <c r="F280" s="776"/>
      <c r="G280" s="763"/>
      <c r="H280" s="777"/>
    </row>
    <row r="281" spans="1:8">
      <c r="A281" s="733"/>
      <c r="B281" s="775"/>
      <c r="C281" s="728"/>
      <c r="D281" s="762"/>
      <c r="E281" s="762"/>
      <c r="F281" s="776"/>
      <c r="G281" s="763"/>
      <c r="H281" s="777"/>
    </row>
    <row r="282" spans="1:8">
      <c r="A282" s="733"/>
      <c r="B282" s="775"/>
      <c r="C282" s="728"/>
      <c r="D282" s="762"/>
      <c r="E282" s="762"/>
      <c r="F282" s="776"/>
      <c r="G282" s="763"/>
      <c r="H282" s="777"/>
    </row>
    <row r="283" spans="1:8">
      <c r="A283" s="733"/>
      <c r="B283" s="775"/>
      <c r="C283" s="728"/>
      <c r="D283" s="762"/>
      <c r="E283" s="762"/>
      <c r="F283" s="776"/>
      <c r="G283" s="763"/>
      <c r="H283" s="777"/>
    </row>
    <row r="284" spans="1:8">
      <c r="A284" s="733"/>
      <c r="B284" s="775"/>
      <c r="C284" s="728"/>
      <c r="D284" s="762"/>
      <c r="E284" s="762"/>
      <c r="F284" s="776"/>
      <c r="G284" s="763"/>
      <c r="H284" s="777"/>
    </row>
    <row r="285" spans="1:8">
      <c r="A285" s="733"/>
      <c r="B285" s="775"/>
      <c r="C285" s="728"/>
      <c r="D285" s="762"/>
      <c r="E285" s="762"/>
      <c r="F285" s="776"/>
      <c r="G285" s="763"/>
      <c r="H285" s="777"/>
    </row>
    <row r="286" spans="1:8">
      <c r="A286" s="733"/>
      <c r="B286" s="775"/>
      <c r="C286" s="728"/>
      <c r="D286" s="762"/>
      <c r="E286" s="762"/>
      <c r="F286" s="776"/>
      <c r="G286" s="763"/>
      <c r="H286" s="777"/>
    </row>
    <row r="287" spans="1:8">
      <c r="A287" s="733"/>
      <c r="B287" s="775"/>
      <c r="C287" s="728"/>
      <c r="D287" s="762"/>
      <c r="E287" s="762"/>
      <c r="F287" s="776"/>
      <c r="G287" s="763"/>
      <c r="H287" s="777"/>
    </row>
    <row r="288" spans="1:8">
      <c r="A288" s="733"/>
      <c r="B288" s="775"/>
      <c r="C288" s="728"/>
      <c r="D288" s="762"/>
      <c r="E288" s="762"/>
      <c r="F288" s="776"/>
      <c r="G288" s="763"/>
      <c r="H288" s="777"/>
    </row>
    <row r="289" spans="1:8">
      <c r="A289" s="733"/>
      <c r="B289" s="775"/>
      <c r="C289" s="728"/>
      <c r="D289" s="762"/>
      <c r="E289" s="762"/>
      <c r="F289" s="776"/>
      <c r="G289" s="763"/>
      <c r="H289" s="777"/>
    </row>
    <row r="290" spans="1:8">
      <c r="A290" s="733"/>
      <c r="B290" s="775"/>
      <c r="C290" s="728"/>
      <c r="D290" s="762"/>
      <c r="E290" s="762"/>
      <c r="F290" s="776"/>
      <c r="G290" s="763"/>
      <c r="H290" s="777"/>
    </row>
    <row r="291" spans="1:8">
      <c r="A291" s="733"/>
      <c r="B291" s="775"/>
      <c r="C291" s="728"/>
      <c r="D291" s="762"/>
      <c r="E291" s="762"/>
      <c r="F291" s="776"/>
      <c r="G291" s="763"/>
      <c r="H291" s="777"/>
    </row>
    <row r="292" spans="1:8">
      <c r="A292" s="733"/>
      <c r="B292" s="775"/>
      <c r="C292" s="728"/>
      <c r="D292" s="762"/>
      <c r="E292" s="762"/>
      <c r="F292" s="776"/>
      <c r="G292" s="763"/>
      <c r="H292" s="777"/>
    </row>
    <row r="293" spans="1:8">
      <c r="A293" s="733"/>
      <c r="B293" s="775"/>
      <c r="C293" s="728"/>
      <c r="D293" s="762"/>
      <c r="E293" s="762"/>
      <c r="F293" s="776"/>
      <c r="G293" s="763"/>
      <c r="H293" s="777"/>
    </row>
    <row r="294" spans="1:8">
      <c r="A294" s="733"/>
      <c r="B294" s="775"/>
      <c r="C294" s="728"/>
      <c r="D294" s="762"/>
      <c r="E294" s="762"/>
      <c r="F294" s="776"/>
      <c r="G294" s="763"/>
      <c r="H294" s="777"/>
    </row>
    <row r="295" spans="1:8">
      <c r="A295" s="733"/>
      <c r="B295" s="775"/>
      <c r="C295" s="728"/>
      <c r="D295" s="762"/>
      <c r="E295" s="762"/>
      <c r="F295" s="776"/>
      <c r="G295" s="763"/>
      <c r="H295" s="777"/>
    </row>
    <row r="296" spans="1:8">
      <c r="A296" s="733"/>
      <c r="B296" s="775"/>
      <c r="C296" s="728"/>
      <c r="D296" s="762"/>
      <c r="E296" s="762"/>
      <c r="F296" s="776"/>
      <c r="G296" s="763"/>
      <c r="H296" s="777"/>
    </row>
    <row r="297" spans="1:8">
      <c r="A297" s="733"/>
      <c r="B297" s="775"/>
      <c r="C297" s="728"/>
      <c r="D297" s="762"/>
      <c r="E297" s="762"/>
      <c r="F297" s="776"/>
      <c r="G297" s="763"/>
      <c r="H297" s="777"/>
    </row>
    <row r="298" spans="1:8">
      <c r="A298" s="733"/>
      <c r="B298" s="775"/>
      <c r="C298" s="728"/>
      <c r="D298" s="762"/>
      <c r="E298" s="762"/>
      <c r="F298" s="776"/>
      <c r="G298" s="763"/>
      <c r="H298" s="777"/>
    </row>
    <row r="299" spans="1:8">
      <c r="A299" s="733"/>
      <c r="B299" s="775"/>
      <c r="C299" s="728"/>
      <c r="D299" s="762"/>
      <c r="E299" s="762"/>
      <c r="F299" s="776"/>
      <c r="G299" s="763"/>
      <c r="H299" s="777"/>
    </row>
    <row r="300" spans="1:8">
      <c r="A300" s="733"/>
      <c r="B300" s="775"/>
      <c r="C300" s="728"/>
      <c r="D300" s="762"/>
      <c r="E300" s="762"/>
      <c r="F300" s="776"/>
      <c r="G300" s="763"/>
      <c r="H300" s="777"/>
    </row>
    <row r="301" spans="1:8">
      <c r="A301" s="733"/>
      <c r="B301" s="775"/>
      <c r="C301" s="728"/>
      <c r="D301" s="762"/>
      <c r="E301" s="762"/>
      <c r="F301" s="776"/>
      <c r="G301" s="763"/>
      <c r="H301" s="777"/>
    </row>
    <row r="302" spans="1:8">
      <c r="A302" s="733"/>
      <c r="B302" s="775"/>
      <c r="C302" s="728"/>
      <c r="D302" s="762"/>
      <c r="E302" s="762"/>
      <c r="F302" s="776"/>
      <c r="G302" s="763"/>
      <c r="H302" s="777"/>
    </row>
    <row r="303" spans="1:8">
      <c r="A303" s="733"/>
      <c r="B303" s="775"/>
      <c r="C303" s="728"/>
      <c r="D303" s="762"/>
      <c r="E303" s="762"/>
      <c r="F303" s="776"/>
      <c r="G303" s="763"/>
      <c r="H303" s="777"/>
    </row>
    <row r="304" spans="1:8">
      <c r="A304" s="733"/>
      <c r="B304" s="775"/>
      <c r="C304" s="728"/>
      <c r="D304" s="762"/>
      <c r="E304" s="762"/>
      <c r="F304" s="776"/>
      <c r="G304" s="763"/>
      <c r="H304" s="777"/>
    </row>
    <row r="305" spans="1:8">
      <c r="A305" s="733"/>
      <c r="B305" s="775"/>
      <c r="C305" s="728"/>
      <c r="D305" s="762"/>
      <c r="E305" s="762"/>
      <c r="F305" s="776"/>
      <c r="G305" s="763"/>
      <c r="H305" s="777"/>
    </row>
    <row r="306" spans="1:8">
      <c r="A306" s="733"/>
      <c r="B306" s="775"/>
      <c r="C306" s="728"/>
      <c r="D306" s="762"/>
      <c r="E306" s="762"/>
      <c r="F306" s="776"/>
      <c r="G306" s="763"/>
      <c r="H306" s="777"/>
    </row>
    <row r="307" spans="1:8">
      <c r="A307" s="733"/>
      <c r="B307" s="775"/>
      <c r="C307" s="728"/>
      <c r="D307" s="762"/>
      <c r="E307" s="762"/>
      <c r="F307" s="776"/>
      <c r="G307" s="763"/>
      <c r="H307" s="777"/>
    </row>
    <row r="308" spans="1:8">
      <c r="A308" s="733"/>
      <c r="B308" s="775"/>
      <c r="C308" s="728"/>
      <c r="D308" s="762"/>
      <c r="E308" s="762"/>
      <c r="F308" s="776"/>
      <c r="G308" s="763"/>
      <c r="H308" s="777"/>
    </row>
    <row r="309" spans="1:8">
      <c r="A309" s="733"/>
      <c r="B309" s="775"/>
      <c r="C309" s="728"/>
      <c r="D309" s="762"/>
      <c r="E309" s="762"/>
      <c r="F309" s="776"/>
      <c r="G309" s="763"/>
      <c r="H309" s="777"/>
    </row>
    <row r="310" spans="1:8">
      <c r="A310" s="733"/>
      <c r="B310" s="775"/>
      <c r="C310" s="728"/>
      <c r="D310" s="762"/>
      <c r="E310" s="762"/>
      <c r="F310" s="776"/>
      <c r="G310" s="763"/>
      <c r="H310" s="777"/>
    </row>
    <row r="311" spans="1:8">
      <c r="A311" s="733"/>
      <c r="B311" s="775"/>
      <c r="C311" s="728"/>
      <c r="D311" s="762"/>
      <c r="E311" s="762"/>
      <c r="F311" s="776"/>
      <c r="G311" s="763"/>
      <c r="H311" s="777"/>
    </row>
    <row r="312" spans="1:8">
      <c r="A312" s="733"/>
      <c r="B312" s="775"/>
      <c r="C312" s="728"/>
      <c r="D312" s="762"/>
      <c r="E312" s="762"/>
      <c r="F312" s="776"/>
      <c r="G312" s="763"/>
      <c r="H312" s="777"/>
    </row>
    <row r="313" spans="1:8">
      <c r="A313" s="733"/>
      <c r="B313" s="775"/>
      <c r="C313" s="728"/>
      <c r="D313" s="762"/>
      <c r="E313" s="762"/>
      <c r="F313" s="776"/>
      <c r="G313" s="763"/>
      <c r="H313" s="777"/>
    </row>
    <row r="314" spans="1:8">
      <c r="A314" s="733"/>
      <c r="B314" s="775"/>
      <c r="C314" s="728"/>
      <c r="D314" s="762"/>
      <c r="E314" s="762"/>
      <c r="F314" s="776"/>
      <c r="G314" s="763"/>
      <c r="H314" s="777"/>
    </row>
    <row r="315" spans="1:8">
      <c r="A315" s="733"/>
      <c r="B315" s="775"/>
      <c r="C315" s="728"/>
      <c r="D315" s="762"/>
      <c r="E315" s="762"/>
      <c r="F315" s="776"/>
      <c r="G315" s="763"/>
      <c r="H315" s="777"/>
    </row>
    <row r="316" spans="1:8">
      <c r="A316" s="733"/>
      <c r="B316" s="775"/>
      <c r="C316" s="728"/>
      <c r="D316" s="762"/>
      <c r="E316" s="762"/>
      <c r="F316" s="776"/>
      <c r="G316" s="763"/>
      <c r="H316" s="777"/>
    </row>
    <row r="317" spans="1:8">
      <c r="A317" s="733"/>
      <c r="B317" s="775"/>
      <c r="C317" s="728"/>
      <c r="D317" s="762"/>
      <c r="E317" s="762"/>
      <c r="F317" s="776"/>
      <c r="G317" s="763"/>
      <c r="H317" s="777"/>
    </row>
    <row r="318" spans="1:8">
      <c r="A318" s="733"/>
      <c r="B318" s="775"/>
      <c r="C318" s="728"/>
      <c r="D318" s="762"/>
      <c r="E318" s="762"/>
      <c r="F318" s="776"/>
      <c r="G318" s="763"/>
      <c r="H318" s="777"/>
    </row>
    <row r="319" spans="1:8">
      <c r="A319" s="733"/>
      <c r="B319" s="775"/>
      <c r="C319" s="728"/>
      <c r="D319" s="762"/>
      <c r="E319" s="762"/>
      <c r="F319" s="776"/>
      <c r="G319" s="763"/>
      <c r="H319" s="777"/>
    </row>
    <row r="320" spans="1:8">
      <c r="A320" s="733"/>
      <c r="B320" s="759"/>
      <c r="C320" s="759"/>
      <c r="D320" s="759"/>
      <c r="E320" s="759"/>
      <c r="F320" s="759"/>
      <c r="G320" s="759"/>
      <c r="H320" s="759"/>
    </row>
    <row r="321" spans="1:8">
      <c r="B321" s="759"/>
      <c r="C321" s="759"/>
      <c r="D321" s="759"/>
      <c r="E321" s="759"/>
      <c r="F321" s="759"/>
      <c r="G321" s="759"/>
      <c r="H321" s="759"/>
    </row>
    <row r="322" spans="1:8">
      <c r="A322" s="758"/>
      <c r="B322" s="759"/>
      <c r="C322" s="759"/>
      <c r="D322" s="759"/>
      <c r="E322" s="759"/>
      <c r="F322" s="759"/>
      <c r="G322" s="759"/>
      <c r="H322" s="759"/>
    </row>
    <row r="323" spans="1:8">
      <c r="B323" s="759"/>
      <c r="C323" s="759"/>
      <c r="D323" s="759"/>
      <c r="E323" s="759"/>
      <c r="F323" s="759"/>
      <c r="G323" s="759"/>
      <c r="H323" s="759"/>
    </row>
    <row r="324" spans="1:8">
      <c r="B324" s="759"/>
      <c r="C324" s="759"/>
      <c r="D324" s="759"/>
      <c r="E324" s="759"/>
      <c r="F324" s="759"/>
      <c r="G324" s="759"/>
      <c r="H324" s="759"/>
    </row>
    <row r="325" spans="1:8">
      <c r="B325" s="759"/>
      <c r="C325" s="759"/>
      <c r="D325" s="759"/>
      <c r="E325" s="759"/>
      <c r="F325" s="759"/>
      <c r="G325" s="759"/>
      <c r="H325" s="759"/>
    </row>
    <row r="326" spans="1:8">
      <c r="B326" s="759"/>
      <c r="C326" s="759"/>
      <c r="D326" s="759"/>
      <c r="E326" s="759"/>
      <c r="F326" s="759"/>
      <c r="G326" s="759"/>
      <c r="H326" s="759"/>
    </row>
    <row r="327" spans="1:8">
      <c r="B327" s="759"/>
      <c r="C327" s="759"/>
      <c r="D327" s="759"/>
      <c r="E327" s="759"/>
      <c r="F327" s="759"/>
      <c r="G327" s="759"/>
      <c r="H327" s="759"/>
    </row>
    <row r="328" spans="1:8">
      <c r="B328" s="759"/>
      <c r="C328" s="759"/>
      <c r="D328" s="759"/>
      <c r="E328" s="759"/>
      <c r="F328" s="759"/>
      <c r="G328" s="759"/>
      <c r="H328" s="759"/>
    </row>
    <row r="329" spans="1:8">
      <c r="B329" s="759"/>
      <c r="C329" s="759"/>
      <c r="D329" s="759"/>
      <c r="E329" s="759"/>
      <c r="F329" s="759"/>
      <c r="G329" s="759"/>
      <c r="H329" s="759"/>
    </row>
    <row r="330" spans="1:8">
      <c r="B330" s="759"/>
      <c r="C330" s="759"/>
      <c r="D330" s="759"/>
      <c r="E330" s="759"/>
      <c r="F330" s="759"/>
      <c r="G330" s="759"/>
      <c r="H330" s="759"/>
    </row>
    <row r="331" spans="1:8">
      <c r="B331" s="759"/>
      <c r="C331" s="759"/>
      <c r="D331" s="759"/>
      <c r="E331" s="759"/>
      <c r="F331" s="759"/>
      <c r="G331" s="759"/>
      <c r="H331" s="759"/>
    </row>
    <row r="332" spans="1:8">
      <c r="B332" s="759"/>
      <c r="C332" s="759"/>
      <c r="D332" s="759"/>
      <c r="E332" s="759"/>
      <c r="F332" s="759"/>
      <c r="G332" s="759"/>
      <c r="H332" s="759"/>
    </row>
    <row r="333" spans="1:8">
      <c r="B333" s="759"/>
      <c r="C333" s="759"/>
      <c r="D333" s="759"/>
      <c r="E333" s="759"/>
      <c r="F333" s="759"/>
      <c r="G333" s="759"/>
      <c r="H333" s="759"/>
    </row>
    <row r="334" spans="1:8">
      <c r="B334" s="759"/>
      <c r="C334" s="759"/>
      <c r="D334" s="759"/>
      <c r="E334" s="759"/>
      <c r="F334" s="759"/>
      <c r="G334" s="759"/>
      <c r="H334" s="759"/>
    </row>
    <row r="335" spans="1:8">
      <c r="B335" s="759"/>
      <c r="C335" s="759"/>
      <c r="D335" s="759"/>
      <c r="E335" s="759"/>
      <c r="F335" s="759"/>
      <c r="G335" s="759"/>
      <c r="H335" s="759"/>
    </row>
    <row r="336" spans="1:8">
      <c r="B336" s="759"/>
      <c r="C336" s="759"/>
      <c r="D336" s="759"/>
      <c r="E336" s="759"/>
      <c r="F336" s="759"/>
      <c r="G336" s="759"/>
      <c r="H336" s="759"/>
    </row>
    <row r="337" spans="2:8">
      <c r="B337" s="759"/>
      <c r="C337" s="759"/>
      <c r="D337" s="759"/>
      <c r="E337" s="759"/>
      <c r="F337" s="759"/>
      <c r="G337" s="759"/>
      <c r="H337" s="759"/>
    </row>
    <row r="338" spans="2:8">
      <c r="B338" s="759"/>
      <c r="C338" s="759"/>
      <c r="D338" s="759"/>
      <c r="E338" s="759"/>
      <c r="F338" s="759"/>
      <c r="G338" s="759"/>
      <c r="H338" s="759"/>
    </row>
    <row r="339" spans="2:8">
      <c r="B339" s="759"/>
      <c r="C339" s="759"/>
      <c r="D339" s="759"/>
      <c r="E339" s="759"/>
      <c r="F339" s="759"/>
      <c r="G339" s="759"/>
      <c r="H339" s="759"/>
    </row>
    <row r="340" spans="2:8">
      <c r="B340" s="759"/>
      <c r="C340" s="759"/>
      <c r="D340" s="759"/>
      <c r="E340" s="759"/>
      <c r="F340" s="759"/>
      <c r="G340" s="759"/>
      <c r="H340" s="759"/>
    </row>
    <row r="341" spans="2:8">
      <c r="B341" s="759"/>
      <c r="C341" s="759"/>
      <c r="D341" s="759"/>
      <c r="E341" s="759"/>
      <c r="F341" s="759"/>
      <c r="G341" s="759"/>
      <c r="H341" s="759"/>
    </row>
    <row r="342" spans="2:8">
      <c r="B342" s="759"/>
      <c r="C342" s="759"/>
      <c r="D342" s="759"/>
      <c r="E342" s="759"/>
      <c r="F342" s="759"/>
      <c r="G342" s="759"/>
      <c r="H342" s="759"/>
    </row>
    <row r="343" spans="2:8">
      <c r="B343" s="759"/>
      <c r="C343" s="759"/>
      <c r="D343" s="759"/>
      <c r="E343" s="759"/>
      <c r="F343" s="759"/>
      <c r="G343" s="759"/>
      <c r="H343" s="759"/>
    </row>
    <row r="344" spans="2:8">
      <c r="B344" s="759"/>
      <c r="C344" s="759"/>
      <c r="D344" s="759"/>
      <c r="E344" s="759"/>
      <c r="F344" s="759"/>
      <c r="G344" s="759"/>
      <c r="H344" s="759"/>
    </row>
    <row r="345" spans="2:8">
      <c r="B345" s="759"/>
      <c r="C345" s="759"/>
      <c r="D345" s="759"/>
      <c r="E345" s="759"/>
      <c r="F345" s="759"/>
      <c r="G345" s="759"/>
      <c r="H345" s="759"/>
    </row>
    <row r="346" spans="2:8">
      <c r="B346" s="759"/>
      <c r="C346" s="759"/>
      <c r="D346" s="759"/>
      <c r="E346" s="759"/>
      <c r="F346" s="759"/>
      <c r="G346" s="759"/>
      <c r="H346" s="759"/>
    </row>
    <row r="347" spans="2:8">
      <c r="B347" s="759"/>
      <c r="C347" s="759"/>
      <c r="D347" s="759"/>
      <c r="E347" s="759"/>
      <c r="F347" s="759"/>
      <c r="G347" s="759"/>
      <c r="H347" s="759"/>
    </row>
    <row r="348" spans="2:8">
      <c r="B348" s="759"/>
      <c r="C348" s="759"/>
      <c r="D348" s="759"/>
      <c r="E348" s="759"/>
      <c r="F348" s="759"/>
      <c r="G348" s="759"/>
      <c r="H348" s="759"/>
    </row>
    <row r="349" spans="2:8">
      <c r="B349" s="759"/>
      <c r="C349" s="759"/>
      <c r="D349" s="759"/>
      <c r="E349" s="759"/>
      <c r="F349" s="759"/>
      <c r="G349" s="759"/>
      <c r="H349" s="759"/>
    </row>
    <row r="350" spans="2:8">
      <c r="B350" s="759"/>
      <c r="C350" s="759"/>
      <c r="D350" s="759"/>
      <c r="E350" s="759"/>
      <c r="F350" s="759"/>
      <c r="G350" s="759"/>
      <c r="H350" s="759"/>
    </row>
    <row r="351" spans="2:8">
      <c r="B351" s="759"/>
      <c r="C351" s="759"/>
      <c r="D351" s="759"/>
      <c r="E351" s="759"/>
      <c r="F351" s="759"/>
      <c r="G351" s="759"/>
      <c r="H351" s="759"/>
    </row>
    <row r="352" spans="2:8">
      <c r="B352" s="759"/>
      <c r="C352" s="759"/>
      <c r="D352" s="759"/>
      <c r="E352" s="759"/>
      <c r="F352" s="759"/>
      <c r="G352" s="759"/>
      <c r="H352" s="759"/>
    </row>
    <row r="353" spans="2:8">
      <c r="B353" s="759"/>
      <c r="C353" s="759"/>
      <c r="D353" s="759"/>
      <c r="E353" s="759"/>
      <c r="F353" s="759"/>
      <c r="G353" s="759"/>
      <c r="H353" s="759"/>
    </row>
    <row r="354" spans="2:8">
      <c r="B354" s="759"/>
      <c r="C354" s="759"/>
      <c r="D354" s="759"/>
      <c r="E354" s="759"/>
      <c r="F354" s="759"/>
      <c r="G354" s="759"/>
      <c r="H354" s="759"/>
    </row>
    <row r="355" spans="2:8">
      <c r="B355" s="759"/>
      <c r="C355" s="759"/>
      <c r="D355" s="759"/>
      <c r="E355" s="759"/>
      <c r="F355" s="759"/>
      <c r="G355" s="759"/>
      <c r="H355" s="759"/>
    </row>
    <row r="356" spans="2:8">
      <c r="B356" s="759"/>
      <c r="C356" s="759"/>
      <c r="D356" s="759"/>
      <c r="E356" s="759"/>
      <c r="F356" s="759"/>
      <c r="G356" s="759"/>
      <c r="H356" s="759"/>
    </row>
    <row r="357" spans="2:8">
      <c r="B357" s="759"/>
      <c r="C357" s="759"/>
      <c r="D357" s="759"/>
      <c r="E357" s="759"/>
      <c r="F357" s="759"/>
      <c r="G357" s="759"/>
      <c r="H357" s="759"/>
    </row>
    <row r="358" spans="2:8">
      <c r="B358" s="759"/>
      <c r="C358" s="759"/>
      <c r="D358" s="759"/>
      <c r="E358" s="759"/>
      <c r="F358" s="759"/>
      <c r="G358" s="759"/>
      <c r="H358" s="759"/>
    </row>
    <row r="359" spans="2:8">
      <c r="B359" s="759"/>
      <c r="C359" s="759"/>
      <c r="D359" s="759"/>
      <c r="E359" s="759"/>
      <c r="F359" s="759"/>
      <c r="G359" s="759"/>
      <c r="H359" s="759"/>
    </row>
    <row r="360" spans="2:8">
      <c r="B360" s="759"/>
      <c r="C360" s="759"/>
      <c r="D360" s="759"/>
      <c r="E360" s="759"/>
      <c r="F360" s="759"/>
      <c r="G360" s="759"/>
      <c r="H360" s="759"/>
    </row>
    <row r="361" spans="2:8">
      <c r="B361" s="759"/>
      <c r="C361" s="759"/>
      <c r="D361" s="759"/>
      <c r="E361" s="759"/>
      <c r="F361" s="759"/>
      <c r="G361" s="759"/>
      <c r="H361" s="759"/>
    </row>
    <row r="362" spans="2:8">
      <c r="B362" s="759"/>
      <c r="C362" s="759"/>
      <c r="D362" s="759"/>
      <c r="E362" s="759"/>
      <c r="F362" s="759"/>
      <c r="G362" s="759"/>
      <c r="H362" s="759"/>
    </row>
    <row r="363" spans="2:8">
      <c r="B363" s="759"/>
      <c r="C363" s="759"/>
      <c r="D363" s="759"/>
      <c r="E363" s="759"/>
      <c r="F363" s="759"/>
      <c r="G363" s="759"/>
      <c r="H363" s="759"/>
    </row>
    <row r="364" spans="2:8">
      <c r="B364" s="759"/>
      <c r="C364" s="759"/>
      <c r="D364" s="759"/>
      <c r="E364" s="759"/>
      <c r="F364" s="759"/>
      <c r="G364" s="759"/>
      <c r="H364" s="759"/>
    </row>
    <row r="365" spans="2:8">
      <c r="B365" s="759"/>
      <c r="C365" s="759"/>
      <c r="D365" s="759"/>
      <c r="E365" s="759"/>
      <c r="F365" s="759"/>
      <c r="G365" s="759"/>
      <c r="H365" s="759"/>
    </row>
    <row r="366" spans="2:8">
      <c r="B366" s="759"/>
      <c r="C366" s="759"/>
      <c r="D366" s="759"/>
      <c r="E366" s="759"/>
      <c r="F366" s="759"/>
      <c r="G366" s="759"/>
      <c r="H366" s="759"/>
    </row>
    <row r="367" spans="2:8">
      <c r="B367" s="759"/>
      <c r="C367" s="759"/>
      <c r="D367" s="759"/>
      <c r="E367" s="759"/>
      <c r="F367" s="759"/>
      <c r="G367" s="759"/>
      <c r="H367" s="759"/>
    </row>
    <row r="368" spans="2:8">
      <c r="B368" s="759"/>
      <c r="C368" s="759"/>
      <c r="D368" s="759"/>
      <c r="E368" s="759"/>
      <c r="F368" s="759"/>
      <c r="G368" s="759"/>
      <c r="H368" s="759"/>
    </row>
    <row r="369" spans="2:8">
      <c r="B369" s="759"/>
      <c r="C369" s="759"/>
      <c r="D369" s="759"/>
      <c r="E369" s="759"/>
      <c r="F369" s="759"/>
      <c r="G369" s="759"/>
      <c r="H369" s="759"/>
    </row>
    <row r="370" spans="2:8">
      <c r="B370" s="759"/>
      <c r="C370" s="759"/>
      <c r="D370" s="759"/>
      <c r="E370" s="759"/>
      <c r="F370" s="759"/>
      <c r="G370" s="759"/>
      <c r="H370" s="759"/>
    </row>
    <row r="371" spans="2:8">
      <c r="B371" s="759"/>
      <c r="C371" s="759"/>
      <c r="D371" s="759"/>
      <c r="E371" s="759"/>
      <c r="F371" s="759"/>
      <c r="G371" s="759"/>
      <c r="H371" s="759"/>
    </row>
    <row r="372" spans="2:8">
      <c r="B372" s="759"/>
      <c r="C372" s="759"/>
      <c r="D372" s="759"/>
      <c r="E372" s="759"/>
      <c r="F372" s="759"/>
      <c r="G372" s="759"/>
      <c r="H372" s="759"/>
    </row>
    <row r="373" spans="2:8">
      <c r="B373" s="759"/>
      <c r="C373" s="759"/>
      <c r="D373" s="759"/>
      <c r="E373" s="759"/>
      <c r="F373" s="759"/>
      <c r="G373" s="759"/>
      <c r="H373" s="759"/>
    </row>
    <row r="374" spans="2:8">
      <c r="B374" s="759"/>
      <c r="C374" s="759"/>
      <c r="D374" s="759"/>
      <c r="E374" s="759"/>
      <c r="F374" s="759"/>
      <c r="G374" s="759"/>
      <c r="H374" s="759"/>
    </row>
    <row r="375" spans="2:8">
      <c r="B375" s="759"/>
      <c r="C375" s="759"/>
      <c r="D375" s="759"/>
      <c r="E375" s="759"/>
      <c r="F375" s="759"/>
      <c r="G375" s="759"/>
      <c r="H375" s="759"/>
    </row>
    <row r="376" spans="2:8">
      <c r="B376" s="759"/>
      <c r="C376" s="759"/>
      <c r="D376" s="759"/>
      <c r="E376" s="759"/>
      <c r="F376" s="759"/>
      <c r="G376" s="759"/>
      <c r="H376" s="759"/>
    </row>
    <row r="377" spans="2:8">
      <c r="B377" s="759"/>
      <c r="C377" s="759"/>
      <c r="D377" s="759"/>
      <c r="E377" s="759"/>
      <c r="F377" s="759"/>
      <c r="G377" s="759"/>
      <c r="H377" s="759"/>
    </row>
    <row r="378" spans="2:8">
      <c r="B378" s="759"/>
      <c r="C378" s="759"/>
      <c r="D378" s="759"/>
      <c r="E378" s="759"/>
      <c r="F378" s="759"/>
      <c r="G378" s="759"/>
      <c r="H378" s="759"/>
    </row>
    <row r="379" spans="2:8">
      <c r="B379" s="759"/>
      <c r="C379" s="759"/>
      <c r="D379" s="759"/>
      <c r="E379" s="759"/>
      <c r="F379" s="759"/>
      <c r="G379" s="759"/>
      <c r="H379" s="759"/>
    </row>
    <row r="380" spans="2:8">
      <c r="B380" s="759"/>
      <c r="C380" s="759"/>
      <c r="D380" s="759"/>
      <c r="E380" s="759"/>
      <c r="F380" s="759"/>
      <c r="G380" s="759"/>
      <c r="H380" s="759"/>
    </row>
    <row r="381" spans="2:8">
      <c r="B381" s="759"/>
      <c r="C381" s="759"/>
      <c r="D381" s="759"/>
      <c r="E381" s="759"/>
      <c r="F381" s="759"/>
      <c r="G381" s="759"/>
      <c r="H381" s="759"/>
    </row>
    <row r="382" spans="2:8">
      <c r="B382" s="759"/>
      <c r="C382" s="759"/>
      <c r="D382" s="759"/>
      <c r="E382" s="759"/>
      <c r="F382" s="759"/>
      <c r="G382" s="759"/>
      <c r="H382" s="759"/>
    </row>
    <row r="383" spans="2:8">
      <c r="B383" s="759"/>
      <c r="C383" s="759"/>
      <c r="D383" s="759"/>
      <c r="E383" s="759"/>
      <c r="F383" s="759"/>
      <c r="G383" s="759"/>
      <c r="H383" s="759"/>
    </row>
    <row r="384" spans="2:8">
      <c r="B384" s="759"/>
      <c r="C384" s="759"/>
      <c r="D384" s="759"/>
      <c r="E384" s="759"/>
      <c r="F384" s="759"/>
      <c r="G384" s="759"/>
      <c r="H384" s="759"/>
    </row>
    <row r="385" spans="2:8">
      <c r="B385" s="759"/>
      <c r="C385" s="759"/>
      <c r="D385" s="759"/>
      <c r="E385" s="759"/>
      <c r="F385" s="759"/>
      <c r="G385" s="759"/>
      <c r="H385" s="759"/>
    </row>
    <row r="386" spans="2:8">
      <c r="B386" s="759"/>
      <c r="C386" s="759"/>
      <c r="D386" s="759"/>
      <c r="E386" s="759"/>
      <c r="F386" s="759"/>
      <c r="G386" s="759"/>
      <c r="H386" s="759"/>
    </row>
    <row r="387" spans="2:8">
      <c r="B387" s="759"/>
      <c r="C387" s="759"/>
      <c r="D387" s="759"/>
      <c r="E387" s="759"/>
      <c r="F387" s="759"/>
      <c r="G387" s="759"/>
      <c r="H387" s="759"/>
    </row>
    <row r="388" spans="2:8">
      <c r="B388" s="759"/>
      <c r="C388" s="759"/>
      <c r="D388" s="759"/>
      <c r="E388" s="759"/>
      <c r="F388" s="759"/>
      <c r="G388" s="759"/>
      <c r="H388" s="759"/>
    </row>
    <row r="389" spans="2:8">
      <c r="B389" s="759"/>
      <c r="C389" s="759"/>
      <c r="D389" s="759"/>
      <c r="E389" s="759"/>
      <c r="F389" s="759"/>
      <c r="G389" s="759"/>
      <c r="H389" s="759"/>
    </row>
    <row r="390" spans="2:8">
      <c r="B390" s="759"/>
      <c r="C390" s="759"/>
      <c r="D390" s="759"/>
      <c r="E390" s="759"/>
      <c r="F390" s="759"/>
      <c r="G390" s="759"/>
      <c r="H390" s="759"/>
    </row>
    <row r="391" spans="2:8">
      <c r="B391" s="759"/>
      <c r="C391" s="759"/>
      <c r="D391" s="759"/>
      <c r="E391" s="759"/>
      <c r="F391" s="759"/>
      <c r="G391" s="759"/>
      <c r="H391" s="759"/>
    </row>
    <row r="392" spans="2:8">
      <c r="B392" s="759"/>
      <c r="C392" s="759"/>
      <c r="D392" s="759"/>
      <c r="E392" s="759"/>
      <c r="F392" s="759"/>
      <c r="G392" s="759"/>
      <c r="H392" s="759"/>
    </row>
    <row r="393" spans="2:8">
      <c r="B393" s="759"/>
      <c r="C393" s="759"/>
      <c r="D393" s="759"/>
      <c r="E393" s="759"/>
      <c r="F393" s="759"/>
      <c r="G393" s="759"/>
      <c r="H393" s="759"/>
    </row>
    <row r="394" spans="2:8">
      <c r="B394" s="759"/>
      <c r="C394" s="759"/>
      <c r="D394" s="759"/>
      <c r="E394" s="759"/>
      <c r="F394" s="759"/>
      <c r="G394" s="759"/>
      <c r="H394" s="759"/>
    </row>
    <row r="395" spans="2:8">
      <c r="B395" s="759"/>
      <c r="C395" s="759"/>
      <c r="D395" s="759"/>
      <c r="E395" s="759"/>
      <c r="F395" s="759"/>
      <c r="G395" s="759"/>
      <c r="H395" s="759"/>
    </row>
    <row r="396" spans="2:8">
      <c r="B396" s="759"/>
      <c r="C396" s="759"/>
      <c r="D396" s="759"/>
      <c r="E396" s="759"/>
      <c r="F396" s="759"/>
      <c r="G396" s="759"/>
      <c r="H396" s="759"/>
    </row>
    <row r="397" spans="2:8">
      <c r="B397" s="759"/>
      <c r="C397" s="759"/>
      <c r="D397" s="759"/>
      <c r="E397" s="759"/>
      <c r="F397" s="759"/>
      <c r="G397" s="759"/>
      <c r="H397" s="759"/>
    </row>
    <row r="398" spans="2:8">
      <c r="B398" s="759"/>
      <c r="C398" s="759"/>
      <c r="D398" s="759"/>
      <c r="E398" s="759"/>
      <c r="F398" s="759"/>
      <c r="G398" s="759"/>
      <c r="H398" s="759"/>
    </row>
    <row r="399" spans="2:8">
      <c r="B399" s="759"/>
      <c r="C399" s="759"/>
      <c r="D399" s="759"/>
      <c r="E399" s="759"/>
      <c r="F399" s="759"/>
      <c r="G399" s="759"/>
      <c r="H399" s="759"/>
    </row>
    <row r="400" spans="2:8">
      <c r="B400" s="759"/>
      <c r="C400" s="759"/>
      <c r="D400" s="759"/>
      <c r="E400" s="759"/>
      <c r="F400" s="759"/>
      <c r="G400" s="759"/>
      <c r="H400" s="759"/>
    </row>
    <row r="401" spans="2:8">
      <c r="B401" s="759"/>
      <c r="C401" s="759"/>
      <c r="D401" s="759"/>
      <c r="E401" s="759"/>
      <c r="F401" s="759"/>
      <c r="G401" s="759"/>
      <c r="H401" s="759"/>
    </row>
    <row r="402" spans="2:8">
      <c r="B402" s="759"/>
      <c r="C402" s="759"/>
      <c r="D402" s="759"/>
      <c r="E402" s="759"/>
      <c r="F402" s="759"/>
      <c r="G402" s="759"/>
      <c r="H402" s="759"/>
    </row>
    <row r="403" spans="2:8">
      <c r="B403" s="759"/>
      <c r="C403" s="759"/>
      <c r="D403" s="759"/>
      <c r="E403" s="759"/>
      <c r="F403" s="759"/>
      <c r="G403" s="759"/>
      <c r="H403" s="759"/>
    </row>
    <row r="404" spans="2:8">
      <c r="B404" s="759"/>
      <c r="C404" s="759"/>
      <c r="D404" s="759"/>
      <c r="E404" s="759"/>
      <c r="F404" s="759"/>
      <c r="G404" s="759"/>
      <c r="H404" s="759"/>
    </row>
    <row r="405" spans="2:8">
      <c r="B405" s="759"/>
      <c r="C405" s="759"/>
      <c r="D405" s="759"/>
      <c r="E405" s="759"/>
      <c r="F405" s="759"/>
      <c r="G405" s="759"/>
      <c r="H405" s="759"/>
    </row>
    <row r="406" spans="2:8">
      <c r="B406" s="759"/>
      <c r="C406" s="759"/>
      <c r="D406" s="759"/>
      <c r="E406" s="759"/>
      <c r="F406" s="759"/>
      <c r="G406" s="759"/>
      <c r="H406" s="759"/>
    </row>
    <row r="407" spans="2:8">
      <c r="B407" s="759"/>
      <c r="C407" s="759"/>
      <c r="D407" s="759"/>
      <c r="E407" s="759"/>
      <c r="F407" s="759"/>
      <c r="G407" s="759"/>
      <c r="H407" s="759"/>
    </row>
    <row r="408" spans="2:8">
      <c r="B408" s="759"/>
      <c r="C408" s="759"/>
      <c r="D408" s="759"/>
      <c r="E408" s="759"/>
      <c r="F408" s="759"/>
      <c r="G408" s="759"/>
      <c r="H408" s="759"/>
    </row>
    <row r="409" spans="2:8">
      <c r="B409" s="759"/>
      <c r="C409" s="759"/>
      <c r="D409" s="759"/>
      <c r="E409" s="759"/>
      <c r="F409" s="759"/>
      <c r="G409" s="759"/>
      <c r="H409" s="759"/>
    </row>
    <row r="410" spans="2:8">
      <c r="B410" s="759"/>
      <c r="C410" s="759"/>
      <c r="D410" s="759"/>
      <c r="E410" s="759"/>
      <c r="F410" s="759"/>
      <c r="G410" s="759"/>
      <c r="H410" s="759"/>
    </row>
    <row r="411" spans="2:8">
      <c r="B411" s="759"/>
      <c r="C411" s="759"/>
      <c r="D411" s="759"/>
      <c r="E411" s="759"/>
      <c r="F411" s="759"/>
      <c r="G411" s="759"/>
      <c r="H411" s="759"/>
    </row>
    <row r="412" spans="2:8">
      <c r="B412" s="759"/>
      <c r="C412" s="759"/>
      <c r="D412" s="759"/>
      <c r="E412" s="759"/>
      <c r="F412" s="759"/>
      <c r="G412" s="759"/>
      <c r="H412" s="759"/>
    </row>
    <row r="413" spans="2:8">
      <c r="B413" s="759"/>
      <c r="C413" s="759"/>
      <c r="D413" s="759"/>
      <c r="E413" s="759"/>
      <c r="F413" s="759"/>
      <c r="G413" s="759"/>
      <c r="H413" s="759"/>
    </row>
    <row r="414" spans="2:8">
      <c r="B414" s="759"/>
      <c r="C414" s="759"/>
      <c r="D414" s="759"/>
      <c r="E414" s="759"/>
      <c r="F414" s="759"/>
      <c r="G414" s="759"/>
      <c r="H414" s="759"/>
    </row>
    <row r="415" spans="2:8">
      <c r="B415" s="759"/>
      <c r="C415" s="759"/>
      <c r="D415" s="759"/>
      <c r="E415" s="759"/>
      <c r="F415" s="759"/>
      <c r="G415" s="759"/>
      <c r="H415" s="759"/>
    </row>
    <row r="416" spans="2:8">
      <c r="B416" s="759"/>
      <c r="C416" s="759"/>
      <c r="D416" s="759"/>
      <c r="E416" s="759"/>
      <c r="F416" s="759"/>
      <c r="G416" s="759"/>
      <c r="H416" s="759"/>
    </row>
    <row r="417" spans="2:8">
      <c r="B417" s="759"/>
      <c r="C417" s="759"/>
      <c r="D417" s="759"/>
      <c r="E417" s="759"/>
      <c r="F417" s="759"/>
      <c r="G417" s="759"/>
      <c r="H417" s="759"/>
    </row>
    <row r="418" spans="2:8">
      <c r="B418" s="759"/>
      <c r="C418" s="759"/>
      <c r="D418" s="759"/>
      <c r="E418" s="759"/>
      <c r="F418" s="759"/>
      <c r="G418" s="759"/>
      <c r="H418" s="759"/>
    </row>
    <row r="419" spans="2:8">
      <c r="B419" s="759"/>
      <c r="C419" s="759"/>
      <c r="D419" s="759"/>
      <c r="E419" s="759"/>
      <c r="F419" s="759"/>
      <c r="G419" s="759"/>
      <c r="H419" s="759"/>
    </row>
    <row r="420" spans="2:8">
      <c r="B420" s="759"/>
      <c r="C420" s="759"/>
      <c r="D420" s="759"/>
      <c r="E420" s="759"/>
      <c r="F420" s="759"/>
      <c r="G420" s="759"/>
      <c r="H420" s="759"/>
    </row>
    <row r="421" spans="2:8">
      <c r="B421" s="759"/>
      <c r="C421" s="759"/>
      <c r="D421" s="759"/>
      <c r="E421" s="759"/>
      <c r="F421" s="759"/>
      <c r="G421" s="759"/>
      <c r="H421" s="759"/>
    </row>
    <row r="422" spans="2:8">
      <c r="B422" s="759"/>
      <c r="C422" s="759"/>
      <c r="D422" s="759"/>
      <c r="E422" s="759"/>
      <c r="F422" s="759"/>
      <c r="G422" s="759"/>
      <c r="H422" s="759"/>
    </row>
    <row r="423" spans="2:8">
      <c r="B423" s="759"/>
      <c r="C423" s="759"/>
      <c r="D423" s="759"/>
      <c r="E423" s="759"/>
      <c r="F423" s="759"/>
      <c r="G423" s="759"/>
      <c r="H423" s="759"/>
    </row>
    <row r="424" spans="2:8">
      <c r="B424" s="759"/>
      <c r="C424" s="759"/>
      <c r="D424" s="759"/>
      <c r="E424" s="759"/>
      <c r="F424" s="759"/>
      <c r="G424" s="759"/>
      <c r="H424" s="759"/>
    </row>
    <row r="425" spans="2:8">
      <c r="B425" s="759"/>
      <c r="C425" s="759"/>
      <c r="D425" s="759"/>
      <c r="E425" s="759"/>
      <c r="F425" s="759"/>
      <c r="G425" s="759"/>
      <c r="H425" s="759"/>
    </row>
    <row r="426" spans="2:8">
      <c r="B426" s="759"/>
      <c r="C426" s="759"/>
      <c r="D426" s="759"/>
      <c r="E426" s="759"/>
      <c r="F426" s="759"/>
      <c r="G426" s="759"/>
      <c r="H426" s="759"/>
    </row>
    <row r="427" spans="2:8">
      <c r="B427" s="759"/>
      <c r="C427" s="759"/>
      <c r="D427" s="759"/>
      <c r="E427" s="759"/>
      <c r="F427" s="759"/>
      <c r="G427" s="759"/>
      <c r="H427" s="759"/>
    </row>
    <row r="428" spans="2:8">
      <c r="B428" s="759"/>
      <c r="C428" s="759"/>
      <c r="D428" s="759"/>
      <c r="E428" s="759"/>
      <c r="F428" s="759"/>
      <c r="G428" s="759"/>
      <c r="H428" s="759"/>
    </row>
    <row r="429" spans="2:8">
      <c r="B429" s="759"/>
      <c r="C429" s="759"/>
      <c r="D429" s="759"/>
      <c r="E429" s="759"/>
      <c r="F429" s="759"/>
      <c r="G429" s="759"/>
      <c r="H429" s="759"/>
    </row>
    <row r="430" spans="2:8">
      <c r="B430" s="759"/>
      <c r="C430" s="759"/>
      <c r="D430" s="759"/>
      <c r="E430" s="759"/>
      <c r="F430" s="759"/>
      <c r="G430" s="759"/>
      <c r="H430" s="759"/>
    </row>
    <row r="431" spans="2:8">
      <c r="B431" s="759"/>
      <c r="C431" s="759"/>
      <c r="D431" s="759"/>
      <c r="E431" s="759"/>
      <c r="F431" s="759"/>
      <c r="G431" s="759"/>
      <c r="H431" s="759"/>
    </row>
    <row r="432" spans="2:8">
      <c r="B432" s="759"/>
      <c r="C432" s="759"/>
      <c r="D432" s="759"/>
      <c r="E432" s="759"/>
      <c r="F432" s="759"/>
      <c r="G432" s="759"/>
      <c r="H432" s="759"/>
    </row>
    <row r="433" spans="2:8">
      <c r="B433" s="759"/>
      <c r="C433" s="759"/>
      <c r="D433" s="759"/>
      <c r="E433" s="759"/>
      <c r="F433" s="759"/>
      <c r="G433" s="759"/>
      <c r="H433" s="759"/>
    </row>
    <row r="434" spans="2:8">
      <c r="B434" s="759"/>
      <c r="C434" s="759"/>
      <c r="D434" s="759"/>
      <c r="E434" s="759"/>
      <c r="F434" s="759"/>
      <c r="G434" s="759"/>
      <c r="H434" s="759"/>
    </row>
    <row r="435" spans="2:8">
      <c r="B435" s="759"/>
      <c r="C435" s="759"/>
      <c r="D435" s="759"/>
      <c r="E435" s="759"/>
      <c r="F435" s="759"/>
      <c r="G435" s="759"/>
      <c r="H435" s="759"/>
    </row>
    <row r="436" spans="2:8">
      <c r="B436" s="759"/>
      <c r="C436" s="759"/>
      <c r="D436" s="759"/>
      <c r="E436" s="759"/>
      <c r="F436" s="759"/>
      <c r="G436" s="759"/>
      <c r="H436" s="759"/>
    </row>
    <row r="437" spans="2:8">
      <c r="B437" s="759"/>
      <c r="C437" s="759"/>
      <c r="D437" s="759"/>
      <c r="E437" s="759"/>
      <c r="F437" s="759"/>
      <c r="G437" s="759"/>
      <c r="H437" s="759"/>
    </row>
    <row r="438" spans="2:8">
      <c r="B438" s="759"/>
      <c r="C438" s="759"/>
      <c r="D438" s="759"/>
      <c r="E438" s="759"/>
      <c r="F438" s="759"/>
      <c r="G438" s="759"/>
      <c r="H438" s="759"/>
    </row>
    <row r="439" spans="2:8">
      <c r="B439" s="759"/>
      <c r="C439" s="759"/>
      <c r="D439" s="759"/>
      <c r="E439" s="759"/>
      <c r="F439" s="759"/>
      <c r="G439" s="759"/>
      <c r="H439" s="759"/>
    </row>
    <row r="440" spans="2:8">
      <c r="B440" s="759"/>
      <c r="C440" s="759"/>
      <c r="D440" s="759"/>
      <c r="E440" s="759"/>
      <c r="F440" s="759"/>
      <c r="G440" s="759"/>
      <c r="H440" s="759"/>
    </row>
    <row r="441" spans="2:8">
      <c r="B441" s="759"/>
      <c r="C441" s="759"/>
      <c r="D441" s="759"/>
      <c r="E441" s="759"/>
      <c r="F441" s="759"/>
      <c r="G441" s="759"/>
      <c r="H441" s="759"/>
    </row>
    <row r="442" spans="2:8">
      <c r="B442" s="759"/>
      <c r="C442" s="759"/>
      <c r="D442" s="759"/>
      <c r="E442" s="759"/>
      <c r="F442" s="759"/>
      <c r="G442" s="759"/>
      <c r="H442" s="759"/>
    </row>
    <row r="443" spans="2:8">
      <c r="B443" s="759"/>
      <c r="C443" s="759"/>
      <c r="D443" s="759"/>
      <c r="E443" s="759"/>
      <c r="F443" s="759"/>
      <c r="G443" s="759"/>
      <c r="H443" s="759"/>
    </row>
    <row r="444" spans="2:8">
      <c r="B444" s="759"/>
      <c r="C444" s="759"/>
      <c r="D444" s="759"/>
      <c r="E444" s="759"/>
      <c r="F444" s="759"/>
      <c r="G444" s="759"/>
      <c r="H444" s="759"/>
    </row>
    <row r="445" spans="2:8">
      <c r="B445" s="759"/>
      <c r="C445" s="759"/>
      <c r="D445" s="759"/>
      <c r="E445" s="759"/>
      <c r="F445" s="759"/>
      <c r="G445" s="759"/>
      <c r="H445" s="759"/>
    </row>
    <row r="446" spans="2:8">
      <c r="B446" s="759"/>
      <c r="C446" s="759"/>
      <c r="D446" s="759"/>
      <c r="E446" s="759"/>
      <c r="F446" s="759"/>
      <c r="G446" s="759"/>
      <c r="H446" s="759"/>
    </row>
    <row r="447" spans="2:8">
      <c r="B447" s="759"/>
      <c r="C447" s="759"/>
      <c r="D447" s="759"/>
      <c r="E447" s="759"/>
      <c r="F447" s="759"/>
      <c r="G447" s="759"/>
      <c r="H447" s="759"/>
    </row>
    <row r="448" spans="2:8">
      <c r="B448" s="759"/>
      <c r="C448" s="759"/>
      <c r="D448" s="759"/>
      <c r="E448" s="759"/>
      <c r="F448" s="759"/>
      <c r="G448" s="759"/>
      <c r="H448" s="759"/>
    </row>
    <row r="449" spans="2:8">
      <c r="B449" s="759"/>
      <c r="C449" s="759"/>
      <c r="D449" s="759"/>
      <c r="E449" s="759"/>
      <c r="F449" s="759"/>
      <c r="G449" s="759"/>
      <c r="H449" s="759"/>
    </row>
    <row r="450" spans="2:8">
      <c r="B450" s="759"/>
      <c r="C450" s="759"/>
      <c r="D450" s="759"/>
      <c r="E450" s="759"/>
      <c r="F450" s="759"/>
      <c r="G450" s="759"/>
      <c r="H450" s="759"/>
    </row>
    <row r="451" spans="2:8">
      <c r="B451" s="759"/>
      <c r="C451" s="759"/>
      <c r="D451" s="759"/>
      <c r="E451" s="759"/>
      <c r="F451" s="759"/>
      <c r="G451" s="759"/>
      <c r="H451" s="759"/>
    </row>
    <row r="452" spans="2:8">
      <c r="B452" s="759"/>
      <c r="C452" s="759"/>
      <c r="D452" s="759"/>
      <c r="E452" s="759"/>
      <c r="F452" s="759"/>
      <c r="G452" s="759"/>
      <c r="H452" s="759"/>
    </row>
    <row r="453" spans="2:8">
      <c r="B453" s="759"/>
      <c r="C453" s="759"/>
      <c r="D453" s="759"/>
      <c r="E453" s="759"/>
      <c r="F453" s="759"/>
      <c r="G453" s="759"/>
      <c r="H453" s="759"/>
    </row>
    <row r="454" spans="2:8">
      <c r="B454" s="759"/>
      <c r="C454" s="759"/>
      <c r="D454" s="759"/>
      <c r="E454" s="759"/>
      <c r="F454" s="759"/>
      <c r="G454" s="759"/>
      <c r="H454" s="759"/>
    </row>
    <row r="455" spans="2:8">
      <c r="B455" s="759"/>
      <c r="C455" s="759"/>
      <c r="D455" s="759"/>
      <c r="E455" s="759"/>
      <c r="F455" s="759"/>
      <c r="G455" s="759"/>
      <c r="H455" s="759"/>
    </row>
    <row r="456" spans="2:8">
      <c r="B456" s="759"/>
      <c r="C456" s="759"/>
      <c r="D456" s="759"/>
      <c r="E456" s="759"/>
      <c r="F456" s="759"/>
      <c r="G456" s="759"/>
      <c r="H456" s="759"/>
    </row>
    <row r="457" spans="2:8">
      <c r="B457" s="759"/>
      <c r="C457" s="759"/>
      <c r="D457" s="759"/>
      <c r="E457" s="759"/>
      <c r="F457" s="759"/>
      <c r="G457" s="759"/>
      <c r="H457" s="759"/>
    </row>
    <row r="458" spans="2:8">
      <c r="B458" s="759"/>
      <c r="C458" s="759"/>
      <c r="D458" s="759"/>
      <c r="E458" s="759"/>
      <c r="F458" s="759"/>
      <c r="G458" s="759"/>
      <c r="H458" s="759"/>
    </row>
    <row r="459" spans="2:8">
      <c r="B459" s="759"/>
      <c r="C459" s="759"/>
      <c r="D459" s="759"/>
      <c r="E459" s="759"/>
      <c r="F459" s="759"/>
      <c r="G459" s="759"/>
      <c r="H459" s="759"/>
    </row>
    <row r="460" spans="2:8">
      <c r="B460" s="759"/>
      <c r="C460" s="759"/>
      <c r="D460" s="759"/>
      <c r="E460" s="759"/>
      <c r="F460" s="759"/>
      <c r="G460" s="759"/>
      <c r="H460" s="759"/>
    </row>
    <row r="461" spans="2:8">
      <c r="B461" s="759"/>
      <c r="C461" s="759"/>
      <c r="D461" s="759"/>
      <c r="E461" s="759"/>
      <c r="F461" s="759"/>
      <c r="G461" s="759"/>
      <c r="H461" s="759"/>
    </row>
    <row r="462" spans="2:8">
      <c r="B462" s="759"/>
      <c r="C462" s="759"/>
      <c r="D462" s="759"/>
      <c r="E462" s="759"/>
      <c r="F462" s="759"/>
      <c r="G462" s="759"/>
      <c r="H462" s="759"/>
    </row>
    <row r="463" spans="2:8">
      <c r="B463" s="759"/>
      <c r="C463" s="759"/>
      <c r="D463" s="759"/>
      <c r="E463" s="759"/>
      <c r="F463" s="759"/>
      <c r="G463" s="759"/>
      <c r="H463" s="759"/>
    </row>
    <row r="464" spans="2:8">
      <c r="B464" s="759"/>
      <c r="C464" s="759"/>
      <c r="D464" s="759"/>
      <c r="E464" s="759"/>
      <c r="F464" s="759"/>
      <c r="G464" s="759"/>
      <c r="H464" s="759"/>
    </row>
    <row r="465" spans="2:8">
      <c r="B465" s="759"/>
      <c r="C465" s="759"/>
      <c r="D465" s="759"/>
      <c r="E465" s="759"/>
      <c r="F465" s="759"/>
      <c r="G465" s="759"/>
      <c r="H465" s="759"/>
    </row>
    <row r="466" spans="2:8">
      <c r="B466" s="759"/>
      <c r="C466" s="759"/>
      <c r="D466" s="759"/>
      <c r="E466" s="759"/>
      <c r="F466" s="759"/>
      <c r="G466" s="759"/>
      <c r="H466" s="759"/>
    </row>
    <row r="467" spans="2:8">
      <c r="B467" s="759"/>
      <c r="C467" s="759"/>
      <c r="D467" s="759"/>
      <c r="E467" s="759"/>
      <c r="F467" s="759"/>
      <c r="G467" s="759"/>
      <c r="H467" s="759"/>
    </row>
    <row r="468" spans="2:8">
      <c r="B468" s="759"/>
      <c r="C468" s="759"/>
      <c r="D468" s="759"/>
      <c r="E468" s="759"/>
      <c r="F468" s="759"/>
      <c r="G468" s="759"/>
      <c r="H468" s="759"/>
    </row>
    <row r="469" spans="2:8">
      <c r="B469" s="759"/>
      <c r="C469" s="759"/>
      <c r="D469" s="759"/>
      <c r="E469" s="759"/>
      <c r="F469" s="759"/>
      <c r="G469" s="759"/>
      <c r="H469" s="759"/>
    </row>
    <row r="470" spans="2:8">
      <c r="B470" s="759"/>
      <c r="C470" s="759"/>
      <c r="D470" s="759"/>
      <c r="E470" s="759"/>
      <c r="F470" s="759"/>
      <c r="G470" s="759"/>
      <c r="H470" s="759"/>
    </row>
    <row r="471" spans="2:8">
      <c r="B471" s="759"/>
      <c r="C471" s="759"/>
      <c r="D471" s="759"/>
      <c r="E471" s="759"/>
      <c r="F471" s="759"/>
      <c r="G471" s="759"/>
      <c r="H471" s="759"/>
    </row>
    <row r="472" spans="2:8">
      <c r="B472" s="759"/>
      <c r="C472" s="759"/>
      <c r="D472" s="759"/>
      <c r="E472" s="759"/>
      <c r="F472" s="759"/>
      <c r="G472" s="759"/>
      <c r="H472" s="759"/>
    </row>
    <row r="473" spans="2:8">
      <c r="B473" s="759"/>
      <c r="C473" s="759"/>
      <c r="D473" s="759"/>
      <c r="E473" s="759"/>
      <c r="F473" s="759"/>
      <c r="G473" s="759"/>
      <c r="H473" s="759"/>
    </row>
    <row r="474" spans="2:8">
      <c r="B474" s="759"/>
      <c r="C474" s="759"/>
      <c r="D474" s="759"/>
      <c r="E474" s="759"/>
      <c r="F474" s="759"/>
      <c r="G474" s="759"/>
      <c r="H474" s="759"/>
    </row>
    <row r="475" spans="2:8">
      <c r="B475" s="759"/>
      <c r="C475" s="759"/>
      <c r="D475" s="759"/>
      <c r="E475" s="759"/>
      <c r="F475" s="759"/>
      <c r="G475" s="759"/>
      <c r="H475" s="759"/>
    </row>
    <row r="476" spans="2:8">
      <c r="B476" s="759"/>
      <c r="C476" s="759"/>
      <c r="D476" s="759"/>
      <c r="E476" s="759"/>
      <c r="F476" s="759"/>
      <c r="G476" s="759"/>
      <c r="H476" s="759"/>
    </row>
    <row r="477" spans="2:8">
      <c r="B477" s="759"/>
      <c r="C477" s="759"/>
      <c r="D477" s="759"/>
      <c r="E477" s="759"/>
      <c r="F477" s="759"/>
      <c r="G477" s="759"/>
      <c r="H477" s="759"/>
    </row>
    <row r="478" spans="2:8">
      <c r="B478" s="759"/>
      <c r="C478" s="759"/>
      <c r="D478" s="759"/>
      <c r="E478" s="759"/>
      <c r="F478" s="759"/>
      <c r="G478" s="759"/>
      <c r="H478" s="759"/>
    </row>
    <row r="479" spans="2:8">
      <c r="B479" s="759"/>
      <c r="C479" s="759"/>
      <c r="D479" s="759"/>
      <c r="E479" s="759"/>
      <c r="F479" s="759"/>
      <c r="G479" s="759"/>
      <c r="H479" s="759"/>
    </row>
    <row r="480" spans="2:8">
      <c r="B480" s="759"/>
      <c r="C480" s="759"/>
      <c r="D480" s="759"/>
      <c r="E480" s="759"/>
      <c r="F480" s="759"/>
      <c r="G480" s="759"/>
      <c r="H480" s="759"/>
    </row>
    <row r="481" spans="2:8">
      <c r="B481" s="759"/>
      <c r="C481" s="759"/>
      <c r="D481" s="759"/>
      <c r="E481" s="759"/>
      <c r="F481" s="759"/>
      <c r="G481" s="759"/>
      <c r="H481" s="759"/>
    </row>
    <row r="482" spans="2:8">
      <c r="B482" s="759"/>
      <c r="C482" s="759"/>
      <c r="D482" s="759"/>
      <c r="E482" s="759"/>
      <c r="F482" s="759"/>
      <c r="G482" s="759"/>
      <c r="H482" s="759"/>
    </row>
    <row r="483" spans="2:8">
      <c r="B483" s="759"/>
      <c r="C483" s="759"/>
      <c r="D483" s="759"/>
      <c r="E483" s="759"/>
      <c r="F483" s="759"/>
      <c r="G483" s="759"/>
      <c r="H483" s="759"/>
    </row>
    <row r="484" spans="2:8">
      <c r="B484" s="759"/>
      <c r="C484" s="759"/>
      <c r="D484" s="759"/>
      <c r="E484" s="759"/>
      <c r="F484" s="759"/>
      <c r="G484" s="759"/>
      <c r="H484" s="759"/>
    </row>
    <row r="485" spans="2:8">
      <c r="B485" s="759"/>
      <c r="C485" s="759"/>
      <c r="D485" s="759"/>
      <c r="E485" s="759"/>
      <c r="F485" s="759"/>
      <c r="G485" s="759"/>
      <c r="H485" s="759"/>
    </row>
    <row r="486" spans="2:8">
      <c r="B486" s="759"/>
      <c r="C486" s="759"/>
      <c r="D486" s="759"/>
      <c r="E486" s="759"/>
      <c r="F486" s="759"/>
      <c r="G486" s="759"/>
      <c r="H486" s="759"/>
    </row>
    <row r="487" spans="2:8">
      <c r="B487" s="759"/>
      <c r="C487" s="759"/>
      <c r="D487" s="759"/>
      <c r="E487" s="759"/>
      <c r="F487" s="759"/>
      <c r="G487" s="759"/>
      <c r="H487" s="759"/>
    </row>
    <row r="488" spans="2:8">
      <c r="B488" s="759"/>
      <c r="C488" s="759"/>
      <c r="D488" s="759"/>
      <c r="E488" s="759"/>
      <c r="F488" s="759"/>
      <c r="G488" s="759"/>
      <c r="H488" s="759"/>
    </row>
    <row r="489" spans="2:8">
      <c r="B489" s="759"/>
      <c r="C489" s="759"/>
      <c r="D489" s="759"/>
      <c r="E489" s="759"/>
      <c r="F489" s="759"/>
      <c r="G489" s="759"/>
      <c r="H489" s="759"/>
    </row>
    <row r="490" spans="2:8">
      <c r="B490" s="759"/>
      <c r="C490" s="759"/>
      <c r="D490" s="759"/>
      <c r="E490" s="759"/>
      <c r="F490" s="759"/>
      <c r="G490" s="759"/>
      <c r="H490" s="759"/>
    </row>
    <row r="491" spans="2:8">
      <c r="B491" s="759"/>
      <c r="C491" s="759"/>
      <c r="D491" s="759"/>
      <c r="E491" s="759"/>
      <c r="F491" s="759"/>
      <c r="G491" s="759"/>
      <c r="H491" s="759"/>
    </row>
    <row r="492" spans="2:8">
      <c r="B492" s="759"/>
      <c r="C492" s="759"/>
      <c r="D492" s="759"/>
      <c r="E492" s="759"/>
      <c r="F492" s="759"/>
      <c r="G492" s="759"/>
      <c r="H492" s="759"/>
    </row>
    <row r="493" spans="2:8">
      <c r="B493" s="759"/>
      <c r="C493" s="759"/>
      <c r="D493" s="759"/>
      <c r="E493" s="759"/>
      <c r="F493" s="759"/>
      <c r="G493" s="759"/>
      <c r="H493" s="759"/>
    </row>
    <row r="494" spans="2:8">
      <c r="B494" s="759"/>
      <c r="C494" s="759"/>
      <c r="D494" s="759"/>
      <c r="E494" s="759"/>
      <c r="F494" s="759"/>
      <c r="G494" s="759"/>
      <c r="H494" s="759"/>
    </row>
    <row r="495" spans="2:8">
      <c r="B495" s="759"/>
      <c r="C495" s="759"/>
      <c r="D495" s="759"/>
      <c r="E495" s="759"/>
      <c r="F495" s="759"/>
      <c r="G495" s="759"/>
      <c r="H495" s="759"/>
    </row>
    <row r="496" spans="2:8">
      <c r="B496" s="759"/>
      <c r="C496" s="759"/>
      <c r="D496" s="759"/>
      <c r="E496" s="759"/>
      <c r="F496" s="759"/>
      <c r="G496" s="759"/>
      <c r="H496" s="759"/>
    </row>
    <row r="497" spans="2:8">
      <c r="B497" s="759"/>
      <c r="C497" s="759"/>
      <c r="D497" s="759"/>
      <c r="E497" s="759"/>
      <c r="F497" s="759"/>
      <c r="G497" s="759"/>
      <c r="H497" s="759"/>
    </row>
    <row r="498" spans="2:8">
      <c r="B498" s="759"/>
      <c r="C498" s="759"/>
      <c r="D498" s="759"/>
      <c r="E498" s="759"/>
      <c r="F498" s="759"/>
      <c r="G498" s="759"/>
      <c r="H498" s="759"/>
    </row>
    <row r="499" spans="2:8">
      <c r="B499" s="759"/>
      <c r="C499" s="759"/>
      <c r="D499" s="759"/>
      <c r="E499" s="759"/>
      <c r="F499" s="759"/>
      <c r="G499" s="759"/>
      <c r="H499" s="759"/>
    </row>
    <row r="500" spans="2:8">
      <c r="B500" s="759"/>
      <c r="C500" s="759"/>
      <c r="D500" s="759"/>
      <c r="E500" s="759"/>
      <c r="F500" s="759"/>
      <c r="G500" s="759"/>
      <c r="H500" s="759"/>
    </row>
    <row r="501" spans="2:8">
      <c r="B501" s="759"/>
      <c r="C501" s="759"/>
      <c r="D501" s="759"/>
      <c r="E501" s="759"/>
      <c r="F501" s="759"/>
      <c r="G501" s="759"/>
      <c r="H501" s="759"/>
    </row>
    <row r="502" spans="2:8">
      <c r="B502" s="759"/>
      <c r="C502" s="759"/>
      <c r="D502" s="759"/>
      <c r="E502" s="759"/>
      <c r="F502" s="759"/>
      <c r="G502" s="759"/>
      <c r="H502" s="759"/>
    </row>
    <row r="503" spans="2:8">
      <c r="B503" s="759"/>
      <c r="C503" s="759"/>
      <c r="D503" s="759"/>
      <c r="E503" s="759"/>
      <c r="F503" s="759"/>
      <c r="G503" s="759"/>
      <c r="H503" s="759"/>
    </row>
    <row r="504" spans="2:8">
      <c r="B504" s="759"/>
      <c r="C504" s="759"/>
      <c r="D504" s="759"/>
      <c r="E504" s="759"/>
      <c r="F504" s="759"/>
      <c r="G504" s="759"/>
      <c r="H504" s="759"/>
    </row>
    <row r="505" spans="2:8">
      <c r="B505" s="759"/>
      <c r="C505" s="759"/>
      <c r="D505" s="759"/>
      <c r="E505" s="759"/>
      <c r="F505" s="759"/>
      <c r="G505" s="759"/>
      <c r="H505" s="759"/>
    </row>
    <row r="506" spans="2:8">
      <c r="B506" s="759"/>
      <c r="C506" s="759"/>
      <c r="D506" s="759"/>
      <c r="E506" s="759"/>
      <c r="F506" s="759"/>
      <c r="G506" s="759"/>
      <c r="H506" s="759"/>
    </row>
    <row r="507" spans="2:8">
      <c r="B507" s="759"/>
      <c r="C507" s="759"/>
      <c r="D507" s="759"/>
      <c r="E507" s="759"/>
      <c r="F507" s="759"/>
      <c r="G507" s="759"/>
      <c r="H507" s="759"/>
    </row>
    <row r="508" spans="2:8">
      <c r="B508" s="759"/>
      <c r="C508" s="759"/>
      <c r="D508" s="759"/>
      <c r="E508" s="759"/>
      <c r="F508" s="759"/>
      <c r="G508" s="759"/>
      <c r="H508" s="759"/>
    </row>
    <row r="509" spans="2:8">
      <c r="B509" s="759"/>
      <c r="C509" s="759"/>
      <c r="D509" s="759"/>
      <c r="E509" s="759"/>
      <c r="F509" s="759"/>
      <c r="G509" s="759"/>
      <c r="H509" s="759"/>
    </row>
    <row r="510" spans="2:8">
      <c r="B510" s="759"/>
      <c r="C510" s="759"/>
      <c r="D510" s="759"/>
      <c r="E510" s="759"/>
      <c r="F510" s="759"/>
      <c r="G510" s="759"/>
      <c r="H510" s="759"/>
    </row>
    <row r="511" spans="2:8">
      <c r="B511" s="759"/>
      <c r="C511" s="759"/>
      <c r="D511" s="759"/>
      <c r="E511" s="759"/>
      <c r="F511" s="759"/>
      <c r="G511" s="759"/>
      <c r="H511" s="759"/>
    </row>
    <row r="512" spans="2:8">
      <c r="B512" s="759"/>
      <c r="C512" s="759"/>
      <c r="D512" s="759"/>
      <c r="E512" s="759"/>
      <c r="F512" s="759"/>
      <c r="G512" s="759"/>
      <c r="H512" s="759"/>
    </row>
    <row r="513" spans="2:8">
      <c r="B513" s="759"/>
      <c r="C513" s="759"/>
      <c r="D513" s="759"/>
      <c r="E513" s="759"/>
      <c r="F513" s="759"/>
      <c r="G513" s="759"/>
      <c r="H513" s="759"/>
    </row>
  </sheetData>
  <mergeCells count="7">
    <mergeCell ref="H5:H6"/>
    <mergeCell ref="D4:H4"/>
    <mergeCell ref="C1:H3"/>
    <mergeCell ref="A7:B7"/>
    <mergeCell ref="A4:C4"/>
    <mergeCell ref="A5:C5"/>
    <mergeCell ref="D5:G5"/>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2">
    <pageSetUpPr fitToPage="1"/>
  </sheetPr>
  <dimension ref="A1:J514"/>
  <sheetViews>
    <sheetView showGridLines="0" topLeftCell="A183" zoomScaleNormal="100" workbookViewId="0">
      <selection activeCell="H203" sqref="H203"/>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29" t="s">
        <v>383</v>
      </c>
      <c r="B4" s="1430"/>
      <c r="C4" s="1431"/>
      <c r="D4" s="1432" t="s">
        <v>384</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831" t="s">
        <v>341</v>
      </c>
      <c r="B6" s="781" t="s">
        <v>76</v>
      </c>
      <c r="C6" s="781" t="s">
        <v>68</v>
      </c>
      <c r="D6" s="781" t="s">
        <v>342</v>
      </c>
      <c r="E6" s="781" t="s">
        <v>343</v>
      </c>
      <c r="F6" s="781" t="s">
        <v>344</v>
      </c>
      <c r="G6" s="781" t="s">
        <v>345</v>
      </c>
      <c r="H6" s="1428"/>
    </row>
    <row r="7" spans="1:8" ht="15.75" customHeight="1" thickBot="1">
      <c r="A7" s="1419" t="s">
        <v>347</v>
      </c>
      <c r="B7" s="1420"/>
      <c r="C7" s="1464" t="str">
        <f>A4</f>
        <v>Manutenção Tercerizada(R$/km)</v>
      </c>
      <c r="D7" s="1464"/>
      <c r="E7" s="1464"/>
      <c r="F7" s="1464"/>
      <c r="G7" s="1464"/>
      <c r="H7" s="1007"/>
    </row>
    <row r="8" spans="1:8" ht="16.5" hidden="1" customHeight="1" thickBot="1">
      <c r="A8" s="972" t="s">
        <v>405</v>
      </c>
      <c r="B8" s="1006">
        <f>geral!C1411</f>
        <v>0.12</v>
      </c>
      <c r="C8" s="997">
        <v>100</v>
      </c>
      <c r="D8" s="997"/>
      <c r="E8" s="997"/>
      <c r="F8" s="997"/>
      <c r="G8" s="1002"/>
      <c r="H8" s="1001">
        <f>(B$202/B8)</f>
        <v>2.1284935795780768</v>
      </c>
    </row>
    <row r="9" spans="1:8" ht="16.5" hidden="1" customHeight="1" thickBot="1">
      <c r="A9" s="973" t="s">
        <v>406</v>
      </c>
      <c r="B9" s="773">
        <f>geral!C1412</f>
        <v>0.12</v>
      </c>
      <c r="C9" s="748">
        <f t="shared" ref="C9:C37" si="0">100*B9/$B$8</f>
        <v>100</v>
      </c>
      <c r="D9" s="748">
        <f>100*(B9/B8-1)</f>
        <v>0</v>
      </c>
      <c r="E9" s="748"/>
      <c r="F9" s="748"/>
      <c r="G9" s="839"/>
      <c r="H9" s="842">
        <f>(B$202/B9)</f>
        <v>2.1284935795780768</v>
      </c>
    </row>
    <row r="10" spans="1:8" ht="16.5" hidden="1" customHeight="1" thickBot="1">
      <c r="A10" s="973" t="s">
        <v>407</v>
      </c>
      <c r="B10" s="773">
        <f>geral!C1413</f>
        <v>0.12</v>
      </c>
      <c r="C10" s="748">
        <f t="shared" si="0"/>
        <v>100</v>
      </c>
      <c r="D10" s="748">
        <f t="shared" ref="D10:D15" si="1">100*(B10/B9-1)</f>
        <v>0</v>
      </c>
      <c r="E10" s="748"/>
      <c r="F10" s="748"/>
      <c r="G10" s="839"/>
      <c r="H10" s="842">
        <f>(B$202/B10)</f>
        <v>2.1284935795780768</v>
      </c>
    </row>
    <row r="11" spans="1:8" ht="16.5" hidden="1" customHeight="1" thickBot="1">
      <c r="A11" s="973" t="s">
        <v>408</v>
      </c>
      <c r="B11" s="773">
        <f>geral!C1414</f>
        <v>0.12</v>
      </c>
      <c r="C11" s="748">
        <f t="shared" si="0"/>
        <v>100</v>
      </c>
      <c r="D11" s="748">
        <f t="shared" si="1"/>
        <v>0</v>
      </c>
      <c r="E11" s="748"/>
      <c r="F11" s="748"/>
      <c r="G11" s="839"/>
      <c r="H11" s="842">
        <f>(B$202/B11)</f>
        <v>2.1284935795780768</v>
      </c>
    </row>
    <row r="12" spans="1:8" ht="16.5" hidden="1" customHeight="1" thickBot="1">
      <c r="A12" s="973" t="s">
        <v>409</v>
      </c>
      <c r="B12" s="773">
        <f>geral!C1415</f>
        <v>0.12</v>
      </c>
      <c r="C12" s="748">
        <f t="shared" si="0"/>
        <v>100</v>
      </c>
      <c r="D12" s="748">
        <f t="shared" si="1"/>
        <v>0</v>
      </c>
      <c r="E12" s="748"/>
      <c r="F12" s="748"/>
      <c r="G12" s="839"/>
      <c r="H12" s="842">
        <f>(B$202/B12)</f>
        <v>2.1284935795780768</v>
      </c>
    </row>
    <row r="13" spans="1:8" ht="16.5" hidden="1" customHeight="1" thickBot="1">
      <c r="A13" s="973" t="s">
        <v>410</v>
      </c>
      <c r="B13" s="773">
        <f>geral!C1416</f>
        <v>0.12</v>
      </c>
      <c r="C13" s="748">
        <f t="shared" si="0"/>
        <v>100</v>
      </c>
      <c r="D13" s="748">
        <f t="shared" si="1"/>
        <v>0</v>
      </c>
      <c r="E13" s="748"/>
      <c r="F13" s="748"/>
      <c r="G13" s="839"/>
      <c r="H13" s="842">
        <f>(B$202/B13)</f>
        <v>2.1284935795780768</v>
      </c>
    </row>
    <row r="14" spans="1:8" ht="16.5" hidden="1" customHeight="1" thickBot="1">
      <c r="A14" s="973" t="s">
        <v>411</v>
      </c>
      <c r="B14" s="773">
        <f>geral!E1405</f>
        <v>0.1206</v>
      </c>
      <c r="C14" s="748">
        <f t="shared" si="0"/>
        <v>100.50000000000001</v>
      </c>
      <c r="D14" s="748">
        <f t="shared" si="1"/>
        <v>0.50000000000001155</v>
      </c>
      <c r="E14" s="748">
        <f t="shared" ref="E14:E19" si="2">100*(B14/B$13-1)</f>
        <v>0.50000000000001155</v>
      </c>
      <c r="F14" s="748"/>
      <c r="G14" s="839"/>
      <c r="H14" s="842">
        <f>(B$202/B14)</f>
        <v>2.1179040592816682</v>
      </c>
    </row>
    <row r="15" spans="1:8" ht="16.5" hidden="1" customHeight="1" thickBot="1">
      <c r="A15" s="973" t="s">
        <v>412</v>
      </c>
      <c r="B15" s="773">
        <f>geral!E1406</f>
        <v>0.1211</v>
      </c>
      <c r="C15" s="748">
        <f t="shared" si="0"/>
        <v>100.91666666666667</v>
      </c>
      <c r="D15" s="748">
        <f t="shared" si="1"/>
        <v>0.41459369817578029</v>
      </c>
      <c r="E15" s="748">
        <f t="shared" si="2"/>
        <v>0.91666666666667673</v>
      </c>
      <c r="F15" s="748"/>
      <c r="G15" s="839"/>
      <c r="H15" s="842">
        <f>(B$202/B15)</f>
        <v>2.1091596164274913</v>
      </c>
    </row>
    <row r="16" spans="1:8" ht="16.5" hidden="1" customHeight="1" thickBot="1">
      <c r="A16" s="973" t="s">
        <v>413</v>
      </c>
      <c r="B16" s="773">
        <f>geral!E1407</f>
        <v>0.1215</v>
      </c>
      <c r="C16" s="748">
        <f t="shared" si="0"/>
        <v>101.25</v>
      </c>
      <c r="D16" s="748">
        <f t="shared" ref="D16:D21" si="3">100*(B16/B15-1)</f>
        <v>0.33030553261765849</v>
      </c>
      <c r="E16" s="748">
        <f t="shared" si="2"/>
        <v>1.2499999999999956</v>
      </c>
      <c r="F16" s="748"/>
      <c r="G16" s="839"/>
      <c r="H16" s="842">
        <f>(B$202/B16)</f>
        <v>2.1022158810647671</v>
      </c>
    </row>
    <row r="17" spans="1:8" ht="16.5" hidden="1" customHeight="1" thickBot="1">
      <c r="A17" s="973" t="s">
        <v>414</v>
      </c>
      <c r="B17" s="773">
        <f>geral!E1408</f>
        <v>0.1225</v>
      </c>
      <c r="C17" s="748">
        <f t="shared" si="0"/>
        <v>102.08333333333334</v>
      </c>
      <c r="D17" s="748">
        <f t="shared" si="3"/>
        <v>0.82304526748970819</v>
      </c>
      <c r="E17" s="748">
        <f t="shared" si="2"/>
        <v>2.0833333333333259</v>
      </c>
      <c r="F17" s="748"/>
      <c r="G17" s="839"/>
      <c r="H17" s="842">
        <f>(B$202/B17)</f>
        <v>2.0850549350968914</v>
      </c>
    </row>
    <row r="18" spans="1:8" ht="16.5" hidden="1" customHeight="1" thickBot="1">
      <c r="A18" s="973" t="s">
        <v>415</v>
      </c>
      <c r="B18" s="773">
        <f>geral!E1409</f>
        <v>0.1236</v>
      </c>
      <c r="C18" s="748">
        <f t="shared" si="0"/>
        <v>103</v>
      </c>
      <c r="D18" s="748">
        <f t="shared" si="3"/>
        <v>0.89795918367348015</v>
      </c>
      <c r="E18" s="748">
        <f t="shared" si="2"/>
        <v>3.0000000000000027</v>
      </c>
      <c r="F18" s="748"/>
      <c r="G18" s="839"/>
      <c r="H18" s="842">
        <f>(B$202/B18)</f>
        <v>2.0664986209495888</v>
      </c>
    </row>
    <row r="19" spans="1:8" ht="16.5" hidden="1" customHeight="1" thickBot="1">
      <c r="A19" s="973" t="s">
        <v>416</v>
      </c>
      <c r="B19" s="773">
        <f>geral!E1410</f>
        <v>0.12330000000000001</v>
      </c>
      <c r="C19" s="748">
        <f t="shared" si="0"/>
        <v>102.75</v>
      </c>
      <c r="D19" s="748">
        <f t="shared" si="3"/>
        <v>-0.24271844660194164</v>
      </c>
      <c r="E19" s="748">
        <f t="shared" si="2"/>
        <v>2.750000000000008</v>
      </c>
      <c r="F19" s="748"/>
      <c r="G19" s="839"/>
      <c r="H19" s="842">
        <f>(B$202/B19)</f>
        <v>2.0715265981295148</v>
      </c>
    </row>
    <row r="20" spans="1:8" ht="16.5" hidden="1" customHeight="1" thickBot="1">
      <c r="A20" s="973" t="s">
        <v>417</v>
      </c>
      <c r="B20" s="773">
        <f>geral!E1411</f>
        <v>0.12280000000000001</v>
      </c>
      <c r="C20" s="748">
        <f t="shared" si="0"/>
        <v>102.33333333333334</v>
      </c>
      <c r="D20" s="748">
        <f t="shared" si="3"/>
        <v>-0.40551500405514584</v>
      </c>
      <c r="E20" s="748">
        <f t="shared" ref="E20:E25" si="4">100*(B20/B$13-1)</f>
        <v>2.3333333333333428</v>
      </c>
      <c r="F20" s="749">
        <f t="shared" ref="F20:F25" si="5">100*(B20/B8-1)</f>
        <v>2.3333333333333428</v>
      </c>
      <c r="G20" s="840"/>
      <c r="H20" s="842">
        <f>(B$202/B20)</f>
        <v>2.0799611526821593</v>
      </c>
    </row>
    <row r="21" spans="1:8" ht="16.5" hidden="1" customHeight="1" thickBot="1">
      <c r="A21" s="973" t="s">
        <v>418</v>
      </c>
      <c r="B21" s="773">
        <f>geral!E1412</f>
        <v>0.12239999999999999</v>
      </c>
      <c r="C21" s="748">
        <f t="shared" si="0"/>
        <v>102</v>
      </c>
      <c r="D21" s="748">
        <f t="shared" si="3"/>
        <v>-0.32573289902281255</v>
      </c>
      <c r="E21" s="748">
        <f t="shared" si="4"/>
        <v>2.0000000000000018</v>
      </c>
      <c r="F21" s="749">
        <f t="shared" si="5"/>
        <v>2.0000000000000018</v>
      </c>
      <c r="G21" s="840"/>
      <c r="H21" s="842">
        <f>(B$202/B21)</f>
        <v>2.0867584113510556</v>
      </c>
    </row>
    <row r="22" spans="1:8" ht="16.5" hidden="1" customHeight="1" thickBot="1">
      <c r="A22" s="973" t="s">
        <v>419</v>
      </c>
      <c r="B22" s="773">
        <f>geral!E1413</f>
        <v>0.1216</v>
      </c>
      <c r="C22" s="748">
        <f t="shared" si="0"/>
        <v>101.33333333333334</v>
      </c>
      <c r="D22" s="748">
        <f t="shared" ref="D22:D27" si="6">100*(B22/B21-1)</f>
        <v>-0.65359477124182774</v>
      </c>
      <c r="E22" s="748">
        <f t="shared" si="4"/>
        <v>1.3333333333333419</v>
      </c>
      <c r="F22" s="749">
        <f t="shared" si="5"/>
        <v>1.3333333333333419</v>
      </c>
      <c r="G22" s="840"/>
      <c r="H22" s="842">
        <f>(B$202/B22)</f>
        <v>2.1004870851099438</v>
      </c>
    </row>
    <row r="23" spans="1:8" ht="16.5" hidden="1" customHeight="1" thickBot="1">
      <c r="A23" s="973" t="s">
        <v>420</v>
      </c>
      <c r="B23" s="773">
        <f>geral!E1414</f>
        <v>0.121</v>
      </c>
      <c r="C23" s="748">
        <f t="shared" si="0"/>
        <v>100.83333333333333</v>
      </c>
      <c r="D23" s="748">
        <f t="shared" si="6"/>
        <v>-0.49342105263158187</v>
      </c>
      <c r="E23" s="748">
        <f t="shared" si="4"/>
        <v>0.83333333333333037</v>
      </c>
      <c r="F23" s="749">
        <f t="shared" si="5"/>
        <v>0.83333333333333037</v>
      </c>
      <c r="G23" s="840"/>
      <c r="H23" s="842">
        <f>(B$202/B23)</f>
        <v>2.1109027235485058</v>
      </c>
    </row>
    <row r="24" spans="1:8" ht="16.5" hidden="1" customHeight="1" thickBot="1">
      <c r="A24" s="973" t="s">
        <v>421</v>
      </c>
      <c r="B24" s="773">
        <f>geral!E1415</f>
        <v>0.1217</v>
      </c>
      <c r="C24" s="748">
        <f t="shared" si="0"/>
        <v>101.41666666666667</v>
      </c>
      <c r="D24" s="748">
        <f t="shared" si="6"/>
        <v>0.57851239669421961</v>
      </c>
      <c r="E24" s="748">
        <f t="shared" si="4"/>
        <v>1.4166666666666661</v>
      </c>
      <c r="F24" s="749">
        <f t="shared" si="5"/>
        <v>1.4166666666666661</v>
      </c>
      <c r="G24" s="840"/>
      <c r="H24" s="842">
        <f>(B$202/B24)</f>
        <v>2.0987611302331075</v>
      </c>
    </row>
    <row r="25" spans="1:8" ht="16.5" hidden="1" customHeight="1" thickBot="1">
      <c r="A25" s="973" t="s">
        <v>422</v>
      </c>
      <c r="B25" s="773">
        <f>geral!E1416</f>
        <v>0.1222</v>
      </c>
      <c r="C25" s="748">
        <f t="shared" si="0"/>
        <v>101.83333333333334</v>
      </c>
      <c r="D25" s="748">
        <f t="shared" si="6"/>
        <v>0.41084634346755244</v>
      </c>
      <c r="E25" s="748">
        <f t="shared" si="4"/>
        <v>1.8333333333333313</v>
      </c>
      <c r="F25" s="749">
        <f t="shared" si="5"/>
        <v>1.8333333333333313</v>
      </c>
      <c r="G25" s="840"/>
      <c r="H25" s="842">
        <f>(B$202/B25)</f>
        <v>2.0901737278999115</v>
      </c>
    </row>
    <row r="26" spans="1:8" ht="16.5" hidden="1" customHeight="1" thickBot="1">
      <c r="A26" s="973" t="s">
        <v>423</v>
      </c>
      <c r="B26" s="773">
        <f>geral!G1405</f>
        <v>0.1222</v>
      </c>
      <c r="C26" s="748">
        <f t="shared" si="0"/>
        <v>101.83333333333334</v>
      </c>
      <c r="D26" s="748">
        <f t="shared" si="6"/>
        <v>0</v>
      </c>
      <c r="E26" s="748">
        <f t="shared" ref="E26:E31" si="7">100*(B26/B$25-1)</f>
        <v>0</v>
      </c>
      <c r="F26" s="749">
        <f t="shared" ref="F26:F31" si="8">100*(B26/B14-1)</f>
        <v>1.3266998341625147</v>
      </c>
      <c r="G26" s="840"/>
      <c r="H26" s="842">
        <f>(B$202/B26)</f>
        <v>2.0901737278999115</v>
      </c>
    </row>
    <row r="27" spans="1:8" ht="16.5" hidden="1" customHeight="1" thickBot="1">
      <c r="A27" s="973" t="s">
        <v>424</v>
      </c>
      <c r="B27" s="773">
        <f>geral!G1406</f>
        <v>0.12330000000000001</v>
      </c>
      <c r="C27" s="748">
        <f t="shared" si="0"/>
        <v>102.75</v>
      </c>
      <c r="D27" s="748">
        <f t="shared" si="6"/>
        <v>0.90016366612111209</v>
      </c>
      <c r="E27" s="748">
        <f t="shared" si="7"/>
        <v>0.90016366612111209</v>
      </c>
      <c r="F27" s="749">
        <f t="shared" si="8"/>
        <v>1.8166804293971994</v>
      </c>
      <c r="G27" s="840"/>
      <c r="H27" s="842">
        <f>(B$202/B27)</f>
        <v>2.0715265981295148</v>
      </c>
    </row>
    <row r="28" spans="1:8" ht="16.5" hidden="1" customHeight="1" thickBot="1">
      <c r="A28" s="973" t="s">
        <v>425</v>
      </c>
      <c r="B28" s="773">
        <f>geral!G1407</f>
        <v>0.12330000000000001</v>
      </c>
      <c r="C28" s="748">
        <f t="shared" si="0"/>
        <v>102.75</v>
      </c>
      <c r="D28" s="748">
        <f t="shared" ref="D28:D33" si="9">100*(B28/B27-1)</f>
        <v>0</v>
      </c>
      <c r="E28" s="748">
        <f t="shared" si="7"/>
        <v>0.90016366612111209</v>
      </c>
      <c r="F28" s="749">
        <f t="shared" si="8"/>
        <v>1.4814814814814836</v>
      </c>
      <c r="G28" s="840"/>
      <c r="H28" s="842">
        <f>(B$202/B28)</f>
        <v>2.0715265981295148</v>
      </c>
    </row>
    <row r="29" spans="1:8" ht="16.5" hidden="1" customHeight="1" thickBot="1">
      <c r="A29" s="973" t="s">
        <v>426</v>
      </c>
      <c r="B29" s="773">
        <f>geral!G1408</f>
        <v>0.1225</v>
      </c>
      <c r="C29" s="748">
        <f t="shared" si="0"/>
        <v>102.08333333333334</v>
      </c>
      <c r="D29" s="748">
        <f t="shared" si="9"/>
        <v>-0.64882400648824667</v>
      </c>
      <c r="E29" s="748">
        <f t="shared" si="7"/>
        <v>0.24549918166938411</v>
      </c>
      <c r="F29" s="749">
        <f t="shared" si="8"/>
        <v>0</v>
      </c>
      <c r="G29" s="840"/>
      <c r="H29" s="842">
        <f>(B$202/B29)</f>
        <v>2.0850549350968914</v>
      </c>
    </row>
    <row r="30" spans="1:8" ht="16.5" hidden="1" customHeight="1" thickBot="1">
      <c r="A30" s="973" t="s">
        <v>427</v>
      </c>
      <c r="B30" s="773">
        <f>geral!G1409</f>
        <v>0.1225</v>
      </c>
      <c r="C30" s="748">
        <f t="shared" si="0"/>
        <v>102.08333333333334</v>
      </c>
      <c r="D30" s="748">
        <f t="shared" si="9"/>
        <v>0</v>
      </c>
      <c r="E30" s="748">
        <f t="shared" si="7"/>
        <v>0.24549918166938411</v>
      </c>
      <c r="F30" s="749">
        <f t="shared" si="8"/>
        <v>-0.88996763754045638</v>
      </c>
      <c r="G30" s="840"/>
      <c r="H30" s="842">
        <f>(B$202/B30)</f>
        <v>2.0850549350968914</v>
      </c>
    </row>
    <row r="31" spans="1:8" ht="16.5" hidden="1" customHeight="1" thickBot="1">
      <c r="A31" s="973" t="s">
        <v>428</v>
      </c>
      <c r="B31" s="773">
        <f>geral!G1410</f>
        <v>0.123</v>
      </c>
      <c r="C31" s="748">
        <f t="shared" si="0"/>
        <v>102.50000000000001</v>
      </c>
      <c r="D31" s="748">
        <f t="shared" si="9"/>
        <v>0.40816326530612734</v>
      </c>
      <c r="E31" s="748">
        <f t="shared" si="7"/>
        <v>0.65466448445170577</v>
      </c>
      <c r="F31" s="749">
        <f t="shared" si="8"/>
        <v>-0.24330900243310083</v>
      </c>
      <c r="G31" s="840"/>
      <c r="H31" s="842">
        <f>(B$202/B31)</f>
        <v>2.0765791020273916</v>
      </c>
    </row>
    <row r="32" spans="1:8" ht="16.5" hidden="1" customHeight="1" thickBot="1">
      <c r="A32" s="973" t="s">
        <v>429</v>
      </c>
      <c r="B32" s="773">
        <f>geral!G1411</f>
        <v>0.1239</v>
      </c>
      <c r="C32" s="748">
        <f t="shared" si="0"/>
        <v>103.25</v>
      </c>
      <c r="D32" s="748">
        <f t="shared" si="9"/>
        <v>0.73170731707317138</v>
      </c>
      <c r="E32" s="748">
        <f t="shared" ref="E32:E37" si="10">100*(B32/B$25-1)</f>
        <v>1.3911620294599025</v>
      </c>
      <c r="F32" s="749">
        <f t="shared" ref="F32:F37" si="11">100*(B32/B20-1)</f>
        <v>0.89576547231269288</v>
      </c>
      <c r="G32" s="840">
        <f t="shared" ref="G32:G37" si="12">100*(B32/B8-1)</f>
        <v>3.2499999999999973</v>
      </c>
      <c r="H32" s="842">
        <f>(B$202/B32)</f>
        <v>2.061494992327435</v>
      </c>
    </row>
    <row r="33" spans="1:10" ht="16.5" hidden="1" customHeight="1" thickBot="1">
      <c r="A33" s="973" t="s">
        <v>430</v>
      </c>
      <c r="B33" s="773">
        <f>geral!G1412</f>
        <v>0.1241</v>
      </c>
      <c r="C33" s="748">
        <f t="shared" si="0"/>
        <v>103.41666666666667</v>
      </c>
      <c r="D33" s="748">
        <f t="shared" si="9"/>
        <v>0.16142050040355294</v>
      </c>
      <c r="E33" s="748">
        <f t="shared" si="10"/>
        <v>1.5548281505728401</v>
      </c>
      <c r="F33" s="749">
        <f t="shared" si="11"/>
        <v>1.388888888888884</v>
      </c>
      <c r="G33" s="840">
        <f t="shared" si="12"/>
        <v>3.4166666666666679</v>
      </c>
      <c r="H33" s="842">
        <f>(B$202/B33)</f>
        <v>2.0581726796887123</v>
      </c>
    </row>
    <row r="34" spans="1:10" ht="16.5" hidden="1" customHeight="1" thickBot="1">
      <c r="A34" s="973" t="s">
        <v>431</v>
      </c>
      <c r="B34" s="773">
        <f>geral!G1413</f>
        <v>0.1246</v>
      </c>
      <c r="C34" s="748">
        <f t="shared" si="0"/>
        <v>103.83333333333334</v>
      </c>
      <c r="D34" s="748">
        <f t="shared" ref="D34:D39" si="13">100*(B34/B33-1)</f>
        <v>0.40290088638195165</v>
      </c>
      <c r="E34" s="748">
        <f t="shared" si="10"/>
        <v>1.9639934533551617</v>
      </c>
      <c r="F34" s="749">
        <f t="shared" si="11"/>
        <v>2.4671052631578982</v>
      </c>
      <c r="G34" s="840">
        <f t="shared" si="12"/>
        <v>3.833333333333333</v>
      </c>
      <c r="H34" s="842">
        <f>(B$202/B34)</f>
        <v>2.0499135597862694</v>
      </c>
    </row>
    <row r="35" spans="1:10" ht="16.5" hidden="1" customHeight="1" thickBot="1">
      <c r="A35" s="973" t="s">
        <v>432</v>
      </c>
      <c r="B35" s="773">
        <f>geral!G1414</f>
        <v>0.1246</v>
      </c>
      <c r="C35" s="748">
        <f t="shared" si="0"/>
        <v>103.83333333333334</v>
      </c>
      <c r="D35" s="748">
        <f t="shared" si="13"/>
        <v>0</v>
      </c>
      <c r="E35" s="748">
        <f t="shared" si="10"/>
        <v>1.9639934533551617</v>
      </c>
      <c r="F35" s="749">
        <f t="shared" si="11"/>
        <v>2.9752066115702469</v>
      </c>
      <c r="G35" s="840">
        <f t="shared" si="12"/>
        <v>3.833333333333333</v>
      </c>
      <c r="H35" s="842">
        <f>(B$202/B35)</f>
        <v>2.0499135597862694</v>
      </c>
    </row>
    <row r="36" spans="1:10" ht="16.5" hidden="1" customHeight="1" thickBot="1">
      <c r="A36" s="973" t="s">
        <v>433</v>
      </c>
      <c r="B36" s="773">
        <f>geral!G1415</f>
        <v>0.12520000000000001</v>
      </c>
      <c r="C36" s="748">
        <f t="shared" si="0"/>
        <v>104.33333333333334</v>
      </c>
      <c r="D36" s="748">
        <f t="shared" si="13"/>
        <v>0.48154093097914075</v>
      </c>
      <c r="E36" s="748">
        <f t="shared" si="10"/>
        <v>2.4549918166939522</v>
      </c>
      <c r="F36" s="749">
        <f t="shared" si="11"/>
        <v>2.8759244042728005</v>
      </c>
      <c r="G36" s="840">
        <f t="shared" si="12"/>
        <v>4.3333333333333446</v>
      </c>
      <c r="H36" s="842">
        <f>(B$202/B36)</f>
        <v>2.0400896928863355</v>
      </c>
    </row>
    <row r="37" spans="1:10" ht="16.5" hidden="1" customHeight="1" thickBot="1">
      <c r="A37" s="973" t="s">
        <v>434</v>
      </c>
      <c r="B37" s="773">
        <f>geral!G1416</f>
        <v>0.12609999999999999</v>
      </c>
      <c r="C37" s="748">
        <f t="shared" si="0"/>
        <v>105.08333333333333</v>
      </c>
      <c r="D37" s="748">
        <f t="shared" si="13"/>
        <v>0.71884984025558651</v>
      </c>
      <c r="E37" s="748">
        <f t="shared" si="10"/>
        <v>3.1914893617021267</v>
      </c>
      <c r="F37" s="749">
        <f t="shared" si="11"/>
        <v>3.1914893617021267</v>
      </c>
      <c r="G37" s="840">
        <f t="shared" si="12"/>
        <v>5.0833333333333286</v>
      </c>
      <c r="H37" s="842">
        <f>(B$202/B37)</f>
        <v>2.0255291796143475</v>
      </c>
    </row>
    <row r="38" spans="1:10" ht="12.95" hidden="1" customHeight="1" thickBot="1">
      <c r="A38" s="973" t="s">
        <v>435</v>
      </c>
      <c r="B38" s="773">
        <f>geral!I1405</f>
        <v>0.1265</v>
      </c>
      <c r="C38" s="748">
        <f t="shared" ref="C38:C97" si="14">100*B38/$B$8</f>
        <v>105.41666666666667</v>
      </c>
      <c r="D38" s="748">
        <f t="shared" si="13"/>
        <v>0.31720856463124392</v>
      </c>
      <c r="E38" s="748">
        <f t="shared" ref="E38:E43" si="15">100*(B38/B$37-1)</f>
        <v>0.31720856463124392</v>
      </c>
      <c r="F38" s="749">
        <f t="shared" ref="F38:F43" si="16">100*(B38/B26-1)</f>
        <v>3.5188216039279796</v>
      </c>
      <c r="G38" s="840">
        <f t="shared" ref="G38:G43" si="17">100*(B38/B14-1)</f>
        <v>4.8922056384743007</v>
      </c>
      <c r="H38" s="842">
        <f>(B$202/B38)</f>
        <v>2.0191243442637878</v>
      </c>
    </row>
    <row r="39" spans="1:10" ht="16.5" hidden="1" customHeight="1" thickBot="1">
      <c r="A39" s="973" t="s">
        <v>436</v>
      </c>
      <c r="B39" s="773">
        <f>geral!I1406</f>
        <v>0.12720000000000001</v>
      </c>
      <c r="C39" s="748">
        <f t="shared" si="14"/>
        <v>106.00000000000001</v>
      </c>
      <c r="D39" s="748">
        <f t="shared" si="13"/>
        <v>0.55335968379446321</v>
      </c>
      <c r="E39" s="748">
        <f t="shared" si="15"/>
        <v>0.87232355273594298</v>
      </c>
      <c r="F39" s="749">
        <f t="shared" si="16"/>
        <v>3.1630170316301776</v>
      </c>
      <c r="G39" s="840">
        <f t="shared" si="17"/>
        <v>5.0371593724194863</v>
      </c>
      <c r="H39" s="842">
        <f>(B$202/B39)</f>
        <v>2.0080128109227138</v>
      </c>
    </row>
    <row r="40" spans="1:10" ht="16.5" hidden="1" customHeight="1" thickBot="1">
      <c r="A40" s="973" t="s">
        <v>437</v>
      </c>
      <c r="B40" s="773">
        <f>geral!I1407</f>
        <v>0.1275</v>
      </c>
      <c r="C40" s="748">
        <f t="shared" si="14"/>
        <v>106.25</v>
      </c>
      <c r="D40" s="748">
        <f t="shared" ref="D40:D49" si="18">100*(B40/B39-1)</f>
        <v>0.23584905660376521</v>
      </c>
      <c r="E40" s="748">
        <f t="shared" si="15"/>
        <v>1.1102299762093759</v>
      </c>
      <c r="F40" s="749">
        <f t="shared" si="16"/>
        <v>3.4063260340632562</v>
      </c>
      <c r="G40" s="840">
        <f t="shared" si="17"/>
        <v>4.9382716049382713</v>
      </c>
      <c r="H40" s="842">
        <f>(B$202/B40)</f>
        <v>2.003288074897013</v>
      </c>
    </row>
    <row r="41" spans="1:10" ht="16.5" hidden="1" customHeight="1" thickBot="1">
      <c r="A41" s="973" t="s">
        <v>438</v>
      </c>
      <c r="B41" s="773">
        <f>geral!I1408</f>
        <v>0.128</v>
      </c>
      <c r="C41" s="748">
        <f t="shared" si="14"/>
        <v>106.66666666666667</v>
      </c>
      <c r="D41" s="748">
        <f t="shared" si="18"/>
        <v>0.39215686274509665</v>
      </c>
      <c r="E41" s="748">
        <f t="shared" si="15"/>
        <v>1.5067406819984308</v>
      </c>
      <c r="F41" s="749">
        <f t="shared" si="16"/>
        <v>4.4897959183673564</v>
      </c>
      <c r="G41" s="840">
        <f t="shared" si="17"/>
        <v>4.4897959183673564</v>
      </c>
      <c r="H41" s="842">
        <f>(B$202/B41)</f>
        <v>1.9954627308544468</v>
      </c>
    </row>
    <row r="42" spans="1:10" ht="16.5" hidden="1" customHeight="1" thickBot="1">
      <c r="A42" s="973" t="s">
        <v>439</v>
      </c>
      <c r="B42" s="773">
        <f>geral!I1409</f>
        <v>0.128</v>
      </c>
      <c r="C42" s="748">
        <f t="shared" si="14"/>
        <v>106.66666666666667</v>
      </c>
      <c r="D42" s="748">
        <f t="shared" si="18"/>
        <v>0</v>
      </c>
      <c r="E42" s="748">
        <f t="shared" si="15"/>
        <v>1.5067406819984308</v>
      </c>
      <c r="F42" s="749">
        <f t="shared" si="16"/>
        <v>4.4897959183673564</v>
      </c>
      <c r="G42" s="840">
        <f t="shared" si="17"/>
        <v>3.5598705501618033</v>
      </c>
      <c r="H42" s="842">
        <f>(B$202/B42)</f>
        <v>1.9954627308544468</v>
      </c>
    </row>
    <row r="43" spans="1:10" ht="16.5" hidden="1" customHeight="1" thickBot="1">
      <c r="A43" s="973" t="s">
        <v>440</v>
      </c>
      <c r="B43" s="773">
        <f>geral!I1410</f>
        <v>0.128</v>
      </c>
      <c r="C43" s="748">
        <f t="shared" si="14"/>
        <v>106.66666666666667</v>
      </c>
      <c r="D43" s="748">
        <f t="shared" si="18"/>
        <v>0</v>
      </c>
      <c r="E43" s="748">
        <f t="shared" si="15"/>
        <v>1.5067406819984308</v>
      </c>
      <c r="F43" s="749">
        <f t="shared" si="16"/>
        <v>4.0650406504065151</v>
      </c>
      <c r="G43" s="840">
        <f t="shared" si="17"/>
        <v>3.811841038118402</v>
      </c>
      <c r="H43" s="842">
        <f>(B$202/B43)</f>
        <v>1.9954627308544468</v>
      </c>
    </row>
    <row r="44" spans="1:10" ht="16.5" hidden="1" customHeight="1" thickBot="1">
      <c r="A44" s="973" t="s">
        <v>441</v>
      </c>
      <c r="B44" s="773">
        <f>geral!I1411</f>
        <v>0.12805467748624247</v>
      </c>
      <c r="C44" s="748">
        <f t="shared" si="14"/>
        <v>106.7122312385354</v>
      </c>
      <c r="D44" s="748">
        <f t="shared" si="18"/>
        <v>4.2716786126928419E-2</v>
      </c>
      <c r="E44" s="748">
        <f t="shared" ref="E44:E49" si="19">100*(B44/B$37-1)</f>
        <v>1.5501010993199671</v>
      </c>
      <c r="F44" s="749">
        <f t="shared" ref="F44:F49" si="20">100*(B44/B32-1)</f>
        <v>3.3532505942231339</v>
      </c>
      <c r="G44" s="840">
        <f t="shared" ref="G44:G49" si="21">100*(B44/B20-1)</f>
        <v>4.2790533275590015</v>
      </c>
      <c r="H44" s="842">
        <f>(B$202/B44)</f>
        <v>1.9946106972688296</v>
      </c>
      <c r="I44" s="779" t="s">
        <v>241</v>
      </c>
      <c r="J44" s="780"/>
    </row>
    <row r="45" spans="1:10" ht="16.5" hidden="1" customHeight="1" thickBot="1">
      <c r="A45" s="973" t="s">
        <v>442</v>
      </c>
      <c r="B45" s="773">
        <f>geral!I1412</f>
        <v>0.12846445245419799</v>
      </c>
      <c r="C45" s="748">
        <f t="shared" si="14"/>
        <v>107.05371037849834</v>
      </c>
      <c r="D45" s="748">
        <f t="shared" si="18"/>
        <v>0.31999999999965389</v>
      </c>
      <c r="E45" s="748">
        <f t="shared" si="19"/>
        <v>1.8750614228374429</v>
      </c>
      <c r="F45" s="749">
        <f t="shared" si="20"/>
        <v>3.5168835247364916</v>
      </c>
      <c r="G45" s="840">
        <f t="shared" si="21"/>
        <v>4.9546180181356148</v>
      </c>
      <c r="H45" s="842">
        <f>(B$202/B45)</f>
        <v>1.988248302700196</v>
      </c>
    </row>
    <row r="46" spans="1:10" ht="16.5" hidden="1" customHeight="1" thickBot="1">
      <c r="A46" s="973" t="s">
        <v>443</v>
      </c>
      <c r="B46" s="773">
        <f>geral!I1413</f>
        <v>0.12881020008341082</v>
      </c>
      <c r="C46" s="748">
        <f t="shared" si="14"/>
        <v>107.34183340284235</v>
      </c>
      <c r="D46" s="748">
        <f t="shared" si="18"/>
        <v>0.26913875598084669</v>
      </c>
      <c r="E46" s="748">
        <f t="shared" si="19"/>
        <v>2.1492466958055845</v>
      </c>
      <c r="F46" s="749">
        <f t="shared" si="20"/>
        <v>3.3789727796234459</v>
      </c>
      <c r="G46" s="840">
        <f t="shared" si="21"/>
        <v>5.9294408580681024</v>
      </c>
      <c r="H46" s="842">
        <f>(B$202/B46)</f>
        <v>1.9829115193049378</v>
      </c>
    </row>
    <row r="47" spans="1:10" ht="16.5" hidden="1" customHeight="1" thickBot="1">
      <c r="A47" s="973" t="s">
        <v>444</v>
      </c>
      <c r="B47" s="773">
        <f>geral!I1414</f>
        <v>0.12913222558361934</v>
      </c>
      <c r="C47" s="748">
        <f t="shared" si="14"/>
        <v>107.61018798634946</v>
      </c>
      <c r="D47" s="748">
        <f t="shared" si="18"/>
        <v>0.24999999999999467</v>
      </c>
      <c r="E47" s="748">
        <f t="shared" si="19"/>
        <v>2.4046198125450724</v>
      </c>
      <c r="F47" s="749">
        <f t="shared" si="20"/>
        <v>3.6374202115724952</v>
      </c>
      <c r="G47" s="840">
        <f t="shared" si="21"/>
        <v>6.7208475897680531</v>
      </c>
      <c r="H47" s="842">
        <f>(B$202/B47)</f>
        <v>1.9779666027979432</v>
      </c>
    </row>
    <row r="48" spans="1:10" ht="16.5" hidden="1" customHeight="1" thickBot="1">
      <c r="A48" s="973" t="s">
        <v>445</v>
      </c>
      <c r="B48" s="773">
        <f>geral!I1415</f>
        <v>0.12951962226037017</v>
      </c>
      <c r="C48" s="748">
        <f t="shared" si="14"/>
        <v>107.93301855030847</v>
      </c>
      <c r="D48" s="748">
        <f t="shared" si="18"/>
        <v>0.29999999999998916</v>
      </c>
      <c r="E48" s="748">
        <f t="shared" si="19"/>
        <v>2.7118336719826885</v>
      </c>
      <c r="F48" s="749">
        <f t="shared" si="20"/>
        <v>3.4501775242573141</v>
      </c>
      <c r="G48" s="840">
        <f t="shared" si="21"/>
        <v>6.4253264259409804</v>
      </c>
      <c r="H48" s="842">
        <f>(B$202/B48)</f>
        <v>1.9720504514436128</v>
      </c>
    </row>
    <row r="49" spans="1:8" ht="16.5" hidden="1" customHeight="1" thickBot="1">
      <c r="A49" s="973" t="s">
        <v>446</v>
      </c>
      <c r="B49" s="773">
        <f>geral!I1416</f>
        <v>0.13007655663608975</v>
      </c>
      <c r="C49" s="748">
        <f t="shared" si="14"/>
        <v>108.3971305300748</v>
      </c>
      <c r="D49" s="748">
        <f t="shared" si="18"/>
        <v>0.42999999999999705</v>
      </c>
      <c r="E49" s="748">
        <f t="shared" si="19"/>
        <v>3.1534945567722072</v>
      </c>
      <c r="F49" s="749">
        <f t="shared" si="20"/>
        <v>3.1534945567722072</v>
      </c>
      <c r="G49" s="840">
        <f t="shared" si="21"/>
        <v>6.4456273617755633</v>
      </c>
      <c r="H49" s="842">
        <f>(B$202/B49)</f>
        <v>1.9636069415947555</v>
      </c>
    </row>
    <row r="50" spans="1:8" ht="16.5" hidden="1" customHeight="1" thickBot="1">
      <c r="A50" s="973" t="s">
        <v>447</v>
      </c>
      <c r="B50" s="773">
        <f>geral!K1405</f>
        <v>0.13133829923545981</v>
      </c>
      <c r="C50" s="748">
        <f t="shared" si="14"/>
        <v>109.44858269621652</v>
      </c>
      <c r="D50" s="748">
        <f t="shared" ref="D50:D55" si="22">100*(B50/B49-1)</f>
        <v>0.97000000000000419</v>
      </c>
      <c r="E50" s="748">
        <f t="shared" ref="E50:E55" si="23">100*(B50/B$49-1)</f>
        <v>0.97000000000000419</v>
      </c>
      <c r="F50" s="749">
        <f t="shared" ref="F50:F55" si="24">100*(B50/B38-1)</f>
        <v>3.8247424786243656</v>
      </c>
      <c r="G50" s="840">
        <f t="shared" ref="G50:G55" si="25">100*(B50/B26-1)</f>
        <v>7.4781499471847868</v>
      </c>
      <c r="H50" s="842">
        <f>(B$202/B50)</f>
        <v>1.9447429351240524</v>
      </c>
    </row>
    <row r="51" spans="1:8" ht="16.5" hidden="1" customHeight="1" thickBot="1">
      <c r="A51" s="973" t="s">
        <v>448</v>
      </c>
      <c r="B51" s="773">
        <f>geral!K1406</f>
        <v>0.13224453350018447</v>
      </c>
      <c r="C51" s="748">
        <f t="shared" si="14"/>
        <v>110.2037779168204</v>
      </c>
      <c r="D51" s="750">
        <f t="shared" si="22"/>
        <v>0.68999999999999062</v>
      </c>
      <c r="E51" s="750">
        <f t="shared" si="23"/>
        <v>1.6666929999999969</v>
      </c>
      <c r="F51" s="751">
        <f t="shared" si="24"/>
        <v>3.9658282234154685</v>
      </c>
      <c r="G51" s="840">
        <f t="shared" si="25"/>
        <v>7.2542850771974532</v>
      </c>
      <c r="H51" s="842">
        <f>(B$202/B51)</f>
        <v>1.9314161635952452</v>
      </c>
    </row>
    <row r="52" spans="1:8" ht="16.5" hidden="1" customHeight="1" thickBot="1">
      <c r="A52" s="973" t="s">
        <v>449</v>
      </c>
      <c r="B52" s="773">
        <f>geral!K1407</f>
        <v>0.13287930726098535</v>
      </c>
      <c r="C52" s="748">
        <f t="shared" si="14"/>
        <v>110.73275605082114</v>
      </c>
      <c r="D52" s="750">
        <f t="shared" si="22"/>
        <v>0.47999999999999154</v>
      </c>
      <c r="E52" s="750">
        <f t="shared" si="23"/>
        <v>2.1546931263999758</v>
      </c>
      <c r="F52" s="751">
        <f t="shared" si="24"/>
        <v>4.2190645184198683</v>
      </c>
      <c r="G52" s="840">
        <f t="shared" si="25"/>
        <v>7.7691056455679863</v>
      </c>
      <c r="H52" s="842">
        <f>(B$202/B52)</f>
        <v>1.9221896532595995</v>
      </c>
    </row>
    <row r="53" spans="1:8" ht="16.5" hidden="1" customHeight="1" thickBot="1">
      <c r="A53" s="973" t="s">
        <v>450</v>
      </c>
      <c r="B53" s="773">
        <f>geral!K1408</f>
        <v>0.13355699172801638</v>
      </c>
      <c r="C53" s="748">
        <f t="shared" si="14"/>
        <v>111.29749310668034</v>
      </c>
      <c r="D53" s="750">
        <f t="shared" si="22"/>
        <v>0.51000000000001044</v>
      </c>
      <c r="E53" s="750">
        <f t="shared" si="23"/>
        <v>2.6756820613446308</v>
      </c>
      <c r="F53" s="751">
        <f t="shared" si="24"/>
        <v>4.3413997875128008</v>
      </c>
      <c r="G53" s="840">
        <f t="shared" si="25"/>
        <v>9.0261156963399092</v>
      </c>
      <c r="H53" s="842">
        <f>(B$202/B53)</f>
        <v>1.9124362284942784</v>
      </c>
    </row>
    <row r="54" spans="1:8" ht="16.5" hidden="1" customHeight="1" thickBot="1">
      <c r="A54" s="973" t="s">
        <v>451</v>
      </c>
      <c r="B54" s="773">
        <f>geral!K1409</f>
        <v>0.13441175647507569</v>
      </c>
      <c r="C54" s="748">
        <f t="shared" si="14"/>
        <v>112.00979706256308</v>
      </c>
      <c r="D54" s="750">
        <f t="shared" si="22"/>
        <v>0.63999999999999613</v>
      </c>
      <c r="E54" s="750">
        <f t="shared" si="23"/>
        <v>3.3328064265372381</v>
      </c>
      <c r="F54" s="751">
        <f t="shared" si="24"/>
        <v>5.0091847461528838</v>
      </c>
      <c r="G54" s="840">
        <f t="shared" si="25"/>
        <v>9.7238828367964825</v>
      </c>
      <c r="H54" s="842">
        <f>(B$202/B54)</f>
        <v>1.9002744718742828</v>
      </c>
    </row>
    <row r="55" spans="1:8" ht="16.5" hidden="1" customHeight="1" thickBot="1">
      <c r="A55" s="973" t="s">
        <v>452</v>
      </c>
      <c r="B55" s="773">
        <f>geral!K1410</f>
        <v>0.13569999999999999</v>
      </c>
      <c r="C55" s="748">
        <f t="shared" si="14"/>
        <v>113.08333333333333</v>
      </c>
      <c r="D55" s="750">
        <f t="shared" si="22"/>
        <v>0.95843068992493841</v>
      </c>
      <c r="E55" s="750">
        <f t="shared" si="23"/>
        <v>4.3231797560898899</v>
      </c>
      <c r="F55" s="751">
        <f t="shared" si="24"/>
        <v>6.0156249999999911</v>
      </c>
      <c r="G55" s="840">
        <f t="shared" si="25"/>
        <v>10.325203252032523</v>
      </c>
      <c r="H55" s="842">
        <f>(B$202/B55)</f>
        <v>1.8822345582120059</v>
      </c>
    </row>
    <row r="56" spans="1:8" ht="16.5" hidden="1" customHeight="1" thickBot="1">
      <c r="A56" s="973" t="s">
        <v>453</v>
      </c>
      <c r="B56" s="773">
        <f>geral!K1411</f>
        <v>0.13689999999999999</v>
      </c>
      <c r="C56" s="748">
        <f t="shared" si="14"/>
        <v>114.08333333333333</v>
      </c>
      <c r="D56" s="750">
        <f t="shared" ref="D56:D61" si="26">100*(B56/B55-1)</f>
        <v>0.88430361090641174</v>
      </c>
      <c r="E56" s="750">
        <f t="shared" ref="E56:E61" si="27">100*(B56/B$49-1)</f>
        <v>5.2457134016853812</v>
      </c>
      <c r="F56" s="751">
        <f t="shared" ref="F56:F61" si="28">100*(B56/B44-1)</f>
        <v>6.9074575699960894</v>
      </c>
      <c r="G56" s="840">
        <f t="shared" ref="G56:G61" si="29">100*(B56/B32-1)</f>
        <v>10.492332526230829</v>
      </c>
      <c r="H56" s="842">
        <f>(B$202/B56)</f>
        <v>1.8657357892576274</v>
      </c>
    </row>
    <row r="57" spans="1:8" ht="16.5" hidden="1" customHeight="1" thickBot="1">
      <c r="A57" s="973" t="s">
        <v>454</v>
      </c>
      <c r="B57" s="773">
        <f>geral!K1412</f>
        <v>0.13773123312369207</v>
      </c>
      <c r="C57" s="748">
        <f t="shared" si="14"/>
        <v>114.77602760307673</v>
      </c>
      <c r="D57" s="750">
        <f t="shared" si="26"/>
        <v>0.6071827053996115</v>
      </c>
      <c r="E57" s="750">
        <f t="shared" si="27"/>
        <v>5.8847471716348743</v>
      </c>
      <c r="F57" s="751">
        <f t="shared" si="28"/>
        <v>7.2134979696410584</v>
      </c>
      <c r="G57" s="840">
        <f t="shared" si="29"/>
        <v>10.984071816029051</v>
      </c>
      <c r="H57" s="842">
        <f>(B$202/B57)</f>
        <v>1.8544757333290209</v>
      </c>
    </row>
    <row r="58" spans="1:8" ht="16.5" hidden="1" customHeight="1" thickBot="1">
      <c r="A58" s="973" t="s">
        <v>455</v>
      </c>
      <c r="B58" s="773">
        <f>geral!K1413</f>
        <v>0.13802046871325183</v>
      </c>
      <c r="C58" s="748">
        <f t="shared" si="14"/>
        <v>115.01705726104321</v>
      </c>
      <c r="D58" s="750">
        <f t="shared" si="26"/>
        <v>0.20999999999999908</v>
      </c>
      <c r="E58" s="750">
        <f t="shared" si="27"/>
        <v>6.1071051406953014</v>
      </c>
      <c r="F58" s="751">
        <f t="shared" si="28"/>
        <v>7.1502634293533429</v>
      </c>
      <c r="G58" s="840">
        <f t="shared" si="29"/>
        <v>10.770841663926012</v>
      </c>
      <c r="H58" s="842">
        <f>(B$202/B58)</f>
        <v>1.8505894953887045</v>
      </c>
    </row>
    <row r="59" spans="1:8" ht="16.5" hidden="1" customHeight="1" thickBot="1">
      <c r="A59" s="973" t="s">
        <v>456</v>
      </c>
      <c r="B59" s="773">
        <f>geral!K1414</f>
        <v>0.1382274994163217</v>
      </c>
      <c r="C59" s="748">
        <f t="shared" si="14"/>
        <v>115.18958284693475</v>
      </c>
      <c r="D59" s="750">
        <f t="shared" si="26"/>
        <v>0.15000000000000568</v>
      </c>
      <c r="E59" s="750">
        <f t="shared" si="27"/>
        <v>6.2662657984063452</v>
      </c>
      <c r="F59" s="751">
        <f t="shared" si="28"/>
        <v>7.0433803735634903</v>
      </c>
      <c r="G59" s="840">
        <f t="shared" si="29"/>
        <v>10.93699792642191</v>
      </c>
      <c r="H59" s="842">
        <f>(B$202/B59)</f>
        <v>1.8478177687356012</v>
      </c>
    </row>
    <row r="60" spans="1:8" ht="16.5" hidden="1" customHeight="1" thickBot="1">
      <c r="A60" s="973" t="s">
        <v>457</v>
      </c>
      <c r="B60" s="773">
        <f>geral!K1415</f>
        <v>0.13891863691340331</v>
      </c>
      <c r="C60" s="748">
        <f t="shared" si="14"/>
        <v>115.76553076116943</v>
      </c>
      <c r="D60" s="750">
        <f t="shared" si="26"/>
        <v>0.49999999999998934</v>
      </c>
      <c r="E60" s="750">
        <f t="shared" si="27"/>
        <v>6.7975971273983804</v>
      </c>
      <c r="F60" s="751">
        <f t="shared" si="28"/>
        <v>7.2568267950461784</v>
      </c>
      <c r="G60" s="840">
        <f t="shared" si="29"/>
        <v>10.957377726360473</v>
      </c>
      <c r="H60" s="842">
        <f>(B$202/B60)</f>
        <v>1.8386246455080608</v>
      </c>
    </row>
    <row r="61" spans="1:8" ht="16.5" hidden="1" customHeight="1" thickBot="1">
      <c r="A61" s="973" t="s">
        <v>458</v>
      </c>
      <c r="B61" s="773">
        <f>geral!K1416</f>
        <v>0.13944652773367425</v>
      </c>
      <c r="C61" s="748">
        <f t="shared" si="14"/>
        <v>116.20543977806187</v>
      </c>
      <c r="D61" s="750">
        <f t="shared" si="26"/>
        <v>0.38000000000000256</v>
      </c>
      <c r="E61" s="750">
        <f t="shared" si="27"/>
        <v>7.2034279964825032</v>
      </c>
      <c r="F61" s="751">
        <f t="shared" si="28"/>
        <v>7.2034279964825032</v>
      </c>
      <c r="G61" s="840">
        <f t="shared" si="29"/>
        <v>10.584082263024786</v>
      </c>
      <c r="H61" s="842">
        <f>(B$202/B61)</f>
        <v>1.8316643210879267</v>
      </c>
    </row>
    <row r="62" spans="1:8" ht="16.5" hidden="1" customHeight="1" thickBot="1">
      <c r="A62" s="973" t="s">
        <v>459</v>
      </c>
      <c r="B62" s="773">
        <f>geral!M1405</f>
        <v>0.1398509226641019</v>
      </c>
      <c r="C62" s="748">
        <f t="shared" si="14"/>
        <v>116.54243555341826</v>
      </c>
      <c r="D62" s="750">
        <f t="shared" ref="D62:D67" si="30">100*(B62/B61-1)</f>
        <v>0.28999999999999027</v>
      </c>
      <c r="E62" s="750">
        <f t="shared" ref="E62:E67" si="31">100*(B62/B$61-1)</f>
        <v>0.28999999999999027</v>
      </c>
      <c r="F62" s="751">
        <f t="shared" ref="F62:F67" si="32">100*(B62/B50-1)</f>
        <v>6.4814478931091379</v>
      </c>
      <c r="G62" s="840">
        <f t="shared" ref="G62:G67" si="33">100*(B62/B38-1)</f>
        <v>10.554089062531148</v>
      </c>
      <c r="H62" s="842">
        <f>(B$202/B62)</f>
        <v>1.8263678543104265</v>
      </c>
    </row>
    <row r="63" spans="1:8" ht="16.5" hidden="1" customHeight="1" thickBot="1">
      <c r="A63" s="973" t="s">
        <v>460</v>
      </c>
      <c r="B63" s="773">
        <f>geral!M1406</f>
        <v>0.14074596856915214</v>
      </c>
      <c r="C63" s="748">
        <f t="shared" si="14"/>
        <v>117.28830714096011</v>
      </c>
      <c r="D63" s="750">
        <f t="shared" si="30"/>
        <v>0.63999999999999613</v>
      </c>
      <c r="E63" s="750">
        <f t="shared" si="31"/>
        <v>0.93185599999998647</v>
      </c>
      <c r="F63" s="751">
        <f t="shared" si="32"/>
        <v>6.4285720127371437</v>
      </c>
      <c r="G63" s="840">
        <f t="shared" si="33"/>
        <v>10.64934635939634</v>
      </c>
      <c r="H63" s="842">
        <f>(B$202/B63)</f>
        <v>1.8147534323434287</v>
      </c>
    </row>
    <row r="64" spans="1:8" ht="16.5" hidden="1" customHeight="1" thickBot="1">
      <c r="A64" s="973" t="s">
        <v>461</v>
      </c>
      <c r="B64" s="773">
        <f>geral!M1407</f>
        <v>0.14119635566857344</v>
      </c>
      <c r="C64" s="748">
        <f t="shared" si="14"/>
        <v>117.6636297238112</v>
      </c>
      <c r="D64" s="750">
        <f t="shared" si="30"/>
        <v>0.32000000000000917</v>
      </c>
      <c r="E64" s="750">
        <f t="shared" si="31"/>
        <v>1.2548379392000042</v>
      </c>
      <c r="F64" s="751">
        <f t="shared" si="32"/>
        <v>6.2590997643092505</v>
      </c>
      <c r="G64" s="840">
        <f t="shared" si="33"/>
        <v>10.742239740057592</v>
      </c>
      <c r="H64" s="842">
        <f>(B$202/B64)</f>
        <v>1.8089647451589199</v>
      </c>
    </row>
    <row r="65" spans="1:8" ht="16.5" hidden="1" customHeight="1" thickBot="1">
      <c r="A65" s="973" t="s">
        <v>462</v>
      </c>
      <c r="B65" s="773">
        <f>geral!M1408</f>
        <v>0.14147874837991059</v>
      </c>
      <c r="C65" s="748">
        <f t="shared" si="14"/>
        <v>117.89895698325883</v>
      </c>
      <c r="D65" s="750">
        <f t="shared" si="30"/>
        <v>0.20000000000000018</v>
      </c>
      <c r="E65" s="750">
        <f t="shared" si="31"/>
        <v>1.4573476150784082</v>
      </c>
      <c r="F65" s="751">
        <f t="shared" si="32"/>
        <v>5.9313679871036307</v>
      </c>
      <c r="G65" s="840">
        <f t="shared" si="33"/>
        <v>10.530272171805155</v>
      </c>
      <c r="H65" s="842">
        <f>(B$202/B65)</f>
        <v>1.8053540370847505</v>
      </c>
    </row>
    <row r="66" spans="1:8" ht="16.5" hidden="1" customHeight="1" thickBot="1">
      <c r="A66" s="973" t="s">
        <v>463</v>
      </c>
      <c r="B66" s="773">
        <f>geral!M1409</f>
        <v>0.14126653025734073</v>
      </c>
      <c r="C66" s="748">
        <f t="shared" si="14"/>
        <v>117.72210854778395</v>
      </c>
      <c r="D66" s="750">
        <f t="shared" si="30"/>
        <v>-0.14999999999999458</v>
      </c>
      <c r="E66" s="750">
        <f t="shared" si="31"/>
        <v>1.3051615936557903</v>
      </c>
      <c r="F66" s="751">
        <f t="shared" si="32"/>
        <v>5.0998320102573214</v>
      </c>
      <c r="G66" s="840">
        <f t="shared" si="33"/>
        <v>10.364476763547437</v>
      </c>
      <c r="H66" s="842">
        <f>(B$202/B66)</f>
        <v>1.8080661362891841</v>
      </c>
    </row>
    <row r="67" spans="1:8" ht="16.5" hidden="1" customHeight="1" thickBot="1">
      <c r="A67" s="973" t="s">
        <v>464</v>
      </c>
      <c r="B67" s="773">
        <f>geral!M1410</f>
        <v>0.14211412943888477</v>
      </c>
      <c r="C67" s="748">
        <f t="shared" si="14"/>
        <v>118.42844119907063</v>
      </c>
      <c r="D67" s="750">
        <f t="shared" si="30"/>
        <v>0.60000000000000053</v>
      </c>
      <c r="E67" s="750">
        <f t="shared" si="31"/>
        <v>1.9129925632177081</v>
      </c>
      <c r="F67" s="751">
        <f t="shared" si="32"/>
        <v>4.72669818635576</v>
      </c>
      <c r="G67" s="840">
        <f t="shared" si="33"/>
        <v>11.026663624128719</v>
      </c>
      <c r="H67" s="842">
        <f>(B$202/B67)</f>
        <v>1.7972824416393482</v>
      </c>
    </row>
    <row r="68" spans="1:8" ht="16.5" hidden="1" customHeight="1" thickBot="1">
      <c r="A68" s="973" t="s">
        <v>465</v>
      </c>
      <c r="B68" s="773">
        <f>geral!M1411</f>
        <v>0.14269999999999999</v>
      </c>
      <c r="C68" s="748">
        <f t="shared" si="14"/>
        <v>118.91666666666667</v>
      </c>
      <c r="D68" s="750">
        <f t="shared" ref="D68:D73" si="34">100*(B68/B67-1)</f>
        <v>0.41225356228014043</v>
      </c>
      <c r="E68" s="750">
        <f t="shared" ref="E68:E73" si="35">100*(B68/B$61-1)</f>
        <v>2.3331325054858798</v>
      </c>
      <c r="F68" s="751">
        <f t="shared" ref="F68:F73" si="36">100*(B68/B56-1)</f>
        <v>4.2366691015339741</v>
      </c>
      <c r="G68" s="840">
        <f t="shared" ref="G68:G73" si="37">100*(B68/B44-1)</f>
        <v>11.436772792099648</v>
      </c>
      <c r="H68" s="842">
        <f>(B$202/B68)</f>
        <v>1.7899035006963504</v>
      </c>
    </row>
    <row r="69" spans="1:8" ht="16.5" hidden="1" customHeight="1" thickBot="1">
      <c r="A69" s="973" t="s">
        <v>466</v>
      </c>
      <c r="B69" s="773">
        <f>geral!M1412</f>
        <v>0.14303924410272789</v>
      </c>
      <c r="C69" s="748">
        <f t="shared" si="14"/>
        <v>119.19937008560657</v>
      </c>
      <c r="D69" s="750">
        <f t="shared" si="34"/>
        <v>0.23773237752480192</v>
      </c>
      <c r="E69" s="750">
        <f t="shared" si="35"/>
        <v>2.5764114943867877</v>
      </c>
      <c r="F69" s="751">
        <f t="shared" si="36"/>
        <v>3.8538905509318155</v>
      </c>
      <c r="G69" s="840">
        <f t="shared" si="37"/>
        <v>11.345388837216518</v>
      </c>
      <c r="H69" s="842">
        <f>(B$202/B69)</f>
        <v>1.7856584124978476</v>
      </c>
    </row>
    <row r="70" spans="1:8" ht="16.5" hidden="1" customHeight="1" thickBot="1">
      <c r="A70" s="973" t="s">
        <v>467</v>
      </c>
      <c r="B70" s="773">
        <f>geral!M1413</f>
        <v>0.14315367549801006</v>
      </c>
      <c r="C70" s="748">
        <f t="shared" si="14"/>
        <v>119.29472958167506</v>
      </c>
      <c r="D70" s="750">
        <f t="shared" si="34"/>
        <v>7.9999999999991189E-2</v>
      </c>
      <c r="E70" s="750">
        <f t="shared" si="35"/>
        <v>2.6584726235822975</v>
      </c>
      <c r="F70" s="751">
        <f t="shared" si="36"/>
        <v>3.7191634201901413</v>
      </c>
      <c r="G70" s="840">
        <f t="shared" si="37"/>
        <v>11.135356831455233</v>
      </c>
      <c r="H70" s="842">
        <f>(B$202/B70)</f>
        <v>1.7842310276757072</v>
      </c>
    </row>
    <row r="71" spans="1:8" ht="16.5" hidden="1" customHeight="1" thickBot="1">
      <c r="A71" s="973" t="s">
        <v>468</v>
      </c>
      <c r="B71" s="773">
        <f>geral!M1414</f>
        <v>0.14338272137880689</v>
      </c>
      <c r="C71" s="748">
        <f t="shared" si="14"/>
        <v>119.48560114900576</v>
      </c>
      <c r="D71" s="750">
        <f t="shared" si="34"/>
        <v>0.16000000000000458</v>
      </c>
      <c r="E71" s="750">
        <f t="shared" si="35"/>
        <v>2.8227261797800329</v>
      </c>
      <c r="F71" s="751">
        <f t="shared" si="36"/>
        <v>3.7295198019595244</v>
      </c>
      <c r="G71" s="840">
        <f t="shared" si="37"/>
        <v>11.035584441282387</v>
      </c>
      <c r="H71" s="842">
        <f>(B$202/B71)</f>
        <v>1.7813808183663209</v>
      </c>
    </row>
    <row r="72" spans="1:8" ht="16.5" hidden="1" customHeight="1" thickBot="1">
      <c r="A72" s="973" t="s">
        <v>469</v>
      </c>
      <c r="B72" s="773">
        <f>geral!M1415</f>
        <v>0.14372683991011603</v>
      </c>
      <c r="C72" s="748">
        <f t="shared" si="14"/>
        <v>119.77236659176337</v>
      </c>
      <c r="D72" s="750">
        <f t="shared" si="34"/>
        <v>0.23999999999999577</v>
      </c>
      <c r="E72" s="750">
        <f t="shared" si="35"/>
        <v>3.0695007226115179</v>
      </c>
      <c r="F72" s="751">
        <f t="shared" si="36"/>
        <v>3.4611648253574323</v>
      </c>
      <c r="G72" s="840">
        <f t="shared" si="37"/>
        <v>10.969162356870864</v>
      </c>
      <c r="H72" s="842">
        <f>(B$202/B72)</f>
        <v>1.7771157405889073</v>
      </c>
    </row>
    <row r="73" spans="1:8" ht="16.5" hidden="1" customHeight="1" thickBot="1">
      <c r="A73" s="973" t="s">
        <v>470</v>
      </c>
      <c r="B73" s="773">
        <f>geral!M1416</f>
        <v>0.14425862921778346</v>
      </c>
      <c r="C73" s="748">
        <f t="shared" si="14"/>
        <v>120.2155243481529</v>
      </c>
      <c r="D73" s="750">
        <f t="shared" si="34"/>
        <v>0.37000000000000366</v>
      </c>
      <c r="E73" s="750">
        <f t="shared" si="35"/>
        <v>3.4508578752851626</v>
      </c>
      <c r="F73" s="751">
        <f t="shared" si="36"/>
        <v>3.4508578752851626</v>
      </c>
      <c r="G73" s="840">
        <f t="shared" si="37"/>
        <v>10.902865934074768</v>
      </c>
      <c r="H73" s="842">
        <f>(B$202/B73)</f>
        <v>1.7705646513788058</v>
      </c>
    </row>
    <row r="74" spans="1:8" ht="16.5" hidden="1" customHeight="1" thickBot="1">
      <c r="A74" s="973" t="s">
        <v>471</v>
      </c>
      <c r="B74" s="773">
        <f>geral!O1405</f>
        <v>0.14460484992790612</v>
      </c>
      <c r="C74" s="748">
        <f t="shared" si="14"/>
        <v>120.50404160658843</v>
      </c>
      <c r="D74" s="750">
        <f t="shared" ref="D74:D79" si="38">100*(B74/B73-1)</f>
        <v>0.23999999999999577</v>
      </c>
      <c r="E74" s="750">
        <f t="shared" ref="E74:E79" si="39">100*(B74/B$73-1)</f>
        <v>0.23999999999999577</v>
      </c>
      <c r="F74" s="751">
        <f t="shared" ref="F74:F79" si="40">100*(B74/B62-1)</f>
        <v>3.3992820163384563</v>
      </c>
      <c r="G74" s="840">
        <f t="shared" ref="G74:G79" si="41">100*(B74/B50-1)</f>
        <v>10.101052602076411</v>
      </c>
      <c r="H74" s="842">
        <f>(B$202/B74)</f>
        <v>1.7663254702502056</v>
      </c>
    </row>
    <row r="75" spans="1:8" ht="16.5" hidden="1" customHeight="1" thickBot="1">
      <c r="A75" s="973" t="s">
        <v>472</v>
      </c>
      <c r="B75" s="773">
        <f>geral!O1406</f>
        <v>0.14587737260727168</v>
      </c>
      <c r="C75" s="748">
        <f t="shared" si="14"/>
        <v>121.56447717272641</v>
      </c>
      <c r="D75" s="750">
        <f t="shared" si="38"/>
        <v>0.8799999999999919</v>
      </c>
      <c r="E75" s="750">
        <f t="shared" si="39"/>
        <v>1.1221119999999862</v>
      </c>
      <c r="F75" s="751">
        <f t="shared" si="40"/>
        <v>3.6458621801294111</v>
      </c>
      <c r="G75" s="840">
        <f t="shared" si="41"/>
        <v>10.308811068601331</v>
      </c>
      <c r="H75" s="842">
        <f>(B$202/B75)</f>
        <v>1.7509173971552396</v>
      </c>
    </row>
    <row r="76" spans="1:8" ht="16.5" hidden="1" customHeight="1" thickBot="1">
      <c r="A76" s="973" t="s">
        <v>473</v>
      </c>
      <c r="B76" s="773">
        <f>geral!O1407</f>
        <v>0.14689851421552258</v>
      </c>
      <c r="C76" s="748">
        <f t="shared" si="14"/>
        <v>122.41542851293549</v>
      </c>
      <c r="D76" s="750">
        <f t="shared" si="38"/>
        <v>0.69999999999998952</v>
      </c>
      <c r="E76" s="750">
        <f t="shared" si="39"/>
        <v>1.8299667839999811</v>
      </c>
      <c r="F76" s="751">
        <f t="shared" si="40"/>
        <v>4.0384601429329203</v>
      </c>
      <c r="G76" s="840">
        <f t="shared" si="41"/>
        <v>10.550331156530191</v>
      </c>
      <c r="H76" s="842">
        <f>(B$202/B76)</f>
        <v>1.7387461739376759</v>
      </c>
    </row>
    <row r="77" spans="1:8" ht="16.5" hidden="1" customHeight="1" thickBot="1">
      <c r="A77" s="973" t="s">
        <v>474</v>
      </c>
      <c r="B77" s="773">
        <f>geral!O1408</f>
        <v>0.14794149366645282</v>
      </c>
      <c r="C77" s="748">
        <f t="shared" si="14"/>
        <v>123.28457805537735</v>
      </c>
      <c r="D77" s="750">
        <f t="shared" si="38"/>
        <v>0.71000000000001062</v>
      </c>
      <c r="E77" s="750">
        <f t="shared" si="39"/>
        <v>2.5529595481663891</v>
      </c>
      <c r="F77" s="751">
        <f t="shared" si="40"/>
        <v>4.5679972155167281</v>
      </c>
      <c r="G77" s="840">
        <f t="shared" si="41"/>
        <v>10.770309927113297</v>
      </c>
      <c r="H77" s="842">
        <f>(B$202/B77)</f>
        <v>1.7264881083682611</v>
      </c>
    </row>
    <row r="78" spans="1:8" ht="16.5" hidden="1" customHeight="1" thickBot="1">
      <c r="A78" s="973" t="s">
        <v>475</v>
      </c>
      <c r="B78" s="773">
        <f>geral!O1409</f>
        <v>0.14902146657021795</v>
      </c>
      <c r="C78" s="748">
        <f t="shared" si="14"/>
        <v>124.18455547518163</v>
      </c>
      <c r="D78" s="750">
        <f t="shared" si="38"/>
        <v>0.73000000000000842</v>
      </c>
      <c r="E78" s="750">
        <f t="shared" si="39"/>
        <v>3.3015961528680249</v>
      </c>
      <c r="F78" s="751">
        <f t="shared" si="40"/>
        <v>5.4895779621332075</v>
      </c>
      <c r="G78" s="840">
        <f t="shared" si="41"/>
        <v>10.869369226531433</v>
      </c>
      <c r="H78" s="842">
        <f>(B$202/B78)</f>
        <v>1.7139760829626334</v>
      </c>
    </row>
    <row r="79" spans="1:8" ht="16.5" hidden="1" customHeight="1" thickBot="1">
      <c r="A79" s="973" t="s">
        <v>476</v>
      </c>
      <c r="B79" s="773">
        <f>geral!O1410</f>
        <v>0.14966225887646989</v>
      </c>
      <c r="C79" s="748">
        <f t="shared" si="14"/>
        <v>124.71854906372491</v>
      </c>
      <c r="D79" s="750">
        <f t="shared" si="38"/>
        <v>0.42999999999999705</v>
      </c>
      <c r="E79" s="750">
        <f t="shared" si="39"/>
        <v>3.7457930163253605</v>
      </c>
      <c r="F79" s="751">
        <f t="shared" si="40"/>
        <v>5.3113152558353693</v>
      </c>
      <c r="G79" s="840">
        <f t="shared" si="41"/>
        <v>10.289063284060362</v>
      </c>
      <c r="H79" s="842">
        <f>(B$202/B79)</f>
        <v>1.7066375415340371</v>
      </c>
    </row>
    <row r="80" spans="1:8" ht="16.5" hidden="1" customHeight="1" thickBot="1">
      <c r="A80" s="973" t="s">
        <v>477</v>
      </c>
      <c r="B80" s="773">
        <f>geral!O1411</f>
        <v>0.14949763039170577</v>
      </c>
      <c r="C80" s="748">
        <f t="shared" si="14"/>
        <v>124.58135865975481</v>
      </c>
      <c r="D80" s="750">
        <f t="shared" ref="D80:D85" si="42">100*(B80/B79-1)</f>
        <v>-0.10999999999999899</v>
      </c>
      <c r="E80" s="750">
        <f t="shared" ref="E80:E85" si="43">100*(B80/B$73-1)</f>
        <v>3.631672644007411</v>
      </c>
      <c r="F80" s="751">
        <f t="shared" ref="F80:F85" si="44">100*(B80/B68-1)</f>
        <v>4.7635812135289335</v>
      </c>
      <c r="G80" s="840">
        <f t="shared" ref="G80:G85" si="45">100*(B80/B56-1)</f>
        <v>9.2020674884629514</v>
      </c>
      <c r="H80" s="842">
        <f>(B$202/B80)</f>
        <v>1.7085169101351858</v>
      </c>
    </row>
    <row r="81" spans="1:8" ht="16.5" hidden="1" customHeight="1" thickBot="1">
      <c r="A81" s="973" t="s">
        <v>478</v>
      </c>
      <c r="B81" s="773">
        <f>geral!O1412</f>
        <v>0.14939298205043158</v>
      </c>
      <c r="C81" s="748">
        <f t="shared" si="14"/>
        <v>124.494151708693</v>
      </c>
      <c r="D81" s="750">
        <f t="shared" si="42"/>
        <v>-6.9999999999992291E-2</v>
      </c>
      <c r="E81" s="750">
        <f t="shared" si="43"/>
        <v>3.5591304731566131</v>
      </c>
      <c r="F81" s="751">
        <f t="shared" si="44"/>
        <v>4.4419543654331539</v>
      </c>
      <c r="G81" s="840">
        <f t="shared" si="45"/>
        <v>8.4670329759310761</v>
      </c>
      <c r="H81" s="842">
        <f>(B$202/B81)</f>
        <v>1.7097137097319981</v>
      </c>
    </row>
    <row r="82" spans="1:8" ht="16.5" hidden="1" customHeight="1" thickBot="1">
      <c r="A82" s="973" t="s">
        <v>479</v>
      </c>
      <c r="B82" s="773">
        <f>geral!O1413</f>
        <v>0.14928840696299628</v>
      </c>
      <c r="C82" s="748">
        <f t="shared" si="14"/>
        <v>124.4070058024969</v>
      </c>
      <c r="D82" s="750">
        <f t="shared" si="42"/>
        <v>-7.0000000000003393E-2</v>
      </c>
      <c r="E82" s="750">
        <f t="shared" si="43"/>
        <v>3.4866390818253823</v>
      </c>
      <c r="F82" s="751">
        <f t="shared" si="44"/>
        <v>4.2854166640461155</v>
      </c>
      <c r="G82" s="840">
        <f t="shared" si="45"/>
        <v>8.1639617332081915</v>
      </c>
      <c r="H82" s="842">
        <f>(B$202/B82)</f>
        <v>1.7109113476753708</v>
      </c>
    </row>
    <row r="83" spans="1:8" ht="16.5" hidden="1" customHeight="1" thickBot="1">
      <c r="A83" s="973" t="s">
        <v>480</v>
      </c>
      <c r="B83" s="773">
        <f>geral!O1414</f>
        <v>0.15009456436059646</v>
      </c>
      <c r="C83" s="748">
        <f t="shared" si="14"/>
        <v>125.07880363383039</v>
      </c>
      <c r="D83" s="750">
        <f t="shared" si="42"/>
        <v>0.54000000000000714</v>
      </c>
      <c r="E83" s="750">
        <f t="shared" si="43"/>
        <v>4.0454669328672477</v>
      </c>
      <c r="F83" s="751">
        <f t="shared" si="44"/>
        <v>4.6810682049041041</v>
      </c>
      <c r="G83" s="840">
        <f t="shared" si="45"/>
        <v>8.5851693725087497</v>
      </c>
      <c r="H83" s="842">
        <f>(B$202/B83)</f>
        <v>1.7017220486128615</v>
      </c>
    </row>
    <row r="84" spans="1:8" ht="16.5" hidden="1" customHeight="1" thickBot="1">
      <c r="A84" s="973" t="s">
        <v>481</v>
      </c>
      <c r="B84" s="773">
        <f>geral!O1415</f>
        <v>0.15147543435271396</v>
      </c>
      <c r="C84" s="748">
        <f t="shared" si="14"/>
        <v>126.22952862726164</v>
      </c>
      <c r="D84" s="750">
        <f t="shared" si="42"/>
        <v>0.9200000000000097</v>
      </c>
      <c r="E84" s="750">
        <f t="shared" si="43"/>
        <v>5.0026852286496393</v>
      </c>
      <c r="F84" s="751">
        <f t="shared" si="44"/>
        <v>5.3911951639956435</v>
      </c>
      <c r="G84" s="840">
        <f t="shared" si="45"/>
        <v>9.0389581400356569</v>
      </c>
      <c r="H84" s="842">
        <f>(B$202/B84)</f>
        <v>1.6862089264891609</v>
      </c>
    </row>
    <row r="85" spans="1:8" ht="16.5" hidden="1" customHeight="1" thickBot="1">
      <c r="A85" s="1015" t="s">
        <v>482</v>
      </c>
      <c r="B85" s="931">
        <f>geral!O1416</f>
        <v>0.15303563132654691</v>
      </c>
      <c r="C85" s="755">
        <f t="shared" si="14"/>
        <v>127.52969277212243</v>
      </c>
      <c r="D85" s="756">
        <f t="shared" si="42"/>
        <v>1.0299999999999976</v>
      </c>
      <c r="E85" s="756">
        <f t="shared" si="43"/>
        <v>6.084212886504714</v>
      </c>
      <c r="F85" s="757">
        <f t="shared" si="44"/>
        <v>6.084212886504714</v>
      </c>
      <c r="G85" s="841">
        <f t="shared" si="45"/>
        <v>9.7450283013329475</v>
      </c>
      <c r="H85" s="922">
        <f>(B$202/B85)</f>
        <v>1.6690180406702575</v>
      </c>
    </row>
    <row r="86" spans="1:8">
      <c r="A86" s="1013" t="s">
        <v>483</v>
      </c>
      <c r="B86" s="864">
        <f>geral!C1420</f>
        <v>0.15395384511450619</v>
      </c>
      <c r="C86" s="852">
        <f t="shared" si="14"/>
        <v>128.29487092875516</v>
      </c>
      <c r="D86" s="853">
        <f t="shared" ref="D86:D91" si="46">100*(B86/B85-1)</f>
        <v>0.60000000000000053</v>
      </c>
      <c r="E86" s="853">
        <f t="shared" ref="E86:E91" si="47">100*(B86/B$85-1)</f>
        <v>0.60000000000000053</v>
      </c>
      <c r="F86" s="854">
        <f t="shared" ref="F86:F91" si="48">100*(B86/B74-1)</f>
        <v>6.465201679792254</v>
      </c>
      <c r="G86" s="855">
        <f t="shared" ref="G86:G91" si="49">100*(B86/B62-1)</f>
        <v>10.084254134151905</v>
      </c>
      <c r="H86" s="856">
        <f>(B$202/B86)</f>
        <v>1.6590636587179497</v>
      </c>
    </row>
    <row r="87" spans="1:8">
      <c r="A87" s="1014" t="s">
        <v>484</v>
      </c>
      <c r="B87" s="868">
        <f>geral!C1421</f>
        <v>0.15540101125858255</v>
      </c>
      <c r="C87" s="857">
        <f t="shared" si="14"/>
        <v>129.50084271548548</v>
      </c>
      <c r="D87" s="858">
        <f t="shared" si="46"/>
        <v>0.9400000000000075</v>
      </c>
      <c r="E87" s="858">
        <f t="shared" si="47"/>
        <v>1.5456399999999926</v>
      </c>
      <c r="F87" s="859">
        <f t="shared" si="48"/>
        <v>6.5285235681823206</v>
      </c>
      <c r="G87" s="860">
        <f t="shared" si="49"/>
        <v>10.412406720004919</v>
      </c>
      <c r="H87" s="861">
        <f>(B$202/B87)</f>
        <v>1.6436136900316523</v>
      </c>
    </row>
    <row r="88" spans="1:8">
      <c r="A88" s="1014" t="s">
        <v>485</v>
      </c>
      <c r="B88" s="868">
        <f>geral!C1422</f>
        <v>0.15620000000000001</v>
      </c>
      <c r="C88" s="857">
        <f t="shared" si="14"/>
        <v>130.16666666666669</v>
      </c>
      <c r="D88" s="858">
        <f t="shared" si="46"/>
        <v>0.5141464234669435</v>
      </c>
      <c r="E88" s="858">
        <f t="shared" si="47"/>
        <v>2.0677332762466083</v>
      </c>
      <c r="F88" s="859">
        <f t="shared" si="48"/>
        <v>6.3319127726715552</v>
      </c>
      <c r="G88" s="860">
        <f t="shared" si="49"/>
        <v>10.626084689214089</v>
      </c>
      <c r="H88" s="861">
        <f t="shared" ref="H88:H151" si="50">(B$202/B88)</f>
        <v>1.6352063351432085</v>
      </c>
    </row>
    <row r="89" spans="1:8">
      <c r="A89" s="1014" t="s">
        <v>486</v>
      </c>
      <c r="B89" s="868">
        <f>geral!C1423</f>
        <v>0.1572713618857268</v>
      </c>
      <c r="C89" s="857">
        <f t="shared" si="14"/>
        <v>131.05946823810567</v>
      </c>
      <c r="D89" s="858">
        <f t="shared" si="46"/>
        <v>0.68589109201460108</v>
      </c>
      <c r="E89" s="858">
        <f t="shared" si="47"/>
        <v>2.7678067666095929</v>
      </c>
      <c r="F89" s="859">
        <f t="shared" si="48"/>
        <v>6.3064580382762525</v>
      </c>
      <c r="G89" s="860">
        <f t="shared" si="49"/>
        <v>11.162534081379171</v>
      </c>
      <c r="H89" s="861">
        <f t="shared" si="50"/>
        <v>1.6240670042328273</v>
      </c>
    </row>
    <row r="90" spans="1:8">
      <c r="A90" s="1014" t="s">
        <v>487</v>
      </c>
      <c r="B90" s="868">
        <f>geral!C1424</f>
        <v>0.15840000000000001</v>
      </c>
      <c r="C90" s="857">
        <f t="shared" si="14"/>
        <v>132.00000000000003</v>
      </c>
      <c r="D90" s="858">
        <f t="shared" si="46"/>
        <v>0.71763740120294184</v>
      </c>
      <c r="E90" s="858">
        <f t="shared" si="47"/>
        <v>3.5053069843627771</v>
      </c>
      <c r="F90" s="859">
        <f t="shared" si="48"/>
        <v>6.293411040457686</v>
      </c>
      <c r="G90" s="860">
        <f t="shared" si="49"/>
        <v>12.128470708134319</v>
      </c>
      <c r="H90" s="861">
        <f t="shared" si="50"/>
        <v>1.6124951360439972</v>
      </c>
    </row>
    <row r="91" spans="1:8">
      <c r="A91" s="1014" t="s">
        <v>488</v>
      </c>
      <c r="B91" s="868">
        <f>geral!C1425</f>
        <v>0.1593</v>
      </c>
      <c r="C91" s="857">
        <f t="shared" si="14"/>
        <v>132.75</v>
      </c>
      <c r="D91" s="858">
        <f t="shared" si="46"/>
        <v>0.56818181818181213</v>
      </c>
      <c r="E91" s="858">
        <f t="shared" si="47"/>
        <v>4.0934053195011755</v>
      </c>
      <c r="F91" s="859">
        <f t="shared" si="48"/>
        <v>6.4396603364680116</v>
      </c>
      <c r="G91" s="860">
        <f t="shared" si="49"/>
        <v>12.093006254178196</v>
      </c>
      <c r="H91" s="861">
        <f t="shared" si="50"/>
        <v>1.6033849940324494</v>
      </c>
    </row>
    <row r="92" spans="1:8">
      <c r="A92" s="1014" t="s">
        <v>489</v>
      </c>
      <c r="B92" s="868">
        <f>geral!C1426</f>
        <v>0.15970000000000001</v>
      </c>
      <c r="C92" s="857">
        <f t="shared" si="14"/>
        <v>133.08333333333334</v>
      </c>
      <c r="D92" s="858">
        <f t="shared" ref="D92:D97" si="51">100*(B92/B91-1)</f>
        <v>0.25109855618330457</v>
      </c>
      <c r="E92" s="858">
        <f t="shared" ref="E92:E97" si="52">100*(B92/B$85-1)</f>
        <v>4.3547823573404809</v>
      </c>
      <c r="F92" s="859">
        <f t="shared" ref="F92:F97" si="53">100*(B92/B80-1)</f>
        <v>6.8244356660119188</v>
      </c>
      <c r="G92" s="860">
        <f t="shared" ref="G92:G97" si="54">100*(B92/B68-1)</f>
        <v>11.913104414856356</v>
      </c>
      <c r="H92" s="861">
        <f t="shared" si="50"/>
        <v>1.5993690015614852</v>
      </c>
    </row>
    <row r="93" spans="1:8">
      <c r="A93" s="1014" t="s">
        <v>490</v>
      </c>
      <c r="B93" s="868">
        <f>geral!C1427</f>
        <v>0.15970000000000001</v>
      </c>
      <c r="C93" s="857">
        <f t="shared" si="14"/>
        <v>133.08333333333334</v>
      </c>
      <c r="D93" s="858">
        <f t="shared" si="51"/>
        <v>0</v>
      </c>
      <c r="E93" s="858">
        <f t="shared" si="52"/>
        <v>4.3547823573404809</v>
      </c>
      <c r="F93" s="859">
        <f t="shared" si="53"/>
        <v>6.8992651516180503</v>
      </c>
      <c r="G93" s="860">
        <f t="shared" si="54"/>
        <v>11.647681726636282</v>
      </c>
      <c r="H93" s="861">
        <f t="shared" si="50"/>
        <v>1.5993690015614852</v>
      </c>
    </row>
    <row r="94" spans="1:8">
      <c r="A94" s="1014" t="s">
        <v>491</v>
      </c>
      <c r="B94" s="868">
        <f>geral!C1428</f>
        <v>0.16032765121185713</v>
      </c>
      <c r="C94" s="857">
        <f t="shared" si="14"/>
        <v>133.60637600988093</v>
      </c>
      <c r="D94" s="858">
        <f t="shared" si="51"/>
        <v>0.39301891788172671</v>
      </c>
      <c r="E94" s="858">
        <f t="shared" si="52"/>
        <v>4.764916393719143</v>
      </c>
      <c r="F94" s="859">
        <f t="shared" si="53"/>
        <v>7.3945756897232595</v>
      </c>
      <c r="G94" s="860">
        <f t="shared" si="54"/>
        <v>11.996880732612269</v>
      </c>
      <c r="H94" s="861">
        <f t="shared" si="50"/>
        <v>1.5931077865779868</v>
      </c>
    </row>
    <row r="95" spans="1:8">
      <c r="A95" s="1014" t="s">
        <v>492</v>
      </c>
      <c r="B95" s="868">
        <f>geral!C1429</f>
        <v>0.16032765121185713</v>
      </c>
      <c r="C95" s="857">
        <f t="shared" si="14"/>
        <v>133.60637600988093</v>
      </c>
      <c r="D95" s="858">
        <f t="shared" si="51"/>
        <v>0</v>
      </c>
      <c r="E95" s="858">
        <f t="shared" si="52"/>
        <v>4.764916393719143</v>
      </c>
      <c r="F95" s="859">
        <f t="shared" si="53"/>
        <v>6.8177597868741335</v>
      </c>
      <c r="G95" s="860">
        <f t="shared" si="54"/>
        <v>11.817971977448337</v>
      </c>
      <c r="H95" s="861">
        <f t="shared" si="50"/>
        <v>1.5931077865779868</v>
      </c>
    </row>
    <row r="96" spans="1:8">
      <c r="A96" s="1014" t="s">
        <v>493</v>
      </c>
      <c r="B96" s="868">
        <f>geral!C1430</f>
        <v>0.16084069969573508</v>
      </c>
      <c r="C96" s="857">
        <f t="shared" si="14"/>
        <v>134.03391641311259</v>
      </c>
      <c r="D96" s="858">
        <f t="shared" si="51"/>
        <v>0.32000000000000917</v>
      </c>
      <c r="E96" s="858">
        <f t="shared" si="52"/>
        <v>5.1001641261790631</v>
      </c>
      <c r="F96" s="859">
        <f t="shared" si="53"/>
        <v>6.1826958166786961</v>
      </c>
      <c r="G96" s="860">
        <f t="shared" si="54"/>
        <v>11.907212178547667</v>
      </c>
      <c r="H96" s="861">
        <f t="shared" si="50"/>
        <v>1.5880261030482323</v>
      </c>
    </row>
    <row r="97" spans="1:8">
      <c r="A97" s="1014" t="s">
        <v>494</v>
      </c>
      <c r="B97" s="868">
        <f>geral!C1431</f>
        <v>0.16175749168400078</v>
      </c>
      <c r="C97" s="857">
        <f t="shared" si="14"/>
        <v>134.79790973666732</v>
      </c>
      <c r="D97" s="858">
        <f t="shared" si="51"/>
        <v>0.57000000000000384</v>
      </c>
      <c r="E97" s="858">
        <f t="shared" si="52"/>
        <v>5.6992350616982712</v>
      </c>
      <c r="F97" s="859">
        <f t="shared" si="53"/>
        <v>5.6992350616982712</v>
      </c>
      <c r="G97" s="860">
        <f t="shared" si="54"/>
        <v>12.130201542259034</v>
      </c>
      <c r="H97" s="861">
        <f t="shared" si="50"/>
        <v>1.579025656804447</v>
      </c>
    </row>
    <row r="98" spans="1:8">
      <c r="A98" s="1014" t="s">
        <v>495</v>
      </c>
      <c r="B98" s="868">
        <f>geral!E1420</f>
        <v>0.16258245489158921</v>
      </c>
      <c r="C98" s="857">
        <f t="shared" ref="C98:C103" si="55">100*B98/$B$8</f>
        <v>135.48537907632434</v>
      </c>
      <c r="D98" s="858">
        <f t="shared" ref="D98:D103" si="56">100*(B98/B97-1)</f>
        <v>0.51000000000001044</v>
      </c>
      <c r="E98" s="858">
        <f t="shared" ref="E98:E103" si="57">100*(B98/B$97-1)</f>
        <v>0.51000000000001044</v>
      </c>
      <c r="F98" s="859">
        <f t="shared" ref="F98:F103" si="58">100*(B98/B86-1)</f>
        <v>5.6046731217822554</v>
      </c>
      <c r="G98" s="860">
        <f t="shared" ref="G98:G103" si="59">100*(B98/B74-1)</f>
        <v>12.432228222390851</v>
      </c>
      <c r="H98" s="861">
        <f t="shared" si="50"/>
        <v>1.5710134880155673</v>
      </c>
    </row>
    <row r="99" spans="1:8">
      <c r="A99" s="1014" t="s">
        <v>496</v>
      </c>
      <c r="B99" s="868">
        <f>geral!E1421</f>
        <v>0.16341162541153634</v>
      </c>
      <c r="C99" s="857">
        <f t="shared" si="55"/>
        <v>136.17635450961362</v>
      </c>
      <c r="D99" s="858">
        <f t="shared" si="56"/>
        <v>0.51000000000001044</v>
      </c>
      <c r="E99" s="858">
        <f t="shared" si="57"/>
        <v>1.022601000000023</v>
      </c>
      <c r="F99" s="859">
        <f t="shared" si="58"/>
        <v>5.1548018176177601</v>
      </c>
      <c r="G99" s="860">
        <f t="shared" si="59"/>
        <v>12.01985783735633</v>
      </c>
      <c r="H99" s="861">
        <f t="shared" si="50"/>
        <v>1.56304197394843</v>
      </c>
    </row>
    <row r="100" spans="1:8">
      <c r="A100" s="1014" t="s">
        <v>497</v>
      </c>
      <c r="B100" s="868">
        <f>geral!E1422</f>
        <v>0.16404893075064134</v>
      </c>
      <c r="C100" s="857">
        <f t="shared" si="55"/>
        <v>136.70744229220111</v>
      </c>
      <c r="D100" s="858">
        <f t="shared" si="56"/>
        <v>0.39000000000000146</v>
      </c>
      <c r="E100" s="858">
        <f t="shared" si="57"/>
        <v>1.4165891439000378</v>
      </c>
      <c r="F100" s="859">
        <f t="shared" si="58"/>
        <v>5.0249236559803734</v>
      </c>
      <c r="G100" s="860">
        <f t="shared" si="59"/>
        <v>11.675010211441951</v>
      </c>
      <c r="H100" s="861">
        <f t="shared" si="50"/>
        <v>1.5569697917605638</v>
      </c>
    </row>
    <row r="101" spans="1:8">
      <c r="A101" s="1014" t="s">
        <v>498</v>
      </c>
      <c r="B101" s="868">
        <f>geral!E1423</f>
        <v>0.16434421882599248</v>
      </c>
      <c r="C101" s="857">
        <f t="shared" si="55"/>
        <v>136.95351568832709</v>
      </c>
      <c r="D101" s="858">
        <f t="shared" si="56"/>
        <v>0.18000000000000238</v>
      </c>
      <c r="E101" s="858">
        <f t="shared" si="57"/>
        <v>1.5991390043590625</v>
      </c>
      <c r="F101" s="859">
        <f t="shared" si="58"/>
        <v>4.4972313175521528</v>
      </c>
      <c r="G101" s="860">
        <f t="shared" si="59"/>
        <v>11.087305361754062</v>
      </c>
      <c r="H101" s="861">
        <f t="shared" si="50"/>
        <v>1.5541722816535875</v>
      </c>
    </row>
    <row r="102" spans="1:8">
      <c r="A102" s="1014" t="s">
        <v>499</v>
      </c>
      <c r="B102" s="868">
        <f>geral!E1424</f>
        <v>0.16539602182647883</v>
      </c>
      <c r="C102" s="857">
        <f t="shared" si="55"/>
        <v>137.83001818873237</v>
      </c>
      <c r="D102" s="858">
        <f t="shared" si="56"/>
        <v>0.63999999999999613</v>
      </c>
      <c r="E102" s="858">
        <f t="shared" si="57"/>
        <v>2.2493734939869503</v>
      </c>
      <c r="F102" s="859">
        <f t="shared" si="58"/>
        <v>4.4166804460093578</v>
      </c>
      <c r="G102" s="860">
        <f t="shared" si="59"/>
        <v>10.988051341277938</v>
      </c>
      <c r="H102" s="861">
        <f t="shared" si="50"/>
        <v>1.5442888331216091</v>
      </c>
    </row>
    <row r="103" spans="1:8">
      <c r="A103" s="1014" t="s">
        <v>500</v>
      </c>
      <c r="B103" s="868">
        <f>geral!E1425</f>
        <v>0.16630569994652447</v>
      </c>
      <c r="C103" s="857">
        <f t="shared" si="55"/>
        <v>138.58808328877041</v>
      </c>
      <c r="D103" s="858">
        <f t="shared" si="56"/>
        <v>0.55000000000000604</v>
      </c>
      <c r="E103" s="858">
        <f t="shared" si="57"/>
        <v>2.8117450482038731</v>
      </c>
      <c r="F103" s="859">
        <f t="shared" si="58"/>
        <v>4.3978028540643255</v>
      </c>
      <c r="G103" s="860">
        <f t="shared" si="59"/>
        <v>11.120666756601572</v>
      </c>
      <c r="H103" s="861">
        <f t="shared" si="50"/>
        <v>1.5358417037509786</v>
      </c>
    </row>
    <row r="104" spans="1:8">
      <c r="A104" s="1014" t="s">
        <v>501</v>
      </c>
      <c r="B104" s="868">
        <f>geral!E1426</f>
        <v>0.16673809476638543</v>
      </c>
      <c r="C104" s="857">
        <f t="shared" ref="C104:C109" si="60">100*B104/$B$8</f>
        <v>138.9484123053212</v>
      </c>
      <c r="D104" s="858">
        <f t="shared" ref="D104:D109" si="61">100*(B104/B103-1)</f>
        <v>0.25999999999999357</v>
      </c>
      <c r="E104" s="858">
        <f t="shared" ref="E104:E109" si="62">100*(B104/B$97-1)</f>
        <v>3.0790555853292156</v>
      </c>
      <c r="F104" s="859">
        <f t="shared" ref="F104:F109" si="63">100*(B104/B92-1)</f>
        <v>4.4070724899094582</v>
      </c>
      <c r="G104" s="860">
        <f t="shared" ref="G104:G109" si="64">100*(B104/B80-1)</f>
        <v>11.532265982749767</v>
      </c>
      <c r="H104" s="861">
        <f t="shared" si="50"/>
        <v>1.5318588706871921</v>
      </c>
    </row>
    <row r="105" spans="1:8">
      <c r="A105" s="1014" t="s">
        <v>502</v>
      </c>
      <c r="B105" s="868">
        <f>geral!E1427</f>
        <v>0.16745506857388087</v>
      </c>
      <c r="C105" s="857">
        <f t="shared" si="60"/>
        <v>139.54589047823407</v>
      </c>
      <c r="D105" s="858">
        <f t="shared" si="61"/>
        <v>0.42999999999999705</v>
      </c>
      <c r="E105" s="858">
        <f t="shared" si="62"/>
        <v>3.5222955243461085</v>
      </c>
      <c r="F105" s="859">
        <f t="shared" si="63"/>
        <v>4.8560229016160639</v>
      </c>
      <c r="G105" s="860">
        <f t="shared" si="64"/>
        <v>12.090317949039896</v>
      </c>
      <c r="H105" s="861">
        <f t="shared" si="50"/>
        <v>1.5253000803417227</v>
      </c>
    </row>
    <row r="106" spans="1:8">
      <c r="A106" s="1014" t="s">
        <v>503</v>
      </c>
      <c r="B106" s="868">
        <f>geral!E1428</f>
        <v>0.16820861638246332</v>
      </c>
      <c r="C106" s="857">
        <f t="shared" si="60"/>
        <v>140.17384698538609</v>
      </c>
      <c r="D106" s="858">
        <f t="shared" si="61"/>
        <v>0.44999999999999485</v>
      </c>
      <c r="E106" s="858">
        <f t="shared" si="62"/>
        <v>3.9881458542056603</v>
      </c>
      <c r="F106" s="859">
        <f t="shared" si="63"/>
        <v>4.9155370960884737</v>
      </c>
      <c r="G106" s="860">
        <f t="shared" si="64"/>
        <v>12.673595896938416</v>
      </c>
      <c r="H106" s="861">
        <f t="shared" si="50"/>
        <v>1.5184669789365086</v>
      </c>
    </row>
    <row r="107" spans="1:8">
      <c r="A107" s="1014" t="s">
        <v>504</v>
      </c>
      <c r="B107" s="868">
        <f>geral!E1429</f>
        <v>0.16926833066567282</v>
      </c>
      <c r="C107" s="857">
        <f t="shared" si="60"/>
        <v>141.05694222139402</v>
      </c>
      <c r="D107" s="858">
        <f t="shared" si="61"/>
        <v>0.62999999999999723</v>
      </c>
      <c r="E107" s="858">
        <f t="shared" si="62"/>
        <v>4.6432711730871379</v>
      </c>
      <c r="F107" s="859">
        <f t="shared" si="63"/>
        <v>5.5765049797938282</v>
      </c>
      <c r="G107" s="860">
        <f t="shared" si="64"/>
        <v>12.774457480693391</v>
      </c>
      <c r="H107" s="861">
        <f t="shared" si="50"/>
        <v>1.5089605276125497</v>
      </c>
    </row>
    <row r="108" spans="1:8">
      <c r="A108" s="1014" t="s">
        <v>505</v>
      </c>
      <c r="B108" s="868">
        <f>geral!E1430</f>
        <v>0.17047013581339912</v>
      </c>
      <c r="C108" s="857">
        <f t="shared" si="60"/>
        <v>142.05844651116593</v>
      </c>
      <c r="D108" s="858">
        <f t="shared" si="61"/>
        <v>0.71000000000001062</v>
      </c>
      <c r="E108" s="858">
        <f t="shared" si="62"/>
        <v>5.3862383984160767</v>
      </c>
      <c r="F108" s="859">
        <f t="shared" si="63"/>
        <v>5.9869399572870519</v>
      </c>
      <c r="G108" s="860">
        <f t="shared" si="64"/>
        <v>12.539790060251988</v>
      </c>
      <c r="H108" s="861">
        <f t="shared" si="50"/>
        <v>1.4983224383006151</v>
      </c>
    </row>
    <row r="109" spans="1:8">
      <c r="A109" s="1014" t="s">
        <v>506</v>
      </c>
      <c r="B109" s="868">
        <f>geral!E1431</f>
        <v>0.17139067454679149</v>
      </c>
      <c r="C109" s="857">
        <f t="shared" si="60"/>
        <v>142.82556212232626</v>
      </c>
      <c r="D109" s="858">
        <f t="shared" si="61"/>
        <v>0.54000000000000714</v>
      </c>
      <c r="E109" s="858">
        <f t="shared" si="62"/>
        <v>5.9553240857675327</v>
      </c>
      <c r="F109" s="859">
        <f t="shared" si="63"/>
        <v>5.9553240857675327</v>
      </c>
      <c r="G109" s="860">
        <f t="shared" si="64"/>
        <v>11.993967065799627</v>
      </c>
      <c r="H109" s="861">
        <f t="shared" si="50"/>
        <v>1.4902749535514372</v>
      </c>
    </row>
    <row r="110" spans="1:8">
      <c r="A110" s="1014" t="s">
        <v>507</v>
      </c>
      <c r="B110" s="868">
        <f>geral!G1420</f>
        <v>0.17265896553843776</v>
      </c>
      <c r="C110" s="857">
        <f t="shared" ref="C110:C115" si="65">100*B110/$B$8</f>
        <v>143.88247128203147</v>
      </c>
      <c r="D110" s="858">
        <f t="shared" ref="D110:D115" si="66">100*(B110/B109-1)</f>
        <v>0.74000000000000732</v>
      </c>
      <c r="E110" s="858">
        <f t="shared" ref="E110:E115" si="67">100*(B110/B$109-1)</f>
        <v>0.74000000000000732</v>
      </c>
      <c r="F110" s="859">
        <f t="shared" ref="F110:F115" si="68">100*(B110/B98-1)</f>
        <v>6.197784781615967</v>
      </c>
      <c r="G110" s="860">
        <f t="shared" ref="G110:G115" si="69">100*(B110/B86-1)</f>
        <v>12.149823481199373</v>
      </c>
      <c r="H110" s="861">
        <f t="shared" si="50"/>
        <v>1.4793279268924331</v>
      </c>
    </row>
    <row r="111" spans="1:8">
      <c r="A111" s="1014" t="s">
        <v>508</v>
      </c>
      <c r="B111" s="868">
        <f>geral!G1421</f>
        <v>0.1742474280213914</v>
      </c>
      <c r="C111" s="857">
        <f t="shared" si="65"/>
        <v>145.20619001782617</v>
      </c>
      <c r="D111" s="858">
        <f t="shared" si="66"/>
        <v>0.9200000000000097</v>
      </c>
      <c r="E111" s="858">
        <f t="shared" si="67"/>
        <v>1.6668080000000085</v>
      </c>
      <c r="F111" s="859">
        <f t="shared" si="68"/>
        <v>6.6309863711141448</v>
      </c>
      <c r="G111" s="860">
        <f t="shared" si="69"/>
        <v>12.127602394716064</v>
      </c>
      <c r="H111" s="861">
        <f t="shared" si="50"/>
        <v>1.4658421788470404</v>
      </c>
    </row>
    <row r="112" spans="1:8">
      <c r="A112" s="1014" t="s">
        <v>509</v>
      </c>
      <c r="B112" s="868">
        <f>geral!G1422</f>
        <v>0.17515351464710266</v>
      </c>
      <c r="C112" s="857">
        <f t="shared" si="65"/>
        <v>145.9612622059189</v>
      </c>
      <c r="D112" s="858">
        <f t="shared" si="66"/>
        <v>0.52000000000000934</v>
      </c>
      <c r="E112" s="858">
        <f t="shared" si="67"/>
        <v>2.1954754016000333</v>
      </c>
      <c r="F112" s="859">
        <f t="shared" si="68"/>
        <v>6.7690681345193182</v>
      </c>
      <c r="G112" s="860">
        <f t="shared" si="69"/>
        <v>12.134132296480571</v>
      </c>
      <c r="H112" s="861">
        <f t="shared" si="50"/>
        <v>1.4582592308466376</v>
      </c>
    </row>
    <row r="113" spans="1:8">
      <c r="A113" s="1014" t="s">
        <v>510</v>
      </c>
      <c r="B113" s="868">
        <f>geral!G1423</f>
        <v>0.17620443573498529</v>
      </c>
      <c r="C113" s="857">
        <f t="shared" si="65"/>
        <v>146.83702977915442</v>
      </c>
      <c r="D113" s="858">
        <f t="shared" si="66"/>
        <v>0.60000000000000053</v>
      </c>
      <c r="E113" s="858">
        <f t="shared" si="67"/>
        <v>2.808648254009638</v>
      </c>
      <c r="F113" s="859">
        <f t="shared" si="68"/>
        <v>7.2166924968321444</v>
      </c>
      <c r="G113" s="860">
        <f t="shared" si="69"/>
        <v>12.038475169443274</v>
      </c>
      <c r="H113" s="861">
        <f t="shared" si="50"/>
        <v>1.4495618596885065</v>
      </c>
    </row>
    <row r="114" spans="1:8">
      <c r="A114" s="1014" t="s">
        <v>511</v>
      </c>
      <c r="B114" s="868">
        <f>geral!G1424</f>
        <v>0.17724404190582171</v>
      </c>
      <c r="C114" s="857">
        <f t="shared" si="65"/>
        <v>147.70336825485143</v>
      </c>
      <c r="D114" s="858">
        <f t="shared" si="66"/>
        <v>0.59000000000000163</v>
      </c>
      <c r="E114" s="858">
        <f t="shared" si="67"/>
        <v>3.4152192787082924</v>
      </c>
      <c r="F114" s="859">
        <f t="shared" si="68"/>
        <v>7.163425062165607</v>
      </c>
      <c r="G114" s="860">
        <f t="shared" si="69"/>
        <v>11.896491102160155</v>
      </c>
      <c r="H114" s="861">
        <f t="shared" si="50"/>
        <v>1.4410596080012987</v>
      </c>
    </row>
    <row r="115" spans="1:8">
      <c r="A115" s="1014" t="s">
        <v>512</v>
      </c>
      <c r="B115" s="868">
        <f>geral!G1425</f>
        <v>0.1778643960524921</v>
      </c>
      <c r="C115" s="857">
        <f t="shared" si="65"/>
        <v>148.22033004374342</v>
      </c>
      <c r="D115" s="858">
        <f t="shared" si="66"/>
        <v>0.35000000000000586</v>
      </c>
      <c r="E115" s="858">
        <f t="shared" si="67"/>
        <v>3.7771725461837935</v>
      </c>
      <c r="F115" s="859">
        <f t="shared" si="68"/>
        <v>6.9502705617933369</v>
      </c>
      <c r="G115" s="860">
        <f t="shared" si="69"/>
        <v>11.653732612989387</v>
      </c>
      <c r="H115" s="861">
        <f t="shared" si="50"/>
        <v>1.4360334907835561</v>
      </c>
    </row>
    <row r="116" spans="1:8">
      <c r="A116" s="1014" t="s">
        <v>513</v>
      </c>
      <c r="B116" s="868">
        <f>geral!G1426</f>
        <v>0.17836241636143907</v>
      </c>
      <c r="C116" s="857">
        <f t="shared" ref="C116:C121" si="70">100*B116/$B$8</f>
        <v>148.6353469678659</v>
      </c>
      <c r="D116" s="858">
        <f t="shared" ref="D116:D121" si="71">100*(B116/B115-1)</f>
        <v>0.27999999999999137</v>
      </c>
      <c r="E116" s="858">
        <f t="shared" ref="E116:E121" si="72">100*(B116/B$109-1)</f>
        <v>4.0677486293130949</v>
      </c>
      <c r="F116" s="859">
        <f t="shared" ref="F116:F121" si="73">100*(B116/B104-1)</f>
        <v>6.9716051459867812</v>
      </c>
      <c r="G116" s="860">
        <f t="shared" ref="G116:G121" si="74">100*(B116/B92-1)</f>
        <v>11.685921328390148</v>
      </c>
      <c r="H116" s="861">
        <f t="shared" si="50"/>
        <v>1.4320238240761429</v>
      </c>
    </row>
    <row r="117" spans="1:8">
      <c r="A117" s="1014" t="s">
        <v>514</v>
      </c>
      <c r="B117" s="868">
        <f>geral!G1427</f>
        <v>0.17813054522016922</v>
      </c>
      <c r="C117" s="857">
        <f t="shared" si="70"/>
        <v>148.4421210168077</v>
      </c>
      <c r="D117" s="858">
        <f t="shared" si="71"/>
        <v>-0.12999999999998568</v>
      </c>
      <c r="E117" s="858">
        <f t="shared" si="72"/>
        <v>3.9324605560949966</v>
      </c>
      <c r="F117" s="859">
        <f t="shared" si="73"/>
        <v>6.375129004577329</v>
      </c>
      <c r="G117" s="860">
        <f t="shared" si="74"/>
        <v>11.540729630663238</v>
      </c>
      <c r="H117" s="861">
        <f t="shared" si="50"/>
        <v>1.4338878783179561</v>
      </c>
    </row>
    <row r="118" spans="1:8">
      <c r="A118" s="1014" t="s">
        <v>515</v>
      </c>
      <c r="B118" s="868">
        <f>geral!G1428</f>
        <v>0.17841555409252149</v>
      </c>
      <c r="C118" s="857">
        <f t="shared" si="70"/>
        <v>148.67962841043456</v>
      </c>
      <c r="D118" s="858">
        <f t="shared" si="71"/>
        <v>0.16000000000000458</v>
      </c>
      <c r="E118" s="858">
        <f t="shared" si="72"/>
        <v>4.0987524929847474</v>
      </c>
      <c r="F118" s="859">
        <f t="shared" si="73"/>
        <v>6.0680231070031621</v>
      </c>
      <c r="G118" s="860">
        <f t="shared" si="74"/>
        <v>11.2818361299156</v>
      </c>
      <c r="H118" s="861">
        <f t="shared" si="50"/>
        <v>1.4315973226017933</v>
      </c>
    </row>
    <row r="119" spans="1:8">
      <c r="A119" s="1014" t="s">
        <v>516</v>
      </c>
      <c r="B119" s="868">
        <f>geral!G1429</f>
        <v>0.17889727608857128</v>
      </c>
      <c r="C119" s="857">
        <f t="shared" si="70"/>
        <v>149.08106340714275</v>
      </c>
      <c r="D119" s="858">
        <f t="shared" si="71"/>
        <v>0.26999999999999247</v>
      </c>
      <c r="E119" s="858">
        <f t="shared" si="72"/>
        <v>4.3798191247158114</v>
      </c>
      <c r="F119" s="859">
        <f t="shared" si="73"/>
        <v>5.6885687860400269</v>
      </c>
      <c r="G119" s="860">
        <f t="shared" si="74"/>
        <v>11.582297087466365</v>
      </c>
      <c r="H119" s="861">
        <f t="shared" si="50"/>
        <v>1.4277424180729963</v>
      </c>
    </row>
    <row r="120" spans="1:8">
      <c r="A120" s="1014" t="s">
        <v>517</v>
      </c>
      <c r="B120" s="868">
        <f>geral!G1430</f>
        <v>0.17998854947271156</v>
      </c>
      <c r="C120" s="857">
        <f t="shared" si="70"/>
        <v>149.9904578939263</v>
      </c>
      <c r="D120" s="858">
        <f t="shared" si="71"/>
        <v>0.60999999999999943</v>
      </c>
      <c r="E120" s="858">
        <f t="shared" si="72"/>
        <v>5.016536021376572</v>
      </c>
      <c r="F120" s="859">
        <f t="shared" si="73"/>
        <v>5.5836253158920046</v>
      </c>
      <c r="G120" s="860">
        <f t="shared" si="74"/>
        <v>11.904853568281393</v>
      </c>
      <c r="H120" s="861">
        <f t="shared" si="50"/>
        <v>1.4190859935125697</v>
      </c>
    </row>
    <row r="121" spans="1:8">
      <c r="A121" s="1014" t="s">
        <v>518</v>
      </c>
      <c r="B121" s="868">
        <f>geral!G1431</f>
        <v>0.18096048763986422</v>
      </c>
      <c r="C121" s="857">
        <f t="shared" si="70"/>
        <v>150.80040636655352</v>
      </c>
      <c r="D121" s="858">
        <f t="shared" si="71"/>
        <v>0.54000000000000714</v>
      </c>
      <c r="E121" s="858">
        <f t="shared" si="72"/>
        <v>5.5836253158920046</v>
      </c>
      <c r="F121" s="859">
        <f t="shared" si="73"/>
        <v>5.5836253158920046</v>
      </c>
      <c r="G121" s="860">
        <f t="shared" si="74"/>
        <v>11.871472384955872</v>
      </c>
      <c r="H121" s="861">
        <f t="shared" si="50"/>
        <v>1.4114640874403914</v>
      </c>
    </row>
    <row r="122" spans="1:8">
      <c r="A122" s="1014" t="s">
        <v>519</v>
      </c>
      <c r="B122" s="868">
        <f>geral!I1420</f>
        <v>0.18226340315087125</v>
      </c>
      <c r="C122" s="857">
        <f t="shared" ref="C122:C127" si="75">100*B122/$B$8</f>
        <v>151.88616929239271</v>
      </c>
      <c r="D122" s="858">
        <f t="shared" ref="D122:D127" si="76">100*(B122/B121-1)</f>
        <v>0.72000000000000952</v>
      </c>
      <c r="E122" s="858">
        <f t="shared" ref="E122:E127" si="77">100*(B122/B$121-1)</f>
        <v>0.72000000000000952</v>
      </c>
      <c r="F122" s="859">
        <f t="shared" ref="F122:F127" si="78">100*(B122/B110-1)</f>
        <v>5.5626637067365703</v>
      </c>
      <c r="G122" s="860">
        <f t="shared" ref="G122:G127" si="79">100*(B122/B98-1)</f>
        <v>12.105210413021128</v>
      </c>
      <c r="H122" s="861">
        <f t="shared" si="50"/>
        <v>1.4013741932489987</v>
      </c>
    </row>
    <row r="123" spans="1:8">
      <c r="A123" s="1014" t="s">
        <v>520</v>
      </c>
      <c r="B123" s="868">
        <f>geral!I1421</f>
        <v>0.18341166259072172</v>
      </c>
      <c r="C123" s="857">
        <f t="shared" si="75"/>
        <v>152.84305215893477</v>
      </c>
      <c r="D123" s="858">
        <f t="shared" si="76"/>
        <v>0.62999999999999723</v>
      </c>
      <c r="E123" s="858">
        <f t="shared" si="77"/>
        <v>1.3545359999999951</v>
      </c>
      <c r="F123" s="859">
        <f t="shared" si="78"/>
        <v>5.2593227190735226</v>
      </c>
      <c r="G123" s="860">
        <f t="shared" si="79"/>
        <v>12.239054062902333</v>
      </c>
      <c r="H123" s="861">
        <f t="shared" si="50"/>
        <v>1.3926008081576058</v>
      </c>
    </row>
    <row r="124" spans="1:8">
      <c r="A124" s="1014" t="s">
        <v>521</v>
      </c>
      <c r="B124" s="868">
        <f>geral!I1422</f>
        <v>0.18458549723130233</v>
      </c>
      <c r="C124" s="857">
        <f t="shared" si="75"/>
        <v>153.82124769275194</v>
      </c>
      <c r="D124" s="858">
        <f t="shared" si="76"/>
        <v>0.63999999999999613</v>
      </c>
      <c r="E124" s="858">
        <f t="shared" si="77"/>
        <v>2.0032050303999904</v>
      </c>
      <c r="F124" s="859">
        <f t="shared" si="78"/>
        <v>5.3849804859486428</v>
      </c>
      <c r="G124" s="860">
        <f t="shared" si="79"/>
        <v>12.518561618592393</v>
      </c>
      <c r="H124" s="861">
        <f t="shared" si="50"/>
        <v>1.3837448411740918</v>
      </c>
    </row>
    <row r="125" spans="1:8">
      <c r="A125" s="1014" t="s">
        <v>522</v>
      </c>
      <c r="B125" s="868">
        <f>geral!I1423</f>
        <v>0.186099098308599</v>
      </c>
      <c r="C125" s="857">
        <f t="shared" si="75"/>
        <v>155.08258192383249</v>
      </c>
      <c r="D125" s="858">
        <f t="shared" si="76"/>
        <v>0.81999999999999851</v>
      </c>
      <c r="E125" s="858">
        <f t="shared" si="77"/>
        <v>2.83963131164926</v>
      </c>
      <c r="F125" s="859">
        <f t="shared" si="78"/>
        <v>5.6154446579854911</v>
      </c>
      <c r="G125" s="860">
        <f t="shared" si="79"/>
        <v>13.237386528114236</v>
      </c>
      <c r="H125" s="861">
        <f t="shared" si="50"/>
        <v>1.3724904197322871</v>
      </c>
    </row>
    <row r="126" spans="1:8">
      <c r="A126" s="1014" t="s">
        <v>523</v>
      </c>
      <c r="B126" s="868">
        <f>geral!I1424</f>
        <v>0.18755067127540609</v>
      </c>
      <c r="C126" s="857">
        <f t="shared" si="75"/>
        <v>156.29222606283841</v>
      </c>
      <c r="D126" s="858">
        <f t="shared" si="76"/>
        <v>0.78000000000000291</v>
      </c>
      <c r="E126" s="858">
        <f t="shared" si="77"/>
        <v>3.6417804358801265</v>
      </c>
      <c r="F126" s="859">
        <f t="shared" si="78"/>
        <v>5.8149369980294185</v>
      </c>
      <c r="G126" s="860">
        <f t="shared" si="79"/>
        <v>13.394910714460995</v>
      </c>
      <c r="H126" s="861">
        <f t="shared" si="50"/>
        <v>1.3618678504983994</v>
      </c>
    </row>
    <row r="127" spans="1:8">
      <c r="A127" s="1014" t="s">
        <v>524</v>
      </c>
      <c r="B127" s="868">
        <f>geral!I1425</f>
        <v>0.18867597530305852</v>
      </c>
      <c r="C127" s="857">
        <f t="shared" si="75"/>
        <v>157.22997941921543</v>
      </c>
      <c r="D127" s="858">
        <f t="shared" si="76"/>
        <v>0.60000000000000053</v>
      </c>
      <c r="E127" s="858">
        <f t="shared" si="77"/>
        <v>4.2636311184954145</v>
      </c>
      <c r="F127" s="859">
        <f t="shared" si="78"/>
        <v>6.0785516891056934</v>
      </c>
      <c r="G127" s="860">
        <f t="shared" si="79"/>
        <v>13.451298039530336</v>
      </c>
      <c r="H127" s="861">
        <f t="shared" si="50"/>
        <v>1.3537453782290252</v>
      </c>
    </row>
    <row r="128" spans="1:8">
      <c r="A128" s="1014" t="s">
        <v>525</v>
      </c>
      <c r="B128" s="868">
        <f>geral!I1426</f>
        <v>0.18916653283884646</v>
      </c>
      <c r="C128" s="857">
        <f t="shared" ref="C128:C133" si="80">100*B128/$B$8</f>
        <v>157.63877736570538</v>
      </c>
      <c r="D128" s="858">
        <f t="shared" ref="D128:D133" si="81">100*(B128/B127-1)</f>
        <v>0.25999999999999357</v>
      </c>
      <c r="E128" s="858">
        <f t="shared" ref="E128:E133" si="82">100*(B128/B$121-1)</f>
        <v>4.5347165594034955</v>
      </c>
      <c r="F128" s="859">
        <f t="shared" ref="F128:F133" si="83">100*(B128/B116-1)</f>
        <v>6.0573952168900824</v>
      </c>
      <c r="G128" s="860">
        <f t="shared" ref="G128:G133" si="84">100*(B128/B104-1)</f>
        <v>13.451298039530336</v>
      </c>
      <c r="H128" s="861">
        <f t="shared" si="50"/>
        <v>1.3502347678326605</v>
      </c>
    </row>
    <row r="129" spans="1:8">
      <c r="A129" s="1014" t="s">
        <v>526</v>
      </c>
      <c r="B129" s="868">
        <f>geral!I1427</f>
        <v>0.18941244933153698</v>
      </c>
      <c r="C129" s="857">
        <f t="shared" si="80"/>
        <v>157.84370777628081</v>
      </c>
      <c r="D129" s="858">
        <f t="shared" si="81"/>
        <v>0.13000000000000789</v>
      </c>
      <c r="E129" s="858">
        <f t="shared" si="82"/>
        <v>4.670611690930726</v>
      </c>
      <c r="F129" s="859">
        <f t="shared" si="83"/>
        <v>6.3335033850726363</v>
      </c>
      <c r="G129" s="860">
        <f t="shared" si="84"/>
        <v>13.112401400957619</v>
      </c>
      <c r="H129" s="861">
        <f t="shared" si="50"/>
        <v>1.3484817415686212</v>
      </c>
    </row>
    <row r="130" spans="1:8">
      <c r="A130" s="1014" t="s">
        <v>527</v>
      </c>
      <c r="B130" s="868">
        <f>geral!I1428</f>
        <v>0.18975339174033373</v>
      </c>
      <c r="C130" s="857">
        <f t="shared" si="80"/>
        <v>158.12782645027812</v>
      </c>
      <c r="D130" s="858">
        <f t="shared" si="81"/>
        <v>0.18000000000000238</v>
      </c>
      <c r="E130" s="858">
        <f t="shared" si="82"/>
        <v>4.8590187919743899</v>
      </c>
      <c r="F130" s="859">
        <f t="shared" si="83"/>
        <v>6.3547361133843516</v>
      </c>
      <c r="G130" s="860">
        <f t="shared" si="84"/>
        <v>12.808366076136736</v>
      </c>
      <c r="H130" s="861">
        <f t="shared" si="50"/>
        <v>1.3460588356644252</v>
      </c>
    </row>
    <row r="131" spans="1:8">
      <c r="A131" s="1014" t="s">
        <v>528</v>
      </c>
      <c r="B131" s="868">
        <f>geral!I1429</f>
        <v>0.19068318335986134</v>
      </c>
      <c r="C131" s="857">
        <f t="shared" si="80"/>
        <v>158.90265279988446</v>
      </c>
      <c r="D131" s="858">
        <f t="shared" si="81"/>
        <v>0.48999999999999044</v>
      </c>
      <c r="E131" s="858">
        <f t="shared" si="82"/>
        <v>5.3728279840550508</v>
      </c>
      <c r="F131" s="859">
        <f t="shared" si="83"/>
        <v>6.5880864868254951</v>
      </c>
      <c r="G131" s="860">
        <f t="shared" si="84"/>
        <v>12.651423104352389</v>
      </c>
      <c r="H131" s="861">
        <f t="shared" si="50"/>
        <v>1.3394953086520305</v>
      </c>
    </row>
    <row r="132" spans="1:8">
      <c r="A132" s="1014" t="s">
        <v>529</v>
      </c>
      <c r="B132" s="868">
        <f>geral!I1430</f>
        <v>0.19140777945662882</v>
      </c>
      <c r="C132" s="857">
        <f t="shared" si="80"/>
        <v>159.50648288052403</v>
      </c>
      <c r="D132" s="858">
        <f t="shared" si="81"/>
        <v>0.38000000000000256</v>
      </c>
      <c r="E132" s="858">
        <f t="shared" si="82"/>
        <v>5.7732447303944667</v>
      </c>
      <c r="F132" s="859">
        <f t="shared" si="83"/>
        <v>6.3444202519386206</v>
      </c>
      <c r="G132" s="860">
        <f t="shared" si="84"/>
        <v>12.282294223164447</v>
      </c>
      <c r="H132" s="861">
        <f t="shared" si="50"/>
        <v>1.3344244955688687</v>
      </c>
    </row>
    <row r="133" spans="1:8">
      <c r="A133" s="1014" t="s">
        <v>530</v>
      </c>
      <c r="B133" s="868">
        <f>geral!I1431</f>
        <v>0.19242224068774896</v>
      </c>
      <c r="C133" s="857">
        <f t="shared" si="80"/>
        <v>160.35186723979081</v>
      </c>
      <c r="D133" s="858">
        <f t="shared" si="81"/>
        <v>0.53000000000000824</v>
      </c>
      <c r="E133" s="858">
        <f t="shared" si="82"/>
        <v>6.3338429274655716</v>
      </c>
      <c r="F133" s="859">
        <f t="shared" si="83"/>
        <v>6.3338429274655716</v>
      </c>
      <c r="G133" s="860">
        <f t="shared" si="84"/>
        <v>12.271126300524383</v>
      </c>
      <c r="H133" s="861">
        <f t="shared" si="50"/>
        <v>1.3273893321086925</v>
      </c>
    </row>
    <row r="134" spans="1:8">
      <c r="A134" s="1014" t="s">
        <v>531</v>
      </c>
      <c r="B134" s="868">
        <f>geral!K1420</f>
        <v>0.19361525858001299</v>
      </c>
      <c r="C134" s="857">
        <f t="shared" ref="C134:C139" si="85">100*B134/$B$8</f>
        <v>161.34604881667752</v>
      </c>
      <c r="D134" s="858">
        <f t="shared" ref="D134:D139" si="86">100*(B134/B133-1)</f>
        <v>0.61999999999999833</v>
      </c>
      <c r="E134" s="858">
        <f t="shared" ref="E134:E139" si="87">100*(B134/B$133-1)</f>
        <v>0.61999999999999833</v>
      </c>
      <c r="F134" s="859">
        <f t="shared" ref="F134:F139" si="88">100*(B134/B122-1)</f>
        <v>6.2282692152659358</v>
      </c>
      <c r="G134" s="860">
        <f t="shared" ref="G134:G139" si="89">100*(B134/B110-1)</f>
        <v>12.137390593197939</v>
      </c>
      <c r="H134" s="861">
        <f t="shared" si="50"/>
        <v>1.3192102286908096</v>
      </c>
    </row>
    <row r="135" spans="1:8">
      <c r="A135" s="1014" t="s">
        <v>649</v>
      </c>
      <c r="B135" s="868">
        <f>geral!K1421</f>
        <v>0.19648076440699716</v>
      </c>
      <c r="C135" s="857">
        <f t="shared" si="85"/>
        <v>163.7339703391643</v>
      </c>
      <c r="D135" s="858">
        <f t="shared" si="86"/>
        <v>1.4799999999999924</v>
      </c>
      <c r="E135" s="858">
        <f t="shared" si="87"/>
        <v>2.1091759999999793</v>
      </c>
      <c r="F135" s="859">
        <f t="shared" si="88"/>
        <v>7.1255565931152232</v>
      </c>
      <c r="G135" s="860">
        <f t="shared" si="89"/>
        <v>12.759635328950903</v>
      </c>
      <c r="H135" s="861">
        <f t="shared" si="50"/>
        <v>1.299970662880183</v>
      </c>
    </row>
    <row r="136" spans="1:8">
      <c r="A136" s="1014" t="s">
        <v>650</v>
      </c>
      <c r="B136" s="868">
        <f>geral!K1422</f>
        <v>0.19875994127411833</v>
      </c>
      <c r="C136" s="857">
        <f t="shared" si="85"/>
        <v>165.6332843950986</v>
      </c>
      <c r="D136" s="858">
        <f t="shared" si="86"/>
        <v>1.1600000000000055</v>
      </c>
      <c r="E136" s="858">
        <f t="shared" si="87"/>
        <v>3.2936424415999754</v>
      </c>
      <c r="F136" s="859">
        <f t="shared" si="88"/>
        <v>7.6790670206631439</v>
      </c>
      <c r="G136" s="860">
        <f t="shared" si="89"/>
        <v>13.477563767177415</v>
      </c>
      <c r="H136" s="861">
        <f t="shared" si="50"/>
        <v>1.2850639213920354</v>
      </c>
    </row>
    <row r="137" spans="1:8">
      <c r="A137" s="1014" t="s">
        <v>652</v>
      </c>
      <c r="B137" s="868">
        <f>geral!K1423</f>
        <v>0.2017612163873575</v>
      </c>
      <c r="C137" s="857">
        <f t="shared" si="85"/>
        <v>168.1343469894646</v>
      </c>
      <c r="D137" s="858">
        <f t="shared" si="86"/>
        <v>1.5099999999999891</v>
      </c>
      <c r="E137" s="858">
        <f t="shared" si="87"/>
        <v>4.8533764424681269</v>
      </c>
      <c r="F137" s="859">
        <f t="shared" si="88"/>
        <v>8.4160096535163209</v>
      </c>
      <c r="G137" s="860">
        <f t="shared" si="89"/>
        <v>14.504050676005731</v>
      </c>
      <c r="H137" s="861">
        <f t="shared" si="50"/>
        <v>1.2659481050064383</v>
      </c>
    </row>
    <row r="138" spans="1:8">
      <c r="A138" s="1014" t="s">
        <v>653</v>
      </c>
      <c r="B138" s="868">
        <f>geral!K1424</f>
        <v>0.20319372102370775</v>
      </c>
      <c r="C138" s="857">
        <f t="shared" si="85"/>
        <v>169.32810085308981</v>
      </c>
      <c r="D138" s="858">
        <f t="shared" si="86"/>
        <v>0.71000000000001062</v>
      </c>
      <c r="E138" s="858">
        <f t="shared" si="87"/>
        <v>5.5978354152096621</v>
      </c>
      <c r="F138" s="859">
        <f t="shared" si="88"/>
        <v>8.3407058166861106</v>
      </c>
      <c r="G138" s="860">
        <f t="shared" si="89"/>
        <v>14.640649603146795</v>
      </c>
      <c r="H138" s="861">
        <f t="shared" si="50"/>
        <v>1.257023240002421</v>
      </c>
    </row>
    <row r="139" spans="1:8">
      <c r="A139" s="1014" t="s">
        <v>654</v>
      </c>
      <c r="B139" s="868">
        <f>geral!K1425</f>
        <v>0.20520533886184247</v>
      </c>
      <c r="C139" s="857">
        <f t="shared" si="85"/>
        <v>171.0044490515354</v>
      </c>
      <c r="D139" s="858">
        <f t="shared" si="86"/>
        <v>0.99000000000000199</v>
      </c>
      <c r="E139" s="858">
        <f t="shared" si="87"/>
        <v>6.6432539858202411</v>
      </c>
      <c r="F139" s="859">
        <f t="shared" si="88"/>
        <v>8.7607145171683101</v>
      </c>
      <c r="G139" s="860">
        <f t="shared" si="89"/>
        <v>15.371790766535076</v>
      </c>
      <c r="H139" s="861">
        <f t="shared" si="50"/>
        <v>1.2447007030423023</v>
      </c>
    </row>
    <row r="140" spans="1:8">
      <c r="A140" s="1014" t="s">
        <v>657</v>
      </c>
      <c r="B140" s="868">
        <f>geral!K1426</f>
        <v>0.20678541997107866</v>
      </c>
      <c r="C140" s="857">
        <f t="shared" ref="C140:C145" si="90">100*B140/$B$8</f>
        <v>172.32118330923223</v>
      </c>
      <c r="D140" s="858">
        <f t="shared" ref="D140:D145" si="91">100*(B140/B139-1)</f>
        <v>0.77000000000000401</v>
      </c>
      <c r="E140" s="858">
        <f t="shared" ref="E140:E145" si="92">100*(B140/B$133-1)</f>
        <v>7.4644070415110564</v>
      </c>
      <c r="F140" s="859">
        <f t="shared" ref="F140:F145" si="93">100*(B140/B128-1)</f>
        <v>9.3139557340420112</v>
      </c>
      <c r="G140" s="860">
        <f t="shared" ref="G140:G145" si="94">100*(B140/B116-1)</f>
        <v>15.935534060069223</v>
      </c>
      <c r="H140" s="861">
        <f t="shared" si="50"/>
        <v>1.2351897420286813</v>
      </c>
    </row>
    <row r="141" spans="1:8">
      <c r="A141" s="1014" t="str">
        <f>'mnt_Atego 2426'!A141</f>
        <v>AGOSTO|15</v>
      </c>
      <c r="B141" s="868">
        <f>geral!K1427</f>
        <v>0.20798477540691093</v>
      </c>
      <c r="C141" s="857">
        <f t="shared" si="90"/>
        <v>173.32064617242577</v>
      </c>
      <c r="D141" s="858">
        <f t="shared" si="91"/>
        <v>0.58000000000000274</v>
      </c>
      <c r="E141" s="858">
        <f t="shared" si="92"/>
        <v>8.0877006023518447</v>
      </c>
      <c r="F141" s="859">
        <f t="shared" si="93"/>
        <v>9.8052298784574674</v>
      </c>
      <c r="G141" s="860">
        <f t="shared" si="94"/>
        <v>16.759747829796346</v>
      </c>
      <c r="H141" s="861">
        <f t="shared" si="50"/>
        <v>1.2280669536972373</v>
      </c>
    </row>
    <row r="142" spans="1:8">
      <c r="A142" s="1032" t="str">
        <f>'mnt_Atego 2426'!A142</f>
        <v>SETEMBRO|15</v>
      </c>
      <c r="B142" s="1072">
        <f>geral!K1428</f>
        <v>0.20850473734542821</v>
      </c>
      <c r="C142" s="918">
        <f t="shared" si="90"/>
        <v>173.75394778785684</v>
      </c>
      <c r="D142" s="919">
        <f t="shared" si="91"/>
        <v>0.24999999999999467</v>
      </c>
      <c r="E142" s="919">
        <f t="shared" si="92"/>
        <v>8.3579198538577195</v>
      </c>
      <c r="F142" s="920">
        <f t="shared" si="93"/>
        <v>9.881955433373534</v>
      </c>
      <c r="G142" s="921">
        <f t="shared" si="94"/>
        <v>16.864663737391016</v>
      </c>
      <c r="H142" s="861">
        <f t="shared" si="50"/>
        <v>1.2250044425907605</v>
      </c>
    </row>
    <row r="143" spans="1:8">
      <c r="A143" s="1032" t="str">
        <f>'mnt_Atego 2426'!A143</f>
        <v>OUTUBRO|15</v>
      </c>
      <c r="B143" s="1072">
        <f>geral!K1429</f>
        <v>0.20956811150588991</v>
      </c>
      <c r="C143" s="918">
        <f t="shared" si="90"/>
        <v>174.64009292157493</v>
      </c>
      <c r="D143" s="919">
        <f t="shared" si="91"/>
        <v>0.51000000000001044</v>
      </c>
      <c r="E143" s="919">
        <f t="shared" si="92"/>
        <v>8.9105452451123881</v>
      </c>
      <c r="F143" s="920">
        <f t="shared" si="93"/>
        <v>9.903824665224171</v>
      </c>
      <c r="G143" s="921">
        <f t="shared" si="94"/>
        <v>17.144383686498177</v>
      </c>
      <c r="H143" s="861">
        <f t="shared" si="50"/>
        <v>1.2187886206255698</v>
      </c>
    </row>
    <row r="144" spans="1:8">
      <c r="A144" s="1032" t="str">
        <f>'mnt_Atego 2426'!A144</f>
        <v>NOVEMBRO|15</v>
      </c>
      <c r="B144" s="1072">
        <f>geral!K1430</f>
        <v>0.21118178596448528</v>
      </c>
      <c r="C144" s="918">
        <f t="shared" si="90"/>
        <v>175.98482163707106</v>
      </c>
      <c r="D144" s="919">
        <f t="shared" si="91"/>
        <v>0.77000000000000401</v>
      </c>
      <c r="E144" s="919">
        <f t="shared" si="92"/>
        <v>9.7491564434997624</v>
      </c>
      <c r="F144" s="920">
        <f t="shared" si="93"/>
        <v>10.330826972650332</v>
      </c>
      <c r="G144" s="921">
        <f t="shared" si="94"/>
        <v>17.330678303234492</v>
      </c>
      <c r="H144" s="861">
        <f t="shared" si="50"/>
        <v>1.2094756580585191</v>
      </c>
    </row>
    <row r="145" spans="1:8">
      <c r="A145" s="1032" t="str">
        <f>'mnt_Atego 2426'!A145</f>
        <v>DEZEMBRO|15</v>
      </c>
      <c r="B145" s="1072">
        <f>geral!K1431</f>
        <v>0.2135259037886911</v>
      </c>
      <c r="C145" s="918">
        <f t="shared" si="90"/>
        <v>177.9382531572426</v>
      </c>
      <c r="D145" s="919">
        <f t="shared" si="91"/>
        <v>1.110000000000011</v>
      </c>
      <c r="E145" s="919">
        <f t="shared" si="92"/>
        <v>10.967372080022631</v>
      </c>
      <c r="F145" s="920">
        <f t="shared" si="93"/>
        <v>10.967372080022631</v>
      </c>
      <c r="G145" s="921">
        <f t="shared" si="94"/>
        <v>17.995871128307563</v>
      </c>
      <c r="H145" s="861">
        <f t="shared" si="50"/>
        <v>1.196197861792621</v>
      </c>
    </row>
    <row r="146" spans="1:8">
      <c r="A146" s="1032" t="str">
        <f>'mnt_Atego 2426'!A146</f>
        <v>JANEIRO|16</v>
      </c>
      <c r="B146" s="1072">
        <f>geral!M1420</f>
        <v>0.21544763692278929</v>
      </c>
      <c r="C146" s="918">
        <f t="shared" ref="C146" si="95">100*B146/$B$8</f>
        <v>179.53969743565773</v>
      </c>
      <c r="D146" s="919">
        <f t="shared" ref="D146" si="96">100*(B146/B145-1)</f>
        <v>0.8999999999999897</v>
      </c>
      <c r="E146" s="919">
        <f t="shared" ref="E146:E151" si="97">100*(B146/B$145-1)</f>
        <v>0.8999999999999897</v>
      </c>
      <c r="F146" s="920">
        <f t="shared" ref="F146" si="98">100*(B146/B134-1)</f>
        <v>11.276166198313287</v>
      </c>
      <c r="G146" s="921">
        <f t="shared" ref="G146" si="99">100*(B146/B122-1)</f>
        <v>18.206745401570991</v>
      </c>
      <c r="H146" s="861">
        <f t="shared" si="50"/>
        <v>1.1855281088133014</v>
      </c>
    </row>
    <row r="147" spans="1:8">
      <c r="A147" s="1032" t="str">
        <f>'mnt_Atego 2426'!A147</f>
        <v>FEVEREIRO|16</v>
      </c>
      <c r="B147" s="1072">
        <f>geral!M1421</f>
        <v>0.21870089624032338</v>
      </c>
      <c r="C147" s="918">
        <f t="shared" ref="C147" si="100">100*B147/$B$8</f>
        <v>182.25074686693617</v>
      </c>
      <c r="D147" s="919">
        <f t="shared" ref="D147" si="101">100*(B147/B146-1)</f>
        <v>1.5099999999999891</v>
      </c>
      <c r="E147" s="919">
        <f t="shared" si="97"/>
        <v>2.4235899999999644</v>
      </c>
      <c r="F147" s="920">
        <f t="shared" ref="F147" si="102">100*(B147/B135-1)</f>
        <v>11.309062187532337</v>
      </c>
      <c r="G147" s="921">
        <f t="shared" ref="G147" si="103">100*(B147/B123-1)</f>
        <v>19.240452406970789</v>
      </c>
      <c r="H147" s="861">
        <f t="shared" si="50"/>
        <v>1.167892925636195</v>
      </c>
    </row>
    <row r="148" spans="1:8">
      <c r="A148" s="1032" t="str">
        <f>'mnt_Atego 2426'!A148</f>
        <v>MARÇO|16</v>
      </c>
      <c r="B148" s="1072">
        <f>geral!M1422</f>
        <v>0.22077855475460648</v>
      </c>
      <c r="C148" s="918">
        <f t="shared" ref="C148" si="104">100*B148/$B$8</f>
        <v>183.98212896217208</v>
      </c>
      <c r="D148" s="919">
        <f t="shared" ref="D148" si="105">100*(B148/B147-1)</f>
        <v>0.95000000000000639</v>
      </c>
      <c r="E148" s="919">
        <f t="shared" si="97"/>
        <v>3.3966141049999843</v>
      </c>
      <c r="F148" s="920">
        <f t="shared" ref="F148" si="106">100*(B148/B136-1)</f>
        <v>11.077993553097976</v>
      </c>
      <c r="G148" s="921">
        <f t="shared" ref="G148" si="107">100*(B148/B124-1)</f>
        <v>19.607747123248242</v>
      </c>
      <c r="H148" s="861">
        <f t="shared" si="50"/>
        <v>1.1569023532800344</v>
      </c>
    </row>
    <row r="149" spans="1:8">
      <c r="A149" s="1032" t="str">
        <f>'mnt_Atego 2426'!A149</f>
        <v>ABRIL|16</v>
      </c>
      <c r="B149" s="1072">
        <f>geral!M1423</f>
        <v>0.22174998039552674</v>
      </c>
      <c r="C149" s="918">
        <f t="shared" ref="C149" si="108">100*B149/$B$8</f>
        <v>184.7916503296056</v>
      </c>
      <c r="D149" s="919">
        <f t="shared" ref="D149" si="109">100*(B149/B148-1)</f>
        <v>0.43999999999999595</v>
      </c>
      <c r="E149" s="919">
        <f t="shared" si="97"/>
        <v>3.851559207061972</v>
      </c>
      <c r="F149" s="920">
        <f t="shared" ref="F149" si="110">100*(B149/B137-1)</f>
        <v>9.9071389269348877</v>
      </c>
      <c r="G149" s="921">
        <f t="shared" ref="G149" si="111">100*(B149/B125-1)</f>
        <v>19.156934348929312</v>
      </c>
      <c r="H149" s="861">
        <f t="shared" si="50"/>
        <v>1.1518342824373105</v>
      </c>
    </row>
    <row r="150" spans="1:8">
      <c r="A150" s="1032" t="str">
        <f>'mnt_Atego 2426'!A150</f>
        <v>MAIO|16</v>
      </c>
      <c r="B150" s="1072">
        <f>geral!M1424</f>
        <v>0.22316918027005811</v>
      </c>
      <c r="C150" s="918">
        <f t="shared" ref="C150" si="112">100*B150/$B$8</f>
        <v>185.97431689171512</v>
      </c>
      <c r="D150" s="919">
        <f t="shared" ref="D150" si="113">100*(B150/B149-1)</f>
        <v>0.63999999999999613</v>
      </c>
      <c r="E150" s="919">
        <f t="shared" si="97"/>
        <v>4.5162091859871856</v>
      </c>
      <c r="F150" s="920">
        <f t="shared" ref="F150" si="114">100*(B150/B138-1)</f>
        <v>9.8307463172150342</v>
      </c>
      <c r="G150" s="921">
        <f t="shared" ref="G150" si="115">100*(B150/B126-1)</f>
        <v>18.991405763804782</v>
      </c>
      <c r="H150" s="861">
        <f t="shared" si="50"/>
        <v>1.1445094221356422</v>
      </c>
    </row>
    <row r="151" spans="1:8">
      <c r="A151" s="1032" t="str">
        <f>'mnt_Atego 2426'!A151</f>
        <v>JUNHO|16</v>
      </c>
      <c r="B151" s="1072">
        <f>geral!M1425</f>
        <v>0.2253562382367047</v>
      </c>
      <c r="C151" s="918">
        <f t="shared" ref="C151" si="116">100*B151/$B$8</f>
        <v>187.79686519725391</v>
      </c>
      <c r="D151" s="919">
        <f t="shared" ref="D151" si="117">100*(B151/B150-1)</f>
        <v>0.98000000000000309</v>
      </c>
      <c r="E151" s="919">
        <f t="shared" si="97"/>
        <v>5.5404680360098491</v>
      </c>
      <c r="F151" s="920">
        <f t="shared" ref="F151" si="118">100*(B151/B139-1)</f>
        <v>9.8198709091234413</v>
      </c>
      <c r="G151" s="921">
        <f t="shared" ref="G151" si="119">100*(B151/B127-1)</f>
        <v>19.440876282594523</v>
      </c>
      <c r="H151" s="861">
        <f t="shared" si="50"/>
        <v>1.1334020817346426</v>
      </c>
    </row>
    <row r="152" spans="1:8">
      <c r="A152" s="1032" t="str">
        <f>'mnt_Atego 2426'!A152</f>
        <v>JULHO|16</v>
      </c>
      <c r="B152" s="1072">
        <f>geral!M1426</f>
        <v>0.2264154125564172</v>
      </c>
      <c r="C152" s="918">
        <f t="shared" ref="C152" si="120">100*B152/$B$8</f>
        <v>188.679510463681</v>
      </c>
      <c r="D152" s="919">
        <f t="shared" ref="D152" si="121">100*(B152/B151-1)</f>
        <v>0.46999999999999265</v>
      </c>
      <c r="E152" s="919">
        <f t="shared" ref="E152" si="122">100*(B152/B$145-1)</f>
        <v>6.0365082357791033</v>
      </c>
      <c r="F152" s="920">
        <f t="shared" ref="F152" si="123">100*(B152/B140-1)</f>
        <v>9.4929287510135083</v>
      </c>
      <c r="G152" s="921">
        <f t="shared" ref="G152" si="124">100*(B152/B128-1)</f>
        <v>19.691051666789061</v>
      </c>
      <c r="H152" s="861">
        <f t="shared" ref="H152:H202" si="125">(B$202/B152)</f>
        <v>1.1281000116797479</v>
      </c>
    </row>
    <row r="153" spans="1:8">
      <c r="A153" s="1032" t="str">
        <f>'mnt_Atego 2426'!A153</f>
        <v>AGOSTO|16</v>
      </c>
      <c r="B153" s="1072">
        <f>geral!M1427</f>
        <v>0.22786447119677827</v>
      </c>
      <c r="C153" s="918">
        <f t="shared" ref="C153" si="126">100*B153/$B$8</f>
        <v>189.88705933064858</v>
      </c>
      <c r="D153" s="919">
        <f t="shared" ref="D153" si="127">100*(B153/B152-1)</f>
        <v>0.63999999999999613</v>
      </c>
      <c r="E153" s="919">
        <f t="shared" ref="E153" si="128">100*(B153/B$145-1)</f>
        <v>6.7151418884880965</v>
      </c>
      <c r="F153" s="920">
        <f t="shared" ref="F153" si="129">100*(B153/B141-1)</f>
        <v>9.5582456701332141</v>
      </c>
      <c r="G153" s="921">
        <f t="shared" ref="G153" si="130">100*(B153/B129-1)</f>
        <v>20.300683508894934</v>
      </c>
      <c r="H153" s="861">
        <f t="shared" si="125"/>
        <v>1.1209260847374283</v>
      </c>
    </row>
    <row r="154" spans="1:8">
      <c r="A154" s="1032" t="str">
        <f>'mnt_Atego 2426'!A154</f>
        <v>SETEMBRO|16</v>
      </c>
      <c r="B154" s="1072">
        <f>geral!M1428</f>
        <v>0.22857085105748831</v>
      </c>
      <c r="C154" s="918">
        <f t="shared" ref="C154" si="131">100*B154/$B$8</f>
        <v>190.47570921457358</v>
      </c>
      <c r="D154" s="919">
        <f t="shared" ref="D154" si="132">100*(B154/B153-1)</f>
        <v>0.31000000000001027</v>
      </c>
      <c r="E154" s="919">
        <f t="shared" ref="E154" si="133">100*(B154/B$145-1)</f>
        <v>7.0459588283424246</v>
      </c>
      <c r="F154" s="920">
        <f t="shared" ref="F154" si="134">100*(B154/B142-1)</f>
        <v>9.6238166899856648</v>
      </c>
      <c r="G154" s="921">
        <f t="shared" ref="G154" si="135">100*(B154/B130-1)</f>
        <v>20.456793399653161</v>
      </c>
      <c r="H154" s="861">
        <f t="shared" si="125"/>
        <v>1.1174619526841074</v>
      </c>
    </row>
    <row r="155" spans="1:8">
      <c r="A155" s="1032" t="str">
        <f>'mnt_Atego 2426'!A155</f>
        <v>OUTUBRO|16</v>
      </c>
      <c r="B155" s="1072">
        <f>geral!M1429</f>
        <v>0.22875370773833428</v>
      </c>
      <c r="C155" s="918">
        <f t="shared" ref="C155" si="136">100*B155/$B$8</f>
        <v>190.62808978194525</v>
      </c>
      <c r="D155" s="919">
        <f t="shared" ref="D155" si="137">100*(B155/B154-1)</f>
        <v>7.9999999999991189E-2</v>
      </c>
      <c r="E155" s="919">
        <f t="shared" ref="E155" si="138">100*(B155/B$145-1)</f>
        <v>7.1315955954050825</v>
      </c>
      <c r="F155" s="920">
        <f t="shared" ref="F155" si="139">100*(B155/B143-1)</f>
        <v>9.1548261300742553</v>
      </c>
      <c r="G155" s="921">
        <f t="shared" ref="G155" si="140">100*(B155/B131-1)</f>
        <v>19.965328723627106</v>
      </c>
      <c r="H155" s="861">
        <f t="shared" si="125"/>
        <v>1.1165686977259268</v>
      </c>
    </row>
    <row r="156" spans="1:8">
      <c r="A156" s="1032" t="str">
        <f>'mnt_Atego 2426'!A156</f>
        <v>NOVEMBRO|16</v>
      </c>
      <c r="B156" s="1072">
        <f>geral!M1430</f>
        <v>0.22914258904148946</v>
      </c>
      <c r="C156" s="918">
        <f t="shared" ref="C156" si="141">100*B156/$B$8</f>
        <v>190.95215753457455</v>
      </c>
      <c r="D156" s="919">
        <f t="shared" ref="D156" si="142">100*(B156/B155-1)</f>
        <v>0.17000000000000348</v>
      </c>
      <c r="E156" s="919">
        <f t="shared" ref="E156" si="143">100*(B156/B$145-1)</f>
        <v>7.3137193079172658</v>
      </c>
      <c r="F156" s="920">
        <f t="shared" ref="F156" si="144">100*(B156/B144-1)</f>
        <v>8.5049015922351821</v>
      </c>
      <c r="G156" s="921">
        <f t="shared" ref="G156" si="145">100*(B156/B132-1)</f>
        <v>19.714355232573499</v>
      </c>
      <c r="H156" s="861">
        <f t="shared" si="125"/>
        <v>1.114673752346937</v>
      </c>
    </row>
    <row r="157" spans="1:8">
      <c r="A157" s="1032" t="str">
        <f>'mnt_Atego 2426'!A157</f>
        <v>DEZEMBRO|16</v>
      </c>
      <c r="B157" s="1072">
        <f>geral!M1431</f>
        <v>0.22930298885381847</v>
      </c>
      <c r="C157" s="918">
        <f t="shared" ref="C157" si="146">100*B157/$B$8</f>
        <v>191.08582404484875</v>
      </c>
      <c r="D157" s="919">
        <f t="shared" ref="D157" si="147">100*(B157/B156-1)</f>
        <v>6.9999999999992291E-2</v>
      </c>
      <c r="E157" s="919">
        <f t="shared" ref="E157" si="148">100*(B157/B$145-1)</f>
        <v>7.3888389114328046</v>
      </c>
      <c r="F157" s="920">
        <f t="shared" ref="F157" si="149">100*(B157/B145-1)</f>
        <v>7.3888389114328046</v>
      </c>
      <c r="G157" s="921">
        <f t="shared" ref="G157" si="150">100*(B157/B133-1)</f>
        <v>19.166572447265761</v>
      </c>
      <c r="H157" s="861">
        <f t="shared" si="125"/>
        <v>1.1138940265283672</v>
      </c>
    </row>
    <row r="158" spans="1:8">
      <c r="A158" s="1032" t="str">
        <f>'mnt_Atego 2426'!A158</f>
        <v>JANEIRO|17</v>
      </c>
      <c r="B158" s="1072">
        <f>geral!O1420</f>
        <v>0.22962401303821384</v>
      </c>
      <c r="C158" s="918">
        <f t="shared" ref="C158" si="151">100*B158/$B$8</f>
        <v>191.35334419851154</v>
      </c>
      <c r="D158" s="919">
        <f t="shared" ref="D158" si="152">100*(B158/B157-1)</f>
        <v>0.14000000000000679</v>
      </c>
      <c r="E158" s="919">
        <f t="shared" ref="E158:E163" si="153">100*(B158/B$157-1)</f>
        <v>0.14000000000000679</v>
      </c>
      <c r="F158" s="920">
        <f t="shared" ref="F158" si="154">100*(B158/B146-1)</f>
        <v>6.5799636133883288</v>
      </c>
      <c r="G158" s="921">
        <f t="shared" ref="G158" si="155">100*(B158/B134-1)</f>
        <v>18.598097444535846</v>
      </c>
      <c r="H158" s="861">
        <f t="shared" si="125"/>
        <v>1.1123367550712675</v>
      </c>
    </row>
    <row r="159" spans="1:8">
      <c r="A159" s="1032" t="str">
        <f>'mnt_Atego 2426'!A159</f>
        <v>FEVEREIRO|17</v>
      </c>
      <c r="B159" s="1072">
        <f>geral!O1421</f>
        <v>0.23058843389297434</v>
      </c>
      <c r="C159" s="918">
        <f t="shared" ref="C159" si="156">100*B159/$B$8</f>
        <v>192.15702824414529</v>
      </c>
      <c r="D159" s="919">
        <f t="shared" ref="D159" si="157">100*(B159/B158-1)</f>
        <v>0.41999999999999815</v>
      </c>
      <c r="E159" s="919">
        <f t="shared" si="153"/>
        <v>0.5605880000000063</v>
      </c>
      <c r="F159" s="920">
        <f t="shared" ref="F159" si="158">100*(B159/B147-1)</f>
        <v>5.4355230623234885</v>
      </c>
      <c r="G159" s="921">
        <f t="shared" ref="G159" si="159">100*(B159/B135-1)</f>
        <v>17.359291933191656</v>
      </c>
      <c r="H159" s="861">
        <f t="shared" si="125"/>
        <v>1.1076844802541999</v>
      </c>
    </row>
    <row r="160" spans="1:8">
      <c r="A160" s="1032" t="str">
        <f>'mnt_Atego 2426'!A160</f>
        <v>MARÇO|17</v>
      </c>
      <c r="B160" s="1072">
        <f>geral!O1422</f>
        <v>0.23114184613431746</v>
      </c>
      <c r="C160" s="918">
        <f t="shared" ref="C160" si="160">100*B160/$B$8</f>
        <v>192.61820511193122</v>
      </c>
      <c r="D160" s="919">
        <f t="shared" ref="D160" si="161">100*(B160/B159-1)</f>
        <v>0.23999999999999577</v>
      </c>
      <c r="E160" s="919">
        <f t="shared" si="153"/>
        <v>0.8019334112000065</v>
      </c>
      <c r="F160" s="920">
        <f t="shared" ref="F160" si="162">100*(B160/B148-1)</f>
        <v>4.693975549948548</v>
      </c>
      <c r="G160" s="921">
        <f t="shared" ref="G160" si="163">100*(B160/B136-1)</f>
        <v>16.291967411853815</v>
      </c>
      <c r="H160" s="861">
        <f t="shared" si="125"/>
        <v>1.1050324024882281</v>
      </c>
    </row>
    <row r="161" spans="1:8">
      <c r="A161" s="1032" t="str">
        <f>'mnt_Atego 2426'!A161</f>
        <v>ABRIL|17</v>
      </c>
      <c r="B161" s="1072">
        <f>geral!O1423</f>
        <v>0.2318815000419473</v>
      </c>
      <c r="C161" s="918">
        <f t="shared" ref="C161" si="164">100*B161/$B$8</f>
        <v>193.23458336828941</v>
      </c>
      <c r="D161" s="919">
        <f t="shared" ref="D161" si="165">100*(B161/B160-1)</f>
        <v>0.32000000000000917</v>
      </c>
      <c r="E161" s="919">
        <f t="shared" si="153"/>
        <v>1.1244995981158468</v>
      </c>
      <c r="F161" s="920">
        <f t="shared" ref="F161" si="166">100*(B161/B149-1)</f>
        <v>4.5688931418841117</v>
      </c>
      <c r="G161" s="921">
        <f t="shared" ref="G161" si="167">100*(B161/B137-1)</f>
        <v>14.928678659808647</v>
      </c>
      <c r="H161" s="861">
        <f t="shared" si="125"/>
        <v>1.1015075782378669</v>
      </c>
    </row>
    <row r="162" spans="1:8">
      <c r="A162" s="1032" t="str">
        <f>'mnt_Atego 2426'!A162</f>
        <v>MAIO|17</v>
      </c>
      <c r="B162" s="1072">
        <f>geral!O1424</f>
        <v>0.23206700524198084</v>
      </c>
      <c r="C162" s="918">
        <f t="shared" ref="C162" si="168">100*B162/$B$8</f>
        <v>193.38917103498403</v>
      </c>
      <c r="D162" s="919">
        <f t="shared" ref="D162" si="169">100*(B162/B161-1)</f>
        <v>7.9999999999991189E-2</v>
      </c>
      <c r="E162" s="919">
        <f t="shared" si="153"/>
        <v>1.2053991977943435</v>
      </c>
      <c r="F162" s="920">
        <f t="shared" ref="F162" si="170">100*(B162/B150-1)</f>
        <v>3.9870312563569099</v>
      </c>
      <c r="G162" s="921">
        <f t="shared" ref="G162" si="171">100*(B162/B138-1)</f>
        <v>14.209732501972482</v>
      </c>
      <c r="H162" s="861">
        <f t="shared" si="125"/>
        <v>1.1006270765766055</v>
      </c>
    </row>
    <row r="163" spans="1:8">
      <c r="A163" s="1032" t="str">
        <f>'mnt_Atego 2426'!A163</f>
        <v>JUNHO|17</v>
      </c>
      <c r="B163" s="1072">
        <f>geral!O1425</f>
        <v>0.23290244646085198</v>
      </c>
      <c r="C163" s="918">
        <f t="shared" ref="C163" si="172">100*B163/$B$8</f>
        <v>194.08537205070999</v>
      </c>
      <c r="D163" s="919">
        <f t="shared" ref="D163" si="173">100*(B163/B162-1)</f>
        <v>0.36000000000000476</v>
      </c>
      <c r="E163" s="919">
        <f t="shared" si="153"/>
        <v>1.5697386349063924</v>
      </c>
      <c r="F163" s="920">
        <f t="shared" ref="F163" si="174">100*(B163/B151-1)</f>
        <v>3.3485685966327949</v>
      </c>
      <c r="G163" s="921">
        <f t="shared" ref="G163" si="175">100*(B163/B139-1)</f>
        <v>13.497264619249005</v>
      </c>
      <c r="H163" s="861">
        <f t="shared" si="125"/>
        <v>1.0966790320611852</v>
      </c>
    </row>
    <row r="164" spans="1:8">
      <c r="A164" s="1032" t="str">
        <f>'mnt_Atego 2426'!A164</f>
        <v>JULHO|17</v>
      </c>
      <c r="B164" s="1072">
        <f>geral!O1426</f>
        <v>0.23220373912146944</v>
      </c>
      <c r="C164" s="918">
        <f t="shared" ref="C164" si="176">100*B164/$B$8</f>
        <v>193.50311593455785</v>
      </c>
      <c r="D164" s="919">
        <f t="shared" ref="D164" si="177">100*(B164/B163-1)</f>
        <v>-0.29999999999998916</v>
      </c>
      <c r="E164" s="919">
        <f t="shared" ref="E164" si="178">100*(B164/B$157-1)</f>
        <v>1.2650294190016842</v>
      </c>
      <c r="F164" s="920">
        <f t="shared" ref="F164" si="179">100*(B164/B152-1)</f>
        <v>2.5565073065023425</v>
      </c>
      <c r="G164" s="921">
        <f t="shared" ref="G164" si="180">100*(B164/B140-1)</f>
        <v>12.292123474636574</v>
      </c>
      <c r="H164" s="861">
        <f t="shared" si="125"/>
        <v>1.0999789689680894</v>
      </c>
    </row>
    <row r="165" spans="1:8">
      <c r="A165" s="1032" t="str">
        <f>'mnt_Atego 2426'!A165</f>
        <v>AGOSTO|17</v>
      </c>
      <c r="B165" s="1072">
        <f>geral!O1427</f>
        <v>0.23259848547797593</v>
      </c>
      <c r="C165" s="918">
        <f t="shared" ref="C165" si="181">100*B165/$B$8</f>
        <v>193.83207123164661</v>
      </c>
      <c r="D165" s="919">
        <f t="shared" ref="D165" si="182">100*(B165/B164-1)</f>
        <v>0.17000000000000348</v>
      </c>
      <c r="E165" s="919">
        <f t="shared" ref="E165" si="183">100*(B165/B$157-1)</f>
        <v>1.4371799690139797</v>
      </c>
      <c r="F165" s="920">
        <f t="shared" ref="F165" si="184">100*(B165/B153-1)</f>
        <v>2.0775570040971747</v>
      </c>
      <c r="G165" s="921">
        <f t="shared" ref="G165" si="185">100*(B165/B141-1)</f>
        <v>11.834380676619061</v>
      </c>
      <c r="H165" s="861">
        <f t="shared" si="125"/>
        <v>1.0981121782650389</v>
      </c>
    </row>
    <row r="166" spans="1:8">
      <c r="A166" s="1032" t="str">
        <f>'mnt_Atego 2426'!A166</f>
        <v>SETEMBRO|17</v>
      </c>
      <c r="B166" s="1072">
        <f>geral!O1428</f>
        <v>0.23252870593233255</v>
      </c>
      <c r="C166" s="918">
        <f t="shared" ref="C166" si="186">100*B166/$B$8</f>
        <v>193.77392161027711</v>
      </c>
      <c r="D166" s="919">
        <f t="shared" ref="D166" si="187">100*(B166/B165-1)</f>
        <v>-2.9999999999996696E-2</v>
      </c>
      <c r="E166" s="919">
        <f t="shared" ref="E166" si="188">100*(B166/B$157-1)</f>
        <v>1.4067488150232954</v>
      </c>
      <c r="F166" s="920">
        <f t="shared" ref="F166" si="189">100*(B166/B154-1)</f>
        <v>1.7315658827593783</v>
      </c>
      <c r="G166" s="921">
        <f t="shared" ref="G166" si="190">100*(B166/B142-1)</f>
        <v>11.522025299168149</v>
      </c>
      <c r="H166" s="861">
        <f t="shared" si="125"/>
        <v>1.0984417107782725</v>
      </c>
    </row>
    <row r="167" spans="1:8">
      <c r="A167" s="1032" t="str">
        <f>'mnt_Atego 2426'!A167</f>
        <v>OUTUBRO|17</v>
      </c>
      <c r="B167" s="1072">
        <f>geral!O1429</f>
        <v>0.2324822001911461</v>
      </c>
      <c r="C167" s="918">
        <f t="shared" ref="C167" si="191">100*B167/$B$8</f>
        <v>193.73516682595508</v>
      </c>
      <c r="D167" s="919">
        <f t="shared" ref="D167" si="192">100*(B167/B166-1)</f>
        <v>-1.9999999999986695E-2</v>
      </c>
      <c r="E167" s="919">
        <f t="shared" ref="E167" si="193">100*(B167/B$157-1)</f>
        <v>1.3864674652602993</v>
      </c>
      <c r="F167" s="920">
        <f t="shared" ref="F167" si="194">100*(B167/B155-1)</f>
        <v>1.6299156370731982</v>
      </c>
      <c r="G167" s="921">
        <f t="shared" ref="G167" si="195">100*(B167/B143-1)</f>
        <v>10.9339577097884</v>
      </c>
      <c r="H167" s="861">
        <f t="shared" si="125"/>
        <v>1.0986614430668857</v>
      </c>
    </row>
    <row r="168" spans="1:8">
      <c r="A168" s="1032" t="str">
        <f>'mnt_Atego 2426'!A168</f>
        <v>NOVEMBRO|17</v>
      </c>
      <c r="B168" s="1072">
        <f>geral!O1430</f>
        <v>0.23334238433185334</v>
      </c>
      <c r="C168" s="918">
        <f t="shared" ref="C168" si="196">100*B168/$B$8</f>
        <v>194.45198694321112</v>
      </c>
      <c r="D168" s="919">
        <f t="shared" ref="D168" si="197">100*(B168/B167-1)</f>
        <v>0.37000000000000366</v>
      </c>
      <c r="E168" s="919">
        <f t="shared" ref="E168" si="198">100*(B168/B$157-1)</f>
        <v>1.7615973948817532</v>
      </c>
      <c r="F168" s="920">
        <f t="shared" ref="F168" si="199">100*(B168/B156-1)</f>
        <v>1.832830513058159</v>
      </c>
      <c r="G168" s="921">
        <f t="shared" ref="G168" si="200">100*(B168/B144-1)</f>
        <v>10.493612536781383</v>
      </c>
      <c r="H168" s="861">
        <f t="shared" si="125"/>
        <v>1.0946113809573434</v>
      </c>
    </row>
    <row r="169" spans="1:8">
      <c r="A169" s="1032" t="str">
        <f>'mnt_Atego 2426'!A169</f>
        <v>DEZEMBRO|17</v>
      </c>
      <c r="B169" s="1072">
        <f>geral!O1431</f>
        <v>0.23376240062365067</v>
      </c>
      <c r="C169" s="918">
        <f t="shared" ref="C169" si="201">100*B169/$B$8</f>
        <v>194.80200051970891</v>
      </c>
      <c r="D169" s="919">
        <f t="shared" ref="D169" si="202">100*(B169/B168-1)</f>
        <v>0.18000000000000238</v>
      </c>
      <c r="E169" s="919">
        <f t="shared" ref="E169" si="203">100*(B169/B$157-1)</f>
        <v>1.9447682701925428</v>
      </c>
      <c r="F169" s="920">
        <f t="shared" ref="F169" si="204">100*(B169/B157-1)</f>
        <v>1.9447682701925428</v>
      </c>
      <c r="G169" s="921">
        <f t="shared" ref="G169" si="205">100*(B169/B145-1)</f>
        <v>9.477302976310531</v>
      </c>
      <c r="H169" s="861">
        <f t="shared" si="125"/>
        <v>1.0926446206401912</v>
      </c>
    </row>
    <row r="170" spans="1:8">
      <c r="A170" s="1032" t="str">
        <f>'mnt_Atego 2426'!A170</f>
        <v>JANEIRO|18</v>
      </c>
      <c r="B170" s="1072">
        <f>geral!Q1420</f>
        <v>0.23437018286527214</v>
      </c>
      <c r="C170" s="918">
        <f t="shared" ref="C170" si="206">100*B170/$B$8</f>
        <v>195.30848572106012</v>
      </c>
      <c r="D170" s="919">
        <f t="shared" ref="D170" si="207">100*(B170/B169-1)</f>
        <v>0.25999999999999357</v>
      </c>
      <c r="E170" s="919">
        <f t="shared" ref="E170:E175" si="208">100*(B170/B$169-1)</f>
        <v>0.25999999999999357</v>
      </c>
      <c r="F170" s="920">
        <f t="shared" ref="F170" si="209">100*(B170/B158-1)</f>
        <v>2.0669309643449374</v>
      </c>
      <c r="G170" s="921">
        <f t="shared" ref="G170" si="210">100*(B170/B146-1)</f>
        <v>8.7828978831010254</v>
      </c>
      <c r="H170" s="861">
        <f t="shared" si="125"/>
        <v>1.0898111117496423</v>
      </c>
    </row>
    <row r="171" spans="1:8">
      <c r="A171" s="1032" t="str">
        <f>'mnt_Atego 2426'!A171</f>
        <v>FEVEREIRO|18</v>
      </c>
      <c r="B171" s="1072">
        <f>geral!Q1421</f>
        <v>0.23490923428586227</v>
      </c>
      <c r="C171" s="918">
        <f t="shared" ref="C171" si="211">100*B171/$B$8</f>
        <v>195.75769523821859</v>
      </c>
      <c r="D171" s="919">
        <f t="shared" ref="D171" si="212">100*(B171/B170-1)</f>
        <v>0.22999999999999687</v>
      </c>
      <c r="E171" s="919">
        <f t="shared" si="208"/>
        <v>0.49059799999999765</v>
      </c>
      <c r="F171" s="920">
        <f t="shared" ref="F171" si="213">100*(B171/B159-1)</f>
        <v>1.8738148830541146</v>
      </c>
      <c r="G171" s="921">
        <f t="shared" ref="G171" si="214">100*(B171/B147-1)</f>
        <v>7.4111895854912513</v>
      </c>
      <c r="H171" s="861">
        <f t="shared" si="125"/>
        <v>1.0873102980640947</v>
      </c>
    </row>
    <row r="172" spans="1:8">
      <c r="A172" s="1032" t="str">
        <f>'mnt_Atego 2426'!A172</f>
        <v>MARÇO|18</v>
      </c>
      <c r="B172" s="1072">
        <f>geral!Q1422</f>
        <v>0.23533207090757682</v>
      </c>
      <c r="C172" s="918">
        <f t="shared" ref="C172" si="215">100*B172/$B$8</f>
        <v>196.11005908964736</v>
      </c>
      <c r="D172" s="919">
        <f t="shared" ref="D172" si="216">100*(B172/B171-1)</f>
        <v>0.18000000000000238</v>
      </c>
      <c r="E172" s="919">
        <f t="shared" si="208"/>
        <v>0.67148107640000454</v>
      </c>
      <c r="F172" s="920">
        <f t="shared" ref="F172" si="217">100*(B172/B160-1)</f>
        <v>1.81283694118477</v>
      </c>
      <c r="G172" s="921">
        <f t="shared" ref="G172" si="218">100*(B172/B148-1)</f>
        <v>6.5919066139129567</v>
      </c>
      <c r="H172" s="861">
        <f t="shared" si="125"/>
        <v>1.0853566560831451</v>
      </c>
    </row>
    <row r="173" spans="1:8">
      <c r="A173" s="1032" t="str">
        <f>'mnt_Atego 2426'!A173</f>
        <v>ABRIL|18</v>
      </c>
      <c r="B173" s="1072">
        <f>geral!Q1423</f>
        <v>0.2354968033572121</v>
      </c>
      <c r="C173" s="918">
        <f t="shared" ref="C173" si="219">100*B173/$B$8</f>
        <v>196.24733613101009</v>
      </c>
      <c r="D173" s="919">
        <f t="shared" ref="D173" si="220">100*(B173/B172-1)</f>
        <v>6.9999999999992291E-2</v>
      </c>
      <c r="E173" s="919">
        <f t="shared" si="208"/>
        <v>0.74195111315347173</v>
      </c>
      <c r="F173" s="920">
        <f t="shared" ref="F173" si="221">100*(B173/B161-1)</f>
        <v>1.5591167534325878</v>
      </c>
      <c r="G173" s="921">
        <f t="shared" ref="G173" si="222">100*(B173/B149-1)</f>
        <v>6.1992442737382358</v>
      </c>
      <c r="H173" s="861">
        <f t="shared" si="125"/>
        <v>1.0845974378766317</v>
      </c>
    </row>
    <row r="174" spans="1:8">
      <c r="A174" s="1032" t="str">
        <f>'mnt_Atego 2426'!A174</f>
        <v>MAIO|18</v>
      </c>
      <c r="B174" s="1072">
        <f>geral!Q1424</f>
        <v>0.23599134664426225</v>
      </c>
      <c r="C174" s="918">
        <f t="shared" ref="C174" si="223">100*B174/$B$8</f>
        <v>196.65945553688522</v>
      </c>
      <c r="D174" s="919">
        <f t="shared" ref="D174" si="224">100*(B174/B173-1)</f>
        <v>0.20999999999999908</v>
      </c>
      <c r="E174" s="919">
        <f t="shared" si="208"/>
        <v>0.95350921049108806</v>
      </c>
      <c r="F174" s="920">
        <f t="shared" ref="F174" si="225">100*(B174/B162-1)</f>
        <v>1.6910380681602666</v>
      </c>
      <c r="G174" s="921">
        <f t="shared" ref="G174" si="226">100*(B174/B150-1)</f>
        <v>5.7454915408516438</v>
      </c>
      <c r="H174" s="861">
        <f t="shared" si="125"/>
        <v>1.0823245563083841</v>
      </c>
    </row>
    <row r="175" spans="1:8">
      <c r="A175" s="1032" t="str">
        <f>'mnt_Atego 2426'!A175</f>
        <v>JUNHO|18</v>
      </c>
      <c r="B175" s="1072">
        <f>geral!Q1425</f>
        <v>0.23700610943483258</v>
      </c>
      <c r="C175" s="918">
        <f t="shared" ref="C175" si="227">100*B175/$B$8</f>
        <v>197.50509119569384</v>
      </c>
      <c r="D175" s="919">
        <f t="shared" ref="D175" si="228">100*(B175/B174-1)</f>
        <v>0.42999999999999705</v>
      </c>
      <c r="E175" s="919">
        <f t="shared" si="208"/>
        <v>1.3876093000962042</v>
      </c>
      <c r="F175" s="920">
        <f t="shared" ref="F175" si="229">100*(B175/B163-1)</f>
        <v>1.7619664526239198</v>
      </c>
      <c r="G175" s="921">
        <f t="shared" ref="G175" si="230">100*(B175/B151-1)</f>
        <v>5.169535704572481</v>
      </c>
      <c r="H175" s="861">
        <f t="shared" si="125"/>
        <v>1.0776904872133666</v>
      </c>
    </row>
    <row r="176" spans="1:8">
      <c r="A176" s="1032" t="str">
        <f>'mnt_Atego 2426'!A176</f>
        <v>JULHO|18</v>
      </c>
      <c r="B176" s="1072">
        <f>geral!Q1426</f>
        <v>0.24039529679975069</v>
      </c>
      <c r="C176" s="918">
        <f t="shared" ref="C176" si="231">100*B176/$B$8</f>
        <v>200.32941399979225</v>
      </c>
      <c r="D176" s="919">
        <f t="shared" ref="D176" si="232">100*(B176/B175-1)</f>
        <v>1.4299999999999979</v>
      </c>
      <c r="E176" s="919">
        <f t="shared" ref="E176" si="233">100*(B176/B$169-1)</f>
        <v>2.8374521130875685</v>
      </c>
      <c r="F176" s="920">
        <f t="shared" ref="F176" si="234">100*(B176/B164-1)</f>
        <v>3.5277458103274206</v>
      </c>
      <c r="G176" s="921">
        <f t="shared" ref="G176" si="235">100*(B176/B152-1)</f>
        <v>6.1744401962256168</v>
      </c>
      <c r="H176" s="861">
        <f t="shared" si="125"/>
        <v>1.0624967832134147</v>
      </c>
    </row>
    <row r="177" spans="1:8">
      <c r="A177" s="1032" t="str">
        <f>'mnt_Atego 2426'!A177</f>
        <v>AGOSTO|18</v>
      </c>
      <c r="B177" s="1072">
        <f>geral!Q1427</f>
        <v>0.24099628504175005</v>
      </c>
      <c r="C177" s="918">
        <f t="shared" ref="C177" si="236">100*B177/$B$8</f>
        <v>200.83023753479171</v>
      </c>
      <c r="D177" s="919">
        <f t="shared" ref="D177" si="237">100*(B177/B176-1)</f>
        <v>0.24999999999999467</v>
      </c>
      <c r="E177" s="919">
        <f t="shared" ref="E177" si="238">100*(B177/B$169-1)</f>
        <v>3.0945457433702916</v>
      </c>
      <c r="F177" s="920">
        <f t="shared" ref="F177" si="239">100*(B177/B165-1)</f>
        <v>3.6104274481913112</v>
      </c>
      <c r="G177" s="921">
        <f t="shared" ref="G177" si="240">100*(B177/B153-1)</f>
        <v>5.7629931406162349</v>
      </c>
      <c r="H177" s="861">
        <f t="shared" si="125"/>
        <v>1.0598471653001644</v>
      </c>
    </row>
    <row r="178" spans="1:8">
      <c r="A178" s="1032" t="str">
        <f>'mnt_Atego 2426'!A178</f>
        <v>SETEMBRO|18</v>
      </c>
      <c r="B178" s="1072">
        <f>geral!Q1428</f>
        <v>0.24099628504175005</v>
      </c>
      <c r="C178" s="918">
        <f t="shared" ref="C178" si="241">100*B178/$B$8</f>
        <v>200.83023753479171</v>
      </c>
      <c r="D178" s="919">
        <f t="shared" ref="D178" si="242">100*(B178/B177-1)</f>
        <v>0</v>
      </c>
      <c r="E178" s="919">
        <f t="shared" ref="E178" si="243">100*(B178/B$169-1)</f>
        <v>3.0945457433702916</v>
      </c>
      <c r="F178" s="920">
        <f t="shared" ref="F178" si="244">100*(B178/B166-1)</f>
        <v>3.641519904162549</v>
      </c>
      <c r="G178" s="921">
        <f t="shared" ref="G178" si="245">100*(B178/B154-1)</f>
        <v>5.4361411031963014</v>
      </c>
      <c r="H178" s="861">
        <f t="shared" si="125"/>
        <v>1.0598471653001644</v>
      </c>
    </row>
    <row r="179" spans="1:8">
      <c r="A179" s="1032" t="str">
        <f>'mnt_Atego 2426'!A179</f>
        <v>OUTUBRO|18</v>
      </c>
      <c r="B179" s="1072">
        <f>geral!Q1429</f>
        <v>0.24171927389687528</v>
      </c>
      <c r="C179" s="918">
        <f t="shared" ref="C179" si="246">100*B179/$B$8</f>
        <v>201.43272824739608</v>
      </c>
      <c r="D179" s="919">
        <f t="shared" ref="D179" si="247">100*(B179/B178-1)</f>
        <v>0.29999999999998916</v>
      </c>
      <c r="E179" s="919">
        <f t="shared" ref="E179" si="248">100*(B179/B$169-1)</f>
        <v>3.4038293806003983</v>
      </c>
      <c r="F179" s="920">
        <f t="shared" ref="F179" si="249">100*(B179/B167-1)</f>
        <v>3.9732391116973576</v>
      </c>
      <c r="G179" s="921">
        <f t="shared" ref="G179" si="250">100*(B179/B155-1)</f>
        <v>5.6679151943504147</v>
      </c>
      <c r="H179" s="861">
        <f t="shared" si="125"/>
        <v>1.0566771338984691</v>
      </c>
    </row>
    <row r="180" spans="1:8">
      <c r="A180" s="1032" t="str">
        <f>'mnt_Atego 2426'!A180</f>
        <v>NOVEMBRO|18</v>
      </c>
      <c r="B180" s="1072">
        <f>geral!Q1430</f>
        <v>0.2426861509924628</v>
      </c>
      <c r="C180" s="918">
        <f t="shared" ref="C180" si="251">100*B180/$B$8</f>
        <v>202.23845916038567</v>
      </c>
      <c r="D180" s="919">
        <f t="shared" ref="D180" si="252">100*(B180/B179-1)</f>
        <v>0.40000000000000036</v>
      </c>
      <c r="E180" s="919">
        <f t="shared" ref="E180" si="253">100*(B180/B$169-1)</f>
        <v>3.8174446981227961</v>
      </c>
      <c r="F180" s="920">
        <f t="shared" ref="F180" si="254">100*(B180/B168-1)</f>
        <v>4.004316098579408</v>
      </c>
      <c r="G180" s="921">
        <f t="shared" ref="G180" si="255">100*(B180/B156-1)</f>
        <v>5.910538938931631</v>
      </c>
      <c r="H180" s="861">
        <f t="shared" si="125"/>
        <v>1.0524672648391125</v>
      </c>
    </row>
    <row r="181" spans="1:8">
      <c r="A181" s="1032" t="str">
        <f>'mnt_Atego 2426'!A181</f>
        <v>DEZEMBRO|18</v>
      </c>
      <c r="B181" s="1072">
        <f>geral!Q1431</f>
        <v>0.24207943561498166</v>
      </c>
      <c r="C181" s="918">
        <f t="shared" ref="C181" si="256">100*B181/$B$8</f>
        <v>201.73286301248473</v>
      </c>
      <c r="D181" s="919">
        <f t="shared" ref="D181" si="257">100*(B181/B180-1)</f>
        <v>-0.24999999999999467</v>
      </c>
      <c r="E181" s="919">
        <f t="shared" ref="E181" si="258">100*(B181/B$169-1)</f>
        <v>3.5579010863775018</v>
      </c>
      <c r="F181" s="920">
        <f t="shared" ref="F181" si="259">100*(B181/B169-1)</f>
        <v>3.5579010863775018</v>
      </c>
      <c r="G181" s="921">
        <f t="shared" ref="G181" si="260">100*(B181/B157-1)</f>
        <v>5.5718622879827429</v>
      </c>
      <c r="H181" s="861">
        <f t="shared" si="125"/>
        <v>1.0551050274076315</v>
      </c>
    </row>
    <row r="182" spans="1:8">
      <c r="A182" s="1032" t="str">
        <f>'mnt_Atego 2426'!A182</f>
        <v>JANEIRO|19</v>
      </c>
      <c r="B182" s="1072">
        <f>geral!S1420</f>
        <v>0.24241823965308587</v>
      </c>
      <c r="C182" s="918">
        <f t="shared" ref="C182" si="261">100*B182/$B$8</f>
        <v>202.01519971090491</v>
      </c>
      <c r="D182" s="919">
        <f t="shared" ref="D182" si="262">100*(B182/B181-1)</f>
        <v>0.13995572868199524</v>
      </c>
      <c r="E182" s="919">
        <f t="shared" ref="E182:E187" si="263">100*(B182/B$181-1)</f>
        <v>0.13995572868199524</v>
      </c>
      <c r="F182" s="920">
        <f t="shared" ref="F182" si="264">100*(B182/B170-1)</f>
        <v>3.4339081402859906</v>
      </c>
      <c r="G182" s="921">
        <f t="shared" ref="G182" si="265">100*(B182/B158-1)</f>
        <v>5.5718156152696485</v>
      </c>
      <c r="H182" s="861">
        <f t="shared" si="125"/>
        <v>1.0536304112878985</v>
      </c>
    </row>
    <row r="183" spans="1:8">
      <c r="A183" s="1032" t="str">
        <f>'mnt_Atego 2426'!A183</f>
        <v>FEVEREIRO|19</v>
      </c>
      <c r="B183" s="1072">
        <f>geral!S1421</f>
        <v>0.243290945315837</v>
      </c>
      <c r="C183" s="918">
        <f t="shared" ref="C183" si="266">100*B183/$B$8</f>
        <v>202.74245442986418</v>
      </c>
      <c r="D183" s="919">
        <f t="shared" ref="D183" si="267">100*(B183/B182-1)</f>
        <v>0.36000000000000476</v>
      </c>
      <c r="E183" s="919">
        <f t="shared" si="263"/>
        <v>0.50045956930526714</v>
      </c>
      <c r="F183" s="920">
        <f t="shared" ref="F183" si="268">100*(B183/B171-1)</f>
        <v>3.5680636631657325</v>
      </c>
      <c r="G183" s="921">
        <f t="shared" ref="G183" si="269">100*(B183/B159-1)</f>
        <v>5.5087374541770817</v>
      </c>
      <c r="H183" s="861">
        <f t="shared" si="125"/>
        <v>1.0498509478755462</v>
      </c>
    </row>
    <row r="184" spans="1:8">
      <c r="A184" s="1032" t="str">
        <f>'mnt_Atego 2426'!A184</f>
        <v>MARÇO|19</v>
      </c>
      <c r="B184" s="1072">
        <f>geral!S1422</f>
        <v>0.24460471642054255</v>
      </c>
      <c r="C184" s="918">
        <f t="shared" ref="C184" si="270">100*B184/$B$8</f>
        <v>203.83726368378547</v>
      </c>
      <c r="D184" s="919">
        <f t="shared" ref="D184" si="271">100*(B184/B183-1)</f>
        <v>0.54000000000000714</v>
      </c>
      <c r="E184" s="919">
        <f t="shared" si="263"/>
        <v>1.0431620509795181</v>
      </c>
      <c r="F184" s="920">
        <f t="shared" ref="F184" si="272">100*(B184/B172-1)</f>
        <v>3.9402387771479752</v>
      </c>
      <c r="G184" s="921">
        <f t="shared" ref="G184" si="273">100*(B184/B160-1)</f>
        <v>5.8245058224557722</v>
      </c>
      <c r="H184" s="861">
        <f t="shared" si="125"/>
        <v>1.0442122019848281</v>
      </c>
    </row>
    <row r="185" spans="1:8">
      <c r="A185" s="1032" t="str">
        <f>'mnt_Atego 2426'!A185</f>
        <v>ABRIL|19</v>
      </c>
      <c r="B185" s="1072">
        <f>geral!S1423</f>
        <v>0.24648817273698073</v>
      </c>
      <c r="C185" s="918">
        <f t="shared" ref="C185" si="274">100*B185/$B$8</f>
        <v>205.4068106141506</v>
      </c>
      <c r="D185" s="919">
        <f t="shared" ref="D185" si="275">100*(B185/B184-1)</f>
        <v>0.77000000000000401</v>
      </c>
      <c r="E185" s="919">
        <f t="shared" si="263"/>
        <v>1.8211943987720636</v>
      </c>
      <c r="F185" s="920">
        <f t="shared" ref="F185" si="276">100*(B185/B173-1)</f>
        <v>4.6673114976836683</v>
      </c>
      <c r="G185" s="921">
        <f t="shared" ref="G185" si="277">100*(B185/B161-1)</f>
        <v>6.2991970866115299</v>
      </c>
      <c r="H185" s="861">
        <f t="shared" si="125"/>
        <v>1.0362332062963462</v>
      </c>
    </row>
    <row r="186" spans="1:8">
      <c r="A186" s="1032" t="str">
        <f>'mnt_Atego 2426'!A186</f>
        <v>MAIO|19</v>
      </c>
      <c r="B186" s="1072">
        <f>geral!S1424</f>
        <v>0.24796710177340262</v>
      </c>
      <c r="C186" s="918">
        <f t="shared" ref="C186" si="278">100*B186/$B$8</f>
        <v>206.63925147783553</v>
      </c>
      <c r="D186" s="919">
        <f t="shared" ref="D186" si="279">100*(B186/B185-1)</f>
        <v>0.60000000000000053</v>
      </c>
      <c r="E186" s="919">
        <f t="shared" si="263"/>
        <v>2.4321215651647021</v>
      </c>
      <c r="F186" s="920">
        <f t="shared" ref="F186" si="280">100*(B186/B174-1)</f>
        <v>5.0746585836441094</v>
      </c>
      <c r="G186" s="921">
        <f t="shared" ref="G186" si="281">100*(B186/B162-1)</f>
        <v>6.8515110602829665</v>
      </c>
      <c r="H186" s="861">
        <f t="shared" si="125"/>
        <v>1.0300528889625709</v>
      </c>
    </row>
    <row r="187" spans="1:8">
      <c r="A187" s="1032" t="str">
        <f>'mnt_Atego 2426'!A187</f>
        <v>JUNHO|19</v>
      </c>
      <c r="B187" s="1072">
        <f>geral!S1425</f>
        <v>0.24833890277615869</v>
      </c>
      <c r="C187" s="918">
        <f t="shared" ref="C187" si="282">100*B187/$B$8</f>
        <v>206.94908564679892</v>
      </c>
      <c r="D187" s="919">
        <f t="shared" ref="D187" si="283">100*(B187/B186-1)</f>
        <v>0.14993964929099768</v>
      </c>
      <c r="E187" s="919">
        <f t="shared" si="263"/>
        <v>2.5857079290008356</v>
      </c>
      <c r="F187" s="920">
        <f t="shared" ref="F187" si="284">100*(B187/B175-1)</f>
        <v>4.7816460800738092</v>
      </c>
      <c r="G187" s="921">
        <f t="shared" ref="G187" si="285">100*(B187/B163-1)</f>
        <v>6.6278635325118351</v>
      </c>
      <c r="H187" s="861">
        <f t="shared" si="125"/>
        <v>1.0285107435607557</v>
      </c>
    </row>
    <row r="188" spans="1:8">
      <c r="A188" s="1032" t="str">
        <f>'mnt_Atego 2426'!A188</f>
        <v>JULHO|19</v>
      </c>
      <c r="B188" s="1072">
        <f>geral!S1426</f>
        <v>0.24836353459259181</v>
      </c>
      <c r="C188" s="918">
        <f t="shared" ref="C188" si="286">100*B188/$B$8</f>
        <v>206.96961216049317</v>
      </c>
      <c r="D188" s="919">
        <f t="shared" ref="D188" si="287">100*(B188/B187-1)</f>
        <v>9.9186298069930956E-3</v>
      </c>
      <c r="E188" s="919">
        <f t="shared" ref="E188" si="288">100*(B188/B$181-1)</f>
        <v>2.5958830256051835</v>
      </c>
      <c r="F188" s="920">
        <f t="shared" ref="F188" si="289">100*(B188/B176-1)</f>
        <v>3.3146396368472386</v>
      </c>
      <c r="G188" s="921">
        <f t="shared" ref="G188" si="290">100*(B188/B164-1)</f>
        <v>6.9593175080910008</v>
      </c>
      <c r="H188" s="861">
        <f t="shared" si="125"/>
        <v>1.0284087395049815</v>
      </c>
    </row>
    <row r="189" spans="1:8">
      <c r="A189" s="1032" t="str">
        <f>'mnt_Atego 2426'!A189</f>
        <v>AGOSTO|19</v>
      </c>
      <c r="B189" s="1072">
        <f>geral!S1427</f>
        <v>0.24782557970962657</v>
      </c>
      <c r="C189" s="918">
        <f t="shared" ref="C189" si="291">100*B189/$B$8</f>
        <v>206.52131642468882</v>
      </c>
      <c r="D189" s="919">
        <f t="shared" ref="D189" si="292">100*(B189/B188-1)</f>
        <v>-0.21659978541039848</v>
      </c>
      <c r="E189" s="919">
        <f t="shared" ref="E189" si="293">100*(B189/B$181-1)</f>
        <v>2.3736605631318186</v>
      </c>
      <c r="F189" s="920">
        <f t="shared" ref="F189" si="294">100*(B189/B177-1)</f>
        <v>2.8337759093230108</v>
      </c>
      <c r="G189" s="921">
        <f t="shared" ref="G189" si="295">100*(B189/B165-1)</f>
        <v>6.5465147807647561</v>
      </c>
      <c r="H189" s="861">
        <f t="shared" si="125"/>
        <v>1.0306411059287746</v>
      </c>
    </row>
    <row r="190" spans="1:8">
      <c r="A190" s="1032" t="str">
        <f>'mnt_Atego 2426'!A190</f>
        <v>SETEMBRO|19</v>
      </c>
      <c r="B190" s="1072">
        <f>geral!S1428</f>
        <v>0.24812300654124883</v>
      </c>
      <c r="C190" s="918">
        <f t="shared" ref="C190" si="296">100*B190/$B$8</f>
        <v>206.76917211770737</v>
      </c>
      <c r="D190" s="919">
        <f t="shared" ref="D190" si="297">100*(B190/B189-1)</f>
        <v>0.12001458121100317</v>
      </c>
      <c r="E190" s="919">
        <f t="shared" ref="E190" si="298">100*(B190/B$181-1)</f>
        <v>2.4965238831270442</v>
      </c>
      <c r="F190" s="920">
        <f t="shared" ref="F190" si="299">100*(B190/B178-1)</f>
        <v>2.9571914348240469</v>
      </c>
      <c r="G190" s="921">
        <f t="shared" ref="G190" si="300">100*(B190/B166-1)</f>
        <v>6.7063980536899104</v>
      </c>
      <c r="H190" s="861">
        <f t="shared" si="125"/>
        <v>1.0294056690261304</v>
      </c>
    </row>
    <row r="191" spans="1:8">
      <c r="A191" s="1032" t="str">
        <f>'mnt_Atego 2426'!A191</f>
        <v>OUTUBRO|19</v>
      </c>
      <c r="B191" s="1072">
        <f>geral!S1429</f>
        <v>0.24799884705390518</v>
      </c>
      <c r="C191" s="918">
        <f t="shared" ref="C191" si="301">100*B191/$B$8</f>
        <v>206.66570587825433</v>
      </c>
      <c r="D191" s="919">
        <f t="shared" ref="D191" si="302">100*(B191/B190-1)</f>
        <v>-5.0039490120001862E-2</v>
      </c>
      <c r="E191" s="919">
        <f t="shared" ref="E191" si="303">100*(B191/B$181-1)</f>
        <v>2.4452351451851984</v>
      </c>
      <c r="F191" s="920">
        <f t="shared" ref="F191" si="304">100*(B191/B179-1)</f>
        <v>2.5978785455515352</v>
      </c>
      <c r="G191" s="921">
        <f t="shared" ref="G191" si="305">100*(B191/B167-1)</f>
        <v>6.6743375836951557</v>
      </c>
      <c r="H191" s="861">
        <f t="shared" si="125"/>
        <v>1.0299210362613143</v>
      </c>
    </row>
    <row r="192" spans="1:8">
      <c r="A192" s="1032" t="str">
        <f>'mnt_Atego 2426'!A192</f>
        <v>NOVEMBRO|19</v>
      </c>
      <c r="B192" s="1072">
        <f>geral!S1430</f>
        <v>0.2480979893311123</v>
      </c>
      <c r="C192" s="918">
        <f t="shared" ref="C192" si="306">100*B192/$B$8</f>
        <v>206.74832444259357</v>
      </c>
      <c r="D192" s="919">
        <f t="shared" ref="D192" si="307">100*(B192/B191-1)</f>
        <v>3.9976910531991372E-2</v>
      </c>
      <c r="E192" s="919">
        <f t="shared" ref="E192" si="308">100*(B192/B$181-1)</f>
        <v>2.4861895851834959</v>
      </c>
      <c r="F192" s="920">
        <f t="shared" ref="F192" si="309">100*(B192/B180-1)</f>
        <v>2.2299741112205451</v>
      </c>
      <c r="G192" s="921">
        <f t="shared" ref="G192" si="310">100*(B192/B168-1)</f>
        <v>6.3235854221297183</v>
      </c>
      <c r="H192" s="861">
        <f t="shared" si="125"/>
        <v>1.0295094701815013</v>
      </c>
    </row>
    <row r="193" spans="1:8">
      <c r="A193" s="1032" t="str">
        <f>'mnt_Atego 2426'!A193</f>
        <v>DEZEMBRO|19</v>
      </c>
      <c r="B193" s="1072">
        <f>geral!S1431</f>
        <v>0.2494377999184185</v>
      </c>
      <c r="C193" s="918">
        <f t="shared" ref="C193" si="311">100*B193/$B$8</f>
        <v>207.86483326534875</v>
      </c>
      <c r="D193" s="919">
        <f t="shared" ref="D193" si="312">100*(B193/B192-1)</f>
        <v>0.54003282772199235</v>
      </c>
      <c r="E193" s="919">
        <f t="shared" ref="E193" si="313">100*(B193/B$181-1)</f>
        <v>3.0396486528248667</v>
      </c>
      <c r="F193" s="920">
        <f t="shared" ref="F193" si="314">100*(B193/B181-1)</f>
        <v>3.0396486528248667</v>
      </c>
      <c r="G193" s="921">
        <f t="shared" ref="G193" si="315">100*(B193/B169-1)</f>
        <v>6.7056974316432871</v>
      </c>
      <c r="H193" s="861">
        <f t="shared" si="125"/>
        <v>1.0239796439549538</v>
      </c>
    </row>
    <row r="194" spans="1:8">
      <c r="A194" s="1032" t="str">
        <f>'mnt_Atego 2426'!A194</f>
        <v>JANEIRO|20</v>
      </c>
      <c r="B194" s="1072">
        <f>geral!U1420</f>
        <v>0.25248109720334583</v>
      </c>
      <c r="C194" s="918">
        <f t="shared" ref="C194" si="316">100*B194/$B$8</f>
        <v>210.40091433612153</v>
      </c>
      <c r="D194" s="919">
        <f t="shared" ref="D194" si="317">100*(B194/B193-1)</f>
        <v>1.2200625911239937</v>
      </c>
      <c r="E194" s="919">
        <f t="shared" ref="E194:E199" si="318">100*(B194/B$193-1)</f>
        <v>1.2200625911239937</v>
      </c>
      <c r="F194" s="920">
        <f t="shared" ref="F194" si="319">100*(B194/B182-1)</f>
        <v>4.1510315249630114</v>
      </c>
      <c r="G194" s="921">
        <f t="shared" ref="G194" si="320">100*(B194/B170-1)</f>
        <v>7.7274822746905336</v>
      </c>
      <c r="H194" s="861">
        <f t="shared" si="125"/>
        <v>1.0116370388855567</v>
      </c>
    </row>
    <row r="195" spans="1:8">
      <c r="A195" s="1032" t="str">
        <f>'mnt_Atego 2426'!A195</f>
        <v>FEVEREIRO|20</v>
      </c>
      <c r="B195" s="1072">
        <f>geral!U1421</f>
        <v>0.25296059373096108</v>
      </c>
      <c r="C195" s="918">
        <f t="shared" ref="C195" si="321">100*B195/$B$8</f>
        <v>210.8004947758009</v>
      </c>
      <c r="D195" s="919">
        <f t="shared" ref="D195" si="322">100*(B195/B194-1)</f>
        <v>0.18991383233299963</v>
      </c>
      <c r="E195" s="919">
        <f t="shared" si="318"/>
        <v>1.4122934910806517</v>
      </c>
      <c r="F195" s="920">
        <f t="shared" ref="F195" si="323">100*(B195/B183-1)</f>
        <v>3.974520466666398</v>
      </c>
      <c r="G195" s="921">
        <f t="shared" ref="G195" si="324">100*(B195/B171-1)</f>
        <v>7.6843975503883444</v>
      </c>
      <c r="H195" s="861">
        <f t="shared" si="125"/>
        <v>1.009719441997448</v>
      </c>
    </row>
    <row r="196" spans="1:8">
      <c r="A196" s="1032" t="str">
        <f>'mnt_Atego 2426'!A196</f>
        <v>MARÇO|20</v>
      </c>
      <c r="B196" s="1072">
        <f>geral!U1422</f>
        <v>0.25339051911997212</v>
      </c>
      <c r="C196" s="918">
        <f t="shared" ref="C196" si="325">100*B196/$B$8</f>
        <v>211.15876593331012</v>
      </c>
      <c r="D196" s="919">
        <f t="shared" ref="D196" si="326">100*(B196/B195-1)</f>
        <v>0.16995745569299281</v>
      </c>
      <c r="E196" s="919">
        <f t="shared" si="318"/>
        <v>1.5846512448580041</v>
      </c>
      <c r="F196" s="920">
        <f t="shared" ref="F196" si="327">100*(B196/B184-1)</f>
        <v>3.5918369964397456</v>
      </c>
      <c r="G196" s="921">
        <f t="shared" ref="G196" si="328">100*(B196/B172-1)</f>
        <v>7.6736027277333863</v>
      </c>
      <c r="H196" s="861">
        <f t="shared" si="125"/>
        <v>1.0080062602043787</v>
      </c>
    </row>
    <row r="197" spans="1:8">
      <c r="A197" s="1032" t="str">
        <f>'mnt_Atego 2426'!A197</f>
        <v>ABRIL|20</v>
      </c>
      <c r="B197" s="1072">
        <f>geral!U1423</f>
        <v>0.2538468515641279</v>
      </c>
      <c r="C197" s="918">
        <f t="shared" ref="C197" si="329">100*B197/$B$8</f>
        <v>211.53904297010658</v>
      </c>
      <c r="D197" s="919">
        <f t="shared" ref="D197" si="330">100*(B197/B196-1)</f>
        <v>0.18009057550401053</v>
      </c>
      <c r="E197" s="919">
        <f t="shared" si="318"/>
        <v>1.7675956279086025</v>
      </c>
      <c r="F197" s="920">
        <f t="shared" ref="F197" si="331">100*(B197/B185-1)</f>
        <v>2.9854084865156505</v>
      </c>
      <c r="G197" s="921">
        <f t="shared" ref="G197" si="332">100*(B197/B173-1)</f>
        <v>7.7920582977432762</v>
      </c>
      <c r="H197" s="861">
        <f t="shared" si="125"/>
        <v>1.0061941992802068</v>
      </c>
    </row>
    <row r="198" spans="1:8">
      <c r="A198" s="1032" t="str">
        <f>'mnt_Atego 2426'!A198</f>
        <v>MAIO|20</v>
      </c>
      <c r="B198" s="1072">
        <f>geral!U1424</f>
        <v>0.25326311666094492</v>
      </c>
      <c r="C198" s="918">
        <f t="shared" ref="C198" si="333">100*B198/$B$8</f>
        <v>211.05259721745409</v>
      </c>
      <c r="D198" s="919">
        <f t="shared" ref="D198" si="334">100*(B198/B197-1)</f>
        <v>-0.2299555419285948</v>
      </c>
      <c r="E198" s="919">
        <f t="shared" si="318"/>
        <v>1.5335754018747538</v>
      </c>
      <c r="F198" s="920">
        <f t="shared" ref="F198" si="335">100*(B198/B186-1)</f>
        <v>2.1357731931641144</v>
      </c>
      <c r="G198" s="921">
        <f t="shared" ref="G198" si="336">100*(B198/B174-1)</f>
        <v>7.3188149744822795</v>
      </c>
      <c r="H198" s="861">
        <f t="shared" si="125"/>
        <v>1.0085133315772574</v>
      </c>
    </row>
    <row r="199" spans="1:8">
      <c r="A199" s="1032" t="str">
        <f>'mnt_Atego 2426'!A199</f>
        <v>JUNHO|20</v>
      </c>
      <c r="B199" s="1072">
        <f>geral!U1425</f>
        <v>0.2526298106191584</v>
      </c>
      <c r="C199" s="918">
        <f t="shared" ref="C199" si="337">100*B199/$B$8</f>
        <v>210.52484218263203</v>
      </c>
      <c r="D199" s="919">
        <f t="shared" ref="D199" si="338">100*(B199/B198-1)</f>
        <v>-0.25005853601428596</v>
      </c>
      <c r="E199" s="919">
        <f t="shared" si="318"/>
        <v>1.2796820296618661</v>
      </c>
      <c r="F199" s="920">
        <f t="shared" ref="F199" si="339">100*(B199/B187-1)</f>
        <v>1.7278436020422117</v>
      </c>
      <c r="G199" s="921">
        <f t="shared" ref="G199" si="340">100*(B199/B175-1)</f>
        <v>6.5921090479828859</v>
      </c>
      <c r="H199" s="861">
        <f t="shared" si="125"/>
        <v>1.0110415272187172</v>
      </c>
    </row>
    <row r="200" spans="1:8">
      <c r="A200" s="1032" t="str">
        <f>'mnt_Atego 2426'!A200</f>
        <v>JULHO|20</v>
      </c>
      <c r="B200" s="1072">
        <f>geral!U1426</f>
        <v>0.2533877394299579</v>
      </c>
      <c r="C200" s="918">
        <f t="shared" ref="C200" si="341">100*B200/$B$8</f>
        <v>211.15644952496493</v>
      </c>
      <c r="D200" s="919">
        <f t="shared" ref="D200" si="342">100*(B200/B199-1)</f>
        <v>0.30001558760699432</v>
      </c>
      <c r="E200" s="919">
        <f t="shared" ref="E200" si="343">100*(B200/B$193-1)</f>
        <v>1.5835368628296376</v>
      </c>
      <c r="F200" s="920">
        <f t="shared" ref="F200" si="344">100*(B200/B188-1)</f>
        <v>2.0229237136633715</v>
      </c>
      <c r="G200" s="921">
        <f t="shared" ref="G200" si="345">100*(B200/B176-1)</f>
        <v>5.4046159817469075</v>
      </c>
      <c r="H200" s="861">
        <f t="shared" si="125"/>
        <v>1.0080173181385235</v>
      </c>
    </row>
    <row r="201" spans="1:8">
      <c r="A201" s="1032" t="str">
        <f>'mnt_Atego 2426'!A201</f>
        <v>AGOSTO|20</v>
      </c>
      <c r="B201" s="1072">
        <f>geral!U1427</f>
        <v>0.25450285840770609</v>
      </c>
      <c r="C201" s="918">
        <f t="shared" ref="C201" si="346">100*B201/$B$8</f>
        <v>212.08571533975507</v>
      </c>
      <c r="D201" s="919">
        <f t="shared" ref="D201" si="347">100*(B201/B200-1)</f>
        <v>0.44008403100199711</v>
      </c>
      <c r="E201" s="919">
        <f t="shared" ref="E201" si="348">100*(B201/B$193-1)</f>
        <v>2.0305897866899736</v>
      </c>
      <c r="F201" s="920">
        <f t="shared" ref="F201" si="349">100*(B201/B189-1)</f>
        <v>2.6943460420442378</v>
      </c>
      <c r="G201" s="921">
        <f t="shared" ref="G201" si="350">100*(B201/B177-1)</f>
        <v>5.6044736804204964</v>
      </c>
      <c r="H201" s="926">
        <f t="shared" si="125"/>
        <v>1.0036006320219599</v>
      </c>
    </row>
    <row r="202" spans="1:8" ht="16.5" thickBot="1">
      <c r="A202" s="1046" t="str">
        <f>'mnt_Atego 2426'!A202</f>
        <v>SETEMBRO|20</v>
      </c>
      <c r="B202" s="1061">
        <f>geral!U1428</f>
        <v>0.25541922954936919</v>
      </c>
      <c r="C202" s="1047">
        <f t="shared" ref="C202" si="351">100*B202/$B$8</f>
        <v>212.84935795780765</v>
      </c>
      <c r="D202" s="1062">
        <f t="shared" ref="D202" si="352">100*(B202/B201-1)</f>
        <v>0.36006320219599264</v>
      </c>
      <c r="E202" s="1062">
        <f t="shared" ref="E202" si="353">100*(B202/B$193-1)</f>
        <v>2.3979643954953778</v>
      </c>
      <c r="F202" s="1063">
        <f t="shared" ref="F202" si="354">100*(B202/B190-1)</f>
        <v>2.9405669026130399</v>
      </c>
      <c r="G202" s="1064">
        <f t="shared" ref="G202" si="355">100*(B202/B178-1)</f>
        <v>5.9847165300164429</v>
      </c>
      <c r="H202" s="1053">
        <f t="shared" si="125"/>
        <v>1</v>
      </c>
    </row>
    <row r="203" spans="1:8">
      <c r="A203" s="758" t="s">
        <v>238</v>
      </c>
      <c r="B203" s="775"/>
      <c r="C203" s="728"/>
      <c r="D203" s="762"/>
      <c r="E203" s="762"/>
      <c r="F203" s="776"/>
      <c r="G203" s="763"/>
      <c r="H203" s="777"/>
    </row>
    <row r="204" spans="1:8">
      <c r="A204" s="733"/>
      <c r="B204" s="775"/>
      <c r="C204" s="728"/>
      <c r="D204" s="762"/>
      <c r="E204" s="762"/>
      <c r="F204" s="776"/>
      <c r="G204" s="763"/>
      <c r="H204" s="777"/>
    </row>
    <row r="205" spans="1:8">
      <c r="A205" s="758" t="s">
        <v>246</v>
      </c>
      <c r="B205" s="775"/>
      <c r="C205" s="728"/>
      <c r="D205" s="762"/>
      <c r="E205" s="762"/>
      <c r="F205" s="776"/>
      <c r="G205" s="763"/>
      <c r="H205" s="777"/>
    </row>
    <row r="206" spans="1:8">
      <c r="A206" s="733"/>
      <c r="B206" s="775"/>
      <c r="C206" s="728"/>
      <c r="D206" s="762"/>
      <c r="E206" s="762"/>
      <c r="F206" s="776"/>
      <c r="G206" s="763"/>
      <c r="H206" s="777"/>
    </row>
    <row r="207" spans="1:8">
      <c r="A207" s="733"/>
      <c r="B207" s="775"/>
      <c r="C207" s="728"/>
      <c r="D207" s="762"/>
      <c r="E207" s="762"/>
      <c r="F207" s="776"/>
      <c r="G207" s="763"/>
      <c r="H207" s="777"/>
    </row>
    <row r="208" spans="1:8">
      <c r="A208" s="733"/>
      <c r="B208" s="775"/>
      <c r="C208" s="728"/>
      <c r="D208" s="762"/>
      <c r="E208" s="762"/>
      <c r="F208" s="776"/>
      <c r="G208" s="763"/>
      <c r="H208" s="777"/>
    </row>
    <row r="209" spans="1:8">
      <c r="A209" s="733"/>
      <c r="B209" s="775"/>
      <c r="C209" s="728"/>
      <c r="D209" s="762"/>
      <c r="E209" s="762"/>
      <c r="F209" s="776"/>
      <c r="G209" s="763"/>
      <c r="H209" s="777"/>
    </row>
    <row r="210" spans="1:8">
      <c r="A210" s="733"/>
      <c r="B210" s="775"/>
      <c r="C210" s="728"/>
      <c r="D210" s="762"/>
      <c r="E210" s="762"/>
      <c r="F210" s="776"/>
      <c r="G210" s="763"/>
      <c r="H210" s="777"/>
    </row>
    <row r="211" spans="1:8">
      <c r="A211" s="733"/>
      <c r="B211" s="775"/>
      <c r="C211" s="728"/>
      <c r="D211" s="762"/>
      <c r="E211" s="762"/>
      <c r="F211" s="776"/>
      <c r="G211" s="763"/>
      <c r="H211" s="777"/>
    </row>
    <row r="212" spans="1:8">
      <c r="A212" s="733"/>
      <c r="B212" s="775"/>
      <c r="C212" s="728"/>
      <c r="D212" s="762"/>
      <c r="E212" s="762"/>
      <c r="F212" s="776"/>
      <c r="G212" s="763"/>
      <c r="H212" s="777"/>
    </row>
    <row r="213" spans="1:8">
      <c r="A213" s="733"/>
      <c r="B213" s="775"/>
      <c r="C213" s="728"/>
      <c r="D213" s="762"/>
      <c r="E213" s="762"/>
      <c r="F213" s="776"/>
      <c r="G213" s="763"/>
      <c r="H213" s="777"/>
    </row>
    <row r="214" spans="1:8">
      <c r="A214" s="733"/>
      <c r="B214" s="775"/>
      <c r="C214" s="728"/>
      <c r="D214" s="762"/>
      <c r="E214" s="762"/>
      <c r="F214" s="776"/>
      <c r="G214" s="763"/>
      <c r="H214" s="777"/>
    </row>
    <row r="215" spans="1:8">
      <c r="A215" s="733"/>
      <c r="B215" s="775"/>
      <c r="C215" s="728"/>
      <c r="D215" s="762"/>
      <c r="E215" s="762"/>
      <c r="F215" s="776"/>
      <c r="G215" s="763"/>
      <c r="H215" s="777"/>
    </row>
    <row r="216" spans="1:8">
      <c r="A216" s="733"/>
      <c r="B216" s="775"/>
      <c r="C216" s="728"/>
      <c r="D216" s="762"/>
      <c r="E216" s="762"/>
      <c r="F216" s="776"/>
      <c r="G216" s="763"/>
      <c r="H216" s="777"/>
    </row>
    <row r="217" spans="1:8">
      <c r="A217" s="733"/>
      <c r="B217" s="775"/>
      <c r="C217" s="728"/>
      <c r="D217" s="762"/>
      <c r="E217" s="762"/>
      <c r="F217" s="776"/>
      <c r="G217" s="763"/>
      <c r="H217" s="777"/>
    </row>
    <row r="218" spans="1:8">
      <c r="A218" s="733"/>
      <c r="B218" s="775"/>
      <c r="C218" s="728"/>
      <c r="D218" s="762"/>
      <c r="E218" s="762"/>
      <c r="F218" s="776"/>
      <c r="G218" s="763"/>
      <c r="H218" s="777"/>
    </row>
    <row r="219" spans="1:8">
      <c r="A219" s="733"/>
      <c r="B219" s="775"/>
      <c r="C219" s="728"/>
      <c r="D219" s="762"/>
      <c r="E219" s="762"/>
      <c r="F219" s="776"/>
      <c r="G219" s="763"/>
      <c r="H219" s="777"/>
    </row>
    <row r="220" spans="1:8">
      <c r="A220" s="733"/>
      <c r="B220" s="775"/>
      <c r="C220" s="728"/>
      <c r="D220" s="762"/>
      <c r="E220" s="762"/>
      <c r="F220" s="776"/>
      <c r="G220" s="763"/>
      <c r="H220" s="777"/>
    </row>
    <row r="221" spans="1:8">
      <c r="A221" s="733"/>
      <c r="B221" s="775"/>
      <c r="C221" s="728"/>
      <c r="D221" s="762"/>
      <c r="E221" s="762"/>
      <c r="F221" s="776"/>
      <c r="G221" s="763"/>
      <c r="H221" s="777"/>
    </row>
    <row r="222" spans="1:8">
      <c r="A222" s="733"/>
      <c r="B222" s="775"/>
      <c r="C222" s="728"/>
      <c r="D222" s="762"/>
      <c r="E222" s="762"/>
      <c r="F222" s="776"/>
      <c r="G222" s="763"/>
      <c r="H222" s="777"/>
    </row>
    <row r="223" spans="1:8">
      <c r="A223" s="733"/>
      <c r="B223" s="775"/>
      <c r="C223" s="728"/>
      <c r="D223" s="762"/>
      <c r="E223" s="762"/>
      <c r="F223" s="776"/>
      <c r="G223" s="763"/>
      <c r="H223" s="777"/>
    </row>
    <row r="224" spans="1:8">
      <c r="A224" s="733"/>
      <c r="B224" s="775"/>
      <c r="C224" s="728"/>
      <c r="D224" s="762"/>
      <c r="E224" s="762"/>
      <c r="F224" s="776"/>
      <c r="G224" s="763"/>
      <c r="H224" s="777"/>
    </row>
    <row r="225" spans="1:8">
      <c r="A225" s="733"/>
      <c r="B225" s="775"/>
      <c r="C225" s="728"/>
      <c r="D225" s="762"/>
      <c r="E225" s="762"/>
      <c r="F225" s="776"/>
      <c r="G225" s="763"/>
      <c r="H225" s="777"/>
    </row>
    <row r="226" spans="1:8">
      <c r="A226" s="733"/>
      <c r="B226" s="775"/>
      <c r="C226" s="728"/>
      <c r="D226" s="762"/>
      <c r="E226" s="762"/>
      <c r="F226" s="776"/>
      <c r="G226" s="763"/>
      <c r="H226" s="777"/>
    </row>
    <row r="227" spans="1:8">
      <c r="A227" s="733"/>
      <c r="B227" s="775"/>
      <c r="C227" s="728"/>
      <c r="D227" s="762"/>
      <c r="E227" s="762"/>
      <c r="F227" s="776"/>
      <c r="G227" s="763"/>
      <c r="H227" s="777"/>
    </row>
    <row r="228" spans="1:8">
      <c r="A228" s="733"/>
      <c r="B228" s="775"/>
      <c r="C228" s="728"/>
      <c r="D228" s="762"/>
      <c r="E228" s="762"/>
      <c r="F228" s="776"/>
      <c r="G228" s="763"/>
      <c r="H228" s="777"/>
    </row>
    <row r="229" spans="1:8">
      <c r="A229" s="733"/>
      <c r="B229" s="775"/>
      <c r="C229" s="728"/>
      <c r="D229" s="762"/>
      <c r="E229" s="762"/>
      <c r="F229" s="776"/>
      <c r="G229" s="763"/>
      <c r="H229" s="777"/>
    </row>
    <row r="230" spans="1:8">
      <c r="A230" s="733"/>
      <c r="B230" s="775"/>
      <c r="C230" s="728"/>
      <c r="D230" s="762"/>
      <c r="E230" s="762"/>
      <c r="F230" s="776"/>
      <c r="G230" s="763"/>
      <c r="H230" s="777"/>
    </row>
    <row r="231" spans="1:8">
      <c r="A231" s="733"/>
      <c r="B231" s="775"/>
      <c r="C231" s="728"/>
      <c r="D231" s="762"/>
      <c r="E231" s="762"/>
      <c r="F231" s="776"/>
      <c r="G231" s="763"/>
      <c r="H231" s="777"/>
    </row>
    <row r="232" spans="1:8">
      <c r="A232" s="733"/>
      <c r="B232" s="775"/>
      <c r="C232" s="728"/>
      <c r="D232" s="762"/>
      <c r="E232" s="762"/>
      <c r="F232" s="776"/>
      <c r="G232" s="763"/>
      <c r="H232" s="777"/>
    </row>
    <row r="233" spans="1:8">
      <c r="A233" s="733"/>
      <c r="B233" s="775"/>
      <c r="C233" s="728"/>
      <c r="D233" s="762"/>
      <c r="E233" s="762"/>
      <c r="F233" s="776"/>
      <c r="G233" s="763"/>
      <c r="H233" s="777"/>
    </row>
    <row r="234" spans="1:8">
      <c r="A234" s="733"/>
      <c r="B234" s="775"/>
      <c r="C234" s="728"/>
      <c r="D234" s="762"/>
      <c r="E234" s="762"/>
      <c r="F234" s="776"/>
      <c r="G234" s="763"/>
      <c r="H234" s="777"/>
    </row>
    <row r="235" spans="1:8">
      <c r="A235" s="733"/>
      <c r="B235" s="775"/>
      <c r="C235" s="728"/>
      <c r="D235" s="762"/>
      <c r="E235" s="762"/>
      <c r="F235" s="776"/>
      <c r="G235" s="763"/>
      <c r="H235" s="777"/>
    </row>
    <row r="236" spans="1:8">
      <c r="A236" s="733"/>
      <c r="B236" s="775"/>
      <c r="C236" s="728"/>
      <c r="D236" s="762"/>
      <c r="E236" s="762"/>
      <c r="F236" s="776"/>
      <c r="G236" s="763"/>
      <c r="H236" s="777"/>
    </row>
    <row r="237" spans="1:8">
      <c r="A237" s="733"/>
      <c r="B237" s="775"/>
      <c r="C237" s="728"/>
      <c r="D237" s="762"/>
      <c r="E237" s="762"/>
      <c r="F237" s="776"/>
      <c r="G237" s="763"/>
      <c r="H237" s="777"/>
    </row>
    <row r="238" spans="1:8">
      <c r="A238" s="733"/>
      <c r="B238" s="775"/>
      <c r="C238" s="728"/>
      <c r="D238" s="762"/>
      <c r="E238" s="762"/>
      <c r="F238" s="776"/>
      <c r="G238" s="763"/>
      <c r="H238" s="777"/>
    </row>
    <row r="239" spans="1:8">
      <c r="A239" s="733"/>
      <c r="B239" s="775"/>
      <c r="C239" s="728"/>
      <c r="D239" s="762"/>
      <c r="E239" s="762"/>
      <c r="F239" s="776"/>
      <c r="G239" s="763"/>
      <c r="H239" s="777"/>
    </row>
    <row r="240" spans="1:8">
      <c r="A240" s="733"/>
      <c r="B240" s="775"/>
      <c r="C240" s="728"/>
      <c r="D240" s="762"/>
      <c r="E240" s="762"/>
      <c r="F240" s="776"/>
      <c r="G240" s="763"/>
      <c r="H240" s="777"/>
    </row>
    <row r="241" spans="1:8">
      <c r="A241" s="733"/>
      <c r="B241" s="775"/>
      <c r="C241" s="728"/>
      <c r="D241" s="762"/>
      <c r="E241" s="762"/>
      <c r="F241" s="776"/>
      <c r="G241" s="763"/>
      <c r="H241" s="777"/>
    </row>
    <row r="242" spans="1:8">
      <c r="A242" s="733"/>
      <c r="B242" s="775"/>
      <c r="C242" s="728"/>
      <c r="D242" s="762"/>
      <c r="E242" s="762"/>
      <c r="F242" s="776"/>
      <c r="G242" s="763"/>
      <c r="H242" s="777"/>
    </row>
    <row r="243" spans="1:8">
      <c r="A243" s="733"/>
      <c r="B243" s="775"/>
      <c r="C243" s="728"/>
      <c r="D243" s="762"/>
      <c r="E243" s="762"/>
      <c r="F243" s="776"/>
      <c r="G243" s="763"/>
      <c r="H243" s="777"/>
    </row>
    <row r="244" spans="1:8">
      <c r="A244" s="733"/>
      <c r="B244" s="775"/>
      <c r="C244" s="728"/>
      <c r="D244" s="762"/>
      <c r="E244" s="762"/>
      <c r="F244" s="776"/>
      <c r="G244" s="763"/>
      <c r="H244" s="777"/>
    </row>
    <row r="245" spans="1:8">
      <c r="A245" s="733"/>
      <c r="B245" s="775"/>
      <c r="C245" s="728"/>
      <c r="D245" s="762"/>
      <c r="E245" s="762"/>
      <c r="F245" s="776"/>
      <c r="G245" s="763"/>
      <c r="H245" s="777"/>
    </row>
    <row r="246" spans="1:8">
      <c r="A246" s="733"/>
      <c r="B246" s="775"/>
      <c r="C246" s="728"/>
      <c r="D246" s="762"/>
      <c r="E246" s="762"/>
      <c r="F246" s="776"/>
      <c r="G246" s="763"/>
      <c r="H246" s="777"/>
    </row>
    <row r="247" spans="1:8">
      <c r="A247" s="733"/>
      <c r="B247" s="775"/>
      <c r="C247" s="728"/>
      <c r="D247" s="762"/>
      <c r="E247" s="762"/>
      <c r="F247" s="776"/>
      <c r="G247" s="763"/>
      <c r="H247" s="777"/>
    </row>
    <row r="248" spans="1:8">
      <c r="A248" s="733"/>
      <c r="B248" s="775"/>
      <c r="C248" s="728"/>
      <c r="D248" s="762"/>
      <c r="E248" s="762"/>
      <c r="F248" s="776"/>
      <c r="G248" s="763"/>
      <c r="H248" s="777"/>
    </row>
    <row r="249" spans="1:8">
      <c r="A249" s="733"/>
      <c r="B249" s="775"/>
      <c r="C249" s="728"/>
      <c r="D249" s="762"/>
      <c r="E249" s="762"/>
      <c r="F249" s="776"/>
      <c r="G249" s="763"/>
      <c r="H249" s="777"/>
    </row>
    <row r="250" spans="1:8">
      <c r="A250" s="733"/>
      <c r="B250" s="775"/>
      <c r="C250" s="728"/>
      <c r="D250" s="762"/>
      <c r="E250" s="762"/>
      <c r="F250" s="776"/>
      <c r="G250" s="763"/>
      <c r="H250" s="777"/>
    </row>
    <row r="251" spans="1:8">
      <c r="A251" s="733"/>
      <c r="B251" s="775"/>
      <c r="C251" s="728"/>
      <c r="D251" s="762"/>
      <c r="E251" s="762"/>
      <c r="F251" s="776"/>
      <c r="G251" s="763"/>
      <c r="H251" s="777"/>
    </row>
    <row r="252" spans="1:8">
      <c r="A252" s="733"/>
      <c r="B252" s="775"/>
      <c r="C252" s="728"/>
      <c r="D252" s="762"/>
      <c r="E252" s="762"/>
      <c r="F252" s="776"/>
      <c r="G252" s="763"/>
      <c r="H252" s="777"/>
    </row>
    <row r="253" spans="1:8">
      <c r="A253" s="733"/>
      <c r="B253" s="775"/>
      <c r="C253" s="728"/>
      <c r="D253" s="762"/>
      <c r="E253" s="762"/>
      <c r="F253" s="776"/>
      <c r="G253" s="763"/>
      <c r="H253" s="777"/>
    </row>
    <row r="254" spans="1:8">
      <c r="A254" s="733"/>
      <c r="B254" s="775"/>
      <c r="C254" s="728"/>
      <c r="D254" s="762"/>
      <c r="E254" s="762"/>
      <c r="F254" s="776"/>
      <c r="G254" s="763"/>
      <c r="H254" s="777"/>
    </row>
    <row r="255" spans="1:8">
      <c r="A255" s="733"/>
      <c r="B255" s="775"/>
      <c r="C255" s="728"/>
      <c r="D255" s="762"/>
      <c r="E255" s="762"/>
      <c r="F255" s="776"/>
      <c r="G255" s="763"/>
      <c r="H255" s="777"/>
    </row>
    <row r="256" spans="1:8">
      <c r="A256" s="733"/>
      <c r="B256" s="775"/>
      <c r="C256" s="728"/>
      <c r="D256" s="762"/>
      <c r="E256" s="762"/>
      <c r="F256" s="776"/>
      <c r="G256" s="763"/>
      <c r="H256" s="777"/>
    </row>
    <row r="257" spans="1:8">
      <c r="A257" s="733"/>
      <c r="B257" s="775"/>
      <c r="C257" s="728"/>
      <c r="D257" s="762"/>
      <c r="E257" s="762"/>
      <c r="F257" s="776"/>
      <c r="G257" s="763"/>
      <c r="H257" s="777"/>
    </row>
    <row r="258" spans="1:8">
      <c r="A258" s="733"/>
      <c r="B258" s="775"/>
      <c r="C258" s="728"/>
      <c r="D258" s="762"/>
      <c r="E258" s="762"/>
      <c r="F258" s="776"/>
      <c r="G258" s="763"/>
      <c r="H258" s="777"/>
    </row>
    <row r="259" spans="1:8">
      <c r="A259" s="733"/>
      <c r="B259" s="775"/>
      <c r="C259" s="728"/>
      <c r="D259" s="762"/>
      <c r="E259" s="762"/>
      <c r="F259" s="776"/>
      <c r="G259" s="763"/>
      <c r="H259" s="777"/>
    </row>
    <row r="260" spans="1:8">
      <c r="A260" s="733"/>
      <c r="B260" s="775"/>
      <c r="C260" s="728"/>
      <c r="D260" s="762"/>
      <c r="E260" s="762"/>
      <c r="F260" s="776"/>
      <c r="G260" s="763"/>
      <c r="H260" s="777"/>
    </row>
    <row r="261" spans="1:8">
      <c r="A261" s="733"/>
      <c r="B261" s="775"/>
      <c r="C261" s="728"/>
      <c r="D261" s="762"/>
      <c r="E261" s="762"/>
      <c r="F261" s="776"/>
      <c r="G261" s="763"/>
      <c r="H261" s="777"/>
    </row>
    <row r="262" spans="1:8">
      <c r="A262" s="733"/>
      <c r="B262" s="775"/>
      <c r="C262" s="728"/>
      <c r="D262" s="762"/>
      <c r="E262" s="762"/>
      <c r="F262" s="776"/>
      <c r="G262" s="763"/>
      <c r="H262" s="777"/>
    </row>
    <row r="263" spans="1:8">
      <c r="A263" s="733"/>
      <c r="B263" s="775"/>
      <c r="C263" s="728"/>
      <c r="D263" s="762"/>
      <c r="E263" s="762"/>
      <c r="F263" s="776"/>
      <c r="G263" s="763"/>
      <c r="H263" s="777"/>
    </row>
    <row r="264" spans="1:8">
      <c r="A264" s="733"/>
      <c r="B264" s="775"/>
      <c r="C264" s="728"/>
      <c r="D264" s="762"/>
      <c r="E264" s="762"/>
      <c r="F264" s="776"/>
      <c r="G264" s="763"/>
      <c r="H264" s="777"/>
    </row>
    <row r="265" spans="1:8">
      <c r="A265" s="733"/>
      <c r="B265" s="775"/>
      <c r="C265" s="728"/>
      <c r="D265" s="762"/>
      <c r="E265" s="762"/>
      <c r="F265" s="776"/>
      <c r="G265" s="763"/>
      <c r="H265" s="777"/>
    </row>
    <row r="266" spans="1:8">
      <c r="A266" s="733"/>
      <c r="B266" s="775"/>
      <c r="C266" s="728"/>
      <c r="D266" s="762"/>
      <c r="E266" s="762"/>
      <c r="F266" s="776"/>
      <c r="G266" s="763"/>
      <c r="H266" s="777"/>
    </row>
    <row r="267" spans="1:8">
      <c r="A267" s="733"/>
      <c r="B267" s="775"/>
      <c r="C267" s="728"/>
      <c r="D267" s="762"/>
      <c r="E267" s="762"/>
      <c r="F267" s="776"/>
      <c r="G267" s="763"/>
      <c r="H267" s="777"/>
    </row>
    <row r="268" spans="1:8">
      <c r="A268" s="733"/>
      <c r="B268" s="775"/>
      <c r="C268" s="728"/>
      <c r="D268" s="762"/>
      <c r="E268" s="762"/>
      <c r="F268" s="776"/>
      <c r="G268" s="763"/>
      <c r="H268" s="777"/>
    </row>
    <row r="269" spans="1:8">
      <c r="A269" s="733"/>
      <c r="B269" s="775"/>
      <c r="C269" s="728"/>
      <c r="D269" s="762"/>
      <c r="E269" s="762"/>
      <c r="F269" s="776"/>
      <c r="G269" s="763"/>
      <c r="H269" s="777"/>
    </row>
    <row r="270" spans="1:8">
      <c r="A270" s="733"/>
      <c r="B270" s="775"/>
      <c r="C270" s="728"/>
      <c r="D270" s="762"/>
      <c r="E270" s="762"/>
      <c r="F270" s="776"/>
      <c r="G270" s="763"/>
      <c r="H270" s="777"/>
    </row>
    <row r="271" spans="1:8">
      <c r="A271" s="733"/>
      <c r="B271" s="775"/>
      <c r="C271" s="728"/>
      <c r="D271" s="762"/>
      <c r="E271" s="762"/>
      <c r="F271" s="776"/>
      <c r="G271" s="763"/>
      <c r="H271" s="777"/>
    </row>
    <row r="272" spans="1:8">
      <c r="A272" s="733"/>
      <c r="B272" s="775"/>
      <c r="C272" s="728"/>
      <c r="D272" s="762"/>
      <c r="E272" s="762"/>
      <c r="F272" s="776"/>
      <c r="G272" s="763"/>
      <c r="H272" s="777"/>
    </row>
    <row r="273" spans="1:8">
      <c r="A273" s="733"/>
      <c r="B273" s="775"/>
      <c r="C273" s="728"/>
      <c r="D273" s="762"/>
      <c r="E273" s="762"/>
      <c r="F273" s="776"/>
      <c r="G273" s="763"/>
      <c r="H273" s="777"/>
    </row>
    <row r="274" spans="1:8">
      <c r="A274" s="733"/>
      <c r="B274" s="775"/>
      <c r="C274" s="728"/>
      <c r="D274" s="762"/>
      <c r="E274" s="762"/>
      <c r="F274" s="776"/>
      <c r="G274" s="763"/>
      <c r="H274" s="777"/>
    </row>
    <row r="275" spans="1:8">
      <c r="A275" s="733"/>
      <c r="B275" s="775"/>
      <c r="C275" s="728"/>
      <c r="D275" s="762"/>
      <c r="E275" s="762"/>
      <c r="F275" s="776"/>
      <c r="G275" s="763"/>
      <c r="H275" s="777"/>
    </row>
    <row r="276" spans="1:8">
      <c r="A276" s="733"/>
      <c r="B276" s="775"/>
      <c r="C276" s="728"/>
      <c r="D276" s="762"/>
      <c r="E276" s="762"/>
      <c r="F276" s="776"/>
      <c r="G276" s="763"/>
      <c r="H276" s="777"/>
    </row>
    <row r="277" spans="1:8">
      <c r="A277" s="733"/>
      <c r="B277" s="775"/>
      <c r="C277" s="728"/>
      <c r="D277" s="762"/>
      <c r="E277" s="762"/>
      <c r="F277" s="776"/>
      <c r="G277" s="763"/>
      <c r="H277" s="777"/>
    </row>
    <row r="278" spans="1:8">
      <c r="A278" s="733"/>
      <c r="B278" s="775"/>
      <c r="C278" s="728"/>
      <c r="D278" s="762"/>
      <c r="E278" s="762"/>
      <c r="F278" s="776"/>
      <c r="G278" s="763"/>
      <c r="H278" s="777"/>
    </row>
    <row r="279" spans="1:8">
      <c r="A279" s="733"/>
      <c r="B279" s="775"/>
      <c r="C279" s="728"/>
      <c r="D279" s="762"/>
      <c r="E279" s="762"/>
      <c r="F279" s="776"/>
      <c r="G279" s="763"/>
      <c r="H279" s="777"/>
    </row>
    <row r="280" spans="1:8">
      <c r="A280" s="733"/>
      <c r="B280" s="775"/>
      <c r="C280" s="728"/>
      <c r="D280" s="762"/>
      <c r="E280" s="762"/>
      <c r="F280" s="776"/>
      <c r="G280" s="763"/>
      <c r="H280" s="777"/>
    </row>
    <row r="281" spans="1:8">
      <c r="A281" s="733"/>
      <c r="B281" s="775"/>
      <c r="C281" s="728"/>
      <c r="D281" s="762"/>
      <c r="E281" s="762"/>
      <c r="F281" s="776"/>
      <c r="G281" s="763"/>
      <c r="H281" s="777"/>
    </row>
    <row r="282" spans="1:8">
      <c r="A282" s="733"/>
      <c r="B282" s="775"/>
      <c r="C282" s="728"/>
      <c r="D282" s="762"/>
      <c r="E282" s="762"/>
      <c r="F282" s="776"/>
      <c r="G282" s="763"/>
      <c r="H282" s="777"/>
    </row>
    <row r="283" spans="1:8">
      <c r="A283" s="733"/>
      <c r="B283" s="775"/>
      <c r="C283" s="728"/>
      <c r="D283" s="762"/>
      <c r="E283" s="762"/>
      <c r="F283" s="776"/>
      <c r="G283" s="763"/>
      <c r="H283" s="777"/>
    </row>
    <row r="284" spans="1:8">
      <c r="A284" s="733"/>
      <c r="B284" s="775"/>
      <c r="C284" s="728"/>
      <c r="D284" s="762"/>
      <c r="E284" s="762"/>
      <c r="F284" s="776"/>
      <c r="G284" s="763"/>
      <c r="H284" s="777"/>
    </row>
    <row r="285" spans="1:8">
      <c r="A285" s="733"/>
      <c r="B285" s="775"/>
      <c r="C285" s="728"/>
      <c r="D285" s="762"/>
      <c r="E285" s="762"/>
      <c r="F285" s="776"/>
      <c r="G285" s="763"/>
      <c r="H285" s="777"/>
    </row>
    <row r="286" spans="1:8">
      <c r="A286" s="733"/>
      <c r="B286" s="775"/>
      <c r="C286" s="728"/>
      <c r="D286" s="762"/>
      <c r="E286" s="762"/>
      <c r="F286" s="776"/>
      <c r="G286" s="763"/>
      <c r="H286" s="777"/>
    </row>
    <row r="287" spans="1:8">
      <c r="A287" s="733"/>
      <c r="B287" s="775"/>
      <c r="C287" s="728"/>
      <c r="D287" s="762"/>
      <c r="E287" s="762"/>
      <c r="F287" s="776"/>
      <c r="G287" s="763"/>
      <c r="H287" s="777"/>
    </row>
    <row r="288" spans="1:8">
      <c r="A288" s="733"/>
      <c r="B288" s="775"/>
      <c r="C288" s="728"/>
      <c r="D288" s="762"/>
      <c r="E288" s="762"/>
      <c r="F288" s="776"/>
      <c r="G288" s="763"/>
      <c r="H288" s="777"/>
    </row>
    <row r="289" spans="1:8">
      <c r="A289" s="733"/>
      <c r="B289" s="775"/>
      <c r="C289" s="728"/>
      <c r="D289" s="762"/>
      <c r="E289" s="762"/>
      <c r="F289" s="776"/>
      <c r="G289" s="763"/>
      <c r="H289" s="777"/>
    </row>
    <row r="290" spans="1:8">
      <c r="A290" s="733"/>
      <c r="B290" s="775"/>
      <c r="C290" s="728"/>
      <c r="D290" s="762"/>
      <c r="E290" s="762"/>
      <c r="F290" s="776"/>
      <c r="G290" s="763"/>
      <c r="H290" s="777"/>
    </row>
    <row r="291" spans="1:8">
      <c r="A291" s="733"/>
      <c r="B291" s="775"/>
      <c r="C291" s="728"/>
      <c r="D291" s="762"/>
      <c r="E291" s="762"/>
      <c r="F291" s="776"/>
      <c r="G291" s="763"/>
      <c r="H291" s="777"/>
    </row>
    <row r="292" spans="1:8">
      <c r="A292" s="733"/>
      <c r="B292" s="775"/>
      <c r="C292" s="728"/>
      <c r="D292" s="762"/>
      <c r="E292" s="762"/>
      <c r="F292" s="776"/>
      <c r="G292" s="763"/>
      <c r="H292" s="777"/>
    </row>
    <row r="293" spans="1:8">
      <c r="A293" s="733"/>
      <c r="B293" s="775"/>
      <c r="C293" s="728"/>
      <c r="D293" s="762"/>
      <c r="E293" s="762"/>
      <c r="F293" s="776"/>
      <c r="G293" s="763"/>
      <c r="H293" s="777"/>
    </row>
    <row r="294" spans="1:8">
      <c r="A294" s="733"/>
      <c r="B294" s="775"/>
      <c r="C294" s="728"/>
      <c r="D294" s="762"/>
      <c r="E294" s="762"/>
      <c r="F294" s="776"/>
      <c r="G294" s="763"/>
      <c r="H294" s="777"/>
    </row>
    <row r="295" spans="1:8">
      <c r="A295" s="733"/>
      <c r="B295" s="775"/>
      <c r="C295" s="728"/>
      <c r="D295" s="762"/>
      <c r="E295" s="762"/>
      <c r="F295" s="776"/>
      <c r="G295" s="763"/>
      <c r="H295" s="777"/>
    </row>
    <row r="296" spans="1:8">
      <c r="A296" s="733"/>
      <c r="B296" s="775"/>
      <c r="C296" s="728"/>
      <c r="D296" s="762"/>
      <c r="E296" s="762"/>
      <c r="F296" s="776"/>
      <c r="G296" s="763"/>
      <c r="H296" s="777"/>
    </row>
    <row r="297" spans="1:8">
      <c r="A297" s="733"/>
      <c r="B297" s="775"/>
      <c r="C297" s="728"/>
      <c r="D297" s="762"/>
      <c r="E297" s="762"/>
      <c r="F297" s="776"/>
      <c r="G297" s="763"/>
      <c r="H297" s="777"/>
    </row>
    <row r="298" spans="1:8">
      <c r="A298" s="733"/>
      <c r="B298" s="775"/>
      <c r="C298" s="728"/>
      <c r="D298" s="762"/>
      <c r="E298" s="762"/>
      <c r="F298" s="776"/>
      <c r="G298" s="763"/>
      <c r="H298" s="777"/>
    </row>
    <row r="299" spans="1:8">
      <c r="A299" s="733"/>
      <c r="B299" s="775"/>
      <c r="C299" s="728"/>
      <c r="D299" s="762"/>
      <c r="E299" s="762"/>
      <c r="F299" s="776"/>
      <c r="G299" s="763"/>
      <c r="H299" s="777"/>
    </row>
    <row r="300" spans="1:8">
      <c r="A300" s="733"/>
      <c r="B300" s="775"/>
      <c r="C300" s="728"/>
      <c r="D300" s="762"/>
      <c r="E300" s="762"/>
      <c r="F300" s="776"/>
      <c r="G300" s="763"/>
      <c r="H300" s="777"/>
    </row>
    <row r="301" spans="1:8">
      <c r="A301" s="733"/>
      <c r="B301" s="775"/>
      <c r="C301" s="728"/>
      <c r="D301" s="762"/>
      <c r="E301" s="762"/>
      <c r="F301" s="776"/>
      <c r="G301" s="763"/>
      <c r="H301" s="777"/>
    </row>
    <row r="302" spans="1:8">
      <c r="A302" s="733"/>
      <c r="B302" s="775"/>
      <c r="C302" s="728"/>
      <c r="D302" s="762"/>
      <c r="E302" s="762"/>
      <c r="F302" s="776"/>
      <c r="G302" s="763"/>
      <c r="H302" s="777"/>
    </row>
    <row r="303" spans="1:8">
      <c r="A303" s="733"/>
      <c r="B303" s="775"/>
      <c r="C303" s="728"/>
      <c r="D303" s="762"/>
      <c r="E303" s="762"/>
      <c r="F303" s="776"/>
      <c r="G303" s="763"/>
      <c r="H303" s="777"/>
    </row>
    <row r="304" spans="1:8">
      <c r="A304" s="733"/>
      <c r="B304" s="775"/>
      <c r="C304" s="728"/>
      <c r="D304" s="762"/>
      <c r="E304" s="762"/>
      <c r="F304" s="776"/>
      <c r="G304" s="763"/>
      <c r="H304" s="777"/>
    </row>
    <row r="305" spans="1:8">
      <c r="A305" s="733"/>
      <c r="B305" s="775"/>
      <c r="C305" s="728"/>
      <c r="D305" s="762"/>
      <c r="E305" s="762"/>
      <c r="F305" s="776"/>
      <c r="G305" s="763"/>
      <c r="H305" s="777"/>
    </row>
    <row r="306" spans="1:8">
      <c r="A306" s="733"/>
      <c r="B306" s="775"/>
      <c r="C306" s="728"/>
      <c r="D306" s="762"/>
      <c r="E306" s="762"/>
      <c r="F306" s="776"/>
      <c r="G306" s="763"/>
      <c r="H306" s="777"/>
    </row>
    <row r="307" spans="1:8">
      <c r="A307" s="733"/>
      <c r="B307" s="775"/>
      <c r="C307" s="728"/>
      <c r="D307" s="762"/>
      <c r="E307" s="762"/>
      <c r="F307" s="776"/>
      <c r="G307" s="763"/>
      <c r="H307" s="777"/>
    </row>
    <row r="308" spans="1:8">
      <c r="A308" s="733"/>
      <c r="B308" s="775"/>
      <c r="C308" s="728"/>
      <c r="D308" s="762"/>
      <c r="E308" s="762"/>
      <c r="F308" s="776"/>
      <c r="G308" s="763"/>
      <c r="H308" s="777"/>
    </row>
    <row r="309" spans="1:8">
      <c r="A309" s="733"/>
      <c r="B309" s="775"/>
      <c r="C309" s="728"/>
      <c r="D309" s="762"/>
      <c r="E309" s="762"/>
      <c r="F309" s="776"/>
      <c r="G309" s="763"/>
      <c r="H309" s="777"/>
    </row>
    <row r="310" spans="1:8">
      <c r="A310" s="733"/>
      <c r="B310" s="775"/>
      <c r="C310" s="728"/>
      <c r="D310" s="762"/>
      <c r="E310" s="762"/>
      <c r="F310" s="776"/>
      <c r="G310" s="763"/>
      <c r="H310" s="777"/>
    </row>
    <row r="311" spans="1:8">
      <c r="A311" s="733"/>
      <c r="B311" s="775"/>
      <c r="C311" s="728"/>
      <c r="D311" s="762"/>
      <c r="E311" s="762"/>
      <c r="F311" s="776"/>
      <c r="G311" s="763"/>
      <c r="H311" s="777"/>
    </row>
    <row r="312" spans="1:8">
      <c r="A312" s="733"/>
      <c r="B312" s="775"/>
      <c r="C312" s="728"/>
      <c r="D312" s="762"/>
      <c r="E312" s="762"/>
      <c r="F312" s="776"/>
      <c r="G312" s="763"/>
      <c r="H312" s="777"/>
    </row>
    <row r="313" spans="1:8">
      <c r="A313" s="733"/>
      <c r="B313" s="775"/>
      <c r="C313" s="728"/>
      <c r="D313" s="762"/>
      <c r="E313" s="762"/>
      <c r="F313" s="776"/>
      <c r="G313" s="763"/>
      <c r="H313" s="777"/>
    </row>
    <row r="314" spans="1:8">
      <c r="A314" s="733"/>
      <c r="B314" s="775"/>
      <c r="C314" s="728"/>
      <c r="D314" s="762"/>
      <c r="E314" s="762"/>
      <c r="F314" s="776"/>
      <c r="G314" s="763"/>
      <c r="H314" s="777"/>
    </row>
    <row r="315" spans="1:8">
      <c r="A315" s="733"/>
      <c r="B315" s="775"/>
      <c r="C315" s="728"/>
      <c r="D315" s="762"/>
      <c r="E315" s="762"/>
      <c r="F315" s="776"/>
      <c r="G315" s="763"/>
      <c r="H315" s="777"/>
    </row>
    <row r="316" spans="1:8">
      <c r="A316" s="733"/>
      <c r="B316" s="775"/>
      <c r="C316" s="728"/>
      <c r="D316" s="762"/>
      <c r="E316" s="762"/>
      <c r="F316" s="776"/>
      <c r="G316" s="763"/>
      <c r="H316" s="777"/>
    </row>
    <row r="317" spans="1:8">
      <c r="A317" s="733"/>
      <c r="B317" s="775"/>
      <c r="C317" s="728"/>
      <c r="D317" s="762"/>
      <c r="E317" s="762"/>
      <c r="F317" s="776"/>
      <c r="G317" s="763"/>
      <c r="H317" s="777"/>
    </row>
    <row r="318" spans="1:8">
      <c r="A318" s="733"/>
      <c r="B318" s="775"/>
      <c r="C318" s="728"/>
      <c r="D318" s="762"/>
      <c r="E318" s="762"/>
      <c r="F318" s="776"/>
      <c r="G318" s="763"/>
      <c r="H318" s="777"/>
    </row>
    <row r="319" spans="1:8">
      <c r="A319" s="733"/>
      <c r="B319" s="775"/>
      <c r="C319" s="728"/>
      <c r="D319" s="762"/>
      <c r="E319" s="762"/>
      <c r="F319" s="776"/>
      <c r="G319" s="763"/>
      <c r="H319" s="777"/>
    </row>
    <row r="320" spans="1:8">
      <c r="A320" s="733"/>
      <c r="B320" s="775"/>
      <c r="C320" s="728"/>
      <c r="D320" s="762"/>
      <c r="E320" s="762"/>
      <c r="F320" s="776"/>
      <c r="G320" s="763"/>
      <c r="H320" s="777"/>
    </row>
    <row r="321" spans="1:8">
      <c r="A321" s="733"/>
      <c r="B321" s="759"/>
      <c r="C321" s="759"/>
      <c r="D321" s="759"/>
      <c r="E321" s="759"/>
      <c r="F321" s="759"/>
      <c r="G321" s="759"/>
      <c r="H321" s="759"/>
    </row>
    <row r="322" spans="1:8">
      <c r="B322" s="759"/>
      <c r="C322" s="759"/>
      <c r="D322" s="759"/>
      <c r="E322" s="759"/>
      <c r="F322" s="759"/>
      <c r="G322" s="759"/>
      <c r="H322" s="759"/>
    </row>
    <row r="323" spans="1:8">
      <c r="A323" s="758"/>
      <c r="B323" s="759"/>
      <c r="C323" s="759"/>
      <c r="D323" s="759"/>
      <c r="E323" s="759"/>
      <c r="F323" s="759"/>
      <c r="G323" s="759"/>
      <c r="H323" s="759"/>
    </row>
    <row r="324" spans="1:8">
      <c r="B324" s="759"/>
      <c r="C324" s="759"/>
      <c r="D324" s="759"/>
      <c r="E324" s="759"/>
      <c r="F324" s="759"/>
      <c r="G324" s="759"/>
      <c r="H324" s="759"/>
    </row>
    <row r="325" spans="1:8">
      <c r="B325" s="759"/>
      <c r="C325" s="759"/>
      <c r="D325" s="759"/>
      <c r="E325" s="759"/>
      <c r="F325" s="759"/>
      <c r="G325" s="759"/>
      <c r="H325" s="759"/>
    </row>
    <row r="326" spans="1:8">
      <c r="B326" s="759"/>
      <c r="C326" s="759"/>
      <c r="D326" s="759"/>
      <c r="E326" s="759"/>
      <c r="F326" s="759"/>
      <c r="G326" s="759"/>
      <c r="H326" s="759"/>
    </row>
    <row r="327" spans="1:8">
      <c r="B327" s="759"/>
      <c r="C327" s="759"/>
      <c r="D327" s="759"/>
      <c r="E327" s="759"/>
      <c r="F327" s="759"/>
      <c r="G327" s="759"/>
      <c r="H327" s="759"/>
    </row>
    <row r="328" spans="1:8">
      <c r="B328" s="759"/>
      <c r="C328" s="759"/>
      <c r="D328" s="759"/>
      <c r="E328" s="759"/>
      <c r="F328" s="759"/>
      <c r="G328" s="759"/>
      <c r="H328" s="759"/>
    </row>
    <row r="329" spans="1:8">
      <c r="B329" s="759"/>
      <c r="C329" s="759"/>
      <c r="D329" s="759"/>
      <c r="E329" s="759"/>
      <c r="F329" s="759"/>
      <c r="G329" s="759"/>
      <c r="H329" s="759"/>
    </row>
    <row r="330" spans="1:8">
      <c r="B330" s="759"/>
      <c r="C330" s="759"/>
      <c r="D330" s="759"/>
      <c r="E330" s="759"/>
      <c r="F330" s="759"/>
      <c r="G330" s="759"/>
      <c r="H330" s="759"/>
    </row>
    <row r="331" spans="1:8">
      <c r="B331" s="759"/>
      <c r="C331" s="759"/>
      <c r="D331" s="759"/>
      <c r="E331" s="759"/>
      <c r="F331" s="759"/>
      <c r="G331" s="759"/>
      <c r="H331" s="759"/>
    </row>
    <row r="332" spans="1:8">
      <c r="B332" s="759"/>
      <c r="C332" s="759"/>
      <c r="D332" s="759"/>
      <c r="E332" s="759"/>
      <c r="F332" s="759"/>
      <c r="G332" s="759"/>
      <c r="H332" s="759"/>
    </row>
    <row r="333" spans="1:8">
      <c r="B333" s="759"/>
      <c r="C333" s="759"/>
      <c r="D333" s="759"/>
      <c r="E333" s="759"/>
      <c r="F333" s="759"/>
      <c r="G333" s="759"/>
      <c r="H333" s="759"/>
    </row>
    <row r="334" spans="1:8">
      <c r="B334" s="759"/>
      <c r="C334" s="759"/>
      <c r="D334" s="759"/>
      <c r="E334" s="759"/>
      <c r="F334" s="759"/>
      <c r="G334" s="759"/>
      <c r="H334" s="759"/>
    </row>
    <row r="335" spans="1:8">
      <c r="B335" s="759"/>
      <c r="C335" s="759"/>
      <c r="D335" s="759"/>
      <c r="E335" s="759"/>
      <c r="F335" s="759"/>
      <c r="G335" s="759"/>
      <c r="H335" s="759"/>
    </row>
    <row r="336" spans="1:8">
      <c r="B336" s="759"/>
      <c r="C336" s="759"/>
      <c r="D336" s="759"/>
      <c r="E336" s="759"/>
      <c r="F336" s="759"/>
      <c r="G336" s="759"/>
      <c r="H336" s="759"/>
    </row>
    <row r="337" spans="2:8">
      <c r="B337" s="759"/>
      <c r="C337" s="759"/>
      <c r="D337" s="759"/>
      <c r="E337" s="759"/>
      <c r="F337" s="759"/>
      <c r="G337" s="759"/>
      <c r="H337" s="759"/>
    </row>
    <row r="338" spans="2:8">
      <c r="B338" s="759"/>
      <c r="C338" s="759"/>
      <c r="D338" s="759"/>
      <c r="E338" s="759"/>
      <c r="F338" s="759"/>
      <c r="G338" s="759"/>
      <c r="H338" s="759"/>
    </row>
    <row r="339" spans="2:8">
      <c r="B339" s="759"/>
      <c r="C339" s="759"/>
      <c r="D339" s="759"/>
      <c r="E339" s="759"/>
      <c r="F339" s="759"/>
      <c r="G339" s="759"/>
      <c r="H339" s="759"/>
    </row>
    <row r="340" spans="2:8">
      <c r="B340" s="759"/>
      <c r="C340" s="759"/>
      <c r="D340" s="759"/>
      <c r="E340" s="759"/>
      <c r="F340" s="759"/>
      <c r="G340" s="759"/>
      <c r="H340" s="759"/>
    </row>
    <row r="341" spans="2:8">
      <c r="B341" s="759"/>
      <c r="C341" s="759"/>
      <c r="D341" s="759"/>
      <c r="E341" s="759"/>
      <c r="F341" s="759"/>
      <c r="G341" s="759"/>
      <c r="H341" s="759"/>
    </row>
    <row r="342" spans="2:8">
      <c r="B342" s="759"/>
      <c r="C342" s="759"/>
      <c r="D342" s="759"/>
      <c r="E342" s="759"/>
      <c r="F342" s="759"/>
      <c r="G342" s="759"/>
      <c r="H342" s="759"/>
    </row>
    <row r="343" spans="2:8">
      <c r="B343" s="759"/>
      <c r="C343" s="759"/>
      <c r="D343" s="759"/>
      <c r="E343" s="759"/>
      <c r="F343" s="759"/>
      <c r="G343" s="759"/>
      <c r="H343" s="759"/>
    </row>
    <row r="344" spans="2:8">
      <c r="B344" s="759"/>
      <c r="C344" s="759"/>
      <c r="D344" s="759"/>
      <c r="E344" s="759"/>
      <c r="F344" s="759"/>
      <c r="G344" s="759"/>
      <c r="H344" s="759"/>
    </row>
    <row r="345" spans="2:8">
      <c r="B345" s="759"/>
      <c r="C345" s="759"/>
      <c r="D345" s="759"/>
      <c r="E345" s="759"/>
      <c r="F345" s="759"/>
      <c r="G345" s="759"/>
      <c r="H345" s="759"/>
    </row>
    <row r="346" spans="2:8">
      <c r="B346" s="759"/>
      <c r="C346" s="759"/>
      <c r="D346" s="759"/>
      <c r="E346" s="759"/>
      <c r="F346" s="759"/>
      <c r="G346" s="759"/>
      <c r="H346" s="759"/>
    </row>
    <row r="347" spans="2:8">
      <c r="B347" s="759"/>
      <c r="C347" s="759"/>
      <c r="D347" s="759"/>
      <c r="E347" s="759"/>
      <c r="F347" s="759"/>
      <c r="G347" s="759"/>
      <c r="H347" s="759"/>
    </row>
    <row r="348" spans="2:8">
      <c r="B348" s="759"/>
      <c r="C348" s="759"/>
      <c r="D348" s="759"/>
      <c r="E348" s="759"/>
      <c r="F348" s="759"/>
      <c r="G348" s="759"/>
      <c r="H348" s="759"/>
    </row>
    <row r="349" spans="2:8">
      <c r="B349" s="759"/>
      <c r="C349" s="759"/>
      <c r="D349" s="759"/>
      <c r="E349" s="759"/>
      <c r="F349" s="759"/>
      <c r="G349" s="759"/>
      <c r="H349" s="759"/>
    </row>
    <row r="350" spans="2:8">
      <c r="B350" s="759"/>
      <c r="C350" s="759"/>
      <c r="D350" s="759"/>
      <c r="E350" s="759"/>
      <c r="F350" s="759"/>
      <c r="G350" s="759"/>
      <c r="H350" s="759"/>
    </row>
    <row r="351" spans="2:8">
      <c r="B351" s="759"/>
      <c r="C351" s="759"/>
      <c r="D351" s="759"/>
      <c r="E351" s="759"/>
      <c r="F351" s="759"/>
      <c r="G351" s="759"/>
      <c r="H351" s="759"/>
    </row>
    <row r="352" spans="2:8">
      <c r="B352" s="759"/>
      <c r="C352" s="759"/>
      <c r="D352" s="759"/>
      <c r="E352" s="759"/>
      <c r="F352" s="759"/>
      <c r="G352" s="759"/>
      <c r="H352" s="759"/>
    </row>
    <row r="353" spans="2:8">
      <c r="B353" s="759"/>
      <c r="C353" s="759"/>
      <c r="D353" s="759"/>
      <c r="E353" s="759"/>
      <c r="F353" s="759"/>
      <c r="G353" s="759"/>
      <c r="H353" s="759"/>
    </row>
    <row r="354" spans="2:8">
      <c r="B354" s="759"/>
      <c r="C354" s="759"/>
      <c r="D354" s="759"/>
      <c r="E354" s="759"/>
      <c r="F354" s="759"/>
      <c r="G354" s="759"/>
      <c r="H354" s="759"/>
    </row>
    <row r="355" spans="2:8">
      <c r="B355" s="759"/>
      <c r="C355" s="759"/>
      <c r="D355" s="759"/>
      <c r="E355" s="759"/>
      <c r="F355" s="759"/>
      <c r="G355" s="759"/>
      <c r="H355" s="759"/>
    </row>
    <row r="356" spans="2:8">
      <c r="B356" s="759"/>
      <c r="C356" s="759"/>
      <c r="D356" s="759"/>
      <c r="E356" s="759"/>
      <c r="F356" s="759"/>
      <c r="G356" s="759"/>
      <c r="H356" s="759"/>
    </row>
    <row r="357" spans="2:8">
      <c r="B357" s="759"/>
      <c r="C357" s="759"/>
      <c r="D357" s="759"/>
      <c r="E357" s="759"/>
      <c r="F357" s="759"/>
      <c r="G357" s="759"/>
      <c r="H357" s="759"/>
    </row>
    <row r="358" spans="2:8">
      <c r="B358" s="759"/>
      <c r="C358" s="759"/>
      <c r="D358" s="759"/>
      <c r="E358" s="759"/>
      <c r="F358" s="759"/>
      <c r="G358" s="759"/>
      <c r="H358" s="759"/>
    </row>
    <row r="359" spans="2:8">
      <c r="B359" s="759"/>
      <c r="C359" s="759"/>
      <c r="D359" s="759"/>
      <c r="E359" s="759"/>
      <c r="F359" s="759"/>
      <c r="G359" s="759"/>
      <c r="H359" s="759"/>
    </row>
    <row r="360" spans="2:8">
      <c r="B360" s="759"/>
      <c r="C360" s="759"/>
      <c r="D360" s="759"/>
      <c r="E360" s="759"/>
      <c r="F360" s="759"/>
      <c r="G360" s="759"/>
      <c r="H360" s="759"/>
    </row>
    <row r="361" spans="2:8">
      <c r="B361" s="759"/>
      <c r="C361" s="759"/>
      <c r="D361" s="759"/>
      <c r="E361" s="759"/>
      <c r="F361" s="759"/>
      <c r="G361" s="759"/>
      <c r="H361" s="759"/>
    </row>
    <row r="362" spans="2:8">
      <c r="B362" s="759"/>
      <c r="C362" s="759"/>
      <c r="D362" s="759"/>
      <c r="E362" s="759"/>
      <c r="F362" s="759"/>
      <c r="G362" s="759"/>
      <c r="H362" s="759"/>
    </row>
    <row r="363" spans="2:8">
      <c r="B363" s="759"/>
      <c r="C363" s="759"/>
      <c r="D363" s="759"/>
      <c r="E363" s="759"/>
      <c r="F363" s="759"/>
      <c r="G363" s="759"/>
      <c r="H363" s="759"/>
    </row>
    <row r="364" spans="2:8">
      <c r="B364" s="759"/>
      <c r="C364" s="759"/>
      <c r="D364" s="759"/>
      <c r="E364" s="759"/>
      <c r="F364" s="759"/>
      <c r="G364" s="759"/>
      <c r="H364" s="759"/>
    </row>
    <row r="365" spans="2:8">
      <c r="B365" s="759"/>
      <c r="C365" s="759"/>
      <c r="D365" s="759"/>
      <c r="E365" s="759"/>
      <c r="F365" s="759"/>
      <c r="G365" s="759"/>
      <c r="H365" s="759"/>
    </row>
    <row r="366" spans="2:8">
      <c r="B366" s="759"/>
      <c r="C366" s="759"/>
      <c r="D366" s="759"/>
      <c r="E366" s="759"/>
      <c r="F366" s="759"/>
      <c r="G366" s="759"/>
      <c r="H366" s="759"/>
    </row>
    <row r="367" spans="2:8">
      <c r="B367" s="759"/>
      <c r="C367" s="759"/>
      <c r="D367" s="759"/>
      <c r="E367" s="759"/>
      <c r="F367" s="759"/>
      <c r="G367" s="759"/>
      <c r="H367" s="759"/>
    </row>
    <row r="368" spans="2:8">
      <c r="B368" s="759"/>
      <c r="C368" s="759"/>
      <c r="D368" s="759"/>
      <c r="E368" s="759"/>
      <c r="F368" s="759"/>
      <c r="G368" s="759"/>
      <c r="H368" s="759"/>
    </row>
    <row r="369" spans="2:8">
      <c r="B369" s="759"/>
      <c r="C369" s="759"/>
      <c r="D369" s="759"/>
      <c r="E369" s="759"/>
      <c r="F369" s="759"/>
      <c r="G369" s="759"/>
      <c r="H369" s="759"/>
    </row>
    <row r="370" spans="2:8">
      <c r="B370" s="759"/>
      <c r="C370" s="759"/>
      <c r="D370" s="759"/>
      <c r="E370" s="759"/>
      <c r="F370" s="759"/>
      <c r="G370" s="759"/>
      <c r="H370" s="759"/>
    </row>
    <row r="371" spans="2:8">
      <c r="B371" s="759"/>
      <c r="C371" s="759"/>
      <c r="D371" s="759"/>
      <c r="E371" s="759"/>
      <c r="F371" s="759"/>
      <c r="G371" s="759"/>
      <c r="H371" s="759"/>
    </row>
    <row r="372" spans="2:8">
      <c r="B372" s="759"/>
      <c r="C372" s="759"/>
      <c r="D372" s="759"/>
      <c r="E372" s="759"/>
      <c r="F372" s="759"/>
      <c r="G372" s="759"/>
      <c r="H372" s="759"/>
    </row>
    <row r="373" spans="2:8">
      <c r="B373" s="759"/>
      <c r="C373" s="759"/>
      <c r="D373" s="759"/>
      <c r="E373" s="759"/>
      <c r="F373" s="759"/>
      <c r="G373" s="759"/>
      <c r="H373" s="759"/>
    </row>
    <row r="374" spans="2:8">
      <c r="B374" s="759"/>
      <c r="C374" s="759"/>
      <c r="D374" s="759"/>
      <c r="E374" s="759"/>
      <c r="F374" s="759"/>
      <c r="G374" s="759"/>
      <c r="H374" s="759"/>
    </row>
    <row r="375" spans="2:8">
      <c r="B375" s="759"/>
      <c r="C375" s="759"/>
      <c r="D375" s="759"/>
      <c r="E375" s="759"/>
      <c r="F375" s="759"/>
      <c r="G375" s="759"/>
      <c r="H375" s="759"/>
    </row>
    <row r="376" spans="2:8">
      <c r="B376" s="759"/>
      <c r="C376" s="759"/>
      <c r="D376" s="759"/>
      <c r="E376" s="759"/>
      <c r="F376" s="759"/>
      <c r="G376" s="759"/>
      <c r="H376" s="759"/>
    </row>
    <row r="377" spans="2:8">
      <c r="B377" s="759"/>
      <c r="C377" s="759"/>
      <c r="D377" s="759"/>
      <c r="E377" s="759"/>
      <c r="F377" s="759"/>
      <c r="G377" s="759"/>
      <c r="H377" s="759"/>
    </row>
    <row r="378" spans="2:8">
      <c r="B378" s="759"/>
      <c r="C378" s="759"/>
      <c r="D378" s="759"/>
      <c r="E378" s="759"/>
      <c r="F378" s="759"/>
      <c r="G378" s="759"/>
      <c r="H378" s="759"/>
    </row>
    <row r="379" spans="2:8">
      <c r="B379" s="759"/>
      <c r="C379" s="759"/>
      <c r="D379" s="759"/>
      <c r="E379" s="759"/>
      <c r="F379" s="759"/>
      <c r="G379" s="759"/>
      <c r="H379" s="759"/>
    </row>
    <row r="380" spans="2:8">
      <c r="B380" s="759"/>
      <c r="C380" s="759"/>
      <c r="D380" s="759"/>
      <c r="E380" s="759"/>
      <c r="F380" s="759"/>
      <c r="G380" s="759"/>
      <c r="H380" s="759"/>
    </row>
    <row r="381" spans="2:8">
      <c r="B381" s="759"/>
      <c r="C381" s="759"/>
      <c r="D381" s="759"/>
      <c r="E381" s="759"/>
      <c r="F381" s="759"/>
      <c r="G381" s="759"/>
      <c r="H381" s="759"/>
    </row>
    <row r="382" spans="2:8">
      <c r="B382" s="759"/>
      <c r="C382" s="759"/>
      <c r="D382" s="759"/>
      <c r="E382" s="759"/>
      <c r="F382" s="759"/>
      <c r="G382" s="759"/>
      <c r="H382" s="759"/>
    </row>
    <row r="383" spans="2:8">
      <c r="B383" s="759"/>
      <c r="C383" s="759"/>
      <c r="D383" s="759"/>
      <c r="E383" s="759"/>
      <c r="F383" s="759"/>
      <c r="G383" s="759"/>
      <c r="H383" s="759"/>
    </row>
    <row r="384" spans="2:8">
      <c r="B384" s="759"/>
      <c r="C384" s="759"/>
      <c r="D384" s="759"/>
      <c r="E384" s="759"/>
      <c r="F384" s="759"/>
      <c r="G384" s="759"/>
      <c r="H384" s="759"/>
    </row>
    <row r="385" spans="2:8">
      <c r="B385" s="759"/>
      <c r="C385" s="759"/>
      <c r="D385" s="759"/>
      <c r="E385" s="759"/>
      <c r="F385" s="759"/>
      <c r="G385" s="759"/>
      <c r="H385" s="759"/>
    </row>
    <row r="386" spans="2:8">
      <c r="B386" s="759"/>
      <c r="C386" s="759"/>
      <c r="D386" s="759"/>
      <c r="E386" s="759"/>
      <c r="F386" s="759"/>
      <c r="G386" s="759"/>
      <c r="H386" s="759"/>
    </row>
    <row r="387" spans="2:8">
      <c r="B387" s="759"/>
      <c r="C387" s="759"/>
      <c r="D387" s="759"/>
      <c r="E387" s="759"/>
      <c r="F387" s="759"/>
      <c r="G387" s="759"/>
      <c r="H387" s="759"/>
    </row>
    <row r="388" spans="2:8">
      <c r="B388" s="759"/>
      <c r="C388" s="759"/>
      <c r="D388" s="759"/>
      <c r="E388" s="759"/>
      <c r="F388" s="759"/>
      <c r="G388" s="759"/>
      <c r="H388" s="759"/>
    </row>
    <row r="389" spans="2:8">
      <c r="B389" s="759"/>
      <c r="C389" s="759"/>
      <c r="D389" s="759"/>
      <c r="E389" s="759"/>
      <c r="F389" s="759"/>
      <c r="G389" s="759"/>
      <c r="H389" s="759"/>
    </row>
    <row r="390" spans="2:8">
      <c r="B390" s="759"/>
      <c r="C390" s="759"/>
      <c r="D390" s="759"/>
      <c r="E390" s="759"/>
      <c r="F390" s="759"/>
      <c r="G390" s="759"/>
      <c r="H390" s="759"/>
    </row>
    <row r="391" spans="2:8">
      <c r="B391" s="759"/>
      <c r="C391" s="759"/>
      <c r="D391" s="759"/>
      <c r="E391" s="759"/>
      <c r="F391" s="759"/>
      <c r="G391" s="759"/>
      <c r="H391" s="759"/>
    </row>
    <row r="392" spans="2:8">
      <c r="B392" s="759"/>
      <c r="C392" s="759"/>
      <c r="D392" s="759"/>
      <c r="E392" s="759"/>
      <c r="F392" s="759"/>
      <c r="G392" s="759"/>
      <c r="H392" s="759"/>
    </row>
    <row r="393" spans="2:8">
      <c r="B393" s="759"/>
      <c r="C393" s="759"/>
      <c r="D393" s="759"/>
      <c r="E393" s="759"/>
      <c r="F393" s="759"/>
      <c r="G393" s="759"/>
      <c r="H393" s="759"/>
    </row>
    <row r="394" spans="2:8">
      <c r="B394" s="759"/>
      <c r="C394" s="759"/>
      <c r="D394" s="759"/>
      <c r="E394" s="759"/>
      <c r="F394" s="759"/>
      <c r="G394" s="759"/>
      <c r="H394" s="759"/>
    </row>
    <row r="395" spans="2:8">
      <c r="B395" s="759"/>
      <c r="C395" s="759"/>
      <c r="D395" s="759"/>
      <c r="E395" s="759"/>
      <c r="F395" s="759"/>
      <c r="G395" s="759"/>
      <c r="H395" s="759"/>
    </row>
    <row r="396" spans="2:8">
      <c r="B396" s="759"/>
      <c r="C396" s="759"/>
      <c r="D396" s="759"/>
      <c r="E396" s="759"/>
      <c r="F396" s="759"/>
      <c r="G396" s="759"/>
      <c r="H396" s="759"/>
    </row>
    <row r="397" spans="2:8">
      <c r="B397" s="759"/>
      <c r="C397" s="759"/>
      <c r="D397" s="759"/>
      <c r="E397" s="759"/>
      <c r="F397" s="759"/>
      <c r="G397" s="759"/>
      <c r="H397" s="759"/>
    </row>
    <row r="398" spans="2:8">
      <c r="B398" s="759"/>
      <c r="C398" s="759"/>
      <c r="D398" s="759"/>
      <c r="E398" s="759"/>
      <c r="F398" s="759"/>
      <c r="G398" s="759"/>
      <c r="H398" s="759"/>
    </row>
    <row r="399" spans="2:8">
      <c r="B399" s="759"/>
      <c r="C399" s="759"/>
      <c r="D399" s="759"/>
      <c r="E399" s="759"/>
      <c r="F399" s="759"/>
      <c r="G399" s="759"/>
      <c r="H399" s="759"/>
    </row>
    <row r="400" spans="2:8">
      <c r="B400" s="759"/>
      <c r="C400" s="759"/>
      <c r="D400" s="759"/>
      <c r="E400" s="759"/>
      <c r="F400" s="759"/>
      <c r="G400" s="759"/>
      <c r="H400" s="759"/>
    </row>
    <row r="401" spans="2:8">
      <c r="B401" s="759"/>
      <c r="C401" s="759"/>
      <c r="D401" s="759"/>
      <c r="E401" s="759"/>
      <c r="F401" s="759"/>
      <c r="G401" s="759"/>
      <c r="H401" s="759"/>
    </row>
    <row r="402" spans="2:8">
      <c r="B402" s="759"/>
      <c r="C402" s="759"/>
      <c r="D402" s="759"/>
      <c r="E402" s="759"/>
      <c r="F402" s="759"/>
      <c r="G402" s="759"/>
      <c r="H402" s="759"/>
    </row>
    <row r="403" spans="2:8">
      <c r="B403" s="759"/>
      <c r="C403" s="759"/>
      <c r="D403" s="759"/>
      <c r="E403" s="759"/>
      <c r="F403" s="759"/>
      <c r="G403" s="759"/>
      <c r="H403" s="759"/>
    </row>
    <row r="404" spans="2:8">
      <c r="B404" s="759"/>
      <c r="C404" s="759"/>
      <c r="D404" s="759"/>
      <c r="E404" s="759"/>
      <c r="F404" s="759"/>
      <c r="G404" s="759"/>
      <c r="H404" s="759"/>
    </row>
    <row r="405" spans="2:8">
      <c r="B405" s="759"/>
      <c r="C405" s="759"/>
      <c r="D405" s="759"/>
      <c r="E405" s="759"/>
      <c r="F405" s="759"/>
      <c r="G405" s="759"/>
      <c r="H405" s="759"/>
    </row>
    <row r="406" spans="2:8">
      <c r="B406" s="759"/>
      <c r="C406" s="759"/>
      <c r="D406" s="759"/>
      <c r="E406" s="759"/>
      <c r="F406" s="759"/>
      <c r="G406" s="759"/>
      <c r="H406" s="759"/>
    </row>
    <row r="407" spans="2:8">
      <c r="B407" s="759"/>
      <c r="C407" s="759"/>
      <c r="D407" s="759"/>
      <c r="E407" s="759"/>
      <c r="F407" s="759"/>
      <c r="G407" s="759"/>
      <c r="H407" s="759"/>
    </row>
    <row r="408" spans="2:8">
      <c r="B408" s="759"/>
      <c r="C408" s="759"/>
      <c r="D408" s="759"/>
      <c r="E408" s="759"/>
      <c r="F408" s="759"/>
      <c r="G408" s="759"/>
      <c r="H408" s="759"/>
    </row>
    <row r="409" spans="2:8">
      <c r="B409" s="759"/>
      <c r="C409" s="759"/>
      <c r="D409" s="759"/>
      <c r="E409" s="759"/>
      <c r="F409" s="759"/>
      <c r="G409" s="759"/>
      <c r="H409" s="759"/>
    </row>
    <row r="410" spans="2:8">
      <c r="B410" s="759"/>
      <c r="C410" s="759"/>
      <c r="D410" s="759"/>
      <c r="E410" s="759"/>
      <c r="F410" s="759"/>
      <c r="G410" s="759"/>
      <c r="H410" s="759"/>
    </row>
    <row r="411" spans="2:8">
      <c r="B411" s="759"/>
      <c r="C411" s="759"/>
      <c r="D411" s="759"/>
      <c r="E411" s="759"/>
      <c r="F411" s="759"/>
      <c r="G411" s="759"/>
      <c r="H411" s="759"/>
    </row>
    <row r="412" spans="2:8">
      <c r="B412" s="759"/>
      <c r="C412" s="759"/>
      <c r="D412" s="759"/>
      <c r="E412" s="759"/>
      <c r="F412" s="759"/>
      <c r="G412" s="759"/>
      <c r="H412" s="759"/>
    </row>
    <row r="413" spans="2:8">
      <c r="B413" s="759"/>
      <c r="C413" s="759"/>
      <c r="D413" s="759"/>
      <c r="E413" s="759"/>
      <c r="F413" s="759"/>
      <c r="G413" s="759"/>
      <c r="H413" s="759"/>
    </row>
    <row r="414" spans="2:8">
      <c r="B414" s="759"/>
      <c r="C414" s="759"/>
      <c r="D414" s="759"/>
      <c r="E414" s="759"/>
      <c r="F414" s="759"/>
      <c r="G414" s="759"/>
      <c r="H414" s="759"/>
    </row>
    <row r="415" spans="2:8">
      <c r="B415" s="759"/>
      <c r="C415" s="759"/>
      <c r="D415" s="759"/>
      <c r="E415" s="759"/>
      <c r="F415" s="759"/>
      <c r="G415" s="759"/>
      <c r="H415" s="759"/>
    </row>
    <row r="416" spans="2:8">
      <c r="B416" s="759"/>
      <c r="C416" s="759"/>
      <c r="D416" s="759"/>
      <c r="E416" s="759"/>
      <c r="F416" s="759"/>
      <c r="G416" s="759"/>
      <c r="H416" s="759"/>
    </row>
    <row r="417" spans="2:8">
      <c r="B417" s="759"/>
      <c r="C417" s="759"/>
      <c r="D417" s="759"/>
      <c r="E417" s="759"/>
      <c r="F417" s="759"/>
      <c r="G417" s="759"/>
      <c r="H417" s="759"/>
    </row>
    <row r="418" spans="2:8">
      <c r="B418" s="759"/>
      <c r="C418" s="759"/>
      <c r="D418" s="759"/>
      <c r="E418" s="759"/>
      <c r="F418" s="759"/>
      <c r="G418" s="759"/>
      <c r="H418" s="759"/>
    </row>
    <row r="419" spans="2:8">
      <c r="B419" s="759"/>
      <c r="C419" s="759"/>
      <c r="D419" s="759"/>
      <c r="E419" s="759"/>
      <c r="F419" s="759"/>
      <c r="G419" s="759"/>
      <c r="H419" s="759"/>
    </row>
    <row r="420" spans="2:8">
      <c r="B420" s="759"/>
      <c r="C420" s="759"/>
      <c r="D420" s="759"/>
      <c r="E420" s="759"/>
      <c r="F420" s="759"/>
      <c r="G420" s="759"/>
      <c r="H420" s="759"/>
    </row>
    <row r="421" spans="2:8">
      <c r="B421" s="759"/>
      <c r="C421" s="759"/>
      <c r="D421" s="759"/>
      <c r="E421" s="759"/>
      <c r="F421" s="759"/>
      <c r="G421" s="759"/>
      <c r="H421" s="759"/>
    </row>
    <row r="422" spans="2:8">
      <c r="B422" s="759"/>
      <c r="C422" s="759"/>
      <c r="D422" s="759"/>
      <c r="E422" s="759"/>
      <c r="F422" s="759"/>
      <c r="G422" s="759"/>
      <c r="H422" s="759"/>
    </row>
    <row r="423" spans="2:8">
      <c r="B423" s="759"/>
      <c r="C423" s="759"/>
      <c r="D423" s="759"/>
      <c r="E423" s="759"/>
      <c r="F423" s="759"/>
      <c r="G423" s="759"/>
      <c r="H423" s="759"/>
    </row>
    <row r="424" spans="2:8">
      <c r="B424" s="759"/>
      <c r="C424" s="759"/>
      <c r="D424" s="759"/>
      <c r="E424" s="759"/>
      <c r="F424" s="759"/>
      <c r="G424" s="759"/>
      <c r="H424" s="759"/>
    </row>
    <row r="425" spans="2:8">
      <c r="B425" s="759"/>
      <c r="C425" s="759"/>
      <c r="D425" s="759"/>
      <c r="E425" s="759"/>
      <c r="F425" s="759"/>
      <c r="G425" s="759"/>
      <c r="H425" s="759"/>
    </row>
    <row r="426" spans="2:8">
      <c r="B426" s="759"/>
      <c r="C426" s="759"/>
      <c r="D426" s="759"/>
      <c r="E426" s="759"/>
      <c r="F426" s="759"/>
      <c r="G426" s="759"/>
      <c r="H426" s="759"/>
    </row>
    <row r="427" spans="2:8">
      <c r="B427" s="759"/>
      <c r="C427" s="759"/>
      <c r="D427" s="759"/>
      <c r="E427" s="759"/>
      <c r="F427" s="759"/>
      <c r="G427" s="759"/>
      <c r="H427" s="759"/>
    </row>
    <row r="428" spans="2:8">
      <c r="B428" s="759"/>
      <c r="C428" s="759"/>
      <c r="D428" s="759"/>
      <c r="E428" s="759"/>
      <c r="F428" s="759"/>
      <c r="G428" s="759"/>
      <c r="H428" s="759"/>
    </row>
    <row r="429" spans="2:8">
      <c r="B429" s="759"/>
      <c r="C429" s="759"/>
      <c r="D429" s="759"/>
      <c r="E429" s="759"/>
      <c r="F429" s="759"/>
      <c r="G429" s="759"/>
      <c r="H429" s="759"/>
    </row>
    <row r="430" spans="2:8">
      <c r="B430" s="759"/>
      <c r="C430" s="759"/>
      <c r="D430" s="759"/>
      <c r="E430" s="759"/>
      <c r="F430" s="759"/>
      <c r="G430" s="759"/>
      <c r="H430" s="759"/>
    </row>
    <row r="431" spans="2:8">
      <c r="B431" s="759"/>
      <c r="C431" s="759"/>
      <c r="D431" s="759"/>
      <c r="E431" s="759"/>
      <c r="F431" s="759"/>
      <c r="G431" s="759"/>
      <c r="H431" s="759"/>
    </row>
    <row r="432" spans="2:8">
      <c r="B432" s="759"/>
      <c r="C432" s="759"/>
      <c r="D432" s="759"/>
      <c r="E432" s="759"/>
      <c r="F432" s="759"/>
      <c r="G432" s="759"/>
      <c r="H432" s="759"/>
    </row>
    <row r="433" spans="2:8">
      <c r="B433" s="759"/>
      <c r="C433" s="759"/>
      <c r="D433" s="759"/>
      <c r="E433" s="759"/>
      <c r="F433" s="759"/>
      <c r="G433" s="759"/>
      <c r="H433" s="759"/>
    </row>
    <row r="434" spans="2:8">
      <c r="B434" s="759"/>
      <c r="C434" s="759"/>
      <c r="D434" s="759"/>
      <c r="E434" s="759"/>
      <c r="F434" s="759"/>
      <c r="G434" s="759"/>
      <c r="H434" s="759"/>
    </row>
    <row r="435" spans="2:8">
      <c r="B435" s="759"/>
      <c r="C435" s="759"/>
      <c r="D435" s="759"/>
      <c r="E435" s="759"/>
      <c r="F435" s="759"/>
      <c r="G435" s="759"/>
      <c r="H435" s="759"/>
    </row>
    <row r="436" spans="2:8">
      <c r="B436" s="759"/>
      <c r="C436" s="759"/>
      <c r="D436" s="759"/>
      <c r="E436" s="759"/>
      <c r="F436" s="759"/>
      <c r="G436" s="759"/>
      <c r="H436" s="759"/>
    </row>
    <row r="437" spans="2:8">
      <c r="B437" s="759"/>
      <c r="C437" s="759"/>
      <c r="D437" s="759"/>
      <c r="E437" s="759"/>
      <c r="F437" s="759"/>
      <c r="G437" s="759"/>
      <c r="H437" s="759"/>
    </row>
    <row r="438" spans="2:8">
      <c r="B438" s="759"/>
      <c r="C438" s="759"/>
      <c r="D438" s="759"/>
      <c r="E438" s="759"/>
      <c r="F438" s="759"/>
      <c r="G438" s="759"/>
      <c r="H438" s="759"/>
    </row>
    <row r="439" spans="2:8">
      <c r="B439" s="759"/>
      <c r="C439" s="759"/>
      <c r="D439" s="759"/>
      <c r="E439" s="759"/>
      <c r="F439" s="759"/>
      <c r="G439" s="759"/>
      <c r="H439" s="759"/>
    </row>
    <row r="440" spans="2:8">
      <c r="B440" s="759"/>
      <c r="C440" s="759"/>
      <c r="D440" s="759"/>
      <c r="E440" s="759"/>
      <c r="F440" s="759"/>
      <c r="G440" s="759"/>
      <c r="H440" s="759"/>
    </row>
    <row r="441" spans="2:8">
      <c r="B441" s="759"/>
      <c r="C441" s="759"/>
      <c r="D441" s="759"/>
      <c r="E441" s="759"/>
      <c r="F441" s="759"/>
      <c r="G441" s="759"/>
      <c r="H441" s="759"/>
    </row>
    <row r="442" spans="2:8">
      <c r="B442" s="759"/>
      <c r="C442" s="759"/>
      <c r="D442" s="759"/>
      <c r="E442" s="759"/>
      <c r="F442" s="759"/>
      <c r="G442" s="759"/>
      <c r="H442" s="759"/>
    </row>
    <row r="443" spans="2:8">
      <c r="B443" s="759"/>
      <c r="C443" s="759"/>
      <c r="D443" s="759"/>
      <c r="E443" s="759"/>
      <c r="F443" s="759"/>
      <c r="G443" s="759"/>
      <c r="H443" s="759"/>
    </row>
    <row r="444" spans="2:8">
      <c r="B444" s="759"/>
      <c r="C444" s="759"/>
      <c r="D444" s="759"/>
      <c r="E444" s="759"/>
      <c r="F444" s="759"/>
      <c r="G444" s="759"/>
      <c r="H444" s="759"/>
    </row>
    <row r="445" spans="2:8">
      <c r="B445" s="759"/>
      <c r="C445" s="759"/>
      <c r="D445" s="759"/>
      <c r="E445" s="759"/>
      <c r="F445" s="759"/>
      <c r="G445" s="759"/>
      <c r="H445" s="759"/>
    </row>
    <row r="446" spans="2:8">
      <c r="B446" s="759"/>
      <c r="C446" s="759"/>
      <c r="D446" s="759"/>
      <c r="E446" s="759"/>
      <c r="F446" s="759"/>
      <c r="G446" s="759"/>
      <c r="H446" s="759"/>
    </row>
    <row r="447" spans="2:8">
      <c r="B447" s="759"/>
      <c r="C447" s="759"/>
      <c r="D447" s="759"/>
      <c r="E447" s="759"/>
      <c r="F447" s="759"/>
      <c r="G447" s="759"/>
      <c r="H447" s="759"/>
    </row>
    <row r="448" spans="2:8">
      <c r="B448" s="759"/>
      <c r="C448" s="759"/>
      <c r="D448" s="759"/>
      <c r="E448" s="759"/>
      <c r="F448" s="759"/>
      <c r="G448" s="759"/>
      <c r="H448" s="759"/>
    </row>
    <row r="449" spans="2:8">
      <c r="B449" s="759"/>
      <c r="C449" s="759"/>
      <c r="D449" s="759"/>
      <c r="E449" s="759"/>
      <c r="F449" s="759"/>
      <c r="G449" s="759"/>
      <c r="H449" s="759"/>
    </row>
    <row r="450" spans="2:8">
      <c r="B450" s="759"/>
      <c r="C450" s="759"/>
      <c r="D450" s="759"/>
      <c r="E450" s="759"/>
      <c r="F450" s="759"/>
      <c r="G450" s="759"/>
      <c r="H450" s="759"/>
    </row>
    <row r="451" spans="2:8">
      <c r="B451" s="759"/>
      <c r="C451" s="759"/>
      <c r="D451" s="759"/>
      <c r="E451" s="759"/>
      <c r="F451" s="759"/>
      <c r="G451" s="759"/>
      <c r="H451" s="759"/>
    </row>
    <row r="452" spans="2:8">
      <c r="B452" s="759"/>
      <c r="C452" s="759"/>
      <c r="D452" s="759"/>
      <c r="E452" s="759"/>
      <c r="F452" s="759"/>
      <c r="G452" s="759"/>
      <c r="H452" s="759"/>
    </row>
    <row r="453" spans="2:8">
      <c r="B453" s="759"/>
      <c r="C453" s="759"/>
      <c r="D453" s="759"/>
      <c r="E453" s="759"/>
      <c r="F453" s="759"/>
      <c r="G453" s="759"/>
      <c r="H453" s="759"/>
    </row>
    <row r="454" spans="2:8">
      <c r="B454" s="759"/>
      <c r="C454" s="759"/>
      <c r="D454" s="759"/>
      <c r="E454" s="759"/>
      <c r="F454" s="759"/>
      <c r="G454" s="759"/>
      <c r="H454" s="759"/>
    </row>
    <row r="455" spans="2:8">
      <c r="B455" s="759"/>
      <c r="C455" s="759"/>
      <c r="D455" s="759"/>
      <c r="E455" s="759"/>
      <c r="F455" s="759"/>
      <c r="G455" s="759"/>
      <c r="H455" s="759"/>
    </row>
    <row r="456" spans="2:8">
      <c r="B456" s="759"/>
      <c r="C456" s="759"/>
      <c r="D456" s="759"/>
      <c r="E456" s="759"/>
      <c r="F456" s="759"/>
      <c r="G456" s="759"/>
      <c r="H456" s="759"/>
    </row>
    <row r="457" spans="2:8">
      <c r="B457" s="759"/>
      <c r="C457" s="759"/>
      <c r="D457" s="759"/>
      <c r="E457" s="759"/>
      <c r="F457" s="759"/>
      <c r="G457" s="759"/>
      <c r="H457" s="759"/>
    </row>
    <row r="458" spans="2:8">
      <c r="B458" s="759"/>
      <c r="C458" s="759"/>
      <c r="D458" s="759"/>
      <c r="E458" s="759"/>
      <c r="F458" s="759"/>
      <c r="G458" s="759"/>
      <c r="H458" s="759"/>
    </row>
    <row r="459" spans="2:8">
      <c r="B459" s="759"/>
      <c r="C459" s="759"/>
      <c r="D459" s="759"/>
      <c r="E459" s="759"/>
      <c r="F459" s="759"/>
      <c r="G459" s="759"/>
      <c r="H459" s="759"/>
    </row>
    <row r="460" spans="2:8">
      <c r="B460" s="759"/>
      <c r="C460" s="759"/>
      <c r="D460" s="759"/>
      <c r="E460" s="759"/>
      <c r="F460" s="759"/>
      <c r="G460" s="759"/>
      <c r="H460" s="759"/>
    </row>
    <row r="461" spans="2:8">
      <c r="B461" s="759"/>
      <c r="C461" s="759"/>
      <c r="D461" s="759"/>
      <c r="E461" s="759"/>
      <c r="F461" s="759"/>
      <c r="G461" s="759"/>
      <c r="H461" s="759"/>
    </row>
    <row r="462" spans="2:8">
      <c r="B462" s="759"/>
      <c r="C462" s="759"/>
      <c r="D462" s="759"/>
      <c r="E462" s="759"/>
      <c r="F462" s="759"/>
      <c r="G462" s="759"/>
      <c r="H462" s="759"/>
    </row>
    <row r="463" spans="2:8">
      <c r="B463" s="759"/>
      <c r="C463" s="759"/>
      <c r="D463" s="759"/>
      <c r="E463" s="759"/>
      <c r="F463" s="759"/>
      <c r="G463" s="759"/>
      <c r="H463" s="759"/>
    </row>
    <row r="464" spans="2:8">
      <c r="B464" s="759"/>
      <c r="C464" s="759"/>
      <c r="D464" s="759"/>
      <c r="E464" s="759"/>
      <c r="F464" s="759"/>
      <c r="G464" s="759"/>
      <c r="H464" s="759"/>
    </row>
    <row r="465" spans="2:8">
      <c r="B465" s="759"/>
      <c r="C465" s="759"/>
      <c r="D465" s="759"/>
      <c r="E465" s="759"/>
      <c r="F465" s="759"/>
      <c r="G465" s="759"/>
      <c r="H465" s="759"/>
    </row>
    <row r="466" spans="2:8">
      <c r="B466" s="759"/>
      <c r="C466" s="759"/>
      <c r="D466" s="759"/>
      <c r="E466" s="759"/>
      <c r="F466" s="759"/>
      <c r="G466" s="759"/>
      <c r="H466" s="759"/>
    </row>
    <row r="467" spans="2:8">
      <c r="B467" s="759"/>
      <c r="C467" s="759"/>
      <c r="D467" s="759"/>
      <c r="E467" s="759"/>
      <c r="F467" s="759"/>
      <c r="G467" s="759"/>
      <c r="H467" s="759"/>
    </row>
    <row r="468" spans="2:8">
      <c r="B468" s="759"/>
      <c r="C468" s="759"/>
      <c r="D468" s="759"/>
      <c r="E468" s="759"/>
      <c r="F468" s="759"/>
      <c r="G468" s="759"/>
      <c r="H468" s="759"/>
    </row>
    <row r="469" spans="2:8">
      <c r="B469" s="759"/>
      <c r="C469" s="759"/>
      <c r="D469" s="759"/>
      <c r="E469" s="759"/>
      <c r="F469" s="759"/>
      <c r="G469" s="759"/>
      <c r="H469" s="759"/>
    </row>
    <row r="470" spans="2:8">
      <c r="B470" s="759"/>
      <c r="C470" s="759"/>
      <c r="D470" s="759"/>
      <c r="E470" s="759"/>
      <c r="F470" s="759"/>
      <c r="G470" s="759"/>
      <c r="H470" s="759"/>
    </row>
    <row r="471" spans="2:8">
      <c r="B471" s="759"/>
      <c r="C471" s="759"/>
      <c r="D471" s="759"/>
      <c r="E471" s="759"/>
      <c r="F471" s="759"/>
      <c r="G471" s="759"/>
      <c r="H471" s="759"/>
    </row>
    <row r="472" spans="2:8">
      <c r="B472" s="759"/>
      <c r="C472" s="759"/>
      <c r="D472" s="759"/>
      <c r="E472" s="759"/>
      <c r="F472" s="759"/>
      <c r="G472" s="759"/>
      <c r="H472" s="759"/>
    </row>
    <row r="473" spans="2:8">
      <c r="B473" s="759"/>
      <c r="C473" s="759"/>
      <c r="D473" s="759"/>
      <c r="E473" s="759"/>
      <c r="F473" s="759"/>
      <c r="G473" s="759"/>
      <c r="H473" s="759"/>
    </row>
    <row r="474" spans="2:8">
      <c r="B474" s="759"/>
      <c r="C474" s="759"/>
      <c r="D474" s="759"/>
      <c r="E474" s="759"/>
      <c r="F474" s="759"/>
      <c r="G474" s="759"/>
      <c r="H474" s="759"/>
    </row>
    <row r="475" spans="2:8">
      <c r="B475" s="759"/>
      <c r="C475" s="759"/>
      <c r="D475" s="759"/>
      <c r="E475" s="759"/>
      <c r="F475" s="759"/>
      <c r="G475" s="759"/>
      <c r="H475" s="759"/>
    </row>
    <row r="476" spans="2:8">
      <c r="B476" s="759"/>
      <c r="C476" s="759"/>
      <c r="D476" s="759"/>
      <c r="E476" s="759"/>
      <c r="F476" s="759"/>
      <c r="G476" s="759"/>
      <c r="H476" s="759"/>
    </row>
    <row r="477" spans="2:8">
      <c r="B477" s="759"/>
      <c r="C477" s="759"/>
      <c r="D477" s="759"/>
      <c r="E477" s="759"/>
      <c r="F477" s="759"/>
      <c r="G477" s="759"/>
      <c r="H477" s="759"/>
    </row>
    <row r="478" spans="2:8">
      <c r="B478" s="759"/>
      <c r="C478" s="759"/>
      <c r="D478" s="759"/>
      <c r="E478" s="759"/>
      <c r="F478" s="759"/>
      <c r="G478" s="759"/>
      <c r="H478" s="759"/>
    </row>
    <row r="479" spans="2:8">
      <c r="B479" s="759"/>
      <c r="C479" s="759"/>
      <c r="D479" s="759"/>
      <c r="E479" s="759"/>
      <c r="F479" s="759"/>
      <c r="G479" s="759"/>
      <c r="H479" s="759"/>
    </row>
    <row r="480" spans="2:8">
      <c r="B480" s="759"/>
      <c r="C480" s="759"/>
      <c r="D480" s="759"/>
      <c r="E480" s="759"/>
      <c r="F480" s="759"/>
      <c r="G480" s="759"/>
      <c r="H480" s="759"/>
    </row>
    <row r="481" spans="2:8">
      <c r="B481" s="759"/>
      <c r="C481" s="759"/>
      <c r="D481" s="759"/>
      <c r="E481" s="759"/>
      <c r="F481" s="759"/>
      <c r="G481" s="759"/>
      <c r="H481" s="759"/>
    </row>
    <row r="482" spans="2:8">
      <c r="B482" s="759"/>
      <c r="C482" s="759"/>
      <c r="D482" s="759"/>
      <c r="E482" s="759"/>
      <c r="F482" s="759"/>
      <c r="G482" s="759"/>
      <c r="H482" s="759"/>
    </row>
    <row r="483" spans="2:8">
      <c r="B483" s="759"/>
      <c r="C483" s="759"/>
      <c r="D483" s="759"/>
      <c r="E483" s="759"/>
      <c r="F483" s="759"/>
      <c r="G483" s="759"/>
      <c r="H483" s="759"/>
    </row>
    <row r="484" spans="2:8">
      <c r="B484" s="759"/>
      <c r="C484" s="759"/>
      <c r="D484" s="759"/>
      <c r="E484" s="759"/>
      <c r="F484" s="759"/>
      <c r="G484" s="759"/>
      <c r="H484" s="759"/>
    </row>
    <row r="485" spans="2:8">
      <c r="B485" s="759"/>
      <c r="C485" s="759"/>
      <c r="D485" s="759"/>
      <c r="E485" s="759"/>
      <c r="F485" s="759"/>
      <c r="G485" s="759"/>
      <c r="H485" s="759"/>
    </row>
    <row r="486" spans="2:8">
      <c r="B486" s="759"/>
      <c r="C486" s="759"/>
      <c r="D486" s="759"/>
      <c r="E486" s="759"/>
      <c r="F486" s="759"/>
      <c r="G486" s="759"/>
      <c r="H486" s="759"/>
    </row>
    <row r="487" spans="2:8">
      <c r="B487" s="759"/>
      <c r="C487" s="759"/>
      <c r="D487" s="759"/>
      <c r="E487" s="759"/>
      <c r="F487" s="759"/>
      <c r="G487" s="759"/>
      <c r="H487" s="759"/>
    </row>
    <row r="488" spans="2:8">
      <c r="B488" s="759"/>
      <c r="C488" s="759"/>
      <c r="D488" s="759"/>
      <c r="E488" s="759"/>
      <c r="F488" s="759"/>
      <c r="G488" s="759"/>
      <c r="H488" s="759"/>
    </row>
    <row r="489" spans="2:8">
      <c r="B489" s="759"/>
      <c r="C489" s="759"/>
      <c r="D489" s="759"/>
      <c r="E489" s="759"/>
      <c r="F489" s="759"/>
      <c r="G489" s="759"/>
      <c r="H489" s="759"/>
    </row>
    <row r="490" spans="2:8">
      <c r="B490" s="759"/>
      <c r="C490" s="759"/>
      <c r="D490" s="759"/>
      <c r="E490" s="759"/>
      <c r="F490" s="759"/>
      <c r="G490" s="759"/>
      <c r="H490" s="759"/>
    </row>
    <row r="491" spans="2:8">
      <c r="B491" s="759"/>
      <c r="C491" s="759"/>
      <c r="D491" s="759"/>
      <c r="E491" s="759"/>
      <c r="F491" s="759"/>
      <c r="G491" s="759"/>
      <c r="H491" s="759"/>
    </row>
    <row r="492" spans="2:8">
      <c r="B492" s="759"/>
      <c r="C492" s="759"/>
      <c r="D492" s="759"/>
      <c r="E492" s="759"/>
      <c r="F492" s="759"/>
      <c r="G492" s="759"/>
      <c r="H492" s="759"/>
    </row>
    <row r="493" spans="2:8">
      <c r="B493" s="759"/>
      <c r="C493" s="759"/>
      <c r="D493" s="759"/>
      <c r="E493" s="759"/>
      <c r="F493" s="759"/>
      <c r="G493" s="759"/>
      <c r="H493" s="759"/>
    </row>
    <row r="494" spans="2:8">
      <c r="B494" s="759"/>
      <c r="C494" s="759"/>
      <c r="D494" s="759"/>
      <c r="E494" s="759"/>
      <c r="F494" s="759"/>
      <c r="G494" s="759"/>
      <c r="H494" s="759"/>
    </row>
    <row r="495" spans="2:8">
      <c r="B495" s="759"/>
      <c r="C495" s="759"/>
      <c r="D495" s="759"/>
      <c r="E495" s="759"/>
      <c r="F495" s="759"/>
      <c r="G495" s="759"/>
      <c r="H495" s="759"/>
    </row>
    <row r="496" spans="2:8">
      <c r="B496" s="759"/>
      <c r="C496" s="759"/>
      <c r="D496" s="759"/>
      <c r="E496" s="759"/>
      <c r="F496" s="759"/>
      <c r="G496" s="759"/>
      <c r="H496" s="759"/>
    </row>
    <row r="497" spans="2:8">
      <c r="B497" s="759"/>
      <c r="C497" s="759"/>
      <c r="D497" s="759"/>
      <c r="E497" s="759"/>
      <c r="F497" s="759"/>
      <c r="G497" s="759"/>
      <c r="H497" s="759"/>
    </row>
    <row r="498" spans="2:8">
      <c r="B498" s="759"/>
      <c r="C498" s="759"/>
      <c r="D498" s="759"/>
      <c r="E498" s="759"/>
      <c r="F498" s="759"/>
      <c r="G498" s="759"/>
      <c r="H498" s="759"/>
    </row>
    <row r="499" spans="2:8">
      <c r="B499" s="759"/>
      <c r="C499" s="759"/>
      <c r="D499" s="759"/>
      <c r="E499" s="759"/>
      <c r="F499" s="759"/>
      <c r="G499" s="759"/>
      <c r="H499" s="759"/>
    </row>
    <row r="500" spans="2:8">
      <c r="B500" s="759"/>
      <c r="C500" s="759"/>
      <c r="D500" s="759"/>
      <c r="E500" s="759"/>
      <c r="F500" s="759"/>
      <c r="G500" s="759"/>
      <c r="H500" s="759"/>
    </row>
    <row r="501" spans="2:8">
      <c r="B501" s="759"/>
      <c r="C501" s="759"/>
      <c r="D501" s="759"/>
      <c r="E501" s="759"/>
      <c r="F501" s="759"/>
      <c r="G501" s="759"/>
      <c r="H501" s="759"/>
    </row>
    <row r="502" spans="2:8">
      <c r="B502" s="759"/>
      <c r="C502" s="759"/>
      <c r="D502" s="759"/>
      <c r="E502" s="759"/>
      <c r="F502" s="759"/>
      <c r="G502" s="759"/>
      <c r="H502" s="759"/>
    </row>
    <row r="503" spans="2:8">
      <c r="B503" s="759"/>
      <c r="C503" s="759"/>
      <c r="D503" s="759"/>
      <c r="E503" s="759"/>
      <c r="F503" s="759"/>
      <c r="G503" s="759"/>
      <c r="H503" s="759"/>
    </row>
    <row r="504" spans="2:8">
      <c r="B504" s="759"/>
      <c r="C504" s="759"/>
      <c r="D504" s="759"/>
      <c r="E504" s="759"/>
      <c r="F504" s="759"/>
      <c r="G504" s="759"/>
      <c r="H504" s="759"/>
    </row>
    <row r="505" spans="2:8">
      <c r="B505" s="759"/>
      <c r="C505" s="759"/>
      <c r="D505" s="759"/>
      <c r="E505" s="759"/>
      <c r="F505" s="759"/>
      <c r="G505" s="759"/>
      <c r="H505" s="759"/>
    </row>
    <row r="506" spans="2:8">
      <c r="B506" s="759"/>
      <c r="C506" s="759"/>
      <c r="D506" s="759"/>
      <c r="E506" s="759"/>
      <c r="F506" s="759"/>
      <c r="G506" s="759"/>
      <c r="H506" s="759"/>
    </row>
    <row r="507" spans="2:8">
      <c r="B507" s="759"/>
      <c r="C507" s="759"/>
      <c r="D507" s="759"/>
      <c r="E507" s="759"/>
      <c r="F507" s="759"/>
      <c r="G507" s="759"/>
      <c r="H507" s="759"/>
    </row>
    <row r="508" spans="2:8">
      <c r="B508" s="759"/>
      <c r="C508" s="759"/>
      <c r="D508" s="759"/>
      <c r="E508" s="759"/>
      <c r="F508" s="759"/>
      <c r="G508" s="759"/>
      <c r="H508" s="759"/>
    </row>
    <row r="509" spans="2:8">
      <c r="B509" s="759"/>
      <c r="C509" s="759"/>
      <c r="D509" s="759"/>
      <c r="E509" s="759"/>
      <c r="F509" s="759"/>
      <c r="G509" s="759"/>
      <c r="H509" s="759"/>
    </row>
    <row r="510" spans="2:8">
      <c r="B510" s="759"/>
      <c r="C510" s="759"/>
      <c r="D510" s="759"/>
      <c r="E510" s="759"/>
      <c r="F510" s="759"/>
      <c r="G510" s="759"/>
      <c r="H510" s="759"/>
    </row>
    <row r="511" spans="2:8">
      <c r="B511" s="759"/>
      <c r="C511" s="759"/>
      <c r="D511" s="759"/>
      <c r="E511" s="759"/>
      <c r="F511" s="759"/>
      <c r="G511" s="759"/>
      <c r="H511" s="759"/>
    </row>
    <row r="512" spans="2:8">
      <c r="B512" s="759"/>
      <c r="C512" s="759"/>
      <c r="D512" s="759"/>
      <c r="E512" s="759"/>
      <c r="F512" s="759"/>
      <c r="G512" s="759"/>
      <c r="H512" s="759"/>
    </row>
    <row r="513" spans="2:8">
      <c r="B513" s="759"/>
      <c r="C513" s="759"/>
      <c r="D513" s="759"/>
      <c r="E513" s="759"/>
      <c r="F513" s="759"/>
      <c r="G513" s="759"/>
      <c r="H513" s="759"/>
    </row>
    <row r="514" spans="2:8">
      <c r="B514" s="759"/>
      <c r="C514" s="759"/>
      <c r="D514" s="759"/>
      <c r="E514" s="759"/>
      <c r="F514" s="759"/>
      <c r="G514" s="759"/>
      <c r="H514" s="759"/>
    </row>
  </sheetData>
  <mergeCells count="8">
    <mergeCell ref="A7:B7"/>
    <mergeCell ref="D4:H4"/>
    <mergeCell ref="C1:H3"/>
    <mergeCell ref="A4:C4"/>
    <mergeCell ref="A5:C5"/>
    <mergeCell ref="D5:G5"/>
    <mergeCell ref="H5:H6"/>
    <mergeCell ref="C7:G7"/>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3">
    <pageSetUpPr fitToPage="1"/>
  </sheetPr>
  <dimension ref="A1:S323"/>
  <sheetViews>
    <sheetView showGridLines="0" showOutlineSymbols="0" zoomScaleNormal="100" workbookViewId="0">
      <pane ySplit="2655" topLeftCell="A311" activePane="bottomLeft"/>
      <selection activeCell="A4" sqref="A4"/>
      <selection pane="bottomLeft" activeCell="I323" sqref="I323"/>
    </sheetView>
  </sheetViews>
  <sheetFormatPr defaultColWidth="9.44140625" defaultRowHeight="15.75"/>
  <cols>
    <col min="1" max="1" width="10.77734375" style="722" customWidth="1"/>
    <col min="2" max="2" width="7.21875" style="722" customWidth="1"/>
    <col min="3" max="3" width="7.5546875" style="722" customWidth="1"/>
    <col min="4" max="4" width="10.21875" style="722" customWidth="1"/>
    <col min="5" max="5" width="6.5546875" style="722" customWidth="1"/>
    <col min="6" max="6" width="5.77734375" style="722" customWidth="1"/>
    <col min="7" max="7" width="7" style="722" customWidth="1"/>
    <col min="8" max="8" width="6.5546875" style="722" customWidth="1"/>
    <col min="9" max="9" width="9.44140625" style="722" customWidth="1"/>
    <col min="10" max="10" width="9.44140625" style="782" customWidth="1"/>
    <col min="11" max="16384" width="9.44140625" style="722"/>
  </cols>
  <sheetData>
    <row r="1" spans="1:19" ht="21" customHeight="1">
      <c r="A1" s="707"/>
      <c r="B1" s="708"/>
      <c r="C1" s="708"/>
      <c r="D1" s="1417" t="s">
        <v>346</v>
      </c>
      <c r="E1" s="1417"/>
      <c r="F1" s="1417"/>
      <c r="G1" s="1417"/>
      <c r="H1" s="1417"/>
      <c r="I1" s="1417"/>
      <c r="K1" s="1468"/>
      <c r="L1" s="1468"/>
      <c r="M1" s="1468"/>
      <c r="N1" s="1468"/>
      <c r="O1" s="1468"/>
      <c r="P1" s="1468"/>
      <c r="Q1" s="1468"/>
      <c r="R1" s="1468"/>
      <c r="S1" s="1468"/>
    </row>
    <row r="2" spans="1:19" ht="16.5" customHeight="1">
      <c r="A2" s="708"/>
      <c r="B2" s="708"/>
      <c r="C2" s="708"/>
      <c r="D2" s="1417"/>
      <c r="E2" s="1417"/>
      <c r="F2" s="1417"/>
      <c r="G2" s="1417"/>
      <c r="H2" s="1417"/>
      <c r="I2" s="1417"/>
      <c r="K2" s="1453"/>
      <c r="L2" s="1453"/>
      <c r="M2" s="1453"/>
      <c r="N2" s="1453"/>
      <c r="O2" s="1453"/>
      <c r="P2" s="1453"/>
      <c r="Q2" s="1453"/>
      <c r="R2" s="1453"/>
      <c r="S2" s="1453"/>
    </row>
    <row r="3" spans="1:19" ht="16.5" customHeight="1" thickBot="1">
      <c r="A3" s="708"/>
      <c r="B3" s="708"/>
      <c r="C3" s="708"/>
      <c r="D3" s="1418"/>
      <c r="E3" s="1418"/>
      <c r="F3" s="1418"/>
      <c r="G3" s="1418"/>
      <c r="H3" s="1418"/>
      <c r="I3" s="1418"/>
      <c r="K3" s="1469"/>
      <c r="L3" s="1469"/>
      <c r="M3" s="1469"/>
      <c r="N3" s="1470"/>
      <c r="O3" s="1470"/>
      <c r="P3" s="1470"/>
      <c r="Q3" s="1470"/>
      <c r="R3" s="1470"/>
      <c r="S3" s="1470"/>
    </row>
    <row r="4" spans="1:19" ht="15.75" customHeight="1" thickBot="1">
      <c r="A4" s="1465" t="s">
        <v>357</v>
      </c>
      <c r="B4" s="1466"/>
      <c r="C4" s="1467"/>
      <c r="D4" s="1432" t="s">
        <v>359</v>
      </c>
      <c r="E4" s="1433"/>
      <c r="F4" s="1433"/>
      <c r="G4" s="1433"/>
      <c r="H4" s="1433"/>
      <c r="I4" s="1434"/>
      <c r="K4" s="1469"/>
      <c r="L4" s="1469"/>
      <c r="M4" s="1469"/>
      <c r="N4" s="1471"/>
      <c r="O4" s="1471"/>
      <c r="P4" s="1471"/>
      <c r="Q4" s="1471"/>
      <c r="R4" s="1471"/>
      <c r="S4" s="1471"/>
    </row>
    <row r="5" spans="1:19" ht="15.75" customHeight="1" thickBot="1">
      <c r="A5" s="1421" t="s">
        <v>274</v>
      </c>
      <c r="B5" s="1422"/>
      <c r="C5" s="1423"/>
      <c r="D5" s="1424" t="s">
        <v>275</v>
      </c>
      <c r="E5" s="1425"/>
      <c r="F5" s="1425"/>
      <c r="G5" s="1425"/>
      <c r="H5" s="1426"/>
      <c r="I5" s="1427" t="s">
        <v>186</v>
      </c>
      <c r="K5" s="790"/>
      <c r="L5" s="739"/>
      <c r="M5" s="790"/>
      <c r="N5" s="790"/>
      <c r="O5" s="790"/>
      <c r="P5" s="790"/>
      <c r="Q5" s="790"/>
      <c r="R5" s="790"/>
      <c r="S5" s="790"/>
    </row>
    <row r="6" spans="1:19" ht="15.75" customHeight="1" thickBot="1">
      <c r="A6" s="831" t="s">
        <v>341</v>
      </c>
      <c r="B6" s="830" t="s">
        <v>76</v>
      </c>
      <c r="C6" s="781" t="s">
        <v>68</v>
      </c>
      <c r="D6" s="832" t="s">
        <v>358</v>
      </c>
      <c r="E6" s="781" t="s">
        <v>342</v>
      </c>
      <c r="F6" s="781" t="s">
        <v>343</v>
      </c>
      <c r="G6" s="781" t="s">
        <v>344</v>
      </c>
      <c r="H6" s="781" t="s">
        <v>345</v>
      </c>
      <c r="I6" s="1428"/>
      <c r="K6" s="791"/>
      <c r="L6" s="792"/>
      <c r="M6" s="761"/>
      <c r="N6" s="761"/>
      <c r="O6" s="761"/>
      <c r="P6" s="761"/>
      <c r="Q6" s="761"/>
      <c r="R6" s="761"/>
      <c r="S6" s="761"/>
    </row>
    <row r="7" spans="1:19" ht="16.5" thickBot="1">
      <c r="A7" s="958" t="s">
        <v>347</v>
      </c>
      <c r="B7" s="959"/>
      <c r="C7" s="959"/>
      <c r="D7" s="959"/>
      <c r="E7" s="959"/>
      <c r="F7" s="959"/>
      <c r="G7" s="959"/>
      <c r="H7" s="959"/>
      <c r="I7" s="960" t="s">
        <v>360</v>
      </c>
      <c r="K7" s="791"/>
      <c r="L7" s="792"/>
      <c r="M7" s="761"/>
      <c r="N7" s="761"/>
      <c r="O7" s="761"/>
      <c r="P7" s="761"/>
      <c r="Q7" s="761"/>
      <c r="R7" s="761"/>
      <c r="S7" s="761"/>
    </row>
    <row r="8" spans="1:19" ht="18" hidden="1" customHeight="1" thickBot="1">
      <c r="A8" s="973" t="s">
        <v>637</v>
      </c>
      <c r="B8" s="748">
        <f>+geral!C923</f>
        <v>431.04</v>
      </c>
      <c r="C8" s="748">
        <v>100</v>
      </c>
      <c r="D8" s="748">
        <f>C8-100</f>
        <v>0</v>
      </c>
      <c r="E8" s="748"/>
      <c r="F8" s="748"/>
      <c r="G8" s="748"/>
      <c r="H8" s="843"/>
      <c r="I8" s="845">
        <f>$B$322/B8</f>
        <v>8.2546279706556849</v>
      </c>
    </row>
    <row r="9" spans="1:19" ht="18" hidden="1" customHeight="1" thickBot="1">
      <c r="A9" s="973" t="s">
        <v>638</v>
      </c>
      <c r="B9" s="748">
        <f>+geral!C924</f>
        <v>431.04</v>
      </c>
      <c r="C9" s="748">
        <v>100</v>
      </c>
      <c r="D9" s="748">
        <f t="shared" ref="D9:D72" si="0">C9-100</f>
        <v>0</v>
      </c>
      <c r="E9" s="748">
        <f t="shared" ref="E9:E73" si="1">100*((B9/B8)-1)</f>
        <v>0</v>
      </c>
      <c r="F9" s="748"/>
      <c r="G9" s="748"/>
      <c r="H9" s="843"/>
      <c r="I9" s="846">
        <f>$B$322/B9</f>
        <v>8.2546279706556849</v>
      </c>
    </row>
    <row r="10" spans="1:19" ht="18" hidden="1" customHeight="1" thickBot="1">
      <c r="A10" s="973" t="s">
        <v>639</v>
      </c>
      <c r="B10" s="748">
        <f>+geral!C925</f>
        <v>466.21</v>
      </c>
      <c r="C10" s="748">
        <f t="shared" ref="C10:C73" si="2">100*B10/$B$9</f>
        <v>108.15933556050481</v>
      </c>
      <c r="D10" s="748">
        <f t="shared" si="0"/>
        <v>8.1593355605048146</v>
      </c>
      <c r="E10" s="748">
        <f t="shared" si="1"/>
        <v>8.159335560504811</v>
      </c>
      <c r="F10" s="748"/>
      <c r="G10" s="748"/>
      <c r="H10" s="843"/>
      <c r="I10" s="846">
        <f>$B$322/B10</f>
        <v>7.6319144601604991</v>
      </c>
    </row>
    <row r="11" spans="1:19" ht="18" hidden="1" customHeight="1" thickBot="1">
      <c r="A11" s="973" t="s">
        <v>640</v>
      </c>
      <c r="B11" s="748">
        <f>+geral!C926</f>
        <v>482.76</v>
      </c>
      <c r="C11" s="748">
        <f t="shared" si="2"/>
        <v>111.99888641425389</v>
      </c>
      <c r="D11" s="748">
        <f t="shared" si="0"/>
        <v>11.998886414253889</v>
      </c>
      <c r="E11" s="748">
        <f t="shared" si="1"/>
        <v>3.5499024044958416</v>
      </c>
      <c r="F11" s="748"/>
      <c r="G11" s="748"/>
      <c r="H11" s="843"/>
      <c r="I11" s="846">
        <f>$B$322/B11</f>
        <v>7.3702768258998805</v>
      </c>
    </row>
    <row r="12" spans="1:19" ht="18" hidden="1" customHeight="1" thickBot="1">
      <c r="A12" s="973" t="s">
        <v>641</v>
      </c>
      <c r="B12" s="748">
        <f>+geral!C927</f>
        <v>472.76</v>
      </c>
      <c r="C12" s="748">
        <f t="shared" si="2"/>
        <v>109.67891610987378</v>
      </c>
      <c r="D12" s="748">
        <f t="shared" si="0"/>
        <v>9.6789161098737821</v>
      </c>
      <c r="E12" s="748">
        <f t="shared" si="1"/>
        <v>-2.0714226530781366</v>
      </c>
      <c r="F12" s="748"/>
      <c r="G12" s="748"/>
      <c r="H12" s="843"/>
      <c r="I12" s="846">
        <f>$B$322/B12</f>
        <v>7.5261757349848262</v>
      </c>
    </row>
    <row r="13" spans="1:19" ht="18" hidden="1" customHeight="1" thickBot="1">
      <c r="A13" s="973" t="s">
        <v>642</v>
      </c>
      <c r="B13" s="748">
        <f>+geral!C928</f>
        <v>507.76</v>
      </c>
      <c r="C13" s="748">
        <f t="shared" si="2"/>
        <v>117.79881217520415</v>
      </c>
      <c r="D13" s="748">
        <f t="shared" si="0"/>
        <v>17.798812175204148</v>
      </c>
      <c r="E13" s="748">
        <f t="shared" si="1"/>
        <v>7.403333615365093</v>
      </c>
      <c r="F13" s="748"/>
      <c r="G13" s="748"/>
      <c r="H13" s="843"/>
      <c r="I13" s="846">
        <f>$B$322/B13</f>
        <v>7.0073949119100094</v>
      </c>
    </row>
    <row r="14" spans="1:19" ht="18" hidden="1" customHeight="1" thickBot="1">
      <c r="A14" s="973" t="s">
        <v>625</v>
      </c>
      <c r="B14" s="748">
        <f>+geral!E917</f>
        <v>507.76</v>
      </c>
      <c r="C14" s="748">
        <f t="shared" si="2"/>
        <v>117.79881217520415</v>
      </c>
      <c r="D14" s="748">
        <f t="shared" si="0"/>
        <v>17.798812175204148</v>
      </c>
      <c r="E14" s="748">
        <f t="shared" si="1"/>
        <v>0</v>
      </c>
      <c r="F14" s="748">
        <f t="shared" ref="F14:F25" si="3">100*((B14/$B$14)-1)</f>
        <v>0</v>
      </c>
      <c r="G14" s="748"/>
      <c r="H14" s="843"/>
      <c r="I14" s="846">
        <f>$B$322/B14</f>
        <v>7.0073949119100094</v>
      </c>
    </row>
    <row r="15" spans="1:19" ht="18" hidden="1" customHeight="1" thickBot="1">
      <c r="A15" s="973" t="s">
        <v>626</v>
      </c>
      <c r="B15" s="748">
        <f>+geral!E918</f>
        <v>570.1</v>
      </c>
      <c r="C15" s="748">
        <f t="shared" si="2"/>
        <v>132.26150705270973</v>
      </c>
      <c r="D15" s="748">
        <f t="shared" si="0"/>
        <v>32.261507052709732</v>
      </c>
      <c r="E15" s="748">
        <f t="shared" si="1"/>
        <v>12.277453915235558</v>
      </c>
      <c r="F15" s="748">
        <f t="shared" si="3"/>
        <v>12.277453915235558</v>
      </c>
      <c r="G15" s="748"/>
      <c r="H15" s="843"/>
      <c r="I15" s="846">
        <f>$B$322/B15</f>
        <v>6.2411416251033609</v>
      </c>
    </row>
    <row r="16" spans="1:19" ht="18" hidden="1" customHeight="1" thickBot="1">
      <c r="A16" s="973" t="s">
        <v>627</v>
      </c>
      <c r="B16" s="748">
        <f>+geral!E919</f>
        <v>570.1</v>
      </c>
      <c r="C16" s="748">
        <f t="shared" si="2"/>
        <v>132.26150705270973</v>
      </c>
      <c r="D16" s="748">
        <f t="shared" si="0"/>
        <v>32.261507052709732</v>
      </c>
      <c r="E16" s="748">
        <f t="shared" si="1"/>
        <v>0</v>
      </c>
      <c r="F16" s="748">
        <f t="shared" si="3"/>
        <v>12.277453915235558</v>
      </c>
      <c r="G16" s="748"/>
      <c r="H16" s="843"/>
      <c r="I16" s="846">
        <f>$B$322/B16</f>
        <v>6.2411416251033609</v>
      </c>
    </row>
    <row r="17" spans="1:11" ht="18" hidden="1" customHeight="1" thickBot="1">
      <c r="A17" s="973" t="s">
        <v>628</v>
      </c>
      <c r="B17" s="748">
        <f>+geral!E920</f>
        <v>570.1</v>
      </c>
      <c r="C17" s="748">
        <f t="shared" si="2"/>
        <v>132.26150705270973</v>
      </c>
      <c r="D17" s="748">
        <f t="shared" si="0"/>
        <v>32.261507052709732</v>
      </c>
      <c r="E17" s="748">
        <f t="shared" si="1"/>
        <v>0</v>
      </c>
      <c r="F17" s="748">
        <f t="shared" si="3"/>
        <v>12.277453915235558</v>
      </c>
      <c r="G17" s="748"/>
      <c r="H17" s="843"/>
      <c r="I17" s="846">
        <f>$B$322/B17</f>
        <v>6.2411416251033609</v>
      </c>
    </row>
    <row r="18" spans="1:11" ht="18" hidden="1" customHeight="1" thickBot="1">
      <c r="A18" s="973" t="s">
        <v>629</v>
      </c>
      <c r="B18" s="748">
        <f>+geral!E921</f>
        <v>667.64300000000003</v>
      </c>
      <c r="C18" s="748">
        <f t="shared" si="2"/>
        <v>154.89119339272457</v>
      </c>
      <c r="D18" s="748">
        <f t="shared" si="0"/>
        <v>54.891193392724574</v>
      </c>
      <c r="E18" s="748">
        <f t="shared" si="1"/>
        <v>17.109805297316271</v>
      </c>
      <c r="F18" s="748">
        <f t="shared" si="3"/>
        <v>31.487907672916336</v>
      </c>
      <c r="G18" s="748"/>
      <c r="H18" s="843"/>
      <c r="I18" s="846">
        <f>$B$322/B18</f>
        <v>5.3293074898881976</v>
      </c>
    </row>
    <row r="19" spans="1:11" ht="18" hidden="1" customHeight="1" thickBot="1">
      <c r="A19" s="973" t="s">
        <v>630</v>
      </c>
      <c r="B19" s="748">
        <f>+geral!E922</f>
        <v>667.64</v>
      </c>
      <c r="C19" s="748">
        <f t="shared" si="2"/>
        <v>154.89049740163324</v>
      </c>
      <c r="D19" s="748">
        <f t="shared" si="0"/>
        <v>54.89049740163324</v>
      </c>
      <c r="E19" s="748">
        <f t="shared" si="1"/>
        <v>-4.4934193873524819E-4</v>
      </c>
      <c r="F19" s="748">
        <f t="shared" si="3"/>
        <v>31.487316842602798</v>
      </c>
      <c r="G19" s="748"/>
      <c r="H19" s="843"/>
      <c r="I19" s="846">
        <f>$B$322/B19</f>
        <v>5.3293314368093982</v>
      </c>
    </row>
    <row r="20" spans="1:11" ht="18" hidden="1" customHeight="1" thickBot="1">
      <c r="A20" s="973" t="s">
        <v>631</v>
      </c>
      <c r="B20" s="748">
        <f>+geral!E923</f>
        <v>667.64</v>
      </c>
      <c r="C20" s="748">
        <f t="shared" si="2"/>
        <v>154.89049740163324</v>
      </c>
      <c r="D20" s="748">
        <f t="shared" si="0"/>
        <v>54.89049740163324</v>
      </c>
      <c r="E20" s="748">
        <f t="shared" si="1"/>
        <v>0</v>
      </c>
      <c r="F20" s="748">
        <f t="shared" si="3"/>
        <v>31.487316842602798</v>
      </c>
      <c r="G20" s="748">
        <f>100*((B20/B8)-1)</f>
        <v>54.890497401633255</v>
      </c>
      <c r="H20" s="843"/>
      <c r="I20" s="846">
        <f>$B$322/B20</f>
        <v>5.3293314368093982</v>
      </c>
    </row>
    <row r="21" spans="1:11" ht="18" hidden="1" customHeight="1" thickBot="1">
      <c r="A21" s="973" t="s">
        <v>632</v>
      </c>
      <c r="B21" s="748">
        <f>+geral!E924</f>
        <v>667.64</v>
      </c>
      <c r="C21" s="748">
        <f t="shared" si="2"/>
        <v>154.89049740163324</v>
      </c>
      <c r="D21" s="748">
        <f t="shared" si="0"/>
        <v>54.89049740163324</v>
      </c>
      <c r="E21" s="748">
        <f t="shared" si="1"/>
        <v>0</v>
      </c>
      <c r="F21" s="748">
        <f t="shared" si="3"/>
        <v>31.487316842602798</v>
      </c>
      <c r="G21" s="748">
        <f t="shared" ref="G21:G84" si="4">100*((B21/B9)-1)</f>
        <v>54.890497401633255</v>
      </c>
      <c r="H21" s="843"/>
      <c r="I21" s="846">
        <f>$B$322/B21</f>
        <v>5.3293314368093982</v>
      </c>
    </row>
    <row r="22" spans="1:11" ht="18" hidden="1" customHeight="1" thickBot="1">
      <c r="A22" s="973" t="s">
        <v>633</v>
      </c>
      <c r="B22" s="748">
        <f>+geral!E925</f>
        <v>667.64</v>
      </c>
      <c r="C22" s="748">
        <f t="shared" si="2"/>
        <v>154.89049740163324</v>
      </c>
      <c r="D22" s="748">
        <f t="shared" si="0"/>
        <v>54.89049740163324</v>
      </c>
      <c r="E22" s="748">
        <f t="shared" si="1"/>
        <v>0</v>
      </c>
      <c r="F22" s="748">
        <f t="shared" si="3"/>
        <v>31.487316842602798</v>
      </c>
      <c r="G22" s="748">
        <f t="shared" si="4"/>
        <v>43.205851440338037</v>
      </c>
      <c r="H22" s="843"/>
      <c r="I22" s="846">
        <f>$B$322/B22</f>
        <v>5.3293314368093982</v>
      </c>
      <c r="K22" s="760"/>
    </row>
    <row r="23" spans="1:11" ht="18" hidden="1" customHeight="1" thickBot="1">
      <c r="A23" s="973" t="s">
        <v>634</v>
      </c>
      <c r="B23" s="748">
        <f>+geral!E926</f>
        <v>667.64</v>
      </c>
      <c r="C23" s="748">
        <f t="shared" si="2"/>
        <v>154.89049740163324</v>
      </c>
      <c r="D23" s="748">
        <f t="shared" si="0"/>
        <v>54.89049740163324</v>
      </c>
      <c r="E23" s="748">
        <f t="shared" si="1"/>
        <v>0</v>
      </c>
      <c r="F23" s="748">
        <f t="shared" si="3"/>
        <v>31.487316842602798</v>
      </c>
      <c r="G23" s="748">
        <f t="shared" si="4"/>
        <v>38.296462010108542</v>
      </c>
      <c r="H23" s="843"/>
      <c r="I23" s="846">
        <f>$B$322/B23</f>
        <v>5.3293314368093982</v>
      </c>
      <c r="K23" s="760"/>
    </row>
    <row r="24" spans="1:11" ht="18" hidden="1" customHeight="1" thickBot="1">
      <c r="A24" s="973" t="s">
        <v>635</v>
      </c>
      <c r="B24" s="748">
        <f>+geral!E927</f>
        <v>667.64</v>
      </c>
      <c r="C24" s="748">
        <f t="shared" si="2"/>
        <v>154.89049740163324</v>
      </c>
      <c r="D24" s="748">
        <f t="shared" si="0"/>
        <v>54.89049740163324</v>
      </c>
      <c r="E24" s="748">
        <f t="shared" si="1"/>
        <v>0</v>
      </c>
      <c r="F24" s="748">
        <f t="shared" si="3"/>
        <v>31.487316842602798</v>
      </c>
      <c r="G24" s="748">
        <f t="shared" si="4"/>
        <v>41.221761570352825</v>
      </c>
      <c r="H24" s="843"/>
      <c r="I24" s="846">
        <f>$B$322/B24</f>
        <v>5.3293314368093982</v>
      </c>
      <c r="K24" s="760"/>
    </row>
    <row r="25" spans="1:11" ht="18" hidden="1" customHeight="1" thickBot="1">
      <c r="A25" s="973" t="s">
        <v>636</v>
      </c>
      <c r="B25" s="748">
        <f>+geral!E928</f>
        <v>667.64</v>
      </c>
      <c r="C25" s="748">
        <f t="shared" si="2"/>
        <v>154.89049740163324</v>
      </c>
      <c r="D25" s="748">
        <f t="shared" si="0"/>
        <v>54.89049740163324</v>
      </c>
      <c r="E25" s="748">
        <f t="shared" si="1"/>
        <v>0</v>
      </c>
      <c r="F25" s="748">
        <f t="shared" si="3"/>
        <v>31.487316842602798</v>
      </c>
      <c r="G25" s="748">
        <f t="shared" si="4"/>
        <v>31.487316842602798</v>
      </c>
      <c r="H25" s="843"/>
      <c r="I25" s="846">
        <f>$B$322/B25</f>
        <v>5.3293314368093982</v>
      </c>
      <c r="K25" s="760"/>
    </row>
    <row r="26" spans="1:11" ht="18" hidden="1" customHeight="1" thickBot="1">
      <c r="A26" s="973" t="s">
        <v>613</v>
      </c>
      <c r="B26" s="748">
        <f>+geral!G917</f>
        <v>667.64</v>
      </c>
      <c r="C26" s="748">
        <f t="shared" si="2"/>
        <v>154.89049740163324</v>
      </c>
      <c r="D26" s="748">
        <f t="shared" si="0"/>
        <v>54.89049740163324</v>
      </c>
      <c r="E26" s="748">
        <f t="shared" si="1"/>
        <v>0</v>
      </c>
      <c r="F26" s="748">
        <f>100*((B26/$B$25)-1)</f>
        <v>0</v>
      </c>
      <c r="G26" s="748">
        <f t="shared" si="4"/>
        <v>31.487316842602798</v>
      </c>
      <c r="H26" s="843"/>
      <c r="I26" s="846">
        <f>$B$322/B26</f>
        <v>5.3293314368093982</v>
      </c>
      <c r="K26" s="760"/>
    </row>
    <row r="27" spans="1:11" ht="18" hidden="1" customHeight="1" thickBot="1">
      <c r="A27" s="973" t="s">
        <v>614</v>
      </c>
      <c r="B27" s="748">
        <f>+geral!G918</f>
        <v>667.64</v>
      </c>
      <c r="C27" s="748">
        <f t="shared" si="2"/>
        <v>154.89049740163324</v>
      </c>
      <c r="D27" s="748">
        <f t="shared" si="0"/>
        <v>54.89049740163324</v>
      </c>
      <c r="E27" s="748">
        <f t="shared" si="1"/>
        <v>0</v>
      </c>
      <c r="F27" s="748">
        <f t="shared" ref="F27:F37" si="5">100*((B27/$B$25)-1)</f>
        <v>0</v>
      </c>
      <c r="G27" s="748">
        <f t="shared" si="4"/>
        <v>17.109279073846693</v>
      </c>
      <c r="H27" s="843"/>
      <c r="I27" s="846">
        <f>$B$322/B27</f>
        <v>5.3293314368093982</v>
      </c>
      <c r="K27" s="760"/>
    </row>
    <row r="28" spans="1:11" ht="18" hidden="1" customHeight="1" thickBot="1">
      <c r="A28" s="973" t="s">
        <v>615</v>
      </c>
      <c r="B28" s="748">
        <f>+geral!G919</f>
        <v>667.64</v>
      </c>
      <c r="C28" s="748">
        <f t="shared" si="2"/>
        <v>154.89049740163324</v>
      </c>
      <c r="D28" s="748">
        <f t="shared" si="0"/>
        <v>54.89049740163324</v>
      </c>
      <c r="E28" s="748">
        <f t="shared" si="1"/>
        <v>0</v>
      </c>
      <c r="F28" s="748">
        <f t="shared" si="5"/>
        <v>0</v>
      </c>
      <c r="G28" s="748">
        <f t="shared" si="4"/>
        <v>17.109279073846693</v>
      </c>
      <c r="H28" s="843"/>
      <c r="I28" s="846">
        <f>$B$322/B28</f>
        <v>5.3293314368093982</v>
      </c>
      <c r="K28" s="760"/>
    </row>
    <row r="29" spans="1:11" ht="18" hidden="1" customHeight="1" thickBot="1">
      <c r="A29" s="973" t="s">
        <v>616</v>
      </c>
      <c r="B29" s="748">
        <f>+geral!G920</f>
        <v>667.64</v>
      </c>
      <c r="C29" s="748">
        <f t="shared" si="2"/>
        <v>154.89049740163324</v>
      </c>
      <c r="D29" s="748">
        <f t="shared" si="0"/>
        <v>54.89049740163324</v>
      </c>
      <c r="E29" s="748">
        <f t="shared" si="1"/>
        <v>0</v>
      </c>
      <c r="F29" s="748">
        <f t="shared" si="5"/>
        <v>0</v>
      </c>
      <c r="G29" s="748">
        <f t="shared" si="4"/>
        <v>17.109279073846693</v>
      </c>
      <c r="H29" s="843"/>
      <c r="I29" s="846">
        <f>$B$322/B29</f>
        <v>5.3293314368093982</v>
      </c>
      <c r="K29" s="760"/>
    </row>
    <row r="30" spans="1:11" ht="18" hidden="1" customHeight="1" thickBot="1">
      <c r="A30" s="973" t="s">
        <v>617</v>
      </c>
      <c r="B30" s="748">
        <f>+geral!G921</f>
        <v>707.7</v>
      </c>
      <c r="C30" s="748">
        <f t="shared" si="2"/>
        <v>164.18429844097994</v>
      </c>
      <c r="D30" s="748">
        <f t="shared" si="0"/>
        <v>64.184298440979944</v>
      </c>
      <c r="E30" s="748">
        <f t="shared" si="1"/>
        <v>6.0002396501108501</v>
      </c>
      <c r="F30" s="748">
        <f t="shared" si="5"/>
        <v>6.0002396501108501</v>
      </c>
      <c r="G30" s="748">
        <f t="shared" si="4"/>
        <v>5.9997633465789457</v>
      </c>
      <c r="H30" s="843"/>
      <c r="I30" s="846">
        <f>$B$322/B30</f>
        <v>5.0276598000161457</v>
      </c>
    </row>
    <row r="31" spans="1:11" ht="18" hidden="1" customHeight="1" thickBot="1">
      <c r="A31" s="973" t="s">
        <v>618</v>
      </c>
      <c r="B31" s="748">
        <f>+geral!G922</f>
        <v>743.09</v>
      </c>
      <c r="C31" s="748">
        <f t="shared" si="2"/>
        <v>172.39467334818113</v>
      </c>
      <c r="D31" s="748">
        <f t="shared" si="0"/>
        <v>72.394673348181129</v>
      </c>
      <c r="E31" s="748">
        <f t="shared" si="1"/>
        <v>5.0007065140596385</v>
      </c>
      <c r="F31" s="748">
        <f t="shared" si="5"/>
        <v>11.301000539212747</v>
      </c>
      <c r="G31" s="748">
        <f t="shared" si="4"/>
        <v>11.301000539212747</v>
      </c>
      <c r="H31" s="843"/>
      <c r="I31" s="846">
        <f>$B$322/B31</f>
        <v>4.7882152100976008</v>
      </c>
    </row>
    <row r="32" spans="1:11" ht="18" hidden="1" customHeight="1" thickBot="1">
      <c r="A32" s="973" t="s">
        <v>619</v>
      </c>
      <c r="B32" s="748">
        <f>+geral!G923</f>
        <v>743.09</v>
      </c>
      <c r="C32" s="748">
        <f t="shared" si="2"/>
        <v>172.39467334818113</v>
      </c>
      <c r="D32" s="748">
        <f t="shared" si="0"/>
        <v>72.394673348181129</v>
      </c>
      <c r="E32" s="748">
        <f t="shared" si="1"/>
        <v>0</v>
      </c>
      <c r="F32" s="748">
        <f t="shared" si="5"/>
        <v>11.301000539212747</v>
      </c>
      <c r="G32" s="748">
        <f t="shared" si="4"/>
        <v>11.301000539212747</v>
      </c>
      <c r="H32" s="843"/>
      <c r="I32" s="846">
        <f>$B$322/B32</f>
        <v>4.7882152100976008</v>
      </c>
    </row>
    <row r="33" spans="1:9" ht="18" hidden="1" customHeight="1" thickBot="1">
      <c r="A33" s="973" t="s">
        <v>620</v>
      </c>
      <c r="B33" s="748">
        <f>+geral!G924</f>
        <v>743.09</v>
      </c>
      <c r="C33" s="748">
        <f t="shared" si="2"/>
        <v>172.39467334818113</v>
      </c>
      <c r="D33" s="748">
        <f t="shared" si="0"/>
        <v>72.394673348181129</v>
      </c>
      <c r="E33" s="748">
        <f t="shared" si="1"/>
        <v>0</v>
      </c>
      <c r="F33" s="748">
        <f t="shared" si="5"/>
        <v>11.301000539212747</v>
      </c>
      <c r="G33" s="748">
        <f t="shared" si="4"/>
        <v>11.301000539212747</v>
      </c>
      <c r="H33" s="843">
        <f>100*(B32/B8-1)</f>
        <v>72.394673348181144</v>
      </c>
      <c r="I33" s="846">
        <f>$B$322/B33</f>
        <v>4.7882152100976008</v>
      </c>
    </row>
    <row r="34" spans="1:9" ht="18" hidden="1" customHeight="1" thickBot="1">
      <c r="A34" s="973" t="s">
        <v>621</v>
      </c>
      <c r="B34" s="748">
        <f>+geral!G925</f>
        <v>743.09</v>
      </c>
      <c r="C34" s="748">
        <f t="shared" si="2"/>
        <v>172.39467334818113</v>
      </c>
      <c r="D34" s="748">
        <f t="shared" si="0"/>
        <v>72.394673348181129</v>
      </c>
      <c r="E34" s="748">
        <f t="shared" si="1"/>
        <v>0</v>
      </c>
      <c r="F34" s="748">
        <f t="shared" si="5"/>
        <v>11.301000539212747</v>
      </c>
      <c r="G34" s="748">
        <f t="shared" si="4"/>
        <v>11.301000539212747</v>
      </c>
      <c r="H34" s="843">
        <f t="shared" ref="H34:H97" si="6">100*(B33/B9-1)</f>
        <v>72.394673348181144</v>
      </c>
      <c r="I34" s="846">
        <f>$B$322/B34</f>
        <v>4.7882152100976008</v>
      </c>
    </row>
    <row r="35" spans="1:9" ht="18" hidden="1" customHeight="1" thickBot="1">
      <c r="A35" s="973" t="s">
        <v>622</v>
      </c>
      <c r="B35" s="748">
        <f>+geral!G926</f>
        <v>743.09</v>
      </c>
      <c r="C35" s="748">
        <f t="shared" si="2"/>
        <v>172.39467334818113</v>
      </c>
      <c r="D35" s="748">
        <f t="shared" si="0"/>
        <v>72.394673348181129</v>
      </c>
      <c r="E35" s="748">
        <f t="shared" si="1"/>
        <v>0</v>
      </c>
      <c r="F35" s="748">
        <f t="shared" si="5"/>
        <v>11.301000539212747</v>
      </c>
      <c r="G35" s="748">
        <f t="shared" si="4"/>
        <v>11.301000539212747</v>
      </c>
      <c r="H35" s="843">
        <f t="shared" si="6"/>
        <v>59.389545483794869</v>
      </c>
      <c r="I35" s="846">
        <f>$B$322/B35</f>
        <v>4.7882152100976008</v>
      </c>
    </row>
    <row r="36" spans="1:9" ht="18" hidden="1" customHeight="1" thickBot="1">
      <c r="A36" s="973" t="s">
        <v>623</v>
      </c>
      <c r="B36" s="748">
        <f>+geral!G927</f>
        <v>780.24</v>
      </c>
      <c r="C36" s="748">
        <f t="shared" si="2"/>
        <v>181.01336302895322</v>
      </c>
      <c r="D36" s="748">
        <f t="shared" si="0"/>
        <v>81.013363028953222</v>
      </c>
      <c r="E36" s="748">
        <f t="shared" si="1"/>
        <v>4.9993944205950713</v>
      </c>
      <c r="F36" s="748">
        <f t="shared" si="5"/>
        <v>16.865376550236654</v>
      </c>
      <c r="G36" s="748">
        <f t="shared" si="4"/>
        <v>16.865376550236654</v>
      </c>
      <c r="H36" s="843">
        <f t="shared" si="6"/>
        <v>53.925345927583066</v>
      </c>
      <c r="I36" s="846">
        <f>$B$322/B36</f>
        <v>4.5602312627799479</v>
      </c>
    </row>
    <row r="37" spans="1:9" ht="16.5" hidden="1" customHeight="1" thickBot="1">
      <c r="A37" s="973" t="s">
        <v>624</v>
      </c>
      <c r="B37" s="748">
        <f>+geral!G928</f>
        <v>780.24</v>
      </c>
      <c r="C37" s="748">
        <f t="shared" si="2"/>
        <v>181.01336302895322</v>
      </c>
      <c r="D37" s="748">
        <f t="shared" si="0"/>
        <v>81.013363028953222</v>
      </c>
      <c r="E37" s="748">
        <f t="shared" si="1"/>
        <v>0</v>
      </c>
      <c r="F37" s="748">
        <f t="shared" si="5"/>
        <v>16.865376550236654</v>
      </c>
      <c r="G37" s="748">
        <f t="shared" si="4"/>
        <v>16.865376550236654</v>
      </c>
      <c r="H37" s="843">
        <f t="shared" si="6"/>
        <v>65.039343430070232</v>
      </c>
      <c r="I37" s="846">
        <f>$B$322/B37</f>
        <v>4.5602312627799479</v>
      </c>
    </row>
    <row r="38" spans="1:9" ht="16.5" hidden="1" customHeight="1" thickBot="1">
      <c r="A38" s="973" t="s">
        <v>601</v>
      </c>
      <c r="B38" s="748">
        <f>+geral!I917</f>
        <v>780.24</v>
      </c>
      <c r="C38" s="748">
        <f t="shared" si="2"/>
        <v>181.01336302895322</v>
      </c>
      <c r="D38" s="748">
        <f t="shared" si="0"/>
        <v>81.013363028953222</v>
      </c>
      <c r="E38" s="748">
        <f t="shared" si="1"/>
        <v>0</v>
      </c>
      <c r="F38" s="748">
        <f>100*((B38/$B$37)-1)</f>
        <v>0</v>
      </c>
      <c r="G38" s="748">
        <f t="shared" si="4"/>
        <v>16.865376550236654</v>
      </c>
      <c r="H38" s="843">
        <f t="shared" si="6"/>
        <v>53.663147943910516</v>
      </c>
      <c r="I38" s="846">
        <f>$B$322/B38</f>
        <v>4.5602312627799479</v>
      </c>
    </row>
    <row r="39" spans="1:9" ht="16.5" hidden="1" customHeight="1" thickBot="1">
      <c r="A39" s="973" t="s">
        <v>602</v>
      </c>
      <c r="B39" s="748">
        <f>+geral!I918</f>
        <v>780.24</v>
      </c>
      <c r="C39" s="748">
        <f t="shared" si="2"/>
        <v>181.01336302895322</v>
      </c>
      <c r="D39" s="748">
        <f t="shared" si="0"/>
        <v>81.013363028953222</v>
      </c>
      <c r="E39" s="748">
        <f t="shared" si="1"/>
        <v>0</v>
      </c>
      <c r="F39" s="748">
        <f t="shared" ref="F39:F48" si="7">100*((B39/$B$37)-1)</f>
        <v>0</v>
      </c>
      <c r="G39" s="748">
        <f t="shared" si="4"/>
        <v>16.865376550236654</v>
      </c>
      <c r="H39" s="843">
        <f t="shared" si="6"/>
        <v>53.663147943910516</v>
      </c>
      <c r="I39" s="846">
        <f>$B$322/B39</f>
        <v>4.5602312627799479</v>
      </c>
    </row>
    <row r="40" spans="1:9" ht="16.5" hidden="1" customHeight="1" thickBot="1">
      <c r="A40" s="973" t="s">
        <v>603</v>
      </c>
      <c r="B40" s="748">
        <f>+geral!I919</f>
        <v>780.24</v>
      </c>
      <c r="C40" s="748">
        <f t="shared" si="2"/>
        <v>181.01336302895322</v>
      </c>
      <c r="D40" s="748">
        <f t="shared" si="0"/>
        <v>81.013363028953222</v>
      </c>
      <c r="E40" s="748">
        <f t="shared" si="1"/>
        <v>0</v>
      </c>
      <c r="F40" s="748">
        <f t="shared" si="7"/>
        <v>0</v>
      </c>
      <c r="G40" s="748">
        <f t="shared" si="4"/>
        <v>16.865376550236654</v>
      </c>
      <c r="H40" s="843">
        <f t="shared" si="6"/>
        <v>36.860199964918429</v>
      </c>
      <c r="I40" s="846">
        <f>$B$322/B40</f>
        <v>4.5602312627799479</v>
      </c>
    </row>
    <row r="41" spans="1:9" ht="16.5" hidden="1" customHeight="1" thickBot="1">
      <c r="A41" s="973" t="s">
        <v>604</v>
      </c>
      <c r="B41" s="748">
        <f>+geral!I920</f>
        <v>780.24</v>
      </c>
      <c r="C41" s="748">
        <f t="shared" si="2"/>
        <v>181.01336302895322</v>
      </c>
      <c r="D41" s="748">
        <f t="shared" si="0"/>
        <v>81.013363028953222</v>
      </c>
      <c r="E41" s="748">
        <f t="shared" si="1"/>
        <v>0</v>
      </c>
      <c r="F41" s="748">
        <f t="shared" si="7"/>
        <v>0</v>
      </c>
      <c r="G41" s="748">
        <f t="shared" si="4"/>
        <v>16.865376550236654</v>
      </c>
      <c r="H41" s="843">
        <f t="shared" si="6"/>
        <v>36.860199964918429</v>
      </c>
      <c r="I41" s="846">
        <f>$B$322/B41</f>
        <v>4.5602312627799479</v>
      </c>
    </row>
    <row r="42" spans="1:9" ht="16.5" hidden="1" customHeight="1" thickBot="1">
      <c r="A42" s="973" t="s">
        <v>605</v>
      </c>
      <c r="B42" s="748">
        <f>+geral!I921</f>
        <v>780.24</v>
      </c>
      <c r="C42" s="748">
        <f t="shared" si="2"/>
        <v>181.01336302895322</v>
      </c>
      <c r="D42" s="748">
        <f t="shared" si="0"/>
        <v>81.013363028953222</v>
      </c>
      <c r="E42" s="748">
        <f t="shared" si="1"/>
        <v>0</v>
      </c>
      <c r="F42" s="748">
        <f t="shared" si="7"/>
        <v>0</v>
      </c>
      <c r="G42" s="748">
        <f t="shared" si="4"/>
        <v>10.250105977108937</v>
      </c>
      <c r="H42" s="843">
        <f t="shared" si="6"/>
        <v>36.860199964918429</v>
      </c>
      <c r="I42" s="846">
        <f>$B$322/B42</f>
        <v>4.5602312627799479</v>
      </c>
    </row>
    <row r="43" spans="1:9" ht="16.5" hidden="1" customHeight="1" thickBot="1">
      <c r="A43" s="973" t="s">
        <v>606</v>
      </c>
      <c r="B43" s="748">
        <f>+geral!I922</f>
        <v>836.76</v>
      </c>
      <c r="C43" s="748">
        <f t="shared" si="2"/>
        <v>194.12583518930956</v>
      </c>
      <c r="D43" s="748">
        <f t="shared" si="0"/>
        <v>94.125835189309555</v>
      </c>
      <c r="E43" s="748">
        <f t="shared" si="1"/>
        <v>7.2439249461704103</v>
      </c>
      <c r="F43" s="748">
        <f t="shared" si="7"/>
        <v>7.2439249461704103</v>
      </c>
      <c r="G43" s="748">
        <f t="shared" si="4"/>
        <v>12.605471746356422</v>
      </c>
      <c r="H43" s="843">
        <f t="shared" si="6"/>
        <v>16.864851425087956</v>
      </c>
      <c r="I43" s="846">
        <f>$B$322/B43</f>
        <v>4.2522047426638778</v>
      </c>
    </row>
    <row r="44" spans="1:9" ht="16.5" hidden="1" customHeight="1" thickBot="1">
      <c r="A44" s="973" t="s">
        <v>607</v>
      </c>
      <c r="B44" s="748">
        <f>+geral!I923</f>
        <v>836.76</v>
      </c>
      <c r="C44" s="748">
        <f t="shared" si="2"/>
        <v>194.12583518930956</v>
      </c>
      <c r="D44" s="748">
        <f t="shared" si="0"/>
        <v>94.125835189309555</v>
      </c>
      <c r="E44" s="748">
        <f t="shared" si="1"/>
        <v>0</v>
      </c>
      <c r="F44" s="748">
        <f t="shared" si="7"/>
        <v>7.2439249461704103</v>
      </c>
      <c r="G44" s="748">
        <f t="shared" si="4"/>
        <v>12.605471746356422</v>
      </c>
      <c r="H44" s="843">
        <f t="shared" si="6"/>
        <v>25.331016715595233</v>
      </c>
      <c r="I44" s="846">
        <f>$B$322/B44</f>
        <v>4.2522047426638778</v>
      </c>
    </row>
    <row r="45" spans="1:9" ht="16.5" hidden="1" customHeight="1" thickBot="1">
      <c r="A45" s="973" t="s">
        <v>608</v>
      </c>
      <c r="B45" s="748">
        <f>+geral!I924</f>
        <v>836.76</v>
      </c>
      <c r="C45" s="748">
        <f t="shared" si="2"/>
        <v>194.12583518930956</v>
      </c>
      <c r="D45" s="748">
        <f t="shared" si="0"/>
        <v>94.125835189309555</v>
      </c>
      <c r="E45" s="748">
        <f t="shared" si="1"/>
        <v>0</v>
      </c>
      <c r="F45" s="748">
        <f t="shared" si="7"/>
        <v>7.2439249461704103</v>
      </c>
      <c r="G45" s="748">
        <f t="shared" si="4"/>
        <v>12.605471746356422</v>
      </c>
      <c r="H45" s="843">
        <f t="shared" si="6"/>
        <v>25.331016715595233</v>
      </c>
      <c r="I45" s="846">
        <f>$B$322/B45</f>
        <v>4.2522047426638778</v>
      </c>
    </row>
    <row r="46" spans="1:9" ht="16.5" hidden="1" customHeight="1" thickBot="1">
      <c r="A46" s="973" t="s">
        <v>609</v>
      </c>
      <c r="B46" s="748">
        <f>+geral!I925</f>
        <v>836.76</v>
      </c>
      <c r="C46" s="748">
        <f t="shared" si="2"/>
        <v>194.12583518930956</v>
      </c>
      <c r="D46" s="748">
        <f t="shared" si="0"/>
        <v>94.125835189309555</v>
      </c>
      <c r="E46" s="748">
        <f t="shared" si="1"/>
        <v>0</v>
      </c>
      <c r="F46" s="748">
        <f t="shared" si="7"/>
        <v>7.2439249461704103</v>
      </c>
      <c r="G46" s="748">
        <f t="shared" si="4"/>
        <v>12.605471746356422</v>
      </c>
      <c r="H46" s="843">
        <f t="shared" si="6"/>
        <v>25.331016715595233</v>
      </c>
      <c r="I46" s="846">
        <f>$B$322/B46</f>
        <v>4.2522047426638778</v>
      </c>
    </row>
    <row r="47" spans="1:9" ht="16.5" hidden="1" customHeight="1" thickBot="1">
      <c r="A47" s="973" t="s">
        <v>610</v>
      </c>
      <c r="B47" s="748">
        <f>+geral!I926</f>
        <v>836.76</v>
      </c>
      <c r="C47" s="748">
        <f t="shared" si="2"/>
        <v>194.12583518930956</v>
      </c>
      <c r="D47" s="748">
        <f t="shared" si="0"/>
        <v>94.125835189309555</v>
      </c>
      <c r="E47" s="748">
        <f t="shared" si="1"/>
        <v>0</v>
      </c>
      <c r="F47" s="748">
        <f t="shared" si="7"/>
        <v>7.2439249461704103</v>
      </c>
      <c r="G47" s="748">
        <f t="shared" si="4"/>
        <v>12.605471746356422</v>
      </c>
      <c r="H47" s="843">
        <f t="shared" si="6"/>
        <v>25.331016715595233</v>
      </c>
      <c r="I47" s="846">
        <f>$B$322/B47</f>
        <v>4.2522047426638778</v>
      </c>
    </row>
    <row r="48" spans="1:9" ht="16.5" hidden="1" customHeight="1" thickBot="1">
      <c r="A48" s="973" t="s">
        <v>611</v>
      </c>
      <c r="B48" s="748">
        <f>+geral!I927</f>
        <v>838.76</v>
      </c>
      <c r="C48" s="748">
        <f t="shared" si="2"/>
        <v>194.5898292501856</v>
      </c>
      <c r="D48" s="748">
        <f t="shared" si="0"/>
        <v>94.589829250185602</v>
      </c>
      <c r="E48" s="748">
        <f t="shared" si="1"/>
        <v>0.23901716143219787</v>
      </c>
      <c r="F48" s="748">
        <f t="shared" si="7"/>
        <v>7.5002563313852022</v>
      </c>
      <c r="G48" s="748">
        <f t="shared" si="4"/>
        <v>7.5002563313852022</v>
      </c>
      <c r="H48" s="843">
        <f t="shared" si="6"/>
        <v>25.331016715595233</v>
      </c>
      <c r="I48" s="846">
        <f>$B$322/B48</f>
        <v>4.2420654781718561</v>
      </c>
    </row>
    <row r="49" spans="1:9" ht="16.5" hidden="1" customHeight="1" thickBot="1">
      <c r="A49" s="973" t="s">
        <v>612</v>
      </c>
      <c r="B49" s="748">
        <f>+geral!I928</f>
        <v>838.76</v>
      </c>
      <c r="C49" s="748">
        <f t="shared" si="2"/>
        <v>194.5898292501856</v>
      </c>
      <c r="D49" s="748">
        <f t="shared" si="0"/>
        <v>94.589829250185602</v>
      </c>
      <c r="E49" s="748">
        <f t="shared" si="1"/>
        <v>0</v>
      </c>
      <c r="F49" s="748">
        <f>100*((B49/$B$37)-1)</f>
        <v>7.5002563313852022</v>
      </c>
      <c r="G49" s="748">
        <f t="shared" si="4"/>
        <v>7.5002563313852022</v>
      </c>
      <c r="H49" s="843">
        <f t="shared" si="6"/>
        <v>25.630579354142945</v>
      </c>
      <c r="I49" s="846">
        <f>$B$322/B49</f>
        <v>4.2420654781718561</v>
      </c>
    </row>
    <row r="50" spans="1:9" ht="16.5" hidden="1" customHeight="1" thickBot="1">
      <c r="A50" s="973" t="s">
        <v>589</v>
      </c>
      <c r="B50" s="748">
        <f>+geral!K917</f>
        <v>838.76</v>
      </c>
      <c r="C50" s="748">
        <f t="shared" si="2"/>
        <v>194.5898292501856</v>
      </c>
      <c r="D50" s="748">
        <f t="shared" si="0"/>
        <v>94.589829250185602</v>
      </c>
      <c r="E50" s="748">
        <f t="shared" si="1"/>
        <v>0</v>
      </c>
      <c r="F50" s="748">
        <f>100*((B50/$B$49)-1)</f>
        <v>0</v>
      </c>
      <c r="G50" s="748">
        <f t="shared" si="4"/>
        <v>7.5002563313852022</v>
      </c>
      <c r="H50" s="843">
        <f t="shared" si="6"/>
        <v>25.630579354142945</v>
      </c>
      <c r="I50" s="846">
        <f>$B$322/B50</f>
        <v>4.2420654781718561</v>
      </c>
    </row>
    <row r="51" spans="1:9" ht="16.5" hidden="1" customHeight="1" thickBot="1">
      <c r="A51" s="973" t="s">
        <v>590</v>
      </c>
      <c r="B51" s="748">
        <f>+geral!K918</f>
        <v>838.76</v>
      </c>
      <c r="C51" s="748">
        <f t="shared" si="2"/>
        <v>194.5898292501856</v>
      </c>
      <c r="D51" s="748">
        <f t="shared" si="0"/>
        <v>94.589829250185602</v>
      </c>
      <c r="E51" s="748">
        <f t="shared" si="1"/>
        <v>0</v>
      </c>
      <c r="F51" s="748">
        <f>100*((B51/$B$49)-1)</f>
        <v>0</v>
      </c>
      <c r="G51" s="748">
        <f t="shared" si="4"/>
        <v>7.5002563313852022</v>
      </c>
      <c r="H51" s="843">
        <f t="shared" si="6"/>
        <v>25.630579354142945</v>
      </c>
      <c r="I51" s="846">
        <f>$B$322/B51</f>
        <v>4.2420654781718561</v>
      </c>
    </row>
    <row r="52" spans="1:9" ht="16.5" hidden="1" customHeight="1" thickBot="1">
      <c r="A52" s="973" t="s">
        <v>591</v>
      </c>
      <c r="B52" s="748">
        <f>+geral!K919</f>
        <v>838.76</v>
      </c>
      <c r="C52" s="748">
        <f t="shared" si="2"/>
        <v>194.5898292501856</v>
      </c>
      <c r="D52" s="748">
        <f t="shared" si="0"/>
        <v>94.589829250185602</v>
      </c>
      <c r="E52" s="748">
        <f t="shared" si="1"/>
        <v>0</v>
      </c>
      <c r="F52" s="748">
        <f t="shared" ref="F52:F61" si="8">100*((B52/$B$49)-1)</f>
        <v>0</v>
      </c>
      <c r="G52" s="748">
        <f t="shared" si="4"/>
        <v>7.5002563313852022</v>
      </c>
      <c r="H52" s="843">
        <f t="shared" si="6"/>
        <v>25.630579354142945</v>
      </c>
      <c r="I52" s="846">
        <f>$B$322/B52</f>
        <v>4.2420654781718561</v>
      </c>
    </row>
    <row r="53" spans="1:9" ht="16.5" hidden="1" customHeight="1" thickBot="1">
      <c r="A53" s="973" t="s">
        <v>592</v>
      </c>
      <c r="B53" s="748">
        <f>+geral!K920</f>
        <v>838.76</v>
      </c>
      <c r="C53" s="748">
        <f t="shared" si="2"/>
        <v>194.5898292501856</v>
      </c>
      <c r="D53" s="748">
        <f t="shared" si="0"/>
        <v>94.589829250185602</v>
      </c>
      <c r="E53" s="748">
        <f t="shared" si="1"/>
        <v>0</v>
      </c>
      <c r="F53" s="748">
        <f t="shared" si="8"/>
        <v>0</v>
      </c>
      <c r="G53" s="748">
        <f t="shared" si="4"/>
        <v>7.5002563313852022</v>
      </c>
      <c r="H53" s="843">
        <f t="shared" si="6"/>
        <v>25.630579354142945</v>
      </c>
      <c r="I53" s="846">
        <f>$B$322/B53</f>
        <v>4.2420654781718561</v>
      </c>
    </row>
    <row r="54" spans="1:9" ht="16.5" hidden="1" customHeight="1" thickBot="1">
      <c r="A54" s="973" t="s">
        <v>593</v>
      </c>
      <c r="B54" s="748">
        <f>+geral!K921</f>
        <v>838.76</v>
      </c>
      <c r="C54" s="748">
        <f t="shared" si="2"/>
        <v>194.5898292501856</v>
      </c>
      <c r="D54" s="748">
        <f t="shared" si="0"/>
        <v>94.589829250185602</v>
      </c>
      <c r="E54" s="748">
        <f t="shared" si="1"/>
        <v>0</v>
      </c>
      <c r="F54" s="748">
        <f t="shared" si="8"/>
        <v>0</v>
      </c>
      <c r="G54" s="748">
        <f t="shared" si="4"/>
        <v>7.5002563313852022</v>
      </c>
      <c r="H54" s="843">
        <f t="shared" si="6"/>
        <v>25.630579354142945</v>
      </c>
      <c r="I54" s="846">
        <f>$B$322/B54</f>
        <v>4.2420654781718561</v>
      </c>
    </row>
    <row r="55" spans="1:9" ht="16.5" hidden="1" customHeight="1" thickBot="1">
      <c r="A55" s="973" t="s">
        <v>594</v>
      </c>
      <c r="B55" s="748">
        <f>+geral!K922</f>
        <v>838.76</v>
      </c>
      <c r="C55" s="748">
        <f t="shared" si="2"/>
        <v>194.5898292501856</v>
      </c>
      <c r="D55" s="748">
        <f t="shared" si="0"/>
        <v>94.589829250185602</v>
      </c>
      <c r="E55" s="748">
        <f t="shared" si="1"/>
        <v>0</v>
      </c>
      <c r="F55" s="748">
        <f t="shared" si="8"/>
        <v>0</v>
      </c>
      <c r="G55" s="748">
        <f t="shared" si="4"/>
        <v>0.23901716143219787</v>
      </c>
      <c r="H55" s="843">
        <f t="shared" si="6"/>
        <v>18.519146531015963</v>
      </c>
      <c r="I55" s="846">
        <f>$B$322/B55</f>
        <v>4.2420654781718561</v>
      </c>
    </row>
    <row r="56" spans="1:9" ht="16.5" hidden="1" customHeight="1" thickBot="1">
      <c r="A56" s="973" t="s">
        <v>595</v>
      </c>
      <c r="B56" s="748">
        <f>+geral!K923</f>
        <v>838.76</v>
      </c>
      <c r="C56" s="748">
        <f t="shared" si="2"/>
        <v>194.5898292501856</v>
      </c>
      <c r="D56" s="748">
        <f t="shared" si="0"/>
        <v>94.589829250185602</v>
      </c>
      <c r="E56" s="748">
        <f t="shared" si="1"/>
        <v>0</v>
      </c>
      <c r="F56" s="748">
        <f t="shared" si="8"/>
        <v>0</v>
      </c>
      <c r="G56" s="748">
        <f t="shared" si="4"/>
        <v>0.23901716143219787</v>
      </c>
      <c r="H56" s="843">
        <f t="shared" si="6"/>
        <v>12.874618148541895</v>
      </c>
      <c r="I56" s="846">
        <f>$B$322/B56</f>
        <v>4.2420654781718561</v>
      </c>
    </row>
    <row r="57" spans="1:9" ht="16.5" hidden="1" customHeight="1" thickBot="1">
      <c r="A57" s="973" t="s">
        <v>596</v>
      </c>
      <c r="B57" s="748">
        <f>+geral!K924</f>
        <v>872.31</v>
      </c>
      <c r="C57" s="748">
        <f t="shared" si="2"/>
        <v>202.37332962138083</v>
      </c>
      <c r="D57" s="748">
        <f t="shared" si="0"/>
        <v>102.37332962138083</v>
      </c>
      <c r="E57" s="748">
        <f t="shared" si="1"/>
        <v>3.9999523105536783</v>
      </c>
      <c r="F57" s="748">
        <f t="shared" si="8"/>
        <v>3.9999523105536783</v>
      </c>
      <c r="G57" s="748">
        <f t="shared" si="4"/>
        <v>4.2485300444571772</v>
      </c>
      <c r="H57" s="843">
        <f t="shared" si="6"/>
        <v>12.874618148541895</v>
      </c>
      <c r="I57" s="846">
        <f>$B$322/B57</f>
        <v>4.0789109840210784</v>
      </c>
    </row>
    <row r="58" spans="1:9" ht="16.5" hidden="1" customHeight="1" thickBot="1">
      <c r="A58" s="973" t="s">
        <v>597</v>
      </c>
      <c r="B58" s="748">
        <f>+geral!K925</f>
        <v>872.31</v>
      </c>
      <c r="C58" s="748">
        <f t="shared" si="2"/>
        <v>202.37332962138083</v>
      </c>
      <c r="D58" s="748">
        <f t="shared" si="0"/>
        <v>102.37332962138083</v>
      </c>
      <c r="E58" s="748">
        <f t="shared" si="1"/>
        <v>0</v>
      </c>
      <c r="F58" s="748">
        <f t="shared" si="8"/>
        <v>3.9999523105536783</v>
      </c>
      <c r="G58" s="748">
        <f t="shared" si="4"/>
        <v>4.2485300444571772</v>
      </c>
      <c r="H58" s="843">
        <f t="shared" si="6"/>
        <v>17.389549045203132</v>
      </c>
      <c r="I58" s="846">
        <f>$B$322/B58</f>
        <v>4.0789109840210784</v>
      </c>
    </row>
    <row r="59" spans="1:9" ht="16.5" hidden="1" customHeight="1" thickBot="1">
      <c r="A59" s="973" t="s">
        <v>598</v>
      </c>
      <c r="B59" s="748">
        <f>+geral!K926</f>
        <v>872.31</v>
      </c>
      <c r="C59" s="748">
        <f t="shared" si="2"/>
        <v>202.37332962138083</v>
      </c>
      <c r="D59" s="748">
        <f t="shared" si="0"/>
        <v>102.37332962138083</v>
      </c>
      <c r="E59" s="748">
        <f t="shared" si="1"/>
        <v>0</v>
      </c>
      <c r="F59" s="748">
        <f t="shared" si="8"/>
        <v>3.9999523105536783</v>
      </c>
      <c r="G59" s="748">
        <f t="shared" si="4"/>
        <v>4.2485300444571772</v>
      </c>
      <c r="H59" s="843">
        <f t="shared" si="6"/>
        <v>17.389549045203132</v>
      </c>
      <c r="I59" s="846">
        <f>$B$322/B59</f>
        <v>4.0789109840210784</v>
      </c>
    </row>
    <row r="60" spans="1:9" ht="16.5" hidden="1" customHeight="1" thickBot="1">
      <c r="A60" s="973" t="s">
        <v>599</v>
      </c>
      <c r="B60" s="748">
        <f>+geral!K927</f>
        <v>872.31</v>
      </c>
      <c r="C60" s="748">
        <f t="shared" si="2"/>
        <v>202.37332962138083</v>
      </c>
      <c r="D60" s="748">
        <f t="shared" si="0"/>
        <v>102.37332962138083</v>
      </c>
      <c r="E60" s="748">
        <f t="shared" si="1"/>
        <v>0</v>
      </c>
      <c r="F60" s="748">
        <f t="shared" si="8"/>
        <v>3.9999523105536783</v>
      </c>
      <c r="G60" s="748">
        <f t="shared" si="4"/>
        <v>3.9999523105536783</v>
      </c>
      <c r="H60" s="843">
        <f t="shared" si="6"/>
        <v>17.389549045203132</v>
      </c>
      <c r="I60" s="846">
        <f>$B$322/B60</f>
        <v>4.0789109840210784</v>
      </c>
    </row>
    <row r="61" spans="1:9" ht="16.5" hidden="1" customHeight="1" thickBot="1">
      <c r="A61" s="973" t="s">
        <v>600</v>
      </c>
      <c r="B61" s="748">
        <f>+geral!K928</f>
        <v>872.31</v>
      </c>
      <c r="C61" s="748">
        <f t="shared" si="2"/>
        <v>202.37332962138083</v>
      </c>
      <c r="D61" s="748">
        <f t="shared" si="0"/>
        <v>102.37332962138083</v>
      </c>
      <c r="E61" s="748">
        <f t="shared" si="1"/>
        <v>0</v>
      </c>
      <c r="F61" s="748">
        <f t="shared" si="8"/>
        <v>3.9999523105536783</v>
      </c>
      <c r="G61" s="748">
        <f t="shared" si="4"/>
        <v>3.9999523105536783</v>
      </c>
      <c r="H61" s="843">
        <f t="shared" si="6"/>
        <v>11.800215318363572</v>
      </c>
      <c r="I61" s="846">
        <f>$B$322/B61</f>
        <v>4.0789109840210784</v>
      </c>
    </row>
    <row r="62" spans="1:9" ht="16.5" hidden="1" customHeight="1" thickBot="1">
      <c r="A62" s="973" t="s">
        <v>577</v>
      </c>
      <c r="B62" s="748">
        <f>+geral!M917</f>
        <v>872.31</v>
      </c>
      <c r="C62" s="748">
        <f t="shared" si="2"/>
        <v>202.37332962138083</v>
      </c>
      <c r="D62" s="748">
        <f t="shared" si="0"/>
        <v>102.37332962138083</v>
      </c>
      <c r="E62" s="748">
        <f t="shared" si="1"/>
        <v>0</v>
      </c>
      <c r="F62" s="748">
        <f>100*((B62/$B$61)-1)</f>
        <v>0</v>
      </c>
      <c r="G62" s="748">
        <f t="shared" si="4"/>
        <v>3.9999523105536783</v>
      </c>
      <c r="H62" s="843">
        <f t="shared" si="6"/>
        <v>11.800215318363572</v>
      </c>
      <c r="I62" s="846">
        <f>$B$322/B62</f>
        <v>4.0789109840210784</v>
      </c>
    </row>
    <row r="63" spans="1:9" ht="16.5" hidden="1" customHeight="1" thickBot="1">
      <c r="A63" s="973" t="s">
        <v>578</v>
      </c>
      <c r="B63" s="748">
        <f>+geral!M918</f>
        <v>872.31</v>
      </c>
      <c r="C63" s="748">
        <f t="shared" si="2"/>
        <v>202.37332962138083</v>
      </c>
      <c r="D63" s="748">
        <f t="shared" si="0"/>
        <v>102.37332962138083</v>
      </c>
      <c r="E63" s="748">
        <f t="shared" si="1"/>
        <v>0</v>
      </c>
      <c r="F63" s="748">
        <f t="shared" ref="F63:F73" si="9">100*((B63/$B$61)-1)</f>
        <v>0</v>
      </c>
      <c r="G63" s="748">
        <f t="shared" si="4"/>
        <v>3.9999523105536783</v>
      </c>
      <c r="H63" s="843">
        <f t="shared" si="6"/>
        <v>11.800215318363572</v>
      </c>
      <c r="I63" s="846">
        <f>$B$322/B63</f>
        <v>4.0789109840210784</v>
      </c>
    </row>
    <row r="64" spans="1:9" ht="16.5" hidden="1" customHeight="1" thickBot="1">
      <c r="A64" s="973" t="s">
        <v>579</v>
      </c>
      <c r="B64" s="748">
        <f>+geral!M919</f>
        <v>872.31</v>
      </c>
      <c r="C64" s="748">
        <f t="shared" si="2"/>
        <v>202.37332962138083</v>
      </c>
      <c r="D64" s="748">
        <f t="shared" si="0"/>
        <v>102.37332962138083</v>
      </c>
      <c r="E64" s="748">
        <f t="shared" si="1"/>
        <v>0</v>
      </c>
      <c r="F64" s="748">
        <f t="shared" si="9"/>
        <v>0</v>
      </c>
      <c r="G64" s="748">
        <f t="shared" si="4"/>
        <v>3.9999523105536783</v>
      </c>
      <c r="H64" s="843">
        <f t="shared" si="6"/>
        <v>11.800215318363572</v>
      </c>
      <c r="I64" s="846">
        <f>$B$322/B64</f>
        <v>4.0789109840210784</v>
      </c>
    </row>
    <row r="65" spans="1:9" ht="16.5" hidden="1" customHeight="1" thickBot="1">
      <c r="A65" s="973" t="s">
        <v>580</v>
      </c>
      <c r="B65" s="748">
        <f>+geral!M920</f>
        <v>872.31</v>
      </c>
      <c r="C65" s="748">
        <f t="shared" si="2"/>
        <v>202.37332962138083</v>
      </c>
      <c r="D65" s="748">
        <f t="shared" si="0"/>
        <v>102.37332962138083</v>
      </c>
      <c r="E65" s="748">
        <f t="shared" si="1"/>
        <v>0</v>
      </c>
      <c r="F65" s="748">
        <f t="shared" si="9"/>
        <v>0</v>
      </c>
      <c r="G65" s="748">
        <f t="shared" si="4"/>
        <v>3.9999523105536783</v>
      </c>
      <c r="H65" s="843">
        <f t="shared" si="6"/>
        <v>11.800215318363572</v>
      </c>
      <c r="I65" s="846">
        <f>$B$322/B65</f>
        <v>4.0789109840210784</v>
      </c>
    </row>
    <row r="66" spans="1:9" ht="16.5" hidden="1" customHeight="1" thickBot="1">
      <c r="A66" s="973" t="s">
        <v>581</v>
      </c>
      <c r="B66" s="748">
        <f>+geral!M921</f>
        <v>894.48</v>
      </c>
      <c r="C66" s="748">
        <f t="shared" si="2"/>
        <v>207.51670378619153</v>
      </c>
      <c r="D66" s="748">
        <f t="shared" si="0"/>
        <v>107.51670378619153</v>
      </c>
      <c r="E66" s="748">
        <f t="shared" si="1"/>
        <v>2.5415276679162213</v>
      </c>
      <c r="F66" s="748">
        <f t="shared" si="9"/>
        <v>2.5415276679162213</v>
      </c>
      <c r="G66" s="748">
        <f t="shared" si="4"/>
        <v>6.6431398731460867</v>
      </c>
      <c r="H66" s="843">
        <f t="shared" si="6"/>
        <v>11.800215318363572</v>
      </c>
      <c r="I66" s="846">
        <f>$B$322/B66</f>
        <v>3.9778137470613388</v>
      </c>
    </row>
    <row r="67" spans="1:9" ht="16.5" hidden="1" customHeight="1" thickBot="1">
      <c r="A67" s="973" t="s">
        <v>582</v>
      </c>
      <c r="B67" s="748">
        <f>+geral!M922</f>
        <v>894.48</v>
      </c>
      <c r="C67" s="748">
        <f t="shared" si="2"/>
        <v>207.51670378619153</v>
      </c>
      <c r="D67" s="748">
        <f t="shared" si="0"/>
        <v>107.51670378619153</v>
      </c>
      <c r="E67" s="748">
        <f t="shared" si="1"/>
        <v>0</v>
      </c>
      <c r="F67" s="748">
        <f t="shared" si="9"/>
        <v>2.5415276679162213</v>
      </c>
      <c r="G67" s="748">
        <f t="shared" si="4"/>
        <v>6.6431398731460867</v>
      </c>
      <c r="H67" s="843">
        <f t="shared" si="6"/>
        <v>14.641648723469714</v>
      </c>
      <c r="I67" s="846">
        <f>$B$322/B67</f>
        <v>3.9778137470613388</v>
      </c>
    </row>
    <row r="68" spans="1:9" ht="16.5" hidden="1" customHeight="1" thickBot="1">
      <c r="A68" s="973" t="s">
        <v>583</v>
      </c>
      <c r="B68" s="748">
        <f>+geral!M923</f>
        <v>894.48</v>
      </c>
      <c r="C68" s="748">
        <f t="shared" si="2"/>
        <v>207.51670378619153</v>
      </c>
      <c r="D68" s="748">
        <f t="shared" si="0"/>
        <v>107.51670378619153</v>
      </c>
      <c r="E68" s="748">
        <f t="shared" si="1"/>
        <v>0</v>
      </c>
      <c r="F68" s="748">
        <f t="shared" si="9"/>
        <v>2.5415276679162213</v>
      </c>
      <c r="G68" s="748">
        <f t="shared" si="4"/>
        <v>6.6431398731460867</v>
      </c>
      <c r="H68" s="843">
        <f t="shared" si="6"/>
        <v>6.8980352789330235</v>
      </c>
      <c r="I68" s="846">
        <f>$B$322/B68</f>
        <v>3.9778137470613388</v>
      </c>
    </row>
    <row r="69" spans="1:9" ht="16.5" hidden="1" customHeight="1" thickBot="1">
      <c r="A69" s="973" t="s">
        <v>584</v>
      </c>
      <c r="B69" s="748">
        <f>+geral!M924</f>
        <v>898.48</v>
      </c>
      <c r="C69" s="748">
        <f t="shared" si="2"/>
        <v>208.44469190794356</v>
      </c>
      <c r="D69" s="748">
        <f t="shared" si="0"/>
        <v>108.44469190794356</v>
      </c>
      <c r="E69" s="748">
        <f t="shared" si="1"/>
        <v>0.44718719255880668</v>
      </c>
      <c r="F69" s="748">
        <f t="shared" si="9"/>
        <v>3.0000802467012866</v>
      </c>
      <c r="G69" s="748">
        <f t="shared" si="4"/>
        <v>3.0000802467012866</v>
      </c>
      <c r="H69" s="843">
        <f t="shared" si="6"/>
        <v>6.8980352789330235</v>
      </c>
      <c r="I69" s="846">
        <f>$B$322/B69</f>
        <v>3.9601046661822479</v>
      </c>
    </row>
    <row r="70" spans="1:9" ht="16.5" hidden="1" customHeight="1" thickBot="1">
      <c r="A70" s="973" t="s">
        <v>585</v>
      </c>
      <c r="B70" s="748">
        <f>+geral!M925</f>
        <v>898.48</v>
      </c>
      <c r="C70" s="748">
        <f t="shared" si="2"/>
        <v>208.44469190794356</v>
      </c>
      <c r="D70" s="748">
        <f t="shared" si="0"/>
        <v>108.44469190794356</v>
      </c>
      <c r="E70" s="748">
        <f t="shared" si="1"/>
        <v>0</v>
      </c>
      <c r="F70" s="748">
        <f t="shared" si="9"/>
        <v>3.0000802467012866</v>
      </c>
      <c r="G70" s="748">
        <f t="shared" si="4"/>
        <v>3.0000802467012866</v>
      </c>
      <c r="H70" s="843">
        <f t="shared" si="6"/>
        <v>7.3760696017974192</v>
      </c>
      <c r="I70" s="846">
        <f>$B$322/B70</f>
        <v>3.9601046661822479</v>
      </c>
    </row>
    <row r="71" spans="1:9" ht="16.5" hidden="1" customHeight="1" thickBot="1">
      <c r="A71" s="973" t="s">
        <v>586</v>
      </c>
      <c r="B71" s="748">
        <f>+geral!M926</f>
        <v>898.48</v>
      </c>
      <c r="C71" s="748">
        <f t="shared" si="2"/>
        <v>208.44469190794356</v>
      </c>
      <c r="D71" s="748">
        <f t="shared" si="0"/>
        <v>108.44469190794356</v>
      </c>
      <c r="E71" s="748">
        <f t="shared" si="1"/>
        <v>0</v>
      </c>
      <c r="F71" s="748">
        <f t="shared" si="9"/>
        <v>3.0000802467012866</v>
      </c>
      <c r="G71" s="748">
        <f t="shared" si="4"/>
        <v>3.0000802467012866</v>
      </c>
      <c r="H71" s="843">
        <f t="shared" si="6"/>
        <v>7.3760696017974192</v>
      </c>
      <c r="I71" s="846">
        <f>$B$322/B71</f>
        <v>3.9601046661822479</v>
      </c>
    </row>
    <row r="72" spans="1:9" ht="16.5" hidden="1" customHeight="1" thickBot="1">
      <c r="A72" s="973" t="s">
        <v>587</v>
      </c>
      <c r="B72" s="748">
        <f>+geral!M927</f>
        <v>898.48</v>
      </c>
      <c r="C72" s="748">
        <f t="shared" si="2"/>
        <v>208.44469190794356</v>
      </c>
      <c r="D72" s="748">
        <f t="shared" si="0"/>
        <v>108.44469190794356</v>
      </c>
      <c r="E72" s="748">
        <f t="shared" si="1"/>
        <v>0</v>
      </c>
      <c r="F72" s="748">
        <f t="shared" si="9"/>
        <v>3.0000802467012866</v>
      </c>
      <c r="G72" s="748">
        <f t="shared" si="4"/>
        <v>3.0000802467012866</v>
      </c>
      <c r="H72" s="843">
        <f t="shared" si="6"/>
        <v>7.3760696017974192</v>
      </c>
      <c r="I72" s="846">
        <f>$B$322/B72</f>
        <v>3.9601046661822479</v>
      </c>
    </row>
    <row r="73" spans="1:9" ht="16.5" hidden="1" customHeight="1" thickBot="1">
      <c r="A73" s="973" t="s">
        <v>588</v>
      </c>
      <c r="B73" s="748">
        <f>+geral!M928</f>
        <v>898.48</v>
      </c>
      <c r="C73" s="748">
        <f t="shared" si="2"/>
        <v>208.44469190794356</v>
      </c>
      <c r="D73" s="748">
        <f t="shared" ref="D73:D136" si="10">C73-100</f>
        <v>108.44469190794356</v>
      </c>
      <c r="E73" s="748">
        <f t="shared" si="1"/>
        <v>0</v>
      </c>
      <c r="F73" s="748">
        <f t="shared" si="9"/>
        <v>3.0000802467012866</v>
      </c>
      <c r="G73" s="748">
        <f t="shared" si="4"/>
        <v>3.0000802467012866</v>
      </c>
      <c r="H73" s="843">
        <f t="shared" si="6"/>
        <v>7.1200343364013596</v>
      </c>
      <c r="I73" s="846">
        <f>$B$322/B73</f>
        <v>3.9601046661822479</v>
      </c>
    </row>
    <row r="74" spans="1:9" ht="16.5" hidden="1" customHeight="1" thickBot="1">
      <c r="A74" s="973" t="s">
        <v>574</v>
      </c>
      <c r="B74" s="748">
        <f>+geral!C932</f>
        <v>898.48</v>
      </c>
      <c r="C74" s="748">
        <f t="shared" ref="C74:C91" si="11">100*B74/$B$9</f>
        <v>208.44469190794356</v>
      </c>
      <c r="D74" s="748">
        <f t="shared" si="10"/>
        <v>108.44469190794356</v>
      </c>
      <c r="E74" s="748">
        <f t="shared" ref="E74:E86" si="12">100*((B74/B73)-1)</f>
        <v>0</v>
      </c>
      <c r="F74" s="748">
        <f>100*((B74/$B$73)-1)</f>
        <v>0</v>
      </c>
      <c r="G74" s="748">
        <f t="shared" si="4"/>
        <v>3.0000802467012866</v>
      </c>
      <c r="H74" s="843">
        <f t="shared" si="6"/>
        <v>7.1200343364013596</v>
      </c>
      <c r="I74" s="846">
        <f>$B$322/B74</f>
        <v>3.9601046661822479</v>
      </c>
    </row>
    <row r="75" spans="1:9" ht="16.5" hidden="1" customHeight="1" thickBot="1">
      <c r="A75" s="973" t="s">
        <v>575</v>
      </c>
      <c r="B75" s="748">
        <f>+geral!C933</f>
        <v>898.48</v>
      </c>
      <c r="C75" s="748">
        <f t="shared" si="11"/>
        <v>208.44469190794356</v>
      </c>
      <c r="D75" s="748">
        <f t="shared" si="10"/>
        <v>108.44469190794356</v>
      </c>
      <c r="E75" s="748">
        <f t="shared" si="12"/>
        <v>0</v>
      </c>
      <c r="F75" s="748">
        <f t="shared" ref="F75:F85" si="13">100*((B75/$B$73)-1)</f>
        <v>0</v>
      </c>
      <c r="G75" s="748">
        <f t="shared" si="4"/>
        <v>3.0000802467012866</v>
      </c>
      <c r="H75" s="843">
        <f t="shared" si="6"/>
        <v>7.1200343364013596</v>
      </c>
      <c r="I75" s="846">
        <f>$B$322/B75</f>
        <v>3.9601046661822479</v>
      </c>
    </row>
    <row r="76" spans="1:9" ht="16.5" hidden="1" customHeight="1" thickBot="1">
      <c r="A76" s="973" t="s">
        <v>576</v>
      </c>
      <c r="B76" s="748">
        <f>+geral!C934</f>
        <v>898.48</v>
      </c>
      <c r="C76" s="748">
        <f t="shared" si="11"/>
        <v>208.44469190794356</v>
      </c>
      <c r="D76" s="748">
        <f t="shared" si="10"/>
        <v>108.44469190794356</v>
      </c>
      <c r="E76" s="748">
        <f t="shared" si="12"/>
        <v>0</v>
      </c>
      <c r="F76" s="748">
        <f t="shared" si="13"/>
        <v>0</v>
      </c>
      <c r="G76" s="748">
        <f t="shared" si="4"/>
        <v>3.0000802467012866</v>
      </c>
      <c r="H76" s="843">
        <f t="shared" si="6"/>
        <v>7.1200343364013596</v>
      </c>
      <c r="I76" s="846">
        <f>$B$322/B76</f>
        <v>3.9601046661822479</v>
      </c>
    </row>
    <row r="77" spans="1:9" ht="16.5" hidden="1" customHeight="1" thickBot="1">
      <c r="A77" s="973" t="s">
        <v>557</v>
      </c>
      <c r="B77" s="748">
        <f>+geral!C935</f>
        <v>836.77</v>
      </c>
      <c r="C77" s="748">
        <f t="shared" si="11"/>
        <v>194.12815515961395</v>
      </c>
      <c r="D77" s="748">
        <f t="shared" si="10"/>
        <v>94.128155159613954</v>
      </c>
      <c r="E77" s="748">
        <f t="shared" si="12"/>
        <v>-6.8682664054848246</v>
      </c>
      <c r="F77" s="748">
        <f t="shared" si="13"/>
        <v>-6.8682664054848246</v>
      </c>
      <c r="G77" s="748">
        <f t="shared" si="4"/>
        <v>-4.0742396625052972</v>
      </c>
      <c r="H77" s="843">
        <f t="shared" si="6"/>
        <v>7.1200343364013596</v>
      </c>
      <c r="I77" s="846">
        <f>$B$322/B77</f>
        <v>4.2521539257758123</v>
      </c>
    </row>
    <row r="78" spans="1:9" ht="16.5" hidden="1" customHeight="1" thickBot="1">
      <c r="A78" s="973" t="s">
        <v>558</v>
      </c>
      <c r="B78" s="748">
        <f>+geral!C936</f>
        <v>836.77</v>
      </c>
      <c r="C78" s="748">
        <f t="shared" si="11"/>
        <v>194.12815515961395</v>
      </c>
      <c r="D78" s="748">
        <f t="shared" si="10"/>
        <v>94.128155159613954</v>
      </c>
      <c r="E78" s="748">
        <f t="shared" si="12"/>
        <v>0</v>
      </c>
      <c r="F78" s="748">
        <f t="shared" si="13"/>
        <v>-6.8682664054848246</v>
      </c>
      <c r="G78" s="748">
        <f t="shared" si="4"/>
        <v>-6.4517932206421662</v>
      </c>
      <c r="H78" s="843">
        <f t="shared" si="6"/>
        <v>-0.23725499546950468</v>
      </c>
      <c r="I78" s="846">
        <f>$B$322/B78</f>
        <v>4.2521539257758123</v>
      </c>
    </row>
    <row r="79" spans="1:9" ht="16.5" hidden="1" customHeight="1" thickBot="1">
      <c r="A79" s="973" t="s">
        <v>559</v>
      </c>
      <c r="B79" s="748">
        <f>+geral!C937</f>
        <v>870.24</v>
      </c>
      <c r="C79" s="748">
        <f t="shared" si="11"/>
        <v>201.89309576837417</v>
      </c>
      <c r="D79" s="748">
        <f t="shared" si="10"/>
        <v>101.89309576837417</v>
      </c>
      <c r="E79" s="748">
        <f t="shared" si="12"/>
        <v>3.9999043942779977</v>
      </c>
      <c r="F79" s="748">
        <f t="shared" si="13"/>
        <v>-3.1430861009705269</v>
      </c>
      <c r="G79" s="748">
        <f t="shared" si="4"/>
        <v>-2.7099543869063547</v>
      </c>
      <c r="H79" s="843">
        <f t="shared" si="6"/>
        <v>-0.23725499546950468</v>
      </c>
      <c r="I79" s="846">
        <f>$B$322/B79</f>
        <v>4.0886133026193079</v>
      </c>
    </row>
    <row r="80" spans="1:9" ht="16.5" hidden="1" customHeight="1" thickBot="1">
      <c r="A80" s="973" t="s">
        <v>560</v>
      </c>
      <c r="B80" s="748">
        <f>+geral!C938</f>
        <v>870.24</v>
      </c>
      <c r="C80" s="748">
        <f t="shared" si="11"/>
        <v>201.89309576837417</v>
      </c>
      <c r="D80" s="748">
        <f t="shared" si="10"/>
        <v>101.89309576837417</v>
      </c>
      <c r="E80" s="748">
        <f t="shared" si="12"/>
        <v>0</v>
      </c>
      <c r="F80" s="748">
        <f t="shared" si="13"/>
        <v>-3.1430861009705269</v>
      </c>
      <c r="G80" s="748">
        <f t="shared" si="4"/>
        <v>-2.7099543869063547</v>
      </c>
      <c r="H80" s="843">
        <f t="shared" si="6"/>
        <v>3.7531594258190637</v>
      </c>
      <c r="I80" s="846">
        <f>$B$322/B80</f>
        <v>4.0886133026193079</v>
      </c>
    </row>
    <row r="81" spans="1:11" ht="16.5" hidden="1" customHeight="1" thickBot="1">
      <c r="A81" s="973" t="s">
        <v>561</v>
      </c>
      <c r="B81" s="748">
        <f>+geral!C939</f>
        <v>870.24</v>
      </c>
      <c r="C81" s="748">
        <f t="shared" si="11"/>
        <v>201.89309576837417</v>
      </c>
      <c r="D81" s="748">
        <f t="shared" si="10"/>
        <v>101.89309576837417</v>
      </c>
      <c r="E81" s="748">
        <f t="shared" si="12"/>
        <v>0</v>
      </c>
      <c r="F81" s="748">
        <f t="shared" si="13"/>
        <v>-3.1430861009705269</v>
      </c>
      <c r="G81" s="748">
        <f t="shared" si="4"/>
        <v>-3.1430861009705269</v>
      </c>
      <c r="H81" s="843">
        <f t="shared" si="6"/>
        <v>3.7531594258190637</v>
      </c>
      <c r="I81" s="846">
        <f>$B$322/B81</f>
        <v>4.0886133026193079</v>
      </c>
    </row>
    <row r="82" spans="1:11" ht="16.5" hidden="1" customHeight="1" thickBot="1">
      <c r="A82" s="973" t="s">
        <v>562</v>
      </c>
      <c r="B82" s="748">
        <f>+geral!C940</f>
        <v>870.24</v>
      </c>
      <c r="C82" s="748">
        <f t="shared" si="11"/>
        <v>201.89309576837417</v>
      </c>
      <c r="D82" s="748">
        <f t="shared" si="10"/>
        <v>101.89309576837417</v>
      </c>
      <c r="E82" s="748">
        <f t="shared" si="12"/>
        <v>0</v>
      </c>
      <c r="F82" s="748">
        <f t="shared" si="13"/>
        <v>-3.1430861009705269</v>
      </c>
      <c r="G82" s="748">
        <f t="shared" si="4"/>
        <v>-3.1430861009705269</v>
      </c>
      <c r="H82" s="843">
        <f t="shared" si="6"/>
        <v>-0.23730095952125829</v>
      </c>
      <c r="I82" s="846">
        <f>$B$322/B82</f>
        <v>4.0886133026193079</v>
      </c>
    </row>
    <row r="83" spans="1:11" ht="16.5" hidden="1" customHeight="1" thickBot="1">
      <c r="A83" s="973" t="s">
        <v>534</v>
      </c>
      <c r="B83" s="748">
        <f>+geral!C941</f>
        <v>870.24</v>
      </c>
      <c r="C83" s="748">
        <f t="shared" si="11"/>
        <v>201.89309576837417</v>
      </c>
      <c r="D83" s="748">
        <f t="shared" si="10"/>
        <v>101.89309576837417</v>
      </c>
      <c r="E83" s="748">
        <f t="shared" si="12"/>
        <v>0</v>
      </c>
      <c r="F83" s="748">
        <f t="shared" si="13"/>
        <v>-3.1430861009705269</v>
      </c>
      <c r="G83" s="748">
        <f t="shared" si="4"/>
        <v>-3.1430861009705269</v>
      </c>
      <c r="H83" s="843">
        <f t="shared" si="6"/>
        <v>-0.23730095952125829</v>
      </c>
      <c r="I83" s="846">
        <f>$B$322/B83</f>
        <v>4.0886133026193079</v>
      </c>
    </row>
    <row r="84" spans="1:11" ht="16.5" hidden="1" customHeight="1" thickBot="1">
      <c r="A84" s="973" t="s">
        <v>563</v>
      </c>
      <c r="B84" s="748">
        <f>+geral!C942</f>
        <v>870.24</v>
      </c>
      <c r="C84" s="748">
        <f t="shared" si="11"/>
        <v>201.89309576837417</v>
      </c>
      <c r="D84" s="748">
        <f t="shared" si="10"/>
        <v>101.89309576837417</v>
      </c>
      <c r="E84" s="748">
        <f t="shared" si="12"/>
        <v>0</v>
      </c>
      <c r="F84" s="748">
        <f t="shared" si="13"/>
        <v>-3.1430861009705269</v>
      </c>
      <c r="G84" s="748">
        <f t="shared" si="4"/>
        <v>-3.1430861009705269</v>
      </c>
      <c r="H84" s="843">
        <f t="shared" si="6"/>
        <v>-0.23730095952125829</v>
      </c>
      <c r="I84" s="846">
        <f>$B$322/B84</f>
        <v>4.0886133026193079</v>
      </c>
    </row>
    <row r="85" spans="1:11" ht="16.5" hidden="1" customHeight="1" thickBot="1">
      <c r="A85" s="973" t="s">
        <v>564</v>
      </c>
      <c r="B85" s="748">
        <f>+geral!C943</f>
        <v>870.24</v>
      </c>
      <c r="C85" s="748">
        <f t="shared" si="11"/>
        <v>201.89309576837417</v>
      </c>
      <c r="D85" s="748">
        <f t="shared" si="10"/>
        <v>101.89309576837417</v>
      </c>
      <c r="E85" s="748">
        <f t="shared" si="12"/>
        <v>0</v>
      </c>
      <c r="F85" s="748">
        <f t="shared" si="13"/>
        <v>-3.1430861009705269</v>
      </c>
      <c r="G85" s="748">
        <f t="shared" ref="G85:G90" si="14">100*((B85/B73)-1)</f>
        <v>-3.1430861009705269</v>
      </c>
      <c r="H85" s="843">
        <f t="shared" si="6"/>
        <v>-0.23730095952125829</v>
      </c>
      <c r="I85" s="846">
        <f>$B$322/B85</f>
        <v>4.0886133026193079</v>
      </c>
    </row>
    <row r="86" spans="1:11" ht="16.5" hidden="1" customHeight="1" thickBot="1">
      <c r="A86" s="973" t="s">
        <v>546</v>
      </c>
      <c r="B86" s="748">
        <f>+geral!E932</f>
        <v>870.24</v>
      </c>
      <c r="C86" s="748">
        <f t="shared" si="11"/>
        <v>201.89309576837417</v>
      </c>
      <c r="D86" s="748">
        <f t="shared" si="10"/>
        <v>101.89309576837417</v>
      </c>
      <c r="E86" s="748">
        <f t="shared" si="12"/>
        <v>0</v>
      </c>
      <c r="F86" s="748">
        <f t="shared" ref="F86:F91" si="15">100*((B86/$B$85)-1)</f>
        <v>0</v>
      </c>
      <c r="G86" s="748">
        <f t="shared" si="14"/>
        <v>-3.1430861009705269</v>
      </c>
      <c r="H86" s="843">
        <f t="shared" si="6"/>
        <v>-0.23730095952125829</v>
      </c>
      <c r="I86" s="846">
        <f>$B$322/B86</f>
        <v>4.0886133026193079</v>
      </c>
    </row>
    <row r="87" spans="1:11" ht="16.5" hidden="1" customHeight="1" thickBot="1">
      <c r="A87" s="973" t="s">
        <v>547</v>
      </c>
      <c r="B87" s="748">
        <f>+geral!E933</f>
        <v>870.24</v>
      </c>
      <c r="C87" s="748">
        <f t="shared" si="11"/>
        <v>201.89309576837417</v>
      </c>
      <c r="D87" s="748">
        <f t="shared" si="10"/>
        <v>101.89309576837417</v>
      </c>
      <c r="E87" s="748">
        <f t="shared" ref="E87:E92" si="16">100*((B87/B86)-1)</f>
        <v>0</v>
      </c>
      <c r="F87" s="748">
        <f t="shared" si="15"/>
        <v>0</v>
      </c>
      <c r="G87" s="748">
        <f t="shared" si="14"/>
        <v>-3.1430861009705269</v>
      </c>
      <c r="H87" s="843">
        <f t="shared" si="6"/>
        <v>-0.23730095952125829</v>
      </c>
      <c r="I87" s="846">
        <f>$B$322/B87</f>
        <v>4.0886133026193079</v>
      </c>
    </row>
    <row r="88" spans="1:11" ht="16.5" hidden="1" customHeight="1" thickBot="1">
      <c r="A88" s="973" t="s">
        <v>548</v>
      </c>
      <c r="B88" s="748">
        <f>+geral!E934</f>
        <v>870.24</v>
      </c>
      <c r="C88" s="748">
        <f t="shared" si="11"/>
        <v>201.89309576837417</v>
      </c>
      <c r="D88" s="748">
        <f t="shared" si="10"/>
        <v>101.89309576837417</v>
      </c>
      <c r="E88" s="748">
        <f t="shared" si="16"/>
        <v>0</v>
      </c>
      <c r="F88" s="748">
        <f t="shared" si="15"/>
        <v>0</v>
      </c>
      <c r="G88" s="748">
        <f t="shared" si="14"/>
        <v>-3.1430861009705269</v>
      </c>
      <c r="H88" s="843">
        <f t="shared" si="6"/>
        <v>-0.23730095952125829</v>
      </c>
      <c r="I88" s="846">
        <f>$B$322/B88</f>
        <v>4.0886133026193079</v>
      </c>
    </row>
    <row r="89" spans="1:11" ht="16.5" hidden="1" customHeight="1" thickBot="1">
      <c r="A89" s="973" t="s">
        <v>549</v>
      </c>
      <c r="B89" s="748">
        <f>+geral!E935</f>
        <v>870.24</v>
      </c>
      <c r="C89" s="748">
        <f t="shared" si="11"/>
        <v>201.89309576837417</v>
      </c>
      <c r="D89" s="748">
        <f t="shared" si="10"/>
        <v>101.89309576837417</v>
      </c>
      <c r="E89" s="748">
        <f t="shared" si="16"/>
        <v>0</v>
      </c>
      <c r="F89" s="748">
        <f t="shared" si="15"/>
        <v>0</v>
      </c>
      <c r="G89" s="748">
        <f t="shared" si="14"/>
        <v>3.9999043942779977</v>
      </c>
      <c r="H89" s="843">
        <f t="shared" si="6"/>
        <v>-0.23730095952125829</v>
      </c>
      <c r="I89" s="846">
        <f>$B$322/B89</f>
        <v>4.0886133026193079</v>
      </c>
    </row>
    <row r="90" spans="1:11" ht="16.5" hidden="1" customHeight="1" thickBot="1">
      <c r="A90" s="973" t="s">
        <v>550</v>
      </c>
      <c r="B90" s="748">
        <f>+geral!E936</f>
        <v>935.19</v>
      </c>
      <c r="C90" s="748">
        <f t="shared" si="11"/>
        <v>216.96130289532292</v>
      </c>
      <c r="D90" s="748">
        <f t="shared" si="10"/>
        <v>116.96130289532292</v>
      </c>
      <c r="E90" s="748">
        <f t="shared" si="16"/>
        <v>7.4634583563154999</v>
      </c>
      <c r="F90" s="748">
        <f t="shared" si="15"/>
        <v>7.4634583563154999</v>
      </c>
      <c r="G90" s="748">
        <f t="shared" si="14"/>
        <v>11.761893949352874</v>
      </c>
      <c r="H90" s="843">
        <f t="shared" si="6"/>
        <v>-0.23730095952125829</v>
      </c>
      <c r="I90" s="846">
        <f>$B$322/B90</f>
        <v>3.8046544985205424</v>
      </c>
    </row>
    <row r="91" spans="1:11" ht="16.5" hidden="1" customHeight="1" thickBot="1">
      <c r="A91" s="973" t="s">
        <v>551</v>
      </c>
      <c r="B91" s="748">
        <f>+geral!E937</f>
        <v>935.19</v>
      </c>
      <c r="C91" s="748">
        <f t="shared" si="11"/>
        <v>216.96130289532292</v>
      </c>
      <c r="D91" s="748">
        <f t="shared" si="10"/>
        <v>116.96130289532292</v>
      </c>
      <c r="E91" s="748">
        <f t="shared" si="16"/>
        <v>0</v>
      </c>
      <c r="F91" s="748">
        <f t="shared" si="15"/>
        <v>7.4634583563154999</v>
      </c>
      <c r="G91" s="748">
        <f t="shared" ref="G91:G96" si="17">100*((B91/B79)-1)</f>
        <v>7.4634583563154999</v>
      </c>
      <c r="H91" s="843">
        <f t="shared" si="6"/>
        <v>4.5512476522672429</v>
      </c>
      <c r="I91" s="846">
        <f>$B$322/B91</f>
        <v>3.8046544985205424</v>
      </c>
    </row>
    <row r="92" spans="1:11" ht="16.5" hidden="1" customHeight="1" thickBot="1">
      <c r="A92" s="973" t="s">
        <v>552</v>
      </c>
      <c r="B92" s="748">
        <f>+geral!E938</f>
        <v>935.19</v>
      </c>
      <c r="C92" s="748">
        <f t="shared" ref="C92:C116" si="18">100*B92/$B$9</f>
        <v>216.96130289532292</v>
      </c>
      <c r="D92" s="748">
        <f t="shared" si="10"/>
        <v>116.96130289532292</v>
      </c>
      <c r="E92" s="748">
        <f t="shared" si="16"/>
        <v>0</v>
      </c>
      <c r="F92" s="748">
        <f t="shared" ref="F92:F97" si="19">100*((B92/$B$85)-1)</f>
        <v>7.4634583563154999</v>
      </c>
      <c r="G92" s="748">
        <f t="shared" si="17"/>
        <v>7.4634583563154999</v>
      </c>
      <c r="H92" s="843">
        <f t="shared" si="6"/>
        <v>4.5512476522672429</v>
      </c>
      <c r="I92" s="846">
        <f>$B$322/B92</f>
        <v>3.8046544985205424</v>
      </c>
    </row>
    <row r="93" spans="1:11" ht="16.5" hidden="1" customHeight="1" thickBot="1">
      <c r="A93" s="973" t="s">
        <v>553</v>
      </c>
      <c r="B93" s="748">
        <f>+geral!E939</f>
        <v>935.19</v>
      </c>
      <c r="C93" s="748">
        <f t="shared" si="18"/>
        <v>216.96130289532292</v>
      </c>
      <c r="D93" s="748">
        <f t="shared" si="10"/>
        <v>116.96130289532292</v>
      </c>
      <c r="E93" s="748">
        <f t="shared" ref="E93:E98" si="20">100*((B93/B92)-1)</f>
        <v>0</v>
      </c>
      <c r="F93" s="748">
        <f t="shared" si="19"/>
        <v>7.4634583563154999</v>
      </c>
      <c r="G93" s="748">
        <f t="shared" si="17"/>
        <v>7.4634583563154999</v>
      </c>
      <c r="H93" s="843">
        <f t="shared" si="6"/>
        <v>4.5512476522672429</v>
      </c>
      <c r="I93" s="846">
        <f>$B$322/B93</f>
        <v>3.8046544985205424</v>
      </c>
    </row>
    <row r="94" spans="1:11" ht="16.5" hidden="1" customHeight="1" thickBot="1">
      <c r="A94" s="973" t="s">
        <v>554</v>
      </c>
      <c r="B94" s="748">
        <f>+geral!E940</f>
        <v>935.19</v>
      </c>
      <c r="C94" s="748">
        <f t="shared" si="18"/>
        <v>216.96130289532292</v>
      </c>
      <c r="D94" s="748">
        <f t="shared" si="10"/>
        <v>116.96130289532292</v>
      </c>
      <c r="E94" s="748">
        <f t="shared" si="20"/>
        <v>0</v>
      </c>
      <c r="F94" s="748">
        <f t="shared" si="19"/>
        <v>7.4634583563154999</v>
      </c>
      <c r="G94" s="748">
        <f t="shared" si="17"/>
        <v>7.4634583563154999</v>
      </c>
      <c r="H94" s="843">
        <f t="shared" si="6"/>
        <v>4.0857893330958905</v>
      </c>
      <c r="I94" s="846">
        <f>$B$322/B94</f>
        <v>3.8046544985205424</v>
      </c>
    </row>
    <row r="95" spans="1:11" ht="16.5" hidden="1" customHeight="1" thickBot="1">
      <c r="A95" s="973" t="s">
        <v>533</v>
      </c>
      <c r="B95" s="748">
        <f>+geral!E941</f>
        <v>935.19</v>
      </c>
      <c r="C95" s="748">
        <f t="shared" si="18"/>
        <v>216.96130289532292</v>
      </c>
      <c r="D95" s="748">
        <f t="shared" si="10"/>
        <v>116.96130289532292</v>
      </c>
      <c r="E95" s="748">
        <f t="shared" si="20"/>
        <v>0</v>
      </c>
      <c r="F95" s="748">
        <f t="shared" si="19"/>
        <v>7.4634583563154999</v>
      </c>
      <c r="G95" s="748">
        <f t="shared" si="17"/>
        <v>7.4634583563154999</v>
      </c>
      <c r="H95" s="843">
        <f t="shared" si="6"/>
        <v>4.0857893330958905</v>
      </c>
      <c r="I95" s="846">
        <f>$B$322/B95</f>
        <v>3.8046544985205424</v>
      </c>
      <c r="J95" s="783"/>
      <c r="K95" s="774"/>
    </row>
    <row r="96" spans="1:11" ht="16.5" hidden="1" customHeight="1" thickBot="1">
      <c r="A96" s="973" t="s">
        <v>555</v>
      </c>
      <c r="B96" s="748">
        <f>+geral!E942</f>
        <v>935.19</v>
      </c>
      <c r="C96" s="748">
        <f t="shared" si="18"/>
        <v>216.96130289532292</v>
      </c>
      <c r="D96" s="748">
        <f t="shared" si="10"/>
        <v>116.96130289532292</v>
      </c>
      <c r="E96" s="748">
        <f t="shared" si="20"/>
        <v>0</v>
      </c>
      <c r="F96" s="748">
        <f t="shared" si="19"/>
        <v>7.4634583563154999</v>
      </c>
      <c r="G96" s="748">
        <f t="shared" si="17"/>
        <v>7.4634583563154999</v>
      </c>
      <c r="H96" s="843">
        <f t="shared" si="6"/>
        <v>4.0857893330958905</v>
      </c>
      <c r="I96" s="846">
        <f>$B$322/B96</f>
        <v>3.8046544985205424</v>
      </c>
      <c r="J96" s="784"/>
    </row>
    <row r="97" spans="1:9" ht="16.5" hidden="1" customHeight="1" thickBot="1">
      <c r="A97" s="973" t="s">
        <v>556</v>
      </c>
      <c r="B97" s="748">
        <f>+geral!E943</f>
        <v>935.19</v>
      </c>
      <c r="C97" s="748">
        <f t="shared" si="18"/>
        <v>216.96130289532292</v>
      </c>
      <c r="D97" s="748">
        <f t="shared" si="10"/>
        <v>116.96130289532292</v>
      </c>
      <c r="E97" s="748">
        <f t="shared" si="20"/>
        <v>0</v>
      </c>
      <c r="F97" s="748">
        <f t="shared" si="19"/>
        <v>7.4634583563154999</v>
      </c>
      <c r="G97" s="748">
        <f t="shared" ref="G97:G102" si="21">100*((B97/B85)-1)</f>
        <v>7.4634583563154999</v>
      </c>
      <c r="H97" s="843">
        <f t="shared" si="6"/>
        <v>4.0857893330958905</v>
      </c>
      <c r="I97" s="846">
        <f>$B$322/B97</f>
        <v>3.8046544985205424</v>
      </c>
    </row>
    <row r="98" spans="1:9" ht="16.5" hidden="1" customHeight="1" thickBot="1">
      <c r="A98" s="973" t="s">
        <v>535</v>
      </c>
      <c r="B98" s="748">
        <f>+geral!G932</f>
        <v>935.19</v>
      </c>
      <c r="C98" s="748">
        <f t="shared" si="18"/>
        <v>216.96130289532292</v>
      </c>
      <c r="D98" s="748">
        <f t="shared" si="10"/>
        <v>116.96130289532292</v>
      </c>
      <c r="E98" s="748">
        <f t="shared" si="20"/>
        <v>0</v>
      </c>
      <c r="F98" s="748">
        <f t="shared" ref="F98:F103" si="22">100*((B98/$B$97)-1)</f>
        <v>0</v>
      </c>
      <c r="G98" s="748">
        <f t="shared" si="21"/>
        <v>7.4634583563154999</v>
      </c>
      <c r="H98" s="843">
        <f t="shared" ref="H98:H110" si="23">100*(B97/B73-1)</f>
        <v>4.0857893330958905</v>
      </c>
      <c r="I98" s="846">
        <f>$B$322/B98</f>
        <v>3.8046544985205424</v>
      </c>
    </row>
    <row r="99" spans="1:9" ht="16.5" hidden="1" customHeight="1" thickBot="1">
      <c r="A99" s="973" t="s">
        <v>536</v>
      </c>
      <c r="B99" s="748">
        <f>+geral!G933</f>
        <v>935.19</v>
      </c>
      <c r="C99" s="748">
        <f t="shared" si="18"/>
        <v>216.96130289532292</v>
      </c>
      <c r="D99" s="748">
        <f t="shared" si="10"/>
        <v>116.96130289532292</v>
      </c>
      <c r="E99" s="748">
        <f t="shared" ref="E99:E104" si="24">100*((B99/B98)-1)</f>
        <v>0</v>
      </c>
      <c r="F99" s="748">
        <f t="shared" si="22"/>
        <v>0</v>
      </c>
      <c r="G99" s="748">
        <f t="shared" si="21"/>
        <v>7.4634583563154999</v>
      </c>
      <c r="H99" s="843">
        <f t="shared" si="23"/>
        <v>4.0857893330958905</v>
      </c>
      <c r="I99" s="846">
        <f>$B$322/B99</f>
        <v>3.8046544985205424</v>
      </c>
    </row>
    <row r="100" spans="1:9" ht="16.5" hidden="1" customHeight="1" thickBot="1">
      <c r="A100" s="973" t="s">
        <v>537</v>
      </c>
      <c r="B100" s="748">
        <f>+geral!G934</f>
        <v>935.19</v>
      </c>
      <c r="C100" s="748">
        <f t="shared" si="18"/>
        <v>216.96130289532292</v>
      </c>
      <c r="D100" s="748">
        <f t="shared" si="10"/>
        <v>116.96130289532292</v>
      </c>
      <c r="E100" s="748">
        <f t="shared" si="24"/>
        <v>0</v>
      </c>
      <c r="F100" s="748">
        <f t="shared" si="22"/>
        <v>0</v>
      </c>
      <c r="G100" s="748">
        <f t="shared" si="21"/>
        <v>7.4634583563154999</v>
      </c>
      <c r="H100" s="843">
        <f t="shared" si="23"/>
        <v>4.0857893330958905</v>
      </c>
      <c r="I100" s="846">
        <f>$B$322/B100</f>
        <v>3.8046544985205424</v>
      </c>
    </row>
    <row r="101" spans="1:9" ht="16.5" hidden="1" customHeight="1" thickBot="1">
      <c r="A101" s="973" t="s">
        <v>538</v>
      </c>
      <c r="B101" s="748">
        <f>+geral!G935</f>
        <v>935.19</v>
      </c>
      <c r="C101" s="748">
        <f t="shared" si="18"/>
        <v>216.96130289532292</v>
      </c>
      <c r="D101" s="748">
        <f t="shared" si="10"/>
        <v>116.96130289532292</v>
      </c>
      <c r="E101" s="748">
        <f t="shared" si="24"/>
        <v>0</v>
      </c>
      <c r="F101" s="748">
        <f t="shared" si="22"/>
        <v>0</v>
      </c>
      <c r="G101" s="748">
        <f t="shared" si="21"/>
        <v>7.4634583563154999</v>
      </c>
      <c r="H101" s="843">
        <f t="shared" si="23"/>
        <v>4.0857893330958905</v>
      </c>
      <c r="I101" s="846">
        <f>$B$322/B101</f>
        <v>3.8046544985205424</v>
      </c>
    </row>
    <row r="102" spans="1:9" ht="16.5" hidden="1" customHeight="1" thickBot="1">
      <c r="A102" s="973" t="s">
        <v>539</v>
      </c>
      <c r="B102" s="748">
        <f>+geral!G936</f>
        <v>1005.32</v>
      </c>
      <c r="C102" s="748">
        <f t="shared" si="18"/>
        <v>233.2312546399406</v>
      </c>
      <c r="D102" s="748">
        <f t="shared" si="10"/>
        <v>133.2312546399406</v>
      </c>
      <c r="E102" s="748">
        <f t="shared" si="24"/>
        <v>7.4990108961815238</v>
      </c>
      <c r="F102" s="748">
        <f t="shared" si="22"/>
        <v>7.4990108961815238</v>
      </c>
      <c r="G102" s="748">
        <f t="shared" si="21"/>
        <v>7.4990108961815238</v>
      </c>
      <c r="H102" s="843">
        <f t="shared" si="23"/>
        <v>11.761893949352874</v>
      </c>
      <c r="I102" s="846">
        <f>$B$322/B102</f>
        <v>3.5392460514775657</v>
      </c>
    </row>
    <row r="103" spans="1:9" ht="16.5" hidden="1" customHeight="1" thickBot="1">
      <c r="A103" s="973" t="s">
        <v>540</v>
      </c>
      <c r="B103" s="748">
        <f>+geral!G937</f>
        <v>1005.32</v>
      </c>
      <c r="C103" s="748">
        <f t="shared" si="18"/>
        <v>233.2312546399406</v>
      </c>
      <c r="D103" s="748">
        <f t="shared" si="10"/>
        <v>133.2312546399406</v>
      </c>
      <c r="E103" s="748">
        <f t="shared" si="24"/>
        <v>0</v>
      </c>
      <c r="F103" s="748">
        <f t="shared" si="22"/>
        <v>7.4990108961815238</v>
      </c>
      <c r="G103" s="748">
        <f t="shared" ref="G103:G108" si="25">100*((B103/B91)-1)</f>
        <v>7.4990108961815238</v>
      </c>
      <c r="H103" s="843">
        <f t="shared" si="23"/>
        <v>20.14293055439369</v>
      </c>
      <c r="I103" s="846">
        <f>$B$322/B103</f>
        <v>3.5392460514775657</v>
      </c>
    </row>
    <row r="104" spans="1:9" ht="16.5" hidden="1" customHeight="1" thickBot="1">
      <c r="A104" s="973" t="s">
        <v>541</v>
      </c>
      <c r="B104" s="748">
        <f>+geral!G938</f>
        <v>1005.32</v>
      </c>
      <c r="C104" s="748">
        <f t="shared" si="18"/>
        <v>233.2312546399406</v>
      </c>
      <c r="D104" s="748">
        <f t="shared" si="10"/>
        <v>133.2312546399406</v>
      </c>
      <c r="E104" s="748">
        <f t="shared" si="24"/>
        <v>0</v>
      </c>
      <c r="F104" s="748">
        <f t="shared" ref="F104:F109" si="26">100*((B104/$B$97)-1)</f>
        <v>7.4990108961815238</v>
      </c>
      <c r="G104" s="748">
        <f t="shared" si="25"/>
        <v>7.4990108961815238</v>
      </c>
      <c r="H104" s="843">
        <f t="shared" si="23"/>
        <v>15.522154807869093</v>
      </c>
      <c r="I104" s="846">
        <f>$B$322/B104</f>
        <v>3.5392460514775657</v>
      </c>
    </row>
    <row r="105" spans="1:9" ht="16.5" hidden="1" customHeight="1" thickBot="1">
      <c r="A105" s="973" t="s">
        <v>542</v>
      </c>
      <c r="B105" s="748">
        <f>+geral!G939</f>
        <v>1005.32</v>
      </c>
      <c r="C105" s="748">
        <f t="shared" si="18"/>
        <v>233.2312546399406</v>
      </c>
      <c r="D105" s="748">
        <f t="shared" si="10"/>
        <v>133.2312546399406</v>
      </c>
      <c r="E105" s="748">
        <f t="shared" ref="E105:E110" si="27">100*((B105/B104)-1)</f>
        <v>0</v>
      </c>
      <c r="F105" s="748">
        <f t="shared" si="26"/>
        <v>7.4990108961815238</v>
      </c>
      <c r="G105" s="748">
        <f t="shared" si="25"/>
        <v>7.4990108961815238</v>
      </c>
      <c r="H105" s="843">
        <f t="shared" si="23"/>
        <v>15.522154807869093</v>
      </c>
      <c r="I105" s="846">
        <f>$B$322/B105</f>
        <v>3.5392460514775657</v>
      </c>
    </row>
    <row r="106" spans="1:9" ht="16.5" hidden="1" customHeight="1" thickBot="1">
      <c r="A106" s="973" t="s">
        <v>543</v>
      </c>
      <c r="B106" s="748">
        <f>+geral!G940</f>
        <v>1005.32</v>
      </c>
      <c r="C106" s="748">
        <f t="shared" si="18"/>
        <v>233.2312546399406</v>
      </c>
      <c r="D106" s="748">
        <f t="shared" si="10"/>
        <v>133.2312546399406</v>
      </c>
      <c r="E106" s="748">
        <f t="shared" si="27"/>
        <v>0</v>
      </c>
      <c r="F106" s="748">
        <f t="shared" si="26"/>
        <v>7.4990108961815238</v>
      </c>
      <c r="G106" s="748">
        <f t="shared" si="25"/>
        <v>7.4990108961815238</v>
      </c>
      <c r="H106" s="843">
        <f t="shared" si="23"/>
        <v>15.522154807869093</v>
      </c>
      <c r="I106" s="846">
        <f>$B$322/B106</f>
        <v>3.5392460514775657</v>
      </c>
    </row>
    <row r="107" spans="1:9" ht="16.5" hidden="1" customHeight="1" thickBot="1">
      <c r="A107" s="973" t="s">
        <v>532</v>
      </c>
      <c r="B107" s="748">
        <f>+geral!G941</f>
        <v>1012.78</v>
      </c>
      <c r="C107" s="748">
        <f t="shared" si="18"/>
        <v>234.96195248700815</v>
      </c>
      <c r="D107" s="748">
        <f t="shared" si="10"/>
        <v>134.96195248700815</v>
      </c>
      <c r="E107" s="748">
        <f t="shared" si="27"/>
        <v>0.74205228186048355</v>
      </c>
      <c r="F107" s="748">
        <f t="shared" si="26"/>
        <v>8.2967097595141084</v>
      </c>
      <c r="G107" s="748">
        <f t="shared" si="25"/>
        <v>8.2967097595141084</v>
      </c>
      <c r="H107" s="843">
        <f t="shared" si="23"/>
        <v>15.522154807869093</v>
      </c>
      <c r="I107" s="846">
        <f>$B$322/B107</f>
        <v>3.5131764454979626</v>
      </c>
    </row>
    <row r="108" spans="1:9" ht="16.5" hidden="1" customHeight="1" thickBot="1">
      <c r="A108" s="973" t="s">
        <v>544</v>
      </c>
      <c r="B108" s="748">
        <f>+geral!G942</f>
        <v>1012.78</v>
      </c>
      <c r="C108" s="748">
        <f t="shared" si="18"/>
        <v>234.96195248700815</v>
      </c>
      <c r="D108" s="748">
        <f t="shared" si="10"/>
        <v>134.96195248700815</v>
      </c>
      <c r="E108" s="748">
        <f t="shared" si="27"/>
        <v>0</v>
      </c>
      <c r="F108" s="748">
        <f t="shared" si="26"/>
        <v>8.2967097595141084</v>
      </c>
      <c r="G108" s="748">
        <f t="shared" si="25"/>
        <v>8.2967097595141084</v>
      </c>
      <c r="H108" s="843">
        <f t="shared" si="23"/>
        <v>16.37938959367531</v>
      </c>
      <c r="I108" s="846">
        <f>$B$322/B108</f>
        <v>3.5131764454979626</v>
      </c>
    </row>
    <row r="109" spans="1:9" ht="16.5" hidden="1" customHeight="1" thickBot="1">
      <c r="A109" s="973" t="s">
        <v>545</v>
      </c>
      <c r="B109" s="748">
        <f>+geral!G943</f>
        <v>1012.78</v>
      </c>
      <c r="C109" s="748">
        <f t="shared" si="18"/>
        <v>234.96195248700815</v>
      </c>
      <c r="D109" s="748">
        <f t="shared" si="10"/>
        <v>134.96195248700815</v>
      </c>
      <c r="E109" s="748">
        <f t="shared" si="27"/>
        <v>0</v>
      </c>
      <c r="F109" s="748">
        <f t="shared" si="26"/>
        <v>8.2967097595141084</v>
      </c>
      <c r="G109" s="748">
        <f t="shared" ref="G109:G114" si="28">100*((B109/B97)-1)</f>
        <v>8.2967097595141084</v>
      </c>
      <c r="H109" s="843">
        <f t="shared" si="23"/>
        <v>16.37938959367531</v>
      </c>
      <c r="I109" s="846">
        <f>$B$322/B109</f>
        <v>3.5131764454979626</v>
      </c>
    </row>
    <row r="110" spans="1:9" ht="16.5" hidden="1" customHeight="1" thickBot="1">
      <c r="A110" s="973" t="s">
        <v>565</v>
      </c>
      <c r="B110" s="748">
        <f>+geral!I932</f>
        <v>1012.78</v>
      </c>
      <c r="C110" s="748">
        <f t="shared" si="18"/>
        <v>234.96195248700815</v>
      </c>
      <c r="D110" s="748">
        <f t="shared" si="10"/>
        <v>134.96195248700815</v>
      </c>
      <c r="E110" s="748">
        <f t="shared" si="27"/>
        <v>0</v>
      </c>
      <c r="F110" s="748">
        <f t="shared" ref="F110:F115" si="29">100*((B110/$B$109)-1)</f>
        <v>0</v>
      </c>
      <c r="G110" s="748">
        <f t="shared" si="28"/>
        <v>8.2967097595141084</v>
      </c>
      <c r="H110" s="843">
        <f t="shared" si="23"/>
        <v>16.37938959367531</v>
      </c>
      <c r="I110" s="846">
        <f>$B$322/B110</f>
        <v>3.5131764454979626</v>
      </c>
    </row>
    <row r="111" spans="1:9" ht="16.5" hidden="1" customHeight="1" thickBot="1">
      <c r="A111" s="973" t="s">
        <v>566</v>
      </c>
      <c r="B111" s="748">
        <f>+geral!I933</f>
        <v>1012.78</v>
      </c>
      <c r="C111" s="748">
        <f t="shared" si="18"/>
        <v>234.96195248700815</v>
      </c>
      <c r="D111" s="748">
        <f t="shared" si="10"/>
        <v>134.96195248700815</v>
      </c>
      <c r="E111" s="748">
        <f t="shared" ref="E111:E116" si="30">100*((B111/B110)-1)</f>
        <v>0</v>
      </c>
      <c r="F111" s="748">
        <f t="shared" si="29"/>
        <v>0</v>
      </c>
      <c r="G111" s="748">
        <f t="shared" si="28"/>
        <v>8.2967097595141084</v>
      </c>
      <c r="H111" s="843">
        <f t="shared" ref="H111:H116" si="31">100*(B110/B86-1)</f>
        <v>16.37938959367531</v>
      </c>
      <c r="I111" s="846">
        <f>$B$322/B111</f>
        <v>3.5131764454979626</v>
      </c>
    </row>
    <row r="112" spans="1:9" ht="16.5" hidden="1" customHeight="1" thickBot="1">
      <c r="A112" s="973" t="s">
        <v>567</v>
      </c>
      <c r="B112" s="748">
        <f>+geral!I934</f>
        <v>1020.29</v>
      </c>
      <c r="C112" s="748">
        <f t="shared" si="18"/>
        <v>236.7042501855976</v>
      </c>
      <c r="D112" s="748">
        <f t="shared" si="10"/>
        <v>136.7042501855976</v>
      </c>
      <c r="E112" s="748">
        <f t="shared" si="30"/>
        <v>0.74152333181933816</v>
      </c>
      <c r="F112" s="748">
        <f t="shared" si="29"/>
        <v>0.74152333181933816</v>
      </c>
      <c r="G112" s="748">
        <f t="shared" si="28"/>
        <v>9.0997551299735857</v>
      </c>
      <c r="H112" s="843">
        <f t="shared" si="31"/>
        <v>16.37938959367531</v>
      </c>
      <c r="I112" s="846">
        <f>$B$322/B112</f>
        <v>3.4873171749908618</v>
      </c>
    </row>
    <row r="113" spans="1:10" ht="16.5" hidden="1" customHeight="1" thickBot="1">
      <c r="A113" s="973" t="s">
        <v>568</v>
      </c>
      <c r="B113" s="748">
        <f>+geral!I935</f>
        <v>1020.29</v>
      </c>
      <c r="C113" s="748">
        <f t="shared" si="18"/>
        <v>236.7042501855976</v>
      </c>
      <c r="D113" s="748">
        <f t="shared" si="10"/>
        <v>136.7042501855976</v>
      </c>
      <c r="E113" s="748">
        <f t="shared" si="30"/>
        <v>0</v>
      </c>
      <c r="F113" s="748">
        <f t="shared" si="29"/>
        <v>0.74152333181933816</v>
      </c>
      <c r="G113" s="748">
        <f t="shared" si="28"/>
        <v>9.0997551299735857</v>
      </c>
      <c r="H113" s="843">
        <f t="shared" si="31"/>
        <v>17.242369920941346</v>
      </c>
      <c r="I113" s="846">
        <f>$B$322/B113</f>
        <v>3.4873171749908618</v>
      </c>
    </row>
    <row r="114" spans="1:10" ht="16.5" hidden="1" customHeight="1" thickBot="1">
      <c r="A114" s="973" t="s">
        <v>569</v>
      </c>
      <c r="B114" s="748">
        <f>+geral!I936</f>
        <v>1092.1099999999999</v>
      </c>
      <c r="C114" s="748">
        <f t="shared" si="18"/>
        <v>253.36627691165549</v>
      </c>
      <c r="D114" s="748">
        <f t="shared" si="10"/>
        <v>153.36627691165549</v>
      </c>
      <c r="E114" s="748">
        <f t="shared" si="30"/>
        <v>7.039175136480802</v>
      </c>
      <c r="F114" s="748">
        <f t="shared" si="29"/>
        <v>7.8328955943047784</v>
      </c>
      <c r="G114" s="748">
        <f t="shared" si="28"/>
        <v>8.6330720566585519</v>
      </c>
      <c r="H114" s="843">
        <f t="shared" si="31"/>
        <v>17.242369920941346</v>
      </c>
      <c r="I114" s="846">
        <f>$B$322/B114</f>
        <v>3.2579821084610767</v>
      </c>
    </row>
    <row r="115" spans="1:10" ht="16.5" hidden="1" customHeight="1" thickBot="1">
      <c r="A115" s="973" t="s">
        <v>570</v>
      </c>
      <c r="B115" s="748">
        <f>+geral!I937</f>
        <v>1092.1099999999999</v>
      </c>
      <c r="C115" s="748">
        <f t="shared" si="18"/>
        <v>253.36627691165549</v>
      </c>
      <c r="D115" s="748">
        <f t="shared" si="10"/>
        <v>153.36627691165549</v>
      </c>
      <c r="E115" s="748">
        <f t="shared" si="30"/>
        <v>0</v>
      </c>
      <c r="F115" s="748">
        <f t="shared" si="29"/>
        <v>7.8328955943047784</v>
      </c>
      <c r="G115" s="748">
        <f t="shared" ref="G115:G120" si="32">100*((B115/B103)-1)</f>
        <v>8.6330720566585519</v>
      </c>
      <c r="H115" s="843">
        <f t="shared" si="31"/>
        <v>16.779477967044109</v>
      </c>
      <c r="I115" s="846">
        <f>$B$322/B115</f>
        <v>3.2579821084610767</v>
      </c>
    </row>
    <row r="116" spans="1:10" ht="16.5" hidden="1" customHeight="1" thickBot="1">
      <c r="A116" s="973" t="s">
        <v>571</v>
      </c>
      <c r="B116" s="748">
        <f>+geral!I938</f>
        <v>1144.1500000000001</v>
      </c>
      <c r="C116" s="748">
        <f t="shared" si="18"/>
        <v>265.43940237564959</v>
      </c>
      <c r="D116" s="748">
        <f t="shared" si="10"/>
        <v>165.43940237564959</v>
      </c>
      <c r="E116" s="748">
        <f t="shared" si="30"/>
        <v>4.7650877658844015</v>
      </c>
      <c r="F116" s="748">
        <f t="shared" ref="F116:F121" si="33">100*((B116/$B$109)-1)</f>
        <v>12.971227709867893</v>
      </c>
      <c r="G116" s="748">
        <f t="shared" si="32"/>
        <v>13.809533282934794</v>
      </c>
      <c r="H116" s="843">
        <f t="shared" si="31"/>
        <v>16.779477967044109</v>
      </c>
      <c r="I116" s="846">
        <f>$B$322/B116</f>
        <v>3.1097975269601243</v>
      </c>
    </row>
    <row r="117" spans="1:10" ht="16.5" hidden="1" customHeight="1" thickBot="1">
      <c r="A117" s="973" t="s">
        <v>572</v>
      </c>
      <c r="B117" s="748">
        <f>+geral!I939</f>
        <v>1144.1500000000001</v>
      </c>
      <c r="C117" s="748">
        <f t="shared" ref="C117:C156" si="34">100*B117/$B$8</f>
        <v>265.43940237564959</v>
      </c>
      <c r="D117" s="748">
        <f t="shared" si="10"/>
        <v>165.43940237564959</v>
      </c>
      <c r="E117" s="748">
        <f t="shared" ref="E117:E122" si="35">100*((B117/B116)-1)</f>
        <v>0</v>
      </c>
      <c r="F117" s="748">
        <f t="shared" si="33"/>
        <v>12.971227709867893</v>
      </c>
      <c r="G117" s="748">
        <f t="shared" si="32"/>
        <v>13.809533282934794</v>
      </c>
      <c r="H117" s="843">
        <f t="shared" ref="H117:H122" si="36">100*(B117/B93-1)</f>
        <v>22.344122584715407</v>
      </c>
      <c r="I117" s="846">
        <f>$B$322/B117</f>
        <v>3.1097975269601243</v>
      </c>
      <c r="J117" s="784"/>
    </row>
    <row r="118" spans="1:10" ht="16.5" hidden="1" customHeight="1" thickBot="1">
      <c r="A118" s="973" t="s">
        <v>573</v>
      </c>
      <c r="B118" s="748">
        <f>+geral!I940</f>
        <v>1144.1500000000001</v>
      </c>
      <c r="C118" s="748">
        <f t="shared" si="34"/>
        <v>265.43940237564959</v>
      </c>
      <c r="D118" s="748">
        <f t="shared" si="10"/>
        <v>165.43940237564959</v>
      </c>
      <c r="E118" s="748">
        <f t="shared" si="35"/>
        <v>0</v>
      </c>
      <c r="F118" s="748">
        <f t="shared" si="33"/>
        <v>12.971227709867893</v>
      </c>
      <c r="G118" s="748">
        <f t="shared" si="32"/>
        <v>13.809533282934794</v>
      </c>
      <c r="H118" s="843">
        <f t="shared" si="36"/>
        <v>22.344122584715407</v>
      </c>
      <c r="I118" s="846">
        <f>$B$322/B118</f>
        <v>3.1097975269601243</v>
      </c>
      <c r="J118" s="785"/>
    </row>
    <row r="119" spans="1:10" ht="16.5" hidden="1" customHeight="1" thickBot="1">
      <c r="A119" s="973" t="s">
        <v>396</v>
      </c>
      <c r="B119" s="748">
        <f>+geral!I941</f>
        <v>1152.73</v>
      </c>
      <c r="C119" s="748">
        <f t="shared" si="34"/>
        <v>267.4299368968077</v>
      </c>
      <c r="D119" s="748">
        <f t="shared" si="10"/>
        <v>167.4299368968077</v>
      </c>
      <c r="E119" s="748">
        <f t="shared" si="35"/>
        <v>0.74990167373159</v>
      </c>
      <c r="F119" s="748">
        <f t="shared" si="33"/>
        <v>13.818400837299327</v>
      </c>
      <c r="G119" s="748">
        <f t="shared" si="32"/>
        <v>13.818400837299327</v>
      </c>
      <c r="H119" s="843">
        <f t="shared" si="36"/>
        <v>23.261583207690407</v>
      </c>
      <c r="I119" s="846">
        <f>$B$322/B119</f>
        <v>3.0866506818347976</v>
      </c>
      <c r="J119" s="785"/>
    </row>
    <row r="120" spans="1:10" ht="16.5" hidden="1" customHeight="1" thickBot="1">
      <c r="A120" s="973" t="s">
        <v>397</v>
      </c>
      <c r="B120" s="748">
        <f>+geral!I942</f>
        <v>1152.73</v>
      </c>
      <c r="C120" s="748">
        <f t="shared" si="34"/>
        <v>267.4299368968077</v>
      </c>
      <c r="D120" s="748">
        <f t="shared" si="10"/>
        <v>167.4299368968077</v>
      </c>
      <c r="E120" s="748">
        <f t="shared" si="35"/>
        <v>0</v>
      </c>
      <c r="F120" s="748">
        <f t="shared" si="33"/>
        <v>13.818400837299327</v>
      </c>
      <c r="G120" s="748">
        <f t="shared" si="32"/>
        <v>13.818400837299327</v>
      </c>
      <c r="H120" s="843">
        <f t="shared" si="36"/>
        <v>23.261583207690407</v>
      </c>
      <c r="I120" s="846">
        <f>$B$322/B120</f>
        <v>3.0866506818347976</v>
      </c>
      <c r="J120" s="785"/>
    </row>
    <row r="121" spans="1:10" ht="16.5" hidden="1" customHeight="1" thickBot="1">
      <c r="A121" s="973" t="s">
        <v>398</v>
      </c>
      <c r="B121" s="748">
        <f>+geral!I943</f>
        <v>1152.73</v>
      </c>
      <c r="C121" s="748">
        <f t="shared" si="34"/>
        <v>267.4299368968077</v>
      </c>
      <c r="D121" s="748">
        <f t="shared" si="10"/>
        <v>167.4299368968077</v>
      </c>
      <c r="E121" s="748">
        <f t="shared" si="35"/>
        <v>0</v>
      </c>
      <c r="F121" s="748">
        <f t="shared" si="33"/>
        <v>13.818400837299327</v>
      </c>
      <c r="G121" s="748">
        <f t="shared" ref="G121:G126" si="37">100*((B121/B109)-1)</f>
        <v>13.818400837299327</v>
      </c>
      <c r="H121" s="843">
        <f t="shared" si="36"/>
        <v>23.261583207690407</v>
      </c>
      <c r="I121" s="846">
        <f>$B$322/B121</f>
        <v>3.0866506818347976</v>
      </c>
      <c r="J121" s="785"/>
    </row>
    <row r="122" spans="1:10" ht="16.5" hidden="1" customHeight="1" thickBot="1">
      <c r="A122" s="973" t="s">
        <v>399</v>
      </c>
      <c r="B122" s="748">
        <f>+geral!K932</f>
        <v>1152.73</v>
      </c>
      <c r="C122" s="748">
        <f t="shared" si="34"/>
        <v>267.4299368968077</v>
      </c>
      <c r="D122" s="748">
        <f t="shared" si="10"/>
        <v>167.4299368968077</v>
      </c>
      <c r="E122" s="748">
        <f t="shared" si="35"/>
        <v>0</v>
      </c>
      <c r="F122" s="748">
        <f t="shared" ref="F122:F127" si="38">100*((B122/$B$121)-1)</f>
        <v>0</v>
      </c>
      <c r="G122" s="748">
        <f t="shared" si="37"/>
        <v>13.818400837299327</v>
      </c>
      <c r="H122" s="843">
        <f t="shared" si="36"/>
        <v>23.261583207690407</v>
      </c>
      <c r="I122" s="846">
        <f>$B$322/B122</f>
        <v>3.0866506818347976</v>
      </c>
      <c r="J122" s="785"/>
    </row>
    <row r="123" spans="1:10" ht="16.5" hidden="1" customHeight="1" thickBot="1">
      <c r="A123" s="973" t="s">
        <v>400</v>
      </c>
      <c r="B123" s="748">
        <f>+geral!K933</f>
        <v>1152.73</v>
      </c>
      <c r="C123" s="748">
        <f t="shared" si="34"/>
        <v>267.4299368968077</v>
      </c>
      <c r="D123" s="748">
        <f t="shared" si="10"/>
        <v>167.4299368968077</v>
      </c>
      <c r="E123" s="748">
        <f t="shared" ref="E123:E128" si="39">100*((B123/B122)-1)</f>
        <v>0</v>
      </c>
      <c r="F123" s="748">
        <f t="shared" si="38"/>
        <v>0</v>
      </c>
      <c r="G123" s="748">
        <f t="shared" si="37"/>
        <v>13.818400837299327</v>
      </c>
      <c r="H123" s="843">
        <f t="shared" ref="H123:H128" si="40">100*(B123/B99-1)</f>
        <v>23.261583207690407</v>
      </c>
      <c r="I123" s="846">
        <f>$B$322/B123</f>
        <v>3.0866506818347976</v>
      </c>
      <c r="J123" s="785"/>
    </row>
    <row r="124" spans="1:10" ht="16.5" hidden="1" customHeight="1" thickBot="1">
      <c r="A124" s="973" t="s">
        <v>401</v>
      </c>
      <c r="B124" s="748">
        <f>+geral!K934</f>
        <v>1161.3800000000001</v>
      </c>
      <c r="C124" s="748">
        <f t="shared" si="34"/>
        <v>269.43671121009652</v>
      </c>
      <c r="D124" s="748">
        <f t="shared" si="10"/>
        <v>169.43671121009652</v>
      </c>
      <c r="E124" s="748">
        <f t="shared" si="39"/>
        <v>0.75039254638988862</v>
      </c>
      <c r="F124" s="748">
        <f t="shared" si="38"/>
        <v>0.75039254638988862</v>
      </c>
      <c r="G124" s="748">
        <f t="shared" si="37"/>
        <v>13.828421331190178</v>
      </c>
      <c r="H124" s="843">
        <f t="shared" si="40"/>
        <v>24.186528940643083</v>
      </c>
      <c r="I124" s="846">
        <f>$B$322/B124</f>
        <v>3.0636611965691039</v>
      </c>
      <c r="J124" s="785"/>
    </row>
    <row r="125" spans="1:10" ht="16.5" hidden="1" customHeight="1" thickBot="1">
      <c r="A125" s="973" t="s">
        <v>402</v>
      </c>
      <c r="B125" s="748">
        <f>+geral!K935</f>
        <v>1161.3800000000001</v>
      </c>
      <c r="C125" s="748">
        <f t="shared" si="34"/>
        <v>269.43671121009652</v>
      </c>
      <c r="D125" s="748">
        <f t="shared" si="10"/>
        <v>169.43671121009652</v>
      </c>
      <c r="E125" s="748">
        <f t="shared" si="39"/>
        <v>0</v>
      </c>
      <c r="F125" s="748">
        <f t="shared" si="38"/>
        <v>0.75039254638988862</v>
      </c>
      <c r="G125" s="748">
        <f t="shared" si="37"/>
        <v>13.828421331190178</v>
      </c>
      <c r="H125" s="843">
        <f t="shared" si="40"/>
        <v>24.186528940643083</v>
      </c>
      <c r="I125" s="846">
        <f>$B$322/B125</f>
        <v>3.0636611965691039</v>
      </c>
      <c r="J125" s="785"/>
    </row>
    <row r="126" spans="1:10" ht="16.5" hidden="1" customHeight="1" thickBot="1">
      <c r="A126" s="973" t="s">
        <v>403</v>
      </c>
      <c r="B126" s="748">
        <f>+geral!K936</f>
        <v>1231.06</v>
      </c>
      <c r="C126" s="748">
        <f t="shared" si="34"/>
        <v>285.60226429101704</v>
      </c>
      <c r="D126" s="748">
        <f t="shared" si="10"/>
        <v>185.60226429101704</v>
      </c>
      <c r="E126" s="748">
        <f t="shared" si="39"/>
        <v>5.9997589075065694</v>
      </c>
      <c r="F126" s="748">
        <f t="shared" si="38"/>
        <v>6.79517319753975</v>
      </c>
      <c r="G126" s="748">
        <f t="shared" si="37"/>
        <v>12.723077345688626</v>
      </c>
      <c r="H126" s="843">
        <f t="shared" si="40"/>
        <v>22.45454183742488</v>
      </c>
      <c r="I126" s="846">
        <f>$B$322/B126</f>
        <v>2.8902529856151826</v>
      </c>
      <c r="J126" s="785"/>
    </row>
    <row r="127" spans="1:10" ht="16.5" hidden="1" customHeight="1" thickBot="1">
      <c r="A127" s="973" t="s">
        <v>404</v>
      </c>
      <c r="B127" s="748">
        <f>+geral!K937</f>
        <v>1231.06</v>
      </c>
      <c r="C127" s="748">
        <f t="shared" si="34"/>
        <v>285.60226429101704</v>
      </c>
      <c r="D127" s="748">
        <f t="shared" si="10"/>
        <v>185.60226429101704</v>
      </c>
      <c r="E127" s="748">
        <f t="shared" si="39"/>
        <v>0</v>
      </c>
      <c r="F127" s="748">
        <f t="shared" si="38"/>
        <v>6.79517319753975</v>
      </c>
      <c r="G127" s="748">
        <f t="shared" ref="G127:G132" si="41">100*((B127/B115)-1)</f>
        <v>12.723077345688626</v>
      </c>
      <c r="H127" s="843">
        <f t="shared" si="40"/>
        <v>22.45454183742488</v>
      </c>
      <c r="I127" s="846">
        <f>$B$322/B127</f>
        <v>2.8902529856151826</v>
      </c>
      <c r="J127" s="785"/>
    </row>
    <row r="128" spans="1:10" ht="16.5" hidden="1" customHeight="1" thickBot="1">
      <c r="A128" s="973" t="s">
        <v>405</v>
      </c>
      <c r="B128" s="748">
        <f>+geral!K938</f>
        <v>1231.06</v>
      </c>
      <c r="C128" s="748">
        <f t="shared" si="34"/>
        <v>285.60226429101704</v>
      </c>
      <c r="D128" s="748">
        <f t="shared" si="10"/>
        <v>185.60226429101704</v>
      </c>
      <c r="E128" s="748">
        <f t="shared" si="39"/>
        <v>0</v>
      </c>
      <c r="F128" s="748">
        <f t="shared" ref="F128:F133" si="42">100*((B128/$B$121)-1)</f>
        <v>6.79517319753975</v>
      </c>
      <c r="G128" s="748">
        <f t="shared" si="41"/>
        <v>7.596031988812646</v>
      </c>
      <c r="H128" s="843">
        <f t="shared" si="40"/>
        <v>22.45454183742488</v>
      </c>
      <c r="I128" s="846">
        <f>$B$322/B128</f>
        <v>2.8902529856151826</v>
      </c>
      <c r="J128" s="785"/>
    </row>
    <row r="129" spans="1:10" ht="16.5" hidden="1" customHeight="1" thickBot="1">
      <c r="A129" s="973" t="s">
        <v>406</v>
      </c>
      <c r="B129" s="748">
        <f>+geral!K939</f>
        <v>1257.72</v>
      </c>
      <c r="C129" s="748">
        <f t="shared" si="34"/>
        <v>291.78730512249444</v>
      </c>
      <c r="D129" s="748">
        <f t="shared" si="10"/>
        <v>191.78730512249444</v>
      </c>
      <c r="E129" s="748">
        <f t="shared" ref="E129:E134" si="43">100*((B129/B128)-1)</f>
        <v>2.1656133738404471</v>
      </c>
      <c r="F129" s="748">
        <f t="shared" si="42"/>
        <v>9.10794375092172</v>
      </c>
      <c r="G129" s="748">
        <f t="shared" si="41"/>
        <v>9.9261460472840124</v>
      </c>
      <c r="H129" s="843">
        <f t="shared" ref="H129:H134" si="44">100*(B129/B105-1)</f>
        <v>25.106433772331194</v>
      </c>
      <c r="I129" s="846">
        <f>$B$322/B129</f>
        <v>2.8289880422283389</v>
      </c>
      <c r="J129" s="785"/>
    </row>
    <row r="130" spans="1:10" ht="16.5" hidden="1" customHeight="1" thickBot="1">
      <c r="A130" s="973" t="s">
        <v>407</v>
      </c>
      <c r="B130" s="748">
        <f>+geral!K940</f>
        <v>1257.72</v>
      </c>
      <c r="C130" s="748">
        <f t="shared" si="34"/>
        <v>291.78730512249444</v>
      </c>
      <c r="D130" s="748">
        <f t="shared" si="10"/>
        <v>191.78730512249444</v>
      </c>
      <c r="E130" s="748">
        <f t="shared" si="43"/>
        <v>0</v>
      </c>
      <c r="F130" s="748">
        <f t="shared" si="42"/>
        <v>9.10794375092172</v>
      </c>
      <c r="G130" s="748">
        <f t="shared" si="41"/>
        <v>9.9261460472840124</v>
      </c>
      <c r="H130" s="843">
        <f t="shared" si="44"/>
        <v>25.106433772331194</v>
      </c>
      <c r="I130" s="846">
        <f>$B$322/B130</f>
        <v>2.8289880422283389</v>
      </c>
      <c r="J130" s="785"/>
    </row>
    <row r="131" spans="1:10" ht="16.5" hidden="1" customHeight="1" thickBot="1">
      <c r="A131" s="973" t="s">
        <v>408</v>
      </c>
      <c r="B131" s="748">
        <f>+geral!K941</f>
        <v>1257.72</v>
      </c>
      <c r="C131" s="748">
        <f t="shared" si="34"/>
        <v>291.78730512249444</v>
      </c>
      <c r="D131" s="748">
        <f t="shared" si="10"/>
        <v>191.78730512249444</v>
      </c>
      <c r="E131" s="748">
        <f t="shared" si="43"/>
        <v>0</v>
      </c>
      <c r="F131" s="748">
        <f t="shared" si="42"/>
        <v>9.10794375092172</v>
      </c>
      <c r="G131" s="748">
        <f t="shared" si="41"/>
        <v>9.10794375092172</v>
      </c>
      <c r="H131" s="843">
        <f t="shared" si="44"/>
        <v>24.184916763759155</v>
      </c>
      <c r="I131" s="846">
        <f>$B$322/B131</f>
        <v>2.8289880422283389</v>
      </c>
      <c r="J131" s="785"/>
    </row>
    <row r="132" spans="1:10" ht="16.5" hidden="1" customHeight="1" thickBot="1">
      <c r="A132" s="973" t="s">
        <v>409</v>
      </c>
      <c r="B132" s="748">
        <f>+geral!K942</f>
        <v>1257.72</v>
      </c>
      <c r="C132" s="748">
        <f t="shared" si="34"/>
        <v>291.78730512249444</v>
      </c>
      <c r="D132" s="748">
        <f t="shared" si="10"/>
        <v>191.78730512249444</v>
      </c>
      <c r="E132" s="748">
        <f t="shared" si="43"/>
        <v>0</v>
      </c>
      <c r="F132" s="748">
        <f t="shared" si="42"/>
        <v>9.10794375092172</v>
      </c>
      <c r="G132" s="748">
        <f t="shared" si="41"/>
        <v>9.10794375092172</v>
      </c>
      <c r="H132" s="843">
        <f t="shared" si="44"/>
        <v>24.184916763759155</v>
      </c>
      <c r="I132" s="846">
        <f>$B$322/B132</f>
        <v>2.8289880422283389</v>
      </c>
      <c r="J132" s="785"/>
    </row>
    <row r="133" spans="1:10" ht="16.5" hidden="1" customHeight="1" thickBot="1">
      <c r="A133" s="973" t="s">
        <v>410</v>
      </c>
      <c r="B133" s="748">
        <f>+geral!K943</f>
        <v>1276.22</v>
      </c>
      <c r="C133" s="748">
        <f t="shared" si="34"/>
        <v>296.07925018559763</v>
      </c>
      <c r="D133" s="748">
        <f t="shared" si="10"/>
        <v>196.07925018559763</v>
      </c>
      <c r="E133" s="748">
        <f t="shared" si="43"/>
        <v>1.4709156250993782</v>
      </c>
      <c r="F133" s="748">
        <f t="shared" si="42"/>
        <v>10.712829543778678</v>
      </c>
      <c r="G133" s="748">
        <f t="shared" ref="G133:G138" si="45">100*((B133/B121)-1)</f>
        <v>10.712829543778678</v>
      </c>
      <c r="H133" s="843">
        <f t="shared" si="44"/>
        <v>26.011572108453972</v>
      </c>
      <c r="I133" s="846">
        <f>$B$322/B133</f>
        <v>2.7879792202531117</v>
      </c>
      <c r="J133" s="785"/>
    </row>
    <row r="134" spans="1:10" ht="16.5" hidden="1" customHeight="1" thickBot="1">
      <c r="A134" s="973" t="s">
        <v>411</v>
      </c>
      <c r="B134" s="748">
        <f>+geral!M932</f>
        <v>1276.22</v>
      </c>
      <c r="C134" s="748">
        <f t="shared" si="34"/>
        <v>296.07925018559763</v>
      </c>
      <c r="D134" s="748">
        <f t="shared" si="10"/>
        <v>196.07925018559763</v>
      </c>
      <c r="E134" s="748">
        <f t="shared" si="43"/>
        <v>0</v>
      </c>
      <c r="F134" s="748">
        <f t="shared" ref="F134:F139" si="46">100*((B134/$B$133)-1)</f>
        <v>0</v>
      </c>
      <c r="G134" s="748">
        <f t="shared" si="45"/>
        <v>10.712829543778678</v>
      </c>
      <c r="H134" s="843">
        <f t="shared" si="44"/>
        <v>26.011572108453972</v>
      </c>
      <c r="I134" s="846">
        <f>$B$322/B134</f>
        <v>2.7879792202531117</v>
      </c>
      <c r="J134" s="785"/>
    </row>
    <row r="135" spans="1:10" ht="16.5" hidden="1" customHeight="1" thickBot="1">
      <c r="A135" s="973" t="s">
        <v>412</v>
      </c>
      <c r="B135" s="748">
        <f>+geral!M933</f>
        <v>1276.22</v>
      </c>
      <c r="C135" s="748">
        <f t="shared" si="34"/>
        <v>296.07925018559763</v>
      </c>
      <c r="D135" s="748">
        <f t="shared" si="10"/>
        <v>196.07925018559763</v>
      </c>
      <c r="E135" s="748">
        <f t="shared" ref="E135:E140" si="47">100*((B135/B134)-1)</f>
        <v>0</v>
      </c>
      <c r="F135" s="748">
        <f t="shared" si="46"/>
        <v>0</v>
      </c>
      <c r="G135" s="748">
        <f t="shared" si="45"/>
        <v>10.712829543778678</v>
      </c>
      <c r="H135" s="843">
        <f t="shared" ref="H135:H140" si="48">100*(B135/B111-1)</f>
        <v>26.011572108453972</v>
      </c>
      <c r="I135" s="846">
        <f>$B$322/B135</f>
        <v>2.7879792202531117</v>
      </c>
      <c r="J135" s="785"/>
    </row>
    <row r="136" spans="1:10" ht="16.5" hidden="1" customHeight="1" thickBot="1">
      <c r="A136" s="973" t="s">
        <v>413</v>
      </c>
      <c r="B136" s="748">
        <f>+geral!M934</f>
        <v>1276.22</v>
      </c>
      <c r="C136" s="748">
        <f t="shared" si="34"/>
        <v>296.07925018559763</v>
      </c>
      <c r="D136" s="748">
        <f t="shared" si="10"/>
        <v>196.07925018559763</v>
      </c>
      <c r="E136" s="748">
        <f t="shared" si="47"/>
        <v>0</v>
      </c>
      <c r="F136" s="748">
        <f t="shared" si="46"/>
        <v>0</v>
      </c>
      <c r="G136" s="748">
        <f t="shared" si="45"/>
        <v>9.8882364084106769</v>
      </c>
      <c r="H136" s="843">
        <f t="shared" si="48"/>
        <v>25.084044732380018</v>
      </c>
      <c r="I136" s="846">
        <f>$B$322/B136</f>
        <v>2.7879792202531117</v>
      </c>
      <c r="J136" s="785"/>
    </row>
    <row r="137" spans="1:10" ht="16.5" hidden="1" customHeight="1" thickBot="1">
      <c r="A137" s="973" t="s">
        <v>414</v>
      </c>
      <c r="B137" s="748">
        <f>+geral!M935</f>
        <v>1276.22</v>
      </c>
      <c r="C137" s="748">
        <f t="shared" si="34"/>
        <v>296.07925018559763</v>
      </c>
      <c r="D137" s="748">
        <f t="shared" ref="D137:D217" si="49">C137-100</f>
        <v>196.07925018559763</v>
      </c>
      <c r="E137" s="748">
        <f t="shared" si="47"/>
        <v>0</v>
      </c>
      <c r="F137" s="748">
        <f t="shared" si="46"/>
        <v>0</v>
      </c>
      <c r="G137" s="748">
        <f t="shared" si="45"/>
        <v>9.8882364084106769</v>
      </c>
      <c r="H137" s="843">
        <f t="shared" si="48"/>
        <v>25.084044732380018</v>
      </c>
      <c r="I137" s="846">
        <f>$B$322/B137</f>
        <v>2.7879792202531117</v>
      </c>
      <c r="J137" s="785"/>
    </row>
    <row r="138" spans="1:10" ht="16.5" hidden="1" thickBot="1">
      <c r="A138" s="973" t="s">
        <v>415</v>
      </c>
      <c r="B138" s="748">
        <f>+geral!M936</f>
        <v>1378.32</v>
      </c>
      <c r="C138" s="748">
        <f t="shared" si="34"/>
        <v>319.76614699331844</v>
      </c>
      <c r="D138" s="748">
        <f t="shared" si="49"/>
        <v>219.76614699331844</v>
      </c>
      <c r="E138" s="748">
        <f t="shared" si="47"/>
        <v>8.000188055350943</v>
      </c>
      <c r="F138" s="748">
        <f t="shared" si="46"/>
        <v>8.000188055350943</v>
      </c>
      <c r="G138" s="748">
        <f t="shared" si="45"/>
        <v>11.962048965931803</v>
      </c>
      <c r="H138" s="843">
        <f t="shared" si="48"/>
        <v>26.207067053685073</v>
      </c>
      <c r="I138" s="846">
        <f>$B$322/B138</f>
        <v>2.5814577460034145</v>
      </c>
      <c r="J138" s="785"/>
    </row>
    <row r="139" spans="1:10" ht="16.5" hidden="1" thickBot="1">
      <c r="A139" s="973" t="s">
        <v>416</v>
      </c>
      <c r="B139" s="748">
        <f>+geral!M937</f>
        <v>1378.32</v>
      </c>
      <c r="C139" s="748">
        <f t="shared" si="34"/>
        <v>319.76614699331844</v>
      </c>
      <c r="D139" s="748">
        <f t="shared" si="49"/>
        <v>219.76614699331844</v>
      </c>
      <c r="E139" s="748">
        <f t="shared" si="47"/>
        <v>0</v>
      </c>
      <c r="F139" s="748">
        <f t="shared" si="46"/>
        <v>8.000188055350943</v>
      </c>
      <c r="G139" s="748">
        <f t="shared" ref="G139:G144" si="50">100*((B139/B127)-1)</f>
        <v>11.962048965931803</v>
      </c>
      <c r="H139" s="843">
        <f t="shared" si="48"/>
        <v>26.207067053685073</v>
      </c>
      <c r="I139" s="846">
        <f>$B$322/B139</f>
        <v>2.5814577460034145</v>
      </c>
      <c r="J139" s="785"/>
    </row>
    <row r="140" spans="1:10" ht="16.5" hidden="1" thickBot="1">
      <c r="A140" s="973" t="s">
        <v>417</v>
      </c>
      <c r="B140" s="748">
        <f>+geral!M938</f>
        <v>1378.32</v>
      </c>
      <c r="C140" s="748">
        <f t="shared" si="34"/>
        <v>319.76614699331844</v>
      </c>
      <c r="D140" s="748">
        <f t="shared" si="49"/>
        <v>219.76614699331844</v>
      </c>
      <c r="E140" s="748">
        <f t="shared" si="47"/>
        <v>0</v>
      </c>
      <c r="F140" s="748">
        <f t="shared" ref="F140:F145" si="51">100*((B140/$B$133)-1)</f>
        <v>8.000188055350943</v>
      </c>
      <c r="G140" s="748">
        <f t="shared" si="50"/>
        <v>11.962048965931803</v>
      </c>
      <c r="H140" s="843">
        <f t="shared" si="48"/>
        <v>20.466722020714045</v>
      </c>
      <c r="I140" s="846">
        <f>$B$322/B140</f>
        <v>2.5814577460034145</v>
      </c>
      <c r="J140" s="785"/>
    </row>
    <row r="141" spans="1:10" ht="16.5" hidden="1" thickBot="1">
      <c r="A141" s="973" t="s">
        <v>418</v>
      </c>
      <c r="B141" s="748">
        <f>+geral!M939</f>
        <v>1378.32</v>
      </c>
      <c r="C141" s="748">
        <f t="shared" si="34"/>
        <v>319.76614699331844</v>
      </c>
      <c r="D141" s="748">
        <f t="shared" si="49"/>
        <v>219.76614699331844</v>
      </c>
      <c r="E141" s="748">
        <f t="shared" ref="E141:E146" si="52">100*((B141/B140)-1)</f>
        <v>0</v>
      </c>
      <c r="F141" s="748">
        <f t="shared" si="51"/>
        <v>8.000188055350943</v>
      </c>
      <c r="G141" s="748">
        <f t="shared" si="50"/>
        <v>9.5887796965938179</v>
      </c>
      <c r="H141" s="843">
        <f t="shared" ref="H141:H146" si="53">100*(B141/B117-1)</f>
        <v>20.466722020714045</v>
      </c>
      <c r="I141" s="846">
        <f>$B$322/B141</f>
        <v>2.5814577460034145</v>
      </c>
      <c r="J141" s="785"/>
    </row>
    <row r="142" spans="1:10" ht="16.5" hidden="1" thickBot="1">
      <c r="A142" s="973" t="s">
        <v>419</v>
      </c>
      <c r="B142" s="748">
        <f>+geral!M940</f>
        <v>1585.07</v>
      </c>
      <c r="C142" s="748">
        <f t="shared" si="34"/>
        <v>367.73153303637713</v>
      </c>
      <c r="D142" s="748">
        <f t="shared" si="49"/>
        <v>267.73153303637713</v>
      </c>
      <c r="E142" s="748">
        <f t="shared" si="52"/>
        <v>15.000145104184814</v>
      </c>
      <c r="F142" s="748">
        <f t="shared" si="51"/>
        <v>24.200372976446062</v>
      </c>
      <c r="G142" s="748">
        <f t="shared" si="50"/>
        <v>26.027255668988314</v>
      </c>
      <c r="H142" s="843">
        <f t="shared" si="53"/>
        <v>38.536905126076107</v>
      </c>
      <c r="I142" s="846">
        <f>$B$322/B142</f>
        <v>2.2447430337281169</v>
      </c>
      <c r="J142" s="784"/>
    </row>
    <row r="143" spans="1:10" ht="16.5" hidden="1" thickBot="1">
      <c r="A143" s="973" t="s">
        <v>420</v>
      </c>
      <c r="B143" s="748">
        <f>+geral!M941</f>
        <v>1378.32</v>
      </c>
      <c r="C143" s="748">
        <f t="shared" si="34"/>
        <v>319.76614699331844</v>
      </c>
      <c r="D143" s="748">
        <f t="shared" si="49"/>
        <v>219.76614699331844</v>
      </c>
      <c r="E143" s="748">
        <f t="shared" si="52"/>
        <v>-13.043587980341565</v>
      </c>
      <c r="F143" s="748">
        <f t="shared" si="51"/>
        <v>8.000188055350943</v>
      </c>
      <c r="G143" s="748">
        <f t="shared" si="50"/>
        <v>9.5887796965938179</v>
      </c>
      <c r="H143" s="843">
        <f t="shared" si="53"/>
        <v>19.570064108681116</v>
      </c>
      <c r="I143" s="846">
        <f>$B$322/B143</f>
        <v>2.5814577460034145</v>
      </c>
      <c r="J143" s="785"/>
    </row>
    <row r="144" spans="1:10" ht="16.5" hidden="1" thickBot="1">
      <c r="A144" s="973" t="s">
        <v>421</v>
      </c>
      <c r="B144" s="748">
        <f>+geral!M942</f>
        <v>1412.78</v>
      </c>
      <c r="C144" s="748">
        <f t="shared" si="34"/>
        <v>327.7607646622123</v>
      </c>
      <c r="D144" s="748">
        <f t="shared" si="49"/>
        <v>227.7607646622123</v>
      </c>
      <c r="E144" s="748">
        <f t="shared" si="52"/>
        <v>2.5001451041848144</v>
      </c>
      <c r="F144" s="748">
        <f t="shared" si="51"/>
        <v>10.700349469527204</v>
      </c>
      <c r="G144" s="748">
        <f t="shared" si="50"/>
        <v>12.328658206914088</v>
      </c>
      <c r="H144" s="843">
        <f t="shared" si="53"/>
        <v>22.559489212564941</v>
      </c>
      <c r="I144" s="846">
        <f>$B$322/B144</f>
        <v>2.5184917966501694</v>
      </c>
      <c r="J144" s="785"/>
    </row>
    <row r="145" spans="1:10" ht="16.5" hidden="1" thickBot="1">
      <c r="A145" s="973" t="s">
        <v>422</v>
      </c>
      <c r="B145" s="748">
        <f>+geral!M943</f>
        <v>1412.98</v>
      </c>
      <c r="C145" s="748">
        <f t="shared" si="34"/>
        <v>327.80716406829993</v>
      </c>
      <c r="D145" s="748">
        <f t="shared" si="49"/>
        <v>227.80716406829993</v>
      </c>
      <c r="E145" s="748">
        <f t="shared" si="52"/>
        <v>1.4156485793970219E-2</v>
      </c>
      <c r="F145" s="748">
        <f t="shared" si="51"/>
        <v>10.716020748773714</v>
      </c>
      <c r="G145" s="748">
        <f t="shared" ref="G145:G150" si="54">100*((B145/B133)-1)</f>
        <v>10.716020748773714</v>
      </c>
      <c r="H145" s="843">
        <f t="shared" si="53"/>
        <v>22.576839329244478</v>
      </c>
      <c r="I145" s="846">
        <f>$B$322/B145</f>
        <v>2.5181353171817196</v>
      </c>
      <c r="J145" s="785"/>
    </row>
    <row r="146" spans="1:10" ht="16.5" hidden="1" thickBot="1">
      <c r="A146" s="973" t="s">
        <v>423</v>
      </c>
      <c r="B146" s="748">
        <f>geral!C947</f>
        <v>1412.98</v>
      </c>
      <c r="C146" s="748">
        <f t="shared" si="34"/>
        <v>327.80716406829993</v>
      </c>
      <c r="D146" s="748">
        <f t="shared" si="49"/>
        <v>227.80716406829993</v>
      </c>
      <c r="E146" s="748">
        <f t="shared" si="52"/>
        <v>0</v>
      </c>
      <c r="F146" s="748">
        <f t="shared" ref="F146:F151" si="55">100*((B146/$B$145)-1)</f>
        <v>0</v>
      </c>
      <c r="G146" s="748">
        <f t="shared" si="54"/>
        <v>10.716020748773714</v>
      </c>
      <c r="H146" s="843">
        <f t="shared" si="53"/>
        <v>22.576839329244478</v>
      </c>
      <c r="I146" s="846">
        <f>$B$322/B146</f>
        <v>2.5181353171817196</v>
      </c>
      <c r="J146" s="785"/>
    </row>
    <row r="147" spans="1:10" ht="16.5" hidden="1" thickBot="1">
      <c r="A147" s="973" t="s">
        <v>424</v>
      </c>
      <c r="B147" s="748">
        <f>geral!C948</f>
        <v>1412.98</v>
      </c>
      <c r="C147" s="748">
        <f t="shared" si="34"/>
        <v>327.80716406829993</v>
      </c>
      <c r="D147" s="748">
        <f t="shared" si="49"/>
        <v>227.80716406829993</v>
      </c>
      <c r="E147" s="748">
        <f t="shared" ref="E147:E152" si="56">100*((B147/B146)-1)</f>
        <v>0</v>
      </c>
      <c r="F147" s="748">
        <f t="shared" si="55"/>
        <v>0</v>
      </c>
      <c r="G147" s="748">
        <f t="shared" si="54"/>
        <v>10.716020748773714</v>
      </c>
      <c r="H147" s="843">
        <f t="shared" ref="H147:H152" si="57">100*(B147/B123-1)</f>
        <v>22.576839329244478</v>
      </c>
      <c r="I147" s="846">
        <f>$B$322/B147</f>
        <v>2.5181353171817196</v>
      </c>
      <c r="J147" s="785"/>
    </row>
    <row r="148" spans="1:10" ht="16.5" hidden="1" thickBot="1">
      <c r="A148" s="973" t="s">
        <v>425</v>
      </c>
      <c r="B148" s="748">
        <f>geral!C949</f>
        <v>1412.98</v>
      </c>
      <c r="C148" s="748">
        <f t="shared" si="34"/>
        <v>327.80716406829993</v>
      </c>
      <c r="D148" s="748">
        <f t="shared" si="49"/>
        <v>227.80716406829993</v>
      </c>
      <c r="E148" s="748">
        <f t="shared" si="56"/>
        <v>0</v>
      </c>
      <c r="F148" s="748">
        <f t="shared" si="55"/>
        <v>0</v>
      </c>
      <c r="G148" s="748">
        <f t="shared" si="54"/>
        <v>10.716020748773714</v>
      </c>
      <c r="H148" s="843">
        <f t="shared" si="57"/>
        <v>21.663882622397491</v>
      </c>
      <c r="I148" s="846">
        <f>$B$322/B148</f>
        <v>2.5181353171817196</v>
      </c>
      <c r="J148" s="785"/>
    </row>
    <row r="149" spans="1:10" ht="16.5" hidden="1" thickBot="1">
      <c r="A149" s="973" t="s">
        <v>426</v>
      </c>
      <c r="B149" s="748">
        <f>geral!C950</f>
        <v>1412.98</v>
      </c>
      <c r="C149" s="748">
        <f t="shared" si="34"/>
        <v>327.80716406829993</v>
      </c>
      <c r="D149" s="748">
        <f t="shared" si="49"/>
        <v>227.80716406829993</v>
      </c>
      <c r="E149" s="748">
        <f t="shared" si="56"/>
        <v>0</v>
      </c>
      <c r="F149" s="748">
        <f t="shared" si="55"/>
        <v>0</v>
      </c>
      <c r="G149" s="748">
        <f t="shared" si="54"/>
        <v>10.716020748773714</v>
      </c>
      <c r="H149" s="843">
        <f t="shared" si="57"/>
        <v>21.663882622397491</v>
      </c>
      <c r="I149" s="846">
        <f>$B$322/B149</f>
        <v>2.5181353171817196</v>
      </c>
      <c r="J149" s="785"/>
    </row>
    <row r="150" spans="1:10" ht="16.5" hidden="1" thickBot="1">
      <c r="A150" s="973" t="s">
        <v>427</v>
      </c>
      <c r="B150" s="748">
        <f>geral!C951</f>
        <v>1474.96</v>
      </c>
      <c r="C150" s="748">
        <f t="shared" si="34"/>
        <v>342.18634001484781</v>
      </c>
      <c r="D150" s="748">
        <f t="shared" si="49"/>
        <v>242.18634001484781</v>
      </c>
      <c r="E150" s="748">
        <f t="shared" si="56"/>
        <v>4.3864739769848171</v>
      </c>
      <c r="F150" s="748">
        <f t="shared" si="55"/>
        <v>4.3864739769848171</v>
      </c>
      <c r="G150" s="748">
        <f t="shared" si="54"/>
        <v>7.0114342097626237</v>
      </c>
      <c r="H150" s="843">
        <f t="shared" si="57"/>
        <v>19.812194369080306</v>
      </c>
      <c r="I150" s="846">
        <f>$B$322/B150</f>
        <v>2.4123195479683694</v>
      </c>
      <c r="J150" s="785"/>
    </row>
    <row r="151" spans="1:10" ht="16.5" hidden="1" thickBot="1">
      <c r="A151" s="973" t="s">
        <v>428</v>
      </c>
      <c r="B151" s="748">
        <f>geral!C952</f>
        <v>1474.96</v>
      </c>
      <c r="C151" s="748">
        <f t="shared" si="34"/>
        <v>342.18634001484781</v>
      </c>
      <c r="D151" s="748">
        <f t="shared" si="49"/>
        <v>242.18634001484781</v>
      </c>
      <c r="E151" s="748">
        <f t="shared" si="56"/>
        <v>0</v>
      </c>
      <c r="F151" s="748">
        <f t="shared" si="55"/>
        <v>4.3864739769848171</v>
      </c>
      <c r="G151" s="748">
        <f t="shared" ref="G151:G156" si="58">100*((B151/B139)-1)</f>
        <v>7.0114342097626237</v>
      </c>
      <c r="H151" s="843">
        <f t="shared" si="57"/>
        <v>19.812194369080306</v>
      </c>
      <c r="I151" s="846">
        <f>$B$322/B151</f>
        <v>2.4123195479683694</v>
      </c>
      <c r="J151" s="785"/>
    </row>
    <row r="152" spans="1:10" ht="16.5" hidden="1" thickBot="1">
      <c r="A152" s="973" t="s">
        <v>429</v>
      </c>
      <c r="B152" s="748">
        <f>geral!C953</f>
        <v>1474.96</v>
      </c>
      <c r="C152" s="748">
        <f t="shared" si="34"/>
        <v>342.18634001484781</v>
      </c>
      <c r="D152" s="748">
        <f t="shared" si="49"/>
        <v>242.18634001484781</v>
      </c>
      <c r="E152" s="748">
        <f t="shared" si="56"/>
        <v>0</v>
      </c>
      <c r="F152" s="748">
        <f t="shared" ref="F152:F157" si="59">100*((B152/$B$145)-1)</f>
        <v>4.3864739769848171</v>
      </c>
      <c r="G152" s="748">
        <f t="shared" si="58"/>
        <v>7.0114342097626237</v>
      </c>
      <c r="H152" s="843">
        <f t="shared" si="57"/>
        <v>19.812194369080306</v>
      </c>
      <c r="I152" s="846">
        <f>$B$322/B152</f>
        <v>2.4123195479683694</v>
      </c>
      <c r="J152" s="785"/>
    </row>
    <row r="153" spans="1:10" ht="16.5" hidden="1" thickBot="1">
      <c r="A153" s="973" t="s">
        <v>430</v>
      </c>
      <c r="B153" s="748">
        <f>geral!C954</f>
        <v>1474.96</v>
      </c>
      <c r="C153" s="748">
        <f t="shared" si="34"/>
        <v>342.18634001484781</v>
      </c>
      <c r="D153" s="748">
        <f t="shared" si="49"/>
        <v>242.18634001484781</v>
      </c>
      <c r="E153" s="748">
        <f t="shared" ref="E153:E158" si="60">100*((B153/B152)-1)</f>
        <v>0</v>
      </c>
      <c r="F153" s="748">
        <f t="shared" si="59"/>
        <v>4.3864739769848171</v>
      </c>
      <c r="G153" s="748">
        <f t="shared" si="58"/>
        <v>7.0114342097626237</v>
      </c>
      <c r="H153" s="843">
        <f t="shared" ref="H153:H158" si="61">100*(B153/B129-1)</f>
        <v>17.2725248863022</v>
      </c>
      <c r="I153" s="846">
        <f>$B$322/B153</f>
        <v>2.4123195479683694</v>
      </c>
      <c r="J153" s="784"/>
    </row>
    <row r="154" spans="1:10" ht="16.5" hidden="1" thickBot="1">
      <c r="A154" s="973" t="s">
        <v>431</v>
      </c>
      <c r="B154" s="748">
        <f>geral!C955</f>
        <v>1474.96</v>
      </c>
      <c r="C154" s="748">
        <f t="shared" si="34"/>
        <v>342.18634001484781</v>
      </c>
      <c r="D154" s="748">
        <f t="shared" si="49"/>
        <v>242.18634001484781</v>
      </c>
      <c r="E154" s="748">
        <f t="shared" si="60"/>
        <v>0</v>
      </c>
      <c r="F154" s="748">
        <f t="shared" si="59"/>
        <v>4.3864739769848171</v>
      </c>
      <c r="G154" s="748">
        <f t="shared" si="58"/>
        <v>-6.946696360413096</v>
      </c>
      <c r="H154" s="843">
        <f t="shared" si="61"/>
        <v>17.2725248863022</v>
      </c>
      <c r="I154" s="846">
        <f>$B$322/B154</f>
        <v>2.4123195479683694</v>
      </c>
      <c r="J154" s="784"/>
    </row>
    <row r="155" spans="1:10" ht="16.5" hidden="1" thickBot="1">
      <c r="A155" s="973" t="s">
        <v>432</v>
      </c>
      <c r="B155" s="748">
        <f>geral!C956</f>
        <v>1474.96</v>
      </c>
      <c r="C155" s="748">
        <f t="shared" si="34"/>
        <v>342.18634001484781</v>
      </c>
      <c r="D155" s="748">
        <f t="shared" si="49"/>
        <v>242.18634001484781</v>
      </c>
      <c r="E155" s="748">
        <f t="shared" si="60"/>
        <v>0</v>
      </c>
      <c r="F155" s="748">
        <f t="shared" si="59"/>
        <v>4.3864739769848171</v>
      </c>
      <c r="G155" s="748">
        <f t="shared" si="58"/>
        <v>7.0114342097626237</v>
      </c>
      <c r="H155" s="843">
        <f t="shared" si="61"/>
        <v>17.2725248863022</v>
      </c>
      <c r="I155" s="846">
        <f>$B$322/B155</f>
        <v>2.4123195479683694</v>
      </c>
      <c r="J155" s="785"/>
    </row>
    <row r="156" spans="1:10" ht="16.5" hidden="1" thickBot="1">
      <c r="A156" s="973" t="s">
        <v>433</v>
      </c>
      <c r="B156" s="748">
        <f>geral!C957</f>
        <v>1474.96</v>
      </c>
      <c r="C156" s="748">
        <f t="shared" si="34"/>
        <v>342.18634001484781</v>
      </c>
      <c r="D156" s="748">
        <f t="shared" si="49"/>
        <v>242.18634001484781</v>
      </c>
      <c r="E156" s="748">
        <f t="shared" si="60"/>
        <v>0</v>
      </c>
      <c r="F156" s="748">
        <f t="shared" si="59"/>
        <v>4.3864739769848171</v>
      </c>
      <c r="G156" s="748">
        <f t="shared" si="58"/>
        <v>4.4012514333441999</v>
      </c>
      <c r="H156" s="843">
        <f t="shared" si="61"/>
        <v>17.2725248863022</v>
      </c>
      <c r="I156" s="846">
        <f>$B$322/B156</f>
        <v>2.4123195479683694</v>
      </c>
      <c r="J156" s="785"/>
    </row>
    <row r="157" spans="1:10" ht="16.5" hidden="1" thickBot="1">
      <c r="A157" s="973" t="s">
        <v>434</v>
      </c>
      <c r="B157" s="748">
        <f>geral!C958</f>
        <v>1474.96</v>
      </c>
      <c r="C157" s="748">
        <f t="shared" ref="C157:C217" si="62">100*B157/$B$8</f>
        <v>342.18634001484781</v>
      </c>
      <c r="D157" s="748">
        <f t="shared" si="49"/>
        <v>242.18634001484781</v>
      </c>
      <c r="E157" s="748">
        <f t="shared" si="60"/>
        <v>0</v>
      </c>
      <c r="F157" s="748">
        <f t="shared" si="59"/>
        <v>4.3864739769848171</v>
      </c>
      <c r="G157" s="748">
        <f t="shared" ref="G157:G162" si="63">100*((B157/B145)-1)</f>
        <v>4.3864739769848171</v>
      </c>
      <c r="H157" s="843">
        <f t="shared" si="61"/>
        <v>15.572550187271794</v>
      </c>
      <c r="I157" s="846">
        <f>$B$322/B157</f>
        <v>2.4123195479683694</v>
      </c>
      <c r="J157" s="785"/>
    </row>
    <row r="158" spans="1:10" ht="16.5" hidden="1" thickBot="1">
      <c r="A158" s="973" t="s">
        <v>435</v>
      </c>
      <c r="B158" s="748">
        <f>geral!E947</f>
        <v>1474.96</v>
      </c>
      <c r="C158" s="748">
        <f t="shared" si="62"/>
        <v>342.18634001484781</v>
      </c>
      <c r="D158" s="748">
        <f t="shared" si="49"/>
        <v>242.18634001484781</v>
      </c>
      <c r="E158" s="748">
        <f t="shared" si="60"/>
        <v>0</v>
      </c>
      <c r="F158" s="748">
        <f t="shared" ref="F158:F163" si="64">100*((B158/$B$157)-1)</f>
        <v>0</v>
      </c>
      <c r="G158" s="748">
        <f t="shared" si="63"/>
        <v>4.3864739769848171</v>
      </c>
      <c r="H158" s="843">
        <f t="shared" si="61"/>
        <v>15.572550187271794</v>
      </c>
      <c r="I158" s="846">
        <f>$B$322/B158</f>
        <v>2.4123195479683694</v>
      </c>
      <c r="J158" s="785"/>
    </row>
    <row r="159" spans="1:10" ht="16.5" hidden="1" thickBot="1">
      <c r="A159" s="973" t="s">
        <v>436</v>
      </c>
      <c r="B159" s="748">
        <f>geral!E948</f>
        <v>1474.96</v>
      </c>
      <c r="C159" s="748">
        <f t="shared" si="62"/>
        <v>342.18634001484781</v>
      </c>
      <c r="D159" s="748">
        <f t="shared" si="49"/>
        <v>242.18634001484781</v>
      </c>
      <c r="E159" s="748">
        <f t="shared" ref="E159:E169" si="65">100*((B159/B158)-1)</f>
        <v>0</v>
      </c>
      <c r="F159" s="748">
        <f t="shared" si="64"/>
        <v>0</v>
      </c>
      <c r="G159" s="748">
        <f t="shared" si="63"/>
        <v>4.3864739769848171</v>
      </c>
      <c r="H159" s="843">
        <f t="shared" ref="H159:H169" si="66">100*(B159/B135-1)</f>
        <v>15.572550187271794</v>
      </c>
      <c r="I159" s="846">
        <f>$B$322/B159</f>
        <v>2.4123195479683694</v>
      </c>
      <c r="J159" s="785"/>
    </row>
    <row r="160" spans="1:10" ht="16.5" hidden="1" thickBot="1">
      <c r="A160" s="973" t="s">
        <v>437</v>
      </c>
      <c r="B160" s="748">
        <f>geral!E949</f>
        <v>1474.96</v>
      </c>
      <c r="C160" s="748">
        <f t="shared" si="62"/>
        <v>342.18634001484781</v>
      </c>
      <c r="D160" s="748">
        <f t="shared" si="49"/>
        <v>242.18634001484781</v>
      </c>
      <c r="E160" s="748">
        <f t="shared" si="65"/>
        <v>0</v>
      </c>
      <c r="F160" s="748">
        <f t="shared" si="64"/>
        <v>0</v>
      </c>
      <c r="G160" s="748">
        <f t="shared" si="63"/>
        <v>4.3864739769848171</v>
      </c>
      <c r="H160" s="843">
        <f t="shared" si="66"/>
        <v>15.572550187271794</v>
      </c>
      <c r="I160" s="846">
        <f>$B$322/B160</f>
        <v>2.4123195479683694</v>
      </c>
      <c r="J160" s="785"/>
    </row>
    <row r="161" spans="1:10" ht="16.5" hidden="1" thickBot="1">
      <c r="A161" s="973" t="s">
        <v>438</v>
      </c>
      <c r="B161" s="748">
        <f>geral!E950</f>
        <v>1474.96</v>
      </c>
      <c r="C161" s="748">
        <f t="shared" si="62"/>
        <v>342.18634001484781</v>
      </c>
      <c r="D161" s="748">
        <f t="shared" si="49"/>
        <v>242.18634001484781</v>
      </c>
      <c r="E161" s="748">
        <f t="shared" si="65"/>
        <v>0</v>
      </c>
      <c r="F161" s="748">
        <f t="shared" si="64"/>
        <v>0</v>
      </c>
      <c r="G161" s="748">
        <f t="shared" si="63"/>
        <v>4.3864739769848171</v>
      </c>
      <c r="H161" s="843">
        <f t="shared" si="66"/>
        <v>15.572550187271794</v>
      </c>
      <c r="I161" s="846">
        <f>$B$322/B161</f>
        <v>2.4123195479683694</v>
      </c>
      <c r="J161" s="785"/>
    </row>
    <row r="162" spans="1:10" ht="16.5" hidden="1" thickBot="1">
      <c r="A162" s="973" t="s">
        <v>439</v>
      </c>
      <c r="B162" s="748">
        <f>geral!E951</f>
        <v>1554.94</v>
      </c>
      <c r="C162" s="748">
        <f t="shared" si="62"/>
        <v>360.74146250927987</v>
      </c>
      <c r="D162" s="748">
        <f t="shared" si="49"/>
        <v>260.74146250927987</v>
      </c>
      <c r="E162" s="748">
        <f t="shared" si="65"/>
        <v>5.4225199327439411</v>
      </c>
      <c r="F162" s="748">
        <f t="shared" si="64"/>
        <v>5.4225199327439411</v>
      </c>
      <c r="G162" s="748">
        <f t="shared" si="63"/>
        <v>5.4225199327439411</v>
      </c>
      <c r="H162" s="843">
        <f t="shared" si="66"/>
        <v>12.814150560102156</v>
      </c>
      <c r="I162" s="846">
        <f>$B$322/B162</f>
        <v>2.2882393150034255</v>
      </c>
      <c r="J162" s="785"/>
    </row>
    <row r="163" spans="1:10" ht="16.5" hidden="1" thickBot="1">
      <c r="A163" s="973" t="s">
        <v>440</v>
      </c>
      <c r="B163" s="748">
        <f>geral!E952</f>
        <v>1554.9404833333333</v>
      </c>
      <c r="C163" s="748">
        <f t="shared" si="62"/>
        <v>360.74157464117792</v>
      </c>
      <c r="D163" s="748">
        <f t="shared" si="49"/>
        <v>260.74157464117792</v>
      </c>
      <c r="E163" s="748">
        <f t="shared" si="65"/>
        <v>3.1083728835312741E-5</v>
      </c>
      <c r="F163" s="748">
        <f t="shared" si="64"/>
        <v>5.4225527019941655</v>
      </c>
      <c r="G163" s="748">
        <f t="shared" ref="G163:G169" si="67">100*((B163/B151)-1)</f>
        <v>5.4225527019941655</v>
      </c>
      <c r="H163" s="843">
        <f t="shared" si="66"/>
        <v>12.814185626946827</v>
      </c>
      <c r="I163" s="846">
        <f>$B$322/B163</f>
        <v>2.2882386037335425</v>
      </c>
      <c r="J163" s="785"/>
    </row>
    <row r="164" spans="1:10" ht="16.5" hidden="1" thickBot="1">
      <c r="A164" s="973" t="s">
        <v>441</v>
      </c>
      <c r="B164" s="748">
        <f>geral!E953</f>
        <v>1554.9404833333333</v>
      </c>
      <c r="C164" s="748">
        <f t="shared" si="62"/>
        <v>360.74157464117792</v>
      </c>
      <c r="D164" s="748">
        <f t="shared" si="49"/>
        <v>260.74157464117792</v>
      </c>
      <c r="E164" s="748">
        <f t="shared" si="65"/>
        <v>0</v>
      </c>
      <c r="F164" s="748">
        <f t="shared" ref="F164:F169" si="68">100*((B164/$B$157)-1)</f>
        <v>5.4225527019941655</v>
      </c>
      <c r="G164" s="748">
        <f t="shared" si="67"/>
        <v>5.4225527019941655</v>
      </c>
      <c r="H164" s="843">
        <f t="shared" si="66"/>
        <v>12.814185626946827</v>
      </c>
      <c r="I164" s="846">
        <f>$B$322/B164</f>
        <v>2.2882386037335425</v>
      </c>
      <c r="J164" s="785" t="s">
        <v>241</v>
      </c>
    </row>
    <row r="165" spans="1:10" ht="16.5" hidden="1" thickBot="1">
      <c r="A165" s="973" t="s">
        <v>442</v>
      </c>
      <c r="B165" s="748">
        <f>geral!E954</f>
        <v>1554.9404833333333</v>
      </c>
      <c r="C165" s="748">
        <f t="shared" si="62"/>
        <v>360.74157464117792</v>
      </c>
      <c r="D165" s="748">
        <f t="shared" si="49"/>
        <v>260.74157464117792</v>
      </c>
      <c r="E165" s="748">
        <f t="shared" si="65"/>
        <v>0</v>
      </c>
      <c r="F165" s="748">
        <f t="shared" si="68"/>
        <v>5.4225527019941655</v>
      </c>
      <c r="G165" s="748">
        <f t="shared" si="67"/>
        <v>5.4225527019941655</v>
      </c>
      <c r="H165" s="843">
        <f t="shared" si="66"/>
        <v>12.814185626946827</v>
      </c>
      <c r="I165" s="846">
        <f>$B$322/B165</f>
        <v>2.2882386037335425</v>
      </c>
      <c r="J165" s="784"/>
    </row>
    <row r="166" spans="1:10" ht="16.5" hidden="1" thickBot="1">
      <c r="A166" s="973" t="s">
        <v>443</v>
      </c>
      <c r="B166" s="748">
        <f>geral!E955</f>
        <v>1554.9404833333333</v>
      </c>
      <c r="C166" s="748">
        <f t="shared" si="62"/>
        <v>360.74157464117792</v>
      </c>
      <c r="D166" s="748">
        <f t="shared" si="49"/>
        <v>260.74157464117792</v>
      </c>
      <c r="E166" s="748">
        <f t="shared" si="65"/>
        <v>0</v>
      </c>
      <c r="F166" s="748">
        <f t="shared" si="68"/>
        <v>5.4225527019941655</v>
      </c>
      <c r="G166" s="748">
        <f t="shared" si="67"/>
        <v>5.4225527019941655</v>
      </c>
      <c r="H166" s="843">
        <f t="shared" si="66"/>
        <v>-1.9008319296098364</v>
      </c>
      <c r="I166" s="846">
        <f>$B$322/B166</f>
        <v>2.2882386037335425</v>
      </c>
      <c r="J166" s="784"/>
    </row>
    <row r="167" spans="1:10" ht="16.5" hidden="1" thickBot="1">
      <c r="A167" s="973" t="s">
        <v>444</v>
      </c>
      <c r="B167" s="748">
        <f>geral!E956</f>
        <v>1554.9404833333333</v>
      </c>
      <c r="C167" s="748">
        <f t="shared" si="62"/>
        <v>360.74157464117792</v>
      </c>
      <c r="D167" s="748">
        <f t="shared" si="49"/>
        <v>260.74157464117792</v>
      </c>
      <c r="E167" s="748">
        <f t="shared" si="65"/>
        <v>0</v>
      </c>
      <c r="F167" s="748">
        <f t="shared" si="68"/>
        <v>5.4225527019941655</v>
      </c>
      <c r="G167" s="748">
        <f t="shared" si="67"/>
        <v>5.4225527019941655</v>
      </c>
      <c r="H167" s="843">
        <f t="shared" si="66"/>
        <v>12.814185626946827</v>
      </c>
      <c r="I167" s="846">
        <f>$B$322/B167</f>
        <v>2.2882386037335425</v>
      </c>
      <c r="J167" s="785"/>
    </row>
    <row r="168" spans="1:10" ht="16.5" hidden="1" thickBot="1">
      <c r="A168" s="973" t="s">
        <v>445</v>
      </c>
      <c r="B168" s="748">
        <f>geral!E957</f>
        <v>1554.9404833333333</v>
      </c>
      <c r="C168" s="748">
        <f t="shared" si="62"/>
        <v>360.74157464117792</v>
      </c>
      <c r="D168" s="748">
        <f t="shared" si="49"/>
        <v>260.74157464117792</v>
      </c>
      <c r="E168" s="748">
        <f t="shared" si="65"/>
        <v>0</v>
      </c>
      <c r="F168" s="748">
        <f t="shared" si="68"/>
        <v>5.4225527019941655</v>
      </c>
      <c r="G168" s="748">
        <f t="shared" si="67"/>
        <v>5.4225527019941655</v>
      </c>
      <c r="H168" s="843">
        <f t="shared" si="66"/>
        <v>10.062464313858733</v>
      </c>
      <c r="I168" s="846">
        <f>$B$322/B168</f>
        <v>2.2882386037335425</v>
      </c>
      <c r="J168" s="785"/>
    </row>
    <row r="169" spans="1:10" ht="16.5" hidden="1" thickBot="1">
      <c r="A169" s="973" t="s">
        <v>446</v>
      </c>
      <c r="B169" s="748">
        <f>geral!E958</f>
        <v>1554.9404833333333</v>
      </c>
      <c r="C169" s="748">
        <f t="shared" si="62"/>
        <v>360.74157464117792</v>
      </c>
      <c r="D169" s="748">
        <f t="shared" si="49"/>
        <v>260.74157464117792</v>
      </c>
      <c r="E169" s="748">
        <f t="shared" si="65"/>
        <v>0</v>
      </c>
      <c r="F169" s="748">
        <f t="shared" si="68"/>
        <v>5.4225527019941655</v>
      </c>
      <c r="G169" s="748">
        <f t="shared" si="67"/>
        <v>5.4225527019941655</v>
      </c>
      <c r="H169" s="843">
        <f t="shared" si="66"/>
        <v>10.046885542140238</v>
      </c>
      <c r="I169" s="846">
        <f>$B$322/B169</f>
        <v>2.2882386037335425</v>
      </c>
      <c r="J169" s="784"/>
    </row>
    <row r="170" spans="1:10" ht="16.5" hidden="1" thickBot="1">
      <c r="A170" s="973" t="s">
        <v>447</v>
      </c>
      <c r="B170" s="748">
        <f>geral!G947</f>
        <v>1554.9404833333333</v>
      </c>
      <c r="C170" s="748">
        <f t="shared" si="62"/>
        <v>360.74157464117792</v>
      </c>
      <c r="D170" s="748">
        <f t="shared" si="49"/>
        <v>260.74157464117792</v>
      </c>
      <c r="E170" s="748">
        <f t="shared" ref="E170:E175" si="69">100*((B170/B169)-1)</f>
        <v>0</v>
      </c>
      <c r="F170" s="748">
        <f t="shared" ref="F170:F175" si="70">100*((B170/$B$169)-1)</f>
        <v>0</v>
      </c>
      <c r="G170" s="748">
        <f t="shared" ref="G170:G175" si="71">100*((B170/B158)-1)</f>
        <v>5.4225527019941655</v>
      </c>
      <c r="H170" s="843">
        <f t="shared" ref="H170:H175" si="72">100*(B170/B146-1)</f>
        <v>10.046885542140238</v>
      </c>
      <c r="I170" s="846">
        <f>$B$322/B170</f>
        <v>2.2882386037335425</v>
      </c>
      <c r="J170" s="784"/>
    </row>
    <row r="171" spans="1:10" ht="16.5" hidden="1" thickBot="1">
      <c r="A171" s="973" t="s">
        <v>448</v>
      </c>
      <c r="B171" s="748">
        <f>geral!G948</f>
        <v>1554.9404833333333</v>
      </c>
      <c r="C171" s="748">
        <f t="shared" si="62"/>
        <v>360.74157464117792</v>
      </c>
      <c r="D171" s="748">
        <f t="shared" si="49"/>
        <v>260.74157464117792</v>
      </c>
      <c r="E171" s="748">
        <f t="shared" si="69"/>
        <v>0</v>
      </c>
      <c r="F171" s="748">
        <f t="shared" si="70"/>
        <v>0</v>
      </c>
      <c r="G171" s="748">
        <f t="shared" si="71"/>
        <v>5.4225527019941655</v>
      </c>
      <c r="H171" s="843">
        <f t="shared" si="72"/>
        <v>10.046885542140238</v>
      </c>
      <c r="I171" s="846">
        <f>$B$322/B171</f>
        <v>2.2882386037335425</v>
      </c>
      <c r="J171" s="785"/>
    </row>
    <row r="172" spans="1:10" ht="16.5" hidden="1" thickBot="1">
      <c r="A172" s="973" t="s">
        <v>449</v>
      </c>
      <c r="B172" s="748">
        <f>geral!G949</f>
        <v>1554.9404833333333</v>
      </c>
      <c r="C172" s="748">
        <f t="shared" si="62"/>
        <v>360.74157464117792</v>
      </c>
      <c r="D172" s="748">
        <f t="shared" si="49"/>
        <v>260.74157464117792</v>
      </c>
      <c r="E172" s="748">
        <f t="shared" si="69"/>
        <v>0</v>
      </c>
      <c r="F172" s="748">
        <f t="shared" si="70"/>
        <v>0</v>
      </c>
      <c r="G172" s="748">
        <f t="shared" si="71"/>
        <v>5.4225527019941655</v>
      </c>
      <c r="H172" s="843">
        <f t="shared" si="72"/>
        <v>10.046885542140238</v>
      </c>
      <c r="I172" s="846">
        <f>$B$322/B172</f>
        <v>2.2882386037335425</v>
      </c>
      <c r="J172" s="785"/>
    </row>
    <row r="173" spans="1:10" ht="16.5" hidden="1" thickBot="1">
      <c r="A173" s="973" t="s">
        <v>450</v>
      </c>
      <c r="B173" s="748">
        <f>geral!G950</f>
        <v>1554.9404833333299</v>
      </c>
      <c r="C173" s="748">
        <f t="shared" si="62"/>
        <v>360.74157464117712</v>
      </c>
      <c r="D173" s="748">
        <f t="shared" si="49"/>
        <v>260.74157464117712</v>
      </c>
      <c r="E173" s="748">
        <f t="shared" si="69"/>
        <v>-2.2204460492503131E-13</v>
      </c>
      <c r="F173" s="748">
        <f t="shared" si="70"/>
        <v>-2.2204460492503131E-13</v>
      </c>
      <c r="G173" s="748">
        <f t="shared" si="71"/>
        <v>5.4225527019939435</v>
      </c>
      <c r="H173" s="843">
        <f t="shared" si="72"/>
        <v>10.046885542140016</v>
      </c>
      <c r="I173" s="846">
        <f>$B$322/B173</f>
        <v>2.2882386037335474</v>
      </c>
      <c r="J173" s="785"/>
    </row>
    <row r="174" spans="1:10" ht="16.5" hidden="1" thickBot="1">
      <c r="A174" s="973" t="s">
        <v>451</v>
      </c>
      <c r="B174" s="748">
        <f>geral!G951</f>
        <v>1674.17</v>
      </c>
      <c r="C174" s="748">
        <f t="shared" si="62"/>
        <v>388.40246844840385</v>
      </c>
      <c r="D174" s="748">
        <f t="shared" si="49"/>
        <v>288.40246844840385</v>
      </c>
      <c r="E174" s="748">
        <f t="shared" si="69"/>
        <v>7.6677865130295952</v>
      </c>
      <c r="F174" s="748">
        <f t="shared" si="70"/>
        <v>7.667786513029351</v>
      </c>
      <c r="G174" s="748">
        <f t="shared" si="71"/>
        <v>7.6678199801921698</v>
      </c>
      <c r="H174" s="843">
        <f t="shared" si="72"/>
        <v>13.506128979768949</v>
      </c>
      <c r="I174" s="846">
        <f>$B$322/B174</f>
        <v>2.1252769076446394</v>
      </c>
      <c r="J174" s="785"/>
    </row>
    <row r="175" spans="1:10" ht="16.5" hidden="1" thickBot="1">
      <c r="A175" s="973" t="s">
        <v>452</v>
      </c>
      <c r="B175" s="748">
        <f>geral!G952</f>
        <v>1674.17</v>
      </c>
      <c r="C175" s="748">
        <f t="shared" si="62"/>
        <v>388.40246844840385</v>
      </c>
      <c r="D175" s="748">
        <f t="shared" si="49"/>
        <v>288.40246844840385</v>
      </c>
      <c r="E175" s="748">
        <f t="shared" si="69"/>
        <v>0</v>
      </c>
      <c r="F175" s="748">
        <f t="shared" si="70"/>
        <v>7.667786513029351</v>
      </c>
      <c r="G175" s="748">
        <f t="shared" si="71"/>
        <v>7.667786513029351</v>
      </c>
      <c r="H175" s="843">
        <f t="shared" si="72"/>
        <v>13.506128979768949</v>
      </c>
      <c r="I175" s="846">
        <f>$B$322/B175</f>
        <v>2.1252769076446394</v>
      </c>
      <c r="J175" s="785"/>
    </row>
    <row r="176" spans="1:10" ht="16.5" hidden="1" thickBot="1">
      <c r="A176" s="973" t="s">
        <v>453</v>
      </c>
      <c r="B176" s="755">
        <f>geral!G953</f>
        <v>1674.17</v>
      </c>
      <c r="C176" s="755">
        <f t="shared" si="62"/>
        <v>388.40246844840385</v>
      </c>
      <c r="D176" s="755">
        <f t="shared" si="49"/>
        <v>288.40246844840385</v>
      </c>
      <c r="E176" s="755">
        <f t="shared" ref="E176:E181" si="73">100*((B176/B175)-1)</f>
        <v>0</v>
      </c>
      <c r="F176" s="755">
        <f t="shared" ref="F176:F181" si="74">100*((B176/$B$169)-1)</f>
        <v>7.667786513029351</v>
      </c>
      <c r="G176" s="755">
        <f t="shared" ref="G176:G181" si="75">100*((B176/B164)-1)</f>
        <v>7.667786513029351</v>
      </c>
      <c r="H176" s="844">
        <f t="shared" ref="H176:H181" si="76">100*(B176/B152-1)</f>
        <v>13.506128979768949</v>
      </c>
      <c r="I176" s="846">
        <f>$B$322/B176</f>
        <v>2.1252769076446394</v>
      </c>
      <c r="J176" s="785"/>
    </row>
    <row r="177" spans="1:11" ht="16.5" hidden="1" thickBot="1">
      <c r="A177" s="973" t="s">
        <v>454</v>
      </c>
      <c r="B177" s="755">
        <f>geral!G954</f>
        <v>1674.17</v>
      </c>
      <c r="C177" s="755">
        <f t="shared" si="62"/>
        <v>388.40246844840385</v>
      </c>
      <c r="D177" s="755">
        <f t="shared" si="49"/>
        <v>288.40246844840385</v>
      </c>
      <c r="E177" s="755">
        <f t="shared" si="73"/>
        <v>0</v>
      </c>
      <c r="F177" s="755">
        <f t="shared" si="74"/>
        <v>7.667786513029351</v>
      </c>
      <c r="G177" s="755">
        <f t="shared" si="75"/>
        <v>7.667786513029351</v>
      </c>
      <c r="H177" s="844">
        <f t="shared" si="76"/>
        <v>13.506128979768949</v>
      </c>
      <c r="I177" s="846">
        <f>$B$322/B177</f>
        <v>2.1252769076446394</v>
      </c>
      <c r="J177" s="785"/>
    </row>
    <row r="178" spans="1:11" ht="16.5" hidden="1" thickBot="1">
      <c r="A178" s="973" t="s">
        <v>455</v>
      </c>
      <c r="B178" s="755">
        <f>geral!G955</f>
        <v>1674.17</v>
      </c>
      <c r="C178" s="755">
        <f t="shared" si="62"/>
        <v>388.40246844840385</v>
      </c>
      <c r="D178" s="755">
        <f t="shared" si="49"/>
        <v>288.40246844840385</v>
      </c>
      <c r="E178" s="755">
        <f t="shared" si="73"/>
        <v>0</v>
      </c>
      <c r="F178" s="755">
        <f t="shared" si="74"/>
        <v>7.667786513029351</v>
      </c>
      <c r="G178" s="755">
        <f t="shared" si="75"/>
        <v>7.667786513029351</v>
      </c>
      <c r="H178" s="844">
        <f t="shared" si="76"/>
        <v>13.506128979768949</v>
      </c>
      <c r="I178" s="846">
        <f>$B$322/B178</f>
        <v>2.1252769076446394</v>
      </c>
      <c r="J178" s="784"/>
    </row>
    <row r="179" spans="1:11" ht="16.5" hidden="1" thickBot="1">
      <c r="A179" s="973" t="s">
        <v>456</v>
      </c>
      <c r="B179" s="755">
        <f>geral!G956</f>
        <v>1674.17</v>
      </c>
      <c r="C179" s="755">
        <f t="shared" si="62"/>
        <v>388.40246844840385</v>
      </c>
      <c r="D179" s="755">
        <f t="shared" si="49"/>
        <v>288.40246844840385</v>
      </c>
      <c r="E179" s="755">
        <f t="shared" si="73"/>
        <v>0</v>
      </c>
      <c r="F179" s="755">
        <f t="shared" si="74"/>
        <v>7.667786513029351</v>
      </c>
      <c r="G179" s="755">
        <f t="shared" si="75"/>
        <v>7.667786513029351</v>
      </c>
      <c r="H179" s="844">
        <f t="shared" si="76"/>
        <v>13.506128979768949</v>
      </c>
      <c r="I179" s="846">
        <f>$B$322/B179</f>
        <v>2.1252769076446394</v>
      </c>
      <c r="J179" s="784"/>
    </row>
    <row r="180" spans="1:11" s="795" customFormat="1" ht="16.5" hidden="1" thickBot="1">
      <c r="A180" s="973" t="s">
        <v>457</v>
      </c>
      <c r="B180" s="755">
        <f>geral!G957</f>
        <v>1674.17</v>
      </c>
      <c r="C180" s="755">
        <f t="shared" si="62"/>
        <v>388.40246844840385</v>
      </c>
      <c r="D180" s="755">
        <f t="shared" si="49"/>
        <v>288.40246844840385</v>
      </c>
      <c r="E180" s="755">
        <f t="shared" si="73"/>
        <v>0</v>
      </c>
      <c r="F180" s="755">
        <f t="shared" si="74"/>
        <v>7.667786513029351</v>
      </c>
      <c r="G180" s="755">
        <f t="shared" si="75"/>
        <v>7.667786513029351</v>
      </c>
      <c r="H180" s="844">
        <f t="shared" si="76"/>
        <v>13.506128979768949</v>
      </c>
      <c r="I180" s="846">
        <f>$B$322/B180</f>
        <v>2.1252769076446394</v>
      </c>
      <c r="J180" s="787"/>
      <c r="K180" s="794"/>
    </row>
    <row r="181" spans="1:11" s="794" customFormat="1" hidden="1" thickBot="1">
      <c r="A181" s="973" t="s">
        <v>458</v>
      </c>
      <c r="B181" s="755">
        <f>geral!G958</f>
        <v>1674.17</v>
      </c>
      <c r="C181" s="755">
        <f t="shared" si="62"/>
        <v>388.40246844840385</v>
      </c>
      <c r="D181" s="755">
        <f t="shared" si="49"/>
        <v>288.40246844840385</v>
      </c>
      <c r="E181" s="755">
        <f t="shared" si="73"/>
        <v>0</v>
      </c>
      <c r="F181" s="755">
        <f t="shared" si="74"/>
        <v>7.667786513029351</v>
      </c>
      <c r="G181" s="755">
        <f t="shared" si="75"/>
        <v>7.667786513029351</v>
      </c>
      <c r="H181" s="844">
        <f t="shared" si="76"/>
        <v>13.506128979768949</v>
      </c>
      <c r="I181" s="846">
        <f>$B$322/B181</f>
        <v>2.1252769076446394</v>
      </c>
      <c r="J181" s="787"/>
    </row>
    <row r="182" spans="1:11" ht="16.5" hidden="1" thickBot="1">
      <c r="A182" s="973" t="s">
        <v>459</v>
      </c>
      <c r="B182" s="755">
        <f>geral!I947</f>
        <v>1674.17</v>
      </c>
      <c r="C182" s="755">
        <f t="shared" si="62"/>
        <v>388.40246844840385</v>
      </c>
      <c r="D182" s="755">
        <f t="shared" si="49"/>
        <v>288.40246844840385</v>
      </c>
      <c r="E182" s="755">
        <f t="shared" ref="E182:E187" si="77">100*((B182/B181)-1)</f>
        <v>0</v>
      </c>
      <c r="F182" s="755">
        <f t="shared" ref="F182:F187" si="78">100*((B182/$B$181)-1)</f>
        <v>0</v>
      </c>
      <c r="G182" s="755">
        <f t="shared" ref="G182:G187" si="79">100*((B182/B170)-1)</f>
        <v>7.667786513029351</v>
      </c>
      <c r="H182" s="844">
        <f t="shared" ref="H182:H187" si="80">100*(B182/B158-1)</f>
        <v>13.506128979768949</v>
      </c>
      <c r="I182" s="846">
        <f>$B$322/B182</f>
        <v>2.1252769076446394</v>
      </c>
    </row>
    <row r="183" spans="1:11" ht="16.5" hidden="1" thickBot="1">
      <c r="A183" s="973" t="s">
        <v>460</v>
      </c>
      <c r="B183" s="755">
        <f>geral!I948</f>
        <v>1674.17</v>
      </c>
      <c r="C183" s="755">
        <f t="shared" si="62"/>
        <v>388.40246844840385</v>
      </c>
      <c r="D183" s="755">
        <f t="shared" si="49"/>
        <v>288.40246844840385</v>
      </c>
      <c r="E183" s="755">
        <f t="shared" si="77"/>
        <v>0</v>
      </c>
      <c r="F183" s="755">
        <f t="shared" si="78"/>
        <v>0</v>
      </c>
      <c r="G183" s="755">
        <f t="shared" si="79"/>
        <v>7.667786513029351</v>
      </c>
      <c r="H183" s="844">
        <f t="shared" si="80"/>
        <v>13.506128979768949</v>
      </c>
      <c r="I183" s="846">
        <f>$B$322/B183</f>
        <v>2.1252769076446394</v>
      </c>
    </row>
    <row r="184" spans="1:11" ht="16.5" hidden="1" thickBot="1">
      <c r="A184" s="973" t="s">
        <v>461</v>
      </c>
      <c r="B184" s="755">
        <f>geral!I949</f>
        <v>1674.17</v>
      </c>
      <c r="C184" s="755">
        <f t="shared" si="62"/>
        <v>388.40246844840385</v>
      </c>
      <c r="D184" s="755">
        <f t="shared" si="49"/>
        <v>288.40246844840385</v>
      </c>
      <c r="E184" s="755">
        <f t="shared" si="77"/>
        <v>0</v>
      </c>
      <c r="F184" s="755">
        <f t="shared" si="78"/>
        <v>0</v>
      </c>
      <c r="G184" s="755">
        <f t="shared" si="79"/>
        <v>7.667786513029351</v>
      </c>
      <c r="H184" s="844">
        <f t="shared" si="80"/>
        <v>13.506128979768949</v>
      </c>
      <c r="I184" s="846">
        <f>$B$322/B184</f>
        <v>2.1252769076446394</v>
      </c>
    </row>
    <row r="185" spans="1:11" ht="16.5" hidden="1" thickBot="1">
      <c r="A185" s="973" t="s">
        <v>462</v>
      </c>
      <c r="B185" s="755">
        <f>geral!I950</f>
        <v>1674.17</v>
      </c>
      <c r="C185" s="755">
        <f t="shared" si="62"/>
        <v>388.40246844840385</v>
      </c>
      <c r="D185" s="755">
        <f t="shared" si="49"/>
        <v>288.40246844840385</v>
      </c>
      <c r="E185" s="755">
        <f t="shared" si="77"/>
        <v>0</v>
      </c>
      <c r="F185" s="755">
        <f t="shared" si="78"/>
        <v>0</v>
      </c>
      <c r="G185" s="755">
        <f t="shared" si="79"/>
        <v>7.6677865130295952</v>
      </c>
      <c r="H185" s="844">
        <f t="shared" si="80"/>
        <v>13.506128979768949</v>
      </c>
      <c r="I185" s="846">
        <f>$B$322/B185</f>
        <v>2.1252769076446394</v>
      </c>
    </row>
    <row r="186" spans="1:11" ht="16.5" hidden="1" thickBot="1">
      <c r="A186" s="973" t="s">
        <v>463</v>
      </c>
      <c r="B186" s="755">
        <f>geral!I951</f>
        <v>1791.3619000000001</v>
      </c>
      <c r="C186" s="755">
        <f t="shared" si="62"/>
        <v>415.59064123979209</v>
      </c>
      <c r="D186" s="755">
        <f t="shared" si="49"/>
        <v>315.59064123979209</v>
      </c>
      <c r="E186" s="755">
        <f t="shared" si="77"/>
        <v>7.0000000000000062</v>
      </c>
      <c r="F186" s="755">
        <f t="shared" si="78"/>
        <v>7.0000000000000062</v>
      </c>
      <c r="G186" s="755">
        <f t="shared" si="79"/>
        <v>7.0000000000000062</v>
      </c>
      <c r="H186" s="844">
        <f t="shared" si="80"/>
        <v>15.204567378805622</v>
      </c>
      <c r="I186" s="846">
        <f>$B$322/B186</f>
        <v>1.9862401006024668</v>
      </c>
      <c r="J186" s="782" t="s">
        <v>254</v>
      </c>
    </row>
    <row r="187" spans="1:11" ht="16.5" hidden="1" thickBot="1">
      <c r="A187" s="973" t="s">
        <v>464</v>
      </c>
      <c r="B187" s="755">
        <f>geral!I952</f>
        <v>1791.3619000000001</v>
      </c>
      <c r="C187" s="755">
        <f t="shared" si="62"/>
        <v>415.59064123979209</v>
      </c>
      <c r="D187" s="755">
        <f t="shared" si="49"/>
        <v>315.59064123979209</v>
      </c>
      <c r="E187" s="755">
        <f t="shared" si="77"/>
        <v>0</v>
      </c>
      <c r="F187" s="755">
        <f t="shared" si="78"/>
        <v>7.0000000000000062</v>
      </c>
      <c r="G187" s="755">
        <f t="shared" si="79"/>
        <v>7.0000000000000062</v>
      </c>
      <c r="H187" s="844">
        <f t="shared" si="80"/>
        <v>15.204531568941416</v>
      </c>
      <c r="I187" s="846">
        <f>$B$322/B187</f>
        <v>1.9862401006024668</v>
      </c>
    </row>
    <row r="188" spans="1:11" ht="16.5" hidden="1" thickBot="1">
      <c r="A188" s="973" t="s">
        <v>465</v>
      </c>
      <c r="B188" s="755">
        <f>geral!I953</f>
        <v>1791.3619000000001</v>
      </c>
      <c r="C188" s="755">
        <f t="shared" si="62"/>
        <v>415.59064123979209</v>
      </c>
      <c r="D188" s="755">
        <f t="shared" si="49"/>
        <v>315.59064123979209</v>
      </c>
      <c r="E188" s="755">
        <f t="shared" ref="E188:E193" si="81">100*((B188/B187)-1)</f>
        <v>0</v>
      </c>
      <c r="F188" s="755">
        <f t="shared" ref="F188:F193" si="82">100*((B188/$B$181)-1)</f>
        <v>7.0000000000000062</v>
      </c>
      <c r="G188" s="755">
        <f t="shared" ref="G188:G193" si="83">100*((B188/B176)-1)</f>
        <v>7.0000000000000062</v>
      </c>
      <c r="H188" s="844">
        <f t="shared" ref="H188:H193" si="84">100*(B188/B164-1)</f>
        <v>15.204531568941416</v>
      </c>
      <c r="I188" s="846">
        <f>$B$322/B188</f>
        <v>1.9862401006024668</v>
      </c>
    </row>
    <row r="189" spans="1:11" ht="16.5" hidden="1" thickBot="1">
      <c r="A189" s="973" t="s">
        <v>466</v>
      </c>
      <c r="B189" s="755">
        <f>geral!I954</f>
        <v>1791.3619000000001</v>
      </c>
      <c r="C189" s="755">
        <f t="shared" si="62"/>
        <v>415.59064123979209</v>
      </c>
      <c r="D189" s="755">
        <f t="shared" si="49"/>
        <v>315.59064123979209</v>
      </c>
      <c r="E189" s="755">
        <f t="shared" si="81"/>
        <v>0</v>
      </c>
      <c r="F189" s="755">
        <f t="shared" si="82"/>
        <v>7.0000000000000062</v>
      </c>
      <c r="G189" s="755">
        <f t="shared" si="83"/>
        <v>7.0000000000000062</v>
      </c>
      <c r="H189" s="844">
        <f t="shared" si="84"/>
        <v>15.204531568941416</v>
      </c>
      <c r="I189" s="846">
        <f>$B$322/B189</f>
        <v>1.9862401006024668</v>
      </c>
    </row>
    <row r="190" spans="1:11" ht="16.5" hidden="1" thickBot="1">
      <c r="A190" s="973" t="s">
        <v>467</v>
      </c>
      <c r="B190" s="755">
        <f>geral!I955</f>
        <v>1791.3619000000001</v>
      </c>
      <c r="C190" s="755">
        <f t="shared" si="62"/>
        <v>415.59064123979209</v>
      </c>
      <c r="D190" s="755">
        <f t="shared" si="49"/>
        <v>315.59064123979209</v>
      </c>
      <c r="E190" s="755">
        <f t="shared" si="81"/>
        <v>0</v>
      </c>
      <c r="F190" s="755">
        <f t="shared" si="82"/>
        <v>7.0000000000000062</v>
      </c>
      <c r="G190" s="755">
        <f t="shared" si="83"/>
        <v>7.0000000000000062</v>
      </c>
      <c r="H190" s="844">
        <f t="shared" si="84"/>
        <v>15.204531568941416</v>
      </c>
      <c r="I190" s="846">
        <f>$B$322/B190</f>
        <v>1.9862401006024668</v>
      </c>
    </row>
    <row r="191" spans="1:11" ht="16.5" hidden="1" thickBot="1">
      <c r="A191" s="973" t="s">
        <v>468</v>
      </c>
      <c r="B191" s="755">
        <f>geral!I956</f>
        <v>1791.3619000000001</v>
      </c>
      <c r="C191" s="755">
        <f t="shared" si="62"/>
        <v>415.59064123979209</v>
      </c>
      <c r="D191" s="755">
        <f t="shared" si="49"/>
        <v>315.59064123979209</v>
      </c>
      <c r="E191" s="755">
        <f t="shared" si="81"/>
        <v>0</v>
      </c>
      <c r="F191" s="755">
        <f t="shared" si="82"/>
        <v>7.0000000000000062</v>
      </c>
      <c r="G191" s="755">
        <f t="shared" si="83"/>
        <v>7.0000000000000062</v>
      </c>
      <c r="H191" s="844">
        <f t="shared" si="84"/>
        <v>15.204531568941416</v>
      </c>
      <c r="I191" s="846">
        <f>$B$322/B191</f>
        <v>1.9862401006024668</v>
      </c>
    </row>
    <row r="192" spans="1:11" ht="16.5" hidden="1" thickBot="1">
      <c r="A192" s="973" t="s">
        <v>469</v>
      </c>
      <c r="B192" s="755">
        <f>geral!I957</f>
        <v>1791.3619000000001</v>
      </c>
      <c r="C192" s="755">
        <f t="shared" si="62"/>
        <v>415.59064123979209</v>
      </c>
      <c r="D192" s="755">
        <f t="shared" si="49"/>
        <v>315.59064123979209</v>
      </c>
      <c r="E192" s="755">
        <f t="shared" si="81"/>
        <v>0</v>
      </c>
      <c r="F192" s="755">
        <f t="shared" si="82"/>
        <v>7.0000000000000062</v>
      </c>
      <c r="G192" s="755">
        <f t="shared" si="83"/>
        <v>7.0000000000000062</v>
      </c>
      <c r="H192" s="844">
        <f t="shared" si="84"/>
        <v>15.204531568941416</v>
      </c>
      <c r="I192" s="846">
        <f>$B$322/B192</f>
        <v>1.9862401006024668</v>
      </c>
    </row>
    <row r="193" spans="1:9" ht="16.5" hidden="1" thickBot="1">
      <c r="A193" s="973" t="s">
        <v>470</v>
      </c>
      <c r="B193" s="755">
        <f>geral!I958</f>
        <v>1791.3619000000001</v>
      </c>
      <c r="C193" s="755">
        <f t="shared" si="62"/>
        <v>415.59064123979209</v>
      </c>
      <c r="D193" s="755">
        <f t="shared" si="49"/>
        <v>315.59064123979209</v>
      </c>
      <c r="E193" s="755">
        <f t="shared" si="81"/>
        <v>0</v>
      </c>
      <c r="F193" s="755">
        <f t="shared" si="82"/>
        <v>7.0000000000000062</v>
      </c>
      <c r="G193" s="755">
        <f t="shared" si="83"/>
        <v>7.0000000000000062</v>
      </c>
      <c r="H193" s="844">
        <f t="shared" si="84"/>
        <v>15.204531568941416</v>
      </c>
      <c r="I193" s="846">
        <f>$B$322/B193</f>
        <v>1.9862401006024668</v>
      </c>
    </row>
    <row r="194" spans="1:9" ht="16.5" hidden="1" thickBot="1">
      <c r="A194" s="973" t="s">
        <v>471</v>
      </c>
      <c r="B194" s="755">
        <f>geral!K947</f>
        <v>1791.3619000000001</v>
      </c>
      <c r="C194" s="755">
        <f t="shared" si="62"/>
        <v>415.59064123979209</v>
      </c>
      <c r="D194" s="755">
        <f t="shared" si="49"/>
        <v>315.59064123979209</v>
      </c>
      <c r="E194" s="755">
        <f t="shared" ref="E194:E199" si="85">100*((B194/B193)-1)</f>
        <v>0</v>
      </c>
      <c r="F194" s="755">
        <f t="shared" ref="F194:F199" si="86">100*((B194/$B$193)-1)</f>
        <v>0</v>
      </c>
      <c r="G194" s="755">
        <f t="shared" ref="G194:G199" si="87">100*((B194/B182)-1)</f>
        <v>7.0000000000000062</v>
      </c>
      <c r="H194" s="844">
        <f t="shared" ref="H194:H199" si="88">100*(B194/B170-1)</f>
        <v>15.204531568941416</v>
      </c>
      <c r="I194" s="846">
        <f>$B$322/B194</f>
        <v>1.9862401006024668</v>
      </c>
    </row>
    <row r="195" spans="1:9" ht="16.5" hidden="1" thickBot="1">
      <c r="A195" s="973" t="s">
        <v>472</v>
      </c>
      <c r="B195" s="755">
        <f>geral!K948</f>
        <v>1791.3619000000001</v>
      </c>
      <c r="C195" s="755">
        <f t="shared" si="62"/>
        <v>415.59064123979209</v>
      </c>
      <c r="D195" s="755">
        <f t="shared" si="49"/>
        <v>315.59064123979209</v>
      </c>
      <c r="E195" s="755">
        <f t="shared" si="85"/>
        <v>0</v>
      </c>
      <c r="F195" s="755">
        <f t="shared" si="86"/>
        <v>0</v>
      </c>
      <c r="G195" s="755">
        <f t="shared" si="87"/>
        <v>7.0000000000000062</v>
      </c>
      <c r="H195" s="844">
        <f t="shared" si="88"/>
        <v>15.204531568941416</v>
      </c>
      <c r="I195" s="846">
        <f>$B$322/B195</f>
        <v>1.9862401006024668</v>
      </c>
    </row>
    <row r="196" spans="1:9" ht="16.5" hidden="1" thickBot="1">
      <c r="A196" s="973" t="s">
        <v>473</v>
      </c>
      <c r="B196" s="755">
        <f>geral!K949</f>
        <v>1791.3619000000001</v>
      </c>
      <c r="C196" s="755">
        <f t="shared" si="62"/>
        <v>415.59064123979209</v>
      </c>
      <c r="D196" s="755">
        <f t="shared" si="49"/>
        <v>315.59064123979209</v>
      </c>
      <c r="E196" s="755">
        <f t="shared" si="85"/>
        <v>0</v>
      </c>
      <c r="F196" s="755">
        <f t="shared" si="86"/>
        <v>0</v>
      </c>
      <c r="G196" s="755">
        <f t="shared" si="87"/>
        <v>7.0000000000000062</v>
      </c>
      <c r="H196" s="844">
        <f t="shared" si="88"/>
        <v>15.204531568941416</v>
      </c>
      <c r="I196" s="846">
        <f>$B$322/B196</f>
        <v>1.9862401006024668</v>
      </c>
    </row>
    <row r="197" spans="1:9" ht="16.5" hidden="1" thickBot="1">
      <c r="A197" s="973" t="s">
        <v>474</v>
      </c>
      <c r="B197" s="755">
        <f>geral!K950</f>
        <v>1791.3619000000001</v>
      </c>
      <c r="C197" s="755">
        <f t="shared" si="62"/>
        <v>415.59064123979209</v>
      </c>
      <c r="D197" s="755">
        <f t="shared" si="49"/>
        <v>315.59064123979209</v>
      </c>
      <c r="E197" s="755">
        <f t="shared" si="85"/>
        <v>0</v>
      </c>
      <c r="F197" s="755">
        <f t="shared" si="86"/>
        <v>0</v>
      </c>
      <c r="G197" s="755">
        <f t="shared" si="87"/>
        <v>7.0000000000000062</v>
      </c>
      <c r="H197" s="844">
        <f t="shared" si="88"/>
        <v>15.204531568941659</v>
      </c>
      <c r="I197" s="846">
        <f>$B$322/B197</f>
        <v>1.9862401006024668</v>
      </c>
    </row>
    <row r="198" spans="1:9" ht="16.5" hidden="1" thickBot="1">
      <c r="A198" s="973" t="s">
        <v>475</v>
      </c>
      <c r="B198" s="755">
        <f>geral!K951</f>
        <v>1925.7140425</v>
      </c>
      <c r="C198" s="755">
        <f t="shared" si="62"/>
        <v>446.75993933277653</v>
      </c>
      <c r="D198" s="755">
        <f t="shared" si="49"/>
        <v>346.75993933277653</v>
      </c>
      <c r="E198" s="755">
        <f t="shared" si="85"/>
        <v>7.4999999999999956</v>
      </c>
      <c r="F198" s="755">
        <f t="shared" si="86"/>
        <v>7.4999999999999956</v>
      </c>
      <c r="G198" s="755">
        <f t="shared" si="87"/>
        <v>7.4999999999999956</v>
      </c>
      <c r="H198" s="844">
        <f t="shared" si="88"/>
        <v>15.024999999999999</v>
      </c>
      <c r="I198" s="846">
        <f>$B$322/B198</f>
        <v>1.8476652098627599</v>
      </c>
    </row>
    <row r="199" spans="1:9" ht="16.5" hidden="1" thickBot="1">
      <c r="A199" s="973" t="s">
        <v>476</v>
      </c>
      <c r="B199" s="755">
        <f>geral!K952</f>
        <v>1925.7140425</v>
      </c>
      <c r="C199" s="755">
        <f t="shared" si="62"/>
        <v>446.75993933277653</v>
      </c>
      <c r="D199" s="755">
        <f t="shared" si="49"/>
        <v>346.75993933277653</v>
      </c>
      <c r="E199" s="755">
        <f t="shared" si="85"/>
        <v>0</v>
      </c>
      <c r="F199" s="755">
        <f t="shared" si="86"/>
        <v>7.4999999999999956</v>
      </c>
      <c r="G199" s="755">
        <f t="shared" si="87"/>
        <v>7.4999999999999956</v>
      </c>
      <c r="H199" s="844">
        <f t="shared" si="88"/>
        <v>15.024999999999999</v>
      </c>
      <c r="I199" s="846">
        <f>$B$322/B199</f>
        <v>1.8476652098627599</v>
      </c>
    </row>
    <row r="200" spans="1:9" ht="16.5" hidden="1" thickBot="1">
      <c r="A200" s="973" t="s">
        <v>477</v>
      </c>
      <c r="B200" s="755">
        <f>geral!K953</f>
        <v>1925.7140425</v>
      </c>
      <c r="C200" s="755">
        <f t="shared" si="62"/>
        <v>446.75993933277653</v>
      </c>
      <c r="D200" s="755">
        <f t="shared" si="49"/>
        <v>346.75993933277653</v>
      </c>
      <c r="E200" s="755">
        <f t="shared" ref="E200:E205" si="89">100*((B200/B199)-1)</f>
        <v>0</v>
      </c>
      <c r="F200" s="755">
        <f t="shared" ref="F200:F205" si="90">100*((B200/$B$193)-1)</f>
        <v>7.4999999999999956</v>
      </c>
      <c r="G200" s="755">
        <f t="shared" ref="G200:G205" si="91">100*((B200/B188)-1)</f>
        <v>7.4999999999999956</v>
      </c>
      <c r="H200" s="844">
        <f t="shared" ref="H200:H205" si="92">100*(B200/B176-1)</f>
        <v>15.024999999999999</v>
      </c>
      <c r="I200" s="846">
        <f>$B$322/B200</f>
        <v>1.8476652098627599</v>
      </c>
    </row>
    <row r="201" spans="1:9" ht="16.5" hidden="1" thickBot="1">
      <c r="A201" s="973" t="s">
        <v>478</v>
      </c>
      <c r="B201" s="755">
        <f>geral!K954</f>
        <v>1925.7140425</v>
      </c>
      <c r="C201" s="755">
        <f t="shared" si="62"/>
        <v>446.75993933277653</v>
      </c>
      <c r="D201" s="755">
        <f t="shared" si="49"/>
        <v>346.75993933277653</v>
      </c>
      <c r="E201" s="755">
        <f t="shared" si="89"/>
        <v>0</v>
      </c>
      <c r="F201" s="755">
        <f t="shared" si="90"/>
        <v>7.4999999999999956</v>
      </c>
      <c r="G201" s="755">
        <f t="shared" si="91"/>
        <v>7.4999999999999956</v>
      </c>
      <c r="H201" s="844">
        <f t="shared" si="92"/>
        <v>15.024999999999999</v>
      </c>
      <c r="I201" s="846">
        <f>$B$322/B201</f>
        <v>1.8476652098627599</v>
      </c>
    </row>
    <row r="202" spans="1:9" ht="16.5" hidden="1" thickBot="1">
      <c r="A202" s="973" t="s">
        <v>479</v>
      </c>
      <c r="B202" s="755">
        <f>geral!K955</f>
        <v>1925.7140425</v>
      </c>
      <c r="C202" s="755">
        <f t="shared" si="62"/>
        <v>446.75993933277653</v>
      </c>
      <c r="D202" s="755">
        <f t="shared" si="49"/>
        <v>346.75993933277653</v>
      </c>
      <c r="E202" s="755">
        <f t="shared" si="89"/>
        <v>0</v>
      </c>
      <c r="F202" s="755">
        <f t="shared" si="90"/>
        <v>7.4999999999999956</v>
      </c>
      <c r="G202" s="755">
        <f t="shared" si="91"/>
        <v>7.4999999999999956</v>
      </c>
      <c r="H202" s="844">
        <f t="shared" si="92"/>
        <v>15.024999999999999</v>
      </c>
      <c r="I202" s="846">
        <f>$B$322/B202</f>
        <v>1.8476652098627599</v>
      </c>
    </row>
    <row r="203" spans="1:9" ht="16.5" hidden="1" thickBot="1">
      <c r="A203" s="973" t="s">
        <v>480</v>
      </c>
      <c r="B203" s="755">
        <f>geral!K956</f>
        <v>1925.7140425</v>
      </c>
      <c r="C203" s="755">
        <f t="shared" si="62"/>
        <v>446.75993933277653</v>
      </c>
      <c r="D203" s="755">
        <f t="shared" si="49"/>
        <v>346.75993933277653</v>
      </c>
      <c r="E203" s="755">
        <f t="shared" si="89"/>
        <v>0</v>
      </c>
      <c r="F203" s="755">
        <f t="shared" si="90"/>
        <v>7.4999999999999956</v>
      </c>
      <c r="G203" s="755">
        <f t="shared" si="91"/>
        <v>7.4999999999999956</v>
      </c>
      <c r="H203" s="844">
        <f t="shared" si="92"/>
        <v>15.024999999999999</v>
      </c>
      <c r="I203" s="846">
        <f>$B$322/B203</f>
        <v>1.8476652098627599</v>
      </c>
    </row>
    <row r="204" spans="1:9" ht="16.5" hidden="1" thickBot="1">
      <c r="A204" s="973" t="s">
        <v>481</v>
      </c>
      <c r="B204" s="755">
        <f>geral!K957</f>
        <v>1925.7140425</v>
      </c>
      <c r="C204" s="755">
        <f t="shared" si="62"/>
        <v>446.75993933277653</v>
      </c>
      <c r="D204" s="755">
        <f t="shared" si="49"/>
        <v>346.75993933277653</v>
      </c>
      <c r="E204" s="755">
        <f t="shared" si="89"/>
        <v>0</v>
      </c>
      <c r="F204" s="755">
        <f t="shared" si="90"/>
        <v>7.4999999999999956</v>
      </c>
      <c r="G204" s="755">
        <f t="shared" si="91"/>
        <v>7.4999999999999956</v>
      </c>
      <c r="H204" s="844">
        <f t="shared" si="92"/>
        <v>15.024999999999999</v>
      </c>
      <c r="I204" s="846">
        <f>$B$322/B204</f>
        <v>1.8476652098627599</v>
      </c>
    </row>
    <row r="205" spans="1:9" ht="16.5" hidden="1" thickBot="1">
      <c r="A205" s="1015" t="s">
        <v>482</v>
      </c>
      <c r="B205" s="755">
        <f>geral!K958</f>
        <v>1925.7140425</v>
      </c>
      <c r="C205" s="755">
        <f t="shared" si="62"/>
        <v>446.75993933277653</v>
      </c>
      <c r="D205" s="755">
        <f t="shared" si="49"/>
        <v>346.75993933277653</v>
      </c>
      <c r="E205" s="755">
        <f t="shared" si="89"/>
        <v>0</v>
      </c>
      <c r="F205" s="755">
        <f t="shared" si="90"/>
        <v>7.4999999999999956</v>
      </c>
      <c r="G205" s="755">
        <f t="shared" si="91"/>
        <v>7.4999999999999956</v>
      </c>
      <c r="H205" s="844">
        <f t="shared" si="92"/>
        <v>15.024999999999999</v>
      </c>
      <c r="I205" s="923">
        <f>$B$322/B205</f>
        <v>1.8476652098627599</v>
      </c>
    </row>
    <row r="206" spans="1:9">
      <c r="A206" s="1013" t="s">
        <v>483</v>
      </c>
      <c r="B206" s="852">
        <f>geral!M947</f>
        <v>1925.7140425</v>
      </c>
      <c r="C206" s="852">
        <f t="shared" si="62"/>
        <v>446.75993933277653</v>
      </c>
      <c r="D206" s="852">
        <f t="shared" si="49"/>
        <v>346.75993933277653</v>
      </c>
      <c r="E206" s="852">
        <f t="shared" ref="E206:E211" si="93">100*((B206/B205)-1)</f>
        <v>0</v>
      </c>
      <c r="F206" s="852">
        <f t="shared" ref="F206:F211" si="94">100*((B206/$B$205)-1)</f>
        <v>0</v>
      </c>
      <c r="G206" s="852">
        <f t="shared" ref="G206:G211" si="95">100*((B206/B194)-1)</f>
        <v>7.4999999999999956</v>
      </c>
      <c r="H206" s="1019">
        <f t="shared" ref="H206:H211" si="96">100*(B206/B182-1)</f>
        <v>15.024999999999999</v>
      </c>
      <c r="I206" s="1020">
        <f>$B$322/B206</f>
        <v>1.8476652098627599</v>
      </c>
    </row>
    <row r="207" spans="1:9">
      <c r="A207" s="1014" t="s">
        <v>484</v>
      </c>
      <c r="B207" s="857">
        <f>geral!M948</f>
        <v>1925.7140425</v>
      </c>
      <c r="C207" s="857">
        <f t="shared" si="62"/>
        <v>446.75993933277653</v>
      </c>
      <c r="D207" s="857">
        <f t="shared" si="49"/>
        <v>346.75993933277653</v>
      </c>
      <c r="E207" s="857">
        <f t="shared" si="93"/>
        <v>0</v>
      </c>
      <c r="F207" s="857">
        <f t="shared" si="94"/>
        <v>0</v>
      </c>
      <c r="G207" s="857">
        <f t="shared" si="95"/>
        <v>7.4999999999999956</v>
      </c>
      <c r="H207" s="897">
        <f t="shared" si="96"/>
        <v>15.024999999999999</v>
      </c>
      <c r="I207" s="1021">
        <f>$B$322/B207</f>
        <v>1.8476652098627599</v>
      </c>
    </row>
    <row r="208" spans="1:9">
      <c r="A208" s="1014" t="s">
        <v>485</v>
      </c>
      <c r="B208" s="857">
        <f>geral!M949</f>
        <v>1925.7140425</v>
      </c>
      <c r="C208" s="857">
        <f t="shared" si="62"/>
        <v>446.75993933277653</v>
      </c>
      <c r="D208" s="857">
        <f t="shared" si="49"/>
        <v>346.75993933277653</v>
      </c>
      <c r="E208" s="857">
        <f t="shared" si="93"/>
        <v>0</v>
      </c>
      <c r="F208" s="857">
        <f t="shared" si="94"/>
        <v>0</v>
      </c>
      <c r="G208" s="857">
        <f t="shared" si="95"/>
        <v>7.4999999999999956</v>
      </c>
      <c r="H208" s="897">
        <f t="shared" si="96"/>
        <v>15.024999999999999</v>
      </c>
      <c r="I208" s="1021">
        <f t="shared" ref="I208:I271" si="97">$B$322/B208</f>
        <v>1.8476652098627599</v>
      </c>
    </row>
    <row r="209" spans="1:10">
      <c r="A209" s="1014" t="s">
        <v>486</v>
      </c>
      <c r="B209" s="857">
        <f>geral!M950</f>
        <v>1925.7140425</v>
      </c>
      <c r="C209" s="857">
        <f t="shared" si="62"/>
        <v>446.75993933277653</v>
      </c>
      <c r="D209" s="857">
        <f t="shared" si="49"/>
        <v>346.75993933277653</v>
      </c>
      <c r="E209" s="857">
        <f t="shared" si="93"/>
        <v>0</v>
      </c>
      <c r="F209" s="857">
        <f t="shared" si="94"/>
        <v>0</v>
      </c>
      <c r="G209" s="857">
        <f t="shared" si="95"/>
        <v>7.4999999999999956</v>
      </c>
      <c r="H209" s="897">
        <f t="shared" si="96"/>
        <v>15.024999999999999</v>
      </c>
      <c r="I209" s="1021">
        <f t="shared" si="97"/>
        <v>1.8476652098627599</v>
      </c>
    </row>
    <row r="210" spans="1:10">
      <c r="A210" s="1014" t="s">
        <v>487</v>
      </c>
      <c r="B210" s="857">
        <f>geral!M951</f>
        <v>2099.0283063250004</v>
      </c>
      <c r="C210" s="857">
        <f t="shared" si="62"/>
        <v>486.96833387272648</v>
      </c>
      <c r="D210" s="857">
        <f t="shared" si="49"/>
        <v>386.96833387272648</v>
      </c>
      <c r="E210" s="857">
        <f t="shared" si="93"/>
        <v>9.0000000000000071</v>
      </c>
      <c r="F210" s="857">
        <f t="shared" si="94"/>
        <v>9.0000000000000071</v>
      </c>
      <c r="G210" s="857">
        <f t="shared" si="95"/>
        <v>9.0000000000000071</v>
      </c>
      <c r="H210" s="897">
        <f t="shared" si="96"/>
        <v>17.175000000000008</v>
      </c>
      <c r="I210" s="1021">
        <f t="shared" si="97"/>
        <v>1.6951056971217979</v>
      </c>
      <c r="J210" s="782" t="s">
        <v>376</v>
      </c>
    </row>
    <row r="211" spans="1:10">
      <c r="A211" s="1014" t="s">
        <v>488</v>
      </c>
      <c r="B211" s="857">
        <f>geral!M952</f>
        <v>2099.0283063250004</v>
      </c>
      <c r="C211" s="857">
        <f t="shared" si="62"/>
        <v>486.96833387272648</v>
      </c>
      <c r="D211" s="857">
        <f t="shared" si="49"/>
        <v>386.96833387272648</v>
      </c>
      <c r="E211" s="857">
        <f t="shared" si="93"/>
        <v>0</v>
      </c>
      <c r="F211" s="857">
        <f t="shared" si="94"/>
        <v>9.0000000000000071</v>
      </c>
      <c r="G211" s="857">
        <f t="shared" si="95"/>
        <v>9.0000000000000071</v>
      </c>
      <c r="H211" s="897">
        <f t="shared" si="96"/>
        <v>17.175000000000008</v>
      </c>
      <c r="I211" s="1021">
        <f t="shared" si="97"/>
        <v>1.6951056971217979</v>
      </c>
    </row>
    <row r="212" spans="1:10">
      <c r="A212" s="1014" t="s">
        <v>489</v>
      </c>
      <c r="B212" s="857">
        <f>geral!M953</f>
        <v>2099.0283063250004</v>
      </c>
      <c r="C212" s="857">
        <f t="shared" si="62"/>
        <v>486.96833387272648</v>
      </c>
      <c r="D212" s="857">
        <f t="shared" si="49"/>
        <v>386.96833387272648</v>
      </c>
      <c r="E212" s="857">
        <f t="shared" ref="E212:E217" si="98">100*((B212/B211)-1)</f>
        <v>0</v>
      </c>
      <c r="F212" s="857">
        <f t="shared" ref="F212:F217" si="99">100*((B212/$B$205)-1)</f>
        <v>9.0000000000000071</v>
      </c>
      <c r="G212" s="857">
        <f t="shared" ref="G212:G217" si="100">100*((B212/B200)-1)</f>
        <v>9.0000000000000071</v>
      </c>
      <c r="H212" s="897">
        <f t="shared" ref="H212:H217" si="101">100*(B212/B188-1)</f>
        <v>17.175000000000008</v>
      </c>
      <c r="I212" s="1021">
        <f t="shared" si="97"/>
        <v>1.6951056971217979</v>
      </c>
    </row>
    <row r="213" spans="1:10">
      <c r="A213" s="1014" t="s">
        <v>490</v>
      </c>
      <c r="B213" s="857">
        <f>geral!M954</f>
        <v>2099.0283063250004</v>
      </c>
      <c r="C213" s="857">
        <f t="shared" si="62"/>
        <v>486.96833387272648</v>
      </c>
      <c r="D213" s="857">
        <f t="shared" si="49"/>
        <v>386.96833387272648</v>
      </c>
      <c r="E213" s="857">
        <f t="shared" si="98"/>
        <v>0</v>
      </c>
      <c r="F213" s="857">
        <f t="shared" si="99"/>
        <v>9.0000000000000071</v>
      </c>
      <c r="G213" s="857">
        <f t="shared" si="100"/>
        <v>9.0000000000000071</v>
      </c>
      <c r="H213" s="897">
        <f t="shared" si="101"/>
        <v>17.175000000000008</v>
      </c>
      <c r="I213" s="1021">
        <f t="shared" si="97"/>
        <v>1.6951056971217979</v>
      </c>
    </row>
    <row r="214" spans="1:10">
      <c r="A214" s="1014" t="s">
        <v>491</v>
      </c>
      <c r="B214" s="857">
        <f>geral!M955</f>
        <v>2099.0283063250004</v>
      </c>
      <c r="C214" s="857">
        <f t="shared" si="62"/>
        <v>486.96833387272648</v>
      </c>
      <c r="D214" s="857">
        <f t="shared" si="49"/>
        <v>386.96833387272648</v>
      </c>
      <c r="E214" s="857">
        <f t="shared" si="98"/>
        <v>0</v>
      </c>
      <c r="F214" s="857">
        <f t="shared" si="99"/>
        <v>9.0000000000000071</v>
      </c>
      <c r="G214" s="857">
        <f t="shared" si="100"/>
        <v>9.0000000000000071</v>
      </c>
      <c r="H214" s="897">
        <f t="shared" si="101"/>
        <v>17.175000000000008</v>
      </c>
      <c r="I214" s="1021">
        <f t="shared" si="97"/>
        <v>1.6951056971217979</v>
      </c>
    </row>
    <row r="215" spans="1:10">
      <c r="A215" s="1014" t="s">
        <v>492</v>
      </c>
      <c r="B215" s="857">
        <f>geral!M956</f>
        <v>2099.0283063250004</v>
      </c>
      <c r="C215" s="857">
        <f t="shared" si="62"/>
        <v>486.96833387272648</v>
      </c>
      <c r="D215" s="857">
        <f t="shared" si="49"/>
        <v>386.96833387272648</v>
      </c>
      <c r="E215" s="857">
        <f t="shared" si="98"/>
        <v>0</v>
      </c>
      <c r="F215" s="857">
        <f t="shared" si="99"/>
        <v>9.0000000000000071</v>
      </c>
      <c r="G215" s="857">
        <f t="shared" si="100"/>
        <v>9.0000000000000071</v>
      </c>
      <c r="H215" s="897">
        <f t="shared" si="101"/>
        <v>17.175000000000008</v>
      </c>
      <c r="I215" s="1021">
        <f t="shared" si="97"/>
        <v>1.6951056971217979</v>
      </c>
    </row>
    <row r="216" spans="1:10">
      <c r="A216" s="1014" t="s">
        <v>493</v>
      </c>
      <c r="B216" s="857">
        <f>geral!M957</f>
        <v>2099.0283063250004</v>
      </c>
      <c r="C216" s="857">
        <f t="shared" si="62"/>
        <v>486.96833387272648</v>
      </c>
      <c r="D216" s="857">
        <f t="shared" si="49"/>
        <v>386.96833387272648</v>
      </c>
      <c r="E216" s="857">
        <f t="shared" si="98"/>
        <v>0</v>
      </c>
      <c r="F216" s="857">
        <f t="shared" si="99"/>
        <v>9.0000000000000071</v>
      </c>
      <c r="G216" s="857">
        <f t="shared" si="100"/>
        <v>9.0000000000000071</v>
      </c>
      <c r="H216" s="897">
        <f t="shared" si="101"/>
        <v>17.175000000000008</v>
      </c>
      <c r="I216" s="1021">
        <f t="shared" si="97"/>
        <v>1.6951056971217979</v>
      </c>
    </row>
    <row r="217" spans="1:10">
      <c r="A217" s="1014" t="s">
        <v>494</v>
      </c>
      <c r="B217" s="857">
        <f>geral!M958</f>
        <v>2099.0283063250004</v>
      </c>
      <c r="C217" s="857">
        <f t="shared" si="62"/>
        <v>486.96833387272648</v>
      </c>
      <c r="D217" s="857">
        <f t="shared" si="49"/>
        <v>386.96833387272648</v>
      </c>
      <c r="E217" s="857">
        <f t="shared" si="98"/>
        <v>0</v>
      </c>
      <c r="F217" s="857">
        <f t="shared" si="99"/>
        <v>9.0000000000000071</v>
      </c>
      <c r="G217" s="857">
        <f t="shared" si="100"/>
        <v>9.0000000000000071</v>
      </c>
      <c r="H217" s="897">
        <f t="shared" si="101"/>
        <v>17.175000000000008</v>
      </c>
      <c r="I217" s="1021">
        <f t="shared" si="97"/>
        <v>1.6951056971217979</v>
      </c>
    </row>
    <row r="218" spans="1:10">
      <c r="A218" s="1014" t="s">
        <v>495</v>
      </c>
      <c r="B218" s="857">
        <f>geral!C962</f>
        <v>2099.0283063250004</v>
      </c>
      <c r="C218" s="857">
        <f t="shared" ref="C218:C223" si="102">100*B218/$B$8</f>
        <v>486.96833387272648</v>
      </c>
      <c r="D218" s="857">
        <f t="shared" ref="D218:D223" si="103">C218-100</f>
        <v>386.96833387272648</v>
      </c>
      <c r="E218" s="857">
        <f t="shared" ref="E218:E223" si="104">100*((B218/B217)-1)</f>
        <v>0</v>
      </c>
      <c r="F218" s="857">
        <f t="shared" ref="F218:F223" si="105">100*((B218/$B$217)-1)</f>
        <v>0</v>
      </c>
      <c r="G218" s="857">
        <f t="shared" ref="G218:G223" si="106">100*((B218/B206)-1)</f>
        <v>9.0000000000000071</v>
      </c>
      <c r="H218" s="897">
        <f t="shared" ref="H218:H223" si="107">100*(B218/B194-1)</f>
        <v>17.175000000000008</v>
      </c>
      <c r="I218" s="1021">
        <f t="shared" si="97"/>
        <v>1.6951056971217979</v>
      </c>
    </row>
    <row r="219" spans="1:10">
      <c r="A219" s="1014" t="s">
        <v>496</v>
      </c>
      <c r="B219" s="857">
        <f>geral!C963</f>
        <v>2099.0283063250004</v>
      </c>
      <c r="C219" s="857">
        <f t="shared" si="102"/>
        <v>486.96833387272648</v>
      </c>
      <c r="D219" s="857">
        <f t="shared" si="103"/>
        <v>386.96833387272648</v>
      </c>
      <c r="E219" s="857">
        <f t="shared" si="104"/>
        <v>0</v>
      </c>
      <c r="F219" s="857">
        <f t="shared" si="105"/>
        <v>0</v>
      </c>
      <c r="G219" s="857">
        <f t="shared" si="106"/>
        <v>9.0000000000000071</v>
      </c>
      <c r="H219" s="897">
        <f t="shared" si="107"/>
        <v>17.175000000000008</v>
      </c>
      <c r="I219" s="1021">
        <f t="shared" si="97"/>
        <v>1.6951056971217979</v>
      </c>
    </row>
    <row r="220" spans="1:10">
      <c r="A220" s="1014" t="s">
        <v>497</v>
      </c>
      <c r="B220" s="857">
        <f>geral!C964</f>
        <v>2099.0283063250004</v>
      </c>
      <c r="C220" s="857">
        <f t="shared" si="102"/>
        <v>486.96833387272648</v>
      </c>
      <c r="D220" s="857">
        <f t="shared" si="103"/>
        <v>386.96833387272648</v>
      </c>
      <c r="E220" s="857">
        <f t="shared" si="104"/>
        <v>0</v>
      </c>
      <c r="F220" s="857">
        <f t="shared" si="105"/>
        <v>0</v>
      </c>
      <c r="G220" s="857">
        <f t="shared" si="106"/>
        <v>9.0000000000000071</v>
      </c>
      <c r="H220" s="897">
        <f t="shared" si="107"/>
        <v>17.175000000000008</v>
      </c>
      <c r="I220" s="1021">
        <f t="shared" si="97"/>
        <v>1.6951056971217979</v>
      </c>
    </row>
    <row r="221" spans="1:10">
      <c r="A221" s="1014" t="s">
        <v>498</v>
      </c>
      <c r="B221" s="857">
        <f>geral!C965</f>
        <v>2099.0283063250004</v>
      </c>
      <c r="C221" s="857">
        <f t="shared" si="102"/>
        <v>486.96833387272648</v>
      </c>
      <c r="D221" s="857">
        <f t="shared" si="103"/>
        <v>386.96833387272648</v>
      </c>
      <c r="E221" s="857">
        <f t="shared" si="104"/>
        <v>0</v>
      </c>
      <c r="F221" s="857">
        <f t="shared" si="105"/>
        <v>0</v>
      </c>
      <c r="G221" s="857">
        <f t="shared" si="106"/>
        <v>9.0000000000000071</v>
      </c>
      <c r="H221" s="897">
        <f t="shared" si="107"/>
        <v>17.175000000000008</v>
      </c>
      <c r="I221" s="1021">
        <f t="shared" si="97"/>
        <v>1.6951056971217979</v>
      </c>
    </row>
    <row r="222" spans="1:10">
      <c r="A222" s="1014" t="s">
        <v>499</v>
      </c>
      <c r="B222" s="857">
        <f>geral!C966</f>
        <v>2266.9505708310007</v>
      </c>
      <c r="C222" s="857">
        <f t="shared" si="102"/>
        <v>525.92580058254475</v>
      </c>
      <c r="D222" s="857">
        <f t="shared" si="103"/>
        <v>425.92580058254475</v>
      </c>
      <c r="E222" s="857">
        <f t="shared" si="104"/>
        <v>8.0000000000000071</v>
      </c>
      <c r="F222" s="857">
        <f t="shared" si="105"/>
        <v>8.0000000000000071</v>
      </c>
      <c r="G222" s="857">
        <f t="shared" si="106"/>
        <v>8.0000000000000071</v>
      </c>
      <c r="H222" s="897">
        <f t="shared" si="107"/>
        <v>17.720000000000049</v>
      </c>
      <c r="I222" s="1021">
        <f t="shared" si="97"/>
        <v>1.5695423121498127</v>
      </c>
      <c r="J222" s="782" t="s">
        <v>377</v>
      </c>
    </row>
    <row r="223" spans="1:10">
      <c r="A223" s="1014" t="s">
        <v>500</v>
      </c>
      <c r="B223" s="857">
        <f>geral!C967</f>
        <v>2266.9505708310007</v>
      </c>
      <c r="C223" s="857">
        <f t="shared" si="102"/>
        <v>525.92580058254475</v>
      </c>
      <c r="D223" s="857">
        <f t="shared" si="103"/>
        <v>425.92580058254475</v>
      </c>
      <c r="E223" s="857">
        <f t="shared" si="104"/>
        <v>0</v>
      </c>
      <c r="F223" s="857">
        <f t="shared" si="105"/>
        <v>8.0000000000000071</v>
      </c>
      <c r="G223" s="857">
        <f t="shared" si="106"/>
        <v>8.0000000000000071</v>
      </c>
      <c r="H223" s="897">
        <f t="shared" si="107"/>
        <v>17.720000000000049</v>
      </c>
      <c r="I223" s="1021">
        <f t="shared" si="97"/>
        <v>1.5695423121498127</v>
      </c>
    </row>
    <row r="224" spans="1:10">
      <c r="A224" s="1014" t="s">
        <v>501</v>
      </c>
      <c r="B224" s="857">
        <f>geral!C968</f>
        <v>2266.9505708310007</v>
      </c>
      <c r="C224" s="857">
        <f t="shared" ref="C224:C229" si="108">100*B224/$B$8</f>
        <v>525.92580058254475</v>
      </c>
      <c r="D224" s="857">
        <f t="shared" ref="D224:D229" si="109">C224-100</f>
        <v>425.92580058254475</v>
      </c>
      <c r="E224" s="857">
        <f t="shared" ref="E224:E229" si="110">100*((B224/B223)-1)</f>
        <v>0</v>
      </c>
      <c r="F224" s="857">
        <f t="shared" ref="F224:F229" si="111">100*((B224/$B$217)-1)</f>
        <v>8.0000000000000071</v>
      </c>
      <c r="G224" s="857">
        <f t="shared" ref="G224:G229" si="112">100*((B224/B212)-1)</f>
        <v>8.0000000000000071</v>
      </c>
      <c r="H224" s="897">
        <f t="shared" ref="H224:H229" si="113">100*(B224/B200-1)</f>
        <v>17.720000000000049</v>
      </c>
      <c r="I224" s="1021">
        <f t="shared" si="97"/>
        <v>1.5695423121498127</v>
      </c>
    </row>
    <row r="225" spans="1:10">
      <c r="A225" s="1014" t="s">
        <v>502</v>
      </c>
      <c r="B225" s="857">
        <f>geral!C969</f>
        <v>2266.9505708310007</v>
      </c>
      <c r="C225" s="857">
        <f t="shared" si="108"/>
        <v>525.92580058254475</v>
      </c>
      <c r="D225" s="857">
        <f t="shared" si="109"/>
        <v>425.92580058254475</v>
      </c>
      <c r="E225" s="857">
        <f t="shared" si="110"/>
        <v>0</v>
      </c>
      <c r="F225" s="857">
        <f t="shared" si="111"/>
        <v>8.0000000000000071</v>
      </c>
      <c r="G225" s="857">
        <f t="shared" si="112"/>
        <v>8.0000000000000071</v>
      </c>
      <c r="H225" s="897">
        <f t="shared" si="113"/>
        <v>17.720000000000049</v>
      </c>
      <c r="I225" s="1021">
        <f t="shared" si="97"/>
        <v>1.5695423121498127</v>
      </c>
    </row>
    <row r="226" spans="1:10">
      <c r="A226" s="1014" t="s">
        <v>503</v>
      </c>
      <c r="B226" s="857">
        <f>geral!C970</f>
        <v>2266.9505708310007</v>
      </c>
      <c r="C226" s="857">
        <f t="shared" si="108"/>
        <v>525.92580058254475</v>
      </c>
      <c r="D226" s="857">
        <f t="shared" si="109"/>
        <v>425.92580058254475</v>
      </c>
      <c r="E226" s="857">
        <f t="shared" si="110"/>
        <v>0</v>
      </c>
      <c r="F226" s="857">
        <f t="shared" si="111"/>
        <v>8.0000000000000071</v>
      </c>
      <c r="G226" s="857">
        <f t="shared" si="112"/>
        <v>8.0000000000000071</v>
      </c>
      <c r="H226" s="897">
        <f t="shared" si="113"/>
        <v>17.720000000000049</v>
      </c>
      <c r="I226" s="1021">
        <f t="shared" si="97"/>
        <v>1.5695423121498127</v>
      </c>
    </row>
    <row r="227" spans="1:10">
      <c r="A227" s="1014" t="s">
        <v>504</v>
      </c>
      <c r="B227" s="857">
        <f>geral!C971</f>
        <v>2266.9505708310007</v>
      </c>
      <c r="C227" s="857">
        <f t="shared" si="108"/>
        <v>525.92580058254475</v>
      </c>
      <c r="D227" s="857">
        <f t="shared" si="109"/>
        <v>425.92580058254475</v>
      </c>
      <c r="E227" s="857">
        <f t="shared" si="110"/>
        <v>0</v>
      </c>
      <c r="F227" s="857">
        <f t="shared" si="111"/>
        <v>8.0000000000000071</v>
      </c>
      <c r="G227" s="857">
        <f t="shared" si="112"/>
        <v>8.0000000000000071</v>
      </c>
      <c r="H227" s="897">
        <f t="shared" si="113"/>
        <v>17.720000000000049</v>
      </c>
      <c r="I227" s="1021">
        <f t="shared" si="97"/>
        <v>1.5695423121498127</v>
      </c>
    </row>
    <row r="228" spans="1:10">
      <c r="A228" s="1014" t="s">
        <v>505</v>
      </c>
      <c r="B228" s="857">
        <f>geral!C972</f>
        <v>2266.9505708310007</v>
      </c>
      <c r="C228" s="857">
        <f t="shared" si="108"/>
        <v>525.92580058254475</v>
      </c>
      <c r="D228" s="857">
        <f t="shared" si="109"/>
        <v>425.92580058254475</v>
      </c>
      <c r="E228" s="857">
        <f t="shared" si="110"/>
        <v>0</v>
      </c>
      <c r="F228" s="857">
        <f t="shared" si="111"/>
        <v>8.0000000000000071</v>
      </c>
      <c r="G228" s="857">
        <f t="shared" si="112"/>
        <v>8.0000000000000071</v>
      </c>
      <c r="H228" s="897">
        <f t="shared" si="113"/>
        <v>17.720000000000049</v>
      </c>
      <c r="I228" s="1021">
        <f t="shared" si="97"/>
        <v>1.5695423121498127</v>
      </c>
    </row>
    <row r="229" spans="1:10">
      <c r="A229" s="1014" t="s">
        <v>506</v>
      </c>
      <c r="B229" s="857">
        <f>geral!C973</f>
        <v>2266.9505708310007</v>
      </c>
      <c r="C229" s="857">
        <f t="shared" si="108"/>
        <v>525.92580058254475</v>
      </c>
      <c r="D229" s="857">
        <f t="shared" si="109"/>
        <v>425.92580058254475</v>
      </c>
      <c r="E229" s="857">
        <f t="shared" si="110"/>
        <v>0</v>
      </c>
      <c r="F229" s="857">
        <f t="shared" si="111"/>
        <v>8.0000000000000071</v>
      </c>
      <c r="G229" s="857">
        <f t="shared" si="112"/>
        <v>8.0000000000000071</v>
      </c>
      <c r="H229" s="897">
        <f t="shared" si="113"/>
        <v>17.720000000000049</v>
      </c>
      <c r="I229" s="1021">
        <f t="shared" si="97"/>
        <v>1.5695423121498127</v>
      </c>
    </row>
    <row r="230" spans="1:10">
      <c r="A230" s="1014" t="s">
        <v>507</v>
      </c>
      <c r="B230" s="857">
        <f>geral!E962</f>
        <v>2266.9505708310007</v>
      </c>
      <c r="C230" s="857">
        <f t="shared" ref="C230:C235" si="114">100*B230/$B$8</f>
        <v>525.92580058254475</v>
      </c>
      <c r="D230" s="857">
        <f t="shared" ref="D230:D235" si="115">C230-100</f>
        <v>425.92580058254475</v>
      </c>
      <c r="E230" s="857">
        <f t="shared" ref="E230:E235" si="116">100*((B230/B229)-1)</f>
        <v>0</v>
      </c>
      <c r="F230" s="857">
        <f t="shared" ref="F230:F235" si="117">100*((B230/$B$229)-1)</f>
        <v>0</v>
      </c>
      <c r="G230" s="857">
        <f t="shared" ref="G230:G235" si="118">100*((B230/B218)-1)</f>
        <v>8.0000000000000071</v>
      </c>
      <c r="H230" s="897">
        <f t="shared" ref="H230:H235" si="119">100*(B230/B206-1)</f>
        <v>17.720000000000049</v>
      </c>
      <c r="I230" s="1021">
        <f t="shared" si="97"/>
        <v>1.5695423121498127</v>
      </c>
    </row>
    <row r="231" spans="1:10">
      <c r="A231" s="1014" t="s">
        <v>508</v>
      </c>
      <c r="B231" s="857">
        <f>geral!E963</f>
        <v>2266.9505708310007</v>
      </c>
      <c r="C231" s="857">
        <f t="shared" si="114"/>
        <v>525.92580058254475</v>
      </c>
      <c r="D231" s="857">
        <f t="shared" si="115"/>
        <v>425.92580058254475</v>
      </c>
      <c r="E231" s="857">
        <f t="shared" si="116"/>
        <v>0</v>
      </c>
      <c r="F231" s="857">
        <f t="shared" si="117"/>
        <v>0</v>
      </c>
      <c r="G231" s="857">
        <f t="shared" si="118"/>
        <v>8.0000000000000071</v>
      </c>
      <c r="H231" s="897">
        <f t="shared" si="119"/>
        <v>17.720000000000049</v>
      </c>
      <c r="I231" s="1021">
        <f t="shared" si="97"/>
        <v>1.5695423121498127</v>
      </c>
    </row>
    <row r="232" spans="1:10">
      <c r="A232" s="1014" t="s">
        <v>509</v>
      </c>
      <c r="B232" s="857">
        <f>geral!E964</f>
        <v>2266.9505708310007</v>
      </c>
      <c r="C232" s="857">
        <f t="shared" si="114"/>
        <v>525.92580058254475</v>
      </c>
      <c r="D232" s="857">
        <f t="shared" si="115"/>
        <v>425.92580058254475</v>
      </c>
      <c r="E232" s="857">
        <f t="shared" si="116"/>
        <v>0</v>
      </c>
      <c r="F232" s="857">
        <f t="shared" si="117"/>
        <v>0</v>
      </c>
      <c r="G232" s="857">
        <f t="shared" si="118"/>
        <v>8.0000000000000071</v>
      </c>
      <c r="H232" s="897">
        <f t="shared" si="119"/>
        <v>17.720000000000049</v>
      </c>
      <c r="I232" s="1021">
        <f t="shared" si="97"/>
        <v>1.5695423121498127</v>
      </c>
    </row>
    <row r="233" spans="1:10">
      <c r="A233" s="1014" t="s">
        <v>510</v>
      </c>
      <c r="B233" s="857">
        <f>geral!E965</f>
        <v>2266.9505708310007</v>
      </c>
      <c r="C233" s="857">
        <f t="shared" si="114"/>
        <v>525.92580058254475</v>
      </c>
      <c r="D233" s="857">
        <f t="shared" si="115"/>
        <v>425.92580058254475</v>
      </c>
      <c r="E233" s="857">
        <f t="shared" si="116"/>
        <v>0</v>
      </c>
      <c r="F233" s="857">
        <f t="shared" si="117"/>
        <v>0</v>
      </c>
      <c r="G233" s="857">
        <f t="shared" si="118"/>
        <v>8.0000000000000071</v>
      </c>
      <c r="H233" s="897">
        <f t="shared" si="119"/>
        <v>17.720000000000049</v>
      </c>
      <c r="I233" s="1021">
        <f t="shared" si="97"/>
        <v>1.5695423121498127</v>
      </c>
    </row>
    <row r="234" spans="1:10">
      <c r="A234" s="1014" t="s">
        <v>511</v>
      </c>
      <c r="B234" s="857">
        <f>geral!E966</f>
        <v>2470.9761222057909</v>
      </c>
      <c r="C234" s="857">
        <f t="shared" si="114"/>
        <v>573.25912263497378</v>
      </c>
      <c r="D234" s="857">
        <f t="shared" si="115"/>
        <v>473.25912263497378</v>
      </c>
      <c r="E234" s="857">
        <f t="shared" si="116"/>
        <v>9.0000000000000071</v>
      </c>
      <c r="F234" s="857">
        <f t="shared" si="117"/>
        <v>9.0000000000000071</v>
      </c>
      <c r="G234" s="857">
        <f t="shared" si="118"/>
        <v>9.0000000000000071</v>
      </c>
      <c r="H234" s="897">
        <f t="shared" si="119"/>
        <v>17.720000000000024</v>
      </c>
      <c r="I234" s="1021">
        <f t="shared" si="97"/>
        <v>1.4399470753668004</v>
      </c>
      <c r="J234" s="782" t="s">
        <v>376</v>
      </c>
    </row>
    <row r="235" spans="1:10">
      <c r="A235" s="1014" t="s">
        <v>512</v>
      </c>
      <c r="B235" s="857">
        <f>geral!E967</f>
        <v>2470.9761222057909</v>
      </c>
      <c r="C235" s="857">
        <f t="shared" si="114"/>
        <v>573.25912263497378</v>
      </c>
      <c r="D235" s="857">
        <f t="shared" si="115"/>
        <v>473.25912263497378</v>
      </c>
      <c r="E235" s="857">
        <f t="shared" si="116"/>
        <v>0</v>
      </c>
      <c r="F235" s="857">
        <f t="shared" si="117"/>
        <v>9.0000000000000071</v>
      </c>
      <c r="G235" s="857">
        <f t="shared" si="118"/>
        <v>9.0000000000000071</v>
      </c>
      <c r="H235" s="897">
        <f t="shared" si="119"/>
        <v>17.720000000000024</v>
      </c>
      <c r="I235" s="1021">
        <f t="shared" si="97"/>
        <v>1.4399470753668004</v>
      </c>
    </row>
    <row r="236" spans="1:10">
      <c r="A236" s="1014" t="s">
        <v>513</v>
      </c>
      <c r="B236" s="857">
        <f>geral!E968</f>
        <v>2470.9761222057909</v>
      </c>
      <c r="C236" s="857">
        <f t="shared" ref="C236:C241" si="120">100*B236/$B$8</f>
        <v>573.25912263497378</v>
      </c>
      <c r="D236" s="857">
        <f t="shared" ref="D236:D241" si="121">C236-100</f>
        <v>473.25912263497378</v>
      </c>
      <c r="E236" s="857">
        <f t="shared" ref="E236:E241" si="122">100*((B236/B235)-1)</f>
        <v>0</v>
      </c>
      <c r="F236" s="857">
        <f t="shared" ref="F236:F241" si="123">100*((B236/$B$229)-1)</f>
        <v>9.0000000000000071</v>
      </c>
      <c r="G236" s="857">
        <f t="shared" ref="G236:G241" si="124">100*((B236/B224)-1)</f>
        <v>9.0000000000000071</v>
      </c>
      <c r="H236" s="897">
        <f t="shared" ref="H236:H241" si="125">100*(B236/B212-1)</f>
        <v>17.720000000000024</v>
      </c>
      <c r="I236" s="1021">
        <f t="shared" si="97"/>
        <v>1.4399470753668004</v>
      </c>
    </row>
    <row r="237" spans="1:10">
      <c r="A237" s="1014" t="s">
        <v>514</v>
      </c>
      <c r="B237" s="857">
        <f>geral!E969</f>
        <v>2470.9761222057909</v>
      </c>
      <c r="C237" s="857">
        <f t="shared" si="120"/>
        <v>573.25912263497378</v>
      </c>
      <c r="D237" s="857">
        <f t="shared" si="121"/>
        <v>473.25912263497378</v>
      </c>
      <c r="E237" s="857">
        <f t="shared" si="122"/>
        <v>0</v>
      </c>
      <c r="F237" s="857">
        <f t="shared" si="123"/>
        <v>9.0000000000000071</v>
      </c>
      <c r="G237" s="857">
        <f t="shared" si="124"/>
        <v>9.0000000000000071</v>
      </c>
      <c r="H237" s="897">
        <f t="shared" si="125"/>
        <v>17.720000000000024</v>
      </c>
      <c r="I237" s="1021">
        <f t="shared" si="97"/>
        <v>1.4399470753668004</v>
      </c>
    </row>
    <row r="238" spans="1:10">
      <c r="A238" s="1014" t="s">
        <v>515</v>
      </c>
      <c r="B238" s="857">
        <f>geral!E970</f>
        <v>2493.6456279141012</v>
      </c>
      <c r="C238" s="857">
        <f t="shared" si="120"/>
        <v>578.51838064079925</v>
      </c>
      <c r="D238" s="857">
        <f t="shared" si="121"/>
        <v>478.51838064079925</v>
      </c>
      <c r="E238" s="857">
        <f t="shared" si="122"/>
        <v>0.91743119266056716</v>
      </c>
      <c r="F238" s="857">
        <f t="shared" si="123"/>
        <v>10.000000000000009</v>
      </c>
      <c r="G238" s="857">
        <f t="shared" si="124"/>
        <v>10.000000000000009</v>
      </c>
      <c r="H238" s="897">
        <f t="shared" si="125"/>
        <v>18.80000000000004</v>
      </c>
      <c r="I238" s="1021">
        <f t="shared" si="97"/>
        <v>1.4268566474089204</v>
      </c>
      <c r="J238" s="782" t="s">
        <v>318</v>
      </c>
    </row>
    <row r="239" spans="1:10">
      <c r="A239" s="1014" t="s">
        <v>516</v>
      </c>
      <c r="B239" s="857">
        <f>geral!E971</f>
        <v>2493.6456279141012</v>
      </c>
      <c r="C239" s="857">
        <f t="shared" si="120"/>
        <v>578.51838064079925</v>
      </c>
      <c r="D239" s="857">
        <f t="shared" si="121"/>
        <v>478.51838064079925</v>
      </c>
      <c r="E239" s="857">
        <f t="shared" si="122"/>
        <v>0</v>
      </c>
      <c r="F239" s="857">
        <f t="shared" si="123"/>
        <v>10.000000000000009</v>
      </c>
      <c r="G239" s="857">
        <f t="shared" si="124"/>
        <v>10.000000000000009</v>
      </c>
      <c r="H239" s="897">
        <f t="shared" si="125"/>
        <v>18.80000000000004</v>
      </c>
      <c r="I239" s="1021">
        <f t="shared" si="97"/>
        <v>1.4268566474089204</v>
      </c>
    </row>
    <row r="240" spans="1:10">
      <c r="A240" s="1014" t="s">
        <v>517</v>
      </c>
      <c r="B240" s="857">
        <f>geral!E972</f>
        <v>2493.6456279141012</v>
      </c>
      <c r="C240" s="857">
        <f t="shared" si="120"/>
        <v>578.51838064079925</v>
      </c>
      <c r="D240" s="857">
        <f t="shared" si="121"/>
        <v>478.51838064079925</v>
      </c>
      <c r="E240" s="857">
        <f t="shared" si="122"/>
        <v>0</v>
      </c>
      <c r="F240" s="857">
        <f t="shared" si="123"/>
        <v>10.000000000000009</v>
      </c>
      <c r="G240" s="857">
        <f t="shared" si="124"/>
        <v>10.000000000000009</v>
      </c>
      <c r="H240" s="897">
        <f t="shared" si="125"/>
        <v>18.80000000000004</v>
      </c>
      <c r="I240" s="1021">
        <f t="shared" si="97"/>
        <v>1.4268566474089204</v>
      </c>
    </row>
    <row r="241" spans="1:10">
      <c r="A241" s="1014" t="s">
        <v>518</v>
      </c>
      <c r="B241" s="857">
        <f>geral!E973</f>
        <v>2493.6456279141012</v>
      </c>
      <c r="C241" s="857">
        <f t="shared" si="120"/>
        <v>578.51838064079925</v>
      </c>
      <c r="D241" s="857">
        <f t="shared" si="121"/>
        <v>478.51838064079925</v>
      </c>
      <c r="E241" s="857">
        <f t="shared" si="122"/>
        <v>0</v>
      </c>
      <c r="F241" s="857">
        <f t="shared" si="123"/>
        <v>10.000000000000009</v>
      </c>
      <c r="G241" s="857">
        <f t="shared" si="124"/>
        <v>10.000000000000009</v>
      </c>
      <c r="H241" s="897">
        <f t="shared" si="125"/>
        <v>18.80000000000004</v>
      </c>
      <c r="I241" s="1021">
        <f t="shared" si="97"/>
        <v>1.4268566474089204</v>
      </c>
    </row>
    <row r="242" spans="1:10">
      <c r="A242" s="1014" t="s">
        <v>519</v>
      </c>
      <c r="B242" s="857">
        <f>geral!G962</f>
        <v>2493.6456279141012</v>
      </c>
      <c r="C242" s="857">
        <f t="shared" ref="C242:C247" si="126">100*B242/$B$8</f>
        <v>578.51838064079925</v>
      </c>
      <c r="D242" s="857">
        <f t="shared" ref="D242:D247" si="127">C242-100</f>
        <v>478.51838064079925</v>
      </c>
      <c r="E242" s="857">
        <f t="shared" ref="E242:E247" si="128">100*((B242/B241)-1)</f>
        <v>0</v>
      </c>
      <c r="F242" s="857">
        <f>100*((B242/$B$229)-1)</f>
        <v>10.000000000000009</v>
      </c>
      <c r="G242" s="857">
        <f t="shared" ref="G242:G247" si="129">100*((B242/B230)-1)</f>
        <v>10.000000000000009</v>
      </c>
      <c r="H242" s="897">
        <f t="shared" ref="H242:H247" si="130">100*(B242/B218-1)</f>
        <v>18.80000000000004</v>
      </c>
      <c r="I242" s="1021">
        <f t="shared" si="97"/>
        <v>1.4268566474089204</v>
      </c>
    </row>
    <row r="243" spans="1:10">
      <c r="A243" s="1014" t="s">
        <v>520</v>
      </c>
      <c r="B243" s="857">
        <f>geral!G963</f>
        <v>2493.6456279141012</v>
      </c>
      <c r="C243" s="857">
        <f t="shared" si="126"/>
        <v>578.51838064079925</v>
      </c>
      <c r="D243" s="857">
        <f t="shared" si="127"/>
        <v>478.51838064079925</v>
      </c>
      <c r="E243" s="857">
        <f t="shared" si="128"/>
        <v>0</v>
      </c>
      <c r="F243" s="857">
        <f>100*((B243/$B$229)-1)</f>
        <v>10.000000000000009</v>
      </c>
      <c r="G243" s="857">
        <f t="shared" si="129"/>
        <v>10.000000000000009</v>
      </c>
      <c r="H243" s="897">
        <f t="shared" si="130"/>
        <v>18.80000000000004</v>
      </c>
      <c r="I243" s="1021">
        <f t="shared" si="97"/>
        <v>1.4268566474089204</v>
      </c>
    </row>
    <row r="244" spans="1:10">
      <c r="A244" s="1014" t="s">
        <v>521</v>
      </c>
      <c r="B244" s="857">
        <f>geral!G964</f>
        <v>2493.6456279141012</v>
      </c>
      <c r="C244" s="857">
        <f t="shared" si="126"/>
        <v>578.51838064079925</v>
      </c>
      <c r="D244" s="857">
        <f t="shared" si="127"/>
        <v>478.51838064079925</v>
      </c>
      <c r="E244" s="857">
        <f t="shared" si="128"/>
        <v>0</v>
      </c>
      <c r="F244" s="857">
        <f>100*((B244/$B$229)-1)</f>
        <v>10.000000000000009</v>
      </c>
      <c r="G244" s="857">
        <f t="shared" si="129"/>
        <v>10.000000000000009</v>
      </c>
      <c r="H244" s="897">
        <f t="shared" si="130"/>
        <v>18.80000000000004</v>
      </c>
      <c r="I244" s="1021">
        <f t="shared" si="97"/>
        <v>1.4268566474089204</v>
      </c>
    </row>
    <row r="245" spans="1:10">
      <c r="A245" s="1014" t="s">
        <v>522</v>
      </c>
      <c r="B245" s="857">
        <f>geral!G965</f>
        <v>2493.6456279141012</v>
      </c>
      <c r="C245" s="857">
        <f t="shared" si="126"/>
        <v>578.51838064079925</v>
      </c>
      <c r="D245" s="857">
        <f t="shared" si="127"/>
        <v>478.51838064079925</v>
      </c>
      <c r="E245" s="857">
        <f t="shared" si="128"/>
        <v>0</v>
      </c>
      <c r="F245" s="857">
        <f>100*((B245/$B$229)-1)</f>
        <v>10.000000000000009</v>
      </c>
      <c r="G245" s="857">
        <f t="shared" si="129"/>
        <v>10.000000000000009</v>
      </c>
      <c r="H245" s="897">
        <f t="shared" si="130"/>
        <v>18.80000000000004</v>
      </c>
      <c r="I245" s="1021">
        <f t="shared" si="97"/>
        <v>1.4268566474089204</v>
      </c>
    </row>
    <row r="246" spans="1:10">
      <c r="A246" s="1014" t="s">
        <v>523</v>
      </c>
      <c r="B246" s="857">
        <f>geral!G966</f>
        <v>2680.6690500076588</v>
      </c>
      <c r="C246" s="857">
        <f t="shared" si="126"/>
        <v>621.90725918885914</v>
      </c>
      <c r="D246" s="857">
        <f t="shared" si="127"/>
        <v>521.90725918885914</v>
      </c>
      <c r="E246" s="857">
        <f t="shared" si="128"/>
        <v>7.4999999999999956</v>
      </c>
      <c r="F246" s="857">
        <f t="shared" ref="F246:F251" si="131">100*((B246/$B$241)-1)</f>
        <v>7.4999999999999956</v>
      </c>
      <c r="G246" s="857">
        <f t="shared" si="129"/>
        <v>8.4862385321101019</v>
      </c>
      <c r="H246" s="897">
        <f t="shared" si="130"/>
        <v>18.250000000000011</v>
      </c>
      <c r="I246" s="1021">
        <f t="shared" si="97"/>
        <v>1.3273085092176002</v>
      </c>
      <c r="J246" s="782" t="s">
        <v>375</v>
      </c>
    </row>
    <row r="247" spans="1:10">
      <c r="A247" s="1014" t="s">
        <v>524</v>
      </c>
      <c r="B247" s="857">
        <f>geral!G967</f>
        <v>2680.6690500076588</v>
      </c>
      <c r="C247" s="857">
        <f t="shared" si="126"/>
        <v>621.90725918885914</v>
      </c>
      <c r="D247" s="857">
        <f t="shared" si="127"/>
        <v>521.90725918885914</v>
      </c>
      <c r="E247" s="857">
        <f t="shared" si="128"/>
        <v>0</v>
      </c>
      <c r="F247" s="857">
        <f t="shared" si="131"/>
        <v>7.4999999999999956</v>
      </c>
      <c r="G247" s="857">
        <f t="shared" si="129"/>
        <v>8.4862385321101019</v>
      </c>
      <c r="H247" s="897">
        <f t="shared" si="130"/>
        <v>18.250000000000011</v>
      </c>
      <c r="I247" s="1021">
        <f t="shared" si="97"/>
        <v>1.3273085092176002</v>
      </c>
    </row>
    <row r="248" spans="1:10">
      <c r="A248" s="1014" t="s">
        <v>525</v>
      </c>
      <c r="B248" s="857">
        <f>geral!G968</f>
        <v>2680.6690500076588</v>
      </c>
      <c r="C248" s="857">
        <f t="shared" ref="C248:C253" si="132">100*B248/$B$8</f>
        <v>621.90725918885914</v>
      </c>
      <c r="D248" s="857">
        <f t="shared" ref="D248:D253" si="133">C248-100</f>
        <v>521.90725918885914</v>
      </c>
      <c r="E248" s="857">
        <f t="shared" ref="E248:E253" si="134">100*((B248/B247)-1)</f>
        <v>0</v>
      </c>
      <c r="F248" s="857">
        <f t="shared" si="131"/>
        <v>7.4999999999999956</v>
      </c>
      <c r="G248" s="857">
        <f t="shared" ref="G248:G253" si="135">100*((B248/B236)-1)</f>
        <v>8.4862385321101019</v>
      </c>
      <c r="H248" s="897">
        <f t="shared" ref="H248:H253" si="136">100*(B248/B224-1)</f>
        <v>18.250000000000011</v>
      </c>
      <c r="I248" s="1021">
        <f t="shared" si="97"/>
        <v>1.3273085092176002</v>
      </c>
    </row>
    <row r="249" spans="1:10">
      <c r="A249" s="1014" t="s">
        <v>526</v>
      </c>
      <c r="B249" s="857">
        <f>geral!G969</f>
        <v>2680.6690500076588</v>
      </c>
      <c r="C249" s="857">
        <f t="shared" si="132"/>
        <v>621.90725918885914</v>
      </c>
      <c r="D249" s="857">
        <f t="shared" si="133"/>
        <v>521.90725918885914</v>
      </c>
      <c r="E249" s="857">
        <f t="shared" si="134"/>
        <v>0</v>
      </c>
      <c r="F249" s="857">
        <f t="shared" si="131"/>
        <v>7.4999999999999956</v>
      </c>
      <c r="G249" s="857">
        <f t="shared" si="135"/>
        <v>8.4862385321101019</v>
      </c>
      <c r="H249" s="897">
        <f t="shared" si="136"/>
        <v>18.250000000000011</v>
      </c>
      <c r="I249" s="1021">
        <f t="shared" si="97"/>
        <v>1.3273085092176002</v>
      </c>
    </row>
    <row r="250" spans="1:10">
      <c r="A250" s="1014" t="s">
        <v>527</v>
      </c>
      <c r="B250" s="857">
        <f>geral!G970</f>
        <v>2680.6690500076588</v>
      </c>
      <c r="C250" s="857">
        <f t="shared" si="132"/>
        <v>621.90725918885914</v>
      </c>
      <c r="D250" s="857">
        <f t="shared" si="133"/>
        <v>521.90725918885914</v>
      </c>
      <c r="E250" s="857">
        <f t="shared" si="134"/>
        <v>0</v>
      </c>
      <c r="F250" s="857">
        <f t="shared" si="131"/>
        <v>7.4999999999999956</v>
      </c>
      <c r="G250" s="857">
        <f t="shared" si="135"/>
        <v>7.4999999999999956</v>
      </c>
      <c r="H250" s="897">
        <f t="shared" si="136"/>
        <v>18.250000000000011</v>
      </c>
      <c r="I250" s="1021">
        <f t="shared" si="97"/>
        <v>1.3273085092176002</v>
      </c>
    </row>
    <row r="251" spans="1:10">
      <c r="A251" s="1014" t="s">
        <v>528</v>
      </c>
      <c r="B251" s="857">
        <f>geral!G971</f>
        <v>2680.6690500076588</v>
      </c>
      <c r="C251" s="857">
        <f t="shared" si="132"/>
        <v>621.90725918885914</v>
      </c>
      <c r="D251" s="857">
        <f t="shared" si="133"/>
        <v>521.90725918885914</v>
      </c>
      <c r="E251" s="857">
        <f t="shared" si="134"/>
        <v>0</v>
      </c>
      <c r="F251" s="857">
        <f t="shared" si="131"/>
        <v>7.4999999999999956</v>
      </c>
      <c r="G251" s="857">
        <f t="shared" si="135"/>
        <v>7.4999999999999956</v>
      </c>
      <c r="H251" s="897">
        <f t="shared" si="136"/>
        <v>18.250000000000011</v>
      </c>
      <c r="I251" s="1021">
        <f t="shared" si="97"/>
        <v>1.3273085092176002</v>
      </c>
    </row>
    <row r="252" spans="1:10">
      <c r="A252" s="1014" t="s">
        <v>529</v>
      </c>
      <c r="B252" s="857">
        <f>geral!G972</f>
        <v>2680.6690500076588</v>
      </c>
      <c r="C252" s="857">
        <f t="shared" si="132"/>
        <v>621.90725918885914</v>
      </c>
      <c r="D252" s="857">
        <f t="shared" si="133"/>
        <v>521.90725918885914</v>
      </c>
      <c r="E252" s="857">
        <f t="shared" si="134"/>
        <v>0</v>
      </c>
      <c r="F252" s="857">
        <f>100*((B252/$B$241)-1)</f>
        <v>7.4999999999999956</v>
      </c>
      <c r="G252" s="857">
        <f t="shared" si="135"/>
        <v>7.4999999999999956</v>
      </c>
      <c r="H252" s="897">
        <f t="shared" si="136"/>
        <v>18.250000000000011</v>
      </c>
      <c r="I252" s="1021">
        <f t="shared" si="97"/>
        <v>1.3273085092176002</v>
      </c>
    </row>
    <row r="253" spans="1:10">
      <c r="A253" s="1014" t="s">
        <v>530</v>
      </c>
      <c r="B253" s="857">
        <f>geral!G973</f>
        <v>2680.6690500076588</v>
      </c>
      <c r="C253" s="857">
        <f t="shared" si="132"/>
        <v>621.90725918885914</v>
      </c>
      <c r="D253" s="857">
        <f t="shared" si="133"/>
        <v>521.90725918885914</v>
      </c>
      <c r="E253" s="857">
        <f t="shared" si="134"/>
        <v>0</v>
      </c>
      <c r="F253" s="857">
        <f>100*((B253/$B$241)-1)</f>
        <v>7.4999999999999956</v>
      </c>
      <c r="G253" s="857">
        <f t="shared" si="135"/>
        <v>7.4999999999999956</v>
      </c>
      <c r="H253" s="897">
        <f t="shared" si="136"/>
        <v>18.250000000000011</v>
      </c>
      <c r="I253" s="1021">
        <f t="shared" si="97"/>
        <v>1.3273085092176002</v>
      </c>
    </row>
    <row r="254" spans="1:10">
      <c r="A254" s="1014" t="s">
        <v>531</v>
      </c>
      <c r="B254" s="857">
        <f>geral!I962</f>
        <v>2680.6690500076588</v>
      </c>
      <c r="C254" s="857">
        <f t="shared" ref="C254:C259" si="137">100*B254/$B$8</f>
        <v>621.90725918885914</v>
      </c>
      <c r="D254" s="857">
        <f t="shared" ref="D254:D259" si="138">C254-100</f>
        <v>521.90725918885914</v>
      </c>
      <c r="E254" s="857">
        <f t="shared" ref="E254:E259" si="139">100*((B254/B253)-1)</f>
        <v>0</v>
      </c>
      <c r="F254" s="857">
        <f t="shared" ref="F254:F259" si="140">100*((B254/$B$253)-1)</f>
        <v>0</v>
      </c>
      <c r="G254" s="857">
        <f t="shared" ref="G254:G259" si="141">100*((B254/B242)-1)</f>
        <v>7.4999999999999956</v>
      </c>
      <c r="H254" s="897">
        <f t="shared" ref="H254:H259" si="142">100*(B254/B230-1)</f>
        <v>18.250000000000011</v>
      </c>
      <c r="I254" s="1021">
        <f t="shared" si="97"/>
        <v>1.3273085092176002</v>
      </c>
    </row>
    <row r="255" spans="1:10">
      <c r="A255" s="1014" t="s">
        <v>649</v>
      </c>
      <c r="B255" s="857">
        <f>geral!I963</f>
        <v>2680.6690500076588</v>
      </c>
      <c r="C255" s="857">
        <f t="shared" si="137"/>
        <v>621.90725918885914</v>
      </c>
      <c r="D255" s="857">
        <f t="shared" si="138"/>
        <v>521.90725918885914</v>
      </c>
      <c r="E255" s="857">
        <f t="shared" si="139"/>
        <v>0</v>
      </c>
      <c r="F255" s="857">
        <f t="shared" si="140"/>
        <v>0</v>
      </c>
      <c r="G255" s="857">
        <f t="shared" si="141"/>
        <v>7.4999999999999956</v>
      </c>
      <c r="H255" s="897">
        <f t="shared" si="142"/>
        <v>18.250000000000011</v>
      </c>
      <c r="I255" s="1021">
        <f t="shared" si="97"/>
        <v>1.3273085092176002</v>
      </c>
    </row>
    <row r="256" spans="1:10">
      <c r="A256" s="1014" t="s">
        <v>650</v>
      </c>
      <c r="B256" s="857">
        <f>geral!I964</f>
        <v>2680.6690500076588</v>
      </c>
      <c r="C256" s="857">
        <f t="shared" si="137"/>
        <v>621.90725918885914</v>
      </c>
      <c r="D256" s="857">
        <f t="shared" si="138"/>
        <v>521.90725918885914</v>
      </c>
      <c r="E256" s="857">
        <f t="shared" si="139"/>
        <v>0</v>
      </c>
      <c r="F256" s="857">
        <f t="shared" si="140"/>
        <v>0</v>
      </c>
      <c r="G256" s="857">
        <f t="shared" si="141"/>
        <v>7.4999999999999956</v>
      </c>
      <c r="H256" s="897">
        <f t="shared" si="142"/>
        <v>18.250000000000011</v>
      </c>
      <c r="I256" s="1021">
        <f t="shared" si="97"/>
        <v>1.3273085092176002</v>
      </c>
    </row>
    <row r="257" spans="1:10">
      <c r="A257" s="1014" t="s">
        <v>652</v>
      </c>
      <c r="B257" s="857">
        <f>geral!I965</f>
        <v>2680.6690500076588</v>
      </c>
      <c r="C257" s="857">
        <f t="shared" si="137"/>
        <v>621.90725918885914</v>
      </c>
      <c r="D257" s="857">
        <f t="shared" si="138"/>
        <v>521.90725918885914</v>
      </c>
      <c r="E257" s="857">
        <f t="shared" si="139"/>
        <v>0</v>
      </c>
      <c r="F257" s="857">
        <f t="shared" si="140"/>
        <v>0</v>
      </c>
      <c r="G257" s="857">
        <f t="shared" si="141"/>
        <v>7.4999999999999956</v>
      </c>
      <c r="H257" s="897">
        <f t="shared" si="142"/>
        <v>18.250000000000011</v>
      </c>
      <c r="I257" s="1021">
        <f t="shared" si="97"/>
        <v>1.3273085092176002</v>
      </c>
    </row>
    <row r="258" spans="1:10">
      <c r="A258" s="1014" t="s">
        <v>653</v>
      </c>
      <c r="B258" s="857">
        <f>geral!I966</f>
        <v>2904.2368487782987</v>
      </c>
      <c r="C258" s="857">
        <f t="shared" si="137"/>
        <v>673.77432460521027</v>
      </c>
      <c r="D258" s="857">
        <f t="shared" si="138"/>
        <v>573.77432460521027</v>
      </c>
      <c r="E258" s="857">
        <f t="shared" si="139"/>
        <v>8.3400000000000354</v>
      </c>
      <c r="F258" s="857">
        <f t="shared" si="140"/>
        <v>8.3400000000000354</v>
      </c>
      <c r="G258" s="857">
        <f t="shared" si="141"/>
        <v>8.3400000000000354</v>
      </c>
      <c r="H258" s="897">
        <f t="shared" si="142"/>
        <v>17.533990825688139</v>
      </c>
      <c r="I258" s="1021">
        <f t="shared" si="97"/>
        <v>1.2251324618955139</v>
      </c>
    </row>
    <row r="259" spans="1:10">
      <c r="A259" s="1014" t="s">
        <v>654</v>
      </c>
      <c r="B259" s="857">
        <f>geral!I967</f>
        <v>2921.9292645083492</v>
      </c>
      <c r="C259" s="857">
        <f t="shared" si="137"/>
        <v>677.87891251585677</v>
      </c>
      <c r="D259" s="857">
        <f t="shared" si="138"/>
        <v>577.87891251585677</v>
      </c>
      <c r="E259" s="857">
        <f t="shared" si="139"/>
        <v>0.6091932804135114</v>
      </c>
      <c r="F259" s="857">
        <f t="shared" si="140"/>
        <v>9.0000000000000302</v>
      </c>
      <c r="G259" s="857">
        <f t="shared" si="141"/>
        <v>9.0000000000000302</v>
      </c>
      <c r="H259" s="897">
        <f t="shared" si="142"/>
        <v>18.250000000000057</v>
      </c>
      <c r="I259" s="1021">
        <f t="shared" si="97"/>
        <v>1.2177142286399998</v>
      </c>
    </row>
    <row r="260" spans="1:10">
      <c r="A260" s="1014" t="s">
        <v>657</v>
      </c>
      <c r="B260" s="857">
        <f>geral!I968</f>
        <v>2921.9292645083492</v>
      </c>
      <c r="C260" s="857">
        <f t="shared" ref="C260:C265" si="143">100*B260/$B$8</f>
        <v>677.87891251585677</v>
      </c>
      <c r="D260" s="857">
        <f t="shared" ref="D260:D265" si="144">C260-100</f>
        <v>577.87891251585677</v>
      </c>
      <c r="E260" s="857">
        <f t="shared" ref="E260:E265" si="145">100*((B260/B259)-1)</f>
        <v>0</v>
      </c>
      <c r="F260" s="857">
        <f t="shared" ref="F260:F265" si="146">100*((B260/$B$253)-1)</f>
        <v>9.0000000000000302</v>
      </c>
      <c r="G260" s="857">
        <f t="shared" ref="G260:G265" si="147">100*((B260/B248)-1)</f>
        <v>9.0000000000000302</v>
      </c>
      <c r="H260" s="897">
        <f t="shared" ref="H260:H265" si="148">100*(B260/B236-1)</f>
        <v>18.250000000000057</v>
      </c>
      <c r="I260" s="1021">
        <f t="shared" si="97"/>
        <v>1.2177142286399998</v>
      </c>
    </row>
    <row r="261" spans="1:10">
      <c r="A261" s="1014" t="str">
        <f>'mnt_ACCELO 815'!A141</f>
        <v>AGOSTO|15</v>
      </c>
      <c r="B261" s="857">
        <f>geral!I969</f>
        <v>2921.9292645083492</v>
      </c>
      <c r="C261" s="857">
        <f t="shared" si="143"/>
        <v>677.87891251585677</v>
      </c>
      <c r="D261" s="857">
        <f t="shared" si="144"/>
        <v>577.87891251585677</v>
      </c>
      <c r="E261" s="857">
        <f t="shared" si="145"/>
        <v>0</v>
      </c>
      <c r="F261" s="857">
        <f t="shared" si="146"/>
        <v>9.0000000000000302</v>
      </c>
      <c r="G261" s="857">
        <f t="shared" si="147"/>
        <v>9.0000000000000302</v>
      </c>
      <c r="H261" s="897">
        <f t="shared" si="148"/>
        <v>18.250000000000057</v>
      </c>
      <c r="I261" s="1021">
        <f t="shared" si="97"/>
        <v>1.2177142286399998</v>
      </c>
    </row>
    <row r="262" spans="1:10">
      <c r="A262" s="1032" t="str">
        <f>'mnt_ACCELO 815'!A142</f>
        <v>SETEMBRO|15</v>
      </c>
      <c r="B262" s="918">
        <f>geral!I970</f>
        <v>2921.9292645083492</v>
      </c>
      <c r="C262" s="918">
        <f t="shared" si="143"/>
        <v>677.87891251585677</v>
      </c>
      <c r="D262" s="918">
        <f t="shared" si="144"/>
        <v>577.87891251585677</v>
      </c>
      <c r="E262" s="918">
        <f t="shared" si="145"/>
        <v>0</v>
      </c>
      <c r="F262" s="918">
        <f t="shared" si="146"/>
        <v>9.0000000000000302</v>
      </c>
      <c r="G262" s="918">
        <f t="shared" si="147"/>
        <v>9.0000000000000302</v>
      </c>
      <c r="H262" s="1033">
        <f t="shared" si="148"/>
        <v>17.17500000000005</v>
      </c>
      <c r="I262" s="1021">
        <f t="shared" si="97"/>
        <v>1.2177142286399998</v>
      </c>
    </row>
    <row r="263" spans="1:10">
      <c r="A263" s="1032" t="str">
        <f>'mnt_ACCELO 815'!A143</f>
        <v>OUTUBRO|15</v>
      </c>
      <c r="B263" s="918">
        <f>geral!I971</f>
        <v>2921.9292645083492</v>
      </c>
      <c r="C263" s="918">
        <f t="shared" si="143"/>
        <v>677.87891251585677</v>
      </c>
      <c r="D263" s="918">
        <f t="shared" si="144"/>
        <v>577.87891251585677</v>
      </c>
      <c r="E263" s="918">
        <f t="shared" si="145"/>
        <v>0</v>
      </c>
      <c r="F263" s="918">
        <f t="shared" si="146"/>
        <v>9.0000000000000302</v>
      </c>
      <c r="G263" s="918">
        <f t="shared" si="147"/>
        <v>9.0000000000000302</v>
      </c>
      <c r="H263" s="1033">
        <f t="shared" si="148"/>
        <v>17.17500000000005</v>
      </c>
      <c r="I263" s="1021">
        <f t="shared" si="97"/>
        <v>1.2177142286399998</v>
      </c>
    </row>
    <row r="264" spans="1:10">
      <c r="A264" s="1032" t="str">
        <f>'mnt_ACCELO 815'!A144</f>
        <v>NOVEMBRO|15</v>
      </c>
      <c r="B264" s="918">
        <f>geral!I972</f>
        <v>2921.9292645083492</v>
      </c>
      <c r="C264" s="918">
        <f t="shared" si="143"/>
        <v>677.87891251585677</v>
      </c>
      <c r="D264" s="918">
        <f t="shared" si="144"/>
        <v>577.87891251585677</v>
      </c>
      <c r="E264" s="918">
        <f t="shared" si="145"/>
        <v>0</v>
      </c>
      <c r="F264" s="918">
        <f t="shared" si="146"/>
        <v>9.0000000000000302</v>
      </c>
      <c r="G264" s="918">
        <f t="shared" si="147"/>
        <v>9.0000000000000302</v>
      </c>
      <c r="H264" s="1033">
        <f t="shared" si="148"/>
        <v>17.17500000000005</v>
      </c>
      <c r="I264" s="1021">
        <f t="shared" si="97"/>
        <v>1.2177142286399998</v>
      </c>
    </row>
    <row r="265" spans="1:10">
      <c r="A265" s="1032" t="str">
        <f>'mnt_ACCELO 815'!A145</f>
        <v>DEZEMBRO|15</v>
      </c>
      <c r="B265" s="918">
        <f>geral!I973</f>
        <v>2921.9292645083492</v>
      </c>
      <c r="C265" s="918">
        <f t="shared" si="143"/>
        <v>677.87891251585677</v>
      </c>
      <c r="D265" s="918">
        <f t="shared" si="144"/>
        <v>577.87891251585677</v>
      </c>
      <c r="E265" s="918">
        <f t="shared" si="145"/>
        <v>0</v>
      </c>
      <c r="F265" s="918">
        <f t="shared" si="146"/>
        <v>9.0000000000000302</v>
      </c>
      <c r="G265" s="918">
        <f t="shared" si="147"/>
        <v>9.0000000000000302</v>
      </c>
      <c r="H265" s="1033">
        <f t="shared" si="148"/>
        <v>17.17500000000005</v>
      </c>
      <c r="I265" s="1021">
        <f t="shared" si="97"/>
        <v>1.2177142286399998</v>
      </c>
    </row>
    <row r="266" spans="1:10">
      <c r="A266" s="1032" t="str">
        <f>'mnt_ACCELO 815'!A146</f>
        <v>JANEIRO|16</v>
      </c>
      <c r="B266" s="918">
        <f>geral!K962</f>
        <v>2921.9292645083492</v>
      </c>
      <c r="C266" s="918">
        <f t="shared" ref="C266" si="149">100*B266/$B$8</f>
        <v>677.87891251585677</v>
      </c>
      <c r="D266" s="918">
        <f t="shared" ref="D266" si="150">C266-100</f>
        <v>577.87891251585677</v>
      </c>
      <c r="E266" s="918">
        <f t="shared" ref="E266" si="151">100*((B266/B265)-1)</f>
        <v>0</v>
      </c>
      <c r="F266" s="918">
        <f t="shared" ref="F266:F271" si="152">100*((B266/$B$265)-1)</f>
        <v>0</v>
      </c>
      <c r="G266" s="918">
        <f t="shared" ref="G266" si="153">100*((B266/B254)-1)</f>
        <v>9.0000000000000302</v>
      </c>
      <c r="H266" s="1033">
        <f t="shared" ref="H266" si="154">100*(B266/B242-1)</f>
        <v>17.17500000000005</v>
      </c>
      <c r="I266" s="1021">
        <f t="shared" si="97"/>
        <v>1.2177142286399998</v>
      </c>
    </row>
    <row r="267" spans="1:10">
      <c r="A267" s="1032" t="str">
        <f>'mnt_ACCELO 815'!A147</f>
        <v>FEVEREIRO|16</v>
      </c>
      <c r="B267" s="918">
        <f>geral!K963</f>
        <v>2921.9292645083492</v>
      </c>
      <c r="C267" s="918">
        <f t="shared" ref="C267" si="155">100*B267/$B$8</f>
        <v>677.87891251585677</v>
      </c>
      <c r="D267" s="918">
        <f t="shared" ref="D267" si="156">C267-100</f>
        <v>577.87891251585677</v>
      </c>
      <c r="E267" s="918">
        <f t="shared" ref="E267" si="157">100*((B267/B266)-1)</f>
        <v>0</v>
      </c>
      <c r="F267" s="918">
        <f t="shared" si="152"/>
        <v>0</v>
      </c>
      <c r="G267" s="918">
        <f t="shared" ref="G267" si="158">100*((B267/B255)-1)</f>
        <v>9.0000000000000302</v>
      </c>
      <c r="H267" s="1033">
        <f t="shared" ref="H267" si="159">100*(B267/B243-1)</f>
        <v>17.17500000000005</v>
      </c>
      <c r="I267" s="1021">
        <f t="shared" si="97"/>
        <v>1.2177142286399998</v>
      </c>
    </row>
    <row r="268" spans="1:10">
      <c r="A268" s="1032" t="str">
        <f>'mnt_ACCELO 815'!A148</f>
        <v>MARÇO|16</v>
      </c>
      <c r="B268" s="918">
        <f>geral!K964</f>
        <v>2921.9292645083492</v>
      </c>
      <c r="C268" s="918">
        <f t="shared" ref="C268" si="160">100*B268/$B$8</f>
        <v>677.87891251585677</v>
      </c>
      <c r="D268" s="918">
        <f t="shared" ref="D268" si="161">C268-100</f>
        <v>577.87891251585677</v>
      </c>
      <c r="E268" s="918">
        <f t="shared" ref="E268" si="162">100*((B268/B267)-1)</f>
        <v>0</v>
      </c>
      <c r="F268" s="918">
        <f t="shared" si="152"/>
        <v>0</v>
      </c>
      <c r="G268" s="918">
        <f t="shared" ref="G268" si="163">100*((B268/B256)-1)</f>
        <v>9.0000000000000302</v>
      </c>
      <c r="H268" s="1033">
        <f t="shared" ref="H268" si="164">100*(B268/B244-1)</f>
        <v>17.17500000000005</v>
      </c>
      <c r="I268" s="1021">
        <f t="shared" si="97"/>
        <v>1.2177142286399998</v>
      </c>
    </row>
    <row r="269" spans="1:10">
      <c r="A269" s="1032" t="str">
        <f>'mnt_ACCELO 815'!A149</f>
        <v>ABRIL|16</v>
      </c>
      <c r="B269" s="918">
        <f>geral!K965</f>
        <v>2921.9292645083497</v>
      </c>
      <c r="C269" s="918">
        <f t="shared" ref="C269" si="165">100*B269/$B$8</f>
        <v>677.87891251585688</v>
      </c>
      <c r="D269" s="918">
        <f t="shared" ref="D269" si="166">C269-100</f>
        <v>577.87891251585688</v>
      </c>
      <c r="E269" s="918">
        <f t="shared" ref="E269" si="167">100*((B269/B268)-1)</f>
        <v>2.2204460492503131E-14</v>
      </c>
      <c r="F269" s="918">
        <f t="shared" si="152"/>
        <v>2.2204460492503131E-14</v>
      </c>
      <c r="G269" s="918">
        <f t="shared" ref="G269" si="168">100*((B269/B257)-1)</f>
        <v>9.0000000000000533</v>
      </c>
      <c r="H269" s="1033">
        <f t="shared" ref="H269" si="169">100*(B269/B245-1)</f>
        <v>17.175000000000075</v>
      </c>
      <c r="I269" s="1021">
        <f t="shared" si="97"/>
        <v>1.2177142286399996</v>
      </c>
    </row>
    <row r="270" spans="1:10">
      <c r="A270" s="1032" t="str">
        <f>'mnt_ACCELO 815'!A150</f>
        <v>MAIO|16</v>
      </c>
      <c r="B270" s="918">
        <f>geral!K966</f>
        <v>2938.8174795233981</v>
      </c>
      <c r="C270" s="918">
        <f t="shared" ref="C270" si="170">100*B270/$B$8</f>
        <v>681.79692824874678</v>
      </c>
      <c r="D270" s="918">
        <f t="shared" ref="D270" si="171">C270-100</f>
        <v>581.79692824874678</v>
      </c>
      <c r="E270" s="918">
        <f t="shared" ref="E270" si="172">100*((B270/B269)-1)</f>
        <v>0.5779816513761471</v>
      </c>
      <c r="F270" s="918">
        <f t="shared" si="152"/>
        <v>0.5779816513761693</v>
      </c>
      <c r="G270" s="918">
        <f t="shared" ref="G270" si="173">100*((B270/B258)-1)</f>
        <v>1.1906959571718945</v>
      </c>
      <c r="H270" s="1033">
        <f t="shared" ref="H270" si="174">100*(B270/B246-1)</f>
        <v>9.6300000000000718</v>
      </c>
      <c r="I270" s="1021">
        <f t="shared" si="97"/>
        <v>1.2107165093656842</v>
      </c>
      <c r="J270" s="782" t="s">
        <v>686</v>
      </c>
    </row>
    <row r="271" spans="1:10">
      <c r="A271" s="1032" t="str">
        <f>'mnt_ACCELO 815'!A151</f>
        <v>JUNHO|16</v>
      </c>
      <c r="B271" s="918">
        <f>geral!K967</f>
        <v>3176.7214963734773</v>
      </c>
      <c r="C271" s="918">
        <f t="shared" ref="C271" si="175">100*B271/$B$8</f>
        <v>736.98995368723945</v>
      </c>
      <c r="D271" s="918">
        <f t="shared" ref="D271" si="176">C271-100</f>
        <v>636.98995368723945</v>
      </c>
      <c r="E271" s="918">
        <f t="shared" ref="E271" si="177">100*((B271/B270)-1)</f>
        <v>8.0952294080087306</v>
      </c>
      <c r="F271" s="918">
        <f t="shared" si="152"/>
        <v>8.7199999999999953</v>
      </c>
      <c r="G271" s="918">
        <f t="shared" ref="G271" si="178">100*((B271/B259)-1)</f>
        <v>8.7199999999999953</v>
      </c>
      <c r="H271" s="1033">
        <f t="shared" ref="H271" si="179">100*(B271/B247-1)</f>
        <v>18.504800000000053</v>
      </c>
      <c r="I271" s="1021">
        <f t="shared" si="97"/>
        <v>1.1200461999999998</v>
      </c>
    </row>
    <row r="272" spans="1:10">
      <c r="A272" s="1032" t="str">
        <f>'mnt_ACCELO 815'!A152</f>
        <v>JULHO|16</v>
      </c>
      <c r="B272" s="918">
        <f>geral!K968</f>
        <v>3176.7214963734773</v>
      </c>
      <c r="C272" s="918">
        <f t="shared" ref="C272" si="180">100*B272/$B$8</f>
        <v>736.98995368723945</v>
      </c>
      <c r="D272" s="918">
        <f t="shared" ref="D272" si="181">C272-100</f>
        <v>636.98995368723945</v>
      </c>
      <c r="E272" s="918">
        <f t="shared" ref="E272" si="182">100*((B272/B271)-1)</f>
        <v>0</v>
      </c>
      <c r="F272" s="918">
        <f t="shared" ref="F272" si="183">100*((B272/$B$265)-1)</f>
        <v>8.7199999999999953</v>
      </c>
      <c r="G272" s="918">
        <f t="shared" ref="G272" si="184">100*((B272/B260)-1)</f>
        <v>8.7199999999999953</v>
      </c>
      <c r="H272" s="1033">
        <f t="shared" ref="H272" si="185">100*(B272/B248-1)</f>
        <v>18.504800000000053</v>
      </c>
      <c r="I272" s="1021">
        <f t="shared" ref="I272:I322" si="186">$B$322/B272</f>
        <v>1.1200461999999998</v>
      </c>
    </row>
    <row r="273" spans="1:10">
      <c r="A273" s="1032" t="str">
        <f>'mnt_ACCELO 815'!A153</f>
        <v>AGOSTO|16</v>
      </c>
      <c r="B273" s="918">
        <f>geral!K969</f>
        <v>3176.7214963734773</v>
      </c>
      <c r="C273" s="918">
        <f t="shared" ref="C273" si="187">100*B273/$B$8</f>
        <v>736.98995368723945</v>
      </c>
      <c r="D273" s="918">
        <f t="shared" ref="D273" si="188">C273-100</f>
        <v>636.98995368723945</v>
      </c>
      <c r="E273" s="918">
        <f t="shared" ref="E273" si="189">100*((B273/B272)-1)</f>
        <v>0</v>
      </c>
      <c r="F273" s="918">
        <f t="shared" ref="F273" si="190">100*((B273/$B$265)-1)</f>
        <v>8.7199999999999953</v>
      </c>
      <c r="G273" s="918">
        <f t="shared" ref="G273" si="191">100*((B273/B261)-1)</f>
        <v>8.7199999999999953</v>
      </c>
      <c r="H273" s="1033">
        <f t="shared" ref="H273" si="192">100*(B273/B249-1)</f>
        <v>18.504800000000053</v>
      </c>
      <c r="I273" s="1021">
        <f t="shared" si="186"/>
        <v>1.1200461999999998</v>
      </c>
    </row>
    <row r="274" spans="1:10">
      <c r="A274" s="1032" t="str">
        <f>'mnt_ACCELO 815'!A154</f>
        <v>SETEMBRO|16</v>
      </c>
      <c r="B274" s="918">
        <f>geral!K970</f>
        <v>3176.7214963734773</v>
      </c>
      <c r="C274" s="918">
        <f t="shared" ref="C274" si="193">100*B274/$B$8</f>
        <v>736.98995368723945</v>
      </c>
      <c r="D274" s="918">
        <f t="shared" ref="D274" si="194">C274-100</f>
        <v>636.98995368723945</v>
      </c>
      <c r="E274" s="918">
        <f t="shared" ref="E274" si="195">100*((B274/B273)-1)</f>
        <v>0</v>
      </c>
      <c r="F274" s="918">
        <f t="shared" ref="F274" si="196">100*((B274/$B$265)-1)</f>
        <v>8.7199999999999953</v>
      </c>
      <c r="G274" s="918">
        <f t="shared" ref="G274" si="197">100*((B274/B262)-1)</f>
        <v>8.7199999999999953</v>
      </c>
      <c r="H274" s="1033">
        <f t="shared" ref="H274" si="198">100*(B274/B250-1)</f>
        <v>18.504800000000053</v>
      </c>
      <c r="I274" s="1021">
        <f t="shared" si="186"/>
        <v>1.1200461999999998</v>
      </c>
    </row>
    <row r="275" spans="1:10">
      <c r="A275" s="1032" t="str">
        <f>'mnt_ACCELO 815'!A155</f>
        <v>OUTUBRO|16</v>
      </c>
      <c r="B275" s="918">
        <f>geral!K971</f>
        <v>3176.7214963734773</v>
      </c>
      <c r="C275" s="918">
        <f t="shared" ref="C275" si="199">100*B275/$B$8</f>
        <v>736.98995368723945</v>
      </c>
      <c r="D275" s="918">
        <f t="shared" ref="D275" si="200">C275-100</f>
        <v>636.98995368723945</v>
      </c>
      <c r="E275" s="918">
        <f t="shared" ref="E275" si="201">100*((B275/B274)-1)</f>
        <v>0</v>
      </c>
      <c r="F275" s="918">
        <f t="shared" ref="F275" si="202">100*((B275/$B$265)-1)</f>
        <v>8.7199999999999953</v>
      </c>
      <c r="G275" s="918">
        <f t="shared" ref="G275" si="203">100*((B275/B263)-1)</f>
        <v>8.7199999999999953</v>
      </c>
      <c r="H275" s="1033">
        <f t="shared" ref="H275" si="204">100*(B275/B251-1)</f>
        <v>18.504800000000053</v>
      </c>
      <c r="I275" s="1021">
        <f t="shared" si="186"/>
        <v>1.1200461999999998</v>
      </c>
    </row>
    <row r="276" spans="1:10">
      <c r="A276" s="1032" t="str">
        <f>'mnt_ACCELO 815'!A156</f>
        <v>NOVEMBRO|16</v>
      </c>
      <c r="B276" s="918">
        <f>geral!K972</f>
        <v>3176.7214963734773</v>
      </c>
      <c r="C276" s="918">
        <f t="shared" ref="C276" si="205">100*B276/$B$8</f>
        <v>736.98995368723945</v>
      </c>
      <c r="D276" s="918">
        <f t="shared" ref="D276" si="206">C276-100</f>
        <v>636.98995368723945</v>
      </c>
      <c r="E276" s="918">
        <f t="shared" ref="E276" si="207">100*((B276/B275)-1)</f>
        <v>0</v>
      </c>
      <c r="F276" s="918">
        <f t="shared" ref="F276" si="208">100*((B276/$B$265)-1)</f>
        <v>8.7199999999999953</v>
      </c>
      <c r="G276" s="918">
        <f t="shared" ref="G276" si="209">100*((B276/B264)-1)</f>
        <v>8.7199999999999953</v>
      </c>
      <c r="H276" s="1033">
        <f t="shared" ref="H276" si="210">100*(B276/B252-1)</f>
        <v>18.504800000000053</v>
      </c>
      <c r="I276" s="1021">
        <f t="shared" si="186"/>
        <v>1.1200461999999998</v>
      </c>
    </row>
    <row r="277" spans="1:10">
      <c r="A277" s="1032" t="str">
        <f>'mnt_ACCELO 815'!A157</f>
        <v>DEZEMBRO|16</v>
      </c>
      <c r="B277" s="918">
        <f>geral!K973</f>
        <v>3176.7214963734773</v>
      </c>
      <c r="C277" s="918">
        <f t="shared" ref="C277" si="211">100*B277/$B$8</f>
        <v>736.98995368723945</v>
      </c>
      <c r="D277" s="918">
        <f t="shared" ref="D277" si="212">C277-100</f>
        <v>636.98995368723945</v>
      </c>
      <c r="E277" s="918">
        <f t="shared" ref="E277" si="213">100*((B277/B276)-1)</f>
        <v>0</v>
      </c>
      <c r="F277" s="918">
        <f t="shared" ref="F277" si="214">100*((B277/$B$265)-1)</f>
        <v>8.7199999999999953</v>
      </c>
      <c r="G277" s="918">
        <f t="shared" ref="G277" si="215">100*((B277/B265)-1)</f>
        <v>8.7199999999999953</v>
      </c>
      <c r="H277" s="1033">
        <f t="shared" ref="H277" si="216">100*(B277/B253-1)</f>
        <v>18.504800000000053</v>
      </c>
      <c r="I277" s="1021">
        <f t="shared" si="186"/>
        <v>1.1200461999999998</v>
      </c>
    </row>
    <row r="278" spans="1:10">
      <c r="A278" s="1032" t="str">
        <f>'mnt_ACCELO 815'!A158</f>
        <v>JANEIRO|17</v>
      </c>
      <c r="B278" s="918">
        <f>geral!M962</f>
        <v>3176.7214963734773</v>
      </c>
      <c r="C278" s="918">
        <f t="shared" ref="C278" si="217">100*B278/$B$8</f>
        <v>736.98995368723945</v>
      </c>
      <c r="D278" s="918">
        <f t="shared" ref="D278" si="218">C278-100</f>
        <v>636.98995368723945</v>
      </c>
      <c r="E278" s="918">
        <f t="shared" ref="E278" si="219">100*((B278/B277)-1)</f>
        <v>0</v>
      </c>
      <c r="F278" s="918">
        <f t="shared" ref="F278:F283" si="220">100*((B278/$B$277)-1)</f>
        <v>0</v>
      </c>
      <c r="G278" s="918">
        <f t="shared" ref="G278" si="221">100*((B278/B266)-1)</f>
        <v>8.7199999999999953</v>
      </c>
      <c r="H278" s="1033">
        <f t="shared" ref="H278" si="222">100*(B278/B254-1)</f>
        <v>18.504800000000053</v>
      </c>
      <c r="I278" s="1021">
        <f t="shared" si="186"/>
        <v>1.1200461999999998</v>
      </c>
    </row>
    <row r="279" spans="1:10">
      <c r="A279" s="1032" t="str">
        <f>'mnt_ACCELO 815'!A159</f>
        <v>FEVEREIRO|17</v>
      </c>
      <c r="B279" s="918">
        <f>geral!M963</f>
        <v>3176.7214963734773</v>
      </c>
      <c r="C279" s="918">
        <f t="shared" ref="C279" si="223">100*B279/$B$8</f>
        <v>736.98995368723945</v>
      </c>
      <c r="D279" s="918">
        <f t="shared" ref="D279" si="224">C279-100</f>
        <v>636.98995368723945</v>
      </c>
      <c r="E279" s="918">
        <f t="shared" ref="E279" si="225">100*((B279/B278)-1)</f>
        <v>0</v>
      </c>
      <c r="F279" s="918">
        <f t="shared" si="220"/>
        <v>0</v>
      </c>
      <c r="G279" s="918">
        <f t="shared" ref="G279" si="226">100*((B279/B267)-1)</f>
        <v>8.7199999999999953</v>
      </c>
      <c r="H279" s="1033">
        <f t="shared" ref="H279" si="227">100*(B279/B255-1)</f>
        <v>18.504800000000053</v>
      </c>
      <c r="I279" s="1021">
        <f t="shared" si="186"/>
        <v>1.1200461999999998</v>
      </c>
    </row>
    <row r="280" spans="1:10">
      <c r="A280" s="1032" t="str">
        <f>'mnt_ACCELO 815'!A160</f>
        <v>MARÇO|17</v>
      </c>
      <c r="B280" s="918">
        <f>geral!M964</f>
        <v>3176.7214963734773</v>
      </c>
      <c r="C280" s="918">
        <f t="shared" ref="C280" si="228">100*B280/$B$8</f>
        <v>736.98995368723945</v>
      </c>
      <c r="D280" s="918">
        <f t="shared" ref="D280" si="229">C280-100</f>
        <v>636.98995368723945</v>
      </c>
      <c r="E280" s="918">
        <f t="shared" ref="E280" si="230">100*((B280/B279)-1)</f>
        <v>0</v>
      </c>
      <c r="F280" s="918">
        <f t="shared" si="220"/>
        <v>0</v>
      </c>
      <c r="G280" s="918">
        <f t="shared" ref="G280" si="231">100*((B280/B268)-1)</f>
        <v>8.7199999999999953</v>
      </c>
      <c r="H280" s="1033">
        <f t="shared" ref="H280" si="232">100*(B280/B256-1)</f>
        <v>18.504800000000053</v>
      </c>
      <c r="I280" s="1021">
        <f t="shared" si="186"/>
        <v>1.1200461999999998</v>
      </c>
    </row>
    <row r="281" spans="1:10">
      <c r="A281" s="1032" t="str">
        <f>'mnt_ACCELO 815'!A161</f>
        <v>ABRIL|17</v>
      </c>
      <c r="B281" s="918">
        <f>geral!M965</f>
        <v>3176.7214963734773</v>
      </c>
      <c r="C281" s="918">
        <f t="shared" ref="C281" si="233">100*B281/$B$8</f>
        <v>736.98995368723945</v>
      </c>
      <c r="D281" s="918">
        <f t="shared" ref="D281" si="234">C281-100</f>
        <v>636.98995368723945</v>
      </c>
      <c r="E281" s="918">
        <f t="shared" ref="E281" si="235">100*((B281/B280)-1)</f>
        <v>0</v>
      </c>
      <c r="F281" s="918">
        <f t="shared" si="220"/>
        <v>0</v>
      </c>
      <c r="G281" s="918">
        <f t="shared" ref="G281" si="236">100*((B281/B269)-1)</f>
        <v>8.7199999999999953</v>
      </c>
      <c r="H281" s="1033">
        <f t="shared" ref="H281" si="237">100*(B281/B257-1)</f>
        <v>18.504800000000053</v>
      </c>
      <c r="I281" s="1021">
        <f t="shared" si="186"/>
        <v>1.1200461999999998</v>
      </c>
    </row>
    <row r="282" spans="1:10">
      <c r="A282" s="1032" t="str">
        <f>'mnt_ACCELO 815'!A162</f>
        <v>MAIO|17</v>
      </c>
      <c r="B282" s="918">
        <f>geral!M966</f>
        <v>3303.4726840787794</v>
      </c>
      <c r="C282" s="918">
        <f t="shared" ref="C282" si="238">100*B282/$B$8</f>
        <v>766.39585283936049</v>
      </c>
      <c r="D282" s="918">
        <f t="shared" ref="D282" si="239">C282-100</f>
        <v>666.39585283936049</v>
      </c>
      <c r="E282" s="918">
        <f t="shared" ref="E282" si="240">100*((B282/B281)-1)</f>
        <v>3.9900000000000047</v>
      </c>
      <c r="F282" s="918">
        <f t="shared" si="220"/>
        <v>3.9900000000000047</v>
      </c>
      <c r="G282" s="918">
        <f t="shared" ref="G282" si="241">100*((B282/B270)-1)</f>
        <v>12.408229061388298</v>
      </c>
      <c r="H282" s="1033">
        <f t="shared" ref="H282" si="242">100*(B282/B258-1)</f>
        <v>13.746669300350757</v>
      </c>
      <c r="I282" s="1021">
        <f t="shared" si="186"/>
        <v>1.0770710645254349</v>
      </c>
      <c r="J282" s="782" t="s">
        <v>685</v>
      </c>
    </row>
    <row r="283" spans="1:10">
      <c r="A283" s="1032" t="str">
        <f>'mnt_ACCELO 815'!A163</f>
        <v>JUNHO|17</v>
      </c>
      <c r="B283" s="918">
        <f>geral!M967</f>
        <v>3303.7903562284164</v>
      </c>
      <c r="C283" s="918">
        <f t="shared" ref="C283" si="243">100*B283/$B$8</f>
        <v>766.46955183472903</v>
      </c>
      <c r="D283" s="918">
        <f t="shared" ref="D283" si="244">C283-100</f>
        <v>666.46955183472903</v>
      </c>
      <c r="E283" s="918">
        <f t="shared" ref="E283" si="245">100*((B283/B282)-1)</f>
        <v>9.6163092604850675E-3</v>
      </c>
      <c r="F283" s="918">
        <f t="shared" si="220"/>
        <v>4.0000000000000036</v>
      </c>
      <c r="G283" s="918">
        <f t="shared" ref="G283" si="246">100*((B283/B271)-1)</f>
        <v>4.0000000000000036</v>
      </c>
      <c r="H283" s="1033">
        <f t="shared" ref="H283" si="247">100*(B283/B259-1)</f>
        <v>13.068799999999992</v>
      </c>
      <c r="I283" s="1021">
        <f t="shared" si="186"/>
        <v>1.0769674999999999</v>
      </c>
    </row>
    <row r="284" spans="1:10">
      <c r="A284" s="1032" t="str">
        <f>'mnt_ACCELO 815'!A164</f>
        <v>JULHO|17</v>
      </c>
      <c r="B284" s="918">
        <f>geral!M968</f>
        <v>3303.7903562284164</v>
      </c>
      <c r="C284" s="918">
        <f t="shared" ref="C284" si="248">100*B284/$B$8</f>
        <v>766.46955183472903</v>
      </c>
      <c r="D284" s="918">
        <f t="shared" ref="D284" si="249">C284-100</f>
        <v>666.46955183472903</v>
      </c>
      <c r="E284" s="918">
        <f t="shared" ref="E284" si="250">100*((B284/B283)-1)</f>
        <v>0</v>
      </c>
      <c r="F284" s="918">
        <f t="shared" ref="F284" si="251">100*((B284/$B$277)-1)</f>
        <v>4.0000000000000036</v>
      </c>
      <c r="G284" s="918">
        <f t="shared" ref="G284" si="252">100*((B284/B272)-1)</f>
        <v>4.0000000000000036</v>
      </c>
      <c r="H284" s="1033">
        <f t="shared" ref="H284" si="253">100*(B284/B260-1)</f>
        <v>13.068799999999992</v>
      </c>
      <c r="I284" s="1021">
        <f t="shared" si="186"/>
        <v>1.0769674999999999</v>
      </c>
    </row>
    <row r="285" spans="1:10">
      <c r="A285" s="1032" t="str">
        <f>'mnt_ACCELO 815'!A165</f>
        <v>AGOSTO|17</v>
      </c>
      <c r="B285" s="918">
        <f>geral!M969</f>
        <v>3303.7903562284164</v>
      </c>
      <c r="C285" s="918">
        <f t="shared" ref="C285" si="254">100*B285/$B$8</f>
        <v>766.46955183472903</v>
      </c>
      <c r="D285" s="918">
        <f t="shared" ref="D285" si="255">C285-100</f>
        <v>666.46955183472903</v>
      </c>
      <c r="E285" s="918">
        <f t="shared" ref="E285" si="256">100*((B285/B284)-1)</f>
        <v>0</v>
      </c>
      <c r="F285" s="918">
        <f t="shared" ref="F285" si="257">100*((B285/$B$277)-1)</f>
        <v>4.0000000000000036</v>
      </c>
      <c r="G285" s="918">
        <f t="shared" ref="G285" si="258">100*((B285/B273)-1)</f>
        <v>4.0000000000000036</v>
      </c>
      <c r="H285" s="1033">
        <f t="shared" ref="H285" si="259">100*(B285/B261-1)</f>
        <v>13.068799999999992</v>
      </c>
      <c r="I285" s="1021">
        <f t="shared" si="186"/>
        <v>1.0769674999999999</v>
      </c>
    </row>
    <row r="286" spans="1:10">
      <c r="A286" s="1032" t="str">
        <f>'mnt_ACCELO 815'!A166</f>
        <v>SETEMBRO|17</v>
      </c>
      <c r="B286" s="918">
        <f>geral!M970</f>
        <v>3303.7903562284164</v>
      </c>
      <c r="C286" s="918">
        <f t="shared" ref="C286" si="260">100*B286/$B$8</f>
        <v>766.46955183472903</v>
      </c>
      <c r="D286" s="918">
        <f t="shared" ref="D286" si="261">C286-100</f>
        <v>666.46955183472903</v>
      </c>
      <c r="E286" s="918">
        <f t="shared" ref="E286" si="262">100*((B286/B285)-1)</f>
        <v>0</v>
      </c>
      <c r="F286" s="918">
        <f t="shared" ref="F286" si="263">100*((B286/$B$277)-1)</f>
        <v>4.0000000000000036</v>
      </c>
      <c r="G286" s="918">
        <f t="shared" ref="G286" si="264">100*((B286/B274)-1)</f>
        <v>4.0000000000000036</v>
      </c>
      <c r="H286" s="1033">
        <f t="shared" ref="H286" si="265">100*(B286/B262-1)</f>
        <v>13.068799999999992</v>
      </c>
      <c r="I286" s="1021">
        <f t="shared" si="186"/>
        <v>1.0769674999999999</v>
      </c>
    </row>
    <row r="287" spans="1:10">
      <c r="A287" s="1032" t="str">
        <f>'mnt_ACCELO 815'!A167</f>
        <v>OUTUBRO|17</v>
      </c>
      <c r="B287" s="918">
        <f>geral!M971</f>
        <v>3303.7903562284164</v>
      </c>
      <c r="C287" s="918">
        <f t="shared" ref="C287" si="266">100*B287/$B$8</f>
        <v>766.46955183472903</v>
      </c>
      <c r="D287" s="918">
        <f t="shared" ref="D287" si="267">C287-100</f>
        <v>666.46955183472903</v>
      </c>
      <c r="E287" s="918">
        <f t="shared" ref="E287" si="268">100*((B287/B286)-1)</f>
        <v>0</v>
      </c>
      <c r="F287" s="918">
        <f t="shared" ref="F287" si="269">100*((B287/$B$277)-1)</f>
        <v>4.0000000000000036</v>
      </c>
      <c r="G287" s="918">
        <f t="shared" ref="G287" si="270">100*((B287/B275)-1)</f>
        <v>4.0000000000000036</v>
      </c>
      <c r="H287" s="1033">
        <f t="shared" ref="H287" si="271">100*(B287/B263-1)</f>
        <v>13.068799999999992</v>
      </c>
      <c r="I287" s="1021">
        <f t="shared" si="186"/>
        <v>1.0769674999999999</v>
      </c>
    </row>
    <row r="288" spans="1:10">
      <c r="A288" s="1032" t="str">
        <f>'mnt_ACCELO 815'!A168</f>
        <v>NOVEMBRO|17</v>
      </c>
      <c r="B288" s="918">
        <f>geral!M972</f>
        <v>3303.7903562284164</v>
      </c>
      <c r="C288" s="918">
        <f t="shared" ref="C288" si="272">100*B288/$B$8</f>
        <v>766.46955183472903</v>
      </c>
      <c r="D288" s="918">
        <f t="shared" ref="D288" si="273">C288-100</f>
        <v>666.46955183472903</v>
      </c>
      <c r="E288" s="918">
        <f t="shared" ref="E288" si="274">100*((B288/B287)-1)</f>
        <v>0</v>
      </c>
      <c r="F288" s="918">
        <f t="shared" ref="F288" si="275">100*((B288/$B$277)-1)</f>
        <v>4.0000000000000036</v>
      </c>
      <c r="G288" s="918">
        <f t="shared" ref="G288" si="276">100*((B288/B276)-1)</f>
        <v>4.0000000000000036</v>
      </c>
      <c r="H288" s="1033">
        <f t="shared" ref="H288" si="277">100*(B288/B264-1)</f>
        <v>13.068799999999992</v>
      </c>
      <c r="I288" s="1021">
        <f t="shared" si="186"/>
        <v>1.0769674999999999</v>
      </c>
    </row>
    <row r="289" spans="1:9">
      <c r="A289" s="1032" t="str">
        <f>'mnt_ACCELO 815'!A169</f>
        <v>DEZEMBRO|17</v>
      </c>
      <c r="B289" s="918">
        <f>geral!M973</f>
        <v>3303.7903562284164</v>
      </c>
      <c r="C289" s="918">
        <f t="shared" ref="C289" si="278">100*B289/$B$8</f>
        <v>766.46955183472903</v>
      </c>
      <c r="D289" s="918">
        <f t="shared" ref="D289" si="279">C289-100</f>
        <v>666.46955183472903</v>
      </c>
      <c r="E289" s="918">
        <f t="shared" ref="E289" si="280">100*((B289/B288)-1)</f>
        <v>0</v>
      </c>
      <c r="F289" s="918">
        <f t="shared" ref="F289" si="281">100*((B289/$B$277)-1)</f>
        <v>4.0000000000000036</v>
      </c>
      <c r="G289" s="918">
        <f t="shared" ref="G289" si="282">100*((B289/B277)-1)</f>
        <v>4.0000000000000036</v>
      </c>
      <c r="H289" s="1033">
        <f t="shared" ref="H289" si="283">100*(B289/B265-1)</f>
        <v>13.068799999999992</v>
      </c>
      <c r="I289" s="1021">
        <f t="shared" si="186"/>
        <v>1.0769674999999999</v>
      </c>
    </row>
    <row r="290" spans="1:9">
      <c r="A290" s="1032" t="str">
        <f>'mnt_ACCELO 815'!A170</f>
        <v>JANEIRO|18</v>
      </c>
      <c r="B290" s="918">
        <f>geral!O962</f>
        <v>3303.7903562284164</v>
      </c>
      <c r="C290" s="918">
        <f t="shared" ref="C290" si="284">100*B290/$B$8</f>
        <v>766.46955183472903</v>
      </c>
      <c r="D290" s="918">
        <f t="shared" ref="D290" si="285">C290-100</f>
        <v>666.46955183472903</v>
      </c>
      <c r="E290" s="918">
        <f t="shared" ref="E290" si="286">100*((B290/B289)-1)</f>
        <v>0</v>
      </c>
      <c r="F290" s="918">
        <f t="shared" ref="F290:F295" si="287">100*((B290/$B$289)-1)</f>
        <v>0</v>
      </c>
      <c r="G290" s="918">
        <f t="shared" ref="G290" si="288">100*((B290/B278)-1)</f>
        <v>4.0000000000000036</v>
      </c>
      <c r="H290" s="1033">
        <f t="shared" ref="H290" si="289">100*(B290/B266-1)</f>
        <v>13.068799999999992</v>
      </c>
      <c r="I290" s="1021">
        <f t="shared" si="186"/>
        <v>1.0769674999999999</v>
      </c>
    </row>
    <row r="291" spans="1:9">
      <c r="A291" s="1032" t="str">
        <f>'mnt_ACCELO 815'!A171</f>
        <v>FEVEREIRO|18</v>
      </c>
      <c r="B291" s="918">
        <f>geral!O963</f>
        <v>3303.7903562284164</v>
      </c>
      <c r="C291" s="918">
        <f t="shared" ref="C291" si="290">100*B291/$B$8</f>
        <v>766.46955183472903</v>
      </c>
      <c r="D291" s="918">
        <f t="shared" ref="D291" si="291">C291-100</f>
        <v>666.46955183472903</v>
      </c>
      <c r="E291" s="918">
        <f t="shared" ref="E291" si="292">100*((B291/B290)-1)</f>
        <v>0</v>
      </c>
      <c r="F291" s="918">
        <f t="shared" si="287"/>
        <v>0</v>
      </c>
      <c r="G291" s="918">
        <f t="shared" ref="G291" si="293">100*((B291/B279)-1)</f>
        <v>4.0000000000000036</v>
      </c>
      <c r="H291" s="1033">
        <f t="shared" ref="H291" si="294">100*(B291/B267-1)</f>
        <v>13.068799999999992</v>
      </c>
      <c r="I291" s="1021">
        <f t="shared" si="186"/>
        <v>1.0769674999999999</v>
      </c>
    </row>
    <row r="292" spans="1:9">
      <c r="A292" s="1032" t="str">
        <f>'mnt_ACCELO 815'!A172</f>
        <v>MARÇO|18</v>
      </c>
      <c r="B292" s="918">
        <f>geral!O964</f>
        <v>3303.7903562284164</v>
      </c>
      <c r="C292" s="918">
        <f t="shared" ref="C292" si="295">100*B292/$B$8</f>
        <v>766.46955183472903</v>
      </c>
      <c r="D292" s="918">
        <f t="shared" ref="D292" si="296">C292-100</f>
        <v>666.46955183472903</v>
      </c>
      <c r="E292" s="918">
        <f t="shared" ref="E292" si="297">100*((B292/B291)-1)</f>
        <v>0</v>
      </c>
      <c r="F292" s="918">
        <f t="shared" si="287"/>
        <v>0</v>
      </c>
      <c r="G292" s="918">
        <f t="shared" ref="G292" si="298">100*((B292/B280)-1)</f>
        <v>4.0000000000000036</v>
      </c>
      <c r="H292" s="1033">
        <f t="shared" ref="H292" si="299">100*(B292/B268-1)</f>
        <v>13.068799999999992</v>
      </c>
      <c r="I292" s="1021">
        <f t="shared" si="186"/>
        <v>1.0769674999999999</v>
      </c>
    </row>
    <row r="293" spans="1:9">
      <c r="A293" s="1032" t="str">
        <f>'mnt_ACCELO 815'!A173</f>
        <v>ABRIL|18</v>
      </c>
      <c r="B293" s="918">
        <f>geral!O965</f>
        <v>3303.7903562284164</v>
      </c>
      <c r="C293" s="918">
        <f t="shared" ref="C293" si="300">100*B293/$B$8</f>
        <v>766.46955183472903</v>
      </c>
      <c r="D293" s="918">
        <f t="shared" ref="D293" si="301">C293-100</f>
        <v>666.46955183472903</v>
      </c>
      <c r="E293" s="918">
        <f t="shared" ref="E293" si="302">100*((B293/B292)-1)</f>
        <v>0</v>
      </c>
      <c r="F293" s="918">
        <f t="shared" si="287"/>
        <v>0</v>
      </c>
      <c r="G293" s="918">
        <f t="shared" ref="G293" si="303">100*((B293/B281)-1)</f>
        <v>4.0000000000000036</v>
      </c>
      <c r="H293" s="1033">
        <f t="shared" ref="H293" si="304">100*(B293/B269-1)</f>
        <v>13.068799999999992</v>
      </c>
      <c r="I293" s="1021">
        <f t="shared" si="186"/>
        <v>1.0769674999999999</v>
      </c>
    </row>
    <row r="294" spans="1:9">
      <c r="A294" s="1032" t="str">
        <f>'mnt_ACCELO 815'!A174</f>
        <v>MAIO|18</v>
      </c>
      <c r="B294" s="918">
        <f>geral!O966</f>
        <v>3303.7903562284164</v>
      </c>
      <c r="C294" s="918">
        <f t="shared" ref="C294" si="305">100*B294/$B$8</f>
        <v>766.46955183472903</v>
      </c>
      <c r="D294" s="918">
        <f t="shared" ref="D294" si="306">C294-100</f>
        <v>666.46955183472903</v>
      </c>
      <c r="E294" s="918">
        <f t="shared" ref="E294" si="307">100*((B294/B293)-1)</f>
        <v>0</v>
      </c>
      <c r="F294" s="918">
        <f t="shared" si="287"/>
        <v>0</v>
      </c>
      <c r="G294" s="918">
        <f t="shared" ref="G294" si="308">100*((B294/B282)-1)</f>
        <v>9.6163092604850675E-3</v>
      </c>
      <c r="H294" s="1033">
        <f t="shared" ref="H294" si="309">100*(B294/B270-1)</f>
        <v>12.41903858432909</v>
      </c>
      <c r="I294" s="1021">
        <f t="shared" si="186"/>
        <v>1.0769674999999999</v>
      </c>
    </row>
    <row r="295" spans="1:9">
      <c r="A295" s="1032" t="str">
        <f>'mnt_ACCELO 815'!A175</f>
        <v>JUNHO|18</v>
      </c>
      <c r="B295" s="918">
        <f>geral!O967</f>
        <v>3386.3851151341264</v>
      </c>
      <c r="C295" s="918">
        <f t="shared" ref="C295" si="310">100*B295/$B$8</f>
        <v>785.63129063059716</v>
      </c>
      <c r="D295" s="918">
        <f t="shared" ref="D295" si="311">C295-100</f>
        <v>685.63129063059716</v>
      </c>
      <c r="E295" s="918">
        <f t="shared" ref="E295" si="312">100*((B295/B294)-1)</f>
        <v>2.4999999999999911</v>
      </c>
      <c r="F295" s="918">
        <f t="shared" si="287"/>
        <v>2.4999999999999911</v>
      </c>
      <c r="G295" s="918">
        <f t="shared" ref="G295" si="313">100*((B295/B283)-1)</f>
        <v>2.4999999999999911</v>
      </c>
      <c r="H295" s="1033">
        <f t="shared" ref="H295" si="314">100*(B295/B271-1)</f>
        <v>6.5999999999999837</v>
      </c>
      <c r="I295" s="1021">
        <f t="shared" si="186"/>
        <v>1.0507</v>
      </c>
    </row>
    <row r="296" spans="1:9">
      <c r="A296" s="1032" t="str">
        <f>'mnt_ACCELO 815'!A176</f>
        <v>JULHO|18</v>
      </c>
      <c r="B296" s="918">
        <f>geral!O968</f>
        <v>3386.3851151341264</v>
      </c>
      <c r="C296" s="918">
        <f t="shared" ref="C296" si="315">100*B296/$B$8</f>
        <v>785.63129063059716</v>
      </c>
      <c r="D296" s="918">
        <f t="shared" ref="D296" si="316">C296-100</f>
        <v>685.63129063059716</v>
      </c>
      <c r="E296" s="918">
        <f t="shared" ref="E296" si="317">100*((B296/B295)-1)</f>
        <v>0</v>
      </c>
      <c r="F296" s="918">
        <f t="shared" ref="F296" si="318">100*((B296/$B$289)-1)</f>
        <v>2.4999999999999911</v>
      </c>
      <c r="G296" s="918">
        <f t="shared" ref="G296" si="319">100*((B296/B284)-1)</f>
        <v>2.4999999999999911</v>
      </c>
      <c r="H296" s="1033">
        <f t="shared" ref="H296" si="320">100*(B296/B272-1)</f>
        <v>6.5999999999999837</v>
      </c>
      <c r="I296" s="1021">
        <f t="shared" si="186"/>
        <v>1.0507</v>
      </c>
    </row>
    <row r="297" spans="1:9">
      <c r="A297" s="1032" t="str">
        <f>'mnt_ACCELO 815'!A177</f>
        <v>AGOSTO|18</v>
      </c>
      <c r="B297" s="918">
        <f>geral!O969</f>
        <v>3386.3851151341264</v>
      </c>
      <c r="C297" s="918">
        <f t="shared" ref="C297" si="321">100*B297/$B$8</f>
        <v>785.63129063059716</v>
      </c>
      <c r="D297" s="918">
        <f t="shared" ref="D297" si="322">C297-100</f>
        <v>685.63129063059716</v>
      </c>
      <c r="E297" s="918">
        <f t="shared" ref="E297" si="323">100*((B297/B296)-1)</f>
        <v>0</v>
      </c>
      <c r="F297" s="918">
        <f t="shared" ref="F297" si="324">100*((B297/$B$289)-1)</f>
        <v>2.4999999999999911</v>
      </c>
      <c r="G297" s="918">
        <f t="shared" ref="G297" si="325">100*((B297/B285)-1)</f>
        <v>2.4999999999999911</v>
      </c>
      <c r="H297" s="1033">
        <f t="shared" ref="H297" si="326">100*(B297/B273-1)</f>
        <v>6.5999999999999837</v>
      </c>
      <c r="I297" s="1021">
        <f t="shared" si="186"/>
        <v>1.0507</v>
      </c>
    </row>
    <row r="298" spans="1:9">
      <c r="A298" s="1032" t="str">
        <f>'mnt_ACCELO 815'!A178</f>
        <v>SETEMBRO|18</v>
      </c>
      <c r="B298" s="918">
        <f>geral!O970</f>
        <v>3386.3851151341264</v>
      </c>
      <c r="C298" s="918">
        <f t="shared" ref="C298" si="327">100*B298/$B$8</f>
        <v>785.63129063059716</v>
      </c>
      <c r="D298" s="918">
        <f t="shared" ref="D298" si="328">C298-100</f>
        <v>685.63129063059716</v>
      </c>
      <c r="E298" s="918">
        <f t="shared" ref="E298" si="329">100*((B298/B297)-1)</f>
        <v>0</v>
      </c>
      <c r="F298" s="918">
        <f t="shared" ref="F298" si="330">100*((B298/$B$289)-1)</f>
        <v>2.4999999999999911</v>
      </c>
      <c r="G298" s="918">
        <f t="shared" ref="G298" si="331">100*((B298/B286)-1)</f>
        <v>2.4999999999999911</v>
      </c>
      <c r="H298" s="1033">
        <f t="shared" ref="H298" si="332">100*(B298/B274-1)</f>
        <v>6.5999999999999837</v>
      </c>
      <c r="I298" s="1021">
        <f t="shared" si="186"/>
        <v>1.0507</v>
      </c>
    </row>
    <row r="299" spans="1:9">
      <c r="A299" s="1032" t="str">
        <f>'mnt_ACCELO 815'!A179</f>
        <v>OUTUBRO|18</v>
      </c>
      <c r="B299" s="918">
        <f>geral!O971</f>
        <v>3386.3851151341264</v>
      </c>
      <c r="C299" s="918">
        <f t="shared" ref="C299" si="333">100*B299/$B$8</f>
        <v>785.63129063059716</v>
      </c>
      <c r="D299" s="918">
        <f t="shared" ref="D299" si="334">C299-100</f>
        <v>685.63129063059716</v>
      </c>
      <c r="E299" s="918">
        <f t="shared" ref="E299" si="335">100*((B299/B298)-1)</f>
        <v>0</v>
      </c>
      <c r="F299" s="918">
        <f t="shared" ref="F299" si="336">100*((B299/$B$289)-1)</f>
        <v>2.4999999999999911</v>
      </c>
      <c r="G299" s="918">
        <f t="shared" ref="G299" si="337">100*((B299/B287)-1)</f>
        <v>2.4999999999999911</v>
      </c>
      <c r="H299" s="1033">
        <f t="shared" ref="H299" si="338">100*(B299/B275-1)</f>
        <v>6.5999999999999837</v>
      </c>
      <c r="I299" s="1021">
        <f t="shared" si="186"/>
        <v>1.0507</v>
      </c>
    </row>
    <row r="300" spans="1:9">
      <c r="A300" s="1032" t="str">
        <f>'mnt_ACCELO 815'!A180</f>
        <v>NOVEMBRO|18</v>
      </c>
      <c r="B300" s="918">
        <f>geral!O972</f>
        <v>3386.3851151341264</v>
      </c>
      <c r="C300" s="918">
        <f t="shared" ref="C300" si="339">100*B300/$B$8</f>
        <v>785.63129063059716</v>
      </c>
      <c r="D300" s="918">
        <f t="shared" ref="D300" si="340">C300-100</f>
        <v>685.63129063059716</v>
      </c>
      <c r="E300" s="918">
        <f t="shared" ref="E300" si="341">100*((B300/B299)-1)</f>
        <v>0</v>
      </c>
      <c r="F300" s="918">
        <f t="shared" ref="F300" si="342">100*((B300/$B$289)-1)</f>
        <v>2.4999999999999911</v>
      </c>
      <c r="G300" s="918">
        <f t="shared" ref="G300" si="343">100*((B300/B288)-1)</f>
        <v>2.4999999999999911</v>
      </c>
      <c r="H300" s="1033">
        <f t="shared" ref="H300" si="344">100*(B300/B276-1)</f>
        <v>6.5999999999999837</v>
      </c>
      <c r="I300" s="1021">
        <f t="shared" si="186"/>
        <v>1.0507</v>
      </c>
    </row>
    <row r="301" spans="1:9">
      <c r="A301" s="1032" t="str">
        <f>'mnt_ACCELO 815'!A181</f>
        <v>DEZEMBRO|18</v>
      </c>
      <c r="B301" s="918">
        <f>geral!O973</f>
        <v>3386.3851151341264</v>
      </c>
      <c r="C301" s="918">
        <f t="shared" ref="C301" si="345">100*B301/$B$8</f>
        <v>785.63129063059716</v>
      </c>
      <c r="D301" s="918">
        <f t="shared" ref="D301" si="346">C301-100</f>
        <v>685.63129063059716</v>
      </c>
      <c r="E301" s="918">
        <f t="shared" ref="E301" si="347">100*((B301/B300)-1)</f>
        <v>0</v>
      </c>
      <c r="F301" s="918">
        <f t="shared" ref="F301" si="348">100*((B301/$B$289)-1)</f>
        <v>2.4999999999999911</v>
      </c>
      <c r="G301" s="918">
        <f t="shared" ref="G301" si="349">100*((B301/B289)-1)</f>
        <v>2.4999999999999911</v>
      </c>
      <c r="H301" s="1033">
        <f t="shared" ref="H301" si="350">100*(B301/B277-1)</f>
        <v>6.5999999999999837</v>
      </c>
      <c r="I301" s="1021">
        <f t="shared" si="186"/>
        <v>1.0507</v>
      </c>
    </row>
    <row r="302" spans="1:9">
      <c r="A302" s="1032" t="str">
        <f>'mnt_ACCELO 815'!A182</f>
        <v>JANEIRO|19</v>
      </c>
      <c r="B302" s="918">
        <f>geral!Q962</f>
        <v>3386.3851151341264</v>
      </c>
      <c r="C302" s="918">
        <f t="shared" ref="C302" si="351">100*B302/$B$8</f>
        <v>785.63129063059716</v>
      </c>
      <c r="D302" s="918">
        <f t="shared" ref="D302" si="352">C302-100</f>
        <v>685.63129063059716</v>
      </c>
      <c r="E302" s="918">
        <f t="shared" ref="E302" si="353">100*((B302/B301)-1)</f>
        <v>0</v>
      </c>
      <c r="F302" s="918">
        <f t="shared" ref="F302:F307" si="354">100*((B302/$B$301)-1)</f>
        <v>0</v>
      </c>
      <c r="G302" s="918">
        <f t="shared" ref="G302" si="355">100*((B302/B290)-1)</f>
        <v>2.4999999999999911</v>
      </c>
      <c r="H302" s="1033">
        <f t="shared" ref="H302" si="356">100*(B302/B278-1)</f>
        <v>6.5999999999999837</v>
      </c>
      <c r="I302" s="1021">
        <f t="shared" si="186"/>
        <v>1.0507</v>
      </c>
    </row>
    <row r="303" spans="1:9">
      <c r="A303" s="1032" t="str">
        <f>'mnt_ACCELO 815'!A183</f>
        <v>FEVEREIRO|19</v>
      </c>
      <c r="B303" s="918">
        <f>geral!Q963</f>
        <v>3386.3851151341264</v>
      </c>
      <c r="C303" s="918">
        <f t="shared" ref="C303" si="357">100*B303/$B$8</f>
        <v>785.63129063059716</v>
      </c>
      <c r="D303" s="918">
        <f t="shared" ref="D303" si="358">C303-100</f>
        <v>685.63129063059716</v>
      </c>
      <c r="E303" s="918">
        <f t="shared" ref="E303" si="359">100*((B303/B302)-1)</f>
        <v>0</v>
      </c>
      <c r="F303" s="918">
        <f t="shared" si="354"/>
        <v>0</v>
      </c>
      <c r="G303" s="918">
        <f t="shared" ref="G303" si="360">100*((B303/B291)-1)</f>
        <v>2.4999999999999911</v>
      </c>
      <c r="H303" s="1033">
        <f t="shared" ref="H303" si="361">100*(B303/B279-1)</f>
        <v>6.5999999999999837</v>
      </c>
      <c r="I303" s="1021">
        <f t="shared" si="186"/>
        <v>1.0507</v>
      </c>
    </row>
    <row r="304" spans="1:9">
      <c r="A304" s="1032" t="str">
        <f>'mnt_ACCELO 815'!A184</f>
        <v>MARÇO|19</v>
      </c>
      <c r="B304" s="918">
        <f>geral!Q964</f>
        <v>3386.3851151341264</v>
      </c>
      <c r="C304" s="918">
        <f t="shared" ref="C304" si="362">100*B304/$B$8</f>
        <v>785.63129063059716</v>
      </c>
      <c r="D304" s="918">
        <f t="shared" ref="D304" si="363">C304-100</f>
        <v>685.63129063059716</v>
      </c>
      <c r="E304" s="918">
        <f t="shared" ref="E304" si="364">100*((B304/B303)-1)</f>
        <v>0</v>
      </c>
      <c r="F304" s="918">
        <f t="shared" si="354"/>
        <v>0</v>
      </c>
      <c r="G304" s="918">
        <f t="shared" ref="G304" si="365">100*((B304/B292)-1)</f>
        <v>2.4999999999999911</v>
      </c>
      <c r="H304" s="1033">
        <f t="shared" ref="H304" si="366">100*(B304/B280-1)</f>
        <v>6.5999999999999837</v>
      </c>
      <c r="I304" s="1021">
        <f t="shared" si="186"/>
        <v>1.0507</v>
      </c>
    </row>
    <row r="305" spans="1:9">
      <c r="A305" s="1032" t="str">
        <f>'mnt_ACCELO 815'!A185</f>
        <v>ABRIL|19</v>
      </c>
      <c r="B305" s="918">
        <f>geral!Q965</f>
        <v>3386.3851151341264</v>
      </c>
      <c r="C305" s="918">
        <f t="shared" ref="C305" si="367">100*B305/$B$8</f>
        <v>785.63129063059716</v>
      </c>
      <c r="D305" s="918">
        <f t="shared" ref="D305" si="368">C305-100</f>
        <v>685.63129063059716</v>
      </c>
      <c r="E305" s="918">
        <f t="shared" ref="E305" si="369">100*((B305/B304)-1)</f>
        <v>0</v>
      </c>
      <c r="F305" s="918">
        <f t="shared" si="354"/>
        <v>0</v>
      </c>
      <c r="G305" s="918">
        <f t="shared" ref="G305" si="370">100*((B305/B293)-1)</f>
        <v>2.4999999999999911</v>
      </c>
      <c r="H305" s="1033">
        <f t="shared" ref="H305" si="371">100*(B305/B281-1)</f>
        <v>6.5999999999999837</v>
      </c>
      <c r="I305" s="1021">
        <f t="shared" si="186"/>
        <v>1.0507</v>
      </c>
    </row>
    <row r="306" spans="1:9">
      <c r="A306" s="1032" t="str">
        <f>'mnt_ACCELO 815'!A186</f>
        <v>MAIO|19</v>
      </c>
      <c r="B306" s="918">
        <f>geral!Q966</f>
        <v>3558.0748404714263</v>
      </c>
      <c r="C306" s="918">
        <f t="shared" ref="C306" si="372">100*B306/$B$8</f>
        <v>825.46279706556834</v>
      </c>
      <c r="D306" s="918">
        <f t="shared" ref="D306" si="373">C306-100</f>
        <v>725.46279706556834</v>
      </c>
      <c r="E306" s="918">
        <f t="shared" ref="E306" si="374">100*((B306/B305)-1)</f>
        <v>5.0699999999999967</v>
      </c>
      <c r="F306" s="918">
        <f t="shared" si="354"/>
        <v>5.0699999999999967</v>
      </c>
      <c r="G306" s="918">
        <f t="shared" ref="G306" si="375">100*((B306/B294)-1)</f>
        <v>7.6967499999999855</v>
      </c>
      <c r="H306" s="1033">
        <f t="shared" ref="H306" si="376">100*(B306/B282-1)</f>
        <v>7.7071064525434885</v>
      </c>
      <c r="I306" s="1021">
        <f t="shared" si="186"/>
        <v>1</v>
      </c>
    </row>
    <row r="307" spans="1:9">
      <c r="A307" s="1032" t="str">
        <f>'mnt_ACCELO 815'!A187</f>
        <v>JUNHO|19</v>
      </c>
      <c r="B307" s="918">
        <f>geral!Q967</f>
        <v>3558.0748404714263</v>
      </c>
      <c r="C307" s="918">
        <f t="shared" ref="C307" si="377">100*B307/$B$8</f>
        <v>825.46279706556834</v>
      </c>
      <c r="D307" s="918">
        <f t="shared" ref="D307" si="378">C307-100</f>
        <v>725.46279706556834</v>
      </c>
      <c r="E307" s="918">
        <f t="shared" ref="E307" si="379">100*((B307/B306)-1)</f>
        <v>0</v>
      </c>
      <c r="F307" s="918">
        <f t="shared" si="354"/>
        <v>5.0699999999999967</v>
      </c>
      <c r="G307" s="918">
        <f t="shared" ref="G307" si="380">100*((B307/B295)-1)</f>
        <v>5.0699999999999967</v>
      </c>
      <c r="H307" s="1033">
        <f t="shared" ref="H307" si="381">100*(B307/B283-1)</f>
        <v>7.6967499999999855</v>
      </c>
      <c r="I307" s="1021">
        <f t="shared" si="186"/>
        <v>1</v>
      </c>
    </row>
    <row r="308" spans="1:9">
      <c r="A308" s="1032" t="str">
        <f>'mnt_ACCELO 815'!A188</f>
        <v>JULHO|19</v>
      </c>
      <c r="B308" s="918">
        <f>geral!Q968</f>
        <v>3558.0748404714263</v>
      </c>
      <c r="C308" s="918">
        <f t="shared" ref="C308" si="382">100*B308/$B$8</f>
        <v>825.46279706556834</v>
      </c>
      <c r="D308" s="918">
        <f t="shared" ref="D308" si="383">C308-100</f>
        <v>725.46279706556834</v>
      </c>
      <c r="E308" s="918">
        <f t="shared" ref="E308" si="384">100*((B308/B307)-1)</f>
        <v>0</v>
      </c>
      <c r="F308" s="918">
        <f t="shared" ref="F308" si="385">100*((B308/$B$301)-1)</f>
        <v>5.0699999999999967</v>
      </c>
      <c r="G308" s="918">
        <f t="shared" ref="G308" si="386">100*((B308/B296)-1)</f>
        <v>5.0699999999999967</v>
      </c>
      <c r="H308" s="1033">
        <f t="shared" ref="H308" si="387">100*(B308/B284-1)</f>
        <v>7.6967499999999855</v>
      </c>
      <c r="I308" s="1021">
        <f t="shared" si="186"/>
        <v>1</v>
      </c>
    </row>
    <row r="309" spans="1:9">
      <c r="A309" s="1032" t="str">
        <f>'mnt_ACCELO 815'!A189</f>
        <v>AGOSTO|19</v>
      </c>
      <c r="B309" s="918">
        <f>geral!Q969</f>
        <v>3558.0748404714263</v>
      </c>
      <c r="C309" s="918">
        <f t="shared" ref="C309" si="388">100*B309/$B$8</f>
        <v>825.46279706556834</v>
      </c>
      <c r="D309" s="918">
        <f t="shared" ref="D309" si="389">C309-100</f>
        <v>725.46279706556834</v>
      </c>
      <c r="E309" s="918">
        <f t="shared" ref="E309" si="390">100*((B309/B308)-1)</f>
        <v>0</v>
      </c>
      <c r="F309" s="918">
        <f t="shared" ref="F309" si="391">100*((B309/$B$301)-1)</f>
        <v>5.0699999999999967</v>
      </c>
      <c r="G309" s="918">
        <f t="shared" ref="G309" si="392">100*((B309/B297)-1)</f>
        <v>5.0699999999999967</v>
      </c>
      <c r="H309" s="1033">
        <f t="shared" ref="H309" si="393">100*(B309/B285-1)</f>
        <v>7.6967499999999855</v>
      </c>
      <c r="I309" s="1021">
        <f t="shared" si="186"/>
        <v>1</v>
      </c>
    </row>
    <row r="310" spans="1:9">
      <c r="A310" s="1032" t="str">
        <f>'mnt_ACCELO 815'!A190</f>
        <v>SETEMBRO|19</v>
      </c>
      <c r="B310" s="918">
        <f>geral!Q970</f>
        <v>3558.0748404714263</v>
      </c>
      <c r="C310" s="918">
        <f t="shared" ref="C310" si="394">100*B310/$B$8</f>
        <v>825.46279706556834</v>
      </c>
      <c r="D310" s="918">
        <f t="shared" ref="D310" si="395">C310-100</f>
        <v>725.46279706556834</v>
      </c>
      <c r="E310" s="918">
        <f t="shared" ref="E310" si="396">100*((B310/B309)-1)</f>
        <v>0</v>
      </c>
      <c r="F310" s="918">
        <f t="shared" ref="F310" si="397">100*((B310/$B$301)-1)</f>
        <v>5.0699999999999967</v>
      </c>
      <c r="G310" s="918">
        <f t="shared" ref="G310" si="398">100*((B310/B298)-1)</f>
        <v>5.0699999999999967</v>
      </c>
      <c r="H310" s="1033">
        <f t="shared" ref="H310" si="399">100*(B310/B286-1)</f>
        <v>7.6967499999999855</v>
      </c>
      <c r="I310" s="1021">
        <f t="shared" si="186"/>
        <v>1</v>
      </c>
    </row>
    <row r="311" spans="1:9">
      <c r="A311" s="1032" t="str">
        <f>'mnt_ACCELO 815'!A191</f>
        <v>OUTUBRO|19</v>
      </c>
      <c r="B311" s="918">
        <f>geral!Q971</f>
        <v>3558.0748404714263</v>
      </c>
      <c r="C311" s="918">
        <f t="shared" ref="C311" si="400">100*B311/$B$8</f>
        <v>825.46279706556834</v>
      </c>
      <c r="D311" s="918">
        <f t="shared" ref="D311" si="401">C311-100</f>
        <v>725.46279706556834</v>
      </c>
      <c r="E311" s="918">
        <f t="shared" ref="E311" si="402">100*((B311/B310)-1)</f>
        <v>0</v>
      </c>
      <c r="F311" s="918">
        <f t="shared" ref="F311" si="403">100*((B311/$B$301)-1)</f>
        <v>5.0699999999999967</v>
      </c>
      <c r="G311" s="918">
        <f t="shared" ref="G311" si="404">100*((B311/B299)-1)</f>
        <v>5.0699999999999967</v>
      </c>
      <c r="H311" s="1033">
        <f t="shared" ref="H311" si="405">100*(B311/B287-1)</f>
        <v>7.6967499999999855</v>
      </c>
      <c r="I311" s="1021">
        <f t="shared" si="186"/>
        <v>1</v>
      </c>
    </row>
    <row r="312" spans="1:9">
      <c r="A312" s="1032" t="str">
        <f>'mnt_ACCELO 815'!A192</f>
        <v>NOVEMBRO|19</v>
      </c>
      <c r="B312" s="918">
        <f>geral!Q972</f>
        <v>3558.0748404714263</v>
      </c>
      <c r="C312" s="918">
        <f t="shared" ref="C312" si="406">100*B312/$B$8</f>
        <v>825.46279706556834</v>
      </c>
      <c r="D312" s="918">
        <f t="shared" ref="D312" si="407">C312-100</f>
        <v>725.46279706556834</v>
      </c>
      <c r="E312" s="918">
        <f t="shared" ref="E312" si="408">100*((B312/B311)-1)</f>
        <v>0</v>
      </c>
      <c r="F312" s="918">
        <f t="shared" ref="F312" si="409">100*((B312/$B$301)-1)</f>
        <v>5.0699999999999967</v>
      </c>
      <c r="G312" s="918">
        <f t="shared" ref="G312" si="410">100*((B312/B300)-1)</f>
        <v>5.0699999999999967</v>
      </c>
      <c r="H312" s="1033">
        <f t="shared" ref="H312" si="411">100*(B312/B288-1)</f>
        <v>7.6967499999999855</v>
      </c>
      <c r="I312" s="1021">
        <f t="shared" si="186"/>
        <v>1</v>
      </c>
    </row>
    <row r="313" spans="1:9">
      <c r="A313" s="1032" t="str">
        <f>'mnt_ACCELO 815'!A193</f>
        <v>DEZEMBRO|19</v>
      </c>
      <c r="B313" s="918">
        <f>geral!Q973</f>
        <v>3558.0748404714263</v>
      </c>
      <c r="C313" s="918">
        <f t="shared" ref="C313" si="412">100*B313/$B$8</f>
        <v>825.46279706556834</v>
      </c>
      <c r="D313" s="918">
        <f t="shared" ref="D313" si="413">C313-100</f>
        <v>725.46279706556834</v>
      </c>
      <c r="E313" s="918">
        <f t="shared" ref="E313" si="414">100*((B313/B312)-1)</f>
        <v>0</v>
      </c>
      <c r="F313" s="918">
        <f t="shared" ref="F313" si="415">100*((B313/$B$301)-1)</f>
        <v>5.0699999999999967</v>
      </c>
      <c r="G313" s="918">
        <f t="shared" ref="G313" si="416">100*((B313/B301)-1)</f>
        <v>5.0699999999999967</v>
      </c>
      <c r="H313" s="1033">
        <f t="shared" ref="H313" si="417">100*(B313/B289-1)</f>
        <v>7.6967499999999855</v>
      </c>
      <c r="I313" s="1021">
        <f t="shared" si="186"/>
        <v>1</v>
      </c>
    </row>
    <row r="314" spans="1:9">
      <c r="A314" s="1032" t="str">
        <f>'mnt_ACCELO 815'!A194</f>
        <v>JANEIRO|20</v>
      </c>
      <c r="B314" s="918">
        <f>geral!S962</f>
        <v>3558.0748404714263</v>
      </c>
      <c r="C314" s="918">
        <f t="shared" ref="C314" si="418">100*B314/$B$8</f>
        <v>825.46279706556834</v>
      </c>
      <c r="D314" s="918">
        <f t="shared" ref="D314" si="419">C314-100</f>
        <v>725.46279706556834</v>
      </c>
      <c r="E314" s="918">
        <f t="shared" ref="E314" si="420">100*((B314/B313)-1)</f>
        <v>0</v>
      </c>
      <c r="F314" s="918">
        <f t="shared" ref="F314:F319" si="421">100*((B314/$B$313)-1)</f>
        <v>0</v>
      </c>
      <c r="G314" s="918">
        <f t="shared" ref="G314" si="422">100*((B314/B302)-1)</f>
        <v>5.0699999999999967</v>
      </c>
      <c r="H314" s="1033">
        <f t="shared" ref="H314" si="423">100*(B314/B290-1)</f>
        <v>7.6967499999999855</v>
      </c>
      <c r="I314" s="1021">
        <f t="shared" si="186"/>
        <v>1</v>
      </c>
    </row>
    <row r="315" spans="1:9">
      <c r="A315" s="1032" t="str">
        <f>'mnt_ACCELO 815'!A195</f>
        <v>FEVEREIRO|20</v>
      </c>
      <c r="B315" s="918">
        <f>geral!S963</f>
        <v>3558.0748404714263</v>
      </c>
      <c r="C315" s="918">
        <f t="shared" ref="C315" si="424">100*B315/$B$8</f>
        <v>825.46279706556834</v>
      </c>
      <c r="D315" s="918">
        <f t="shared" ref="D315" si="425">C315-100</f>
        <v>725.46279706556834</v>
      </c>
      <c r="E315" s="918">
        <f t="shared" ref="E315" si="426">100*((B315/B314)-1)</f>
        <v>0</v>
      </c>
      <c r="F315" s="918">
        <f t="shared" si="421"/>
        <v>0</v>
      </c>
      <c r="G315" s="918">
        <f t="shared" ref="G315" si="427">100*((B315/B303)-1)</f>
        <v>5.0699999999999967</v>
      </c>
      <c r="H315" s="1033">
        <f t="shared" ref="H315" si="428">100*(B315/B291-1)</f>
        <v>7.6967499999999855</v>
      </c>
      <c r="I315" s="1021">
        <f t="shared" si="186"/>
        <v>1</v>
      </c>
    </row>
    <row r="316" spans="1:9">
      <c r="A316" s="1032" t="str">
        <f>'mnt_ACCELO 815'!A196</f>
        <v>MARÇO|20</v>
      </c>
      <c r="B316" s="918">
        <f>geral!S964</f>
        <v>3558.0748404714263</v>
      </c>
      <c r="C316" s="918">
        <f t="shared" ref="C316" si="429">100*B316/$B$8</f>
        <v>825.46279706556834</v>
      </c>
      <c r="D316" s="918">
        <f t="shared" ref="D316" si="430">C316-100</f>
        <v>725.46279706556834</v>
      </c>
      <c r="E316" s="918">
        <f t="shared" ref="E316" si="431">100*((B316/B315)-1)</f>
        <v>0</v>
      </c>
      <c r="F316" s="918">
        <f t="shared" si="421"/>
        <v>0</v>
      </c>
      <c r="G316" s="918">
        <f t="shared" ref="G316" si="432">100*((B316/B304)-1)</f>
        <v>5.0699999999999967</v>
      </c>
      <c r="H316" s="1033">
        <f t="shared" ref="H316" si="433">100*(B316/B292-1)</f>
        <v>7.6967499999999855</v>
      </c>
      <c r="I316" s="1021">
        <f t="shared" si="186"/>
        <v>1</v>
      </c>
    </row>
    <row r="317" spans="1:9">
      <c r="A317" s="1032" t="str">
        <f>'mnt_ACCELO 815'!A197</f>
        <v>ABRIL|20</v>
      </c>
      <c r="B317" s="918">
        <f>geral!S965</f>
        <v>3558.0748404714263</v>
      </c>
      <c r="C317" s="918">
        <f t="shared" ref="C317" si="434">100*B317/$B$8</f>
        <v>825.46279706556834</v>
      </c>
      <c r="D317" s="918">
        <f t="shared" ref="D317" si="435">C317-100</f>
        <v>725.46279706556834</v>
      </c>
      <c r="E317" s="918">
        <f t="shared" ref="E317" si="436">100*((B317/B316)-1)</f>
        <v>0</v>
      </c>
      <c r="F317" s="918">
        <f t="shared" si="421"/>
        <v>0</v>
      </c>
      <c r="G317" s="918">
        <f t="shared" ref="G317" si="437">100*((B317/B305)-1)</f>
        <v>5.0699999999999967</v>
      </c>
      <c r="H317" s="1033">
        <f t="shared" ref="H317" si="438">100*(B317/B293-1)</f>
        <v>7.6967499999999855</v>
      </c>
      <c r="I317" s="1021">
        <f t="shared" si="186"/>
        <v>1</v>
      </c>
    </row>
    <row r="318" spans="1:9">
      <c r="A318" s="1032" t="str">
        <f>'mnt_ACCELO 815'!A198</f>
        <v>MAIO|20</v>
      </c>
      <c r="B318" s="918">
        <f>geral!S966</f>
        <v>3558.0748404714263</v>
      </c>
      <c r="C318" s="918">
        <f t="shared" ref="C318" si="439">100*B318/$B$8</f>
        <v>825.46279706556834</v>
      </c>
      <c r="D318" s="918">
        <f t="shared" ref="D318" si="440">C318-100</f>
        <v>725.46279706556834</v>
      </c>
      <c r="E318" s="918">
        <f t="shared" ref="E318" si="441">100*((B318/B317)-1)</f>
        <v>0</v>
      </c>
      <c r="F318" s="918">
        <f t="shared" si="421"/>
        <v>0</v>
      </c>
      <c r="G318" s="918">
        <f t="shared" ref="G318" si="442">100*((B318/B306)-1)</f>
        <v>0</v>
      </c>
      <c r="H318" s="1033">
        <f t="shared" ref="H318" si="443">100*(B318/B294-1)</f>
        <v>7.6967499999999855</v>
      </c>
      <c r="I318" s="1021">
        <f t="shared" si="186"/>
        <v>1</v>
      </c>
    </row>
    <row r="319" spans="1:9">
      <c r="A319" s="1032" t="str">
        <f>'mnt_ACCELO 815'!A199</f>
        <v>JUNHO|20</v>
      </c>
      <c r="B319" s="918">
        <f>geral!S967</f>
        <v>3558.0748404714263</v>
      </c>
      <c r="C319" s="918">
        <f t="shared" ref="C319" si="444">100*B319/$B$8</f>
        <v>825.46279706556834</v>
      </c>
      <c r="D319" s="918">
        <f t="shared" ref="D319" si="445">C319-100</f>
        <v>725.46279706556834</v>
      </c>
      <c r="E319" s="918">
        <f t="shared" ref="E319" si="446">100*((B319/B318)-1)</f>
        <v>0</v>
      </c>
      <c r="F319" s="918">
        <f t="shared" si="421"/>
        <v>0</v>
      </c>
      <c r="G319" s="918">
        <f t="shared" ref="G319" si="447">100*((B319/B307)-1)</f>
        <v>0</v>
      </c>
      <c r="H319" s="1033">
        <f t="shared" ref="H319" si="448">100*(B319/B295-1)</f>
        <v>5.0699999999999967</v>
      </c>
      <c r="I319" s="1021">
        <f t="shared" si="186"/>
        <v>1</v>
      </c>
    </row>
    <row r="320" spans="1:9">
      <c r="A320" s="1032" t="str">
        <f>'mnt_ACCELO 815'!A200</f>
        <v>JULHO|20</v>
      </c>
      <c r="B320" s="918">
        <f>geral!S968</f>
        <v>3558.0748404714263</v>
      </c>
      <c r="C320" s="918">
        <f t="shared" ref="C320" si="449">100*B320/$B$8</f>
        <v>825.46279706556834</v>
      </c>
      <c r="D320" s="918">
        <f t="shared" ref="D320" si="450">C320-100</f>
        <v>725.46279706556834</v>
      </c>
      <c r="E320" s="918">
        <f t="shared" ref="E320" si="451">100*((B320/B319)-1)</f>
        <v>0</v>
      </c>
      <c r="F320" s="918">
        <f t="shared" ref="F320" si="452">100*((B320/$B$313)-1)</f>
        <v>0</v>
      </c>
      <c r="G320" s="918">
        <f t="shared" ref="G320" si="453">100*((B320/B308)-1)</f>
        <v>0</v>
      </c>
      <c r="H320" s="1033">
        <f t="shared" ref="H320" si="454">100*(B320/B296-1)</f>
        <v>5.0699999999999967</v>
      </c>
      <c r="I320" s="1021">
        <f t="shared" si="186"/>
        <v>1</v>
      </c>
    </row>
    <row r="321" spans="1:9">
      <c r="A321" s="1032" t="str">
        <f>'mnt_ACCELO 815'!A201</f>
        <v>AGOSTO|20</v>
      </c>
      <c r="B321" s="918">
        <f>geral!S969</f>
        <v>3558.0748404714263</v>
      </c>
      <c r="C321" s="918">
        <f t="shared" ref="C321" si="455">100*B321/$B$8</f>
        <v>825.46279706556834</v>
      </c>
      <c r="D321" s="918">
        <f t="shared" ref="D321" si="456">C321-100</f>
        <v>725.46279706556834</v>
      </c>
      <c r="E321" s="918">
        <f t="shared" ref="E321" si="457">100*((B321/B320)-1)</f>
        <v>0</v>
      </c>
      <c r="F321" s="918">
        <f t="shared" ref="F321" si="458">100*((B321/$B$313)-1)</f>
        <v>0</v>
      </c>
      <c r="G321" s="918">
        <f t="shared" ref="G321" si="459">100*((B321/B309)-1)</f>
        <v>0</v>
      </c>
      <c r="H321" s="1033">
        <f t="shared" ref="H321" si="460">100*(B321/B297-1)</f>
        <v>5.0699999999999967</v>
      </c>
      <c r="I321" s="1034">
        <f t="shared" si="186"/>
        <v>1</v>
      </c>
    </row>
    <row r="322" spans="1:9" ht="16.5" thickBot="1">
      <c r="A322" s="1046" t="str">
        <f>'mnt_ACCELO 815'!A202</f>
        <v>SETEMBRO|20</v>
      </c>
      <c r="B322" s="1047">
        <f>geral!S970</f>
        <v>3558.0748404714263</v>
      </c>
      <c r="C322" s="1047">
        <f t="shared" ref="C322" si="461">100*B322/$B$8</f>
        <v>825.46279706556834</v>
      </c>
      <c r="D322" s="1047">
        <f t="shared" ref="D322" si="462">C322-100</f>
        <v>725.46279706556834</v>
      </c>
      <c r="E322" s="1047">
        <f t="shared" ref="E322" si="463">100*((B322/B321)-1)</f>
        <v>0</v>
      </c>
      <c r="F322" s="1047">
        <f t="shared" ref="F322" si="464">100*((B322/$B$313)-1)</f>
        <v>0</v>
      </c>
      <c r="G322" s="1047">
        <f t="shared" ref="G322" si="465">100*((B322/B310)-1)</f>
        <v>0</v>
      </c>
      <c r="H322" s="1056">
        <f t="shared" ref="H322" si="466">100*(B322/B298-1)</f>
        <v>5.0699999999999967</v>
      </c>
      <c r="I322" s="1057">
        <f t="shared" si="186"/>
        <v>1</v>
      </c>
    </row>
    <row r="323" spans="1:9">
      <c r="A323" s="833" t="s">
        <v>238</v>
      </c>
    </row>
  </sheetData>
  <mergeCells count="11">
    <mergeCell ref="K1:S1"/>
    <mergeCell ref="K2:S2"/>
    <mergeCell ref="K3:M4"/>
    <mergeCell ref="N3:S3"/>
    <mergeCell ref="N4:S4"/>
    <mergeCell ref="D1:I3"/>
    <mergeCell ref="A4:C4"/>
    <mergeCell ref="A5:C5"/>
    <mergeCell ref="I5:I6"/>
    <mergeCell ref="D5:H5"/>
    <mergeCell ref="D4:I4"/>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4">
    <pageSetUpPr fitToPage="1"/>
  </sheetPr>
  <dimension ref="A1:S290"/>
  <sheetViews>
    <sheetView showGridLines="0" topLeftCell="A234" zoomScaleNormal="100" workbookViewId="0">
      <selection activeCell="I254" sqref="I254"/>
    </sheetView>
  </sheetViews>
  <sheetFormatPr defaultColWidth="9.44140625" defaultRowHeight="15.75"/>
  <cols>
    <col min="1" max="1" width="11.109375" style="722" customWidth="1"/>
    <col min="2" max="2" width="7.21875" style="722" customWidth="1"/>
    <col min="3" max="3" width="7.5546875" style="722" customWidth="1"/>
    <col min="4" max="4" width="10.21875" style="722" customWidth="1"/>
    <col min="5" max="5" width="6.5546875" style="722" customWidth="1"/>
    <col min="6" max="6" width="5.77734375" style="722" customWidth="1"/>
    <col min="7" max="7" width="7" style="722" customWidth="1"/>
    <col min="8" max="8" width="6.5546875" style="722" customWidth="1"/>
    <col min="9" max="9" width="9.44140625" style="722" customWidth="1"/>
    <col min="10" max="10" width="9.44140625" style="782" customWidth="1"/>
    <col min="11" max="16384" width="9.44140625" style="722"/>
  </cols>
  <sheetData>
    <row r="1" spans="1:19" ht="21" customHeight="1">
      <c r="A1" s="707"/>
      <c r="B1" s="708"/>
      <c r="C1" s="708"/>
      <c r="D1" s="1417" t="s">
        <v>346</v>
      </c>
      <c r="E1" s="1417"/>
      <c r="F1" s="1417"/>
      <c r="G1" s="1417"/>
      <c r="H1" s="1417"/>
      <c r="I1" s="1417"/>
      <c r="K1" s="1468"/>
      <c r="L1" s="1468"/>
      <c r="M1" s="1468"/>
      <c r="N1" s="1468"/>
      <c r="O1" s="1468"/>
      <c r="P1" s="1468"/>
      <c r="Q1" s="1468"/>
      <c r="R1" s="1468"/>
      <c r="S1" s="1468"/>
    </row>
    <row r="2" spans="1:19" ht="16.5" customHeight="1">
      <c r="A2" s="708"/>
      <c r="B2" s="708"/>
      <c r="C2" s="708"/>
      <c r="D2" s="1417"/>
      <c r="E2" s="1417"/>
      <c r="F2" s="1417"/>
      <c r="G2" s="1417"/>
      <c r="H2" s="1417"/>
      <c r="I2" s="1417"/>
      <c r="K2" s="1453"/>
      <c r="L2" s="1453"/>
      <c r="M2" s="1453"/>
      <c r="N2" s="1453"/>
      <c r="O2" s="1453"/>
      <c r="P2" s="1453"/>
      <c r="Q2" s="1453"/>
      <c r="R2" s="1453"/>
      <c r="S2" s="1453"/>
    </row>
    <row r="3" spans="1:19" ht="16.5" customHeight="1" thickBot="1">
      <c r="A3" s="708"/>
      <c r="B3" s="708"/>
      <c r="C3" s="708"/>
      <c r="D3" s="1418"/>
      <c r="E3" s="1418"/>
      <c r="F3" s="1418"/>
      <c r="G3" s="1418"/>
      <c r="H3" s="1418"/>
      <c r="I3" s="1418"/>
      <c r="K3" s="1469"/>
      <c r="L3" s="1469"/>
      <c r="M3" s="1469"/>
      <c r="N3" s="1470"/>
      <c r="O3" s="1470"/>
      <c r="P3" s="1470"/>
      <c r="Q3" s="1470"/>
      <c r="R3" s="1470"/>
      <c r="S3" s="1470"/>
    </row>
    <row r="4" spans="1:19" ht="15.75" customHeight="1" thickBot="1">
      <c r="A4" s="1472" t="s">
        <v>357</v>
      </c>
      <c r="B4" s="1473"/>
      <c r="C4" s="1473"/>
      <c r="D4" s="1476" t="s">
        <v>365</v>
      </c>
      <c r="E4" s="1476"/>
      <c r="F4" s="1476"/>
      <c r="G4" s="1476"/>
      <c r="H4" s="1476"/>
      <c r="I4" s="1477"/>
      <c r="K4" s="1469"/>
      <c r="L4" s="1469"/>
      <c r="M4" s="1469"/>
      <c r="N4" s="1471"/>
      <c r="O4" s="1471"/>
      <c r="P4" s="1471"/>
      <c r="Q4" s="1471"/>
      <c r="R4" s="1471"/>
      <c r="S4" s="1471"/>
    </row>
    <row r="5" spans="1:19" ht="15.75" customHeight="1" thickBot="1">
      <c r="A5" s="1474" t="s">
        <v>274</v>
      </c>
      <c r="B5" s="1447"/>
      <c r="C5" s="1447"/>
      <c r="D5" s="1437" t="s">
        <v>275</v>
      </c>
      <c r="E5" s="1437"/>
      <c r="F5" s="1437"/>
      <c r="G5" s="1437"/>
      <c r="H5" s="1437"/>
      <c r="I5" s="1475" t="s">
        <v>186</v>
      </c>
      <c r="K5" s="788"/>
      <c r="L5" s="789"/>
      <c r="M5" s="790"/>
      <c r="N5" s="790"/>
      <c r="O5" s="790"/>
      <c r="P5" s="790"/>
      <c r="Q5" s="790"/>
      <c r="R5" s="788"/>
      <c r="S5" s="788"/>
    </row>
    <row r="6" spans="1:19" ht="15.75" customHeight="1" thickBot="1">
      <c r="A6" s="831" t="s">
        <v>341</v>
      </c>
      <c r="B6" s="830" t="s">
        <v>76</v>
      </c>
      <c r="C6" s="781" t="s">
        <v>68</v>
      </c>
      <c r="D6" s="832" t="s">
        <v>358</v>
      </c>
      <c r="E6" s="781" t="s">
        <v>342</v>
      </c>
      <c r="F6" s="781" t="s">
        <v>343</v>
      </c>
      <c r="G6" s="781" t="s">
        <v>344</v>
      </c>
      <c r="H6" s="781" t="s">
        <v>345</v>
      </c>
      <c r="I6" s="1475"/>
      <c r="K6" s="791"/>
      <c r="L6" s="792"/>
      <c r="M6" s="793"/>
      <c r="N6" s="793"/>
      <c r="O6" s="761"/>
      <c r="P6" s="761"/>
      <c r="Q6" s="761"/>
      <c r="R6" s="793"/>
      <c r="S6" s="793"/>
    </row>
    <row r="7" spans="1:19" ht="16.5" thickBot="1">
      <c r="A7" s="1141" t="s">
        <v>347</v>
      </c>
      <c r="B7" s="1142"/>
      <c r="C7" s="952"/>
      <c r="D7" s="1142"/>
      <c r="E7" s="1142"/>
      <c r="F7" s="1142"/>
      <c r="G7" s="1142"/>
      <c r="H7" s="1142"/>
      <c r="I7" s="1143" t="s">
        <v>362</v>
      </c>
      <c r="K7" s="791"/>
      <c r="L7" s="792"/>
      <c r="M7" s="793"/>
      <c r="N7" s="793"/>
      <c r="O7" s="761"/>
      <c r="P7" s="761"/>
      <c r="Q7" s="761"/>
      <c r="R7" s="793"/>
      <c r="S7" s="793"/>
    </row>
    <row r="8" spans="1:19" ht="18" hidden="1" customHeight="1" thickBot="1">
      <c r="A8" s="972" t="s">
        <v>557</v>
      </c>
      <c r="B8" s="997">
        <f>+geral!C1487</f>
        <v>768.53</v>
      </c>
      <c r="C8" s="997">
        <v>100</v>
      </c>
      <c r="D8" s="997">
        <f>C8-100</f>
        <v>0</v>
      </c>
      <c r="E8" s="997"/>
      <c r="F8" s="997"/>
      <c r="G8" s="997"/>
      <c r="H8" s="1139"/>
      <c r="I8" s="1140">
        <f>$B$253/B8</f>
        <v>4.5787462021899996</v>
      </c>
    </row>
    <row r="9" spans="1:19" ht="18" hidden="1" customHeight="1" thickBot="1">
      <c r="A9" s="973" t="s">
        <v>558</v>
      </c>
      <c r="B9" s="748">
        <f>+geral!C1488</f>
        <v>768.53</v>
      </c>
      <c r="C9" s="748">
        <f>100*B9/$B$8</f>
        <v>100</v>
      </c>
      <c r="D9" s="748">
        <f t="shared" ref="D9:D72" si="0">C9-100</f>
        <v>0</v>
      </c>
      <c r="E9" s="748">
        <f t="shared" ref="E9:E17" si="1">100*((B9/B8)-1)</f>
        <v>0</v>
      </c>
      <c r="F9" s="748"/>
      <c r="G9" s="748"/>
      <c r="H9" s="843"/>
      <c r="I9" s="846">
        <f>$B$253/B9</f>
        <v>4.5787462021899996</v>
      </c>
    </row>
    <row r="10" spans="1:19" ht="18" hidden="1" customHeight="1" thickBot="1">
      <c r="A10" s="973" t="s">
        <v>559</v>
      </c>
      <c r="B10" s="748">
        <f>+geral!C1489</f>
        <v>799.27</v>
      </c>
      <c r="C10" s="748">
        <f t="shared" ref="C10:C18" si="2">100*B10/$B$8</f>
        <v>103.99984385775441</v>
      </c>
      <c r="D10" s="748">
        <f t="shared" si="0"/>
        <v>3.9998438577544135</v>
      </c>
      <c r="E10" s="748">
        <f t="shared" si="1"/>
        <v>3.999843857754426</v>
      </c>
      <c r="F10" s="748"/>
      <c r="G10" s="748"/>
      <c r="H10" s="843"/>
      <c r="I10" s="846">
        <f>$B$253/B10</f>
        <v>4.4026471890213328</v>
      </c>
    </row>
    <row r="11" spans="1:19" ht="18" hidden="1" customHeight="1" thickBot="1">
      <c r="A11" s="973" t="s">
        <v>560</v>
      </c>
      <c r="B11" s="748">
        <f>+geral!C1490</f>
        <v>799.27</v>
      </c>
      <c r="C11" s="748">
        <f t="shared" si="2"/>
        <v>103.99984385775441</v>
      </c>
      <c r="D11" s="748">
        <f t="shared" si="0"/>
        <v>3.9998438577544135</v>
      </c>
      <c r="E11" s="748">
        <f t="shared" si="1"/>
        <v>0</v>
      </c>
      <c r="F11" s="748"/>
      <c r="G11" s="748"/>
      <c r="H11" s="843"/>
      <c r="I11" s="846">
        <f>$B$253/B11</f>
        <v>4.4026471890213328</v>
      </c>
    </row>
    <row r="12" spans="1:19" ht="18" hidden="1" customHeight="1" thickBot="1">
      <c r="A12" s="973" t="s">
        <v>561</v>
      </c>
      <c r="B12" s="748">
        <f>+geral!C1491</f>
        <v>799.27</v>
      </c>
      <c r="C12" s="748">
        <f t="shared" si="2"/>
        <v>103.99984385775441</v>
      </c>
      <c r="D12" s="748">
        <f t="shared" si="0"/>
        <v>3.9998438577544135</v>
      </c>
      <c r="E12" s="748">
        <f t="shared" si="1"/>
        <v>0</v>
      </c>
      <c r="F12" s="748"/>
      <c r="G12" s="748"/>
      <c r="H12" s="843"/>
      <c r="I12" s="846">
        <f>$B$253/B12</f>
        <v>4.4026471890213328</v>
      </c>
    </row>
    <row r="13" spans="1:19" ht="18" hidden="1" customHeight="1" thickBot="1">
      <c r="A13" s="973" t="s">
        <v>562</v>
      </c>
      <c r="B13" s="748">
        <f>+geral!C1492</f>
        <v>799.27</v>
      </c>
      <c r="C13" s="748">
        <f t="shared" si="2"/>
        <v>103.99984385775441</v>
      </c>
      <c r="D13" s="748">
        <f t="shared" si="0"/>
        <v>3.9998438577544135</v>
      </c>
      <c r="E13" s="748">
        <f t="shared" si="1"/>
        <v>0</v>
      </c>
      <c r="F13" s="748"/>
      <c r="G13" s="748"/>
      <c r="H13" s="843"/>
      <c r="I13" s="846">
        <f>$B$253/B13</f>
        <v>4.4026471890213328</v>
      </c>
    </row>
    <row r="14" spans="1:19" ht="18" hidden="1" customHeight="1" thickBot="1">
      <c r="A14" s="973" t="s">
        <v>534</v>
      </c>
      <c r="B14" s="748">
        <f>+geral!C1493</f>
        <v>799.27</v>
      </c>
      <c r="C14" s="748">
        <f t="shared" si="2"/>
        <v>103.99984385775441</v>
      </c>
      <c r="D14" s="748">
        <f t="shared" si="0"/>
        <v>3.9998438577544135</v>
      </c>
      <c r="E14" s="748">
        <f t="shared" si="1"/>
        <v>0</v>
      </c>
      <c r="F14" s="748"/>
      <c r="G14" s="748"/>
      <c r="H14" s="843"/>
      <c r="I14" s="846">
        <f>$B$253/B14</f>
        <v>4.4026471890213328</v>
      </c>
    </row>
    <row r="15" spans="1:19" ht="18" hidden="1" customHeight="1" thickBot="1">
      <c r="A15" s="973" t="s">
        <v>563</v>
      </c>
      <c r="B15" s="748">
        <f>+geral!C1494</f>
        <v>799.27</v>
      </c>
      <c r="C15" s="748">
        <f t="shared" si="2"/>
        <v>103.99984385775441</v>
      </c>
      <c r="D15" s="748">
        <f t="shared" si="0"/>
        <v>3.9998438577544135</v>
      </c>
      <c r="E15" s="748">
        <f t="shared" si="1"/>
        <v>0</v>
      </c>
      <c r="F15" s="748"/>
      <c r="G15" s="748"/>
      <c r="H15" s="843"/>
      <c r="I15" s="846">
        <f>$B$253/B15</f>
        <v>4.4026471890213328</v>
      </c>
    </row>
    <row r="16" spans="1:19" ht="18" hidden="1" customHeight="1" thickBot="1">
      <c r="A16" s="973" t="s">
        <v>564</v>
      </c>
      <c r="B16" s="748">
        <f>+geral!C1495</f>
        <v>799.27</v>
      </c>
      <c r="C16" s="748">
        <f t="shared" si="2"/>
        <v>103.99984385775441</v>
      </c>
      <c r="D16" s="748">
        <f t="shared" si="0"/>
        <v>3.9998438577544135</v>
      </c>
      <c r="E16" s="748">
        <f t="shared" si="1"/>
        <v>0</v>
      </c>
      <c r="F16" s="748"/>
      <c r="G16" s="748"/>
      <c r="H16" s="843"/>
      <c r="I16" s="846">
        <f>$B$253/B16</f>
        <v>4.4026471890213328</v>
      </c>
    </row>
    <row r="17" spans="1:11" ht="18" hidden="1" customHeight="1" thickBot="1">
      <c r="A17" s="973" t="s">
        <v>546</v>
      </c>
      <c r="B17" s="748">
        <f>+geral!E1484</f>
        <v>799.27</v>
      </c>
      <c r="C17" s="748">
        <f t="shared" si="2"/>
        <v>103.99984385775441</v>
      </c>
      <c r="D17" s="748">
        <f t="shared" si="0"/>
        <v>3.9998438577544135</v>
      </c>
      <c r="E17" s="748">
        <f t="shared" si="1"/>
        <v>0</v>
      </c>
      <c r="F17" s="748"/>
      <c r="G17" s="748"/>
      <c r="H17" s="843"/>
      <c r="I17" s="846">
        <f>$B$253/B17</f>
        <v>4.4026471890213328</v>
      </c>
    </row>
    <row r="18" spans="1:11" ht="18" hidden="1" customHeight="1" thickBot="1">
      <c r="A18" s="973" t="s">
        <v>547</v>
      </c>
      <c r="B18" s="748">
        <f>+geral!E1485</f>
        <v>799.27</v>
      </c>
      <c r="C18" s="748">
        <f t="shared" si="2"/>
        <v>103.99984385775441</v>
      </c>
      <c r="D18" s="748">
        <f t="shared" si="0"/>
        <v>3.9998438577544135</v>
      </c>
      <c r="E18" s="748">
        <f t="shared" ref="E18:E23" si="3">100*((B18/B17)-1)</f>
        <v>0</v>
      </c>
      <c r="F18" s="748"/>
      <c r="G18" s="748"/>
      <c r="H18" s="843"/>
      <c r="I18" s="846">
        <f>$B$253/B18</f>
        <v>4.4026471890213328</v>
      </c>
    </row>
    <row r="19" spans="1:11" ht="18" hidden="1" customHeight="1" thickBot="1">
      <c r="A19" s="973" t="s">
        <v>548</v>
      </c>
      <c r="B19" s="748">
        <f>+geral!E1486</f>
        <v>799.27</v>
      </c>
      <c r="C19" s="748">
        <f t="shared" ref="C19:C88" si="4">100*B19/$B$8</f>
        <v>103.99984385775441</v>
      </c>
      <c r="D19" s="748">
        <f t="shared" si="0"/>
        <v>3.9998438577544135</v>
      </c>
      <c r="E19" s="748">
        <f t="shared" si="3"/>
        <v>0</v>
      </c>
      <c r="F19" s="748"/>
      <c r="G19" s="748"/>
      <c r="H19" s="843"/>
      <c r="I19" s="846">
        <f>$B$253/B19</f>
        <v>4.4026471890213328</v>
      </c>
    </row>
    <row r="20" spans="1:11" ht="18" hidden="1" customHeight="1" thickBot="1">
      <c r="A20" s="973" t="s">
        <v>549</v>
      </c>
      <c r="B20" s="748">
        <f>+geral!E1487</f>
        <v>799.27</v>
      </c>
      <c r="C20" s="748">
        <f t="shared" si="4"/>
        <v>103.99984385775441</v>
      </c>
      <c r="D20" s="748">
        <f t="shared" si="0"/>
        <v>3.9998438577544135</v>
      </c>
      <c r="E20" s="748">
        <f t="shared" si="3"/>
        <v>0</v>
      </c>
      <c r="F20" s="748">
        <f t="shared" ref="F20:F25" si="5">100*((B20/$B$16)-1)</f>
        <v>0</v>
      </c>
      <c r="G20" s="748">
        <f t="shared" ref="G20:G25" si="6">100*((B20/B8)-1)</f>
        <v>3.999843857754426</v>
      </c>
      <c r="H20" s="843"/>
      <c r="I20" s="846">
        <f>$B$253/B20</f>
        <v>4.4026471890213328</v>
      </c>
    </row>
    <row r="21" spans="1:11" ht="18" hidden="1" customHeight="1" thickBot="1">
      <c r="A21" s="973" t="s">
        <v>550</v>
      </c>
      <c r="B21" s="748">
        <f>+geral!E1488</f>
        <v>858.92</v>
      </c>
      <c r="C21" s="748">
        <f t="shared" si="4"/>
        <v>111.76141464874502</v>
      </c>
      <c r="D21" s="748">
        <f t="shared" si="0"/>
        <v>11.761414648745017</v>
      </c>
      <c r="E21" s="748">
        <f t="shared" si="3"/>
        <v>7.4630600422885829</v>
      </c>
      <c r="F21" s="748">
        <f t="shared" si="5"/>
        <v>7.4630600422885829</v>
      </c>
      <c r="G21" s="748">
        <f t="shared" si="6"/>
        <v>11.761414648745006</v>
      </c>
      <c r="H21" s="843"/>
      <c r="I21" s="846">
        <f>$B$253/B21</f>
        <v>4.0968935625775167</v>
      </c>
    </row>
    <row r="22" spans="1:11" ht="18" hidden="1" customHeight="1" thickBot="1">
      <c r="A22" s="973" t="s">
        <v>551</v>
      </c>
      <c r="B22" s="748">
        <f>+geral!E1489</f>
        <v>858.92</v>
      </c>
      <c r="C22" s="748">
        <f t="shared" si="4"/>
        <v>111.76141464874502</v>
      </c>
      <c r="D22" s="748">
        <f t="shared" si="0"/>
        <v>11.761414648745017</v>
      </c>
      <c r="E22" s="748">
        <f t="shared" si="3"/>
        <v>0</v>
      </c>
      <c r="F22" s="748">
        <f t="shared" si="5"/>
        <v>7.4630600422885829</v>
      </c>
      <c r="G22" s="748">
        <f t="shared" si="6"/>
        <v>7.4630600422885829</v>
      </c>
      <c r="H22" s="843"/>
      <c r="I22" s="846">
        <f>$B$253/B22</f>
        <v>4.0968935625775167</v>
      </c>
      <c r="K22" s="760"/>
    </row>
    <row r="23" spans="1:11" ht="18" hidden="1" customHeight="1" thickBot="1">
      <c r="A23" s="973" t="s">
        <v>552</v>
      </c>
      <c r="B23" s="748">
        <f>+geral!E1490</f>
        <v>858.92</v>
      </c>
      <c r="C23" s="748">
        <f t="shared" si="4"/>
        <v>111.76141464874502</v>
      </c>
      <c r="D23" s="748">
        <f t="shared" si="0"/>
        <v>11.761414648745017</v>
      </c>
      <c r="E23" s="748">
        <f t="shared" si="3"/>
        <v>0</v>
      </c>
      <c r="F23" s="748">
        <f t="shared" si="5"/>
        <v>7.4630600422885829</v>
      </c>
      <c r="G23" s="748">
        <f t="shared" si="6"/>
        <v>7.4630600422885829</v>
      </c>
      <c r="H23" s="843"/>
      <c r="I23" s="846">
        <f>$B$253/B23</f>
        <v>4.0968935625775167</v>
      </c>
      <c r="K23" s="760"/>
    </row>
    <row r="24" spans="1:11" ht="18" hidden="1" customHeight="1" thickBot="1">
      <c r="A24" s="973" t="s">
        <v>553</v>
      </c>
      <c r="B24" s="748">
        <f>+geral!E1491</f>
        <v>858.92</v>
      </c>
      <c r="C24" s="748">
        <f t="shared" si="4"/>
        <v>111.76141464874502</v>
      </c>
      <c r="D24" s="748">
        <f t="shared" si="0"/>
        <v>11.761414648745017</v>
      </c>
      <c r="E24" s="748">
        <f t="shared" ref="E24:E29" si="7">100*((B24/B23)-1)</f>
        <v>0</v>
      </c>
      <c r="F24" s="748">
        <f t="shared" si="5"/>
        <v>7.4630600422885829</v>
      </c>
      <c r="G24" s="748">
        <f t="shared" si="6"/>
        <v>7.4630600422885829</v>
      </c>
      <c r="H24" s="843"/>
      <c r="I24" s="846">
        <f>$B$253/B24</f>
        <v>4.0968935625775167</v>
      </c>
      <c r="K24" s="760"/>
    </row>
    <row r="25" spans="1:11" ht="18" hidden="1" customHeight="1" thickBot="1">
      <c r="A25" s="973" t="s">
        <v>554</v>
      </c>
      <c r="B25" s="748">
        <f>+geral!E1492</f>
        <v>858.92</v>
      </c>
      <c r="C25" s="748">
        <f t="shared" si="4"/>
        <v>111.76141464874502</v>
      </c>
      <c r="D25" s="748">
        <f t="shared" si="0"/>
        <v>11.761414648745017</v>
      </c>
      <c r="E25" s="748">
        <f t="shared" si="7"/>
        <v>0</v>
      </c>
      <c r="F25" s="748">
        <f t="shared" si="5"/>
        <v>7.4630600422885829</v>
      </c>
      <c r="G25" s="748">
        <f t="shared" si="6"/>
        <v>7.4630600422885829</v>
      </c>
      <c r="H25" s="843"/>
      <c r="I25" s="846">
        <f>$B$253/B25</f>
        <v>4.0968935625775167</v>
      </c>
      <c r="K25" s="760"/>
    </row>
    <row r="26" spans="1:11" ht="18" hidden="1" customHeight="1" thickBot="1">
      <c r="A26" s="973" t="s">
        <v>533</v>
      </c>
      <c r="B26" s="748">
        <f>+geral!E1493</f>
        <v>858.92</v>
      </c>
      <c r="C26" s="748">
        <f t="shared" si="4"/>
        <v>111.76141464874502</v>
      </c>
      <c r="D26" s="748">
        <f t="shared" si="0"/>
        <v>11.761414648745017</v>
      </c>
      <c r="E26" s="748">
        <f t="shared" si="7"/>
        <v>0</v>
      </c>
      <c r="F26" s="748">
        <f>100*((B26/$B$16)-1)</f>
        <v>7.4630600422885829</v>
      </c>
      <c r="G26" s="748">
        <f t="shared" ref="G26:G31" si="8">100*((B26/B14)-1)</f>
        <v>7.4630600422885829</v>
      </c>
      <c r="H26" s="843"/>
      <c r="I26" s="846">
        <f>$B$253/B26</f>
        <v>4.0968935625775167</v>
      </c>
      <c r="K26" s="760"/>
    </row>
    <row r="27" spans="1:11" ht="18" hidden="1" customHeight="1" thickBot="1">
      <c r="A27" s="973" t="s">
        <v>555</v>
      </c>
      <c r="B27" s="748">
        <f>+geral!E1494</f>
        <v>858.92</v>
      </c>
      <c r="C27" s="748">
        <f>100*B27/$B$8</f>
        <v>111.76141464874502</v>
      </c>
      <c r="D27" s="748">
        <f t="shared" si="0"/>
        <v>11.761414648745017</v>
      </c>
      <c r="E27" s="748">
        <f t="shared" si="7"/>
        <v>0</v>
      </c>
      <c r="F27" s="748">
        <f>100*((B27/$B$16)-1)</f>
        <v>7.4630600422885829</v>
      </c>
      <c r="G27" s="748">
        <f t="shared" si="8"/>
        <v>7.4630600422885829</v>
      </c>
      <c r="H27" s="843"/>
      <c r="I27" s="846">
        <f>$B$253/B27</f>
        <v>4.0968935625775167</v>
      </c>
      <c r="K27" s="760"/>
    </row>
    <row r="28" spans="1:11" ht="18" hidden="1" customHeight="1" thickBot="1">
      <c r="A28" s="973" t="s">
        <v>556</v>
      </c>
      <c r="B28" s="748">
        <f>+geral!E1495</f>
        <v>858.92</v>
      </c>
      <c r="C28" s="748">
        <f t="shared" si="4"/>
        <v>111.76141464874502</v>
      </c>
      <c r="D28" s="748">
        <f t="shared" si="0"/>
        <v>11.761414648745017</v>
      </c>
      <c r="E28" s="748">
        <f t="shared" si="7"/>
        <v>0</v>
      </c>
      <c r="F28" s="748">
        <f>100*((B28/$B$16)-1)</f>
        <v>7.4630600422885829</v>
      </c>
      <c r="G28" s="748">
        <f t="shared" si="8"/>
        <v>7.4630600422885829</v>
      </c>
      <c r="H28" s="843"/>
      <c r="I28" s="846">
        <f>$B$253/B28</f>
        <v>4.0968935625775167</v>
      </c>
      <c r="K28" s="760"/>
    </row>
    <row r="29" spans="1:11" ht="18" hidden="1" customHeight="1" thickBot="1">
      <c r="A29" s="973" t="s">
        <v>535</v>
      </c>
      <c r="B29" s="748">
        <f>+geral!G1484</f>
        <v>858.92</v>
      </c>
      <c r="C29" s="748">
        <f t="shared" si="4"/>
        <v>111.76141464874502</v>
      </c>
      <c r="D29" s="748">
        <f t="shared" si="0"/>
        <v>11.761414648745017</v>
      </c>
      <c r="E29" s="748">
        <f t="shared" si="7"/>
        <v>0</v>
      </c>
      <c r="F29" s="748">
        <f t="shared" ref="F29:F34" si="9">100*((B29/$B$28)-1)</f>
        <v>0</v>
      </c>
      <c r="G29" s="748">
        <f t="shared" si="8"/>
        <v>7.4630600422885829</v>
      </c>
      <c r="H29" s="843"/>
      <c r="I29" s="846">
        <f>$B$253/B29</f>
        <v>4.0968935625775167</v>
      </c>
      <c r="K29" s="760"/>
    </row>
    <row r="30" spans="1:11" ht="18" hidden="1" customHeight="1" thickBot="1">
      <c r="A30" s="973" t="s">
        <v>536</v>
      </c>
      <c r="B30" s="748">
        <f>+geral!G1485</f>
        <v>858.92</v>
      </c>
      <c r="C30" s="748">
        <f t="shared" si="4"/>
        <v>111.76141464874502</v>
      </c>
      <c r="D30" s="748">
        <f t="shared" si="0"/>
        <v>11.761414648745017</v>
      </c>
      <c r="E30" s="748">
        <f t="shared" ref="E30:E35" si="10">100*((B30/B29)-1)</f>
        <v>0</v>
      </c>
      <c r="F30" s="748">
        <f t="shared" si="9"/>
        <v>0</v>
      </c>
      <c r="G30" s="748">
        <f t="shared" si="8"/>
        <v>7.4630600422885829</v>
      </c>
      <c r="H30" s="843"/>
      <c r="I30" s="846">
        <f>$B$253/B30</f>
        <v>4.0968935625775167</v>
      </c>
    </row>
    <row r="31" spans="1:11" ht="18" hidden="1" customHeight="1" thickBot="1">
      <c r="A31" s="973" t="s">
        <v>537</v>
      </c>
      <c r="B31" s="748">
        <f>+geral!G1486</f>
        <v>858.92</v>
      </c>
      <c r="C31" s="748">
        <f t="shared" si="4"/>
        <v>111.76141464874502</v>
      </c>
      <c r="D31" s="748">
        <f t="shared" si="0"/>
        <v>11.761414648745017</v>
      </c>
      <c r="E31" s="748">
        <f t="shared" si="10"/>
        <v>0</v>
      </c>
      <c r="F31" s="748">
        <f t="shared" si="9"/>
        <v>0</v>
      </c>
      <c r="G31" s="748">
        <f t="shared" si="8"/>
        <v>7.4630600422885829</v>
      </c>
      <c r="H31" s="843"/>
      <c r="I31" s="846">
        <f>$B$253/B31</f>
        <v>4.0968935625775167</v>
      </c>
    </row>
    <row r="32" spans="1:11" ht="18" hidden="1" customHeight="1" thickBot="1">
      <c r="A32" s="973" t="s">
        <v>538</v>
      </c>
      <c r="B32" s="748">
        <f>+geral!G1487</f>
        <v>858.92</v>
      </c>
      <c r="C32" s="748">
        <f t="shared" si="4"/>
        <v>111.76141464874502</v>
      </c>
      <c r="D32" s="748">
        <f t="shared" si="0"/>
        <v>11.761414648745017</v>
      </c>
      <c r="E32" s="748">
        <f t="shared" si="10"/>
        <v>0</v>
      </c>
      <c r="F32" s="748">
        <f t="shared" si="9"/>
        <v>0</v>
      </c>
      <c r="G32" s="748">
        <f t="shared" ref="G32:G37" si="11">100*((B32/B20)-1)</f>
        <v>7.4630600422885829</v>
      </c>
      <c r="H32" s="843">
        <f>100*(B32/B8-1)</f>
        <v>11.761414648745006</v>
      </c>
      <c r="I32" s="846">
        <f>$B$253/B32</f>
        <v>4.0968935625775167</v>
      </c>
    </row>
    <row r="33" spans="1:9" ht="18" hidden="1" customHeight="1" thickBot="1">
      <c r="A33" s="973" t="s">
        <v>539</v>
      </c>
      <c r="B33" s="748">
        <f>+geral!G1488</f>
        <v>923.34</v>
      </c>
      <c r="C33" s="748">
        <f t="shared" si="4"/>
        <v>120.14365086593888</v>
      </c>
      <c r="D33" s="748">
        <f t="shared" si="0"/>
        <v>20.143650865938881</v>
      </c>
      <c r="E33" s="748">
        <f t="shared" si="10"/>
        <v>7.5001164252782582</v>
      </c>
      <c r="F33" s="748">
        <f t="shared" si="9"/>
        <v>7.5001164252782582</v>
      </c>
      <c r="G33" s="748">
        <f t="shared" si="11"/>
        <v>7.5001164252782582</v>
      </c>
      <c r="H33" s="843">
        <f t="shared" ref="H33:H41" si="12">100*(B33/B9-1)</f>
        <v>20.143650865938877</v>
      </c>
      <c r="I33" s="846">
        <f>$B$253/B33</f>
        <v>3.8110596516657789</v>
      </c>
    </row>
    <row r="34" spans="1:9" ht="18" hidden="1" customHeight="1" thickBot="1">
      <c r="A34" s="973" t="s">
        <v>540</v>
      </c>
      <c r="B34" s="748">
        <f>+geral!G1489</f>
        <v>923.34</v>
      </c>
      <c r="C34" s="748">
        <f t="shared" si="4"/>
        <v>120.14365086593888</v>
      </c>
      <c r="D34" s="748">
        <f t="shared" si="0"/>
        <v>20.143650865938881</v>
      </c>
      <c r="E34" s="748">
        <f t="shared" si="10"/>
        <v>0</v>
      </c>
      <c r="F34" s="748">
        <f t="shared" si="9"/>
        <v>7.5001164252782582</v>
      </c>
      <c r="G34" s="748">
        <f t="shared" si="11"/>
        <v>7.5001164252782582</v>
      </c>
      <c r="H34" s="843">
        <f t="shared" si="12"/>
        <v>15.522914659626919</v>
      </c>
      <c r="I34" s="846">
        <f>$B$253/B34</f>
        <v>3.8110596516657789</v>
      </c>
    </row>
    <row r="35" spans="1:9" ht="18" hidden="1" customHeight="1" thickBot="1">
      <c r="A35" s="973" t="s">
        <v>541</v>
      </c>
      <c r="B35" s="748">
        <f>+geral!G1490</f>
        <v>923.34</v>
      </c>
      <c r="C35" s="748">
        <f t="shared" si="4"/>
        <v>120.14365086593888</v>
      </c>
      <c r="D35" s="748">
        <f t="shared" si="0"/>
        <v>20.143650865938881</v>
      </c>
      <c r="E35" s="748">
        <f t="shared" si="10"/>
        <v>0</v>
      </c>
      <c r="F35" s="748">
        <f t="shared" ref="F35:F40" si="13">100*((B35/$B$28)-1)</f>
        <v>7.5001164252782582</v>
      </c>
      <c r="G35" s="748">
        <f t="shared" si="11"/>
        <v>7.5001164252782582</v>
      </c>
      <c r="H35" s="843">
        <f t="shared" si="12"/>
        <v>15.522914659626919</v>
      </c>
      <c r="I35" s="846">
        <f>$B$253/B35</f>
        <v>3.8110596516657789</v>
      </c>
    </row>
    <row r="36" spans="1:9" ht="18" hidden="1" customHeight="1" thickBot="1">
      <c r="A36" s="973" t="s">
        <v>542</v>
      </c>
      <c r="B36" s="748">
        <f>+geral!G1491</f>
        <v>923.34</v>
      </c>
      <c r="C36" s="748">
        <f t="shared" si="4"/>
        <v>120.14365086593888</v>
      </c>
      <c r="D36" s="748">
        <f t="shared" si="0"/>
        <v>20.143650865938881</v>
      </c>
      <c r="E36" s="748">
        <f t="shared" ref="E36:E41" si="14">100*((B36/B35)-1)</f>
        <v>0</v>
      </c>
      <c r="F36" s="748">
        <f t="shared" si="13"/>
        <v>7.5001164252782582</v>
      </c>
      <c r="G36" s="748">
        <f t="shared" si="11"/>
        <v>7.5001164252782582</v>
      </c>
      <c r="H36" s="843">
        <f t="shared" si="12"/>
        <v>15.522914659626919</v>
      </c>
      <c r="I36" s="846">
        <f>$B$253/B36</f>
        <v>3.8110596516657789</v>
      </c>
    </row>
    <row r="37" spans="1:9" ht="16.5" hidden="1" thickBot="1">
      <c r="A37" s="973" t="s">
        <v>543</v>
      </c>
      <c r="B37" s="748">
        <f>+geral!G1492</f>
        <v>923.34</v>
      </c>
      <c r="C37" s="748">
        <f t="shared" si="4"/>
        <v>120.14365086593888</v>
      </c>
      <c r="D37" s="748">
        <f t="shared" si="0"/>
        <v>20.143650865938881</v>
      </c>
      <c r="E37" s="748">
        <f t="shared" si="14"/>
        <v>0</v>
      </c>
      <c r="F37" s="748">
        <f t="shared" si="13"/>
        <v>7.5001164252782582</v>
      </c>
      <c r="G37" s="748">
        <f t="shared" si="11"/>
        <v>7.5001164252782582</v>
      </c>
      <c r="H37" s="843">
        <f t="shared" si="12"/>
        <v>15.522914659626919</v>
      </c>
      <c r="I37" s="846">
        <f>$B$253/B37</f>
        <v>3.8110596516657789</v>
      </c>
    </row>
    <row r="38" spans="1:9" ht="16.5" hidden="1" thickBot="1">
      <c r="A38" s="973" t="s">
        <v>532</v>
      </c>
      <c r="B38" s="748">
        <f>+geral!G1493</f>
        <v>930.18</v>
      </c>
      <c r="C38" s="748">
        <f t="shared" si="4"/>
        <v>121.03366166577753</v>
      </c>
      <c r="D38" s="748">
        <f t="shared" si="0"/>
        <v>21.033661665777529</v>
      </c>
      <c r="E38" s="748">
        <f t="shared" si="14"/>
        <v>0.74078887517057268</v>
      </c>
      <c r="F38" s="748">
        <f t="shared" si="13"/>
        <v>8.2964653285521273</v>
      </c>
      <c r="G38" s="748">
        <f t="shared" ref="G38:G43" si="15">100*((B38/B26)-1)</f>
        <v>8.2964653285521273</v>
      </c>
      <c r="H38" s="843">
        <f t="shared" si="12"/>
        <v>16.378695559698219</v>
      </c>
      <c r="I38" s="846">
        <f>$B$253/B38</f>
        <v>3.7830353466738487</v>
      </c>
    </row>
    <row r="39" spans="1:9" ht="16.5" hidden="1" thickBot="1">
      <c r="A39" s="973" t="s">
        <v>544</v>
      </c>
      <c r="B39" s="748">
        <f>+geral!G1494</f>
        <v>930.18</v>
      </c>
      <c r="C39" s="748">
        <f t="shared" si="4"/>
        <v>121.03366166577753</v>
      </c>
      <c r="D39" s="748">
        <f t="shared" si="0"/>
        <v>21.033661665777529</v>
      </c>
      <c r="E39" s="748">
        <f t="shared" si="14"/>
        <v>0</v>
      </c>
      <c r="F39" s="748">
        <f t="shared" si="13"/>
        <v>8.2964653285521273</v>
      </c>
      <c r="G39" s="748">
        <f t="shared" si="15"/>
        <v>8.2964653285521273</v>
      </c>
      <c r="H39" s="843">
        <f t="shared" si="12"/>
        <v>16.378695559698219</v>
      </c>
      <c r="I39" s="846">
        <f>$B$253/B39</f>
        <v>3.7830353466738487</v>
      </c>
    </row>
    <row r="40" spans="1:9" ht="16.5" hidden="1" thickBot="1">
      <c r="A40" s="973" t="s">
        <v>545</v>
      </c>
      <c r="B40" s="748">
        <f>+geral!G1495</f>
        <v>930.18</v>
      </c>
      <c r="C40" s="748">
        <f t="shared" si="4"/>
        <v>121.03366166577753</v>
      </c>
      <c r="D40" s="748">
        <f t="shared" si="0"/>
        <v>21.033661665777529</v>
      </c>
      <c r="E40" s="748">
        <f t="shared" si="14"/>
        <v>0</v>
      </c>
      <c r="F40" s="748">
        <f t="shared" si="13"/>
        <v>8.2964653285521273</v>
      </c>
      <c r="G40" s="748">
        <f t="shared" si="15"/>
        <v>8.2964653285521273</v>
      </c>
      <c r="H40" s="843">
        <f t="shared" si="12"/>
        <v>16.378695559698219</v>
      </c>
      <c r="I40" s="846">
        <f>$B$253/B40</f>
        <v>3.7830353466738487</v>
      </c>
    </row>
    <row r="41" spans="1:9" ht="16.5" hidden="1" thickBot="1">
      <c r="A41" s="973" t="s">
        <v>565</v>
      </c>
      <c r="B41" s="748">
        <f>+geral!I1484</f>
        <v>930.18</v>
      </c>
      <c r="C41" s="748">
        <f t="shared" si="4"/>
        <v>121.03366166577753</v>
      </c>
      <c r="D41" s="748">
        <f t="shared" si="0"/>
        <v>21.033661665777529</v>
      </c>
      <c r="E41" s="748">
        <f t="shared" si="14"/>
        <v>0</v>
      </c>
      <c r="F41" s="748">
        <f t="shared" ref="F41:F46" si="16">100*((B41/$B$40)-1)</f>
        <v>0</v>
      </c>
      <c r="G41" s="748">
        <f t="shared" si="15"/>
        <v>8.2964653285521273</v>
      </c>
      <c r="H41" s="843">
        <f t="shared" si="12"/>
        <v>16.378695559698219</v>
      </c>
      <c r="I41" s="846">
        <f>$B$253/B41</f>
        <v>3.7830353466738487</v>
      </c>
    </row>
    <row r="42" spans="1:9" ht="16.5" hidden="1" thickBot="1">
      <c r="A42" s="973" t="s">
        <v>566</v>
      </c>
      <c r="B42" s="748">
        <f>+geral!I1485</f>
        <v>930.18</v>
      </c>
      <c r="C42" s="748">
        <f t="shared" si="4"/>
        <v>121.03366166577753</v>
      </c>
      <c r="D42" s="748">
        <f t="shared" si="0"/>
        <v>21.033661665777529</v>
      </c>
      <c r="E42" s="748">
        <f t="shared" ref="E42:E47" si="17">100*((B42/B41)-1)</f>
        <v>0</v>
      </c>
      <c r="F42" s="748">
        <f t="shared" si="16"/>
        <v>0</v>
      </c>
      <c r="G42" s="748">
        <f t="shared" si="15"/>
        <v>8.2964653285521273</v>
      </c>
      <c r="H42" s="843">
        <f t="shared" ref="H42:H47" si="18">100*(B42/B18-1)</f>
        <v>16.378695559698219</v>
      </c>
      <c r="I42" s="846">
        <f>$B$253/B42</f>
        <v>3.7830353466738487</v>
      </c>
    </row>
    <row r="43" spans="1:9" ht="16.5" hidden="1" thickBot="1">
      <c r="A43" s="973" t="s">
        <v>567</v>
      </c>
      <c r="B43" s="748">
        <f>+geral!I1486</f>
        <v>937.08</v>
      </c>
      <c r="C43" s="748">
        <f t="shared" si="4"/>
        <v>121.93147957789547</v>
      </c>
      <c r="D43" s="748">
        <f t="shared" si="0"/>
        <v>21.931479577895473</v>
      </c>
      <c r="E43" s="748">
        <f t="shared" si="17"/>
        <v>0.74179191124299493</v>
      </c>
      <c r="F43" s="748">
        <f t="shared" si="16"/>
        <v>0.74179191124299493</v>
      </c>
      <c r="G43" s="748">
        <f t="shared" si="15"/>
        <v>9.0997997485214199</v>
      </c>
      <c r="H43" s="843">
        <f t="shared" si="18"/>
        <v>17.24198330977018</v>
      </c>
      <c r="I43" s="846">
        <f>$B$253/B43</f>
        <v>3.7551797272048066</v>
      </c>
    </row>
    <row r="44" spans="1:9" ht="16.5" hidden="1" thickBot="1">
      <c r="A44" s="973" t="s">
        <v>568</v>
      </c>
      <c r="B44" s="748">
        <f>+geral!I1487</f>
        <v>937.08</v>
      </c>
      <c r="C44" s="748">
        <f t="shared" si="4"/>
        <v>121.93147957789547</v>
      </c>
      <c r="D44" s="748">
        <f t="shared" si="0"/>
        <v>21.931479577895473</v>
      </c>
      <c r="E44" s="748">
        <f t="shared" si="17"/>
        <v>0</v>
      </c>
      <c r="F44" s="748">
        <f t="shared" si="16"/>
        <v>0.74179191124299493</v>
      </c>
      <c r="G44" s="748">
        <f t="shared" ref="G44:G49" si="19">100*((B44/B32)-1)</f>
        <v>9.0997997485214199</v>
      </c>
      <c r="H44" s="843">
        <f t="shared" si="18"/>
        <v>17.24198330977018</v>
      </c>
      <c r="I44" s="846">
        <f>$B$253/B44</f>
        <v>3.7551797272048066</v>
      </c>
    </row>
    <row r="45" spans="1:9" ht="16.5" hidden="1" thickBot="1">
      <c r="A45" s="973" t="s">
        <v>569</v>
      </c>
      <c r="B45" s="748">
        <f>+geral!I1488</f>
        <v>1003.05</v>
      </c>
      <c r="C45" s="748">
        <f t="shared" si="4"/>
        <v>130.5153995289709</v>
      </c>
      <c r="D45" s="748">
        <f t="shared" si="0"/>
        <v>30.515399528970903</v>
      </c>
      <c r="E45" s="748">
        <f t="shared" si="17"/>
        <v>7.0399538993469069</v>
      </c>
      <c r="F45" s="748">
        <f t="shared" si="16"/>
        <v>7.8339676191704788</v>
      </c>
      <c r="G45" s="748">
        <f t="shared" si="19"/>
        <v>8.6327896549483363</v>
      </c>
      <c r="H45" s="843">
        <f t="shared" si="18"/>
        <v>16.780375355097089</v>
      </c>
      <c r="I45" s="846">
        <f>$B$253/B45</f>
        <v>3.5082037971876581</v>
      </c>
    </row>
    <row r="46" spans="1:9" ht="16.5" hidden="1" thickBot="1">
      <c r="A46" s="973" t="s">
        <v>570</v>
      </c>
      <c r="B46" s="748">
        <f>+geral!I1489</f>
        <v>1003.05</v>
      </c>
      <c r="C46" s="748">
        <f t="shared" si="4"/>
        <v>130.5153995289709</v>
      </c>
      <c r="D46" s="748">
        <f t="shared" si="0"/>
        <v>30.515399528970903</v>
      </c>
      <c r="E46" s="748">
        <f t="shared" si="17"/>
        <v>0</v>
      </c>
      <c r="F46" s="748">
        <f t="shared" si="16"/>
        <v>7.8339676191704788</v>
      </c>
      <c r="G46" s="748">
        <f t="shared" si="19"/>
        <v>8.6327896549483363</v>
      </c>
      <c r="H46" s="843">
        <f t="shared" si="18"/>
        <v>16.780375355097089</v>
      </c>
      <c r="I46" s="846">
        <f>$B$253/B46</f>
        <v>3.5082037971876581</v>
      </c>
    </row>
    <row r="47" spans="1:9" ht="16.5" hidden="1" thickBot="1">
      <c r="A47" s="973" t="s">
        <v>571</v>
      </c>
      <c r="B47" s="748">
        <f>+geral!I1490</f>
        <v>1050.8399999999999</v>
      </c>
      <c r="C47" s="748">
        <f t="shared" si="4"/>
        <v>136.73376445942253</v>
      </c>
      <c r="D47" s="748">
        <f t="shared" si="0"/>
        <v>36.733764459422531</v>
      </c>
      <c r="E47" s="748">
        <f t="shared" si="17"/>
        <v>4.7644683714670233</v>
      </c>
      <c r="F47" s="748">
        <f t="shared" ref="F47:F52" si="20">100*((B47/$B$40)-1)</f>
        <v>12.971682900083859</v>
      </c>
      <c r="G47" s="748">
        <f t="shared" si="19"/>
        <v>13.808564559100645</v>
      </c>
      <c r="H47" s="843">
        <f t="shared" si="18"/>
        <v>22.344339402971158</v>
      </c>
      <c r="I47" s="846">
        <f>$B$253/B47</f>
        <v>3.3486580438212101</v>
      </c>
    </row>
    <row r="48" spans="1:9" ht="16.5" hidden="1" thickBot="1">
      <c r="A48" s="973" t="s">
        <v>572</v>
      </c>
      <c r="B48" s="748">
        <f>+geral!I1491</f>
        <v>1050.8399999999999</v>
      </c>
      <c r="C48" s="748">
        <f t="shared" si="4"/>
        <v>136.73376445942253</v>
      </c>
      <c r="D48" s="748">
        <f t="shared" si="0"/>
        <v>36.733764459422531</v>
      </c>
      <c r="E48" s="748">
        <f t="shared" ref="E48:E53" si="21">100*((B48/B47)-1)</f>
        <v>0</v>
      </c>
      <c r="F48" s="748">
        <f t="shared" si="20"/>
        <v>12.971682900083859</v>
      </c>
      <c r="G48" s="748">
        <f t="shared" si="19"/>
        <v>13.808564559100645</v>
      </c>
      <c r="H48" s="843">
        <f t="shared" ref="H48:H53" si="22">100*(B48/B24-1)</f>
        <v>22.344339402971158</v>
      </c>
      <c r="I48" s="846">
        <f>$B$253/B48</f>
        <v>3.3486580438212101</v>
      </c>
    </row>
    <row r="49" spans="1:9" ht="16.5" hidden="1" thickBot="1">
      <c r="A49" s="973" t="s">
        <v>573</v>
      </c>
      <c r="B49" s="748">
        <f>+geral!I1492</f>
        <v>1050.8399999999999</v>
      </c>
      <c r="C49" s="748">
        <f t="shared" si="4"/>
        <v>136.73376445942253</v>
      </c>
      <c r="D49" s="748">
        <f t="shared" si="0"/>
        <v>36.733764459422531</v>
      </c>
      <c r="E49" s="748">
        <f t="shared" si="21"/>
        <v>0</v>
      </c>
      <c r="F49" s="748">
        <f t="shared" si="20"/>
        <v>12.971682900083859</v>
      </c>
      <c r="G49" s="748">
        <f t="shared" si="19"/>
        <v>13.808564559100645</v>
      </c>
      <c r="H49" s="843">
        <f t="shared" si="22"/>
        <v>22.344339402971158</v>
      </c>
      <c r="I49" s="846">
        <f>$B$253/B49</f>
        <v>3.3486580438212101</v>
      </c>
    </row>
    <row r="50" spans="1:9" ht="16.5" hidden="1" thickBot="1">
      <c r="A50" s="973" t="s">
        <v>396</v>
      </c>
      <c r="B50" s="748">
        <f>+geral!I1493</f>
        <v>1058.72</v>
      </c>
      <c r="C50" s="748">
        <f t="shared" si="4"/>
        <v>137.75909853876882</v>
      </c>
      <c r="D50" s="748">
        <f t="shared" si="0"/>
        <v>37.759098538768825</v>
      </c>
      <c r="E50" s="748">
        <f t="shared" si="21"/>
        <v>0.7498762894446509</v>
      </c>
      <c r="F50" s="748">
        <f t="shared" si="20"/>
        <v>13.818830763938173</v>
      </c>
      <c r="G50" s="748">
        <f t="shared" ref="G50:G55" si="23">100*((B50/B38)-1)</f>
        <v>13.818830763938173</v>
      </c>
      <c r="H50" s="843">
        <f t="shared" si="22"/>
        <v>23.261770595631724</v>
      </c>
      <c r="I50" s="846">
        <f>$B$253/B50</f>
        <v>3.3237341495098613</v>
      </c>
    </row>
    <row r="51" spans="1:9" ht="16.5" hidden="1" thickBot="1">
      <c r="A51" s="973" t="s">
        <v>397</v>
      </c>
      <c r="B51" s="748">
        <f>+geral!I1494</f>
        <v>1058.72</v>
      </c>
      <c r="C51" s="748">
        <f t="shared" si="4"/>
        <v>137.75909853876882</v>
      </c>
      <c r="D51" s="748">
        <f t="shared" si="0"/>
        <v>37.759098538768825</v>
      </c>
      <c r="E51" s="748">
        <f t="shared" si="21"/>
        <v>0</v>
      </c>
      <c r="F51" s="748">
        <f t="shared" si="20"/>
        <v>13.818830763938173</v>
      </c>
      <c r="G51" s="748">
        <f t="shared" si="23"/>
        <v>13.818830763938173</v>
      </c>
      <c r="H51" s="843">
        <f t="shared" si="22"/>
        <v>23.261770595631724</v>
      </c>
      <c r="I51" s="846">
        <f>$B$253/B51</f>
        <v>3.3237341495098613</v>
      </c>
    </row>
    <row r="52" spans="1:9" ht="16.5" hidden="1" thickBot="1">
      <c r="A52" s="973" t="s">
        <v>398</v>
      </c>
      <c r="B52" s="748">
        <f>+geral!I1495</f>
        <v>1058.72</v>
      </c>
      <c r="C52" s="748">
        <f t="shared" si="4"/>
        <v>137.75909853876882</v>
      </c>
      <c r="D52" s="748">
        <f t="shared" si="0"/>
        <v>37.759098538768825</v>
      </c>
      <c r="E52" s="748">
        <f t="shared" si="21"/>
        <v>0</v>
      </c>
      <c r="F52" s="748">
        <f t="shared" si="20"/>
        <v>13.818830763938173</v>
      </c>
      <c r="G52" s="748">
        <f t="shared" si="23"/>
        <v>13.818830763938173</v>
      </c>
      <c r="H52" s="843">
        <f t="shared" si="22"/>
        <v>23.261770595631724</v>
      </c>
      <c r="I52" s="846">
        <f>$B$253/B52</f>
        <v>3.3237341495098613</v>
      </c>
    </row>
    <row r="53" spans="1:9" ht="16.5" hidden="1" thickBot="1">
      <c r="A53" s="973" t="s">
        <v>399</v>
      </c>
      <c r="B53" s="748">
        <f>+geral!K1484</f>
        <v>1058.72</v>
      </c>
      <c r="C53" s="748">
        <f t="shared" si="4"/>
        <v>137.75909853876882</v>
      </c>
      <c r="D53" s="748">
        <f t="shared" si="0"/>
        <v>37.759098538768825</v>
      </c>
      <c r="E53" s="748">
        <f t="shared" si="21"/>
        <v>0</v>
      </c>
      <c r="F53" s="748">
        <f t="shared" ref="F53:F58" si="24">100*((B53/$B$52)-1)</f>
        <v>0</v>
      </c>
      <c r="G53" s="748">
        <f t="shared" si="23"/>
        <v>13.818830763938173</v>
      </c>
      <c r="H53" s="843">
        <f t="shared" si="22"/>
        <v>23.261770595631724</v>
      </c>
      <c r="I53" s="846">
        <f>$B$253/B53</f>
        <v>3.3237341495098613</v>
      </c>
    </row>
    <row r="54" spans="1:9" ht="16.5" hidden="1" thickBot="1">
      <c r="A54" s="973" t="s">
        <v>400</v>
      </c>
      <c r="B54" s="748">
        <f>+geral!K1485</f>
        <v>1058.72</v>
      </c>
      <c r="C54" s="748">
        <f t="shared" si="4"/>
        <v>137.75909853876882</v>
      </c>
      <c r="D54" s="748">
        <f t="shared" si="0"/>
        <v>37.759098538768825</v>
      </c>
      <c r="E54" s="748">
        <f t="shared" ref="E54:E59" si="25">100*((B54/B53)-1)</f>
        <v>0</v>
      </c>
      <c r="F54" s="748">
        <f t="shared" si="24"/>
        <v>0</v>
      </c>
      <c r="G54" s="748">
        <f t="shared" si="23"/>
        <v>13.818830763938173</v>
      </c>
      <c r="H54" s="843">
        <f t="shared" ref="H54:H59" si="26">100*(B54/B30-1)</f>
        <v>23.261770595631724</v>
      </c>
      <c r="I54" s="846">
        <f>$B$253/B54</f>
        <v>3.3237341495098613</v>
      </c>
    </row>
    <row r="55" spans="1:9" ht="16.5" hidden="1" thickBot="1">
      <c r="A55" s="973" t="s">
        <v>401</v>
      </c>
      <c r="B55" s="748">
        <f>+geral!K1486</f>
        <v>1066.6600000000001</v>
      </c>
      <c r="C55" s="748">
        <f t="shared" si="4"/>
        <v>138.79223973039441</v>
      </c>
      <c r="D55" s="748">
        <f t="shared" si="0"/>
        <v>38.792239730394414</v>
      </c>
      <c r="E55" s="748">
        <f t="shared" si="25"/>
        <v>0.74996221852803302</v>
      </c>
      <c r="F55" s="748">
        <f t="shared" si="24"/>
        <v>0.74996221852803302</v>
      </c>
      <c r="G55" s="748">
        <f t="shared" si="23"/>
        <v>13.82806163828063</v>
      </c>
      <c r="H55" s="843">
        <f t="shared" si="26"/>
        <v>24.186187304987673</v>
      </c>
      <c r="I55" s="846">
        <f>$B$253/B55</f>
        <v>3.2989929488019425</v>
      </c>
    </row>
    <row r="56" spans="1:9" ht="16.5" hidden="1" thickBot="1">
      <c r="A56" s="973" t="s">
        <v>402</v>
      </c>
      <c r="B56" s="748">
        <f>+geral!K1487</f>
        <v>1066.6600000000001</v>
      </c>
      <c r="C56" s="748">
        <f t="shared" si="4"/>
        <v>138.79223973039441</v>
      </c>
      <c r="D56" s="748">
        <f t="shared" si="0"/>
        <v>38.792239730394414</v>
      </c>
      <c r="E56" s="748">
        <f t="shared" si="25"/>
        <v>0</v>
      </c>
      <c r="F56" s="748">
        <f t="shared" si="24"/>
        <v>0.74996221852803302</v>
      </c>
      <c r="G56" s="748">
        <f t="shared" ref="G56:G61" si="27">100*((B56/B44)-1)</f>
        <v>13.82806163828063</v>
      </c>
      <c r="H56" s="843">
        <f t="shared" si="26"/>
        <v>24.186187304987673</v>
      </c>
      <c r="I56" s="846">
        <f>$B$253/B56</f>
        <v>3.2989929488019425</v>
      </c>
    </row>
    <row r="57" spans="1:9" ht="16.5" hidden="1" thickBot="1">
      <c r="A57" s="973" t="s">
        <v>403</v>
      </c>
      <c r="B57" s="748">
        <f>+geral!K1488</f>
        <v>1130.6600000000001</v>
      </c>
      <c r="C57" s="748">
        <f t="shared" si="4"/>
        <v>147.11982616163328</v>
      </c>
      <c r="D57" s="748">
        <f t="shared" si="0"/>
        <v>47.119826161633284</v>
      </c>
      <c r="E57" s="748">
        <f t="shared" si="25"/>
        <v>6.0000375002343675</v>
      </c>
      <c r="F57" s="748">
        <f t="shared" si="24"/>
        <v>6.7949977331116962</v>
      </c>
      <c r="G57" s="748">
        <f t="shared" si="27"/>
        <v>12.722197298240378</v>
      </c>
      <c r="H57" s="843">
        <f t="shared" si="26"/>
        <v>22.453267485433326</v>
      </c>
      <c r="I57" s="846">
        <f>$B$253/B57</f>
        <v>3.1122563978287725</v>
      </c>
    </row>
    <row r="58" spans="1:9" ht="16.5" hidden="1" thickBot="1">
      <c r="A58" s="973" t="s">
        <v>404</v>
      </c>
      <c r="B58" s="748">
        <f>+geral!K1489</f>
        <v>1130.6600000000001</v>
      </c>
      <c r="C58" s="748">
        <f t="shared" si="4"/>
        <v>147.11982616163328</v>
      </c>
      <c r="D58" s="748">
        <f t="shared" si="0"/>
        <v>47.119826161633284</v>
      </c>
      <c r="E58" s="748">
        <f t="shared" si="25"/>
        <v>0</v>
      </c>
      <c r="F58" s="748">
        <f t="shared" si="24"/>
        <v>6.7949977331116962</v>
      </c>
      <c r="G58" s="748">
        <f t="shared" si="27"/>
        <v>12.722197298240378</v>
      </c>
      <c r="H58" s="843">
        <f t="shared" si="26"/>
        <v>22.453267485433326</v>
      </c>
      <c r="I58" s="846">
        <f>$B$253/B58</f>
        <v>3.1122563978287725</v>
      </c>
    </row>
    <row r="59" spans="1:9" ht="16.5" hidden="1" thickBot="1">
      <c r="A59" s="973" t="s">
        <v>405</v>
      </c>
      <c r="B59" s="748">
        <f>+geral!K1490</f>
        <v>1130.6600000000001</v>
      </c>
      <c r="C59" s="748">
        <f t="shared" si="4"/>
        <v>147.11982616163328</v>
      </c>
      <c r="D59" s="748">
        <f t="shared" si="0"/>
        <v>47.119826161633284</v>
      </c>
      <c r="E59" s="748">
        <f t="shared" si="25"/>
        <v>0</v>
      </c>
      <c r="F59" s="748">
        <f t="shared" ref="F59:F64" si="28">100*((B59/$B$52)-1)</f>
        <v>6.7949977331116962</v>
      </c>
      <c r="G59" s="748">
        <f t="shared" si="27"/>
        <v>7.5958280994252281</v>
      </c>
      <c r="H59" s="843">
        <f t="shared" si="26"/>
        <v>22.453267485433326</v>
      </c>
      <c r="I59" s="846">
        <f>$B$253/B59</f>
        <v>3.1122563978287725</v>
      </c>
    </row>
    <row r="60" spans="1:9" ht="16.5" hidden="1" thickBot="1">
      <c r="A60" s="973" t="s">
        <v>406</v>
      </c>
      <c r="B60" s="748">
        <f>+geral!K1491</f>
        <v>1243.67</v>
      </c>
      <c r="C60" s="748">
        <f t="shared" si="4"/>
        <v>161.82452213966926</v>
      </c>
      <c r="D60" s="748">
        <f t="shared" si="0"/>
        <v>61.824522139669256</v>
      </c>
      <c r="E60" s="748">
        <f t="shared" ref="E60:E65" si="29">100*((B60/B59)-1)</f>
        <v>9.9950471406081487</v>
      </c>
      <c r="F60" s="748">
        <f t="shared" si="28"/>
        <v>17.469208100347601</v>
      </c>
      <c r="G60" s="748">
        <f t="shared" si="27"/>
        <v>18.3500818392905</v>
      </c>
      <c r="H60" s="843">
        <f t="shared" ref="H60:H65" si="30">100*(B60/B36-1)</f>
        <v>34.692529295817366</v>
      </c>
      <c r="I60" s="846">
        <f>$B$253/B60</f>
        <v>2.8294513968891106</v>
      </c>
    </row>
    <row r="61" spans="1:9" ht="16.5" hidden="1" thickBot="1">
      <c r="A61" s="973" t="s">
        <v>407</v>
      </c>
      <c r="B61" s="748">
        <f>+geral!K1492</f>
        <v>1243.67</v>
      </c>
      <c r="C61" s="748">
        <f t="shared" si="4"/>
        <v>161.82452213966926</v>
      </c>
      <c r="D61" s="748">
        <f t="shared" si="0"/>
        <v>61.824522139669256</v>
      </c>
      <c r="E61" s="748">
        <f t="shared" si="29"/>
        <v>0</v>
      </c>
      <c r="F61" s="748">
        <f t="shared" si="28"/>
        <v>17.469208100347601</v>
      </c>
      <c r="G61" s="748">
        <f t="shared" si="27"/>
        <v>18.3500818392905</v>
      </c>
      <c r="H61" s="843">
        <f t="shared" si="30"/>
        <v>34.692529295817366</v>
      </c>
      <c r="I61" s="846">
        <f>$B$253/B61</f>
        <v>2.8294513968891106</v>
      </c>
    </row>
    <row r="62" spans="1:9" ht="16.5" hidden="1" thickBot="1">
      <c r="A62" s="973" t="s">
        <v>408</v>
      </c>
      <c r="B62" s="748">
        <f>+geral!K1493</f>
        <v>1243.67</v>
      </c>
      <c r="C62" s="748">
        <f t="shared" si="4"/>
        <v>161.82452213966926</v>
      </c>
      <c r="D62" s="748">
        <f t="shared" si="0"/>
        <v>61.824522139669256</v>
      </c>
      <c r="E62" s="748">
        <f t="shared" si="29"/>
        <v>0</v>
      </c>
      <c r="F62" s="748">
        <f t="shared" si="28"/>
        <v>17.469208100347601</v>
      </c>
      <c r="G62" s="748">
        <f t="shared" ref="G62:G67" si="31">100*((B62/B50)-1)</f>
        <v>17.469208100347601</v>
      </c>
      <c r="H62" s="843">
        <f t="shared" si="30"/>
        <v>33.702079167472988</v>
      </c>
      <c r="I62" s="846">
        <f>$B$253/B62</f>
        <v>2.8294513968891106</v>
      </c>
    </row>
    <row r="63" spans="1:9" ht="16.5" hidden="1" thickBot="1">
      <c r="A63" s="973" t="s">
        <v>409</v>
      </c>
      <c r="B63" s="748">
        <f>+geral!K1494</f>
        <v>1243.67</v>
      </c>
      <c r="C63" s="748">
        <f t="shared" si="4"/>
        <v>161.82452213966926</v>
      </c>
      <c r="D63" s="748">
        <f t="shared" si="0"/>
        <v>61.824522139669256</v>
      </c>
      <c r="E63" s="748">
        <f t="shared" si="29"/>
        <v>0</v>
      </c>
      <c r="F63" s="748">
        <f t="shared" si="28"/>
        <v>17.469208100347601</v>
      </c>
      <c r="G63" s="748">
        <f t="shared" si="31"/>
        <v>17.469208100347601</v>
      </c>
      <c r="H63" s="843">
        <f t="shared" si="30"/>
        <v>33.702079167472988</v>
      </c>
      <c r="I63" s="846">
        <f>$B$253/B63</f>
        <v>2.8294513968891106</v>
      </c>
    </row>
    <row r="64" spans="1:9" ht="16.5" hidden="1" thickBot="1">
      <c r="A64" s="973" t="s">
        <v>410</v>
      </c>
      <c r="B64" s="748">
        <f>+geral!K1495</f>
        <v>1261.96</v>
      </c>
      <c r="C64" s="748">
        <f t="shared" si="4"/>
        <v>164.20439019947173</v>
      </c>
      <c r="D64" s="748">
        <f t="shared" si="0"/>
        <v>64.204390199471732</v>
      </c>
      <c r="E64" s="748">
        <f t="shared" si="29"/>
        <v>1.4706473582220436</v>
      </c>
      <c r="F64" s="748">
        <f t="shared" si="28"/>
        <v>19.196765905999701</v>
      </c>
      <c r="G64" s="748">
        <f t="shared" si="31"/>
        <v>19.196765905999701</v>
      </c>
      <c r="H64" s="843">
        <f t="shared" si="30"/>
        <v>35.668365262637344</v>
      </c>
      <c r="I64" s="846">
        <f>$B$253/B64</f>
        <v>2.7884432301888173</v>
      </c>
    </row>
    <row r="65" spans="1:9" ht="16.5" hidden="1" thickBot="1">
      <c r="A65" s="973" t="s">
        <v>411</v>
      </c>
      <c r="B65" s="748">
        <f>+geral!M1484</f>
        <v>1261.97</v>
      </c>
      <c r="C65" s="748">
        <f t="shared" si="4"/>
        <v>164.2056913848516</v>
      </c>
      <c r="D65" s="748">
        <f t="shared" si="0"/>
        <v>64.205691384851605</v>
      </c>
      <c r="E65" s="748">
        <f t="shared" si="29"/>
        <v>7.9241814321395765E-4</v>
      </c>
      <c r="F65" s="748">
        <f t="shared" ref="F65:F70" si="32">100*((B65/$B$64)-1)</f>
        <v>7.9241814321395765E-4</v>
      </c>
      <c r="G65" s="748">
        <f t="shared" si="31"/>
        <v>19.197710442798854</v>
      </c>
      <c r="H65" s="843">
        <f t="shared" si="30"/>
        <v>35.669440323378289</v>
      </c>
      <c r="I65" s="846">
        <f>$B$253/B65</f>
        <v>2.788421134233841</v>
      </c>
    </row>
    <row r="66" spans="1:9" ht="16.5" hidden="1" thickBot="1">
      <c r="A66" s="973" t="s">
        <v>412</v>
      </c>
      <c r="B66" s="748">
        <f>+geral!M1485</f>
        <v>1261.97</v>
      </c>
      <c r="C66" s="748">
        <f t="shared" si="4"/>
        <v>164.2056913848516</v>
      </c>
      <c r="D66" s="748">
        <f t="shared" si="0"/>
        <v>64.205691384851605</v>
      </c>
      <c r="E66" s="748">
        <f t="shared" ref="E66:E71" si="33">100*((B66/B65)-1)</f>
        <v>0</v>
      </c>
      <c r="F66" s="748">
        <f t="shared" si="32"/>
        <v>7.9241814321395765E-4</v>
      </c>
      <c r="G66" s="748">
        <f t="shared" si="31"/>
        <v>19.197710442798854</v>
      </c>
      <c r="H66" s="843">
        <f t="shared" ref="H66:H71" si="34">100*(B66/B42-1)</f>
        <v>35.669440323378289</v>
      </c>
      <c r="I66" s="846">
        <f>$B$253/B66</f>
        <v>2.788421134233841</v>
      </c>
    </row>
    <row r="67" spans="1:9" ht="16.5" hidden="1" thickBot="1">
      <c r="A67" s="973" t="s">
        <v>413</v>
      </c>
      <c r="B67" s="748">
        <f>+geral!M1486</f>
        <v>1261.97</v>
      </c>
      <c r="C67" s="748">
        <f t="shared" si="4"/>
        <v>164.2056913848516</v>
      </c>
      <c r="D67" s="748">
        <f t="shared" si="0"/>
        <v>64.205691384851605</v>
      </c>
      <c r="E67" s="748">
        <f t="shared" si="33"/>
        <v>0</v>
      </c>
      <c r="F67" s="748">
        <f t="shared" si="32"/>
        <v>7.9241814321395765E-4</v>
      </c>
      <c r="G67" s="748">
        <f t="shared" si="31"/>
        <v>18.310426940168377</v>
      </c>
      <c r="H67" s="843">
        <f t="shared" si="34"/>
        <v>34.670465701967814</v>
      </c>
      <c r="I67" s="846">
        <f>$B$253/B67</f>
        <v>2.788421134233841</v>
      </c>
    </row>
    <row r="68" spans="1:9" ht="16.5" hidden="1" thickBot="1">
      <c r="A68" s="973" t="s">
        <v>414</v>
      </c>
      <c r="B68" s="748">
        <f>+geral!M1487</f>
        <v>1261.94</v>
      </c>
      <c r="C68" s="748">
        <f t="shared" si="4"/>
        <v>164.20178782871196</v>
      </c>
      <c r="D68" s="748">
        <f t="shared" si="0"/>
        <v>64.201787828711957</v>
      </c>
      <c r="E68" s="748">
        <f t="shared" si="33"/>
        <v>-2.3772355919660093E-3</v>
      </c>
      <c r="F68" s="748">
        <f t="shared" si="32"/>
        <v>-1.5848362864057108E-3</v>
      </c>
      <c r="G68" s="748">
        <f t="shared" ref="G68:G73" si="35">100*((B68/B56)-1)</f>
        <v>18.307614422590145</v>
      </c>
      <c r="H68" s="843">
        <f t="shared" si="34"/>
        <v>34.667264267725287</v>
      </c>
      <c r="I68" s="846">
        <f>$B$253/B68</f>
        <v>2.7884874231493417</v>
      </c>
    </row>
    <row r="69" spans="1:9" ht="16.5" hidden="1" thickBot="1">
      <c r="A69" s="973" t="s">
        <v>415</v>
      </c>
      <c r="B69" s="748">
        <f>+geral!M1488</f>
        <v>1362.92</v>
      </c>
      <c r="C69" s="748">
        <f t="shared" si="4"/>
        <v>177.34115779475101</v>
      </c>
      <c r="D69" s="748">
        <f t="shared" si="0"/>
        <v>77.341157794751012</v>
      </c>
      <c r="E69" s="748">
        <f t="shared" si="33"/>
        <v>8.001965228140806</v>
      </c>
      <c r="F69" s="748">
        <f t="shared" si="32"/>
        <v>8.0002535738058267</v>
      </c>
      <c r="G69" s="748">
        <f t="shared" si="35"/>
        <v>20.541984327737772</v>
      </c>
      <c r="H69" s="843">
        <f t="shared" si="34"/>
        <v>35.877573401126583</v>
      </c>
      <c r="I69" s="846">
        <f>$B$253/B69</f>
        <v>2.5818858177802659</v>
      </c>
    </row>
    <row r="70" spans="1:9" ht="16.5" hidden="1" thickBot="1">
      <c r="A70" s="973" t="s">
        <v>416</v>
      </c>
      <c r="B70" s="748">
        <f>+geral!M1489</f>
        <v>1362.92</v>
      </c>
      <c r="C70" s="748">
        <f t="shared" si="4"/>
        <v>177.34115779475101</v>
      </c>
      <c r="D70" s="748">
        <f t="shared" si="0"/>
        <v>77.341157794751012</v>
      </c>
      <c r="E70" s="748">
        <f t="shared" si="33"/>
        <v>0</v>
      </c>
      <c r="F70" s="748">
        <f t="shared" si="32"/>
        <v>8.0002535738058267</v>
      </c>
      <c r="G70" s="748">
        <f t="shared" si="35"/>
        <v>20.541984327737772</v>
      </c>
      <c r="H70" s="843">
        <f t="shared" si="34"/>
        <v>35.877573401126583</v>
      </c>
      <c r="I70" s="846">
        <f>$B$253/B70</f>
        <v>2.5818858177802659</v>
      </c>
    </row>
    <row r="71" spans="1:9" ht="16.5" hidden="1" thickBot="1">
      <c r="A71" s="973" t="s">
        <v>417</v>
      </c>
      <c r="B71" s="748">
        <f>+geral!M1490</f>
        <v>1362.92</v>
      </c>
      <c r="C71" s="748">
        <f t="shared" si="4"/>
        <v>177.34115779475101</v>
      </c>
      <c r="D71" s="748">
        <f t="shared" si="0"/>
        <v>77.341157794751012</v>
      </c>
      <c r="E71" s="748">
        <f t="shared" si="33"/>
        <v>0</v>
      </c>
      <c r="F71" s="748">
        <f t="shared" ref="F71:F76" si="36">100*((B71/$B$64)-1)</f>
        <v>8.0002535738058267</v>
      </c>
      <c r="G71" s="748">
        <f t="shared" si="35"/>
        <v>20.541984327737772</v>
      </c>
      <c r="H71" s="843">
        <f t="shared" si="34"/>
        <v>29.698146244908852</v>
      </c>
      <c r="I71" s="846">
        <f>$B$253/B71</f>
        <v>2.5818858177802659</v>
      </c>
    </row>
    <row r="72" spans="1:9" ht="16.5" hidden="1" thickBot="1">
      <c r="A72" s="973" t="s">
        <v>418</v>
      </c>
      <c r="B72" s="748">
        <f>+geral!M1491</f>
        <v>1362.92</v>
      </c>
      <c r="C72" s="748">
        <f t="shared" si="4"/>
        <v>177.34115779475101</v>
      </c>
      <c r="D72" s="748">
        <f t="shared" si="0"/>
        <v>77.341157794751012</v>
      </c>
      <c r="E72" s="748">
        <f t="shared" ref="E72:E77" si="37">100*((B72/B71)-1)</f>
        <v>0</v>
      </c>
      <c r="F72" s="748">
        <f t="shared" si="36"/>
        <v>8.0002535738058267</v>
      </c>
      <c r="G72" s="748">
        <f t="shared" si="35"/>
        <v>9.5885564498620965</v>
      </c>
      <c r="H72" s="843">
        <f t="shared" ref="H72:H77" si="38">100*(B72/B48-1)</f>
        <v>29.698146244908852</v>
      </c>
      <c r="I72" s="846">
        <f>$B$253/B72</f>
        <v>2.5818858177802659</v>
      </c>
    </row>
    <row r="73" spans="1:9" ht="16.5" hidden="1" thickBot="1">
      <c r="A73" s="973" t="s">
        <v>419</v>
      </c>
      <c r="B73" s="748">
        <f>+geral!M1492</f>
        <v>1362.92</v>
      </c>
      <c r="C73" s="748">
        <f t="shared" si="4"/>
        <v>177.34115779475101</v>
      </c>
      <c r="D73" s="748">
        <f t="shared" ref="D73:D148" si="39">C73-100</f>
        <v>77.341157794751012</v>
      </c>
      <c r="E73" s="748">
        <f t="shared" si="37"/>
        <v>0</v>
      </c>
      <c r="F73" s="748">
        <f t="shared" si="36"/>
        <v>8.0002535738058267</v>
      </c>
      <c r="G73" s="748">
        <f t="shared" si="35"/>
        <v>9.5885564498620965</v>
      </c>
      <c r="H73" s="843">
        <f t="shared" si="38"/>
        <v>29.698146244908852</v>
      </c>
      <c r="I73" s="846">
        <f>$B$253/B73</f>
        <v>2.5818858177802659</v>
      </c>
    </row>
    <row r="74" spans="1:9" ht="16.5" hidden="1" thickBot="1">
      <c r="A74" s="973" t="s">
        <v>420</v>
      </c>
      <c r="B74" s="748">
        <f>+geral!M1493</f>
        <v>1362.92</v>
      </c>
      <c r="C74" s="748">
        <f t="shared" si="4"/>
        <v>177.34115779475101</v>
      </c>
      <c r="D74" s="748">
        <f t="shared" si="39"/>
        <v>77.341157794751012</v>
      </c>
      <c r="E74" s="748">
        <f t="shared" si="37"/>
        <v>0</v>
      </c>
      <c r="F74" s="748">
        <f t="shared" si="36"/>
        <v>8.0002535738058267</v>
      </c>
      <c r="G74" s="748">
        <f t="shared" ref="G74:G79" si="40">100*((B74/B62)-1)</f>
        <v>9.5885564498620965</v>
      </c>
      <c r="H74" s="843">
        <f t="shared" si="38"/>
        <v>28.732809430255401</v>
      </c>
      <c r="I74" s="846">
        <f>$B$253/B74</f>
        <v>2.5818858177802659</v>
      </c>
    </row>
    <row r="75" spans="1:9" ht="16.5" hidden="1" thickBot="1">
      <c r="A75" s="973" t="s">
        <v>421</v>
      </c>
      <c r="B75" s="748">
        <f>+geral!M1494</f>
        <v>1396.99</v>
      </c>
      <c r="C75" s="748">
        <f t="shared" si="4"/>
        <v>181.77429638400582</v>
      </c>
      <c r="D75" s="748">
        <f t="shared" si="39"/>
        <v>81.774296384005822</v>
      </c>
      <c r="E75" s="748">
        <f t="shared" si="37"/>
        <v>2.4997798843659158</v>
      </c>
      <c r="F75" s="748">
        <f t="shared" si="36"/>
        <v>10.700022187708003</v>
      </c>
      <c r="G75" s="748">
        <f t="shared" si="40"/>
        <v>12.328029139562746</v>
      </c>
      <c r="H75" s="843">
        <f t="shared" si="38"/>
        <v>31.950846304972046</v>
      </c>
      <c r="I75" s="846">
        <f>$B$253/B75</f>
        <v>2.5189184022570528</v>
      </c>
    </row>
    <row r="76" spans="1:9" ht="16.5" hidden="1" thickBot="1">
      <c r="A76" s="973" t="s">
        <v>422</v>
      </c>
      <c r="B76" s="748">
        <f>+geral!M1495</f>
        <v>1396.99</v>
      </c>
      <c r="C76" s="748">
        <f t="shared" si="4"/>
        <v>181.77429638400582</v>
      </c>
      <c r="D76" s="748">
        <f t="shared" si="39"/>
        <v>81.774296384005822</v>
      </c>
      <c r="E76" s="748">
        <f t="shared" si="37"/>
        <v>0</v>
      </c>
      <c r="F76" s="748">
        <f t="shared" si="36"/>
        <v>10.700022187708003</v>
      </c>
      <c r="G76" s="748">
        <f t="shared" si="40"/>
        <v>10.700022187708003</v>
      </c>
      <c r="H76" s="843">
        <f t="shared" si="38"/>
        <v>31.950846304972046</v>
      </c>
      <c r="I76" s="846">
        <f>$B$253/B76</f>
        <v>2.5189184022570528</v>
      </c>
    </row>
    <row r="77" spans="1:9" ht="16.5" hidden="1" thickBot="1">
      <c r="A77" s="973" t="s">
        <v>423</v>
      </c>
      <c r="B77" s="748">
        <f>geral!C1499</f>
        <v>1396.99</v>
      </c>
      <c r="C77" s="748">
        <f t="shared" si="4"/>
        <v>181.77429638400582</v>
      </c>
      <c r="D77" s="748">
        <f t="shared" si="39"/>
        <v>81.774296384005822</v>
      </c>
      <c r="E77" s="748">
        <f t="shared" si="37"/>
        <v>0</v>
      </c>
      <c r="F77" s="748">
        <f t="shared" ref="F77:F82" si="41">100*((B77/$B$76)-1)</f>
        <v>0</v>
      </c>
      <c r="G77" s="748">
        <f t="shared" si="40"/>
        <v>10.699144987598764</v>
      </c>
      <c r="H77" s="843">
        <f t="shared" si="38"/>
        <v>31.950846304972046</v>
      </c>
      <c r="I77" s="846">
        <f>$B$253/B77</f>
        <v>2.5189184022570528</v>
      </c>
    </row>
    <row r="78" spans="1:9" ht="16.5" hidden="1" thickBot="1">
      <c r="A78" s="973" t="s">
        <v>424</v>
      </c>
      <c r="B78" s="748">
        <f>geral!C1500</f>
        <v>1396.99</v>
      </c>
      <c r="C78" s="748">
        <f t="shared" si="4"/>
        <v>181.77429638400582</v>
      </c>
      <c r="D78" s="748">
        <f t="shared" si="39"/>
        <v>81.774296384005822</v>
      </c>
      <c r="E78" s="748">
        <f t="shared" ref="E78:E83" si="42">100*((B78/B77)-1)</f>
        <v>0</v>
      </c>
      <c r="F78" s="748">
        <f t="shared" si="41"/>
        <v>0</v>
      </c>
      <c r="G78" s="748">
        <f t="shared" si="40"/>
        <v>10.699144987598764</v>
      </c>
      <c r="H78" s="843">
        <f t="shared" ref="H78:H83" si="43">100*(B78/B54-1)</f>
        <v>31.950846304972046</v>
      </c>
      <c r="I78" s="846">
        <f>$B$253/B78</f>
        <v>2.5189184022570528</v>
      </c>
    </row>
    <row r="79" spans="1:9" ht="16.5" hidden="1" thickBot="1">
      <c r="A79" s="973" t="s">
        <v>425</v>
      </c>
      <c r="B79" s="748">
        <f>geral!C1501</f>
        <v>1396.99</v>
      </c>
      <c r="C79" s="748">
        <f t="shared" si="4"/>
        <v>181.77429638400582</v>
      </c>
      <c r="D79" s="748">
        <f t="shared" si="39"/>
        <v>81.774296384005822</v>
      </c>
      <c r="E79" s="748">
        <f t="shared" si="42"/>
        <v>0</v>
      </c>
      <c r="F79" s="748">
        <f t="shared" si="41"/>
        <v>0</v>
      </c>
      <c r="G79" s="748">
        <f t="shared" si="40"/>
        <v>10.699144987598764</v>
      </c>
      <c r="H79" s="843">
        <f t="shared" si="43"/>
        <v>30.968631053944073</v>
      </c>
      <c r="I79" s="846">
        <f>$B$253/B79</f>
        <v>2.5189184022570528</v>
      </c>
    </row>
    <row r="80" spans="1:9" ht="16.5" hidden="1" thickBot="1">
      <c r="A80" s="973" t="s">
        <v>426</v>
      </c>
      <c r="B80" s="748">
        <f>geral!C1502</f>
        <v>1396.99</v>
      </c>
      <c r="C80" s="748">
        <f t="shared" si="4"/>
        <v>181.77429638400582</v>
      </c>
      <c r="D80" s="748">
        <f t="shared" si="39"/>
        <v>81.774296384005822</v>
      </c>
      <c r="E80" s="748">
        <f t="shared" si="42"/>
        <v>0</v>
      </c>
      <c r="F80" s="748">
        <f t="shared" si="41"/>
        <v>0</v>
      </c>
      <c r="G80" s="748">
        <f t="shared" ref="G80:G85" si="44">100*((B80/B68)-1)</f>
        <v>10.701776629633741</v>
      </c>
      <c r="H80" s="843">
        <f t="shared" si="43"/>
        <v>30.968631053944073</v>
      </c>
      <c r="I80" s="846">
        <f>$B$253/B80</f>
        <v>2.5189184022570528</v>
      </c>
    </row>
    <row r="81" spans="1:11" ht="16.5" hidden="1" thickBot="1">
      <c r="A81" s="973" t="s">
        <v>427</v>
      </c>
      <c r="B81" s="748">
        <f>geral!C1503</f>
        <v>1458.71</v>
      </c>
      <c r="C81" s="748">
        <f t="shared" si="4"/>
        <v>189.8052125486318</v>
      </c>
      <c r="D81" s="748">
        <f t="shared" si="39"/>
        <v>89.8052125486318</v>
      </c>
      <c r="E81" s="748">
        <f t="shared" si="42"/>
        <v>4.4180702796727367</v>
      </c>
      <c r="F81" s="748">
        <f t="shared" si="41"/>
        <v>4.4180702796727367</v>
      </c>
      <c r="G81" s="748">
        <f t="shared" si="44"/>
        <v>7.0282921961670519</v>
      </c>
      <c r="H81" s="843">
        <f t="shared" si="43"/>
        <v>29.014027205349091</v>
      </c>
      <c r="I81" s="846">
        <f>$B$253/B81</f>
        <v>2.4123395457418404</v>
      </c>
    </row>
    <row r="82" spans="1:11" ht="16.5" hidden="1" thickBot="1">
      <c r="A82" s="973" t="s">
        <v>428</v>
      </c>
      <c r="B82" s="748">
        <f>geral!C1504</f>
        <v>1458.71</v>
      </c>
      <c r="C82" s="748">
        <f t="shared" si="4"/>
        <v>189.8052125486318</v>
      </c>
      <c r="D82" s="748">
        <f t="shared" si="39"/>
        <v>89.8052125486318</v>
      </c>
      <c r="E82" s="748">
        <f t="shared" si="42"/>
        <v>0</v>
      </c>
      <c r="F82" s="748">
        <f t="shared" si="41"/>
        <v>4.4180702796727367</v>
      </c>
      <c r="G82" s="748">
        <f t="shared" si="44"/>
        <v>7.0282921961670519</v>
      </c>
      <c r="H82" s="843">
        <f t="shared" si="43"/>
        <v>29.014027205349091</v>
      </c>
      <c r="I82" s="846">
        <f>$B$253/B82</f>
        <v>2.4123395457418404</v>
      </c>
    </row>
    <row r="83" spans="1:11" ht="16.5" hidden="1" thickBot="1">
      <c r="A83" s="973" t="s">
        <v>429</v>
      </c>
      <c r="B83" s="748">
        <f>geral!C1505</f>
        <v>1458.71</v>
      </c>
      <c r="C83" s="748">
        <f t="shared" si="4"/>
        <v>189.8052125486318</v>
      </c>
      <c r="D83" s="748">
        <f t="shared" si="39"/>
        <v>89.8052125486318</v>
      </c>
      <c r="E83" s="748">
        <f t="shared" si="42"/>
        <v>0</v>
      </c>
      <c r="F83" s="748">
        <f t="shared" ref="F83:F88" si="45">100*((B83/$B$76)-1)</f>
        <v>4.4180702796727367</v>
      </c>
      <c r="G83" s="748">
        <f t="shared" si="44"/>
        <v>7.0282921961670519</v>
      </c>
      <c r="H83" s="843">
        <f t="shared" si="43"/>
        <v>29.014027205349091</v>
      </c>
      <c r="I83" s="846">
        <f>$B$253/B83</f>
        <v>2.4123395457418404</v>
      </c>
    </row>
    <row r="84" spans="1:11" ht="16.5" hidden="1" thickBot="1">
      <c r="A84" s="973" t="s">
        <v>430</v>
      </c>
      <c r="B84" s="748">
        <f>geral!C1506</f>
        <v>1458.71</v>
      </c>
      <c r="C84" s="748">
        <f t="shared" si="4"/>
        <v>189.8052125486318</v>
      </c>
      <c r="D84" s="748">
        <f t="shared" si="39"/>
        <v>89.8052125486318</v>
      </c>
      <c r="E84" s="748">
        <f t="shared" ref="E84:E89" si="46">100*((B84/B83)-1)</f>
        <v>0</v>
      </c>
      <c r="F84" s="748">
        <f t="shared" si="45"/>
        <v>4.4180702796727367</v>
      </c>
      <c r="G84" s="748">
        <f t="shared" si="44"/>
        <v>7.0282921961670519</v>
      </c>
      <c r="H84" s="843">
        <f t="shared" ref="H84:H89" si="47">100*(B84/B60-1)</f>
        <v>17.290760410719884</v>
      </c>
      <c r="I84" s="846">
        <f>$B$253/B84</f>
        <v>2.4123395457418404</v>
      </c>
    </row>
    <row r="85" spans="1:11" ht="16.5" hidden="1" thickBot="1">
      <c r="A85" s="973" t="s">
        <v>431</v>
      </c>
      <c r="B85" s="748">
        <f>geral!C1507</f>
        <v>1458.71</v>
      </c>
      <c r="C85" s="748">
        <f t="shared" si="4"/>
        <v>189.8052125486318</v>
      </c>
      <c r="D85" s="748">
        <f t="shared" si="39"/>
        <v>89.8052125486318</v>
      </c>
      <c r="E85" s="748">
        <f t="shared" si="46"/>
        <v>0</v>
      </c>
      <c r="F85" s="748">
        <f t="shared" si="45"/>
        <v>4.4180702796727367</v>
      </c>
      <c r="G85" s="748">
        <f t="shared" si="44"/>
        <v>7.0282921961670519</v>
      </c>
      <c r="H85" s="843">
        <f t="shared" si="47"/>
        <v>17.290760410719884</v>
      </c>
      <c r="I85" s="846">
        <f>$B$253/B85</f>
        <v>2.4123395457418404</v>
      </c>
    </row>
    <row r="86" spans="1:11" ht="16.5" hidden="1" thickBot="1">
      <c r="A86" s="973" t="s">
        <v>432</v>
      </c>
      <c r="B86" s="748">
        <f>geral!C1508</f>
        <v>1458.71</v>
      </c>
      <c r="C86" s="748">
        <f t="shared" si="4"/>
        <v>189.8052125486318</v>
      </c>
      <c r="D86" s="748">
        <f t="shared" si="39"/>
        <v>89.8052125486318</v>
      </c>
      <c r="E86" s="748">
        <f t="shared" si="46"/>
        <v>0</v>
      </c>
      <c r="F86" s="748">
        <f t="shared" si="45"/>
        <v>4.4180702796727367</v>
      </c>
      <c r="G86" s="748">
        <f t="shared" ref="G86:G91" si="48">100*((B86/B74)-1)</f>
        <v>7.0282921961670519</v>
      </c>
      <c r="H86" s="843">
        <f t="shared" si="47"/>
        <v>17.290760410719884</v>
      </c>
      <c r="I86" s="846">
        <f>$B$253/B86</f>
        <v>2.4123395457418404</v>
      </c>
    </row>
    <row r="87" spans="1:11" ht="16.5" hidden="1" thickBot="1">
      <c r="A87" s="973" t="s">
        <v>433</v>
      </c>
      <c r="B87" s="748">
        <f>geral!C1509</f>
        <v>1458.71</v>
      </c>
      <c r="C87" s="748">
        <f t="shared" si="4"/>
        <v>189.8052125486318</v>
      </c>
      <c r="D87" s="748">
        <f t="shared" si="39"/>
        <v>89.8052125486318</v>
      </c>
      <c r="E87" s="748">
        <f t="shared" si="46"/>
        <v>0</v>
      </c>
      <c r="F87" s="748">
        <f t="shared" si="45"/>
        <v>4.4180702796727367</v>
      </c>
      <c r="G87" s="748">
        <f t="shared" si="48"/>
        <v>4.4180702796727367</v>
      </c>
      <c r="H87" s="843">
        <f t="shared" si="47"/>
        <v>17.290760410719884</v>
      </c>
      <c r="I87" s="846">
        <f>$B$253/B87</f>
        <v>2.4123395457418404</v>
      </c>
    </row>
    <row r="88" spans="1:11" ht="16.5" hidden="1" thickBot="1">
      <c r="A88" s="973" t="s">
        <v>434</v>
      </c>
      <c r="B88" s="748">
        <f>geral!C1510</f>
        <v>1458.71</v>
      </c>
      <c r="C88" s="748">
        <f t="shared" si="4"/>
        <v>189.8052125486318</v>
      </c>
      <c r="D88" s="748">
        <f t="shared" si="39"/>
        <v>89.8052125486318</v>
      </c>
      <c r="E88" s="748">
        <f t="shared" si="46"/>
        <v>0</v>
      </c>
      <c r="F88" s="748">
        <f t="shared" si="45"/>
        <v>4.4180702796727367</v>
      </c>
      <c r="G88" s="748">
        <f t="shared" si="48"/>
        <v>4.4180702796727367</v>
      </c>
      <c r="H88" s="843">
        <f t="shared" si="47"/>
        <v>15.590826967574255</v>
      </c>
      <c r="I88" s="846">
        <f>$B$253/B88</f>
        <v>2.4123395457418404</v>
      </c>
    </row>
    <row r="89" spans="1:11" ht="16.5" hidden="1" thickBot="1">
      <c r="A89" s="973" t="s">
        <v>435</v>
      </c>
      <c r="B89" s="748">
        <f>geral!E1499</f>
        <v>1458.71</v>
      </c>
      <c r="C89" s="748">
        <f t="shared" ref="C89:C148" si="49">100*B89/$B$8</f>
        <v>189.8052125486318</v>
      </c>
      <c r="D89" s="748">
        <f t="shared" si="39"/>
        <v>89.8052125486318</v>
      </c>
      <c r="E89" s="748">
        <f t="shared" si="46"/>
        <v>0</v>
      </c>
      <c r="F89" s="748">
        <f t="shared" ref="F89:F94" si="50">100*((B89/$B$88)-1)</f>
        <v>0</v>
      </c>
      <c r="G89" s="748">
        <f t="shared" si="48"/>
        <v>4.4180702796727367</v>
      </c>
      <c r="H89" s="843">
        <f t="shared" si="47"/>
        <v>15.589911012147684</v>
      </c>
      <c r="I89" s="846">
        <f>$B$253/B89</f>
        <v>2.4123395457418404</v>
      </c>
    </row>
    <row r="90" spans="1:11" ht="16.5" hidden="1" thickBot="1">
      <c r="A90" s="973" t="s">
        <v>436</v>
      </c>
      <c r="B90" s="748">
        <f>geral!E1500</f>
        <v>1458.71</v>
      </c>
      <c r="C90" s="748">
        <f t="shared" si="49"/>
        <v>189.8052125486318</v>
      </c>
      <c r="D90" s="748">
        <f t="shared" si="39"/>
        <v>89.8052125486318</v>
      </c>
      <c r="E90" s="748">
        <f t="shared" ref="E90:E100" si="51">100*((B90/B89)-1)</f>
        <v>0</v>
      </c>
      <c r="F90" s="748">
        <f t="shared" si="50"/>
        <v>0</v>
      </c>
      <c r="G90" s="748">
        <f t="shared" si="48"/>
        <v>4.4180702796727367</v>
      </c>
      <c r="H90" s="843">
        <f t="shared" ref="H90:H100" si="52">100*(B90/B66-1)</f>
        <v>15.589911012147684</v>
      </c>
      <c r="I90" s="846">
        <f>$B$253/B90</f>
        <v>2.4123395457418404</v>
      </c>
    </row>
    <row r="91" spans="1:11" ht="16.5" hidden="1" thickBot="1">
      <c r="A91" s="973" t="s">
        <v>437</v>
      </c>
      <c r="B91" s="748">
        <f>geral!E1501</f>
        <v>1458.71</v>
      </c>
      <c r="C91" s="748">
        <f t="shared" si="49"/>
        <v>189.8052125486318</v>
      </c>
      <c r="D91" s="748">
        <f t="shared" si="39"/>
        <v>89.8052125486318</v>
      </c>
      <c r="E91" s="748">
        <f t="shared" si="51"/>
        <v>0</v>
      </c>
      <c r="F91" s="748">
        <f t="shared" si="50"/>
        <v>0</v>
      </c>
      <c r="G91" s="748">
        <f t="shared" si="48"/>
        <v>4.4180702796727367</v>
      </c>
      <c r="H91" s="843">
        <f t="shared" si="52"/>
        <v>15.589911012147684</v>
      </c>
      <c r="I91" s="846">
        <f>$B$253/B91</f>
        <v>2.4123395457418404</v>
      </c>
    </row>
    <row r="92" spans="1:11" ht="16.5" hidden="1" thickBot="1">
      <c r="A92" s="973" t="s">
        <v>438</v>
      </c>
      <c r="B92" s="748">
        <f>geral!E1502</f>
        <v>1458.71</v>
      </c>
      <c r="C92" s="748">
        <f t="shared" si="49"/>
        <v>189.8052125486318</v>
      </c>
      <c r="D92" s="748">
        <f t="shared" si="39"/>
        <v>89.8052125486318</v>
      </c>
      <c r="E92" s="748">
        <f t="shared" si="51"/>
        <v>0</v>
      </c>
      <c r="F92" s="748">
        <f t="shared" si="50"/>
        <v>0</v>
      </c>
      <c r="G92" s="748">
        <f t="shared" ref="G92:G100" si="53">100*((B92/B80)-1)</f>
        <v>4.4180702796727367</v>
      </c>
      <c r="H92" s="843">
        <f t="shared" si="52"/>
        <v>15.592658921977275</v>
      </c>
      <c r="I92" s="846">
        <f>$B$253/B92</f>
        <v>2.4123395457418404</v>
      </c>
    </row>
    <row r="93" spans="1:11" ht="16.5" hidden="1" thickBot="1">
      <c r="A93" s="973" t="s">
        <v>439</v>
      </c>
      <c r="B93" s="748">
        <f>geral!E1503</f>
        <v>1537.8</v>
      </c>
      <c r="C93" s="748">
        <f t="shared" si="49"/>
        <v>200.0962877181112</v>
      </c>
      <c r="D93" s="748">
        <f t="shared" si="39"/>
        <v>100.0962877181112</v>
      </c>
      <c r="E93" s="748">
        <f t="shared" si="51"/>
        <v>5.4219138828142555</v>
      </c>
      <c r="F93" s="748">
        <f t="shared" si="50"/>
        <v>5.4219138828142555</v>
      </c>
      <c r="G93" s="748">
        <f t="shared" si="53"/>
        <v>5.4219138828142555</v>
      </c>
      <c r="H93" s="843">
        <f t="shared" si="52"/>
        <v>12.831274029290052</v>
      </c>
      <c r="I93" s="846">
        <f>$B$253/B93</f>
        <v>2.2882714389186374</v>
      </c>
    </row>
    <row r="94" spans="1:11" ht="16.5" hidden="1" thickBot="1">
      <c r="A94" s="973" t="s">
        <v>440</v>
      </c>
      <c r="B94" s="748">
        <f>geral!E1504</f>
        <v>1537.8</v>
      </c>
      <c r="C94" s="748">
        <f t="shared" si="49"/>
        <v>200.0962877181112</v>
      </c>
      <c r="D94" s="748">
        <f t="shared" si="39"/>
        <v>100.0962877181112</v>
      </c>
      <c r="E94" s="748">
        <f t="shared" si="51"/>
        <v>0</v>
      </c>
      <c r="F94" s="748">
        <f t="shared" si="50"/>
        <v>5.4219138828142555</v>
      </c>
      <c r="G94" s="748">
        <f t="shared" si="53"/>
        <v>5.4219138828142555</v>
      </c>
      <c r="H94" s="843">
        <f t="shared" si="52"/>
        <v>12.831274029290052</v>
      </c>
      <c r="I94" s="846">
        <f>$B$253/B94</f>
        <v>2.2882714389186374</v>
      </c>
    </row>
    <row r="95" spans="1:11" ht="16.5" hidden="1" thickBot="1">
      <c r="A95" s="973" t="s">
        <v>441</v>
      </c>
      <c r="B95" s="748">
        <f>geral!E1505</f>
        <v>1537.8</v>
      </c>
      <c r="C95" s="748">
        <f t="shared" si="49"/>
        <v>200.0962877181112</v>
      </c>
      <c r="D95" s="748">
        <f t="shared" si="39"/>
        <v>100.0962877181112</v>
      </c>
      <c r="E95" s="748">
        <f t="shared" si="51"/>
        <v>0</v>
      </c>
      <c r="F95" s="748">
        <f t="shared" ref="F95:F100" si="54">100*((B95/$B$88)-1)</f>
        <v>5.4219138828142555</v>
      </c>
      <c r="G95" s="748">
        <f t="shared" si="53"/>
        <v>5.4219138828142555</v>
      </c>
      <c r="H95" s="843">
        <f t="shared" si="52"/>
        <v>12.831274029290052</v>
      </c>
      <c r="I95" s="846">
        <f>$B$253/B95</f>
        <v>2.2882714389186374</v>
      </c>
      <c r="J95" s="783" t="s">
        <v>241</v>
      </c>
      <c r="K95" s="774"/>
    </row>
    <row r="96" spans="1:11" ht="16.5" hidden="1" thickBot="1">
      <c r="A96" s="973" t="s">
        <v>442</v>
      </c>
      <c r="B96" s="748">
        <f>geral!E1506</f>
        <v>1537.8</v>
      </c>
      <c r="C96" s="748">
        <f t="shared" si="49"/>
        <v>200.0962877181112</v>
      </c>
      <c r="D96" s="748">
        <f t="shared" si="39"/>
        <v>100.0962877181112</v>
      </c>
      <c r="E96" s="748">
        <f t="shared" si="51"/>
        <v>0</v>
      </c>
      <c r="F96" s="748">
        <f t="shared" si="54"/>
        <v>5.4219138828142555</v>
      </c>
      <c r="G96" s="748">
        <f t="shared" si="53"/>
        <v>5.4219138828142555</v>
      </c>
      <c r="H96" s="843">
        <f t="shared" si="52"/>
        <v>12.831274029290052</v>
      </c>
      <c r="I96" s="846">
        <f>$B$253/B96</f>
        <v>2.2882714389186374</v>
      </c>
      <c r="J96" s="784"/>
    </row>
    <row r="97" spans="1:9" ht="16.5" hidden="1" thickBot="1">
      <c r="A97" s="973" t="s">
        <v>443</v>
      </c>
      <c r="B97" s="748">
        <f>geral!E1507</f>
        <v>1537.8</v>
      </c>
      <c r="C97" s="748">
        <f t="shared" si="49"/>
        <v>200.0962877181112</v>
      </c>
      <c r="D97" s="748">
        <f t="shared" si="39"/>
        <v>100.0962877181112</v>
      </c>
      <c r="E97" s="748">
        <f t="shared" si="51"/>
        <v>0</v>
      </c>
      <c r="F97" s="748">
        <f t="shared" si="54"/>
        <v>5.4219138828142555</v>
      </c>
      <c r="G97" s="748">
        <f t="shared" si="53"/>
        <v>5.4219138828142555</v>
      </c>
      <c r="H97" s="843">
        <f t="shared" si="52"/>
        <v>12.831274029290052</v>
      </c>
      <c r="I97" s="846">
        <f>$B$253/B97</f>
        <v>2.2882714389186374</v>
      </c>
    </row>
    <row r="98" spans="1:9" ht="16.5" hidden="1" thickBot="1">
      <c r="A98" s="973" t="s">
        <v>444</v>
      </c>
      <c r="B98" s="748">
        <f>geral!E1508</f>
        <v>1537.8</v>
      </c>
      <c r="C98" s="748">
        <f t="shared" si="49"/>
        <v>200.0962877181112</v>
      </c>
      <c r="D98" s="748">
        <f t="shared" si="39"/>
        <v>100.0962877181112</v>
      </c>
      <c r="E98" s="748">
        <f t="shared" si="51"/>
        <v>0</v>
      </c>
      <c r="F98" s="748">
        <f t="shared" si="54"/>
        <v>5.4219138828142555</v>
      </c>
      <c r="G98" s="748">
        <f t="shared" si="53"/>
        <v>5.4219138828142555</v>
      </c>
      <c r="H98" s="843">
        <f t="shared" si="52"/>
        <v>12.831274029290052</v>
      </c>
      <c r="I98" s="846">
        <f>$B$253/B98</f>
        <v>2.2882714389186374</v>
      </c>
    </row>
    <row r="99" spans="1:9" ht="16.5" hidden="1" thickBot="1">
      <c r="A99" s="973" t="s">
        <v>445</v>
      </c>
      <c r="B99" s="748">
        <f>geral!E1509</f>
        <v>1537.8</v>
      </c>
      <c r="C99" s="748">
        <f t="shared" si="49"/>
        <v>200.0962877181112</v>
      </c>
      <c r="D99" s="748">
        <f t="shared" si="39"/>
        <v>100.0962877181112</v>
      </c>
      <c r="E99" s="748">
        <f t="shared" si="51"/>
        <v>0</v>
      </c>
      <c r="F99" s="748">
        <f t="shared" si="54"/>
        <v>5.4219138828142555</v>
      </c>
      <c r="G99" s="748">
        <f t="shared" si="53"/>
        <v>5.4219138828142555</v>
      </c>
      <c r="H99" s="843">
        <f t="shared" si="52"/>
        <v>10.07952812833306</v>
      </c>
      <c r="I99" s="846">
        <f>$B$253/B99</f>
        <v>2.2882714389186374</v>
      </c>
    </row>
    <row r="100" spans="1:9" ht="16.5" hidden="1" thickBot="1">
      <c r="A100" s="973" t="s">
        <v>446</v>
      </c>
      <c r="B100" s="748">
        <f>geral!E1510</f>
        <v>1537.8</v>
      </c>
      <c r="C100" s="748">
        <f t="shared" si="49"/>
        <v>200.0962877181112</v>
      </c>
      <c r="D100" s="748">
        <f t="shared" si="39"/>
        <v>100.0962877181112</v>
      </c>
      <c r="E100" s="748">
        <f t="shared" si="51"/>
        <v>0</v>
      </c>
      <c r="F100" s="748">
        <f t="shared" si="54"/>
        <v>5.4219138828142555</v>
      </c>
      <c r="G100" s="748">
        <f t="shared" si="53"/>
        <v>5.4219138828142555</v>
      </c>
      <c r="H100" s="843">
        <f t="shared" si="52"/>
        <v>10.07952812833306</v>
      </c>
      <c r="I100" s="846">
        <f>$B$253/B100</f>
        <v>2.2882714389186374</v>
      </c>
    </row>
    <row r="101" spans="1:9" ht="16.5" hidden="1" thickBot="1">
      <c r="A101" s="973" t="s">
        <v>447</v>
      </c>
      <c r="B101" s="748">
        <f>geral!G1499</f>
        <v>1537.8</v>
      </c>
      <c r="C101" s="748">
        <f t="shared" si="49"/>
        <v>200.0962877181112</v>
      </c>
      <c r="D101" s="748">
        <f t="shared" si="39"/>
        <v>100.0962877181112</v>
      </c>
      <c r="E101" s="748">
        <f t="shared" ref="E101:E106" si="55">100*((B101/B100)-1)</f>
        <v>0</v>
      </c>
      <c r="F101" s="748">
        <f t="shared" ref="F101:F106" si="56">100*((B101/$B$100)-1)</f>
        <v>0</v>
      </c>
      <c r="G101" s="748">
        <f t="shared" ref="G101:G106" si="57">100*((B101/B89)-1)</f>
        <v>5.4219138828142555</v>
      </c>
      <c r="H101" s="843">
        <f t="shared" ref="H101:H106" si="58">100*(B101/B77-1)</f>
        <v>10.07952812833306</v>
      </c>
      <c r="I101" s="846">
        <f>$B$253/B101</f>
        <v>2.2882714389186374</v>
      </c>
    </row>
    <row r="102" spans="1:9" ht="16.5" hidden="1" thickBot="1">
      <c r="A102" s="973" t="s">
        <v>448</v>
      </c>
      <c r="B102" s="748">
        <f>geral!G1500</f>
        <v>1537.8</v>
      </c>
      <c r="C102" s="748">
        <f t="shared" si="49"/>
        <v>200.0962877181112</v>
      </c>
      <c r="D102" s="748">
        <f t="shared" si="39"/>
        <v>100.0962877181112</v>
      </c>
      <c r="E102" s="748">
        <f t="shared" si="55"/>
        <v>0</v>
      </c>
      <c r="F102" s="748">
        <f t="shared" si="56"/>
        <v>0</v>
      </c>
      <c r="G102" s="748">
        <f t="shared" si="57"/>
        <v>5.4219138828142555</v>
      </c>
      <c r="H102" s="843">
        <f t="shared" si="58"/>
        <v>10.07952812833306</v>
      </c>
      <c r="I102" s="846">
        <f>$B$253/B102</f>
        <v>2.2882714389186374</v>
      </c>
    </row>
    <row r="103" spans="1:9" ht="16.5" hidden="1" thickBot="1">
      <c r="A103" s="973" t="s">
        <v>449</v>
      </c>
      <c r="B103" s="748">
        <f>geral!G1501</f>
        <v>1537.8</v>
      </c>
      <c r="C103" s="748">
        <f t="shared" si="49"/>
        <v>200.0962877181112</v>
      </c>
      <c r="D103" s="748">
        <f t="shared" si="39"/>
        <v>100.0962877181112</v>
      </c>
      <c r="E103" s="748">
        <f t="shared" si="55"/>
        <v>0</v>
      </c>
      <c r="F103" s="748">
        <f t="shared" si="56"/>
        <v>0</v>
      </c>
      <c r="G103" s="748">
        <f t="shared" si="57"/>
        <v>5.4219138828142555</v>
      </c>
      <c r="H103" s="843">
        <f t="shared" si="58"/>
        <v>10.07952812833306</v>
      </c>
      <c r="I103" s="846">
        <f>$B$253/B103</f>
        <v>2.2882714389186374</v>
      </c>
    </row>
    <row r="104" spans="1:9" ht="16.5" hidden="1" thickBot="1">
      <c r="A104" s="973" t="s">
        <v>450</v>
      </c>
      <c r="B104" s="748">
        <f>geral!G1502</f>
        <v>1537.8</v>
      </c>
      <c r="C104" s="748">
        <f t="shared" si="49"/>
        <v>200.0962877181112</v>
      </c>
      <c r="D104" s="748">
        <f t="shared" si="39"/>
        <v>100.0962877181112</v>
      </c>
      <c r="E104" s="748">
        <f t="shared" si="55"/>
        <v>0</v>
      </c>
      <c r="F104" s="748">
        <f t="shared" si="56"/>
        <v>0</v>
      </c>
      <c r="G104" s="748">
        <f t="shared" si="57"/>
        <v>5.4219138828142555</v>
      </c>
      <c r="H104" s="843">
        <f t="shared" si="58"/>
        <v>10.07952812833306</v>
      </c>
      <c r="I104" s="846">
        <f>$B$253/B104</f>
        <v>2.2882714389186374</v>
      </c>
    </row>
    <row r="105" spans="1:9" ht="16.5" hidden="1" thickBot="1">
      <c r="A105" s="973" t="s">
        <v>451</v>
      </c>
      <c r="B105" s="748">
        <f>geral!G1503</f>
        <v>1655.74</v>
      </c>
      <c r="C105" s="748">
        <f t="shared" si="49"/>
        <v>215.44246808842857</v>
      </c>
      <c r="D105" s="748">
        <f t="shared" si="39"/>
        <v>115.44246808842857</v>
      </c>
      <c r="E105" s="748">
        <f t="shared" si="55"/>
        <v>7.6693978410716568</v>
      </c>
      <c r="F105" s="748">
        <f t="shared" si="56"/>
        <v>7.6693978410716568</v>
      </c>
      <c r="G105" s="748">
        <f t="shared" si="57"/>
        <v>7.6693978410716568</v>
      </c>
      <c r="H105" s="843">
        <f t="shared" si="58"/>
        <v>13.507139870159257</v>
      </c>
      <c r="I105" s="846">
        <f>$B$253/B105</f>
        <v>2.1252755980824767</v>
      </c>
    </row>
    <row r="106" spans="1:9" ht="16.5" hidden="1" thickBot="1">
      <c r="A106" s="973" t="s">
        <v>452</v>
      </c>
      <c r="B106" s="748">
        <f>geral!G1504</f>
        <v>1655.74</v>
      </c>
      <c r="C106" s="748">
        <f t="shared" si="49"/>
        <v>215.44246808842857</v>
      </c>
      <c r="D106" s="748">
        <f t="shared" si="39"/>
        <v>115.44246808842857</v>
      </c>
      <c r="E106" s="748">
        <f t="shared" si="55"/>
        <v>0</v>
      </c>
      <c r="F106" s="748">
        <f t="shared" si="56"/>
        <v>7.6693978410716568</v>
      </c>
      <c r="G106" s="748">
        <f t="shared" si="57"/>
        <v>7.6693978410716568</v>
      </c>
      <c r="H106" s="843">
        <f t="shared" si="58"/>
        <v>13.507139870159257</v>
      </c>
      <c r="I106" s="846">
        <f>$B$253/B106</f>
        <v>2.1252755980824767</v>
      </c>
    </row>
    <row r="107" spans="1:9" ht="16.5" hidden="1" thickBot="1">
      <c r="A107" s="973" t="s">
        <v>453</v>
      </c>
      <c r="B107" s="748">
        <f>geral!G1505</f>
        <v>1655.74</v>
      </c>
      <c r="C107" s="748">
        <f t="shared" si="49"/>
        <v>215.44246808842857</v>
      </c>
      <c r="D107" s="748">
        <f t="shared" si="39"/>
        <v>115.44246808842857</v>
      </c>
      <c r="E107" s="748">
        <f t="shared" ref="E107:E112" si="59">100*((B107/B106)-1)</f>
        <v>0</v>
      </c>
      <c r="F107" s="748">
        <f t="shared" ref="F107:F112" si="60">100*((B107/$B$100)-1)</f>
        <v>7.6693978410716568</v>
      </c>
      <c r="G107" s="748">
        <f t="shared" ref="G107:G112" si="61">100*((B107/B95)-1)</f>
        <v>7.6693978410716568</v>
      </c>
      <c r="H107" s="843">
        <f t="shared" ref="H107:H112" si="62">100*(B107/B83-1)</f>
        <v>13.507139870159257</v>
      </c>
      <c r="I107" s="846">
        <f>$B$253/B107</f>
        <v>2.1252755980824767</v>
      </c>
    </row>
    <row r="108" spans="1:9" ht="16.5" hidden="1" thickBot="1">
      <c r="A108" s="973" t="s">
        <v>454</v>
      </c>
      <c r="B108" s="748">
        <f>geral!G1506</f>
        <v>1655.74</v>
      </c>
      <c r="C108" s="748">
        <f t="shared" si="49"/>
        <v>215.44246808842857</v>
      </c>
      <c r="D108" s="748">
        <f t="shared" si="39"/>
        <v>115.44246808842857</v>
      </c>
      <c r="E108" s="748">
        <f t="shared" si="59"/>
        <v>0</v>
      </c>
      <c r="F108" s="748">
        <f t="shared" si="60"/>
        <v>7.6693978410716568</v>
      </c>
      <c r="G108" s="748">
        <f t="shared" si="61"/>
        <v>7.6693978410716568</v>
      </c>
      <c r="H108" s="843">
        <f t="shared" si="62"/>
        <v>13.507139870159257</v>
      </c>
      <c r="I108" s="846">
        <f>$B$253/B108</f>
        <v>2.1252755980824767</v>
      </c>
    </row>
    <row r="109" spans="1:9" ht="16.5" hidden="1" thickBot="1">
      <c r="A109" s="973" t="s">
        <v>455</v>
      </c>
      <c r="B109" s="748">
        <f>geral!G1507</f>
        <v>1655.74</v>
      </c>
      <c r="C109" s="748">
        <f t="shared" si="49"/>
        <v>215.44246808842857</v>
      </c>
      <c r="D109" s="748">
        <f t="shared" si="39"/>
        <v>115.44246808842857</v>
      </c>
      <c r="E109" s="748">
        <f t="shared" si="59"/>
        <v>0</v>
      </c>
      <c r="F109" s="748">
        <f t="shared" si="60"/>
        <v>7.6693978410716568</v>
      </c>
      <c r="G109" s="748">
        <f t="shared" si="61"/>
        <v>7.6693978410716568</v>
      </c>
      <c r="H109" s="843">
        <f t="shared" si="62"/>
        <v>13.507139870159257</v>
      </c>
      <c r="I109" s="846">
        <f>$B$253/B109</f>
        <v>2.1252755980824767</v>
      </c>
    </row>
    <row r="110" spans="1:9" ht="16.5" hidden="1" thickBot="1">
      <c r="A110" s="973" t="s">
        <v>456</v>
      </c>
      <c r="B110" s="748">
        <f>geral!G1508</f>
        <v>1655.74</v>
      </c>
      <c r="C110" s="748">
        <f t="shared" si="49"/>
        <v>215.44246808842857</v>
      </c>
      <c r="D110" s="748">
        <f t="shared" si="39"/>
        <v>115.44246808842857</v>
      </c>
      <c r="E110" s="748">
        <f t="shared" si="59"/>
        <v>0</v>
      </c>
      <c r="F110" s="748">
        <f t="shared" si="60"/>
        <v>7.6693978410716568</v>
      </c>
      <c r="G110" s="748">
        <f t="shared" si="61"/>
        <v>7.6693978410716568</v>
      </c>
      <c r="H110" s="843">
        <f t="shared" si="62"/>
        <v>13.507139870159257</v>
      </c>
      <c r="I110" s="846">
        <f>$B$253/B110</f>
        <v>2.1252755980824767</v>
      </c>
    </row>
    <row r="111" spans="1:9" ht="16.5" hidden="1" thickBot="1">
      <c r="A111" s="973" t="s">
        <v>457</v>
      </c>
      <c r="B111" s="748">
        <f>geral!G1509</f>
        <v>1655.74</v>
      </c>
      <c r="C111" s="748">
        <f t="shared" si="49"/>
        <v>215.44246808842857</v>
      </c>
      <c r="D111" s="748">
        <f t="shared" si="39"/>
        <v>115.44246808842857</v>
      </c>
      <c r="E111" s="748">
        <f t="shared" si="59"/>
        <v>0</v>
      </c>
      <c r="F111" s="748">
        <f t="shared" si="60"/>
        <v>7.6693978410716568</v>
      </c>
      <c r="G111" s="748">
        <f t="shared" si="61"/>
        <v>7.6693978410716568</v>
      </c>
      <c r="H111" s="843">
        <f t="shared" si="62"/>
        <v>13.507139870159257</v>
      </c>
      <c r="I111" s="846">
        <f>$B$253/B111</f>
        <v>2.1252755980824767</v>
      </c>
    </row>
    <row r="112" spans="1:9" ht="16.5" hidden="1" thickBot="1">
      <c r="A112" s="973" t="s">
        <v>458</v>
      </c>
      <c r="B112" s="748">
        <f>geral!G1510</f>
        <v>1655.74</v>
      </c>
      <c r="C112" s="748">
        <f t="shared" si="49"/>
        <v>215.44246808842857</v>
      </c>
      <c r="D112" s="748">
        <f t="shared" si="39"/>
        <v>115.44246808842857</v>
      </c>
      <c r="E112" s="748">
        <f t="shared" si="59"/>
        <v>0</v>
      </c>
      <c r="F112" s="748">
        <f t="shared" si="60"/>
        <v>7.6693978410716568</v>
      </c>
      <c r="G112" s="748">
        <f t="shared" si="61"/>
        <v>7.6693978410716568</v>
      </c>
      <c r="H112" s="843">
        <f t="shared" si="62"/>
        <v>13.507139870159257</v>
      </c>
      <c r="I112" s="846">
        <f>$B$253/B112</f>
        <v>2.1252755980824767</v>
      </c>
    </row>
    <row r="113" spans="1:10" ht="16.5" hidden="1" thickBot="1">
      <c r="A113" s="973" t="s">
        <v>459</v>
      </c>
      <c r="B113" s="748">
        <f>geral!I1499</f>
        <v>1655.74</v>
      </c>
      <c r="C113" s="748">
        <f t="shared" si="49"/>
        <v>215.44246808842857</v>
      </c>
      <c r="D113" s="748">
        <f t="shared" si="39"/>
        <v>115.44246808842857</v>
      </c>
      <c r="E113" s="748">
        <f t="shared" ref="E113:E118" si="63">100*((B113/B112)-1)</f>
        <v>0</v>
      </c>
      <c r="F113" s="748">
        <f t="shared" ref="F113:F118" si="64">100*((B113/$B$112)-1)</f>
        <v>0</v>
      </c>
      <c r="G113" s="748">
        <f t="shared" ref="G113:G118" si="65">100*((B113/B101)-1)</f>
        <v>7.6693978410716568</v>
      </c>
      <c r="H113" s="843">
        <f t="shared" ref="H113:H118" si="66">100*(B113/B89-1)</f>
        <v>13.507139870159257</v>
      </c>
      <c r="I113" s="846">
        <f>$B$253/B113</f>
        <v>2.1252755980824767</v>
      </c>
    </row>
    <row r="114" spans="1:10" ht="16.5" hidden="1" thickBot="1">
      <c r="A114" s="973" t="s">
        <v>460</v>
      </c>
      <c r="B114" s="748">
        <f>geral!I1500</f>
        <v>1655.74</v>
      </c>
      <c r="C114" s="748">
        <f t="shared" si="49"/>
        <v>215.44246808842857</v>
      </c>
      <c r="D114" s="748">
        <f t="shared" si="39"/>
        <v>115.44246808842857</v>
      </c>
      <c r="E114" s="748">
        <f t="shared" si="63"/>
        <v>0</v>
      </c>
      <c r="F114" s="748">
        <f t="shared" si="64"/>
        <v>0</v>
      </c>
      <c r="G114" s="748">
        <f t="shared" si="65"/>
        <v>7.6693978410716568</v>
      </c>
      <c r="H114" s="843">
        <f t="shared" si="66"/>
        <v>13.507139870159257</v>
      </c>
      <c r="I114" s="846">
        <f>$B$253/B114</f>
        <v>2.1252755980824767</v>
      </c>
    </row>
    <row r="115" spans="1:10" ht="16.5" hidden="1" thickBot="1">
      <c r="A115" s="973" t="s">
        <v>461</v>
      </c>
      <c r="B115" s="748">
        <f>geral!I1501</f>
        <v>1655.74</v>
      </c>
      <c r="C115" s="748">
        <f t="shared" si="49"/>
        <v>215.44246808842857</v>
      </c>
      <c r="D115" s="748">
        <f t="shared" si="39"/>
        <v>115.44246808842857</v>
      </c>
      <c r="E115" s="748">
        <f t="shared" si="63"/>
        <v>0</v>
      </c>
      <c r="F115" s="748">
        <f t="shared" si="64"/>
        <v>0</v>
      </c>
      <c r="G115" s="748">
        <f t="shared" si="65"/>
        <v>7.6693978410716568</v>
      </c>
      <c r="H115" s="843">
        <f t="shared" si="66"/>
        <v>13.507139870159257</v>
      </c>
      <c r="I115" s="846">
        <f>$B$253/B115</f>
        <v>2.1252755980824767</v>
      </c>
    </row>
    <row r="116" spans="1:10" ht="16.5" hidden="1" thickBot="1">
      <c r="A116" s="973" t="s">
        <v>462</v>
      </c>
      <c r="B116" s="748">
        <f>geral!I1502</f>
        <v>1655.74</v>
      </c>
      <c r="C116" s="748">
        <f t="shared" si="49"/>
        <v>215.44246808842857</v>
      </c>
      <c r="D116" s="748">
        <f t="shared" si="39"/>
        <v>115.44246808842857</v>
      </c>
      <c r="E116" s="748">
        <f t="shared" si="63"/>
        <v>0</v>
      </c>
      <c r="F116" s="748">
        <f t="shared" si="64"/>
        <v>0</v>
      </c>
      <c r="G116" s="748">
        <f t="shared" si="65"/>
        <v>7.6693978410716568</v>
      </c>
      <c r="H116" s="843">
        <f t="shared" si="66"/>
        <v>13.507139870159257</v>
      </c>
      <c r="I116" s="846">
        <f>$B$253/B116</f>
        <v>2.1252755980824767</v>
      </c>
    </row>
    <row r="117" spans="1:10" ht="16.5" hidden="1" thickBot="1">
      <c r="A117" s="973" t="s">
        <v>463</v>
      </c>
      <c r="B117" s="748">
        <f>geral!I1503</f>
        <v>1771.6418000000001</v>
      </c>
      <c r="C117" s="748">
        <f t="shared" si="49"/>
        <v>230.5234408546186</v>
      </c>
      <c r="D117" s="748">
        <f t="shared" si="39"/>
        <v>130.5234408546186</v>
      </c>
      <c r="E117" s="748">
        <f t="shared" si="63"/>
        <v>7.0000000000000062</v>
      </c>
      <c r="F117" s="748">
        <f t="shared" si="64"/>
        <v>7.0000000000000062</v>
      </c>
      <c r="G117" s="748">
        <f t="shared" si="65"/>
        <v>7.0000000000000062</v>
      </c>
      <c r="H117" s="843">
        <f t="shared" si="66"/>
        <v>15.206255689946691</v>
      </c>
      <c r="I117" s="846">
        <f>$B$253/B117</f>
        <v>1.9862388767125951</v>
      </c>
      <c r="J117" s="784" t="s">
        <v>254</v>
      </c>
    </row>
    <row r="118" spans="1:10" ht="16.5" hidden="1" thickBot="1">
      <c r="A118" s="973" t="s">
        <v>464</v>
      </c>
      <c r="B118" s="748">
        <f>geral!I1504</f>
        <v>1771.6418000000001</v>
      </c>
      <c r="C118" s="748">
        <f t="shared" si="49"/>
        <v>230.5234408546186</v>
      </c>
      <c r="D118" s="748">
        <f t="shared" si="39"/>
        <v>130.5234408546186</v>
      </c>
      <c r="E118" s="748">
        <f t="shared" si="63"/>
        <v>0</v>
      </c>
      <c r="F118" s="748">
        <f t="shared" si="64"/>
        <v>7.0000000000000062</v>
      </c>
      <c r="G118" s="748">
        <f t="shared" si="65"/>
        <v>7.0000000000000062</v>
      </c>
      <c r="H118" s="843">
        <f t="shared" si="66"/>
        <v>15.206255689946691</v>
      </c>
      <c r="I118" s="846">
        <f>$B$253/B118</f>
        <v>1.9862388767125951</v>
      </c>
      <c r="J118" s="785"/>
    </row>
    <row r="119" spans="1:10" ht="16.5" hidden="1" thickBot="1">
      <c r="A119" s="973" t="s">
        <v>465</v>
      </c>
      <c r="B119" s="748">
        <f>geral!I1505</f>
        <v>1771.6418000000001</v>
      </c>
      <c r="C119" s="748">
        <f t="shared" si="49"/>
        <v>230.5234408546186</v>
      </c>
      <c r="D119" s="748">
        <f t="shared" si="39"/>
        <v>130.5234408546186</v>
      </c>
      <c r="E119" s="748">
        <f t="shared" ref="E119:E124" si="67">100*((B119/B118)-1)</f>
        <v>0</v>
      </c>
      <c r="F119" s="748">
        <f t="shared" ref="F119:F124" si="68">100*((B119/$B$112)-1)</f>
        <v>7.0000000000000062</v>
      </c>
      <c r="G119" s="748">
        <f t="shared" ref="G119:G124" si="69">100*((B119/B107)-1)</f>
        <v>7.0000000000000062</v>
      </c>
      <c r="H119" s="843">
        <f t="shared" ref="H119:H124" si="70">100*(B119/B95-1)</f>
        <v>15.206255689946691</v>
      </c>
      <c r="I119" s="846">
        <f>$B$253/B119</f>
        <v>1.9862388767125951</v>
      </c>
      <c r="J119" s="785"/>
    </row>
    <row r="120" spans="1:10" ht="16.5" hidden="1" thickBot="1">
      <c r="A120" s="973" t="s">
        <v>466</v>
      </c>
      <c r="B120" s="748">
        <f>geral!I1506</f>
        <v>1771.6418000000001</v>
      </c>
      <c r="C120" s="748">
        <f t="shared" si="49"/>
        <v>230.5234408546186</v>
      </c>
      <c r="D120" s="748">
        <f t="shared" si="39"/>
        <v>130.5234408546186</v>
      </c>
      <c r="E120" s="748">
        <f t="shared" si="67"/>
        <v>0</v>
      </c>
      <c r="F120" s="748">
        <f t="shared" si="68"/>
        <v>7.0000000000000062</v>
      </c>
      <c r="G120" s="748">
        <f t="shared" si="69"/>
        <v>7.0000000000000062</v>
      </c>
      <c r="H120" s="843">
        <f t="shared" si="70"/>
        <v>15.206255689946691</v>
      </c>
      <c r="I120" s="846">
        <f>$B$253/B120</f>
        <v>1.9862388767125951</v>
      </c>
      <c r="J120" s="785"/>
    </row>
    <row r="121" spans="1:10" ht="16.5" hidden="1" thickBot="1">
      <c r="A121" s="973" t="s">
        <v>467</v>
      </c>
      <c r="B121" s="748">
        <f>geral!I1507</f>
        <v>1771.6418000000001</v>
      </c>
      <c r="C121" s="748">
        <f t="shared" si="49"/>
        <v>230.5234408546186</v>
      </c>
      <c r="D121" s="748">
        <f t="shared" si="39"/>
        <v>130.5234408546186</v>
      </c>
      <c r="E121" s="748">
        <f t="shared" si="67"/>
        <v>0</v>
      </c>
      <c r="F121" s="748">
        <f t="shared" si="68"/>
        <v>7.0000000000000062</v>
      </c>
      <c r="G121" s="748">
        <f t="shared" si="69"/>
        <v>7.0000000000000062</v>
      </c>
      <c r="H121" s="843">
        <f t="shared" si="70"/>
        <v>15.206255689946691</v>
      </c>
      <c r="I121" s="846">
        <f>$B$253/B121</f>
        <v>1.9862388767125951</v>
      </c>
      <c r="J121" s="785"/>
    </row>
    <row r="122" spans="1:10" ht="16.5" hidden="1" thickBot="1">
      <c r="A122" s="973" t="s">
        <v>468</v>
      </c>
      <c r="B122" s="748">
        <f>geral!I1508</f>
        <v>1771.6418000000001</v>
      </c>
      <c r="C122" s="748">
        <f t="shared" si="49"/>
        <v>230.5234408546186</v>
      </c>
      <c r="D122" s="748">
        <f t="shared" si="39"/>
        <v>130.5234408546186</v>
      </c>
      <c r="E122" s="748">
        <f t="shared" si="67"/>
        <v>0</v>
      </c>
      <c r="F122" s="748">
        <f t="shared" si="68"/>
        <v>7.0000000000000062</v>
      </c>
      <c r="G122" s="748">
        <f t="shared" si="69"/>
        <v>7.0000000000000062</v>
      </c>
      <c r="H122" s="843">
        <f t="shared" si="70"/>
        <v>15.206255689946691</v>
      </c>
      <c r="I122" s="846">
        <f>$B$253/B122</f>
        <v>1.9862388767125951</v>
      </c>
      <c r="J122" s="785"/>
    </row>
    <row r="123" spans="1:10" ht="16.5" hidden="1" thickBot="1">
      <c r="A123" s="973" t="s">
        <v>469</v>
      </c>
      <c r="B123" s="748">
        <f>geral!I1509</f>
        <v>1771.6418000000001</v>
      </c>
      <c r="C123" s="748">
        <f t="shared" si="49"/>
        <v>230.5234408546186</v>
      </c>
      <c r="D123" s="748">
        <f t="shared" si="39"/>
        <v>130.5234408546186</v>
      </c>
      <c r="E123" s="748">
        <f t="shared" si="67"/>
        <v>0</v>
      </c>
      <c r="F123" s="748">
        <f t="shared" si="68"/>
        <v>7.0000000000000062</v>
      </c>
      <c r="G123" s="748">
        <f t="shared" si="69"/>
        <v>7.0000000000000062</v>
      </c>
      <c r="H123" s="843">
        <f t="shared" si="70"/>
        <v>15.206255689946691</v>
      </c>
      <c r="I123" s="846">
        <f>$B$253/B123</f>
        <v>1.9862388767125951</v>
      </c>
      <c r="J123" s="785"/>
    </row>
    <row r="124" spans="1:10" ht="16.5" hidden="1" thickBot="1">
      <c r="A124" s="973" t="s">
        <v>470</v>
      </c>
      <c r="B124" s="748">
        <f>geral!I1510</f>
        <v>1771.6418000000001</v>
      </c>
      <c r="C124" s="748">
        <f t="shared" si="49"/>
        <v>230.5234408546186</v>
      </c>
      <c r="D124" s="748">
        <f t="shared" si="39"/>
        <v>130.5234408546186</v>
      </c>
      <c r="E124" s="748">
        <f t="shared" si="67"/>
        <v>0</v>
      </c>
      <c r="F124" s="748">
        <f t="shared" si="68"/>
        <v>7.0000000000000062</v>
      </c>
      <c r="G124" s="748">
        <f t="shared" si="69"/>
        <v>7.0000000000000062</v>
      </c>
      <c r="H124" s="843">
        <f t="shared" si="70"/>
        <v>15.206255689946691</v>
      </c>
      <c r="I124" s="846">
        <f>$B$253/B124</f>
        <v>1.9862388767125951</v>
      </c>
      <c r="J124" s="785"/>
    </row>
    <row r="125" spans="1:10" ht="16.5" hidden="1" thickBot="1">
      <c r="A125" s="973" t="s">
        <v>471</v>
      </c>
      <c r="B125" s="748">
        <f>geral!K1499</f>
        <v>1771.6418000000001</v>
      </c>
      <c r="C125" s="748">
        <f t="shared" si="49"/>
        <v>230.5234408546186</v>
      </c>
      <c r="D125" s="748">
        <f t="shared" si="39"/>
        <v>130.5234408546186</v>
      </c>
      <c r="E125" s="748">
        <f t="shared" ref="E125:E130" si="71">100*((B125/B124)-1)</f>
        <v>0</v>
      </c>
      <c r="F125" s="748">
        <f t="shared" ref="F125:F130" si="72">100*((B125/$B$124)-1)</f>
        <v>0</v>
      </c>
      <c r="G125" s="748">
        <f t="shared" ref="G125:G130" si="73">100*((B125/B113)-1)</f>
        <v>7.0000000000000062</v>
      </c>
      <c r="H125" s="843">
        <f t="shared" ref="H125:H130" si="74">100*(B125/B101-1)</f>
        <v>15.206255689946691</v>
      </c>
      <c r="I125" s="846">
        <f>$B$253/B125</f>
        <v>1.9862388767125951</v>
      </c>
      <c r="J125" s="785"/>
    </row>
    <row r="126" spans="1:10" ht="16.5" hidden="1" thickBot="1">
      <c r="A126" s="973" t="s">
        <v>472</v>
      </c>
      <c r="B126" s="748">
        <f>geral!K1500</f>
        <v>1771.6418000000001</v>
      </c>
      <c r="C126" s="748">
        <f t="shared" si="49"/>
        <v>230.5234408546186</v>
      </c>
      <c r="D126" s="748">
        <f t="shared" si="39"/>
        <v>130.5234408546186</v>
      </c>
      <c r="E126" s="748">
        <f t="shared" si="71"/>
        <v>0</v>
      </c>
      <c r="F126" s="748">
        <f t="shared" si="72"/>
        <v>0</v>
      </c>
      <c r="G126" s="748">
        <f t="shared" si="73"/>
        <v>7.0000000000000062</v>
      </c>
      <c r="H126" s="843">
        <f t="shared" si="74"/>
        <v>15.206255689946691</v>
      </c>
      <c r="I126" s="846">
        <f>$B$253/B126</f>
        <v>1.9862388767125951</v>
      </c>
      <c r="J126" s="785"/>
    </row>
    <row r="127" spans="1:10" ht="16.5" hidden="1" thickBot="1">
      <c r="A127" s="973" t="s">
        <v>473</v>
      </c>
      <c r="B127" s="748">
        <f>geral!K1501</f>
        <v>1771.6418000000001</v>
      </c>
      <c r="C127" s="748">
        <f t="shared" si="49"/>
        <v>230.5234408546186</v>
      </c>
      <c r="D127" s="748">
        <f t="shared" si="39"/>
        <v>130.5234408546186</v>
      </c>
      <c r="E127" s="748">
        <f t="shared" si="71"/>
        <v>0</v>
      </c>
      <c r="F127" s="748">
        <f t="shared" si="72"/>
        <v>0</v>
      </c>
      <c r="G127" s="748">
        <f t="shared" si="73"/>
        <v>7.0000000000000062</v>
      </c>
      <c r="H127" s="843">
        <f t="shared" si="74"/>
        <v>15.206255689946691</v>
      </c>
      <c r="I127" s="846">
        <f>$B$253/B127</f>
        <v>1.9862388767125951</v>
      </c>
      <c r="J127" s="785"/>
    </row>
    <row r="128" spans="1:10" ht="16.5" hidden="1" thickBot="1">
      <c r="A128" s="973" t="s">
        <v>474</v>
      </c>
      <c r="B128" s="748">
        <f>geral!K1502</f>
        <v>1771.6418000000001</v>
      </c>
      <c r="C128" s="748">
        <f t="shared" si="49"/>
        <v>230.5234408546186</v>
      </c>
      <c r="D128" s="748">
        <f t="shared" si="39"/>
        <v>130.5234408546186</v>
      </c>
      <c r="E128" s="748">
        <f t="shared" si="71"/>
        <v>0</v>
      </c>
      <c r="F128" s="748">
        <f t="shared" si="72"/>
        <v>0</v>
      </c>
      <c r="G128" s="748">
        <f t="shared" si="73"/>
        <v>7.0000000000000062</v>
      </c>
      <c r="H128" s="843">
        <f t="shared" si="74"/>
        <v>15.206255689946691</v>
      </c>
      <c r="I128" s="846">
        <f>$B$253/B128</f>
        <v>1.9862388767125951</v>
      </c>
      <c r="J128" s="785"/>
    </row>
    <row r="129" spans="1:10" ht="16.5" hidden="1" thickBot="1">
      <c r="A129" s="973" t="s">
        <v>475</v>
      </c>
      <c r="B129" s="748">
        <f>geral!K1503</f>
        <v>1904.5149349999999</v>
      </c>
      <c r="C129" s="748">
        <f t="shared" si="49"/>
        <v>247.81269891871494</v>
      </c>
      <c r="D129" s="748">
        <f t="shared" si="39"/>
        <v>147.81269891871494</v>
      </c>
      <c r="E129" s="748">
        <f t="shared" si="71"/>
        <v>7.4999999999999956</v>
      </c>
      <c r="F129" s="748">
        <f t="shared" si="72"/>
        <v>7.4999999999999956</v>
      </c>
      <c r="G129" s="748">
        <f t="shared" si="73"/>
        <v>7.4999999999999956</v>
      </c>
      <c r="H129" s="843">
        <f t="shared" si="74"/>
        <v>15.024999999999999</v>
      </c>
      <c r="I129" s="846">
        <f>$B$253/B129</f>
        <v>1.8476640713605539</v>
      </c>
      <c r="J129" s="785"/>
    </row>
    <row r="130" spans="1:10" ht="16.5" hidden="1" thickBot="1">
      <c r="A130" s="973" t="s">
        <v>476</v>
      </c>
      <c r="B130" s="748">
        <f>geral!K1504</f>
        <v>1904.5149349999999</v>
      </c>
      <c r="C130" s="748">
        <f t="shared" si="49"/>
        <v>247.81269891871494</v>
      </c>
      <c r="D130" s="748">
        <f t="shared" si="39"/>
        <v>147.81269891871494</v>
      </c>
      <c r="E130" s="748">
        <f t="shared" si="71"/>
        <v>0</v>
      </c>
      <c r="F130" s="748">
        <f t="shared" si="72"/>
        <v>7.4999999999999956</v>
      </c>
      <c r="G130" s="748">
        <f t="shared" si="73"/>
        <v>7.4999999999999956</v>
      </c>
      <c r="H130" s="843">
        <f t="shared" si="74"/>
        <v>15.024999999999999</v>
      </c>
      <c r="I130" s="846">
        <f>$B$253/B130</f>
        <v>1.8476640713605539</v>
      </c>
      <c r="J130" s="785"/>
    </row>
    <row r="131" spans="1:10" ht="16.5" hidden="1" thickBot="1">
      <c r="A131" s="973" t="s">
        <v>477</v>
      </c>
      <c r="B131" s="748">
        <f>geral!K1505</f>
        <v>1904.5149349999999</v>
      </c>
      <c r="C131" s="748">
        <f t="shared" si="49"/>
        <v>247.81269891871494</v>
      </c>
      <c r="D131" s="748">
        <f t="shared" si="39"/>
        <v>147.81269891871494</v>
      </c>
      <c r="E131" s="748">
        <f t="shared" ref="E131:E136" si="75">100*((B131/B130)-1)</f>
        <v>0</v>
      </c>
      <c r="F131" s="748">
        <f t="shared" ref="F131:F136" si="76">100*((B131/$B$124)-1)</f>
        <v>7.4999999999999956</v>
      </c>
      <c r="G131" s="748">
        <f t="shared" ref="G131:G136" si="77">100*((B131/B119)-1)</f>
        <v>7.4999999999999956</v>
      </c>
      <c r="H131" s="843">
        <f t="shared" ref="H131:H136" si="78">100*(B131/B107-1)</f>
        <v>15.024999999999999</v>
      </c>
      <c r="I131" s="846">
        <f>$B$253/B131</f>
        <v>1.8476640713605539</v>
      </c>
      <c r="J131" s="785"/>
    </row>
    <row r="132" spans="1:10" ht="16.5" hidden="1" thickBot="1">
      <c r="A132" s="973" t="s">
        <v>478</v>
      </c>
      <c r="B132" s="748">
        <f>geral!K1506</f>
        <v>1904.5149349999999</v>
      </c>
      <c r="C132" s="748">
        <f t="shared" si="49"/>
        <v>247.81269891871494</v>
      </c>
      <c r="D132" s="748">
        <f t="shared" si="39"/>
        <v>147.81269891871494</v>
      </c>
      <c r="E132" s="748">
        <f t="shared" si="75"/>
        <v>0</v>
      </c>
      <c r="F132" s="748">
        <f t="shared" si="76"/>
        <v>7.4999999999999956</v>
      </c>
      <c r="G132" s="748">
        <f t="shared" si="77"/>
        <v>7.4999999999999956</v>
      </c>
      <c r="H132" s="843">
        <f t="shared" si="78"/>
        <v>15.024999999999999</v>
      </c>
      <c r="I132" s="846">
        <f>$B$253/B132</f>
        <v>1.8476640713605539</v>
      </c>
      <c r="J132" s="785"/>
    </row>
    <row r="133" spans="1:10" ht="16.5" hidden="1" thickBot="1">
      <c r="A133" s="973" t="s">
        <v>479</v>
      </c>
      <c r="B133" s="748">
        <f>geral!K1507</f>
        <v>1904.5149349999999</v>
      </c>
      <c r="C133" s="748">
        <f t="shared" si="49"/>
        <v>247.81269891871494</v>
      </c>
      <c r="D133" s="748">
        <f t="shared" si="39"/>
        <v>147.81269891871494</v>
      </c>
      <c r="E133" s="748">
        <f t="shared" si="75"/>
        <v>0</v>
      </c>
      <c r="F133" s="748">
        <f t="shared" si="76"/>
        <v>7.4999999999999956</v>
      </c>
      <c r="G133" s="748">
        <f t="shared" si="77"/>
        <v>7.4999999999999956</v>
      </c>
      <c r="H133" s="843">
        <f t="shared" si="78"/>
        <v>15.024999999999999</v>
      </c>
      <c r="I133" s="846">
        <f>$B$253/B133</f>
        <v>1.8476640713605539</v>
      </c>
      <c r="J133" s="785"/>
    </row>
    <row r="134" spans="1:10" ht="16.5" hidden="1" thickBot="1">
      <c r="A134" s="973" t="s">
        <v>480</v>
      </c>
      <c r="B134" s="748">
        <f>geral!K1508</f>
        <v>1904.5149349999999</v>
      </c>
      <c r="C134" s="748">
        <f t="shared" si="49"/>
        <v>247.81269891871494</v>
      </c>
      <c r="D134" s="748">
        <f t="shared" si="39"/>
        <v>147.81269891871494</v>
      </c>
      <c r="E134" s="748">
        <f t="shared" si="75"/>
        <v>0</v>
      </c>
      <c r="F134" s="748">
        <f t="shared" si="76"/>
        <v>7.4999999999999956</v>
      </c>
      <c r="G134" s="748">
        <f t="shared" si="77"/>
        <v>7.4999999999999956</v>
      </c>
      <c r="H134" s="843">
        <f t="shared" si="78"/>
        <v>15.024999999999999</v>
      </c>
      <c r="I134" s="846">
        <f>$B$253/B134</f>
        <v>1.8476640713605539</v>
      </c>
      <c r="J134" s="785"/>
    </row>
    <row r="135" spans="1:10" ht="16.5" hidden="1" thickBot="1">
      <c r="A135" s="973" t="s">
        <v>481</v>
      </c>
      <c r="B135" s="748">
        <f>geral!K1509</f>
        <v>1904.5149349999999</v>
      </c>
      <c r="C135" s="748">
        <f t="shared" si="49"/>
        <v>247.81269891871494</v>
      </c>
      <c r="D135" s="748">
        <f t="shared" si="39"/>
        <v>147.81269891871494</v>
      </c>
      <c r="E135" s="748">
        <f t="shared" si="75"/>
        <v>0</v>
      </c>
      <c r="F135" s="748">
        <f t="shared" si="76"/>
        <v>7.4999999999999956</v>
      </c>
      <c r="G135" s="748">
        <f t="shared" si="77"/>
        <v>7.4999999999999956</v>
      </c>
      <c r="H135" s="843">
        <f t="shared" si="78"/>
        <v>15.024999999999999</v>
      </c>
      <c r="I135" s="846">
        <f>$B$253/B135</f>
        <v>1.8476640713605539</v>
      </c>
      <c r="J135" s="785"/>
    </row>
    <row r="136" spans="1:10" ht="16.5" hidden="1" thickBot="1">
      <c r="A136" s="1015" t="s">
        <v>482</v>
      </c>
      <c r="B136" s="755">
        <f>geral!K1510</f>
        <v>1904.5149349999999</v>
      </c>
      <c r="C136" s="755">
        <f t="shared" si="49"/>
        <v>247.81269891871494</v>
      </c>
      <c r="D136" s="755">
        <f t="shared" si="39"/>
        <v>147.81269891871494</v>
      </c>
      <c r="E136" s="755">
        <f t="shared" si="75"/>
        <v>0</v>
      </c>
      <c r="F136" s="755">
        <f t="shared" si="76"/>
        <v>7.4999999999999956</v>
      </c>
      <c r="G136" s="755">
        <f t="shared" si="77"/>
        <v>7.4999999999999956</v>
      </c>
      <c r="H136" s="844">
        <f t="shared" si="78"/>
        <v>15.024999999999999</v>
      </c>
      <c r="I136" s="923">
        <f>$B$253/B136</f>
        <v>1.8476640713605539</v>
      </c>
      <c r="J136" s="785"/>
    </row>
    <row r="137" spans="1:10">
      <c r="A137" s="1013" t="s">
        <v>483</v>
      </c>
      <c r="B137" s="852">
        <f>geral!M1499</f>
        <v>1904.5149349999999</v>
      </c>
      <c r="C137" s="852">
        <f t="shared" si="49"/>
        <v>247.81269891871494</v>
      </c>
      <c r="D137" s="852">
        <f t="shared" si="39"/>
        <v>147.81269891871494</v>
      </c>
      <c r="E137" s="852">
        <f t="shared" ref="E137:E142" si="79">100*((B137/B136)-1)</f>
        <v>0</v>
      </c>
      <c r="F137" s="852">
        <f t="shared" ref="F137:F142" si="80">100*((B137/$B$136)-1)</f>
        <v>0</v>
      </c>
      <c r="G137" s="852">
        <f t="shared" ref="G137:G142" si="81">100*((B137/B125)-1)</f>
        <v>7.4999999999999956</v>
      </c>
      <c r="H137" s="1019">
        <f t="shared" ref="H137:H142" si="82">100*(B137/B113-1)</f>
        <v>15.024999999999999</v>
      </c>
      <c r="I137" s="1020">
        <f>$B$253/B137</f>
        <v>1.8476640713605539</v>
      </c>
      <c r="J137" s="785"/>
    </row>
    <row r="138" spans="1:10">
      <c r="A138" s="1014" t="s">
        <v>484</v>
      </c>
      <c r="B138" s="857">
        <f>geral!M1500</f>
        <v>1904.5149349999999</v>
      </c>
      <c r="C138" s="857">
        <f t="shared" si="49"/>
        <v>247.81269891871494</v>
      </c>
      <c r="D138" s="857">
        <f t="shared" si="39"/>
        <v>147.81269891871494</v>
      </c>
      <c r="E138" s="857">
        <f t="shared" si="79"/>
        <v>0</v>
      </c>
      <c r="F138" s="857">
        <f t="shared" si="80"/>
        <v>0</v>
      </c>
      <c r="G138" s="857">
        <f t="shared" si="81"/>
        <v>7.4999999999999956</v>
      </c>
      <c r="H138" s="897">
        <f t="shared" si="82"/>
        <v>15.024999999999999</v>
      </c>
      <c r="I138" s="1021">
        <f>$B$253/B138</f>
        <v>1.8476640713605539</v>
      </c>
      <c r="J138" s="785"/>
    </row>
    <row r="139" spans="1:10">
      <c r="A139" s="1014" t="s">
        <v>485</v>
      </c>
      <c r="B139" s="857">
        <f>geral!M1501</f>
        <v>1904.5149349999999</v>
      </c>
      <c r="C139" s="857">
        <f t="shared" si="49"/>
        <v>247.81269891871494</v>
      </c>
      <c r="D139" s="857">
        <f t="shared" si="39"/>
        <v>147.81269891871494</v>
      </c>
      <c r="E139" s="857">
        <f t="shared" si="79"/>
        <v>0</v>
      </c>
      <c r="F139" s="857">
        <f t="shared" si="80"/>
        <v>0</v>
      </c>
      <c r="G139" s="857">
        <f t="shared" si="81"/>
        <v>7.4999999999999956</v>
      </c>
      <c r="H139" s="897">
        <f t="shared" si="82"/>
        <v>15.024999999999999</v>
      </c>
      <c r="I139" s="1021">
        <f t="shared" ref="I139:I202" si="83">$B$253/B139</f>
        <v>1.8476640713605539</v>
      </c>
      <c r="J139" s="785"/>
    </row>
    <row r="140" spans="1:10">
      <c r="A140" s="1014" t="s">
        <v>486</v>
      </c>
      <c r="B140" s="857">
        <f>geral!M1502</f>
        <v>1904.5149349999999</v>
      </c>
      <c r="C140" s="857">
        <f t="shared" si="49"/>
        <v>247.81269891871494</v>
      </c>
      <c r="D140" s="857">
        <f t="shared" si="39"/>
        <v>147.81269891871494</v>
      </c>
      <c r="E140" s="857">
        <f t="shared" si="79"/>
        <v>0</v>
      </c>
      <c r="F140" s="857">
        <f t="shared" si="80"/>
        <v>0</v>
      </c>
      <c r="G140" s="857">
        <f t="shared" si="81"/>
        <v>7.4999999999999956</v>
      </c>
      <c r="H140" s="897">
        <f t="shared" si="82"/>
        <v>15.024999999999999</v>
      </c>
      <c r="I140" s="1021">
        <f t="shared" si="83"/>
        <v>1.8476640713605539</v>
      </c>
      <c r="J140" s="785"/>
    </row>
    <row r="141" spans="1:10">
      <c r="A141" s="1014" t="s">
        <v>487</v>
      </c>
      <c r="B141" s="857">
        <f>geral!M1503</f>
        <v>2075.9212791499999</v>
      </c>
      <c r="C141" s="857">
        <f t="shared" si="49"/>
        <v>270.11584182139927</v>
      </c>
      <c r="D141" s="857">
        <f t="shared" si="39"/>
        <v>170.11584182139927</v>
      </c>
      <c r="E141" s="857">
        <f t="shared" si="79"/>
        <v>9.0000000000000071</v>
      </c>
      <c r="F141" s="857">
        <f t="shared" si="80"/>
        <v>9.0000000000000071</v>
      </c>
      <c r="G141" s="857">
        <f t="shared" si="81"/>
        <v>9.0000000000000071</v>
      </c>
      <c r="H141" s="897">
        <f t="shared" si="82"/>
        <v>17.174999999999983</v>
      </c>
      <c r="I141" s="1021">
        <f t="shared" si="83"/>
        <v>1.6951046526243612</v>
      </c>
      <c r="J141" s="785" t="s">
        <v>376</v>
      </c>
    </row>
    <row r="142" spans="1:10">
      <c r="A142" s="1014" t="s">
        <v>488</v>
      </c>
      <c r="B142" s="857">
        <f>geral!M1504</f>
        <v>2075.92</v>
      </c>
      <c r="C142" s="857">
        <f t="shared" si="49"/>
        <v>270.11567538027145</v>
      </c>
      <c r="D142" s="857">
        <f t="shared" si="39"/>
        <v>170.11567538027145</v>
      </c>
      <c r="E142" s="857">
        <f t="shared" si="79"/>
        <v>-6.1618425162279777E-5</v>
      </c>
      <c r="F142" s="857">
        <f t="shared" si="80"/>
        <v>8.9999328359165798</v>
      </c>
      <c r="G142" s="857">
        <f t="shared" si="81"/>
        <v>8.9999328359165798</v>
      </c>
      <c r="H142" s="897">
        <f t="shared" si="82"/>
        <v>17.174927798610295</v>
      </c>
      <c r="I142" s="1021">
        <f t="shared" si="83"/>
        <v>1.6951056971217966</v>
      </c>
      <c r="J142" s="784"/>
    </row>
    <row r="143" spans="1:10">
      <c r="A143" s="1014" t="s">
        <v>489</v>
      </c>
      <c r="B143" s="857">
        <f>geral!M1505</f>
        <v>2075.92</v>
      </c>
      <c r="C143" s="857">
        <f t="shared" si="49"/>
        <v>270.11567538027145</v>
      </c>
      <c r="D143" s="857">
        <f t="shared" si="39"/>
        <v>170.11567538027145</v>
      </c>
      <c r="E143" s="857">
        <f t="shared" ref="E143:E148" si="84">100*((B143/B142)-1)</f>
        <v>0</v>
      </c>
      <c r="F143" s="857">
        <f t="shared" ref="F143:F148" si="85">100*((B143/$B$136)-1)</f>
        <v>8.9999328359165798</v>
      </c>
      <c r="G143" s="857">
        <f t="shared" ref="G143:G148" si="86">100*((B143/B131)-1)</f>
        <v>8.9999328359165798</v>
      </c>
      <c r="H143" s="897">
        <f t="shared" ref="H143:H148" si="87">100*(B143/B119-1)</f>
        <v>17.174927798610295</v>
      </c>
      <c r="I143" s="1021">
        <f t="shared" si="83"/>
        <v>1.6951056971217966</v>
      </c>
      <c r="J143" s="785"/>
    </row>
    <row r="144" spans="1:10">
      <c r="A144" s="1014" t="s">
        <v>490</v>
      </c>
      <c r="B144" s="857">
        <f>geral!M1506</f>
        <v>2075.92</v>
      </c>
      <c r="C144" s="857">
        <f t="shared" si="49"/>
        <v>270.11567538027145</v>
      </c>
      <c r="D144" s="857">
        <f t="shared" si="39"/>
        <v>170.11567538027145</v>
      </c>
      <c r="E144" s="857">
        <f t="shared" si="84"/>
        <v>0</v>
      </c>
      <c r="F144" s="857">
        <f t="shared" si="85"/>
        <v>8.9999328359165798</v>
      </c>
      <c r="G144" s="857">
        <f t="shared" si="86"/>
        <v>8.9999328359165798</v>
      </c>
      <c r="H144" s="897">
        <f t="shared" si="87"/>
        <v>17.174927798610295</v>
      </c>
      <c r="I144" s="1021">
        <f t="shared" si="83"/>
        <v>1.6951056971217966</v>
      </c>
      <c r="J144" s="785"/>
    </row>
    <row r="145" spans="1:10">
      <c r="A145" s="1014" t="s">
        <v>491</v>
      </c>
      <c r="B145" s="857">
        <f>geral!M1507</f>
        <v>2075.92</v>
      </c>
      <c r="C145" s="857">
        <f t="shared" si="49"/>
        <v>270.11567538027145</v>
      </c>
      <c r="D145" s="857">
        <f t="shared" si="39"/>
        <v>170.11567538027145</v>
      </c>
      <c r="E145" s="857">
        <f t="shared" si="84"/>
        <v>0</v>
      </c>
      <c r="F145" s="857">
        <f t="shared" si="85"/>
        <v>8.9999328359165798</v>
      </c>
      <c r="G145" s="857">
        <f t="shared" si="86"/>
        <v>8.9999328359165798</v>
      </c>
      <c r="H145" s="897">
        <f t="shared" si="87"/>
        <v>17.174927798610295</v>
      </c>
      <c r="I145" s="1021">
        <f t="shared" si="83"/>
        <v>1.6951056971217966</v>
      </c>
      <c r="J145" s="785"/>
    </row>
    <row r="146" spans="1:10">
      <c r="A146" s="1014" t="s">
        <v>492</v>
      </c>
      <c r="B146" s="857">
        <f>geral!M1508</f>
        <v>2075.92</v>
      </c>
      <c r="C146" s="857">
        <f t="shared" si="49"/>
        <v>270.11567538027145</v>
      </c>
      <c r="D146" s="857">
        <f t="shared" si="39"/>
        <v>170.11567538027145</v>
      </c>
      <c r="E146" s="857">
        <f t="shared" si="84"/>
        <v>0</v>
      </c>
      <c r="F146" s="857">
        <f t="shared" si="85"/>
        <v>8.9999328359165798</v>
      </c>
      <c r="G146" s="857">
        <f t="shared" si="86"/>
        <v>8.9999328359165798</v>
      </c>
      <c r="H146" s="897">
        <f t="shared" si="87"/>
        <v>17.174927798610295</v>
      </c>
      <c r="I146" s="1021">
        <f t="shared" si="83"/>
        <v>1.6951056971217966</v>
      </c>
      <c r="J146" s="785"/>
    </row>
    <row r="147" spans="1:10">
      <c r="A147" s="1014" t="s">
        <v>493</v>
      </c>
      <c r="B147" s="857">
        <f>geral!M1509</f>
        <v>2075.92</v>
      </c>
      <c r="C147" s="857">
        <f t="shared" si="49"/>
        <v>270.11567538027145</v>
      </c>
      <c r="D147" s="857">
        <f t="shared" si="39"/>
        <v>170.11567538027145</v>
      </c>
      <c r="E147" s="857">
        <f t="shared" si="84"/>
        <v>0</v>
      </c>
      <c r="F147" s="857">
        <f t="shared" si="85"/>
        <v>8.9999328359165798</v>
      </c>
      <c r="G147" s="857">
        <f t="shared" si="86"/>
        <v>8.9999328359165798</v>
      </c>
      <c r="H147" s="897">
        <f t="shared" si="87"/>
        <v>17.174927798610295</v>
      </c>
      <c r="I147" s="1021">
        <f t="shared" si="83"/>
        <v>1.6951056971217966</v>
      </c>
      <c r="J147" s="785"/>
    </row>
    <row r="148" spans="1:10">
      <c r="A148" s="1014" t="s">
        <v>494</v>
      </c>
      <c r="B148" s="857">
        <f>geral!M1510</f>
        <v>2075.92</v>
      </c>
      <c r="C148" s="857">
        <f t="shared" si="49"/>
        <v>270.11567538027145</v>
      </c>
      <c r="D148" s="857">
        <f t="shared" si="39"/>
        <v>170.11567538027145</v>
      </c>
      <c r="E148" s="857">
        <f t="shared" si="84"/>
        <v>0</v>
      </c>
      <c r="F148" s="857">
        <f t="shared" si="85"/>
        <v>8.9999328359165798</v>
      </c>
      <c r="G148" s="857">
        <f t="shared" si="86"/>
        <v>8.9999328359165798</v>
      </c>
      <c r="H148" s="897">
        <f t="shared" si="87"/>
        <v>17.174927798610295</v>
      </c>
      <c r="I148" s="1021">
        <f t="shared" si="83"/>
        <v>1.6951056971217966</v>
      </c>
      <c r="J148" s="785"/>
    </row>
    <row r="149" spans="1:10">
      <c r="A149" s="1014" t="s">
        <v>495</v>
      </c>
      <c r="B149" s="857">
        <f>geral!C1514</f>
        <v>2075.92</v>
      </c>
      <c r="C149" s="857">
        <f t="shared" ref="C149:C154" si="88">100*B149/$B$8</f>
        <v>270.11567538027145</v>
      </c>
      <c r="D149" s="857">
        <f t="shared" ref="D149:D154" si="89">C149-100</f>
        <v>170.11567538027145</v>
      </c>
      <c r="E149" s="857">
        <f t="shared" ref="E149:E154" si="90">100*((B149/B148)-1)</f>
        <v>0</v>
      </c>
      <c r="F149" s="857">
        <f t="shared" ref="F149:F154" si="91">100*((B149/$B$148)-1)</f>
        <v>0</v>
      </c>
      <c r="G149" s="857">
        <f t="shared" ref="G149:G154" si="92">100*((B149/B137)-1)</f>
        <v>8.9999328359165798</v>
      </c>
      <c r="H149" s="897">
        <f t="shared" ref="H149:H154" si="93">100*(B149/B125-1)</f>
        <v>17.174927798610295</v>
      </c>
      <c r="I149" s="1021">
        <f t="shared" si="83"/>
        <v>1.6951056971217966</v>
      </c>
      <c r="J149" s="785"/>
    </row>
    <row r="150" spans="1:10">
      <c r="A150" s="1014" t="s">
        <v>496</v>
      </c>
      <c r="B150" s="857">
        <f>geral!C1515</f>
        <v>2075.92</v>
      </c>
      <c r="C150" s="857">
        <f t="shared" si="88"/>
        <v>270.11567538027145</v>
      </c>
      <c r="D150" s="857">
        <f t="shared" si="89"/>
        <v>170.11567538027145</v>
      </c>
      <c r="E150" s="857">
        <f t="shared" si="90"/>
        <v>0</v>
      </c>
      <c r="F150" s="857">
        <f t="shared" si="91"/>
        <v>0</v>
      </c>
      <c r="G150" s="857">
        <f t="shared" si="92"/>
        <v>8.9999328359165798</v>
      </c>
      <c r="H150" s="897">
        <f t="shared" si="93"/>
        <v>17.174927798610295</v>
      </c>
      <c r="I150" s="1021">
        <f t="shared" si="83"/>
        <v>1.6951056971217966</v>
      </c>
      <c r="J150" s="785"/>
    </row>
    <row r="151" spans="1:10">
      <c r="A151" s="1014" t="s">
        <v>497</v>
      </c>
      <c r="B151" s="857">
        <f>geral!C1516</f>
        <v>2075.92</v>
      </c>
      <c r="C151" s="857">
        <f t="shared" si="88"/>
        <v>270.11567538027145</v>
      </c>
      <c r="D151" s="857">
        <f t="shared" si="89"/>
        <v>170.11567538027145</v>
      </c>
      <c r="E151" s="857">
        <f t="shared" si="90"/>
        <v>0</v>
      </c>
      <c r="F151" s="857">
        <f t="shared" si="91"/>
        <v>0</v>
      </c>
      <c r="G151" s="857">
        <f t="shared" si="92"/>
        <v>8.9999328359165798</v>
      </c>
      <c r="H151" s="897">
        <f t="shared" si="93"/>
        <v>17.174927798610295</v>
      </c>
      <c r="I151" s="1021">
        <f t="shared" si="83"/>
        <v>1.6951056971217966</v>
      </c>
      <c r="J151" s="785"/>
    </row>
    <row r="152" spans="1:10">
      <c r="A152" s="1014" t="s">
        <v>498</v>
      </c>
      <c r="B152" s="857">
        <f>geral!C1517</f>
        <v>2075.92</v>
      </c>
      <c r="C152" s="857">
        <f t="shared" si="88"/>
        <v>270.11567538027145</v>
      </c>
      <c r="D152" s="857">
        <f t="shared" si="89"/>
        <v>170.11567538027145</v>
      </c>
      <c r="E152" s="857">
        <f t="shared" si="90"/>
        <v>0</v>
      </c>
      <c r="F152" s="857">
        <f t="shared" si="91"/>
        <v>0</v>
      </c>
      <c r="G152" s="857">
        <f t="shared" si="92"/>
        <v>8.9999328359165798</v>
      </c>
      <c r="H152" s="897">
        <f t="shared" si="93"/>
        <v>17.174927798610295</v>
      </c>
      <c r="I152" s="1021">
        <f t="shared" si="83"/>
        <v>1.6951056971217966</v>
      </c>
      <c r="J152" s="785"/>
    </row>
    <row r="153" spans="1:10">
      <c r="A153" s="1014" t="s">
        <v>499</v>
      </c>
      <c r="B153" s="857">
        <f>geral!C1518</f>
        <v>2241.9936000000002</v>
      </c>
      <c r="C153" s="857">
        <f t="shared" si="88"/>
        <v>291.72492941069316</v>
      </c>
      <c r="D153" s="857">
        <f t="shared" si="89"/>
        <v>191.72492941069316</v>
      </c>
      <c r="E153" s="857">
        <f t="shared" si="90"/>
        <v>8.0000000000000071</v>
      </c>
      <c r="F153" s="857">
        <f t="shared" si="91"/>
        <v>8.0000000000000071</v>
      </c>
      <c r="G153" s="857">
        <f t="shared" si="92"/>
        <v>7.9999334521008381</v>
      </c>
      <c r="H153" s="897">
        <f t="shared" si="93"/>
        <v>17.719927462789897</v>
      </c>
      <c r="I153" s="1021">
        <f t="shared" si="83"/>
        <v>1.5695423121498115</v>
      </c>
      <c r="J153" s="784" t="s">
        <v>377</v>
      </c>
    </row>
    <row r="154" spans="1:10">
      <c r="A154" s="1014" t="s">
        <v>500</v>
      </c>
      <c r="B154" s="857">
        <f>geral!C1519</f>
        <v>2241.9936000000002</v>
      </c>
      <c r="C154" s="857">
        <f t="shared" si="88"/>
        <v>291.72492941069316</v>
      </c>
      <c r="D154" s="857">
        <f t="shared" si="89"/>
        <v>191.72492941069316</v>
      </c>
      <c r="E154" s="857">
        <f t="shared" si="90"/>
        <v>0</v>
      </c>
      <c r="F154" s="857">
        <f t="shared" si="91"/>
        <v>8.0000000000000071</v>
      </c>
      <c r="G154" s="857">
        <f t="shared" si="92"/>
        <v>8.0000000000000071</v>
      </c>
      <c r="H154" s="897">
        <f t="shared" si="93"/>
        <v>17.719927462789897</v>
      </c>
      <c r="I154" s="1021">
        <f t="shared" si="83"/>
        <v>1.5695423121498115</v>
      </c>
      <c r="J154" s="784"/>
    </row>
    <row r="155" spans="1:10">
      <c r="A155" s="1014" t="s">
        <v>501</v>
      </c>
      <c r="B155" s="857">
        <f>geral!C1520</f>
        <v>2241.9936000000002</v>
      </c>
      <c r="C155" s="857">
        <f t="shared" ref="C155:C160" si="94">100*B155/$B$8</f>
        <v>291.72492941069316</v>
      </c>
      <c r="D155" s="857">
        <f t="shared" ref="D155:D160" si="95">C155-100</f>
        <v>191.72492941069316</v>
      </c>
      <c r="E155" s="857">
        <f t="shared" ref="E155:E160" si="96">100*((B155/B154)-1)</f>
        <v>0</v>
      </c>
      <c r="F155" s="857">
        <f t="shared" ref="F155:F160" si="97">100*((B155/$B$148)-1)</f>
        <v>8.0000000000000071</v>
      </c>
      <c r="G155" s="857">
        <f t="shared" ref="G155:G160" si="98">100*((B155/B143)-1)</f>
        <v>8.0000000000000071</v>
      </c>
      <c r="H155" s="897">
        <f t="shared" ref="H155:H160" si="99">100*(B155/B131-1)</f>
        <v>17.719927462789897</v>
      </c>
      <c r="I155" s="1021">
        <f t="shared" si="83"/>
        <v>1.5695423121498115</v>
      </c>
      <c r="J155" s="785"/>
    </row>
    <row r="156" spans="1:10">
      <c r="A156" s="1014" t="s">
        <v>502</v>
      </c>
      <c r="B156" s="857">
        <f>geral!C1521</f>
        <v>2241.9936000000002</v>
      </c>
      <c r="C156" s="857">
        <f t="shared" si="94"/>
        <v>291.72492941069316</v>
      </c>
      <c r="D156" s="857">
        <f t="shared" si="95"/>
        <v>191.72492941069316</v>
      </c>
      <c r="E156" s="857">
        <f t="shared" si="96"/>
        <v>0</v>
      </c>
      <c r="F156" s="857">
        <f t="shared" si="97"/>
        <v>8.0000000000000071</v>
      </c>
      <c r="G156" s="857">
        <f t="shared" si="98"/>
        <v>8.0000000000000071</v>
      </c>
      <c r="H156" s="897">
        <f t="shared" si="99"/>
        <v>17.719927462789897</v>
      </c>
      <c r="I156" s="1021">
        <f t="shared" si="83"/>
        <v>1.5695423121498115</v>
      </c>
      <c r="J156" s="785"/>
    </row>
    <row r="157" spans="1:10">
      <c r="A157" s="1014" t="s">
        <v>503</v>
      </c>
      <c r="B157" s="857">
        <f>geral!C1522</f>
        <v>2241.9936000000002</v>
      </c>
      <c r="C157" s="857">
        <f t="shared" si="94"/>
        <v>291.72492941069316</v>
      </c>
      <c r="D157" s="857">
        <f t="shared" si="95"/>
        <v>191.72492941069316</v>
      </c>
      <c r="E157" s="857">
        <f t="shared" si="96"/>
        <v>0</v>
      </c>
      <c r="F157" s="857">
        <f t="shared" si="97"/>
        <v>8.0000000000000071</v>
      </c>
      <c r="G157" s="857">
        <f t="shared" si="98"/>
        <v>8.0000000000000071</v>
      </c>
      <c r="H157" s="897">
        <f t="shared" si="99"/>
        <v>17.719927462789897</v>
      </c>
      <c r="I157" s="1021">
        <f t="shared" si="83"/>
        <v>1.5695423121498115</v>
      </c>
      <c r="J157" s="785"/>
    </row>
    <row r="158" spans="1:10">
      <c r="A158" s="1014" t="s">
        <v>504</v>
      </c>
      <c r="B158" s="857">
        <f>geral!C1523</f>
        <v>2241.9936000000002</v>
      </c>
      <c r="C158" s="857">
        <f t="shared" si="94"/>
        <v>291.72492941069316</v>
      </c>
      <c r="D158" s="857">
        <f t="shared" si="95"/>
        <v>191.72492941069316</v>
      </c>
      <c r="E158" s="857">
        <f t="shared" si="96"/>
        <v>0</v>
      </c>
      <c r="F158" s="857">
        <f t="shared" si="97"/>
        <v>8.0000000000000071</v>
      </c>
      <c r="G158" s="857">
        <f t="shared" si="98"/>
        <v>8.0000000000000071</v>
      </c>
      <c r="H158" s="897">
        <f t="shared" si="99"/>
        <v>17.719927462789897</v>
      </c>
      <c r="I158" s="1021">
        <f t="shared" si="83"/>
        <v>1.5695423121498115</v>
      </c>
      <c r="J158" s="785"/>
    </row>
    <row r="159" spans="1:10">
      <c r="A159" s="1014" t="s">
        <v>505</v>
      </c>
      <c r="B159" s="857">
        <f>geral!C1524</f>
        <v>2241.9936000000002</v>
      </c>
      <c r="C159" s="857">
        <f t="shared" si="94"/>
        <v>291.72492941069316</v>
      </c>
      <c r="D159" s="857">
        <f t="shared" si="95"/>
        <v>191.72492941069316</v>
      </c>
      <c r="E159" s="857">
        <f t="shared" si="96"/>
        <v>0</v>
      </c>
      <c r="F159" s="857">
        <f t="shared" si="97"/>
        <v>8.0000000000000071</v>
      </c>
      <c r="G159" s="857">
        <f t="shared" si="98"/>
        <v>8.0000000000000071</v>
      </c>
      <c r="H159" s="897">
        <f t="shared" si="99"/>
        <v>17.719927462789897</v>
      </c>
      <c r="I159" s="1021">
        <f t="shared" si="83"/>
        <v>1.5695423121498115</v>
      </c>
      <c r="J159" s="785"/>
    </row>
    <row r="160" spans="1:10">
      <c r="A160" s="1014" t="s">
        <v>506</v>
      </c>
      <c r="B160" s="857">
        <f>geral!C1525</f>
        <v>2241.9936000000002</v>
      </c>
      <c r="C160" s="857">
        <f t="shared" si="94"/>
        <v>291.72492941069316</v>
      </c>
      <c r="D160" s="857">
        <f t="shared" si="95"/>
        <v>191.72492941069316</v>
      </c>
      <c r="E160" s="857">
        <f t="shared" si="96"/>
        <v>0</v>
      </c>
      <c r="F160" s="857">
        <f t="shared" si="97"/>
        <v>8.0000000000000071</v>
      </c>
      <c r="G160" s="857">
        <f t="shared" si="98"/>
        <v>8.0000000000000071</v>
      </c>
      <c r="H160" s="897">
        <f t="shared" si="99"/>
        <v>17.719927462789897</v>
      </c>
      <c r="I160" s="1021">
        <f t="shared" si="83"/>
        <v>1.5695423121498115</v>
      </c>
      <c r="J160" s="785"/>
    </row>
    <row r="161" spans="1:10">
      <c r="A161" s="1014" t="s">
        <v>507</v>
      </c>
      <c r="B161" s="857">
        <f>geral!E1514</f>
        <v>2241.9936000000002</v>
      </c>
      <c r="C161" s="857">
        <f t="shared" ref="C161:C166" si="100">100*B161/$B$8</f>
        <v>291.72492941069316</v>
      </c>
      <c r="D161" s="857">
        <f t="shared" ref="D161:D166" si="101">C161-100</f>
        <v>191.72492941069316</v>
      </c>
      <c r="E161" s="857">
        <f t="shared" ref="E161:E166" si="102">100*((B161/B160)-1)</f>
        <v>0</v>
      </c>
      <c r="F161" s="857">
        <f t="shared" ref="F161:F166" si="103">100*((B161/$B$160)-1)</f>
        <v>0</v>
      </c>
      <c r="G161" s="857">
        <f t="shared" ref="G161:G166" si="104">100*((B161/B149)-1)</f>
        <v>8.0000000000000071</v>
      </c>
      <c r="H161" s="897">
        <f t="shared" ref="H161:H166" si="105">100*(B161/B137-1)</f>
        <v>17.719927462789897</v>
      </c>
      <c r="I161" s="1021">
        <f t="shared" si="83"/>
        <v>1.5695423121498115</v>
      </c>
      <c r="J161" s="785"/>
    </row>
    <row r="162" spans="1:10">
      <c r="A162" s="1014" t="s">
        <v>508</v>
      </c>
      <c r="B162" s="857">
        <f>geral!E1515</f>
        <v>2241.9936000000002</v>
      </c>
      <c r="C162" s="857">
        <f t="shared" si="100"/>
        <v>291.72492941069316</v>
      </c>
      <c r="D162" s="857">
        <f t="shared" si="101"/>
        <v>191.72492941069316</v>
      </c>
      <c r="E162" s="857">
        <f t="shared" si="102"/>
        <v>0</v>
      </c>
      <c r="F162" s="857">
        <f t="shared" si="103"/>
        <v>0</v>
      </c>
      <c r="G162" s="857">
        <f t="shared" si="104"/>
        <v>8.0000000000000071</v>
      </c>
      <c r="H162" s="897">
        <f t="shared" si="105"/>
        <v>17.719927462789897</v>
      </c>
      <c r="I162" s="1021">
        <f t="shared" si="83"/>
        <v>1.5695423121498115</v>
      </c>
      <c r="J162" s="785"/>
    </row>
    <row r="163" spans="1:10">
      <c r="A163" s="1014" t="s">
        <v>509</v>
      </c>
      <c r="B163" s="857">
        <f>geral!E1516</f>
        <v>2241.9936000000002</v>
      </c>
      <c r="C163" s="857">
        <f t="shared" si="100"/>
        <v>291.72492941069316</v>
      </c>
      <c r="D163" s="857">
        <f t="shared" si="101"/>
        <v>191.72492941069316</v>
      </c>
      <c r="E163" s="857">
        <f t="shared" si="102"/>
        <v>0</v>
      </c>
      <c r="F163" s="857">
        <f t="shared" si="103"/>
        <v>0</v>
      </c>
      <c r="G163" s="857">
        <f t="shared" si="104"/>
        <v>8.0000000000000071</v>
      </c>
      <c r="H163" s="897">
        <f t="shared" si="105"/>
        <v>17.719927462789897</v>
      </c>
      <c r="I163" s="1021">
        <f t="shared" si="83"/>
        <v>1.5695423121498115</v>
      </c>
      <c r="J163" s="785"/>
    </row>
    <row r="164" spans="1:10">
      <c r="A164" s="1014" t="s">
        <v>510</v>
      </c>
      <c r="B164" s="857">
        <f>geral!E1517</f>
        <v>2241.9936000000002</v>
      </c>
      <c r="C164" s="857">
        <f t="shared" si="100"/>
        <v>291.72492941069316</v>
      </c>
      <c r="D164" s="857">
        <f t="shared" si="101"/>
        <v>191.72492941069316</v>
      </c>
      <c r="E164" s="857">
        <f t="shared" si="102"/>
        <v>0</v>
      </c>
      <c r="F164" s="857">
        <f t="shared" si="103"/>
        <v>0</v>
      </c>
      <c r="G164" s="857">
        <f t="shared" si="104"/>
        <v>8.0000000000000071</v>
      </c>
      <c r="H164" s="897">
        <f t="shared" si="105"/>
        <v>17.719927462789897</v>
      </c>
      <c r="I164" s="1021">
        <f t="shared" si="83"/>
        <v>1.5695423121498115</v>
      </c>
      <c r="J164" s="785"/>
    </row>
    <row r="165" spans="1:10">
      <c r="A165" s="1014" t="s">
        <v>511</v>
      </c>
      <c r="B165" s="857">
        <f>geral!E1518</f>
        <v>2443.7730240000005</v>
      </c>
      <c r="C165" s="857">
        <f t="shared" si="100"/>
        <v>317.98017305765558</v>
      </c>
      <c r="D165" s="857">
        <f t="shared" si="101"/>
        <v>217.98017305765558</v>
      </c>
      <c r="E165" s="857">
        <f t="shared" si="102"/>
        <v>9.0000000000000071</v>
      </c>
      <c r="F165" s="857">
        <f t="shared" si="103"/>
        <v>9.0000000000000071</v>
      </c>
      <c r="G165" s="857">
        <f t="shared" si="104"/>
        <v>9.0000000000000071</v>
      </c>
      <c r="H165" s="897">
        <f t="shared" si="105"/>
        <v>17.719927462789919</v>
      </c>
      <c r="I165" s="1021">
        <f t="shared" si="83"/>
        <v>1.4399470753667996</v>
      </c>
      <c r="J165" s="784" t="s">
        <v>376</v>
      </c>
    </row>
    <row r="166" spans="1:10">
      <c r="A166" s="1014" t="s">
        <v>512</v>
      </c>
      <c r="B166" s="857">
        <f>geral!E1519</f>
        <v>2443.7730240000005</v>
      </c>
      <c r="C166" s="857">
        <f t="shared" si="100"/>
        <v>317.98017305765558</v>
      </c>
      <c r="D166" s="857">
        <f t="shared" si="101"/>
        <v>217.98017305765558</v>
      </c>
      <c r="E166" s="857">
        <f t="shared" si="102"/>
        <v>0</v>
      </c>
      <c r="F166" s="857">
        <f t="shared" si="103"/>
        <v>9.0000000000000071</v>
      </c>
      <c r="G166" s="857">
        <f t="shared" si="104"/>
        <v>9.0000000000000071</v>
      </c>
      <c r="H166" s="897">
        <f t="shared" si="105"/>
        <v>17.720000000000024</v>
      </c>
      <c r="I166" s="1021">
        <f t="shared" si="83"/>
        <v>1.4399470753667996</v>
      </c>
      <c r="J166" s="784"/>
    </row>
    <row r="167" spans="1:10">
      <c r="A167" s="1014" t="s">
        <v>513</v>
      </c>
      <c r="B167" s="857">
        <f>geral!E1520</f>
        <v>2443.7730240000005</v>
      </c>
      <c r="C167" s="857">
        <f t="shared" ref="C167:C172" si="106">100*B167/$B$8</f>
        <v>317.98017305765558</v>
      </c>
      <c r="D167" s="857">
        <f t="shared" ref="D167:D172" si="107">C167-100</f>
        <v>217.98017305765558</v>
      </c>
      <c r="E167" s="857">
        <f t="shared" ref="E167:E172" si="108">100*((B167/B166)-1)</f>
        <v>0</v>
      </c>
      <c r="F167" s="857">
        <f t="shared" ref="F167:F172" si="109">100*((B167/$B$160)-1)</f>
        <v>9.0000000000000071</v>
      </c>
      <c r="G167" s="857">
        <f t="shared" ref="G167:G172" si="110">100*((B167/B155)-1)</f>
        <v>9.0000000000000071</v>
      </c>
      <c r="H167" s="897">
        <f t="shared" ref="H167:H172" si="111">100*(B167/B143-1)</f>
        <v>17.720000000000024</v>
      </c>
      <c r="I167" s="1021">
        <f t="shared" si="83"/>
        <v>1.4399470753667996</v>
      </c>
      <c r="J167" s="785"/>
    </row>
    <row r="168" spans="1:10">
      <c r="A168" s="1014" t="s">
        <v>514</v>
      </c>
      <c r="B168" s="857">
        <f>geral!E1521</f>
        <v>2443.7730240000005</v>
      </c>
      <c r="C168" s="857">
        <f t="shared" si="106"/>
        <v>317.98017305765558</v>
      </c>
      <c r="D168" s="857">
        <f t="shared" si="107"/>
        <v>217.98017305765558</v>
      </c>
      <c r="E168" s="857">
        <f t="shared" si="108"/>
        <v>0</v>
      </c>
      <c r="F168" s="857">
        <f t="shared" si="109"/>
        <v>9.0000000000000071</v>
      </c>
      <c r="G168" s="857">
        <f t="shared" si="110"/>
        <v>9.0000000000000071</v>
      </c>
      <c r="H168" s="897">
        <f t="shared" si="111"/>
        <v>17.720000000000024</v>
      </c>
      <c r="I168" s="1021">
        <f t="shared" si="83"/>
        <v>1.4399470753667996</v>
      </c>
      <c r="J168" s="785"/>
    </row>
    <row r="169" spans="1:10">
      <c r="A169" s="1014" t="s">
        <v>515</v>
      </c>
      <c r="B169" s="857">
        <f>geral!E1522</f>
        <v>2466.1929600000003</v>
      </c>
      <c r="C169" s="857">
        <f t="shared" si="106"/>
        <v>320.89742235176249</v>
      </c>
      <c r="D169" s="857">
        <f t="shared" si="107"/>
        <v>220.89742235176249</v>
      </c>
      <c r="E169" s="857">
        <f t="shared" si="108"/>
        <v>0.91743119266054496</v>
      </c>
      <c r="F169" s="857">
        <f t="shared" si="109"/>
        <v>10.000000000000009</v>
      </c>
      <c r="G169" s="857">
        <f t="shared" si="110"/>
        <v>10.000000000000009</v>
      </c>
      <c r="H169" s="897">
        <f t="shared" si="111"/>
        <v>18.800000000000018</v>
      </c>
      <c r="I169" s="1021">
        <f t="shared" si="83"/>
        <v>1.4268566474089197</v>
      </c>
      <c r="J169" s="784" t="s">
        <v>318</v>
      </c>
    </row>
    <row r="170" spans="1:10">
      <c r="A170" s="1014" t="s">
        <v>516</v>
      </c>
      <c r="B170" s="857">
        <f>geral!E1523</f>
        <v>2466.1929600000003</v>
      </c>
      <c r="C170" s="857">
        <f t="shared" si="106"/>
        <v>320.89742235176249</v>
      </c>
      <c r="D170" s="857">
        <f t="shared" si="107"/>
        <v>220.89742235176249</v>
      </c>
      <c r="E170" s="857">
        <f t="shared" si="108"/>
        <v>0</v>
      </c>
      <c r="F170" s="857">
        <f t="shared" si="109"/>
        <v>10.000000000000009</v>
      </c>
      <c r="G170" s="857">
        <f t="shared" si="110"/>
        <v>10.000000000000009</v>
      </c>
      <c r="H170" s="897">
        <f t="shared" si="111"/>
        <v>18.800000000000018</v>
      </c>
      <c r="I170" s="1021">
        <f t="shared" si="83"/>
        <v>1.4268566474089197</v>
      </c>
      <c r="J170" s="784"/>
    </row>
    <row r="171" spans="1:10">
      <c r="A171" s="1014" t="s">
        <v>517</v>
      </c>
      <c r="B171" s="857">
        <f>geral!E1524</f>
        <v>2466.1929600000003</v>
      </c>
      <c r="C171" s="857">
        <f t="shared" si="106"/>
        <v>320.89742235176249</v>
      </c>
      <c r="D171" s="857">
        <f t="shared" si="107"/>
        <v>220.89742235176249</v>
      </c>
      <c r="E171" s="857">
        <f t="shared" si="108"/>
        <v>0</v>
      </c>
      <c r="F171" s="857">
        <f t="shared" si="109"/>
        <v>10.000000000000009</v>
      </c>
      <c r="G171" s="857">
        <f t="shared" si="110"/>
        <v>10.000000000000009</v>
      </c>
      <c r="H171" s="897">
        <f t="shared" si="111"/>
        <v>18.800000000000018</v>
      </c>
      <c r="I171" s="1021">
        <f t="shared" si="83"/>
        <v>1.4268566474089197</v>
      </c>
      <c r="J171" s="785"/>
    </row>
    <row r="172" spans="1:10">
      <c r="A172" s="1014" t="s">
        <v>518</v>
      </c>
      <c r="B172" s="857">
        <f>geral!E1525</f>
        <v>2466.1929600000003</v>
      </c>
      <c r="C172" s="857">
        <f t="shared" si="106"/>
        <v>320.89742235176249</v>
      </c>
      <c r="D172" s="857">
        <f t="shared" si="107"/>
        <v>220.89742235176249</v>
      </c>
      <c r="E172" s="857">
        <f t="shared" si="108"/>
        <v>0</v>
      </c>
      <c r="F172" s="857">
        <f t="shared" si="109"/>
        <v>10.000000000000009</v>
      </c>
      <c r="G172" s="857">
        <f t="shared" si="110"/>
        <v>10.000000000000009</v>
      </c>
      <c r="H172" s="897">
        <f t="shared" si="111"/>
        <v>18.800000000000018</v>
      </c>
      <c r="I172" s="1021">
        <f t="shared" si="83"/>
        <v>1.4268566474089197</v>
      </c>
      <c r="J172" s="785"/>
    </row>
    <row r="173" spans="1:10">
      <c r="A173" s="1014" t="s">
        <v>519</v>
      </c>
      <c r="B173" s="857">
        <f>geral!G1514</f>
        <v>2466.1929600000003</v>
      </c>
      <c r="C173" s="857">
        <f t="shared" ref="C173:C178" si="112">100*B173/$B$8</f>
        <v>320.89742235176249</v>
      </c>
      <c r="D173" s="857">
        <f t="shared" ref="D173:D178" si="113">C173-100</f>
        <v>220.89742235176249</v>
      </c>
      <c r="E173" s="857">
        <f t="shared" ref="E173:E178" si="114">100*((B173/B172)-1)</f>
        <v>0</v>
      </c>
      <c r="F173" s="857">
        <f>100*((B173/$B$160)-1)</f>
        <v>10.000000000000009</v>
      </c>
      <c r="G173" s="857">
        <f t="shared" ref="G173:G178" si="115">100*((B173/B161)-1)</f>
        <v>10.000000000000009</v>
      </c>
      <c r="H173" s="897">
        <f t="shared" ref="H173:H178" si="116">100*(B173/B149-1)</f>
        <v>18.800000000000018</v>
      </c>
      <c r="I173" s="1021">
        <f t="shared" si="83"/>
        <v>1.4268566474089197</v>
      </c>
      <c r="J173" s="785"/>
    </row>
    <row r="174" spans="1:10">
      <c r="A174" s="1014" t="s">
        <v>520</v>
      </c>
      <c r="B174" s="857">
        <f>geral!G1515</f>
        <v>2466.1929600000003</v>
      </c>
      <c r="C174" s="857">
        <f t="shared" si="112"/>
        <v>320.89742235176249</v>
      </c>
      <c r="D174" s="857">
        <f t="shared" si="113"/>
        <v>220.89742235176249</v>
      </c>
      <c r="E174" s="857">
        <f t="shared" si="114"/>
        <v>0</v>
      </c>
      <c r="F174" s="857">
        <f>100*((B174/$B$160)-1)</f>
        <v>10.000000000000009</v>
      </c>
      <c r="G174" s="857">
        <f t="shared" si="115"/>
        <v>10.000000000000009</v>
      </c>
      <c r="H174" s="897">
        <f t="shared" si="116"/>
        <v>18.800000000000018</v>
      </c>
      <c r="I174" s="1021">
        <f t="shared" si="83"/>
        <v>1.4268566474089197</v>
      </c>
      <c r="J174" s="785"/>
    </row>
    <row r="175" spans="1:10">
      <c r="A175" s="1014" t="s">
        <v>521</v>
      </c>
      <c r="B175" s="857">
        <f>geral!G1516</f>
        <v>2466.1929600000003</v>
      </c>
      <c r="C175" s="857">
        <f t="shared" si="112"/>
        <v>320.89742235176249</v>
      </c>
      <c r="D175" s="857">
        <f t="shared" si="113"/>
        <v>220.89742235176249</v>
      </c>
      <c r="E175" s="857">
        <f t="shared" si="114"/>
        <v>0</v>
      </c>
      <c r="F175" s="857">
        <f>100*((B175/$B$160)-1)</f>
        <v>10.000000000000009</v>
      </c>
      <c r="G175" s="857">
        <f t="shared" si="115"/>
        <v>10.000000000000009</v>
      </c>
      <c r="H175" s="897">
        <f t="shared" si="116"/>
        <v>18.800000000000018</v>
      </c>
      <c r="I175" s="1021">
        <f t="shared" si="83"/>
        <v>1.4268566474089197</v>
      </c>
      <c r="J175" s="785"/>
    </row>
    <row r="176" spans="1:10">
      <c r="A176" s="1014" t="s">
        <v>522</v>
      </c>
      <c r="B176" s="857">
        <f>geral!G1517</f>
        <v>2466.1929600000003</v>
      </c>
      <c r="C176" s="857">
        <f t="shared" si="112"/>
        <v>320.89742235176249</v>
      </c>
      <c r="D176" s="857">
        <f t="shared" si="113"/>
        <v>220.89742235176249</v>
      </c>
      <c r="E176" s="857">
        <f t="shared" si="114"/>
        <v>0</v>
      </c>
      <c r="F176" s="857">
        <f>100*((B176/$B$160)-1)</f>
        <v>10.000000000000009</v>
      </c>
      <c r="G176" s="857">
        <f t="shared" si="115"/>
        <v>10.000000000000009</v>
      </c>
      <c r="H176" s="897">
        <f t="shared" si="116"/>
        <v>18.800000000000018</v>
      </c>
      <c r="I176" s="1021">
        <f t="shared" si="83"/>
        <v>1.4268566474089197</v>
      </c>
      <c r="J176" s="785"/>
    </row>
    <row r="177" spans="1:10">
      <c r="A177" s="1032" t="s">
        <v>523</v>
      </c>
      <c r="B177" s="918">
        <f>geral!G1518</f>
        <v>2651.1574320000004</v>
      </c>
      <c r="C177" s="918">
        <f t="shared" si="112"/>
        <v>344.96472902814469</v>
      </c>
      <c r="D177" s="918">
        <f t="shared" si="113"/>
        <v>244.96472902814469</v>
      </c>
      <c r="E177" s="918">
        <f t="shared" si="114"/>
        <v>7.4999999999999956</v>
      </c>
      <c r="F177" s="918">
        <f t="shared" ref="F177:F182" si="117">100*((B177/$B$172)-1)</f>
        <v>7.4999999999999956</v>
      </c>
      <c r="G177" s="918">
        <f t="shared" si="115"/>
        <v>8.4862385321100788</v>
      </c>
      <c r="H177" s="1033">
        <f t="shared" si="116"/>
        <v>18.250000000000011</v>
      </c>
      <c r="I177" s="1021">
        <f t="shared" si="83"/>
        <v>1.3273085092175996</v>
      </c>
      <c r="J177" s="784" t="s">
        <v>375</v>
      </c>
    </row>
    <row r="178" spans="1:10">
      <c r="A178" s="1054" t="s">
        <v>524</v>
      </c>
      <c r="B178" s="992">
        <f>geral!G1519</f>
        <v>2651.1574320000004</v>
      </c>
      <c r="C178" s="992">
        <f t="shared" si="112"/>
        <v>344.96472902814469</v>
      </c>
      <c r="D178" s="992">
        <f t="shared" si="113"/>
        <v>244.96472902814469</v>
      </c>
      <c r="E178" s="992">
        <f t="shared" si="114"/>
        <v>0</v>
      </c>
      <c r="F178" s="992">
        <f t="shared" si="117"/>
        <v>7.4999999999999956</v>
      </c>
      <c r="G178" s="992">
        <f t="shared" si="115"/>
        <v>8.4862385321100788</v>
      </c>
      <c r="H178" s="1055">
        <f t="shared" si="116"/>
        <v>18.250000000000011</v>
      </c>
      <c r="I178" s="1021">
        <f t="shared" si="83"/>
        <v>1.3273085092175996</v>
      </c>
      <c r="J178" s="784"/>
    </row>
    <row r="179" spans="1:10">
      <c r="A179" s="1014" t="s">
        <v>525</v>
      </c>
      <c r="B179" s="857">
        <f>geral!G1520</f>
        <v>2651.1574320000004</v>
      </c>
      <c r="C179" s="857">
        <f t="shared" ref="C179:C184" si="118">100*B179/$B$8</f>
        <v>344.96472902814469</v>
      </c>
      <c r="D179" s="857">
        <f t="shared" ref="D179:D184" si="119">C179-100</f>
        <v>244.96472902814469</v>
      </c>
      <c r="E179" s="857">
        <f t="shared" ref="E179:E184" si="120">100*((B179/B178)-1)</f>
        <v>0</v>
      </c>
      <c r="F179" s="857">
        <f t="shared" si="117"/>
        <v>7.4999999999999956</v>
      </c>
      <c r="G179" s="857">
        <f t="shared" ref="G179:G184" si="121">100*((B179/B167)-1)</f>
        <v>8.4862385321100788</v>
      </c>
      <c r="H179" s="897">
        <f t="shared" ref="H179:H184" si="122">100*(B179/B155-1)</f>
        <v>18.250000000000011</v>
      </c>
      <c r="I179" s="1021">
        <f t="shared" si="83"/>
        <v>1.3273085092175996</v>
      </c>
      <c r="J179" s="784"/>
    </row>
    <row r="180" spans="1:10">
      <c r="A180" s="1014" t="s">
        <v>526</v>
      </c>
      <c r="B180" s="857">
        <f>geral!G1521</f>
        <v>2651.1574320000004</v>
      </c>
      <c r="C180" s="857">
        <f t="shared" si="118"/>
        <v>344.96472902814469</v>
      </c>
      <c r="D180" s="857">
        <f t="shared" si="119"/>
        <v>244.96472902814469</v>
      </c>
      <c r="E180" s="857">
        <f t="shared" si="120"/>
        <v>0</v>
      </c>
      <c r="F180" s="857">
        <f t="shared" si="117"/>
        <v>7.4999999999999956</v>
      </c>
      <c r="G180" s="857">
        <f t="shared" si="121"/>
        <v>8.4862385321100788</v>
      </c>
      <c r="H180" s="897">
        <f t="shared" si="122"/>
        <v>18.250000000000011</v>
      </c>
      <c r="I180" s="1021">
        <f t="shared" si="83"/>
        <v>1.3273085092175996</v>
      </c>
      <c r="J180" s="784"/>
    </row>
    <row r="181" spans="1:10">
      <c r="A181" s="1014" t="s">
        <v>527</v>
      </c>
      <c r="B181" s="857">
        <f>geral!G1522</f>
        <v>2651.1574320000004</v>
      </c>
      <c r="C181" s="857">
        <f t="shared" si="118"/>
        <v>344.96472902814469</v>
      </c>
      <c r="D181" s="857">
        <f t="shared" si="119"/>
        <v>244.96472902814469</v>
      </c>
      <c r="E181" s="857">
        <f t="shared" si="120"/>
        <v>0</v>
      </c>
      <c r="F181" s="857">
        <f t="shared" si="117"/>
        <v>7.4999999999999956</v>
      </c>
      <c r="G181" s="857">
        <f t="shared" si="121"/>
        <v>7.4999999999999956</v>
      </c>
      <c r="H181" s="897">
        <f t="shared" si="122"/>
        <v>18.250000000000011</v>
      </c>
      <c r="I181" s="1021">
        <f t="shared" si="83"/>
        <v>1.3273085092175996</v>
      </c>
      <c r="J181" s="784"/>
    </row>
    <row r="182" spans="1:10">
      <c r="A182" s="1014" t="s">
        <v>528</v>
      </c>
      <c r="B182" s="857">
        <f>geral!G1523</f>
        <v>2651.1574320000004</v>
      </c>
      <c r="C182" s="857">
        <f t="shared" si="118"/>
        <v>344.96472902814469</v>
      </c>
      <c r="D182" s="857">
        <f t="shared" si="119"/>
        <v>244.96472902814469</v>
      </c>
      <c r="E182" s="857">
        <f t="shared" si="120"/>
        <v>0</v>
      </c>
      <c r="F182" s="857">
        <f t="shared" si="117"/>
        <v>7.4999999999999956</v>
      </c>
      <c r="G182" s="857">
        <f t="shared" si="121"/>
        <v>7.4999999999999956</v>
      </c>
      <c r="H182" s="897">
        <f t="shared" si="122"/>
        <v>18.250000000000011</v>
      </c>
      <c r="I182" s="1021">
        <f t="shared" si="83"/>
        <v>1.3273085092175996</v>
      </c>
      <c r="J182" s="784"/>
    </row>
    <row r="183" spans="1:10">
      <c r="A183" s="1014" t="s">
        <v>529</v>
      </c>
      <c r="B183" s="857">
        <f>geral!G1524</f>
        <v>2651.1574320000004</v>
      </c>
      <c r="C183" s="857">
        <f t="shared" si="118"/>
        <v>344.96472902814469</v>
      </c>
      <c r="D183" s="857">
        <f t="shared" si="119"/>
        <v>244.96472902814469</v>
      </c>
      <c r="E183" s="857">
        <f t="shared" si="120"/>
        <v>0</v>
      </c>
      <c r="F183" s="857">
        <f>100*((B183/$B$172)-1)</f>
        <v>7.4999999999999956</v>
      </c>
      <c r="G183" s="857">
        <f t="shared" si="121"/>
        <v>7.4999999999999956</v>
      </c>
      <c r="H183" s="897">
        <f t="shared" si="122"/>
        <v>18.250000000000011</v>
      </c>
      <c r="I183" s="1021">
        <f t="shared" si="83"/>
        <v>1.3273085092175996</v>
      </c>
      <c r="J183" s="784"/>
    </row>
    <row r="184" spans="1:10">
      <c r="A184" s="1014" t="s">
        <v>530</v>
      </c>
      <c r="B184" s="857">
        <f>geral!G1525</f>
        <v>2651.1574320000004</v>
      </c>
      <c r="C184" s="857">
        <f t="shared" si="118"/>
        <v>344.96472902814469</v>
      </c>
      <c r="D184" s="857">
        <f t="shared" si="119"/>
        <v>244.96472902814469</v>
      </c>
      <c r="E184" s="857">
        <f t="shared" si="120"/>
        <v>0</v>
      </c>
      <c r="F184" s="857">
        <f>100*((B184/$B$172)-1)</f>
        <v>7.4999999999999956</v>
      </c>
      <c r="G184" s="857">
        <f t="shared" si="121"/>
        <v>7.4999999999999956</v>
      </c>
      <c r="H184" s="897">
        <f t="shared" si="122"/>
        <v>18.250000000000011</v>
      </c>
      <c r="I184" s="1021">
        <f t="shared" si="83"/>
        <v>1.3273085092175996</v>
      </c>
      <c r="J184" s="784"/>
    </row>
    <row r="185" spans="1:10">
      <c r="A185" s="1014" t="s">
        <v>531</v>
      </c>
      <c r="B185" s="857">
        <f>geral!I1514</f>
        <v>2651.1574320000004</v>
      </c>
      <c r="C185" s="857">
        <f t="shared" ref="C185:C190" si="123">100*B185/$B$8</f>
        <v>344.96472902814469</v>
      </c>
      <c r="D185" s="857">
        <f t="shared" ref="D185:D190" si="124">C185-100</f>
        <v>244.96472902814469</v>
      </c>
      <c r="E185" s="857">
        <f t="shared" ref="E185:E190" si="125">100*((B185/B184)-1)</f>
        <v>0</v>
      </c>
      <c r="F185" s="857">
        <f t="shared" ref="F185:F190" si="126">100*((B185/$B$184)-1)</f>
        <v>0</v>
      </c>
      <c r="G185" s="857">
        <f t="shared" ref="G185:G190" si="127">100*((B185/B173)-1)</f>
        <v>7.4999999999999956</v>
      </c>
      <c r="H185" s="897">
        <f t="shared" ref="H185:H190" si="128">100*(B185/B161-1)</f>
        <v>18.250000000000011</v>
      </c>
      <c r="I185" s="1021">
        <f t="shared" si="83"/>
        <v>1.3273085092175996</v>
      </c>
      <c r="J185" s="784"/>
    </row>
    <row r="186" spans="1:10">
      <c r="A186" s="1014" t="s">
        <v>649</v>
      </c>
      <c r="B186" s="857">
        <f>geral!I1515</f>
        <v>2651.1574320000004</v>
      </c>
      <c r="C186" s="857">
        <f t="shared" si="123"/>
        <v>344.96472902814469</v>
      </c>
      <c r="D186" s="857">
        <f t="shared" si="124"/>
        <v>244.96472902814469</v>
      </c>
      <c r="E186" s="857">
        <f t="shared" si="125"/>
        <v>0</v>
      </c>
      <c r="F186" s="857">
        <f t="shared" si="126"/>
        <v>0</v>
      </c>
      <c r="G186" s="857">
        <f t="shared" si="127"/>
        <v>7.4999999999999956</v>
      </c>
      <c r="H186" s="897">
        <f t="shared" si="128"/>
        <v>18.250000000000011</v>
      </c>
      <c r="I186" s="1021">
        <f t="shared" si="83"/>
        <v>1.3273085092175996</v>
      </c>
      <c r="J186" s="784"/>
    </row>
    <row r="187" spans="1:10">
      <c r="A187" s="1014" t="s">
        <v>650</v>
      </c>
      <c r="B187" s="857">
        <f>geral!I1516</f>
        <v>2651.1574320000004</v>
      </c>
      <c r="C187" s="857">
        <f t="shared" si="123"/>
        <v>344.96472902814469</v>
      </c>
      <c r="D187" s="857">
        <f t="shared" si="124"/>
        <v>244.96472902814469</v>
      </c>
      <c r="E187" s="857">
        <f t="shared" si="125"/>
        <v>0</v>
      </c>
      <c r="F187" s="857">
        <f t="shared" si="126"/>
        <v>0</v>
      </c>
      <c r="G187" s="857">
        <f t="shared" si="127"/>
        <v>7.4999999999999956</v>
      </c>
      <c r="H187" s="897">
        <f t="shared" si="128"/>
        <v>18.250000000000011</v>
      </c>
      <c r="I187" s="1021">
        <f t="shared" si="83"/>
        <v>1.3273085092175996</v>
      </c>
      <c r="J187" s="784"/>
    </row>
    <row r="188" spans="1:10">
      <c r="A188" s="1014" t="s">
        <v>652</v>
      </c>
      <c r="B188" s="857">
        <f>geral!I1517</f>
        <v>2651.1574320000004</v>
      </c>
      <c r="C188" s="857">
        <f t="shared" si="123"/>
        <v>344.96472902814469</v>
      </c>
      <c r="D188" s="857">
        <f t="shared" si="124"/>
        <v>244.96472902814469</v>
      </c>
      <c r="E188" s="857">
        <f t="shared" si="125"/>
        <v>0</v>
      </c>
      <c r="F188" s="857">
        <f t="shared" si="126"/>
        <v>0</v>
      </c>
      <c r="G188" s="857">
        <f t="shared" si="127"/>
        <v>7.4999999999999956</v>
      </c>
      <c r="H188" s="897">
        <f t="shared" si="128"/>
        <v>18.250000000000011</v>
      </c>
      <c r="I188" s="1021">
        <f t="shared" si="83"/>
        <v>1.3273085092175996</v>
      </c>
      <c r="J188" s="784"/>
    </row>
    <row r="189" spans="1:10">
      <c r="A189" s="1014" t="s">
        <v>653</v>
      </c>
      <c r="B189" s="857">
        <f>geral!I1518</f>
        <v>2872.2639618287999</v>
      </c>
      <c r="C189" s="857">
        <f t="shared" si="123"/>
        <v>373.73478742909191</v>
      </c>
      <c r="D189" s="857">
        <f t="shared" si="124"/>
        <v>273.73478742909191</v>
      </c>
      <c r="E189" s="857">
        <f t="shared" si="125"/>
        <v>8.3399999999999697</v>
      </c>
      <c r="F189" s="857">
        <f t="shared" si="126"/>
        <v>8.3399999999999697</v>
      </c>
      <c r="G189" s="857">
        <f t="shared" si="127"/>
        <v>8.3399999999999697</v>
      </c>
      <c r="H189" s="897">
        <f t="shared" si="128"/>
        <v>17.533990825688051</v>
      </c>
      <c r="I189" s="1021">
        <f t="shared" si="83"/>
        <v>1.2251324618955139</v>
      </c>
      <c r="J189" s="784"/>
    </row>
    <row r="190" spans="1:10">
      <c r="A190" s="1014" t="s">
        <v>654</v>
      </c>
      <c r="B190" s="857">
        <f>geral!I1519</f>
        <v>2889.7616008799996</v>
      </c>
      <c r="C190" s="857">
        <f t="shared" si="123"/>
        <v>376.01155464067762</v>
      </c>
      <c r="D190" s="857">
        <f t="shared" si="124"/>
        <v>276.01155464067762</v>
      </c>
      <c r="E190" s="857">
        <f t="shared" si="125"/>
        <v>0.6091932804135114</v>
      </c>
      <c r="F190" s="857">
        <f t="shared" si="126"/>
        <v>8.9999999999999645</v>
      </c>
      <c r="G190" s="857">
        <f t="shared" si="127"/>
        <v>8.9999999999999645</v>
      </c>
      <c r="H190" s="897">
        <f t="shared" si="128"/>
        <v>18.249999999999964</v>
      </c>
      <c r="I190" s="1021">
        <f t="shared" si="83"/>
        <v>1.21771422864</v>
      </c>
      <c r="J190" s="784"/>
    </row>
    <row r="191" spans="1:10">
      <c r="A191" s="1014" t="s">
        <v>657</v>
      </c>
      <c r="B191" s="857">
        <f>geral!I1520</f>
        <v>2889.7616008799996</v>
      </c>
      <c r="C191" s="857">
        <f t="shared" ref="C191:C196" si="129">100*B191/$B$8</f>
        <v>376.01155464067762</v>
      </c>
      <c r="D191" s="857">
        <f t="shared" ref="D191:D196" si="130">C191-100</f>
        <v>276.01155464067762</v>
      </c>
      <c r="E191" s="857">
        <f t="shared" ref="E191:E196" si="131">100*((B191/B190)-1)</f>
        <v>0</v>
      </c>
      <c r="F191" s="857">
        <f t="shared" ref="F191:F196" si="132">100*((B191/$B$184)-1)</f>
        <v>8.9999999999999645</v>
      </c>
      <c r="G191" s="857">
        <f t="shared" ref="G191:G196" si="133">100*((B191/B179)-1)</f>
        <v>8.9999999999999645</v>
      </c>
      <c r="H191" s="897">
        <f t="shared" ref="H191:H196" si="134">100*(B191/B167-1)</f>
        <v>18.249999999999964</v>
      </c>
      <c r="I191" s="1021">
        <f t="shared" si="83"/>
        <v>1.21771422864</v>
      </c>
      <c r="J191" s="784"/>
    </row>
    <row r="192" spans="1:10">
      <c r="A192" s="1014" t="str">
        <f>motrod!A261</f>
        <v>AGOSTO|15</v>
      </c>
      <c r="B192" s="857">
        <f>geral!I1521</f>
        <v>2889.7616008799996</v>
      </c>
      <c r="C192" s="857">
        <f t="shared" si="129"/>
        <v>376.01155464067762</v>
      </c>
      <c r="D192" s="857">
        <f t="shared" si="130"/>
        <v>276.01155464067762</v>
      </c>
      <c r="E192" s="857">
        <f t="shared" si="131"/>
        <v>0</v>
      </c>
      <c r="F192" s="857">
        <f t="shared" si="132"/>
        <v>8.9999999999999645</v>
      </c>
      <c r="G192" s="857">
        <f t="shared" si="133"/>
        <v>8.9999999999999645</v>
      </c>
      <c r="H192" s="897">
        <f t="shared" si="134"/>
        <v>18.249999999999964</v>
      </c>
      <c r="I192" s="1021">
        <f t="shared" si="83"/>
        <v>1.21771422864</v>
      </c>
      <c r="J192" s="784"/>
    </row>
    <row r="193" spans="1:10">
      <c r="A193" s="1032" t="str">
        <f>motrod!A262</f>
        <v>SETEMBRO|15</v>
      </c>
      <c r="B193" s="918">
        <f>geral!I1522</f>
        <v>2889.7616008799996</v>
      </c>
      <c r="C193" s="918">
        <f t="shared" si="129"/>
        <v>376.01155464067762</v>
      </c>
      <c r="D193" s="918">
        <f t="shared" si="130"/>
        <v>276.01155464067762</v>
      </c>
      <c r="E193" s="918">
        <f t="shared" si="131"/>
        <v>0</v>
      </c>
      <c r="F193" s="918">
        <f t="shared" si="132"/>
        <v>8.9999999999999645</v>
      </c>
      <c r="G193" s="918">
        <f t="shared" si="133"/>
        <v>8.9999999999999645</v>
      </c>
      <c r="H193" s="1033">
        <f t="shared" si="134"/>
        <v>17.174999999999962</v>
      </c>
      <c r="I193" s="1021">
        <f t="shared" si="83"/>
        <v>1.21771422864</v>
      </c>
      <c r="J193" s="784"/>
    </row>
    <row r="194" spans="1:10">
      <c r="A194" s="1032" t="str">
        <f>motrod!A263</f>
        <v>OUTUBRO|15</v>
      </c>
      <c r="B194" s="918">
        <f>geral!I1523</f>
        <v>2889.7616008799996</v>
      </c>
      <c r="C194" s="918">
        <f t="shared" si="129"/>
        <v>376.01155464067762</v>
      </c>
      <c r="D194" s="918">
        <f t="shared" si="130"/>
        <v>276.01155464067762</v>
      </c>
      <c r="E194" s="918">
        <f t="shared" si="131"/>
        <v>0</v>
      </c>
      <c r="F194" s="918">
        <f t="shared" si="132"/>
        <v>8.9999999999999645</v>
      </c>
      <c r="G194" s="918">
        <f t="shared" si="133"/>
        <v>8.9999999999999645</v>
      </c>
      <c r="H194" s="1033">
        <f t="shared" si="134"/>
        <v>17.174999999999962</v>
      </c>
      <c r="I194" s="1021">
        <f t="shared" si="83"/>
        <v>1.21771422864</v>
      </c>
      <c r="J194" s="784"/>
    </row>
    <row r="195" spans="1:10">
      <c r="A195" s="1032" t="str">
        <f>motrod!A264</f>
        <v>NOVEMBRO|15</v>
      </c>
      <c r="B195" s="918">
        <f>geral!I1524</f>
        <v>2889.7616008799996</v>
      </c>
      <c r="C195" s="918">
        <f t="shared" si="129"/>
        <v>376.01155464067762</v>
      </c>
      <c r="D195" s="918">
        <f t="shared" si="130"/>
        <v>276.01155464067762</v>
      </c>
      <c r="E195" s="918">
        <f t="shared" si="131"/>
        <v>0</v>
      </c>
      <c r="F195" s="918">
        <f t="shared" si="132"/>
        <v>8.9999999999999645</v>
      </c>
      <c r="G195" s="918">
        <f t="shared" si="133"/>
        <v>8.9999999999999645</v>
      </c>
      <c r="H195" s="1033">
        <f t="shared" si="134"/>
        <v>17.174999999999962</v>
      </c>
      <c r="I195" s="1021">
        <f t="shared" si="83"/>
        <v>1.21771422864</v>
      </c>
      <c r="J195" s="784"/>
    </row>
    <row r="196" spans="1:10">
      <c r="A196" s="1032" t="str">
        <f>motrod!A265</f>
        <v>DEZEMBRO|15</v>
      </c>
      <c r="B196" s="918">
        <f>geral!I1525</f>
        <v>2889.7616008799996</v>
      </c>
      <c r="C196" s="918">
        <f t="shared" si="129"/>
        <v>376.01155464067762</v>
      </c>
      <c r="D196" s="918">
        <f t="shared" si="130"/>
        <v>276.01155464067762</v>
      </c>
      <c r="E196" s="918">
        <f t="shared" si="131"/>
        <v>0</v>
      </c>
      <c r="F196" s="918">
        <f t="shared" si="132"/>
        <v>8.9999999999999645</v>
      </c>
      <c r="G196" s="918">
        <f t="shared" si="133"/>
        <v>8.9999999999999645</v>
      </c>
      <c r="H196" s="1033">
        <f t="shared" si="134"/>
        <v>17.174999999999962</v>
      </c>
      <c r="I196" s="1021">
        <f t="shared" si="83"/>
        <v>1.21771422864</v>
      </c>
      <c r="J196" s="784"/>
    </row>
    <row r="197" spans="1:10">
      <c r="A197" s="1032" t="str">
        <f>motrod!A266</f>
        <v>JANEIRO|16</v>
      </c>
      <c r="B197" s="918">
        <f>geral!K1514</f>
        <v>2889.7616008799996</v>
      </c>
      <c r="C197" s="918">
        <f t="shared" ref="C197" si="135">100*B197/$B$8</f>
        <v>376.01155464067762</v>
      </c>
      <c r="D197" s="918">
        <f t="shared" ref="D197" si="136">C197-100</f>
        <v>276.01155464067762</v>
      </c>
      <c r="E197" s="918">
        <f t="shared" ref="E197" si="137">100*((B197/B196)-1)</f>
        <v>0</v>
      </c>
      <c r="F197" s="918">
        <f t="shared" ref="F197:F202" si="138">100*((B197/$B$196-1))</f>
        <v>0</v>
      </c>
      <c r="G197" s="918">
        <f t="shared" ref="G197" si="139">100*((B197/B185)-1)</f>
        <v>8.9999999999999645</v>
      </c>
      <c r="H197" s="1033">
        <f t="shared" ref="H197" si="140">100*(B197/B173-1)</f>
        <v>17.174999999999962</v>
      </c>
      <c r="I197" s="1021">
        <f t="shared" si="83"/>
        <v>1.21771422864</v>
      </c>
      <c r="J197" s="784"/>
    </row>
    <row r="198" spans="1:10">
      <c r="A198" s="1032" t="str">
        <f>motrod!A267</f>
        <v>FEVEREIRO|16</v>
      </c>
      <c r="B198" s="918">
        <f>geral!K1515</f>
        <v>2889.7616008799996</v>
      </c>
      <c r="C198" s="918">
        <f t="shared" ref="C198" si="141">100*B198/$B$8</f>
        <v>376.01155464067762</v>
      </c>
      <c r="D198" s="918">
        <f t="shared" ref="D198" si="142">C198-100</f>
        <v>276.01155464067762</v>
      </c>
      <c r="E198" s="918">
        <f t="shared" ref="E198" si="143">100*((B198/B197)-1)</f>
        <v>0</v>
      </c>
      <c r="F198" s="918">
        <f t="shared" si="138"/>
        <v>0</v>
      </c>
      <c r="G198" s="918">
        <f t="shared" ref="G198" si="144">100*((B198/B186)-1)</f>
        <v>8.9999999999999645</v>
      </c>
      <c r="H198" s="1033">
        <f t="shared" ref="H198" si="145">100*(B198/B174-1)</f>
        <v>17.174999999999962</v>
      </c>
      <c r="I198" s="1021">
        <f t="shared" si="83"/>
        <v>1.21771422864</v>
      </c>
      <c r="J198" s="784"/>
    </row>
    <row r="199" spans="1:10">
      <c r="A199" s="1032" t="str">
        <f>motrod!A268</f>
        <v>MARÇO|16</v>
      </c>
      <c r="B199" s="918">
        <f>geral!K1516</f>
        <v>2889.7616008799996</v>
      </c>
      <c r="C199" s="918">
        <f t="shared" ref="C199" si="146">100*B199/$B$8</f>
        <v>376.01155464067762</v>
      </c>
      <c r="D199" s="918">
        <f t="shared" ref="D199" si="147">C199-100</f>
        <v>276.01155464067762</v>
      </c>
      <c r="E199" s="918">
        <f t="shared" ref="E199" si="148">100*((B199/B198)-1)</f>
        <v>0</v>
      </c>
      <c r="F199" s="918">
        <f t="shared" si="138"/>
        <v>0</v>
      </c>
      <c r="G199" s="918">
        <f t="shared" ref="G199" si="149">100*((B199/B187)-1)</f>
        <v>8.9999999999999645</v>
      </c>
      <c r="H199" s="1033">
        <f t="shared" ref="H199" si="150">100*(B199/B175-1)</f>
        <v>17.174999999999962</v>
      </c>
      <c r="I199" s="1021">
        <f t="shared" si="83"/>
        <v>1.21771422864</v>
      </c>
      <c r="J199" s="784"/>
    </row>
    <row r="200" spans="1:10">
      <c r="A200" s="1032" t="str">
        <f>motrod!A269</f>
        <v>ABRIL|16</v>
      </c>
      <c r="B200" s="918">
        <f>geral!K1517</f>
        <v>2889.7616008799996</v>
      </c>
      <c r="C200" s="918">
        <f t="shared" ref="C200" si="151">100*B200/$B$8</f>
        <v>376.01155464067762</v>
      </c>
      <c r="D200" s="918">
        <f t="shared" ref="D200" si="152">C200-100</f>
        <v>276.01155464067762</v>
      </c>
      <c r="E200" s="918">
        <f t="shared" ref="E200" si="153">100*((B200/B199)-1)</f>
        <v>0</v>
      </c>
      <c r="F200" s="918">
        <f t="shared" si="138"/>
        <v>0</v>
      </c>
      <c r="G200" s="918">
        <f t="shared" ref="G200" si="154">100*((B200/B188)-1)</f>
        <v>8.9999999999999645</v>
      </c>
      <c r="H200" s="1033">
        <f t="shared" ref="H200" si="155">100*(B200/B176-1)</f>
        <v>17.174999999999962</v>
      </c>
      <c r="I200" s="1021">
        <f t="shared" si="83"/>
        <v>1.21771422864</v>
      </c>
      <c r="J200" s="784"/>
    </row>
    <row r="201" spans="1:10">
      <c r="A201" s="1032" t="str">
        <f>motrod!A270</f>
        <v>MAIO|16</v>
      </c>
      <c r="B201" s="918">
        <f>geral!K1518</f>
        <v>3092.0449129415997</v>
      </c>
      <c r="C201" s="918">
        <f t="shared" ref="C201" si="156">100*B201/$B$8</f>
        <v>402.33236346552508</v>
      </c>
      <c r="D201" s="918">
        <f t="shared" ref="D201" si="157">C201-100</f>
        <v>302.33236346552508</v>
      </c>
      <c r="E201" s="918">
        <f t="shared" ref="E201" si="158">100*((B201/B200)-1)</f>
        <v>7.0000000000000062</v>
      </c>
      <c r="F201" s="918">
        <f t="shared" si="138"/>
        <v>7.0000000000000062</v>
      </c>
      <c r="G201" s="918">
        <f t="shared" ref="G201" si="159">100*((B201/B189)-1)</f>
        <v>7.651836810042445</v>
      </c>
      <c r="H201" s="1033">
        <f t="shared" ref="H201" si="160">100*(B201/B177-1)</f>
        <v>16.629999999999967</v>
      </c>
      <c r="I201" s="1021">
        <f t="shared" si="83"/>
        <v>1.1380506809719626</v>
      </c>
      <c r="J201" s="784"/>
    </row>
    <row r="202" spans="1:10">
      <c r="A202" s="1032" t="str">
        <f>motrod!A271</f>
        <v>JUNHO|16</v>
      </c>
      <c r="B202" s="918">
        <f>geral!K1519</f>
        <v>3141.748812476736</v>
      </c>
      <c r="C202" s="918">
        <f t="shared" ref="C202" si="161">100*B202/$B$8</f>
        <v>408.79976220534473</v>
      </c>
      <c r="D202" s="918">
        <f t="shared" ref="D202" si="162">C202-100</f>
        <v>308.79976220534473</v>
      </c>
      <c r="E202" s="918">
        <f t="shared" ref="E202" si="163">100*((B202/B201)-1)</f>
        <v>1.607476635514038</v>
      </c>
      <c r="F202" s="918">
        <f t="shared" si="138"/>
        <v>8.7200000000000166</v>
      </c>
      <c r="G202" s="918">
        <f t="shared" ref="G202" si="164">100*((B202/B190)-1)</f>
        <v>8.7200000000000166</v>
      </c>
      <c r="H202" s="1033">
        <f t="shared" ref="H202" si="165">100*(B202/B178-1)</f>
        <v>18.504799999999989</v>
      </c>
      <c r="I202" s="1021">
        <f t="shared" si="83"/>
        <v>1.1200461999999998</v>
      </c>
      <c r="J202" s="784"/>
    </row>
    <row r="203" spans="1:10">
      <c r="A203" s="1032" t="str">
        <f>motrod!A272</f>
        <v>JULHO|16</v>
      </c>
      <c r="B203" s="918">
        <f>geral!K1520</f>
        <v>3141.748812476736</v>
      </c>
      <c r="C203" s="918">
        <f t="shared" ref="C203" si="166">100*B203/$B$8</f>
        <v>408.79976220534473</v>
      </c>
      <c r="D203" s="918">
        <f t="shared" ref="D203" si="167">C203-100</f>
        <v>308.79976220534473</v>
      </c>
      <c r="E203" s="918">
        <f t="shared" ref="E203" si="168">100*((B203/B202)-1)</f>
        <v>0</v>
      </c>
      <c r="F203" s="918">
        <f t="shared" ref="F203" si="169">100*((B203/$B$196-1))</f>
        <v>8.7200000000000166</v>
      </c>
      <c r="G203" s="918">
        <f t="shared" ref="G203" si="170">100*((B203/B191)-1)</f>
        <v>8.7200000000000166</v>
      </c>
      <c r="H203" s="1033">
        <f t="shared" ref="H203" si="171">100*(B203/B179-1)</f>
        <v>18.504799999999989</v>
      </c>
      <c r="I203" s="1021">
        <f t="shared" ref="I203:I253" si="172">$B$253/B203</f>
        <v>1.1200461999999998</v>
      </c>
      <c r="J203" s="784"/>
    </row>
    <row r="204" spans="1:10">
      <c r="A204" s="1032" t="str">
        <f>motrod!A273</f>
        <v>AGOSTO|16</v>
      </c>
      <c r="B204" s="918">
        <f>geral!K1521</f>
        <v>3141.748812476736</v>
      </c>
      <c r="C204" s="918">
        <f t="shared" ref="C204" si="173">100*B204/$B$8</f>
        <v>408.79976220534473</v>
      </c>
      <c r="D204" s="918">
        <f t="shared" ref="D204" si="174">C204-100</f>
        <v>308.79976220534473</v>
      </c>
      <c r="E204" s="918">
        <f t="shared" ref="E204" si="175">100*((B204/B203)-1)</f>
        <v>0</v>
      </c>
      <c r="F204" s="918">
        <f t="shared" ref="F204" si="176">100*((B204/$B$196-1))</f>
        <v>8.7200000000000166</v>
      </c>
      <c r="G204" s="918">
        <f t="shared" ref="G204" si="177">100*((B204/B192)-1)</f>
        <v>8.7200000000000166</v>
      </c>
      <c r="H204" s="1033">
        <f t="shared" ref="H204" si="178">100*(B204/B180-1)</f>
        <v>18.504799999999989</v>
      </c>
      <c r="I204" s="1021">
        <f t="shared" si="172"/>
        <v>1.1200461999999998</v>
      </c>
      <c r="J204" s="784"/>
    </row>
    <row r="205" spans="1:10">
      <c r="A205" s="1032" t="str">
        <f>motrod!A274</f>
        <v>SETEMBRO|16</v>
      </c>
      <c r="B205" s="918">
        <f>geral!K1522</f>
        <v>3141.748812476736</v>
      </c>
      <c r="C205" s="918">
        <f t="shared" ref="C205" si="179">100*B205/$B$8</f>
        <v>408.79976220534473</v>
      </c>
      <c r="D205" s="918">
        <f t="shared" ref="D205" si="180">C205-100</f>
        <v>308.79976220534473</v>
      </c>
      <c r="E205" s="918">
        <f t="shared" ref="E205" si="181">100*((B205/B204)-1)</f>
        <v>0</v>
      </c>
      <c r="F205" s="918">
        <f t="shared" ref="F205" si="182">100*((B205/$B$196-1))</f>
        <v>8.7200000000000166</v>
      </c>
      <c r="G205" s="918">
        <f t="shared" ref="G205" si="183">100*((B205/B193)-1)</f>
        <v>8.7200000000000166</v>
      </c>
      <c r="H205" s="1033">
        <f t="shared" ref="H205" si="184">100*(B205/B181-1)</f>
        <v>18.504799999999989</v>
      </c>
      <c r="I205" s="1021">
        <f t="shared" si="172"/>
        <v>1.1200461999999998</v>
      </c>
      <c r="J205" s="784"/>
    </row>
    <row r="206" spans="1:10">
      <c r="A206" s="1032" t="str">
        <f>motrod!A275</f>
        <v>OUTUBRO|16</v>
      </c>
      <c r="B206" s="918">
        <f>geral!K1523</f>
        <v>3141.748812476736</v>
      </c>
      <c r="C206" s="918">
        <f t="shared" ref="C206" si="185">100*B206/$B$8</f>
        <v>408.79976220534473</v>
      </c>
      <c r="D206" s="918">
        <f t="shared" ref="D206" si="186">C206-100</f>
        <v>308.79976220534473</v>
      </c>
      <c r="E206" s="918">
        <f t="shared" ref="E206" si="187">100*((B206/B205)-1)</f>
        <v>0</v>
      </c>
      <c r="F206" s="918">
        <f t="shared" ref="F206" si="188">100*((B206/$B$196-1))</f>
        <v>8.7200000000000166</v>
      </c>
      <c r="G206" s="918">
        <f t="shared" ref="G206" si="189">100*((B206/B194)-1)</f>
        <v>8.7200000000000166</v>
      </c>
      <c r="H206" s="1033">
        <f t="shared" ref="H206" si="190">100*(B206/B182-1)</f>
        <v>18.504799999999989</v>
      </c>
      <c r="I206" s="1021">
        <f t="shared" si="172"/>
        <v>1.1200461999999998</v>
      </c>
      <c r="J206" s="784"/>
    </row>
    <row r="207" spans="1:10">
      <c r="A207" s="1032" t="str">
        <f>motrod!A276</f>
        <v>NOVEMBRO|16</v>
      </c>
      <c r="B207" s="918">
        <f>geral!K1524</f>
        <v>3141.748812476736</v>
      </c>
      <c r="C207" s="918">
        <f t="shared" ref="C207" si="191">100*B207/$B$8</f>
        <v>408.79976220534473</v>
      </c>
      <c r="D207" s="918">
        <f t="shared" ref="D207" si="192">C207-100</f>
        <v>308.79976220534473</v>
      </c>
      <c r="E207" s="918">
        <f t="shared" ref="E207" si="193">100*((B207/B206)-1)</f>
        <v>0</v>
      </c>
      <c r="F207" s="918">
        <f t="shared" ref="F207" si="194">100*((B207/$B$196-1))</f>
        <v>8.7200000000000166</v>
      </c>
      <c r="G207" s="918">
        <f t="shared" ref="G207" si="195">100*((B207/B195)-1)</f>
        <v>8.7200000000000166</v>
      </c>
      <c r="H207" s="1033">
        <f t="shared" ref="H207" si="196">100*(B207/B183-1)</f>
        <v>18.504799999999989</v>
      </c>
      <c r="I207" s="1021">
        <f t="shared" si="172"/>
        <v>1.1200461999999998</v>
      </c>
      <c r="J207" s="784"/>
    </row>
    <row r="208" spans="1:10">
      <c r="A208" s="1032" t="str">
        <f>motrod!A277</f>
        <v>DEZEMBRO|16</v>
      </c>
      <c r="B208" s="918">
        <f>geral!K1525</f>
        <v>3141.748812476736</v>
      </c>
      <c r="C208" s="918">
        <f t="shared" ref="C208" si="197">100*B208/$B$8</f>
        <v>408.79976220534473</v>
      </c>
      <c r="D208" s="918">
        <f t="shared" ref="D208" si="198">C208-100</f>
        <v>308.79976220534473</v>
      </c>
      <c r="E208" s="918">
        <f t="shared" ref="E208" si="199">100*((B208/B207)-1)</f>
        <v>0</v>
      </c>
      <c r="F208" s="918">
        <f t="shared" ref="F208" si="200">100*((B208/$B$196-1))</f>
        <v>8.7200000000000166</v>
      </c>
      <c r="G208" s="918">
        <f t="shared" ref="G208" si="201">100*((B208/B196)-1)</f>
        <v>8.7200000000000166</v>
      </c>
      <c r="H208" s="1033">
        <f t="shared" ref="H208" si="202">100*(B208/B184-1)</f>
        <v>18.504799999999989</v>
      </c>
      <c r="I208" s="1021">
        <f t="shared" si="172"/>
        <v>1.1200461999999998</v>
      </c>
      <c r="J208" s="784"/>
    </row>
    <row r="209" spans="1:10">
      <c r="A209" s="1032" t="str">
        <f>motrod!A278</f>
        <v>JANEIRO|17</v>
      </c>
      <c r="B209" s="918">
        <f>geral!M1514</f>
        <v>3141.748812476736</v>
      </c>
      <c r="C209" s="918">
        <f t="shared" ref="C209" si="203">100*B209/$B$8</f>
        <v>408.79976220534473</v>
      </c>
      <c r="D209" s="918">
        <f t="shared" ref="D209" si="204">C209-100</f>
        <v>308.79976220534473</v>
      </c>
      <c r="E209" s="918">
        <f t="shared" ref="E209" si="205">100*((B209/B208)-1)</f>
        <v>0</v>
      </c>
      <c r="F209" s="918">
        <f t="shared" ref="F209:F214" si="206">100*((B209/$B$208-1))</f>
        <v>0</v>
      </c>
      <c r="G209" s="918">
        <f t="shared" ref="G209" si="207">100*((B209/B197)-1)</f>
        <v>8.7200000000000166</v>
      </c>
      <c r="H209" s="1033">
        <f t="shared" ref="H209" si="208">100*(B209/B185-1)</f>
        <v>18.504799999999989</v>
      </c>
      <c r="I209" s="1021">
        <f t="shared" si="172"/>
        <v>1.1200461999999998</v>
      </c>
      <c r="J209" s="784"/>
    </row>
    <row r="210" spans="1:10">
      <c r="A210" s="1032" t="str">
        <f>motrod!A279</f>
        <v>FEVEREIRO|17</v>
      </c>
      <c r="B210" s="918">
        <f>geral!M1515</f>
        <v>3141.748812476736</v>
      </c>
      <c r="C210" s="918">
        <f t="shared" ref="C210" si="209">100*B210/$B$8</f>
        <v>408.79976220534473</v>
      </c>
      <c r="D210" s="918">
        <f t="shared" ref="D210" si="210">C210-100</f>
        <v>308.79976220534473</v>
      </c>
      <c r="E210" s="918">
        <f t="shared" ref="E210" si="211">100*((B210/B209)-1)</f>
        <v>0</v>
      </c>
      <c r="F210" s="918">
        <f t="shared" si="206"/>
        <v>0</v>
      </c>
      <c r="G210" s="918">
        <f t="shared" ref="G210" si="212">100*((B210/B198)-1)</f>
        <v>8.7200000000000166</v>
      </c>
      <c r="H210" s="1033">
        <f t="shared" ref="H210" si="213">100*(B210/B186-1)</f>
        <v>18.504799999999989</v>
      </c>
      <c r="I210" s="1021">
        <f t="shared" si="172"/>
        <v>1.1200461999999998</v>
      </c>
      <c r="J210" s="784"/>
    </row>
    <row r="211" spans="1:10">
      <c r="A211" s="1032" t="str">
        <f>motrod!A280</f>
        <v>MARÇO|17</v>
      </c>
      <c r="B211" s="918">
        <f>geral!M1516</f>
        <v>3141.748812476736</v>
      </c>
      <c r="C211" s="918">
        <f t="shared" ref="C211" si="214">100*B211/$B$8</f>
        <v>408.79976220534473</v>
      </c>
      <c r="D211" s="918">
        <f t="shared" ref="D211" si="215">C211-100</f>
        <v>308.79976220534473</v>
      </c>
      <c r="E211" s="918">
        <f t="shared" ref="E211" si="216">100*((B211/B210)-1)</f>
        <v>0</v>
      </c>
      <c r="F211" s="918">
        <f t="shared" si="206"/>
        <v>0</v>
      </c>
      <c r="G211" s="918">
        <f t="shared" ref="G211" si="217">100*((B211/B199)-1)</f>
        <v>8.7200000000000166</v>
      </c>
      <c r="H211" s="1033">
        <f t="shared" ref="H211" si="218">100*(B211/B187-1)</f>
        <v>18.504799999999989</v>
      </c>
      <c r="I211" s="1021">
        <f t="shared" si="172"/>
        <v>1.1200461999999998</v>
      </c>
      <c r="J211" s="784"/>
    </row>
    <row r="212" spans="1:10">
      <c r="A212" s="1032" t="str">
        <f>motrod!A281</f>
        <v>ABRIL|17</v>
      </c>
      <c r="B212" s="918">
        <f>geral!M1517</f>
        <v>3141.748812476736</v>
      </c>
      <c r="C212" s="918">
        <f t="shared" ref="C212" si="219">100*B212/$B$8</f>
        <v>408.79976220534473</v>
      </c>
      <c r="D212" s="918">
        <f t="shared" ref="D212" si="220">C212-100</f>
        <v>308.79976220534473</v>
      </c>
      <c r="E212" s="918">
        <f t="shared" ref="E212" si="221">100*((B212/B211)-1)</f>
        <v>0</v>
      </c>
      <c r="F212" s="918">
        <f t="shared" si="206"/>
        <v>0</v>
      </c>
      <c r="G212" s="918">
        <f t="shared" ref="G212" si="222">100*((B212/B200)-1)</f>
        <v>8.7200000000000166</v>
      </c>
      <c r="H212" s="1033">
        <f t="shared" ref="H212" si="223">100*(B212/B188-1)</f>
        <v>18.504799999999989</v>
      </c>
      <c r="I212" s="1021">
        <f t="shared" si="172"/>
        <v>1.1200461999999998</v>
      </c>
      <c r="J212" s="784"/>
    </row>
    <row r="213" spans="1:10">
      <c r="A213" s="1032" t="str">
        <f>motrod!A282</f>
        <v>MAIO|17</v>
      </c>
      <c r="B213" s="918">
        <f>geral!M1518</f>
        <v>3267.1045900945578</v>
      </c>
      <c r="C213" s="918">
        <f t="shared" ref="C213" si="224">100*B213/$B$8</f>
        <v>425.11087271733805</v>
      </c>
      <c r="D213" s="918">
        <f t="shared" ref="D213" si="225">C213-100</f>
        <v>325.11087271733805</v>
      </c>
      <c r="E213" s="918">
        <f t="shared" ref="E213" si="226">100*((B213/B212)-1)</f>
        <v>3.9900000000000047</v>
      </c>
      <c r="F213" s="918">
        <f t="shared" si="206"/>
        <v>3.9900000000000047</v>
      </c>
      <c r="G213" s="918">
        <f t="shared" ref="G213" si="227">100*((B213/B201)-1)</f>
        <v>5.6616149532710436</v>
      </c>
      <c r="H213" s="1033">
        <f t="shared" ref="H213" si="228">100*(B213/B189-1)</f>
        <v>13.746669300350757</v>
      </c>
      <c r="I213" s="1021">
        <f t="shared" si="172"/>
        <v>1.0770710645254349</v>
      </c>
      <c r="J213" s="784"/>
    </row>
    <row r="214" spans="1:10">
      <c r="A214" s="1032" t="str">
        <f>motrod!A283</f>
        <v>JUNHO|17</v>
      </c>
      <c r="B214" s="918">
        <f>geral!M1519</f>
        <v>3267.4187649758055</v>
      </c>
      <c r="C214" s="918">
        <f t="shared" ref="C214" si="229">100*B214/$B$8</f>
        <v>425.15175269355859</v>
      </c>
      <c r="D214" s="918">
        <f t="shared" ref="D214" si="230">C214-100</f>
        <v>325.15175269355859</v>
      </c>
      <c r="E214" s="918">
        <f t="shared" ref="E214" si="231">100*((B214/B213)-1)</f>
        <v>9.616309260507272E-3</v>
      </c>
      <c r="F214" s="918">
        <f t="shared" si="206"/>
        <v>4.0000000000000036</v>
      </c>
      <c r="G214" s="918">
        <f t="shared" ref="G214" si="232">100*((B214/B202)-1)</f>
        <v>4.0000000000000036</v>
      </c>
      <c r="H214" s="1033">
        <f t="shared" ref="H214" si="233">100*(B214/B190-1)</f>
        <v>13.068800000000014</v>
      </c>
      <c r="I214" s="1021">
        <f t="shared" si="172"/>
        <v>1.0769674999999999</v>
      </c>
      <c r="J214" s="784"/>
    </row>
    <row r="215" spans="1:10">
      <c r="A215" s="1032" t="str">
        <f>motrod!A284</f>
        <v>JULHO|17</v>
      </c>
      <c r="B215" s="918">
        <f>geral!M1520</f>
        <v>3267.4187649758055</v>
      </c>
      <c r="C215" s="918">
        <f t="shared" ref="C215" si="234">100*B215/$B$8</f>
        <v>425.15175269355859</v>
      </c>
      <c r="D215" s="918">
        <f t="shared" ref="D215" si="235">C215-100</f>
        <v>325.15175269355859</v>
      </c>
      <c r="E215" s="918">
        <f t="shared" ref="E215" si="236">100*((B215/B214)-1)</f>
        <v>0</v>
      </c>
      <c r="F215" s="918">
        <f t="shared" ref="F215" si="237">100*((B215/$B$208-1))</f>
        <v>4.0000000000000036</v>
      </c>
      <c r="G215" s="918">
        <f t="shared" ref="G215" si="238">100*((B215/B203)-1)</f>
        <v>4.0000000000000036</v>
      </c>
      <c r="H215" s="1033">
        <f t="shared" ref="H215" si="239">100*(B215/B191-1)</f>
        <v>13.068800000000014</v>
      </c>
      <c r="I215" s="1021">
        <f t="shared" si="172"/>
        <v>1.0769674999999999</v>
      </c>
      <c r="J215" s="784"/>
    </row>
    <row r="216" spans="1:10">
      <c r="A216" s="1032" t="str">
        <f>motrod!A285</f>
        <v>AGOSTO|17</v>
      </c>
      <c r="B216" s="918">
        <f>geral!M1521</f>
        <v>3267.4187649758055</v>
      </c>
      <c r="C216" s="918">
        <f t="shared" ref="C216" si="240">100*B216/$B$8</f>
        <v>425.15175269355859</v>
      </c>
      <c r="D216" s="918">
        <f t="shared" ref="D216" si="241">C216-100</f>
        <v>325.15175269355859</v>
      </c>
      <c r="E216" s="918">
        <f t="shared" ref="E216" si="242">100*((B216/B215)-1)</f>
        <v>0</v>
      </c>
      <c r="F216" s="918">
        <f t="shared" ref="F216" si="243">100*((B216/$B$208-1))</f>
        <v>4.0000000000000036</v>
      </c>
      <c r="G216" s="918">
        <f t="shared" ref="G216" si="244">100*((B216/B204)-1)</f>
        <v>4.0000000000000036</v>
      </c>
      <c r="H216" s="1033">
        <f t="shared" ref="H216" si="245">100*(B216/B192-1)</f>
        <v>13.068800000000014</v>
      </c>
      <c r="I216" s="1021">
        <f t="shared" si="172"/>
        <v>1.0769674999999999</v>
      </c>
      <c r="J216" s="784"/>
    </row>
    <row r="217" spans="1:10">
      <c r="A217" s="1032" t="str">
        <f>motrod!A286</f>
        <v>SETEMBRO|17</v>
      </c>
      <c r="B217" s="918">
        <f>geral!M1522</f>
        <v>3267.4187649758055</v>
      </c>
      <c r="C217" s="918">
        <f t="shared" ref="C217" si="246">100*B217/$B$8</f>
        <v>425.15175269355859</v>
      </c>
      <c r="D217" s="918">
        <f t="shared" ref="D217" si="247">C217-100</f>
        <v>325.15175269355859</v>
      </c>
      <c r="E217" s="918">
        <f t="shared" ref="E217" si="248">100*((B217/B216)-1)</f>
        <v>0</v>
      </c>
      <c r="F217" s="918">
        <f t="shared" ref="F217" si="249">100*((B217/$B$208-1))</f>
        <v>4.0000000000000036</v>
      </c>
      <c r="G217" s="918">
        <f t="shared" ref="G217" si="250">100*((B217/B205)-1)</f>
        <v>4.0000000000000036</v>
      </c>
      <c r="H217" s="1033">
        <f t="shared" ref="H217" si="251">100*(B217/B193-1)</f>
        <v>13.068800000000014</v>
      </c>
      <c r="I217" s="1021">
        <f t="shared" si="172"/>
        <v>1.0769674999999999</v>
      </c>
      <c r="J217" s="784"/>
    </row>
    <row r="218" spans="1:10">
      <c r="A218" s="1032" t="str">
        <f>motrod!A287</f>
        <v>OUTUBRO|17</v>
      </c>
      <c r="B218" s="918">
        <f>geral!M1523</f>
        <v>3267.4187649758055</v>
      </c>
      <c r="C218" s="918">
        <f t="shared" ref="C218" si="252">100*B218/$B$8</f>
        <v>425.15175269355859</v>
      </c>
      <c r="D218" s="918">
        <f t="shared" ref="D218" si="253">C218-100</f>
        <v>325.15175269355859</v>
      </c>
      <c r="E218" s="918">
        <f t="shared" ref="E218" si="254">100*((B218/B217)-1)</f>
        <v>0</v>
      </c>
      <c r="F218" s="918">
        <f t="shared" ref="F218" si="255">100*((B218/$B$208-1))</f>
        <v>4.0000000000000036</v>
      </c>
      <c r="G218" s="918">
        <f t="shared" ref="G218" si="256">100*((B218/B206)-1)</f>
        <v>4.0000000000000036</v>
      </c>
      <c r="H218" s="1033">
        <f t="shared" ref="H218" si="257">100*(B218/B194-1)</f>
        <v>13.068800000000014</v>
      </c>
      <c r="I218" s="1021">
        <f t="shared" si="172"/>
        <v>1.0769674999999999</v>
      </c>
      <c r="J218" s="784"/>
    </row>
    <row r="219" spans="1:10">
      <c r="A219" s="1032" t="str">
        <f>motrod!A288</f>
        <v>NOVEMBRO|17</v>
      </c>
      <c r="B219" s="918">
        <f>geral!M1524</f>
        <v>3267.4187649758055</v>
      </c>
      <c r="C219" s="918">
        <f t="shared" ref="C219" si="258">100*B219/$B$8</f>
        <v>425.15175269355859</v>
      </c>
      <c r="D219" s="918">
        <f t="shared" ref="D219" si="259">C219-100</f>
        <v>325.15175269355859</v>
      </c>
      <c r="E219" s="918">
        <f t="shared" ref="E219" si="260">100*((B219/B218)-1)</f>
        <v>0</v>
      </c>
      <c r="F219" s="918">
        <f t="shared" ref="F219" si="261">100*((B219/$B$208-1))</f>
        <v>4.0000000000000036</v>
      </c>
      <c r="G219" s="918">
        <f t="shared" ref="G219" si="262">100*((B219/B207)-1)</f>
        <v>4.0000000000000036</v>
      </c>
      <c r="H219" s="1033">
        <f t="shared" ref="H219" si="263">100*(B219/B195-1)</f>
        <v>13.068800000000014</v>
      </c>
      <c r="I219" s="1021">
        <f t="shared" si="172"/>
        <v>1.0769674999999999</v>
      </c>
      <c r="J219" s="784"/>
    </row>
    <row r="220" spans="1:10">
      <c r="A220" s="1032" t="str">
        <f>motrod!A289</f>
        <v>DEZEMBRO|17</v>
      </c>
      <c r="B220" s="918">
        <f>geral!M1525</f>
        <v>3267.4187649758055</v>
      </c>
      <c r="C220" s="918">
        <f t="shared" ref="C220" si="264">100*B220/$B$8</f>
        <v>425.15175269355859</v>
      </c>
      <c r="D220" s="918">
        <f t="shared" ref="D220" si="265">C220-100</f>
        <v>325.15175269355859</v>
      </c>
      <c r="E220" s="918">
        <f t="shared" ref="E220" si="266">100*((B220/B219)-1)</f>
        <v>0</v>
      </c>
      <c r="F220" s="918">
        <f t="shared" ref="F220" si="267">100*((B220/$B$208-1))</f>
        <v>4.0000000000000036</v>
      </c>
      <c r="G220" s="918">
        <f t="shared" ref="G220" si="268">100*((B220/B208)-1)</f>
        <v>4.0000000000000036</v>
      </c>
      <c r="H220" s="1033">
        <f t="shared" ref="H220" si="269">100*(B220/B196-1)</f>
        <v>13.068800000000014</v>
      </c>
      <c r="I220" s="1021">
        <f t="shared" si="172"/>
        <v>1.0769674999999999</v>
      </c>
      <c r="J220" s="784"/>
    </row>
    <row r="221" spans="1:10">
      <c r="A221" s="1032" t="str">
        <f>motrod!A290</f>
        <v>JANEIRO|18</v>
      </c>
      <c r="B221" s="918">
        <f>geral!O1514</f>
        <v>3267.4187649758055</v>
      </c>
      <c r="C221" s="918">
        <f t="shared" ref="C221" si="270">100*B221/$B$8</f>
        <v>425.15175269355859</v>
      </c>
      <c r="D221" s="918">
        <f t="shared" ref="D221" si="271">C221-100</f>
        <v>325.15175269355859</v>
      </c>
      <c r="E221" s="918">
        <f t="shared" ref="E221" si="272">100*((B221/B220)-1)</f>
        <v>0</v>
      </c>
      <c r="F221" s="918">
        <f t="shared" ref="F221:F226" si="273">100*((B221/$B$220-1))</f>
        <v>0</v>
      </c>
      <c r="G221" s="918">
        <f t="shared" ref="G221" si="274">100*((B221/B209)-1)</f>
        <v>4.0000000000000036</v>
      </c>
      <c r="H221" s="1033">
        <f t="shared" ref="H221" si="275">100*(B221/B197-1)</f>
        <v>13.068800000000014</v>
      </c>
      <c r="I221" s="1021">
        <f t="shared" si="172"/>
        <v>1.0769674999999999</v>
      </c>
      <c r="J221" s="784"/>
    </row>
    <row r="222" spans="1:10">
      <c r="A222" s="1032" t="str">
        <f>motrod!A291</f>
        <v>FEVEREIRO|18</v>
      </c>
      <c r="B222" s="918">
        <f>geral!O1515</f>
        <v>3267.4187649758055</v>
      </c>
      <c r="C222" s="918">
        <f t="shared" ref="C222" si="276">100*B222/$B$8</f>
        <v>425.15175269355859</v>
      </c>
      <c r="D222" s="918">
        <f t="shared" ref="D222" si="277">C222-100</f>
        <v>325.15175269355859</v>
      </c>
      <c r="E222" s="918">
        <f t="shared" ref="E222" si="278">100*((B222/B221)-1)</f>
        <v>0</v>
      </c>
      <c r="F222" s="918">
        <f t="shared" si="273"/>
        <v>0</v>
      </c>
      <c r="G222" s="918">
        <f t="shared" ref="G222" si="279">100*((B222/B210)-1)</f>
        <v>4.0000000000000036</v>
      </c>
      <c r="H222" s="1033">
        <f t="shared" ref="H222" si="280">100*(B222/B198-1)</f>
        <v>13.068800000000014</v>
      </c>
      <c r="I222" s="1021">
        <f t="shared" si="172"/>
        <v>1.0769674999999999</v>
      </c>
      <c r="J222" s="784"/>
    </row>
    <row r="223" spans="1:10">
      <c r="A223" s="1032" t="str">
        <f>motrod!A292</f>
        <v>MARÇO|18</v>
      </c>
      <c r="B223" s="918">
        <f>geral!O1516</f>
        <v>3267.4187649758055</v>
      </c>
      <c r="C223" s="918">
        <f t="shared" ref="C223" si="281">100*B223/$B$8</f>
        <v>425.15175269355859</v>
      </c>
      <c r="D223" s="918">
        <f t="shared" ref="D223" si="282">C223-100</f>
        <v>325.15175269355859</v>
      </c>
      <c r="E223" s="918">
        <f t="shared" ref="E223" si="283">100*((B223/B222)-1)</f>
        <v>0</v>
      </c>
      <c r="F223" s="918">
        <f t="shared" si="273"/>
        <v>0</v>
      </c>
      <c r="G223" s="918">
        <f t="shared" ref="G223" si="284">100*((B223/B211)-1)</f>
        <v>4.0000000000000036</v>
      </c>
      <c r="H223" s="1033">
        <f t="shared" ref="H223" si="285">100*(B223/B199-1)</f>
        <v>13.068800000000014</v>
      </c>
      <c r="I223" s="1021">
        <f t="shared" si="172"/>
        <v>1.0769674999999999</v>
      </c>
      <c r="J223" s="784"/>
    </row>
    <row r="224" spans="1:10">
      <c r="A224" s="1032" t="str">
        <f>motrod!A293</f>
        <v>ABRIL|18</v>
      </c>
      <c r="B224" s="918">
        <f>geral!O1517</f>
        <v>3267.4187649758055</v>
      </c>
      <c r="C224" s="918">
        <f t="shared" ref="C224" si="286">100*B224/$B$8</f>
        <v>425.15175269355859</v>
      </c>
      <c r="D224" s="918">
        <f t="shared" ref="D224" si="287">C224-100</f>
        <v>325.15175269355859</v>
      </c>
      <c r="E224" s="918">
        <f t="shared" ref="E224" si="288">100*((B224/B223)-1)</f>
        <v>0</v>
      </c>
      <c r="F224" s="918">
        <f t="shared" si="273"/>
        <v>0</v>
      </c>
      <c r="G224" s="918">
        <f t="shared" ref="G224" si="289">100*((B224/B212)-1)</f>
        <v>4.0000000000000036</v>
      </c>
      <c r="H224" s="1033">
        <f t="shared" ref="H224" si="290">100*(B224/B200-1)</f>
        <v>13.068800000000014</v>
      </c>
      <c r="I224" s="1021">
        <f t="shared" si="172"/>
        <v>1.0769674999999999</v>
      </c>
      <c r="J224" s="784"/>
    </row>
    <row r="225" spans="1:10">
      <c r="A225" s="1032" t="str">
        <f>motrod!A294</f>
        <v>MAIO|18</v>
      </c>
      <c r="B225" s="918">
        <f>geral!O1518</f>
        <v>3267.4187649758055</v>
      </c>
      <c r="C225" s="918">
        <f t="shared" ref="C225" si="291">100*B225/$B$8</f>
        <v>425.15175269355859</v>
      </c>
      <c r="D225" s="918">
        <f t="shared" ref="D225" si="292">C225-100</f>
        <v>325.15175269355859</v>
      </c>
      <c r="E225" s="918">
        <f t="shared" ref="E225" si="293">100*((B225/B224)-1)</f>
        <v>0</v>
      </c>
      <c r="F225" s="918">
        <f t="shared" si="273"/>
        <v>0</v>
      </c>
      <c r="G225" s="918">
        <f t="shared" ref="G225" si="294">100*((B225/B213)-1)</f>
        <v>9.616309260507272E-3</v>
      </c>
      <c r="H225" s="1033">
        <f t="shared" ref="H225" si="295">100*(B225/B201-1)</f>
        <v>5.6717757009346004</v>
      </c>
      <c r="I225" s="1021">
        <f t="shared" si="172"/>
        <v>1.0769674999999999</v>
      </c>
      <c r="J225" s="784"/>
    </row>
    <row r="226" spans="1:10">
      <c r="A226" s="1014" t="str">
        <f>motrod!A295</f>
        <v>JUNHO|18</v>
      </c>
      <c r="B226" s="857">
        <f>geral!O1519</f>
        <v>3349.1042341002003</v>
      </c>
      <c r="C226" s="857">
        <f t="shared" ref="C226" si="296">100*B226/$B$8</f>
        <v>435.78054651089747</v>
      </c>
      <c r="D226" s="857">
        <f t="shared" ref="D226" si="297">C226-100</f>
        <v>335.78054651089747</v>
      </c>
      <c r="E226" s="857">
        <f t="shared" ref="E226" si="298">100*((B226/B225)-1)</f>
        <v>2.4999999999999911</v>
      </c>
      <c r="F226" s="857">
        <f t="shared" si="273"/>
        <v>2.4999999999999911</v>
      </c>
      <c r="G226" s="857">
        <f t="shared" ref="G226" si="299">100*((B226/B214)-1)</f>
        <v>2.4999999999999911</v>
      </c>
      <c r="H226" s="897">
        <f t="shared" ref="H226" si="300">100*(B226/B202-1)</f>
        <v>6.5999999999999837</v>
      </c>
      <c r="I226" s="1021">
        <f t="shared" si="172"/>
        <v>1.0507</v>
      </c>
      <c r="J226" s="784"/>
    </row>
    <row r="227" spans="1:10">
      <c r="A227" s="1014" t="str">
        <f>motrod!A296</f>
        <v>JULHO|18</v>
      </c>
      <c r="B227" s="857">
        <f>geral!O1520</f>
        <v>3349.1042341002003</v>
      </c>
      <c r="C227" s="857">
        <f t="shared" ref="C227" si="301">100*B227/$B$8</f>
        <v>435.78054651089747</v>
      </c>
      <c r="D227" s="857">
        <f t="shared" ref="D227" si="302">C227-100</f>
        <v>335.78054651089747</v>
      </c>
      <c r="E227" s="857">
        <f t="shared" ref="E227" si="303">100*((B227/B226)-1)</f>
        <v>0</v>
      </c>
      <c r="F227" s="857">
        <f t="shared" ref="F227" si="304">100*((B227/$B$220-1))</f>
        <v>2.4999999999999911</v>
      </c>
      <c r="G227" s="857">
        <f t="shared" ref="G227" si="305">100*((B227/B215)-1)</f>
        <v>2.4999999999999911</v>
      </c>
      <c r="H227" s="897">
        <f t="shared" ref="H227" si="306">100*(B227/B203-1)</f>
        <v>6.5999999999999837</v>
      </c>
      <c r="I227" s="1021">
        <f t="shared" si="172"/>
        <v>1.0507</v>
      </c>
      <c r="J227" s="784"/>
    </row>
    <row r="228" spans="1:10">
      <c r="A228" s="1032" t="str">
        <f>motrod!A297</f>
        <v>AGOSTO|18</v>
      </c>
      <c r="B228" s="918">
        <f>geral!O1521</f>
        <v>3349.1042341002003</v>
      </c>
      <c r="C228" s="918">
        <f t="shared" ref="C228" si="307">100*B228/$B$8</f>
        <v>435.78054651089747</v>
      </c>
      <c r="D228" s="918">
        <f t="shared" ref="D228" si="308">C228-100</f>
        <v>335.78054651089747</v>
      </c>
      <c r="E228" s="918">
        <f t="shared" ref="E228" si="309">100*((B228/B227)-1)</f>
        <v>0</v>
      </c>
      <c r="F228" s="918">
        <f t="shared" ref="F228" si="310">100*((B228/$B$220-1))</f>
        <v>2.4999999999999911</v>
      </c>
      <c r="G228" s="918">
        <f t="shared" ref="G228" si="311">100*((B228/B216)-1)</f>
        <v>2.4999999999999911</v>
      </c>
      <c r="H228" s="1033">
        <f t="shared" ref="H228" si="312">100*(B228/B204-1)</f>
        <v>6.5999999999999837</v>
      </c>
      <c r="I228" s="1021">
        <f t="shared" si="172"/>
        <v>1.0507</v>
      </c>
      <c r="J228" s="784"/>
    </row>
    <row r="229" spans="1:10">
      <c r="A229" s="1032" t="str">
        <f>motrod!A298</f>
        <v>SETEMBRO|18</v>
      </c>
      <c r="B229" s="918">
        <f>geral!O1522</f>
        <v>3349.1042341002003</v>
      </c>
      <c r="C229" s="918">
        <f t="shared" ref="C229" si="313">100*B229/$B$8</f>
        <v>435.78054651089747</v>
      </c>
      <c r="D229" s="918">
        <f t="shared" ref="D229" si="314">C229-100</f>
        <v>335.78054651089747</v>
      </c>
      <c r="E229" s="918">
        <f t="shared" ref="E229" si="315">100*((B229/B228)-1)</f>
        <v>0</v>
      </c>
      <c r="F229" s="918">
        <f t="shared" ref="F229" si="316">100*((B229/$B$220-1))</f>
        <v>2.4999999999999911</v>
      </c>
      <c r="G229" s="918">
        <f t="shared" ref="G229" si="317">100*((B229/B217)-1)</f>
        <v>2.4999999999999911</v>
      </c>
      <c r="H229" s="1033">
        <f t="shared" ref="H229" si="318">100*(B229/B205-1)</f>
        <v>6.5999999999999837</v>
      </c>
      <c r="I229" s="1021">
        <f t="shared" si="172"/>
        <v>1.0507</v>
      </c>
      <c r="J229" s="784"/>
    </row>
    <row r="230" spans="1:10">
      <c r="A230" s="1032" t="str">
        <f>motrod!A299</f>
        <v>OUTUBRO|18</v>
      </c>
      <c r="B230" s="918">
        <f>geral!O1523</f>
        <v>3349.1042341002003</v>
      </c>
      <c r="C230" s="918">
        <f t="shared" ref="C230" si="319">100*B230/$B$8</f>
        <v>435.78054651089747</v>
      </c>
      <c r="D230" s="918">
        <f t="shared" ref="D230" si="320">C230-100</f>
        <v>335.78054651089747</v>
      </c>
      <c r="E230" s="918">
        <f t="shared" ref="E230" si="321">100*((B230/B229)-1)</f>
        <v>0</v>
      </c>
      <c r="F230" s="918">
        <f t="shared" ref="F230" si="322">100*((B230/$B$220-1))</f>
        <v>2.4999999999999911</v>
      </c>
      <c r="G230" s="918">
        <f t="shared" ref="G230" si="323">100*((B230/B218)-1)</f>
        <v>2.4999999999999911</v>
      </c>
      <c r="H230" s="1033">
        <f t="shared" ref="H230" si="324">100*(B230/B206-1)</f>
        <v>6.5999999999999837</v>
      </c>
      <c r="I230" s="1021">
        <f t="shared" si="172"/>
        <v>1.0507</v>
      </c>
      <c r="J230" s="784"/>
    </row>
    <row r="231" spans="1:10">
      <c r="A231" s="1032" t="str">
        <f>motrod!A300</f>
        <v>NOVEMBRO|18</v>
      </c>
      <c r="B231" s="918">
        <f>geral!O1524</f>
        <v>3349.1042341002003</v>
      </c>
      <c r="C231" s="918">
        <f t="shared" ref="C231" si="325">100*B231/$B$8</f>
        <v>435.78054651089747</v>
      </c>
      <c r="D231" s="918">
        <f t="shared" ref="D231" si="326">C231-100</f>
        <v>335.78054651089747</v>
      </c>
      <c r="E231" s="918">
        <f t="shared" ref="E231" si="327">100*((B231/B230)-1)</f>
        <v>0</v>
      </c>
      <c r="F231" s="918">
        <f t="shared" ref="F231" si="328">100*((B231/$B$220-1))</f>
        <v>2.4999999999999911</v>
      </c>
      <c r="G231" s="918">
        <f t="shared" ref="G231" si="329">100*((B231/B219)-1)</f>
        <v>2.4999999999999911</v>
      </c>
      <c r="H231" s="1033">
        <f t="shared" ref="H231" si="330">100*(B231/B207-1)</f>
        <v>6.5999999999999837</v>
      </c>
      <c r="I231" s="1021">
        <f t="shared" si="172"/>
        <v>1.0507</v>
      </c>
      <c r="J231" s="784"/>
    </row>
    <row r="232" spans="1:10">
      <c r="A232" s="1032" t="str">
        <f>motrod!A301</f>
        <v>DEZEMBRO|18</v>
      </c>
      <c r="B232" s="918">
        <f>geral!O1525</f>
        <v>3349.1042341002003</v>
      </c>
      <c r="C232" s="918">
        <f t="shared" ref="C232" si="331">100*B232/$B$8</f>
        <v>435.78054651089747</v>
      </c>
      <c r="D232" s="918">
        <f t="shared" ref="D232" si="332">C232-100</f>
        <v>335.78054651089747</v>
      </c>
      <c r="E232" s="918">
        <f t="shared" ref="E232" si="333">100*((B232/B231)-1)</f>
        <v>0</v>
      </c>
      <c r="F232" s="918">
        <f t="shared" ref="F232" si="334">100*((B232/$B$220-1))</f>
        <v>2.4999999999999911</v>
      </c>
      <c r="G232" s="918">
        <f t="shared" ref="G232" si="335">100*((B232/B220)-1)</f>
        <v>2.4999999999999911</v>
      </c>
      <c r="H232" s="1033">
        <f t="shared" ref="H232" si="336">100*(B232/B208-1)</f>
        <v>6.5999999999999837</v>
      </c>
      <c r="I232" s="1021">
        <f t="shared" si="172"/>
        <v>1.0507</v>
      </c>
      <c r="J232" s="784"/>
    </row>
    <row r="233" spans="1:10">
      <c r="A233" s="1032" t="str">
        <f>motrod!A302</f>
        <v>JANEIRO|19</v>
      </c>
      <c r="B233" s="918">
        <f>geral!Q1514</f>
        <v>3349.1042341002003</v>
      </c>
      <c r="C233" s="918">
        <f t="shared" ref="C233" si="337">100*B233/$B$8</f>
        <v>435.78054651089747</v>
      </c>
      <c r="D233" s="918">
        <f t="shared" ref="D233" si="338">C233-100</f>
        <v>335.78054651089747</v>
      </c>
      <c r="E233" s="918">
        <f t="shared" ref="E233" si="339">100*((B233/B232)-1)</f>
        <v>0</v>
      </c>
      <c r="F233" s="918">
        <f t="shared" ref="F233:F238" si="340">100*((B233/$B$232-1))</f>
        <v>0</v>
      </c>
      <c r="G233" s="918">
        <f t="shared" ref="G233" si="341">100*((B233/B221)-1)</f>
        <v>2.4999999999999911</v>
      </c>
      <c r="H233" s="1033">
        <f t="shared" ref="H233" si="342">100*(B233/B209-1)</f>
        <v>6.5999999999999837</v>
      </c>
      <c r="I233" s="1021">
        <f t="shared" si="172"/>
        <v>1.0507</v>
      </c>
      <c r="J233" s="784"/>
    </row>
    <row r="234" spans="1:10">
      <c r="A234" s="1032" t="str">
        <f>motrod!A303</f>
        <v>FEVEREIRO|19</v>
      </c>
      <c r="B234" s="918">
        <f>geral!Q1515</f>
        <v>3349.1042341002003</v>
      </c>
      <c r="C234" s="918">
        <f t="shared" ref="C234" si="343">100*B234/$B$8</f>
        <v>435.78054651089747</v>
      </c>
      <c r="D234" s="918">
        <f t="shared" ref="D234" si="344">C234-100</f>
        <v>335.78054651089747</v>
      </c>
      <c r="E234" s="918">
        <f t="shared" ref="E234" si="345">100*((B234/B233)-1)</f>
        <v>0</v>
      </c>
      <c r="F234" s="918">
        <f t="shared" si="340"/>
        <v>0</v>
      </c>
      <c r="G234" s="918">
        <f t="shared" ref="G234" si="346">100*((B234/B222)-1)</f>
        <v>2.4999999999999911</v>
      </c>
      <c r="H234" s="1033">
        <f t="shared" ref="H234" si="347">100*(B234/B210-1)</f>
        <v>6.5999999999999837</v>
      </c>
      <c r="I234" s="1021">
        <f t="shared" si="172"/>
        <v>1.0507</v>
      </c>
      <c r="J234" s="784"/>
    </row>
    <row r="235" spans="1:10">
      <c r="A235" s="1032" t="str">
        <f>motrod!A304</f>
        <v>MARÇO|19</v>
      </c>
      <c r="B235" s="918">
        <f>geral!Q1516</f>
        <v>3349.1042341002003</v>
      </c>
      <c r="C235" s="918">
        <f t="shared" ref="C235" si="348">100*B235/$B$8</f>
        <v>435.78054651089747</v>
      </c>
      <c r="D235" s="918">
        <f t="shared" ref="D235" si="349">C235-100</f>
        <v>335.78054651089747</v>
      </c>
      <c r="E235" s="918">
        <f t="shared" ref="E235" si="350">100*((B235/B234)-1)</f>
        <v>0</v>
      </c>
      <c r="F235" s="918">
        <f t="shared" si="340"/>
        <v>0</v>
      </c>
      <c r="G235" s="918">
        <f t="shared" ref="G235" si="351">100*((B235/B223)-1)</f>
        <v>2.4999999999999911</v>
      </c>
      <c r="H235" s="1033">
        <f t="shared" ref="H235" si="352">100*(B235/B211-1)</f>
        <v>6.5999999999999837</v>
      </c>
      <c r="I235" s="1021">
        <f t="shared" si="172"/>
        <v>1.0507</v>
      </c>
      <c r="J235" s="784"/>
    </row>
    <row r="236" spans="1:10">
      <c r="A236" s="1032" t="str">
        <f>motrod!A305</f>
        <v>ABRIL|19</v>
      </c>
      <c r="B236" s="918">
        <f>geral!Q1517</f>
        <v>3349.1042341002003</v>
      </c>
      <c r="C236" s="918">
        <f t="shared" ref="C236" si="353">100*B236/$B$8</f>
        <v>435.78054651089747</v>
      </c>
      <c r="D236" s="918">
        <f t="shared" ref="D236" si="354">C236-100</f>
        <v>335.78054651089747</v>
      </c>
      <c r="E236" s="918">
        <f t="shared" ref="E236" si="355">100*((B236/B235)-1)</f>
        <v>0</v>
      </c>
      <c r="F236" s="918">
        <f t="shared" si="340"/>
        <v>0</v>
      </c>
      <c r="G236" s="918">
        <f t="shared" ref="G236" si="356">100*((B236/B224)-1)</f>
        <v>2.4999999999999911</v>
      </c>
      <c r="H236" s="1033">
        <f t="shared" ref="H236" si="357">100*(B236/B212-1)</f>
        <v>6.5999999999999837</v>
      </c>
      <c r="I236" s="1021">
        <f t="shared" si="172"/>
        <v>1.0507</v>
      </c>
      <c r="J236" s="784"/>
    </row>
    <row r="237" spans="1:10">
      <c r="A237" s="1032" t="str">
        <f>motrod!A306</f>
        <v>MAIO|19</v>
      </c>
      <c r="B237" s="918">
        <f>geral!Q1518</f>
        <v>3518.9038187690803</v>
      </c>
      <c r="C237" s="918">
        <f t="shared" ref="C237" si="358">100*B237/$B$8</f>
        <v>457.87462021899995</v>
      </c>
      <c r="D237" s="918">
        <f t="shared" ref="D237" si="359">C237-100</f>
        <v>357.87462021899995</v>
      </c>
      <c r="E237" s="918">
        <f t="shared" ref="E237" si="360">100*((B237/B236)-1)</f>
        <v>5.0699999999999967</v>
      </c>
      <c r="F237" s="918">
        <f t="shared" si="340"/>
        <v>5.0699999999999967</v>
      </c>
      <c r="G237" s="918">
        <f t="shared" ref="G237" si="361">100*((B237/B225)-1)</f>
        <v>7.6967499999999855</v>
      </c>
      <c r="H237" s="1033">
        <f t="shared" ref="H237" si="362">100*(B237/B213-1)</f>
        <v>7.7071064525434885</v>
      </c>
      <c r="I237" s="1021">
        <f t="shared" si="172"/>
        <v>1</v>
      </c>
      <c r="J237" s="784"/>
    </row>
    <row r="238" spans="1:10">
      <c r="A238" s="1032" t="str">
        <f>motrod!A307</f>
        <v>JUNHO|19</v>
      </c>
      <c r="B238" s="918">
        <f>geral!Q1519</f>
        <v>3518.9038187690803</v>
      </c>
      <c r="C238" s="918">
        <f t="shared" ref="C238" si="363">100*B238/$B$8</f>
        <v>457.87462021899995</v>
      </c>
      <c r="D238" s="918">
        <f t="shared" ref="D238" si="364">C238-100</f>
        <v>357.87462021899995</v>
      </c>
      <c r="E238" s="918">
        <f t="shared" ref="E238" si="365">100*((B238/B237)-1)</f>
        <v>0</v>
      </c>
      <c r="F238" s="918">
        <f t="shared" si="340"/>
        <v>5.0699999999999967</v>
      </c>
      <c r="G238" s="918">
        <f t="shared" ref="G238" si="366">100*((B238/B226)-1)</f>
        <v>5.0699999999999967</v>
      </c>
      <c r="H238" s="1033">
        <f t="shared" ref="H238" si="367">100*(B238/B214-1)</f>
        <v>7.6967499999999855</v>
      </c>
      <c r="I238" s="1021">
        <f t="shared" si="172"/>
        <v>1</v>
      </c>
      <c r="J238" s="784"/>
    </row>
    <row r="239" spans="1:10">
      <c r="A239" s="1032" t="str">
        <f>motrod!A308</f>
        <v>JULHO|19</v>
      </c>
      <c r="B239" s="918">
        <f>geral!Q1520</f>
        <v>3518.9038187690803</v>
      </c>
      <c r="C239" s="918">
        <f t="shared" ref="C239" si="368">100*B239/$B$8</f>
        <v>457.87462021899995</v>
      </c>
      <c r="D239" s="918">
        <f t="shared" ref="D239" si="369">C239-100</f>
        <v>357.87462021899995</v>
      </c>
      <c r="E239" s="918">
        <f t="shared" ref="E239" si="370">100*((B239/B238)-1)</f>
        <v>0</v>
      </c>
      <c r="F239" s="918">
        <f t="shared" ref="F239" si="371">100*((B239/$B$232-1))</f>
        <v>5.0699999999999967</v>
      </c>
      <c r="G239" s="918">
        <f t="shared" ref="G239" si="372">100*((B239/B227)-1)</f>
        <v>5.0699999999999967</v>
      </c>
      <c r="H239" s="1033">
        <f t="shared" ref="H239" si="373">100*(B239/B215-1)</f>
        <v>7.6967499999999855</v>
      </c>
      <c r="I239" s="1021">
        <f t="shared" si="172"/>
        <v>1</v>
      </c>
      <c r="J239" s="784"/>
    </row>
    <row r="240" spans="1:10">
      <c r="A240" s="1032" t="str">
        <f>motrod!A309</f>
        <v>AGOSTO|19</v>
      </c>
      <c r="B240" s="918">
        <f>geral!Q1521</f>
        <v>3518.9038187690803</v>
      </c>
      <c r="C240" s="918">
        <f t="shared" ref="C240" si="374">100*B240/$B$8</f>
        <v>457.87462021899995</v>
      </c>
      <c r="D240" s="918">
        <f t="shared" ref="D240" si="375">C240-100</f>
        <v>357.87462021899995</v>
      </c>
      <c r="E240" s="918">
        <f t="shared" ref="E240" si="376">100*((B240/B239)-1)</f>
        <v>0</v>
      </c>
      <c r="F240" s="918">
        <f t="shared" ref="F240" si="377">100*((B240/$B$232-1))</f>
        <v>5.0699999999999967</v>
      </c>
      <c r="G240" s="918">
        <f t="shared" ref="G240" si="378">100*((B240/B228)-1)</f>
        <v>5.0699999999999967</v>
      </c>
      <c r="H240" s="1033">
        <f t="shared" ref="H240" si="379">100*(B240/B216-1)</f>
        <v>7.6967499999999855</v>
      </c>
      <c r="I240" s="1021">
        <f t="shared" si="172"/>
        <v>1</v>
      </c>
      <c r="J240" s="784"/>
    </row>
    <row r="241" spans="1:11">
      <c r="A241" s="1032" t="str">
        <f>motrod!A310</f>
        <v>SETEMBRO|19</v>
      </c>
      <c r="B241" s="918">
        <f>geral!Q1522</f>
        <v>3518.9038187690803</v>
      </c>
      <c r="C241" s="918">
        <f t="shared" ref="C241" si="380">100*B241/$B$8</f>
        <v>457.87462021899995</v>
      </c>
      <c r="D241" s="918">
        <f t="shared" ref="D241" si="381">C241-100</f>
        <v>357.87462021899995</v>
      </c>
      <c r="E241" s="918">
        <f t="shared" ref="E241" si="382">100*((B241/B240)-1)</f>
        <v>0</v>
      </c>
      <c r="F241" s="918">
        <f t="shared" ref="F241" si="383">100*((B241/$B$232-1))</f>
        <v>5.0699999999999967</v>
      </c>
      <c r="G241" s="918">
        <f t="shared" ref="G241" si="384">100*((B241/B229)-1)</f>
        <v>5.0699999999999967</v>
      </c>
      <c r="H241" s="1033">
        <f t="shared" ref="H241" si="385">100*(B241/B217-1)</f>
        <v>7.6967499999999855</v>
      </c>
      <c r="I241" s="1021">
        <f t="shared" si="172"/>
        <v>1</v>
      </c>
      <c r="J241" s="784"/>
    </row>
    <row r="242" spans="1:11">
      <c r="A242" s="1032" t="str">
        <f>motrod!A311</f>
        <v>OUTUBRO|19</v>
      </c>
      <c r="B242" s="918">
        <f>geral!Q1523</f>
        <v>3518.9038187690803</v>
      </c>
      <c r="C242" s="918">
        <f t="shared" ref="C242" si="386">100*B242/$B$8</f>
        <v>457.87462021899995</v>
      </c>
      <c r="D242" s="918">
        <f t="shared" ref="D242" si="387">C242-100</f>
        <v>357.87462021899995</v>
      </c>
      <c r="E242" s="918">
        <f t="shared" ref="E242" si="388">100*((B242/B241)-1)</f>
        <v>0</v>
      </c>
      <c r="F242" s="918">
        <f t="shared" ref="F242" si="389">100*((B242/$B$232-1))</f>
        <v>5.0699999999999967</v>
      </c>
      <c r="G242" s="918">
        <f t="shared" ref="G242" si="390">100*((B242/B230)-1)</f>
        <v>5.0699999999999967</v>
      </c>
      <c r="H242" s="1033">
        <f t="shared" ref="H242" si="391">100*(B242/B218-1)</f>
        <v>7.6967499999999855</v>
      </c>
      <c r="I242" s="1021">
        <f t="shared" si="172"/>
        <v>1</v>
      </c>
      <c r="J242" s="784"/>
    </row>
    <row r="243" spans="1:11">
      <c r="A243" s="1032" t="str">
        <f>motrod!A312</f>
        <v>NOVEMBRO|19</v>
      </c>
      <c r="B243" s="918">
        <f>geral!Q1524</f>
        <v>3518.9038187690803</v>
      </c>
      <c r="C243" s="918">
        <f t="shared" ref="C243" si="392">100*B243/$B$8</f>
        <v>457.87462021899995</v>
      </c>
      <c r="D243" s="918">
        <f t="shared" ref="D243" si="393">C243-100</f>
        <v>357.87462021899995</v>
      </c>
      <c r="E243" s="918">
        <f t="shared" ref="E243" si="394">100*((B243/B242)-1)</f>
        <v>0</v>
      </c>
      <c r="F243" s="918">
        <f t="shared" ref="F243" si="395">100*((B243/$B$232-1))</f>
        <v>5.0699999999999967</v>
      </c>
      <c r="G243" s="918">
        <f t="shared" ref="G243" si="396">100*((B243/B231)-1)</f>
        <v>5.0699999999999967</v>
      </c>
      <c r="H243" s="1033">
        <f t="shared" ref="H243" si="397">100*(B243/B219-1)</f>
        <v>7.6967499999999855</v>
      </c>
      <c r="I243" s="1021">
        <f t="shared" si="172"/>
        <v>1</v>
      </c>
      <c r="J243" s="784"/>
    </row>
    <row r="244" spans="1:11">
      <c r="A244" s="1032" t="str">
        <f>motrod!A313</f>
        <v>DEZEMBRO|19</v>
      </c>
      <c r="B244" s="918">
        <f>geral!Q1525</f>
        <v>3518.9038187690803</v>
      </c>
      <c r="C244" s="918">
        <f t="shared" ref="C244" si="398">100*B244/$B$8</f>
        <v>457.87462021899995</v>
      </c>
      <c r="D244" s="918">
        <f t="shared" ref="D244" si="399">C244-100</f>
        <v>357.87462021899995</v>
      </c>
      <c r="E244" s="918">
        <f t="shared" ref="E244" si="400">100*((B244/B243)-1)</f>
        <v>0</v>
      </c>
      <c r="F244" s="918">
        <f t="shared" ref="F244" si="401">100*((B244/$B$232-1))</f>
        <v>5.0699999999999967</v>
      </c>
      <c r="G244" s="918">
        <f t="shared" ref="G244" si="402">100*((B244/B232)-1)</f>
        <v>5.0699999999999967</v>
      </c>
      <c r="H244" s="1033">
        <f t="shared" ref="H244" si="403">100*(B244/B220-1)</f>
        <v>7.6967499999999855</v>
      </c>
      <c r="I244" s="1021">
        <f t="shared" si="172"/>
        <v>1</v>
      </c>
      <c r="J244" s="784"/>
    </row>
    <row r="245" spans="1:11">
      <c r="A245" s="1032" t="str">
        <f>motrod!A314</f>
        <v>JANEIRO|20</v>
      </c>
      <c r="B245" s="918">
        <f>geral!S1514</f>
        <v>3518.9038187690803</v>
      </c>
      <c r="C245" s="918">
        <f t="shared" ref="C245" si="404">100*B245/$B$8</f>
        <v>457.87462021899995</v>
      </c>
      <c r="D245" s="918">
        <f t="shared" ref="D245" si="405">C245-100</f>
        <v>357.87462021899995</v>
      </c>
      <c r="E245" s="918">
        <f t="shared" ref="E245" si="406">100*((B245/B244)-1)</f>
        <v>0</v>
      </c>
      <c r="F245" s="918">
        <f t="shared" ref="F245:F250" si="407">100*((B245/$B$244-1))</f>
        <v>0</v>
      </c>
      <c r="G245" s="918">
        <f t="shared" ref="G245" si="408">100*((B245/B233)-1)</f>
        <v>5.0699999999999967</v>
      </c>
      <c r="H245" s="1033">
        <f t="shared" ref="H245" si="409">100*(B245/B221-1)</f>
        <v>7.6967499999999855</v>
      </c>
      <c r="I245" s="1021">
        <f t="shared" si="172"/>
        <v>1</v>
      </c>
      <c r="J245" s="784"/>
    </row>
    <row r="246" spans="1:11">
      <c r="A246" s="1032" t="str">
        <f>motrod!A315</f>
        <v>FEVEREIRO|20</v>
      </c>
      <c r="B246" s="918">
        <f>geral!S1515</f>
        <v>3518.9038187690803</v>
      </c>
      <c r="C246" s="918">
        <f t="shared" ref="C246" si="410">100*B246/$B$8</f>
        <v>457.87462021899995</v>
      </c>
      <c r="D246" s="918">
        <f t="shared" ref="D246" si="411">C246-100</f>
        <v>357.87462021899995</v>
      </c>
      <c r="E246" s="918">
        <f t="shared" ref="E246" si="412">100*((B246/B245)-1)</f>
        <v>0</v>
      </c>
      <c r="F246" s="918">
        <f t="shared" si="407"/>
        <v>0</v>
      </c>
      <c r="G246" s="918">
        <f t="shared" ref="G246" si="413">100*((B246/B234)-1)</f>
        <v>5.0699999999999967</v>
      </c>
      <c r="H246" s="1033">
        <f t="shared" ref="H246" si="414">100*(B246/B222-1)</f>
        <v>7.6967499999999855</v>
      </c>
      <c r="I246" s="1021">
        <f t="shared" si="172"/>
        <v>1</v>
      </c>
      <c r="J246" s="784"/>
    </row>
    <row r="247" spans="1:11">
      <c r="A247" s="1032" t="str">
        <f>motrod!A316</f>
        <v>MARÇO|20</v>
      </c>
      <c r="B247" s="918">
        <f>geral!S1516</f>
        <v>3518.9038187690803</v>
      </c>
      <c r="C247" s="918">
        <f t="shared" ref="C247" si="415">100*B247/$B$8</f>
        <v>457.87462021899995</v>
      </c>
      <c r="D247" s="918">
        <f t="shared" ref="D247" si="416">C247-100</f>
        <v>357.87462021899995</v>
      </c>
      <c r="E247" s="918">
        <f t="shared" ref="E247" si="417">100*((B247/B246)-1)</f>
        <v>0</v>
      </c>
      <c r="F247" s="918">
        <f t="shared" si="407"/>
        <v>0</v>
      </c>
      <c r="G247" s="918">
        <f t="shared" ref="G247" si="418">100*((B247/B235)-1)</f>
        <v>5.0699999999999967</v>
      </c>
      <c r="H247" s="1033">
        <f t="shared" ref="H247" si="419">100*(B247/B223-1)</f>
        <v>7.6967499999999855</v>
      </c>
      <c r="I247" s="1021">
        <f t="shared" si="172"/>
        <v>1</v>
      </c>
      <c r="J247" s="784"/>
    </row>
    <row r="248" spans="1:11">
      <c r="A248" s="1032" t="str">
        <f>motrod!A317</f>
        <v>ABRIL|20</v>
      </c>
      <c r="B248" s="918">
        <f>geral!S1517</f>
        <v>3518.9038187690803</v>
      </c>
      <c r="C248" s="918">
        <f t="shared" ref="C248" si="420">100*B248/$B$8</f>
        <v>457.87462021899995</v>
      </c>
      <c r="D248" s="918">
        <f t="shared" ref="D248" si="421">C248-100</f>
        <v>357.87462021899995</v>
      </c>
      <c r="E248" s="918">
        <f t="shared" ref="E248" si="422">100*((B248/B247)-1)</f>
        <v>0</v>
      </c>
      <c r="F248" s="918">
        <f t="shared" si="407"/>
        <v>0</v>
      </c>
      <c r="G248" s="918">
        <f t="shared" ref="G248" si="423">100*((B248/B236)-1)</f>
        <v>5.0699999999999967</v>
      </c>
      <c r="H248" s="1033">
        <f t="shared" ref="H248" si="424">100*(B248/B224-1)</f>
        <v>7.6967499999999855</v>
      </c>
      <c r="I248" s="1021">
        <f t="shared" si="172"/>
        <v>1</v>
      </c>
      <c r="J248" s="784"/>
    </row>
    <row r="249" spans="1:11">
      <c r="A249" s="1032" t="str">
        <f>motrod!A318</f>
        <v>MAIO|20</v>
      </c>
      <c r="B249" s="918">
        <f>geral!S1518</f>
        <v>3518.9038187690803</v>
      </c>
      <c r="C249" s="918">
        <f t="shared" ref="C249" si="425">100*B249/$B$8</f>
        <v>457.87462021899995</v>
      </c>
      <c r="D249" s="918">
        <f t="shared" ref="D249" si="426">C249-100</f>
        <v>357.87462021899995</v>
      </c>
      <c r="E249" s="918">
        <f t="shared" ref="E249" si="427">100*((B249/B248)-1)</f>
        <v>0</v>
      </c>
      <c r="F249" s="918">
        <f t="shared" si="407"/>
        <v>0</v>
      </c>
      <c r="G249" s="918">
        <f t="shared" ref="G249" si="428">100*((B249/B237)-1)</f>
        <v>0</v>
      </c>
      <c r="H249" s="1033">
        <f t="shared" ref="H249" si="429">100*(B249/B225-1)</f>
        <v>7.6967499999999855</v>
      </c>
      <c r="I249" s="1021">
        <f t="shared" si="172"/>
        <v>1</v>
      </c>
      <c r="J249" s="784"/>
    </row>
    <row r="250" spans="1:11">
      <c r="A250" s="1032" t="str">
        <f>motrod!A319</f>
        <v>JUNHO|20</v>
      </c>
      <c r="B250" s="918">
        <f>geral!S1519</f>
        <v>3518.9038187690803</v>
      </c>
      <c r="C250" s="918">
        <f t="shared" ref="C250" si="430">100*B250/$B$8</f>
        <v>457.87462021899995</v>
      </c>
      <c r="D250" s="918">
        <f t="shared" ref="D250" si="431">C250-100</f>
        <v>357.87462021899995</v>
      </c>
      <c r="E250" s="918">
        <f t="shared" ref="E250" si="432">100*((B250/B249)-1)</f>
        <v>0</v>
      </c>
      <c r="F250" s="918">
        <f t="shared" si="407"/>
        <v>0</v>
      </c>
      <c r="G250" s="918">
        <f t="shared" ref="G250" si="433">100*((B250/B238)-1)</f>
        <v>0</v>
      </c>
      <c r="H250" s="1033">
        <f t="shared" ref="H250" si="434">100*(B250/B226-1)</f>
        <v>5.0699999999999967</v>
      </c>
      <c r="I250" s="1021">
        <f t="shared" si="172"/>
        <v>1</v>
      </c>
      <c r="J250" s="784"/>
    </row>
    <row r="251" spans="1:11">
      <c r="A251" s="1032" t="str">
        <f>motrod!A320</f>
        <v>JULHO|20</v>
      </c>
      <c r="B251" s="918">
        <f>geral!S1520</f>
        <v>3518.9038187690803</v>
      </c>
      <c r="C251" s="918">
        <f t="shared" ref="C251" si="435">100*B251/$B$8</f>
        <v>457.87462021899995</v>
      </c>
      <c r="D251" s="918">
        <f t="shared" ref="D251" si="436">C251-100</f>
        <v>357.87462021899995</v>
      </c>
      <c r="E251" s="918">
        <f t="shared" ref="E251" si="437">100*((B251/B250)-1)</f>
        <v>0</v>
      </c>
      <c r="F251" s="918">
        <f t="shared" ref="F251" si="438">100*((B251/$B$244-1))</f>
        <v>0</v>
      </c>
      <c r="G251" s="918">
        <f t="shared" ref="G251" si="439">100*((B251/B239)-1)</f>
        <v>0</v>
      </c>
      <c r="H251" s="1033">
        <f t="shared" ref="H251" si="440">100*(B251/B227-1)</f>
        <v>5.0699999999999967</v>
      </c>
      <c r="I251" s="1021">
        <f t="shared" si="172"/>
        <v>1</v>
      </c>
      <c r="J251" s="784"/>
    </row>
    <row r="252" spans="1:11">
      <c r="A252" s="1032" t="str">
        <f>motrod!A321</f>
        <v>AGOSTO|20</v>
      </c>
      <c r="B252" s="918">
        <f>geral!S1521</f>
        <v>3518.9038187690803</v>
      </c>
      <c r="C252" s="918">
        <f t="shared" ref="C252" si="441">100*B252/$B$8</f>
        <v>457.87462021899995</v>
      </c>
      <c r="D252" s="918">
        <f t="shared" ref="D252" si="442">C252-100</f>
        <v>357.87462021899995</v>
      </c>
      <c r="E252" s="918">
        <f t="shared" ref="E252" si="443">100*((B252/B251)-1)</f>
        <v>0</v>
      </c>
      <c r="F252" s="918">
        <f t="shared" ref="F252" si="444">100*((B252/$B$244-1))</f>
        <v>0</v>
      </c>
      <c r="G252" s="918">
        <f t="shared" ref="G252" si="445">100*((B252/B240)-1)</f>
        <v>0</v>
      </c>
      <c r="H252" s="1033">
        <f t="shared" ref="H252" si="446">100*(B252/B228-1)</f>
        <v>5.0699999999999967</v>
      </c>
      <c r="I252" s="1034">
        <f t="shared" si="172"/>
        <v>1</v>
      </c>
      <c r="J252" s="784"/>
    </row>
    <row r="253" spans="1:11" ht="16.5" thickBot="1">
      <c r="A253" s="1046" t="str">
        <f>motrod!A322</f>
        <v>SETEMBRO|20</v>
      </c>
      <c r="B253" s="1047">
        <f>geral!S1522</f>
        <v>3518.9038187690803</v>
      </c>
      <c r="C253" s="1047">
        <f t="shared" ref="C253" si="447">100*B253/$B$8</f>
        <v>457.87462021899995</v>
      </c>
      <c r="D253" s="1047">
        <f t="shared" ref="D253" si="448">C253-100</f>
        <v>357.87462021899995</v>
      </c>
      <c r="E253" s="1047">
        <f t="shared" ref="E253" si="449">100*((B253/B252)-1)</f>
        <v>0</v>
      </c>
      <c r="F253" s="1047">
        <f t="shared" ref="F253" si="450">100*((B253/$B$244-1))</f>
        <v>0</v>
      </c>
      <c r="G253" s="1047">
        <f t="shared" ref="G253" si="451">100*((B253/B241)-1)</f>
        <v>0</v>
      </c>
      <c r="H253" s="1056">
        <f t="shared" ref="H253" si="452">100*(B253/B229-1)</f>
        <v>5.0699999999999967</v>
      </c>
      <c r="I253" s="1057">
        <f t="shared" si="172"/>
        <v>1</v>
      </c>
      <c r="J253" s="784"/>
    </row>
    <row r="254" spans="1:11" s="795" customFormat="1">
      <c r="A254" s="834" t="s">
        <v>238</v>
      </c>
      <c r="B254" s="794"/>
      <c r="C254" s="794"/>
      <c r="D254" s="794"/>
      <c r="E254" s="794"/>
      <c r="F254" s="794"/>
      <c r="G254" s="794"/>
      <c r="H254" s="794"/>
      <c r="I254" s="835"/>
      <c r="J254" s="787"/>
      <c r="K254" s="794"/>
    </row>
    <row r="255" spans="1:11" s="794" customFormat="1" ht="15">
      <c r="A255" s="758"/>
      <c r="J255" s="787"/>
    </row>
    <row r="256" spans="1:11">
      <c r="A256" s="794"/>
      <c r="I256" s="794"/>
    </row>
    <row r="290" spans="2:2">
      <c r="B290" s="722">
        <f>+geral!M938</f>
        <v>1378.32</v>
      </c>
    </row>
  </sheetData>
  <mergeCells count="11">
    <mergeCell ref="D1:I3"/>
    <mergeCell ref="A4:C4"/>
    <mergeCell ref="A5:C5"/>
    <mergeCell ref="D5:H5"/>
    <mergeCell ref="I5:I6"/>
    <mergeCell ref="D4:I4"/>
    <mergeCell ref="K1:S1"/>
    <mergeCell ref="K2:S2"/>
    <mergeCell ref="K3:M4"/>
    <mergeCell ref="N3:S3"/>
    <mergeCell ref="N4:S4"/>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5">
    <pageSetUpPr fitToPage="1"/>
  </sheetPr>
  <dimension ref="A1:S255"/>
  <sheetViews>
    <sheetView showGridLines="0" showOutlineSymbols="0" topLeftCell="A234" zoomScaleNormal="100" workbookViewId="0">
      <selection activeCell="I254" sqref="I254"/>
    </sheetView>
  </sheetViews>
  <sheetFormatPr defaultColWidth="9.44140625" defaultRowHeight="15.75"/>
  <cols>
    <col min="1" max="1" width="10.44140625" style="722" customWidth="1"/>
    <col min="2" max="2" width="7.21875" style="722" customWidth="1"/>
    <col min="3" max="3" width="7.5546875" style="722" customWidth="1"/>
    <col min="4" max="4" width="10.21875" style="722" customWidth="1"/>
    <col min="5" max="5" width="6.5546875" style="722" customWidth="1"/>
    <col min="6" max="6" width="5.77734375" style="722" customWidth="1"/>
    <col min="7" max="7" width="7" style="722" customWidth="1"/>
    <col min="8" max="8" width="6.5546875" style="722" customWidth="1"/>
    <col min="9" max="9" width="9.44140625" style="722" customWidth="1"/>
    <col min="10" max="10" width="9.44140625" style="782" customWidth="1"/>
    <col min="11" max="16384" width="9.44140625" style="722"/>
  </cols>
  <sheetData>
    <row r="1" spans="1:19" ht="21" customHeight="1">
      <c r="A1" s="707"/>
      <c r="B1" s="708"/>
      <c r="C1" s="708"/>
      <c r="D1" s="1417" t="s">
        <v>346</v>
      </c>
      <c r="E1" s="1417"/>
      <c r="F1" s="1417"/>
      <c r="G1" s="1417"/>
      <c r="H1" s="1417"/>
      <c r="I1" s="1417"/>
      <c r="K1" s="1468"/>
      <c r="L1" s="1468"/>
      <c r="M1" s="1468"/>
      <c r="N1" s="1468"/>
      <c r="O1" s="1468"/>
      <c r="P1" s="1468"/>
      <c r="Q1" s="1468"/>
      <c r="R1" s="1468"/>
      <c r="S1" s="1468"/>
    </row>
    <row r="2" spans="1:19" ht="16.5" customHeight="1">
      <c r="A2" s="708"/>
      <c r="B2" s="708"/>
      <c r="C2" s="708"/>
      <c r="D2" s="1417"/>
      <c r="E2" s="1417"/>
      <c r="F2" s="1417"/>
      <c r="G2" s="1417"/>
      <c r="H2" s="1417"/>
      <c r="I2" s="1417"/>
      <c r="K2" s="1453"/>
      <c r="L2" s="1453"/>
      <c r="M2" s="1453"/>
      <c r="N2" s="1453"/>
      <c r="O2" s="1453"/>
      <c r="P2" s="1453"/>
      <c r="Q2" s="1453"/>
      <c r="R2" s="1453"/>
      <c r="S2" s="1453"/>
    </row>
    <row r="3" spans="1:19" ht="16.5" customHeight="1" thickBot="1">
      <c r="A3" s="708"/>
      <c r="B3" s="708"/>
      <c r="C3" s="708"/>
      <c r="D3" s="1418"/>
      <c r="E3" s="1418"/>
      <c r="F3" s="1418"/>
      <c r="G3" s="1418"/>
      <c r="H3" s="1418"/>
      <c r="I3" s="1418"/>
      <c r="K3" s="1469"/>
      <c r="L3" s="1469"/>
      <c r="M3" s="1469"/>
      <c r="N3" s="1470"/>
      <c r="O3" s="1470"/>
      <c r="P3" s="1470"/>
      <c r="Q3" s="1470"/>
      <c r="R3" s="1470"/>
      <c r="S3" s="1470"/>
    </row>
    <row r="4" spans="1:19" ht="15.75" customHeight="1" thickBot="1">
      <c r="A4" s="1472" t="s">
        <v>363</v>
      </c>
      <c r="B4" s="1473"/>
      <c r="C4" s="1473"/>
      <c r="D4" s="1476" t="s">
        <v>364</v>
      </c>
      <c r="E4" s="1476"/>
      <c r="F4" s="1476"/>
      <c r="G4" s="1476"/>
      <c r="H4" s="1476"/>
      <c r="I4" s="1477"/>
      <c r="K4" s="1469"/>
      <c r="L4" s="1469"/>
      <c r="M4" s="1469"/>
      <c r="N4" s="1471"/>
      <c r="O4" s="1471"/>
      <c r="P4" s="1471"/>
      <c r="Q4" s="1471"/>
      <c r="R4" s="1471"/>
      <c r="S4" s="1471"/>
    </row>
    <row r="5" spans="1:19" ht="15.75" customHeight="1" thickBot="1">
      <c r="A5" s="1474" t="s">
        <v>274</v>
      </c>
      <c r="B5" s="1447"/>
      <c r="C5" s="1447"/>
      <c r="D5" s="1437" t="s">
        <v>275</v>
      </c>
      <c r="E5" s="1437"/>
      <c r="F5" s="1437"/>
      <c r="G5" s="1437"/>
      <c r="H5" s="1437"/>
      <c r="I5" s="1475" t="s">
        <v>186</v>
      </c>
      <c r="K5" s="788"/>
      <c r="L5" s="789"/>
      <c r="M5" s="790"/>
      <c r="N5" s="790"/>
      <c r="O5" s="790"/>
      <c r="P5" s="790"/>
      <c r="Q5" s="790"/>
      <c r="R5" s="788"/>
      <c r="S5" s="788"/>
    </row>
    <row r="6" spans="1:19" ht="15.75" customHeight="1" thickBot="1">
      <c r="A6" s="831" t="s">
        <v>341</v>
      </c>
      <c r="B6" s="830" t="s">
        <v>76</v>
      </c>
      <c r="C6" s="781" t="s">
        <v>68</v>
      </c>
      <c r="D6" s="832" t="s">
        <v>358</v>
      </c>
      <c r="E6" s="781" t="s">
        <v>342</v>
      </c>
      <c r="F6" s="781" t="s">
        <v>343</v>
      </c>
      <c r="G6" s="781" t="s">
        <v>344</v>
      </c>
      <c r="H6" s="781" t="s">
        <v>345</v>
      </c>
      <c r="I6" s="1475"/>
      <c r="K6" s="791"/>
      <c r="L6" s="792"/>
      <c r="M6" s="793"/>
      <c r="N6" s="793"/>
      <c r="O6" s="761"/>
      <c r="P6" s="761"/>
      <c r="Q6" s="761"/>
      <c r="R6" s="793"/>
      <c r="S6" s="793"/>
    </row>
    <row r="7" spans="1:19" ht="16.5" thickBot="1">
      <c r="A7" s="958" t="s">
        <v>347</v>
      </c>
      <c r="B7" s="959"/>
      <c r="C7" s="959"/>
      <c r="D7" s="959"/>
      <c r="E7" s="959"/>
      <c r="F7" s="959"/>
      <c r="G7" s="959"/>
      <c r="H7" s="959"/>
      <c r="I7" s="960"/>
      <c r="K7" s="791"/>
      <c r="L7" s="792"/>
      <c r="M7" s="793"/>
      <c r="N7" s="793"/>
      <c r="O7" s="761"/>
      <c r="P7" s="761"/>
      <c r="Q7" s="761"/>
      <c r="R7" s="793"/>
      <c r="S7" s="793"/>
    </row>
    <row r="8" spans="1:19" ht="18" hidden="1" customHeight="1" thickBot="1">
      <c r="A8" s="973" t="s">
        <v>557</v>
      </c>
      <c r="B8" s="748">
        <f>+geral!C1534</f>
        <v>565.54999999999995</v>
      </c>
      <c r="C8" s="748">
        <v>100</v>
      </c>
      <c r="D8" s="748">
        <f>C8-100</f>
        <v>0</v>
      </c>
      <c r="E8" s="748"/>
      <c r="F8" s="748"/>
      <c r="G8" s="748"/>
      <c r="H8" s="843"/>
      <c r="I8" s="845">
        <f>$B$253/B8</f>
        <v>4.2705693561543248</v>
      </c>
    </row>
    <row r="9" spans="1:19" ht="18" hidden="1" customHeight="1" thickBot="1">
      <c r="A9" s="973" t="s">
        <v>558</v>
      </c>
      <c r="B9" s="748">
        <f>+geral!C1535</f>
        <v>565.54999999999995</v>
      </c>
      <c r="C9" s="748">
        <f>100*B9/$B$8</f>
        <v>100</v>
      </c>
      <c r="D9" s="748">
        <f t="shared" ref="D9:D72" si="0">C9-100</f>
        <v>0</v>
      </c>
      <c r="E9" s="748">
        <f t="shared" ref="E9:E17" si="1">100*((B9/B8)-1)</f>
        <v>0</v>
      </c>
      <c r="F9" s="748"/>
      <c r="G9" s="748"/>
      <c r="H9" s="843"/>
      <c r="I9" s="846">
        <f>$B$253/B9</f>
        <v>4.2705693561543248</v>
      </c>
    </row>
    <row r="10" spans="1:19" ht="18" hidden="1" customHeight="1" thickBot="1">
      <c r="A10" s="973" t="s">
        <v>559</v>
      </c>
      <c r="B10" s="748">
        <f>+geral!C1536</f>
        <v>588.16999999999996</v>
      </c>
      <c r="C10" s="748">
        <f t="shared" ref="C10:C22" si="2">100*B10/$B$8</f>
        <v>103.99964636194854</v>
      </c>
      <c r="D10" s="748">
        <f t="shared" si="0"/>
        <v>3.9996463619485354</v>
      </c>
      <c r="E10" s="748">
        <f t="shared" si="1"/>
        <v>3.999646361948539</v>
      </c>
      <c r="F10" s="748"/>
      <c r="G10" s="748"/>
      <c r="H10" s="843"/>
      <c r="I10" s="846">
        <f>$B$253/B10</f>
        <v>4.106330651636565</v>
      </c>
    </row>
    <row r="11" spans="1:19" ht="18" hidden="1" customHeight="1" thickBot="1">
      <c r="A11" s="973" t="s">
        <v>560</v>
      </c>
      <c r="B11" s="748">
        <f>+geral!C1537</f>
        <v>588.16999999999996</v>
      </c>
      <c r="C11" s="748">
        <f t="shared" si="2"/>
        <v>103.99964636194854</v>
      </c>
      <c r="D11" s="748">
        <f t="shared" si="0"/>
        <v>3.9996463619485354</v>
      </c>
      <c r="E11" s="748">
        <f t="shared" si="1"/>
        <v>0</v>
      </c>
      <c r="F11" s="748"/>
      <c r="G11" s="748"/>
      <c r="H11" s="843"/>
      <c r="I11" s="846">
        <f>$B$253/B11</f>
        <v>4.106330651636565</v>
      </c>
    </row>
    <row r="12" spans="1:19" ht="18" hidden="1" customHeight="1" thickBot="1">
      <c r="A12" s="973" t="s">
        <v>561</v>
      </c>
      <c r="B12" s="748">
        <f>+geral!C1538</f>
        <v>588.16999999999996</v>
      </c>
      <c r="C12" s="748">
        <f t="shared" si="2"/>
        <v>103.99964636194854</v>
      </c>
      <c r="D12" s="748">
        <f t="shared" si="0"/>
        <v>3.9996463619485354</v>
      </c>
      <c r="E12" s="748">
        <f t="shared" si="1"/>
        <v>0</v>
      </c>
      <c r="F12" s="748"/>
      <c r="G12" s="748"/>
      <c r="H12" s="843"/>
      <c r="I12" s="846">
        <f>$B$253/B12</f>
        <v>4.106330651636565</v>
      </c>
    </row>
    <row r="13" spans="1:19" ht="18" hidden="1" customHeight="1" thickBot="1">
      <c r="A13" s="973" t="s">
        <v>562</v>
      </c>
      <c r="B13" s="748">
        <f>+geral!C1539</f>
        <v>588.16999999999996</v>
      </c>
      <c r="C13" s="748">
        <f t="shared" si="2"/>
        <v>103.99964636194854</v>
      </c>
      <c r="D13" s="748">
        <f t="shared" si="0"/>
        <v>3.9996463619485354</v>
      </c>
      <c r="E13" s="748">
        <f t="shared" si="1"/>
        <v>0</v>
      </c>
      <c r="F13" s="748"/>
      <c r="G13" s="748"/>
      <c r="H13" s="843"/>
      <c r="I13" s="846">
        <f>$B$253/B13</f>
        <v>4.106330651636565</v>
      </c>
    </row>
    <row r="14" spans="1:19" ht="18" hidden="1" customHeight="1" thickBot="1">
      <c r="A14" s="973" t="s">
        <v>534</v>
      </c>
      <c r="B14" s="748">
        <f>+geral!C1540</f>
        <v>588.16999999999996</v>
      </c>
      <c r="C14" s="748">
        <f t="shared" si="2"/>
        <v>103.99964636194854</v>
      </c>
      <c r="D14" s="748">
        <f t="shared" si="0"/>
        <v>3.9996463619485354</v>
      </c>
      <c r="E14" s="748">
        <f t="shared" si="1"/>
        <v>0</v>
      </c>
      <c r="F14" s="748"/>
      <c r="G14" s="748"/>
      <c r="H14" s="843"/>
      <c r="I14" s="846">
        <f>$B$253/B14</f>
        <v>4.106330651636565</v>
      </c>
    </row>
    <row r="15" spans="1:19" ht="18" hidden="1" customHeight="1" thickBot="1">
      <c r="A15" s="973" t="s">
        <v>563</v>
      </c>
      <c r="B15" s="748">
        <f>+geral!C1541</f>
        <v>588.16999999999996</v>
      </c>
      <c r="C15" s="748">
        <f t="shared" si="2"/>
        <v>103.99964636194854</v>
      </c>
      <c r="D15" s="748">
        <f t="shared" si="0"/>
        <v>3.9996463619485354</v>
      </c>
      <c r="E15" s="748">
        <f t="shared" si="1"/>
        <v>0</v>
      </c>
      <c r="F15" s="748"/>
      <c r="G15" s="748"/>
      <c r="H15" s="843"/>
      <c r="I15" s="846">
        <f>$B$253/B15</f>
        <v>4.106330651636565</v>
      </c>
    </row>
    <row r="16" spans="1:19" ht="18" hidden="1" customHeight="1" thickBot="1">
      <c r="A16" s="973" t="s">
        <v>564</v>
      </c>
      <c r="B16" s="748">
        <f>+geral!C1542</f>
        <v>588.16999999999996</v>
      </c>
      <c r="C16" s="748">
        <f t="shared" si="2"/>
        <v>103.99964636194854</v>
      </c>
      <c r="D16" s="748">
        <f t="shared" si="0"/>
        <v>3.9996463619485354</v>
      </c>
      <c r="E16" s="748">
        <f t="shared" si="1"/>
        <v>0</v>
      </c>
      <c r="F16" s="748"/>
      <c r="G16" s="748"/>
      <c r="H16" s="843"/>
      <c r="I16" s="846">
        <f>$B$253/B16</f>
        <v>4.106330651636565</v>
      </c>
    </row>
    <row r="17" spans="1:11" ht="18" hidden="1" customHeight="1" thickBot="1">
      <c r="A17" s="973" t="s">
        <v>546</v>
      </c>
      <c r="B17" s="748">
        <f>+geral!E1531</f>
        <v>588.16999999999996</v>
      </c>
      <c r="C17" s="748">
        <f t="shared" si="2"/>
        <v>103.99964636194854</v>
      </c>
      <c r="D17" s="748">
        <f t="shared" si="0"/>
        <v>3.9996463619485354</v>
      </c>
      <c r="E17" s="748">
        <f t="shared" si="1"/>
        <v>0</v>
      </c>
      <c r="F17" s="748">
        <f t="shared" ref="F17:F22" si="3">100*((B17/$B$16)-1)</f>
        <v>0</v>
      </c>
      <c r="G17" s="748"/>
      <c r="H17" s="843"/>
      <c r="I17" s="846">
        <f>$B$253/B17</f>
        <v>4.106330651636565</v>
      </c>
    </row>
    <row r="18" spans="1:11" ht="18" hidden="1" customHeight="1" thickBot="1">
      <c r="A18" s="973" t="s">
        <v>547</v>
      </c>
      <c r="B18" s="748">
        <f>+geral!E1532</f>
        <v>588.16999999999996</v>
      </c>
      <c r="C18" s="748">
        <f t="shared" si="2"/>
        <v>103.99964636194854</v>
      </c>
      <c r="D18" s="748">
        <f t="shared" si="0"/>
        <v>3.9996463619485354</v>
      </c>
      <c r="E18" s="748">
        <f t="shared" ref="E18:E23" si="4">100*((B18/B17)-1)</f>
        <v>0</v>
      </c>
      <c r="F18" s="748">
        <f t="shared" si="3"/>
        <v>0</v>
      </c>
      <c r="G18" s="748"/>
      <c r="H18" s="843"/>
      <c r="I18" s="846">
        <f>$B$253/B18</f>
        <v>4.106330651636565</v>
      </c>
    </row>
    <row r="19" spans="1:11" ht="18" hidden="1" customHeight="1" thickBot="1">
      <c r="A19" s="973" t="s">
        <v>548</v>
      </c>
      <c r="B19" s="748">
        <f>+geral!E1533</f>
        <v>588.16999999999996</v>
      </c>
      <c r="C19" s="748">
        <f t="shared" si="2"/>
        <v>103.99964636194854</v>
      </c>
      <c r="D19" s="748">
        <f t="shared" si="0"/>
        <v>3.9996463619485354</v>
      </c>
      <c r="E19" s="748">
        <f t="shared" si="4"/>
        <v>0</v>
      </c>
      <c r="F19" s="748">
        <f t="shared" si="3"/>
        <v>0</v>
      </c>
      <c r="G19" s="748"/>
      <c r="H19" s="843"/>
      <c r="I19" s="846">
        <f>$B$253/B19</f>
        <v>4.106330651636565</v>
      </c>
    </row>
    <row r="20" spans="1:11" ht="18" hidden="1" customHeight="1" thickBot="1">
      <c r="A20" s="973" t="s">
        <v>549</v>
      </c>
      <c r="B20" s="748">
        <f>+geral!E1534</f>
        <v>588.16999999999996</v>
      </c>
      <c r="C20" s="748">
        <f t="shared" si="2"/>
        <v>103.99964636194854</v>
      </c>
      <c r="D20" s="748">
        <f t="shared" si="0"/>
        <v>3.9996463619485354</v>
      </c>
      <c r="E20" s="748">
        <f t="shared" si="4"/>
        <v>0</v>
      </c>
      <c r="F20" s="748">
        <f t="shared" si="3"/>
        <v>0</v>
      </c>
      <c r="G20" s="748">
        <f t="shared" ref="G20:G83" si="5">100*((B20/B8)-1)</f>
        <v>3.999646361948539</v>
      </c>
      <c r="H20" s="843"/>
      <c r="I20" s="846">
        <f>$B$253/B20</f>
        <v>4.106330651636565</v>
      </c>
    </row>
    <row r="21" spans="1:11" ht="18" hidden="1" customHeight="1" thickBot="1">
      <c r="A21" s="973" t="s">
        <v>550</v>
      </c>
      <c r="B21" s="748">
        <f>+geral!E1535</f>
        <v>632.07000000000005</v>
      </c>
      <c r="C21" s="748">
        <f t="shared" si="2"/>
        <v>111.76200159137126</v>
      </c>
      <c r="D21" s="748">
        <f t="shared" si="0"/>
        <v>11.762001591371259</v>
      </c>
      <c r="E21" s="748">
        <f t="shared" si="4"/>
        <v>7.4638284849618541</v>
      </c>
      <c r="F21" s="748">
        <f t="shared" si="3"/>
        <v>7.4638284849618541</v>
      </c>
      <c r="G21" s="748">
        <f t="shared" si="5"/>
        <v>11.762001591371241</v>
      </c>
      <c r="H21" s="843"/>
      <c r="I21" s="846">
        <f>$B$253/B21</f>
        <v>3.8211281968343349</v>
      </c>
    </row>
    <row r="22" spans="1:11" ht="18" hidden="1" customHeight="1" thickBot="1">
      <c r="A22" s="973" t="s">
        <v>551</v>
      </c>
      <c r="B22" s="748">
        <f>+geral!E1536</f>
        <v>632.07000000000005</v>
      </c>
      <c r="C22" s="748">
        <f t="shared" si="2"/>
        <v>111.76200159137126</v>
      </c>
      <c r="D22" s="748">
        <f t="shared" si="0"/>
        <v>11.762001591371259</v>
      </c>
      <c r="E22" s="748">
        <f t="shared" si="4"/>
        <v>0</v>
      </c>
      <c r="F22" s="748">
        <f t="shared" si="3"/>
        <v>7.4638284849618541</v>
      </c>
      <c r="G22" s="748">
        <f t="shared" si="5"/>
        <v>7.4638284849618541</v>
      </c>
      <c r="H22" s="843"/>
      <c r="I22" s="846">
        <f>$B$253/B22</f>
        <v>3.8211281968343349</v>
      </c>
      <c r="K22" s="760"/>
    </row>
    <row r="23" spans="1:11" ht="18" hidden="1" customHeight="1" thickBot="1">
      <c r="A23" s="973" t="s">
        <v>552</v>
      </c>
      <c r="B23" s="748">
        <f>+geral!E1537</f>
        <v>632.07000000000005</v>
      </c>
      <c r="C23" s="748">
        <f t="shared" ref="C23:C89" si="6">100*B23/$B$8</f>
        <v>111.76200159137126</v>
      </c>
      <c r="D23" s="748">
        <f t="shared" si="0"/>
        <v>11.762001591371259</v>
      </c>
      <c r="E23" s="748">
        <f t="shared" si="4"/>
        <v>0</v>
      </c>
      <c r="F23" s="748">
        <f t="shared" ref="F23:F28" si="7">100*((B23/$B$16)-1)</f>
        <v>7.4638284849618541</v>
      </c>
      <c r="G23" s="748">
        <f t="shared" si="5"/>
        <v>7.4638284849618541</v>
      </c>
      <c r="H23" s="843"/>
      <c r="I23" s="846">
        <f>$B$253/B23</f>
        <v>3.8211281968343349</v>
      </c>
      <c r="K23" s="760"/>
    </row>
    <row r="24" spans="1:11" ht="18" hidden="1" customHeight="1" thickBot="1">
      <c r="A24" s="973" t="s">
        <v>553</v>
      </c>
      <c r="B24" s="748">
        <f>+geral!E1538</f>
        <v>632.07000000000005</v>
      </c>
      <c r="C24" s="748">
        <f t="shared" si="6"/>
        <v>111.76200159137126</v>
      </c>
      <c r="D24" s="748">
        <f t="shared" si="0"/>
        <v>11.762001591371259</v>
      </c>
      <c r="E24" s="748">
        <f t="shared" ref="E24:E29" si="8">100*((B24/B23)-1)</f>
        <v>0</v>
      </c>
      <c r="F24" s="748">
        <f t="shared" si="7"/>
        <v>7.4638284849618541</v>
      </c>
      <c r="G24" s="748">
        <f t="shared" si="5"/>
        <v>7.4638284849618541</v>
      </c>
      <c r="H24" s="843"/>
      <c r="I24" s="846">
        <f>$B$253/B24</f>
        <v>3.8211281968343349</v>
      </c>
      <c r="K24" s="760"/>
    </row>
    <row r="25" spans="1:11" ht="18" hidden="1" customHeight="1" thickBot="1">
      <c r="A25" s="973" t="s">
        <v>554</v>
      </c>
      <c r="B25" s="748">
        <f>+geral!E1539</f>
        <v>632.07000000000005</v>
      </c>
      <c r="C25" s="748">
        <f t="shared" si="6"/>
        <v>111.76200159137126</v>
      </c>
      <c r="D25" s="748">
        <f t="shared" si="0"/>
        <v>11.762001591371259</v>
      </c>
      <c r="E25" s="748">
        <f t="shared" si="8"/>
        <v>0</v>
      </c>
      <c r="F25" s="748">
        <f t="shared" si="7"/>
        <v>7.4638284849618541</v>
      </c>
      <c r="G25" s="748">
        <f t="shared" si="5"/>
        <v>7.4638284849618541</v>
      </c>
      <c r="H25" s="843"/>
      <c r="I25" s="846">
        <f>$B$253/B25</f>
        <v>3.8211281968343349</v>
      </c>
      <c r="K25" s="760"/>
    </row>
    <row r="26" spans="1:11" ht="18" hidden="1" customHeight="1" thickBot="1">
      <c r="A26" s="973" t="s">
        <v>533</v>
      </c>
      <c r="B26" s="748">
        <f>+geral!E1540</f>
        <v>632.07000000000005</v>
      </c>
      <c r="C26" s="748">
        <f t="shared" si="6"/>
        <v>111.76200159137126</v>
      </c>
      <c r="D26" s="748">
        <f t="shared" si="0"/>
        <v>11.762001591371259</v>
      </c>
      <c r="E26" s="748">
        <f t="shared" si="8"/>
        <v>0</v>
      </c>
      <c r="F26" s="748">
        <f t="shared" si="7"/>
        <v>7.4638284849618541</v>
      </c>
      <c r="G26" s="748">
        <f t="shared" si="5"/>
        <v>7.4638284849618541</v>
      </c>
      <c r="H26" s="843"/>
      <c r="I26" s="846">
        <f>$B$253/B26</f>
        <v>3.8211281968343349</v>
      </c>
      <c r="K26" s="760"/>
    </row>
    <row r="27" spans="1:11" ht="18" hidden="1" customHeight="1" thickBot="1">
      <c r="A27" s="973" t="s">
        <v>555</v>
      </c>
      <c r="B27" s="748">
        <f>+geral!E1541</f>
        <v>632.07000000000005</v>
      </c>
      <c r="C27" s="748">
        <f t="shared" si="6"/>
        <v>111.76200159137126</v>
      </c>
      <c r="D27" s="748">
        <f t="shared" si="0"/>
        <v>11.762001591371259</v>
      </c>
      <c r="E27" s="748">
        <f t="shared" si="8"/>
        <v>0</v>
      </c>
      <c r="F27" s="748">
        <f t="shared" si="7"/>
        <v>7.4638284849618541</v>
      </c>
      <c r="G27" s="748">
        <f t="shared" si="5"/>
        <v>7.4638284849618541</v>
      </c>
      <c r="H27" s="843"/>
      <c r="I27" s="846">
        <f>$B$253/B27</f>
        <v>3.8211281968343349</v>
      </c>
      <c r="K27" s="760"/>
    </row>
    <row r="28" spans="1:11" ht="18" hidden="1" customHeight="1" thickBot="1">
      <c r="A28" s="973" t="s">
        <v>556</v>
      </c>
      <c r="B28" s="748">
        <f>+geral!E1542</f>
        <v>632.07000000000005</v>
      </c>
      <c r="C28" s="748">
        <f t="shared" si="6"/>
        <v>111.76200159137126</v>
      </c>
      <c r="D28" s="748">
        <f t="shared" si="0"/>
        <v>11.762001591371259</v>
      </c>
      <c r="E28" s="748">
        <f t="shared" si="8"/>
        <v>0</v>
      </c>
      <c r="F28" s="748">
        <f t="shared" si="7"/>
        <v>7.4638284849618541</v>
      </c>
      <c r="G28" s="748">
        <f t="shared" si="5"/>
        <v>7.4638284849618541</v>
      </c>
      <c r="H28" s="843"/>
      <c r="I28" s="846">
        <f>$B$253/B28</f>
        <v>3.8211281968343349</v>
      </c>
      <c r="K28" s="760"/>
    </row>
    <row r="29" spans="1:11" ht="18" hidden="1" customHeight="1" thickBot="1">
      <c r="A29" s="973" t="s">
        <v>535</v>
      </c>
      <c r="B29" s="748">
        <f>+geral!G1531</f>
        <v>632.07000000000005</v>
      </c>
      <c r="C29" s="748">
        <f t="shared" si="6"/>
        <v>111.76200159137126</v>
      </c>
      <c r="D29" s="748">
        <f t="shared" si="0"/>
        <v>11.762001591371259</v>
      </c>
      <c r="E29" s="748">
        <f t="shared" si="8"/>
        <v>0</v>
      </c>
      <c r="F29" s="748">
        <f t="shared" ref="F29:F34" si="9">100*((B29/$B$28)-1)</f>
        <v>0</v>
      </c>
      <c r="G29" s="748">
        <f t="shared" si="5"/>
        <v>7.4638284849618541</v>
      </c>
      <c r="H29" s="843"/>
      <c r="I29" s="846">
        <f>$B$253/B29</f>
        <v>3.8211281968343349</v>
      </c>
      <c r="K29" s="760"/>
    </row>
    <row r="30" spans="1:11" ht="18" hidden="1" customHeight="1" thickBot="1">
      <c r="A30" s="973" t="s">
        <v>536</v>
      </c>
      <c r="B30" s="748">
        <f>+geral!G1532</f>
        <v>632.07000000000005</v>
      </c>
      <c r="C30" s="748">
        <f t="shared" si="6"/>
        <v>111.76200159137126</v>
      </c>
      <c r="D30" s="748">
        <f t="shared" si="0"/>
        <v>11.762001591371259</v>
      </c>
      <c r="E30" s="748">
        <f t="shared" ref="E30:E35" si="10">100*((B30/B29)-1)</f>
        <v>0</v>
      </c>
      <c r="F30" s="748">
        <f t="shared" si="9"/>
        <v>0</v>
      </c>
      <c r="G30" s="748">
        <f t="shared" si="5"/>
        <v>7.4638284849618541</v>
      </c>
      <c r="H30" s="843"/>
      <c r="I30" s="846">
        <f>$B$253/B30</f>
        <v>3.8211281968343349</v>
      </c>
    </row>
    <row r="31" spans="1:11" ht="18" hidden="1" customHeight="1" thickBot="1">
      <c r="A31" s="973" t="s">
        <v>537</v>
      </c>
      <c r="B31" s="748">
        <f>+geral!G1533</f>
        <v>632.07000000000005</v>
      </c>
      <c r="C31" s="748">
        <f t="shared" si="6"/>
        <v>111.76200159137126</v>
      </c>
      <c r="D31" s="748">
        <f t="shared" si="0"/>
        <v>11.762001591371259</v>
      </c>
      <c r="E31" s="748">
        <f t="shared" si="10"/>
        <v>0</v>
      </c>
      <c r="F31" s="748">
        <f t="shared" si="9"/>
        <v>0</v>
      </c>
      <c r="G31" s="748">
        <f t="shared" si="5"/>
        <v>7.4638284849618541</v>
      </c>
      <c r="H31" s="843"/>
      <c r="I31" s="846">
        <f>$B$253/B31</f>
        <v>3.8211281968343349</v>
      </c>
    </row>
    <row r="32" spans="1:11" ht="18" hidden="1" customHeight="1" thickBot="1">
      <c r="A32" s="973" t="s">
        <v>538</v>
      </c>
      <c r="B32" s="748">
        <f>+geral!G1534</f>
        <v>632.07000000000005</v>
      </c>
      <c r="C32" s="748">
        <f t="shared" si="6"/>
        <v>111.76200159137126</v>
      </c>
      <c r="D32" s="748">
        <f t="shared" si="0"/>
        <v>11.762001591371259</v>
      </c>
      <c r="E32" s="748">
        <f t="shared" si="10"/>
        <v>0</v>
      </c>
      <c r="F32" s="748">
        <f t="shared" si="9"/>
        <v>0</v>
      </c>
      <c r="G32" s="748">
        <f t="shared" si="5"/>
        <v>7.4638284849618541</v>
      </c>
      <c r="H32" s="843">
        <f>100*(B32/B8-1)</f>
        <v>11.762001591371241</v>
      </c>
      <c r="I32" s="846">
        <f>$B$253/B32</f>
        <v>3.8211281968343349</v>
      </c>
    </row>
    <row r="33" spans="1:9" ht="18" hidden="1" customHeight="1" thickBot="1">
      <c r="A33" s="973" t="s">
        <v>539</v>
      </c>
      <c r="B33" s="748">
        <f>+geral!G1535</f>
        <v>679.47</v>
      </c>
      <c r="C33" s="748">
        <f t="shared" si="6"/>
        <v>120.14322341083901</v>
      </c>
      <c r="D33" s="748">
        <f t="shared" si="0"/>
        <v>20.143223410839013</v>
      </c>
      <c r="E33" s="748">
        <f t="shared" si="10"/>
        <v>7.4991693957947581</v>
      </c>
      <c r="F33" s="748">
        <f t="shared" si="9"/>
        <v>7.4991693957947581</v>
      </c>
      <c r="G33" s="748">
        <f t="shared" si="5"/>
        <v>7.4991693957947581</v>
      </c>
      <c r="H33" s="843">
        <f t="shared" ref="H33:H96" si="11">100*(B33/B9-1)</f>
        <v>20.143223410839028</v>
      </c>
      <c r="I33" s="846">
        <f>$B$253/B33</f>
        <v>3.5545653220496538</v>
      </c>
    </row>
    <row r="34" spans="1:9" ht="18" hidden="1" customHeight="1" thickBot="1">
      <c r="A34" s="973" t="s">
        <v>540</v>
      </c>
      <c r="B34" s="748">
        <f>+geral!G1536</f>
        <v>679.47</v>
      </c>
      <c r="C34" s="748">
        <f t="shared" si="6"/>
        <v>120.14322341083901</v>
      </c>
      <c r="D34" s="748">
        <f t="shared" si="0"/>
        <v>20.143223410839013</v>
      </c>
      <c r="E34" s="748">
        <f t="shared" si="10"/>
        <v>0</v>
      </c>
      <c r="F34" s="748">
        <f t="shared" si="9"/>
        <v>7.4991693957947581</v>
      </c>
      <c r="G34" s="748">
        <f t="shared" si="5"/>
        <v>7.4991693957947581</v>
      </c>
      <c r="H34" s="843">
        <f t="shared" si="11"/>
        <v>15.52272302225548</v>
      </c>
      <c r="I34" s="846">
        <f>$B$253/B34</f>
        <v>3.5545653220496538</v>
      </c>
    </row>
    <row r="35" spans="1:9" ht="18" hidden="1" customHeight="1" thickBot="1">
      <c r="A35" s="973" t="s">
        <v>541</v>
      </c>
      <c r="B35" s="748">
        <f>+geral!G1537</f>
        <v>679.47</v>
      </c>
      <c r="C35" s="748">
        <f t="shared" si="6"/>
        <v>120.14322341083901</v>
      </c>
      <c r="D35" s="748">
        <f t="shared" si="0"/>
        <v>20.143223410839013</v>
      </c>
      <c r="E35" s="748">
        <f t="shared" si="10"/>
        <v>0</v>
      </c>
      <c r="F35" s="748">
        <f t="shared" ref="F35:F40" si="12">100*((B35/$B$28)-1)</f>
        <v>7.4991693957947581</v>
      </c>
      <c r="G35" s="748">
        <f t="shared" si="5"/>
        <v>7.4991693957947581</v>
      </c>
      <c r="H35" s="843">
        <f t="shared" si="11"/>
        <v>15.52272302225548</v>
      </c>
      <c r="I35" s="846">
        <f>$B$253/B35</f>
        <v>3.5545653220496538</v>
      </c>
    </row>
    <row r="36" spans="1:9" ht="18" hidden="1" customHeight="1" thickBot="1">
      <c r="A36" s="973" t="s">
        <v>542</v>
      </c>
      <c r="B36" s="748">
        <f>+geral!G1538</f>
        <v>679.47</v>
      </c>
      <c r="C36" s="748">
        <f t="shared" si="6"/>
        <v>120.14322341083901</v>
      </c>
      <c r="D36" s="748">
        <f t="shared" si="0"/>
        <v>20.143223410839013</v>
      </c>
      <c r="E36" s="748">
        <f t="shared" ref="E36:E41" si="13">100*((B36/B35)-1)</f>
        <v>0</v>
      </c>
      <c r="F36" s="748">
        <f t="shared" si="12"/>
        <v>7.4991693957947581</v>
      </c>
      <c r="G36" s="748">
        <f t="shared" si="5"/>
        <v>7.4991693957947581</v>
      </c>
      <c r="H36" s="843">
        <f t="shared" si="11"/>
        <v>15.52272302225548</v>
      </c>
      <c r="I36" s="846">
        <f>$B$253/B36</f>
        <v>3.5545653220496538</v>
      </c>
    </row>
    <row r="37" spans="1:9" ht="16.5" hidden="1" thickBot="1">
      <c r="A37" s="973" t="s">
        <v>543</v>
      </c>
      <c r="B37" s="748">
        <f>+geral!G1539</f>
        <v>679.47</v>
      </c>
      <c r="C37" s="748">
        <f t="shared" si="6"/>
        <v>120.14322341083901</v>
      </c>
      <c r="D37" s="748">
        <f t="shared" si="0"/>
        <v>20.143223410839013</v>
      </c>
      <c r="E37" s="748">
        <f t="shared" si="13"/>
        <v>0</v>
      </c>
      <c r="F37" s="748">
        <f t="shared" si="12"/>
        <v>7.4991693957947581</v>
      </c>
      <c r="G37" s="748">
        <f t="shared" si="5"/>
        <v>7.4991693957947581</v>
      </c>
      <c r="H37" s="843">
        <f t="shared" si="11"/>
        <v>15.52272302225548</v>
      </c>
      <c r="I37" s="846">
        <f>$B$253/B37</f>
        <v>3.5545653220496538</v>
      </c>
    </row>
    <row r="38" spans="1:9" ht="16.5" hidden="1" thickBot="1">
      <c r="A38" s="973" t="s">
        <v>532</v>
      </c>
      <c r="B38" s="748">
        <f>+geral!G1540</f>
        <v>684.51</v>
      </c>
      <c r="C38" s="748">
        <f t="shared" si="6"/>
        <v>121.03439130050394</v>
      </c>
      <c r="D38" s="748">
        <f t="shared" si="0"/>
        <v>21.034391300503941</v>
      </c>
      <c r="E38" s="748">
        <f t="shared" si="13"/>
        <v>0.74175460285221817</v>
      </c>
      <c r="F38" s="748">
        <f t="shared" si="12"/>
        <v>8.2965494328159686</v>
      </c>
      <c r="G38" s="748">
        <f t="shared" si="5"/>
        <v>8.2965494328159686</v>
      </c>
      <c r="H38" s="843">
        <f t="shared" si="11"/>
        <v>16.379618137613285</v>
      </c>
      <c r="I38" s="846">
        <f>$B$253/B38</f>
        <v>3.5283933023229439</v>
      </c>
    </row>
    <row r="39" spans="1:9" ht="16.5" hidden="1" thickBot="1">
      <c r="A39" s="973" t="s">
        <v>544</v>
      </c>
      <c r="B39" s="748">
        <f>+geral!G1541</f>
        <v>684.51</v>
      </c>
      <c r="C39" s="748">
        <f t="shared" si="6"/>
        <v>121.03439130050394</v>
      </c>
      <c r="D39" s="748">
        <f t="shared" si="0"/>
        <v>21.034391300503941</v>
      </c>
      <c r="E39" s="748">
        <f t="shared" si="13"/>
        <v>0</v>
      </c>
      <c r="F39" s="748">
        <f t="shared" si="12"/>
        <v>8.2965494328159686</v>
      </c>
      <c r="G39" s="748">
        <f t="shared" si="5"/>
        <v>8.2965494328159686</v>
      </c>
      <c r="H39" s="843">
        <f t="shared" si="11"/>
        <v>16.379618137613285</v>
      </c>
      <c r="I39" s="846">
        <f>$B$253/B39</f>
        <v>3.5283933023229439</v>
      </c>
    </row>
    <row r="40" spans="1:9" ht="16.5" hidden="1" thickBot="1">
      <c r="A40" s="973" t="s">
        <v>545</v>
      </c>
      <c r="B40" s="748">
        <f>+geral!G1542</f>
        <v>684.51</v>
      </c>
      <c r="C40" s="748">
        <f t="shared" si="6"/>
        <v>121.03439130050394</v>
      </c>
      <c r="D40" s="748">
        <f t="shared" si="0"/>
        <v>21.034391300503941</v>
      </c>
      <c r="E40" s="748">
        <f t="shared" si="13"/>
        <v>0</v>
      </c>
      <c r="F40" s="748">
        <f t="shared" si="12"/>
        <v>8.2965494328159686</v>
      </c>
      <c r="G40" s="748">
        <f t="shared" si="5"/>
        <v>8.2965494328159686</v>
      </c>
      <c r="H40" s="843">
        <f t="shared" si="11"/>
        <v>16.379618137613285</v>
      </c>
      <c r="I40" s="846">
        <f>$B$253/B40</f>
        <v>3.5283933023229439</v>
      </c>
    </row>
    <row r="41" spans="1:9" ht="16.5" hidden="1" thickBot="1">
      <c r="A41" s="973" t="s">
        <v>565</v>
      </c>
      <c r="B41" s="748">
        <f>+geral!I1531</f>
        <v>684.51</v>
      </c>
      <c r="C41" s="748">
        <f t="shared" si="6"/>
        <v>121.03439130050394</v>
      </c>
      <c r="D41" s="748">
        <f t="shared" si="0"/>
        <v>21.034391300503941</v>
      </c>
      <c r="E41" s="748">
        <f t="shared" si="13"/>
        <v>0</v>
      </c>
      <c r="F41" s="748">
        <f t="shared" ref="F41:F46" si="14">100*((B41/$B$40)-1)</f>
        <v>0</v>
      </c>
      <c r="G41" s="748">
        <f t="shared" si="5"/>
        <v>8.2965494328159686</v>
      </c>
      <c r="H41" s="843">
        <f t="shared" si="11"/>
        <v>16.379618137613285</v>
      </c>
      <c r="I41" s="846">
        <f>$B$253/B41</f>
        <v>3.5283933023229439</v>
      </c>
    </row>
    <row r="42" spans="1:9" ht="16.5" hidden="1" thickBot="1">
      <c r="A42" s="973" t="s">
        <v>566</v>
      </c>
      <c r="B42" s="748">
        <f>+geral!I1532</f>
        <v>684.51</v>
      </c>
      <c r="C42" s="748">
        <f t="shared" si="6"/>
        <v>121.03439130050394</v>
      </c>
      <c r="D42" s="748">
        <f t="shared" si="0"/>
        <v>21.034391300503941</v>
      </c>
      <c r="E42" s="748">
        <f t="shared" ref="E42:E47" si="15">100*((B42/B41)-1)</f>
        <v>0</v>
      </c>
      <c r="F42" s="748">
        <f t="shared" si="14"/>
        <v>0</v>
      </c>
      <c r="G42" s="748">
        <f t="shared" si="5"/>
        <v>8.2965494328159686</v>
      </c>
      <c r="H42" s="843">
        <f t="shared" si="11"/>
        <v>16.379618137613285</v>
      </c>
      <c r="I42" s="846">
        <f>$B$253/B42</f>
        <v>3.5283933023229439</v>
      </c>
    </row>
    <row r="43" spans="1:9" ht="16.5" hidden="1" thickBot="1">
      <c r="A43" s="973" t="s">
        <v>567</v>
      </c>
      <c r="B43" s="748">
        <f>+geral!I1533</f>
        <v>689.58</v>
      </c>
      <c r="C43" s="748">
        <f t="shared" si="6"/>
        <v>121.93086376094068</v>
      </c>
      <c r="D43" s="748">
        <f t="shared" si="0"/>
        <v>21.930863760940682</v>
      </c>
      <c r="E43" s="748">
        <f t="shared" si="15"/>
        <v>0.74067581189465326</v>
      </c>
      <c r="F43" s="748">
        <f t="shared" si="14"/>
        <v>0.74067581189465326</v>
      </c>
      <c r="G43" s="748">
        <f t="shared" si="5"/>
        <v>9.0986757795813666</v>
      </c>
      <c r="H43" s="843">
        <f t="shared" si="11"/>
        <v>17.241613819133939</v>
      </c>
      <c r="I43" s="846">
        <f>$B$253/B43</f>
        <v>3.5024514913035154</v>
      </c>
    </row>
    <row r="44" spans="1:9" ht="16.5" hidden="1" thickBot="1">
      <c r="A44" s="973" t="s">
        <v>568</v>
      </c>
      <c r="B44" s="748">
        <f>+geral!I1534</f>
        <v>689.58</v>
      </c>
      <c r="C44" s="748">
        <f t="shared" si="6"/>
        <v>121.93086376094068</v>
      </c>
      <c r="D44" s="748">
        <f t="shared" si="0"/>
        <v>21.930863760940682</v>
      </c>
      <c r="E44" s="748">
        <f t="shared" si="15"/>
        <v>0</v>
      </c>
      <c r="F44" s="748">
        <f t="shared" si="14"/>
        <v>0.74067581189465326</v>
      </c>
      <c r="G44" s="748">
        <f t="shared" si="5"/>
        <v>9.0986757795813666</v>
      </c>
      <c r="H44" s="843">
        <f t="shared" si="11"/>
        <v>17.241613819133939</v>
      </c>
      <c r="I44" s="846">
        <f>$B$253/B44</f>
        <v>3.5024514913035154</v>
      </c>
    </row>
    <row r="45" spans="1:9" ht="16.5" hidden="1" thickBot="1">
      <c r="A45" s="973" t="s">
        <v>569</v>
      </c>
      <c r="B45" s="748">
        <f>+geral!I1535</f>
        <v>738.13</v>
      </c>
      <c r="C45" s="748">
        <f t="shared" si="6"/>
        <v>130.5154274599947</v>
      </c>
      <c r="D45" s="748">
        <f t="shared" si="0"/>
        <v>30.515427459994697</v>
      </c>
      <c r="E45" s="748">
        <f t="shared" si="15"/>
        <v>7.040517416398373</v>
      </c>
      <c r="F45" s="748">
        <f t="shared" si="14"/>
        <v>7.8333406378285231</v>
      </c>
      <c r="G45" s="748">
        <f t="shared" si="5"/>
        <v>8.6331994054189352</v>
      </c>
      <c r="H45" s="843">
        <f t="shared" si="11"/>
        <v>16.779787048902794</v>
      </c>
      <c r="I45" s="846">
        <f>$B$253/B45</f>
        <v>3.2720801205384937</v>
      </c>
    </row>
    <row r="46" spans="1:9" ht="16.5" hidden="1" thickBot="1">
      <c r="A46" s="973" t="s">
        <v>570</v>
      </c>
      <c r="B46" s="748">
        <f>+geral!I1536</f>
        <v>738.13</v>
      </c>
      <c r="C46" s="748">
        <f t="shared" si="6"/>
        <v>130.5154274599947</v>
      </c>
      <c r="D46" s="748">
        <f t="shared" si="0"/>
        <v>30.515427459994697</v>
      </c>
      <c r="E46" s="748">
        <f t="shared" si="15"/>
        <v>0</v>
      </c>
      <c r="F46" s="748">
        <f t="shared" si="14"/>
        <v>7.8333406378285231</v>
      </c>
      <c r="G46" s="748">
        <f t="shared" si="5"/>
        <v>8.6331994054189352</v>
      </c>
      <c r="H46" s="843">
        <f t="shared" si="11"/>
        <v>16.779787048902794</v>
      </c>
      <c r="I46" s="846">
        <f>$B$253/B46</f>
        <v>3.2720801205384937</v>
      </c>
    </row>
    <row r="47" spans="1:9" ht="16.5" hidden="1" thickBot="1">
      <c r="A47" s="973" t="s">
        <v>571</v>
      </c>
      <c r="B47" s="748">
        <f>+geral!I1537</f>
        <v>773.3</v>
      </c>
      <c r="C47" s="748">
        <f t="shared" si="6"/>
        <v>136.73415259481922</v>
      </c>
      <c r="D47" s="748">
        <f t="shared" si="0"/>
        <v>36.734152594819221</v>
      </c>
      <c r="E47" s="748">
        <f t="shared" si="15"/>
        <v>4.764743337894406</v>
      </c>
      <c r="F47" s="748">
        <f t="shared" ref="F47:F52" si="16">100*((B47/$B$40)-1)</f>
        <v>12.971322551898435</v>
      </c>
      <c r="G47" s="748">
        <f t="shared" si="5"/>
        <v>13.809292536830164</v>
      </c>
      <c r="H47" s="843">
        <f t="shared" si="11"/>
        <v>22.344044172322675</v>
      </c>
      <c r="I47" s="846">
        <f>$B$253/B47</f>
        <v>3.1232645795591343</v>
      </c>
    </row>
    <row r="48" spans="1:9" ht="16.5" hidden="1" thickBot="1">
      <c r="A48" s="973" t="s">
        <v>572</v>
      </c>
      <c r="B48" s="748">
        <f>+geral!I1538</f>
        <v>773.3</v>
      </c>
      <c r="C48" s="748">
        <f t="shared" si="6"/>
        <v>136.73415259481922</v>
      </c>
      <c r="D48" s="748">
        <f t="shared" si="0"/>
        <v>36.734152594819221</v>
      </c>
      <c r="E48" s="748">
        <f t="shared" ref="E48:E53" si="17">100*((B48/B47)-1)</f>
        <v>0</v>
      </c>
      <c r="F48" s="748">
        <f t="shared" si="16"/>
        <v>12.971322551898435</v>
      </c>
      <c r="G48" s="748">
        <f t="shared" si="5"/>
        <v>13.809292536830164</v>
      </c>
      <c r="H48" s="843">
        <f t="shared" si="11"/>
        <v>22.344044172322675</v>
      </c>
      <c r="I48" s="846">
        <f>$B$253/B48</f>
        <v>3.1232645795591343</v>
      </c>
    </row>
    <row r="49" spans="1:9" ht="16.5" hidden="1" thickBot="1">
      <c r="A49" s="973" t="s">
        <v>573</v>
      </c>
      <c r="B49" s="748">
        <f>+geral!I1539</f>
        <v>773.3</v>
      </c>
      <c r="C49" s="748">
        <f t="shared" si="6"/>
        <v>136.73415259481922</v>
      </c>
      <c r="D49" s="748">
        <f t="shared" si="0"/>
        <v>36.734152594819221</v>
      </c>
      <c r="E49" s="748">
        <f t="shared" si="17"/>
        <v>0</v>
      </c>
      <c r="F49" s="748">
        <f t="shared" si="16"/>
        <v>12.971322551898435</v>
      </c>
      <c r="G49" s="748">
        <f t="shared" si="5"/>
        <v>13.809292536830164</v>
      </c>
      <c r="H49" s="843">
        <f t="shared" si="11"/>
        <v>22.344044172322675</v>
      </c>
      <c r="I49" s="846">
        <f>$B$253/B49</f>
        <v>3.1232645795591343</v>
      </c>
    </row>
    <row r="50" spans="1:9" ht="16.5" hidden="1" thickBot="1">
      <c r="A50" s="973" t="s">
        <v>396</v>
      </c>
      <c r="B50" s="748">
        <f>+geral!I1540</f>
        <v>779.1</v>
      </c>
      <c r="C50" s="748">
        <f t="shared" si="6"/>
        <v>137.7597029440368</v>
      </c>
      <c r="D50" s="748">
        <f t="shared" si="0"/>
        <v>37.759702944036803</v>
      </c>
      <c r="E50" s="748">
        <f t="shared" si="17"/>
        <v>0.75003232897969951</v>
      </c>
      <c r="F50" s="748">
        <f t="shared" si="16"/>
        <v>13.818643993513625</v>
      </c>
      <c r="G50" s="748">
        <f t="shared" si="5"/>
        <v>13.818643993513625</v>
      </c>
      <c r="H50" s="843">
        <f t="shared" si="11"/>
        <v>23.261664056196295</v>
      </c>
      <c r="I50" s="846">
        <f>$B$253/B50</f>
        <v>3.1000134762842744</v>
      </c>
    </row>
    <row r="51" spans="1:9" ht="16.5" hidden="1" thickBot="1">
      <c r="A51" s="973" t="s">
        <v>397</v>
      </c>
      <c r="B51" s="748">
        <f>+geral!I1541</f>
        <v>779.1</v>
      </c>
      <c r="C51" s="748">
        <f t="shared" si="6"/>
        <v>137.7597029440368</v>
      </c>
      <c r="D51" s="748">
        <f t="shared" si="0"/>
        <v>37.759702944036803</v>
      </c>
      <c r="E51" s="748">
        <f t="shared" si="17"/>
        <v>0</v>
      </c>
      <c r="F51" s="748">
        <f t="shared" si="16"/>
        <v>13.818643993513625</v>
      </c>
      <c r="G51" s="748">
        <f t="shared" si="5"/>
        <v>13.818643993513625</v>
      </c>
      <c r="H51" s="843">
        <f t="shared" si="11"/>
        <v>23.261664056196295</v>
      </c>
      <c r="I51" s="846">
        <f>$B$253/B51</f>
        <v>3.1000134762842744</v>
      </c>
    </row>
    <row r="52" spans="1:9" ht="16.5" hidden="1" thickBot="1">
      <c r="A52" s="973" t="s">
        <v>398</v>
      </c>
      <c r="B52" s="748">
        <f>+geral!I1542</f>
        <v>779.1</v>
      </c>
      <c r="C52" s="748">
        <f t="shared" si="6"/>
        <v>137.7597029440368</v>
      </c>
      <c r="D52" s="748">
        <f t="shared" si="0"/>
        <v>37.759702944036803</v>
      </c>
      <c r="E52" s="748">
        <f t="shared" si="17"/>
        <v>0</v>
      </c>
      <c r="F52" s="748">
        <f t="shared" si="16"/>
        <v>13.818643993513625</v>
      </c>
      <c r="G52" s="748">
        <f t="shared" si="5"/>
        <v>13.818643993513625</v>
      </c>
      <c r="H52" s="843">
        <f t="shared" si="11"/>
        <v>23.261664056196295</v>
      </c>
      <c r="I52" s="846">
        <f>$B$253/B52</f>
        <v>3.1000134762842744</v>
      </c>
    </row>
    <row r="53" spans="1:9" ht="16.5" hidden="1" thickBot="1">
      <c r="A53" s="973" t="s">
        <v>399</v>
      </c>
      <c r="B53" s="748">
        <f>+geral!K1531</f>
        <v>779.1</v>
      </c>
      <c r="C53" s="748">
        <f t="shared" si="6"/>
        <v>137.7597029440368</v>
      </c>
      <c r="D53" s="748">
        <f t="shared" si="0"/>
        <v>37.759702944036803</v>
      </c>
      <c r="E53" s="748">
        <f t="shared" si="17"/>
        <v>0</v>
      </c>
      <c r="F53" s="748">
        <f t="shared" ref="F53:F58" si="18">100*((B53/$B$52)-1)</f>
        <v>0</v>
      </c>
      <c r="G53" s="748">
        <f t="shared" si="5"/>
        <v>13.818643993513625</v>
      </c>
      <c r="H53" s="843">
        <f t="shared" si="11"/>
        <v>23.261664056196295</v>
      </c>
      <c r="I53" s="846">
        <f>$B$253/B53</f>
        <v>3.1000134762842744</v>
      </c>
    </row>
    <row r="54" spans="1:9" ht="16.5" hidden="1" thickBot="1">
      <c r="A54" s="973" t="s">
        <v>400</v>
      </c>
      <c r="B54" s="748">
        <f>+geral!K1532</f>
        <v>779.1</v>
      </c>
      <c r="C54" s="748">
        <f t="shared" si="6"/>
        <v>137.7597029440368</v>
      </c>
      <c r="D54" s="748">
        <f t="shared" si="0"/>
        <v>37.759702944036803</v>
      </c>
      <c r="E54" s="748">
        <f t="shared" ref="E54:E59" si="19">100*((B54/B53)-1)</f>
        <v>0</v>
      </c>
      <c r="F54" s="748">
        <f t="shared" si="18"/>
        <v>0</v>
      </c>
      <c r="G54" s="748">
        <f t="shared" si="5"/>
        <v>13.818643993513625</v>
      </c>
      <c r="H54" s="843">
        <f t="shared" si="11"/>
        <v>23.261664056196295</v>
      </c>
      <c r="I54" s="846">
        <f>$B$253/B54</f>
        <v>3.1000134762842744</v>
      </c>
    </row>
    <row r="55" spans="1:9" ht="16.5" hidden="1" thickBot="1">
      <c r="A55" s="973" t="s">
        <v>401</v>
      </c>
      <c r="B55" s="748">
        <f>+geral!K1533</f>
        <v>784.94</v>
      </c>
      <c r="C55" s="748">
        <f t="shared" si="6"/>
        <v>138.79232605428345</v>
      </c>
      <c r="D55" s="748">
        <f t="shared" si="0"/>
        <v>38.79232605428345</v>
      </c>
      <c r="E55" s="748">
        <f t="shared" si="19"/>
        <v>0.74958285200872332</v>
      </c>
      <c r="F55" s="748">
        <f t="shared" si="18"/>
        <v>0.74958285200872332</v>
      </c>
      <c r="G55" s="748">
        <f t="shared" si="5"/>
        <v>13.828707329098865</v>
      </c>
      <c r="H55" s="843">
        <f t="shared" si="11"/>
        <v>24.185612353062158</v>
      </c>
      <c r="I55" s="846">
        <f>$B$253/B55</f>
        <v>3.0769491927702477</v>
      </c>
    </row>
    <row r="56" spans="1:9" ht="16.5" hidden="1" thickBot="1">
      <c r="A56" s="973" t="s">
        <v>402</v>
      </c>
      <c r="B56" s="748">
        <f>+geral!K1534</f>
        <v>784.94</v>
      </c>
      <c r="C56" s="748">
        <f t="shared" si="6"/>
        <v>138.79232605428345</v>
      </c>
      <c r="D56" s="748">
        <f t="shared" si="0"/>
        <v>38.79232605428345</v>
      </c>
      <c r="E56" s="748">
        <f t="shared" si="19"/>
        <v>0</v>
      </c>
      <c r="F56" s="748">
        <f t="shared" si="18"/>
        <v>0.74958285200872332</v>
      </c>
      <c r="G56" s="748">
        <f t="shared" si="5"/>
        <v>13.828707329098865</v>
      </c>
      <c r="H56" s="843">
        <f t="shared" si="11"/>
        <v>24.185612353062158</v>
      </c>
      <c r="I56" s="846">
        <f>$B$253/B56</f>
        <v>3.0769491927702477</v>
      </c>
    </row>
    <row r="57" spans="1:9" ht="16.5" hidden="1" thickBot="1">
      <c r="A57" s="973" t="s">
        <v>403</v>
      </c>
      <c r="B57" s="748">
        <f>+geral!K1535</f>
        <v>832.04</v>
      </c>
      <c r="C57" s="748">
        <f t="shared" si="6"/>
        <v>147.12050216603308</v>
      </c>
      <c r="D57" s="748">
        <f t="shared" si="0"/>
        <v>47.120502166033077</v>
      </c>
      <c r="E57" s="748">
        <f t="shared" si="19"/>
        <v>6.000458633780914</v>
      </c>
      <c r="F57" s="748">
        <f t="shared" si="18"/>
        <v>6.7950198947503537</v>
      </c>
      <c r="G57" s="748">
        <f t="shared" si="5"/>
        <v>12.72269112486959</v>
      </c>
      <c r="H57" s="843">
        <f t="shared" si="11"/>
        <v>22.454265824834053</v>
      </c>
      <c r="I57" s="846">
        <f>$B$253/B57</f>
        <v>2.9027696978187087</v>
      </c>
    </row>
    <row r="58" spans="1:9" ht="16.5" hidden="1" thickBot="1">
      <c r="A58" s="973" t="s">
        <v>404</v>
      </c>
      <c r="B58" s="748">
        <f>+geral!K1536</f>
        <v>832.04</v>
      </c>
      <c r="C58" s="748">
        <f t="shared" si="6"/>
        <v>147.12050216603308</v>
      </c>
      <c r="D58" s="748">
        <f t="shared" si="0"/>
        <v>47.120502166033077</v>
      </c>
      <c r="E58" s="748">
        <f t="shared" si="19"/>
        <v>0</v>
      </c>
      <c r="F58" s="748">
        <f t="shared" si="18"/>
        <v>6.7950198947503537</v>
      </c>
      <c r="G58" s="748">
        <f t="shared" si="5"/>
        <v>12.72269112486959</v>
      </c>
      <c r="H58" s="843">
        <f t="shared" si="11"/>
        <v>22.454265824834053</v>
      </c>
      <c r="I58" s="846">
        <f>$B$253/B58</f>
        <v>2.9027696978187087</v>
      </c>
    </row>
    <row r="59" spans="1:9" ht="16.5" hidden="1" thickBot="1">
      <c r="A59" s="973" t="s">
        <v>405</v>
      </c>
      <c r="B59" s="748">
        <f>+geral!K1537</f>
        <v>832.04</v>
      </c>
      <c r="C59" s="748">
        <f t="shared" si="6"/>
        <v>147.12050216603308</v>
      </c>
      <c r="D59" s="748">
        <f t="shared" si="0"/>
        <v>47.120502166033077</v>
      </c>
      <c r="E59" s="748">
        <f t="shared" si="19"/>
        <v>0</v>
      </c>
      <c r="F59" s="748">
        <f t="shared" ref="F59:F64" si="20">100*((B59/$B$52)-1)</f>
        <v>6.7950198947503537</v>
      </c>
      <c r="G59" s="748">
        <f t="shared" si="5"/>
        <v>7.5960170697012774</v>
      </c>
      <c r="H59" s="843">
        <f t="shared" si="11"/>
        <v>22.454265824834053</v>
      </c>
      <c r="I59" s="846">
        <f>$B$253/B59</f>
        <v>2.9027696978187087</v>
      </c>
    </row>
    <row r="60" spans="1:9" ht="16.5" hidden="1" thickBot="1">
      <c r="A60" s="973" t="s">
        <v>406</v>
      </c>
      <c r="B60" s="748">
        <f>+geral!K1538</f>
        <v>847.62</v>
      </c>
      <c r="C60" s="748">
        <f t="shared" si="6"/>
        <v>149.87534258686236</v>
      </c>
      <c r="D60" s="748">
        <f t="shared" si="0"/>
        <v>49.875342586862359</v>
      </c>
      <c r="E60" s="748">
        <f t="shared" ref="E60:E65" si="21">100*((B60/B59)-1)</f>
        <v>1.8725061295130185</v>
      </c>
      <c r="F60" s="748">
        <f t="shared" si="20"/>
        <v>8.7947631882941746</v>
      </c>
      <c r="G60" s="748">
        <f t="shared" si="5"/>
        <v>9.6107590844433091</v>
      </c>
      <c r="H60" s="843">
        <f t="shared" si="11"/>
        <v>24.747229458254228</v>
      </c>
      <c r="I60" s="846">
        <f>$B$253/B60</f>
        <v>2.8494142414915626</v>
      </c>
    </row>
    <row r="61" spans="1:9" ht="16.5" hidden="1" thickBot="1">
      <c r="A61" s="973" t="s">
        <v>407</v>
      </c>
      <c r="B61" s="748">
        <f>+geral!K1539</f>
        <v>847.62</v>
      </c>
      <c r="C61" s="748">
        <f t="shared" si="6"/>
        <v>149.87534258686236</v>
      </c>
      <c r="D61" s="748">
        <f t="shared" si="0"/>
        <v>49.875342586862359</v>
      </c>
      <c r="E61" s="748">
        <f t="shared" si="21"/>
        <v>0</v>
      </c>
      <c r="F61" s="748">
        <f t="shared" si="20"/>
        <v>8.7947631882941746</v>
      </c>
      <c r="G61" s="748">
        <f t="shared" si="5"/>
        <v>9.6107590844433091</v>
      </c>
      <c r="H61" s="843">
        <f t="shared" si="11"/>
        <v>24.747229458254228</v>
      </c>
      <c r="I61" s="846">
        <f>$B$253/B61</f>
        <v>2.8494142414915626</v>
      </c>
    </row>
    <row r="62" spans="1:9" ht="16.5" hidden="1" thickBot="1">
      <c r="A62" s="973" t="s">
        <v>408</v>
      </c>
      <c r="B62" s="748">
        <f>+geral!K1540</f>
        <v>847.62</v>
      </c>
      <c r="C62" s="748">
        <f t="shared" si="6"/>
        <v>149.87534258686236</v>
      </c>
      <c r="D62" s="748">
        <f t="shared" si="0"/>
        <v>49.875342586862359</v>
      </c>
      <c r="E62" s="748">
        <f t="shared" si="21"/>
        <v>0</v>
      </c>
      <c r="F62" s="748">
        <f t="shared" si="20"/>
        <v>8.7947631882941746</v>
      </c>
      <c r="G62" s="748">
        <f t="shared" si="5"/>
        <v>8.7947631882941746</v>
      </c>
      <c r="H62" s="843">
        <f t="shared" si="11"/>
        <v>23.828724196870766</v>
      </c>
      <c r="I62" s="846">
        <f>$B$253/B62</f>
        <v>2.8494142414915626</v>
      </c>
    </row>
    <row r="63" spans="1:9" ht="16.5" hidden="1" thickBot="1">
      <c r="A63" s="973" t="s">
        <v>409</v>
      </c>
      <c r="B63" s="748">
        <f>+geral!K1541</f>
        <v>847.62</v>
      </c>
      <c r="C63" s="748">
        <f t="shared" si="6"/>
        <v>149.87534258686236</v>
      </c>
      <c r="D63" s="748">
        <f t="shared" si="0"/>
        <v>49.875342586862359</v>
      </c>
      <c r="E63" s="748">
        <f t="shared" si="21"/>
        <v>0</v>
      </c>
      <c r="F63" s="748">
        <f t="shared" si="20"/>
        <v>8.7947631882941746</v>
      </c>
      <c r="G63" s="748">
        <f t="shared" si="5"/>
        <v>8.7947631882941746</v>
      </c>
      <c r="H63" s="843">
        <f t="shared" si="11"/>
        <v>23.828724196870766</v>
      </c>
      <c r="I63" s="846">
        <f>$B$253/B63</f>
        <v>2.8494142414915626</v>
      </c>
    </row>
    <row r="64" spans="1:9" ht="16.5" hidden="1" thickBot="1">
      <c r="A64" s="973" t="s">
        <v>410</v>
      </c>
      <c r="B64" s="748">
        <f>+geral!K1542</f>
        <v>860.09</v>
      </c>
      <c r="C64" s="748">
        <f t="shared" si="6"/>
        <v>152.08027583768015</v>
      </c>
      <c r="D64" s="748">
        <f t="shared" si="0"/>
        <v>52.080275837680148</v>
      </c>
      <c r="E64" s="748">
        <f t="shared" si="21"/>
        <v>1.4711781222717768</v>
      </c>
      <c r="F64" s="748">
        <f t="shared" si="20"/>
        <v>10.395327942497756</v>
      </c>
      <c r="G64" s="748">
        <f t="shared" si="5"/>
        <v>10.395327942497756</v>
      </c>
      <c r="H64" s="843">
        <f t="shared" si="11"/>
        <v>25.650465296343384</v>
      </c>
      <c r="I64" s="846">
        <f>$B$253/B64</f>
        <v>2.8081020583579375</v>
      </c>
    </row>
    <row r="65" spans="1:9" ht="16.5" hidden="1" thickBot="1">
      <c r="A65" s="973" t="s">
        <v>411</v>
      </c>
      <c r="B65" s="748" t="str">
        <f>+geral!M1531</f>
        <v>860,09</v>
      </c>
      <c r="C65" s="748">
        <f t="shared" si="6"/>
        <v>152.08027583768015</v>
      </c>
      <c r="D65" s="748">
        <f t="shared" si="0"/>
        <v>52.080275837680148</v>
      </c>
      <c r="E65" s="748">
        <f t="shared" si="21"/>
        <v>0</v>
      </c>
      <c r="F65" s="748">
        <f>100*((B65/$B$64)-1)</f>
        <v>0</v>
      </c>
      <c r="G65" s="748">
        <f t="shared" si="5"/>
        <v>10.395327942497756</v>
      </c>
      <c r="H65" s="843">
        <f t="shared" si="11"/>
        <v>25.650465296343384</v>
      </c>
      <c r="I65" s="846">
        <f>$B$253/B65</f>
        <v>2.8081020583579375</v>
      </c>
    </row>
    <row r="66" spans="1:9" ht="16.5" hidden="1" thickBot="1">
      <c r="A66" s="973" t="s">
        <v>412</v>
      </c>
      <c r="B66" s="748">
        <f>+geral!M1532</f>
        <v>860.09</v>
      </c>
      <c r="C66" s="748">
        <f t="shared" si="6"/>
        <v>152.08027583768015</v>
      </c>
      <c r="D66" s="748">
        <f t="shared" si="0"/>
        <v>52.080275837680148</v>
      </c>
      <c r="E66" s="748">
        <f t="shared" ref="E66:E71" si="22">100*((B66/B65)-1)</f>
        <v>0</v>
      </c>
      <c r="F66" s="748">
        <f t="shared" ref="F66:F71" si="23">100*((B66/$B$64-1))</f>
        <v>0</v>
      </c>
      <c r="G66" s="748">
        <f t="shared" si="5"/>
        <v>10.395327942497756</v>
      </c>
      <c r="H66" s="843">
        <f t="shared" si="11"/>
        <v>25.650465296343384</v>
      </c>
      <c r="I66" s="846">
        <f>$B$253/B66</f>
        <v>2.8081020583579375</v>
      </c>
    </row>
    <row r="67" spans="1:9" ht="16.5" hidden="1" thickBot="1">
      <c r="A67" s="973" t="s">
        <v>413</v>
      </c>
      <c r="B67" s="748">
        <f>+geral!M1533</f>
        <v>860.09</v>
      </c>
      <c r="C67" s="748">
        <f t="shared" si="6"/>
        <v>152.08027583768015</v>
      </c>
      <c r="D67" s="748">
        <f t="shared" si="0"/>
        <v>52.080275837680148</v>
      </c>
      <c r="E67" s="748">
        <f t="shared" si="22"/>
        <v>0</v>
      </c>
      <c r="F67" s="748">
        <f t="shared" si="23"/>
        <v>0</v>
      </c>
      <c r="G67" s="748">
        <f t="shared" si="5"/>
        <v>9.5739801768288011</v>
      </c>
      <c r="H67" s="843">
        <f t="shared" si="11"/>
        <v>24.72664520432728</v>
      </c>
      <c r="I67" s="846">
        <f>$B$253/B67</f>
        <v>2.8081020583579375</v>
      </c>
    </row>
    <row r="68" spans="1:9" ht="16.5" hidden="1" thickBot="1">
      <c r="A68" s="973" t="s">
        <v>414</v>
      </c>
      <c r="B68" s="748">
        <f>+geral!M1534</f>
        <v>860.09</v>
      </c>
      <c r="C68" s="748">
        <f t="shared" si="6"/>
        <v>152.08027583768015</v>
      </c>
      <c r="D68" s="748">
        <f t="shared" si="0"/>
        <v>52.080275837680148</v>
      </c>
      <c r="E68" s="748">
        <f t="shared" si="22"/>
        <v>0</v>
      </c>
      <c r="F68" s="748">
        <f t="shared" si="23"/>
        <v>0</v>
      </c>
      <c r="G68" s="748">
        <f t="shared" si="5"/>
        <v>9.5739801768288011</v>
      </c>
      <c r="H68" s="843">
        <f t="shared" si="11"/>
        <v>24.72664520432728</v>
      </c>
      <c r="I68" s="846">
        <f>$B$253/B68</f>
        <v>2.8081020583579375</v>
      </c>
    </row>
    <row r="69" spans="1:9" ht="16.5" hidden="1" thickBot="1">
      <c r="A69" s="973" t="s">
        <v>415</v>
      </c>
      <c r="B69" s="748">
        <f>+geral!M1535</f>
        <v>928.9</v>
      </c>
      <c r="C69" s="748">
        <f t="shared" si="6"/>
        <v>164.24719299796661</v>
      </c>
      <c r="D69" s="748">
        <f t="shared" si="0"/>
        <v>64.247192997966607</v>
      </c>
      <c r="E69" s="748">
        <f t="shared" si="22"/>
        <v>8.0003255473264367</v>
      </c>
      <c r="F69" s="748">
        <f t="shared" si="23"/>
        <v>8.0003255473264367</v>
      </c>
      <c r="G69" s="748">
        <f t="shared" si="5"/>
        <v>11.641267246766995</v>
      </c>
      <c r="H69" s="843">
        <f t="shared" si="11"/>
        <v>25.845040846463352</v>
      </c>
      <c r="I69" s="846">
        <f>$B$253/B69</f>
        <v>2.6000866609678956</v>
      </c>
    </row>
    <row r="70" spans="1:9" ht="16.5" hidden="1" thickBot="1">
      <c r="A70" s="973" t="s">
        <v>416</v>
      </c>
      <c r="B70" s="748">
        <f>+geral!M1536</f>
        <v>928.9</v>
      </c>
      <c r="C70" s="748">
        <f t="shared" si="6"/>
        <v>164.24719299796661</v>
      </c>
      <c r="D70" s="748">
        <f t="shared" si="0"/>
        <v>64.247192997966607</v>
      </c>
      <c r="E70" s="748">
        <f t="shared" si="22"/>
        <v>0</v>
      </c>
      <c r="F70" s="748">
        <f t="shared" si="23"/>
        <v>8.0003255473264367</v>
      </c>
      <c r="G70" s="748">
        <f t="shared" si="5"/>
        <v>11.641267246766995</v>
      </c>
      <c r="H70" s="843">
        <f t="shared" si="11"/>
        <v>25.845040846463352</v>
      </c>
      <c r="I70" s="846">
        <f>$B$253/B70</f>
        <v>2.6000866609678956</v>
      </c>
    </row>
    <row r="71" spans="1:9" ht="16.5" hidden="1" thickBot="1">
      <c r="A71" s="973" t="s">
        <v>417</v>
      </c>
      <c r="B71" s="748">
        <f>+geral!M1537</f>
        <v>928.9</v>
      </c>
      <c r="C71" s="748">
        <f t="shared" si="6"/>
        <v>164.24719299796661</v>
      </c>
      <c r="D71" s="748">
        <f t="shared" si="0"/>
        <v>64.247192997966607</v>
      </c>
      <c r="E71" s="748">
        <f t="shared" si="22"/>
        <v>0</v>
      </c>
      <c r="F71" s="748">
        <f t="shared" si="23"/>
        <v>8.0003255473264367</v>
      </c>
      <c r="G71" s="748">
        <f t="shared" si="5"/>
        <v>11.641267246766995</v>
      </c>
      <c r="H71" s="843">
        <f t="shared" si="11"/>
        <v>20.121556963662222</v>
      </c>
      <c r="I71" s="846">
        <f>$B$253/B71</f>
        <v>2.6000866609678956</v>
      </c>
    </row>
    <row r="72" spans="1:9" ht="16.5" hidden="1" thickBot="1">
      <c r="A72" s="973" t="s">
        <v>418</v>
      </c>
      <c r="B72" s="748">
        <f>+geral!M1538</f>
        <v>928.9</v>
      </c>
      <c r="C72" s="748">
        <f t="shared" si="6"/>
        <v>164.24719299796661</v>
      </c>
      <c r="D72" s="748">
        <f t="shared" si="0"/>
        <v>64.247192997966607</v>
      </c>
      <c r="E72" s="748">
        <f t="shared" ref="E72:E77" si="24">100*((B72/B71)-1)</f>
        <v>0</v>
      </c>
      <c r="F72" s="748">
        <f>100*((B72/$B$64-1))</f>
        <v>8.0003255473264367</v>
      </c>
      <c r="G72" s="748">
        <f t="shared" si="5"/>
        <v>9.5892027087610021</v>
      </c>
      <c r="H72" s="843">
        <f t="shared" si="11"/>
        <v>20.121556963662222</v>
      </c>
      <c r="I72" s="846">
        <f>$B$253/B72</f>
        <v>2.6000866609678956</v>
      </c>
    </row>
    <row r="73" spans="1:9" ht="16.5" hidden="1" thickBot="1">
      <c r="A73" s="973" t="s">
        <v>419</v>
      </c>
      <c r="B73" s="748">
        <f>+geral!M1539</f>
        <v>928.9</v>
      </c>
      <c r="C73" s="748">
        <f t="shared" si="6"/>
        <v>164.24719299796661</v>
      </c>
      <c r="D73" s="748">
        <f t="shared" ref="D73:D148" si="25">C73-100</f>
        <v>64.247192997966607</v>
      </c>
      <c r="E73" s="748">
        <f t="shared" si="24"/>
        <v>0</v>
      </c>
      <c r="F73" s="748">
        <f>100*((B73/$B$64-1))</f>
        <v>8.0003255473264367</v>
      </c>
      <c r="G73" s="748">
        <f t="shared" si="5"/>
        <v>9.5892027087610021</v>
      </c>
      <c r="H73" s="843">
        <f t="shared" si="11"/>
        <v>20.121556963662222</v>
      </c>
      <c r="I73" s="846">
        <f>$B$253/B73</f>
        <v>2.6000866609678956</v>
      </c>
    </row>
    <row r="74" spans="1:9" ht="16.5" hidden="1" thickBot="1">
      <c r="A74" s="973" t="s">
        <v>420</v>
      </c>
      <c r="B74" s="748">
        <f>+geral!M1540</f>
        <v>928.9</v>
      </c>
      <c r="C74" s="748">
        <f t="shared" si="6"/>
        <v>164.24719299796661</v>
      </c>
      <c r="D74" s="748">
        <f t="shared" si="25"/>
        <v>64.247192997966607</v>
      </c>
      <c r="E74" s="748">
        <f t="shared" si="24"/>
        <v>0</v>
      </c>
      <c r="F74" s="748">
        <f>100*((B74/$B$64-1))</f>
        <v>8.0003255473264367</v>
      </c>
      <c r="G74" s="748">
        <f t="shared" si="5"/>
        <v>9.5892027087610021</v>
      </c>
      <c r="H74" s="843">
        <f t="shared" si="11"/>
        <v>19.227313566936211</v>
      </c>
      <c r="I74" s="846">
        <f>$B$253/B74</f>
        <v>2.6000866609678956</v>
      </c>
    </row>
    <row r="75" spans="1:9" ht="16.5" hidden="1" thickBot="1">
      <c r="A75" s="973" t="s">
        <v>421</v>
      </c>
      <c r="B75" s="748">
        <f>+geral!M1541</f>
        <v>952.12249999999995</v>
      </c>
      <c r="C75" s="748">
        <f t="shared" si="6"/>
        <v>168.35337282291576</v>
      </c>
      <c r="D75" s="748">
        <f t="shared" si="25"/>
        <v>68.353372822915759</v>
      </c>
      <c r="E75" s="748">
        <f t="shared" si="24"/>
        <v>2.4999999999999911</v>
      </c>
      <c r="F75" s="748">
        <f>100*((B75/$B$64-1))</f>
        <v>10.7003336860096</v>
      </c>
      <c r="G75" s="748">
        <f t="shared" si="5"/>
        <v>12.328932776480016</v>
      </c>
      <c r="H75" s="843">
        <f t="shared" si="11"/>
        <v>22.207996406109597</v>
      </c>
      <c r="I75" s="846">
        <f>$B$253/B75</f>
        <v>2.5366699131394106</v>
      </c>
    </row>
    <row r="76" spans="1:9" ht="16.5" hidden="1" thickBot="1">
      <c r="A76" s="973" t="s">
        <v>422</v>
      </c>
      <c r="B76" s="748">
        <f>+geral!M1542</f>
        <v>952.12</v>
      </c>
      <c r="C76" s="748">
        <f t="shared" si="6"/>
        <v>168.35293077535144</v>
      </c>
      <c r="D76" s="748">
        <f t="shared" si="25"/>
        <v>68.352930775351439</v>
      </c>
      <c r="E76" s="748">
        <f t="shared" si="24"/>
        <v>-2.6257125527173741E-4</v>
      </c>
      <c r="F76" s="748">
        <f>100*((B76/$B$64-1))</f>
        <v>10.700043018753846</v>
      </c>
      <c r="G76" s="748">
        <f t="shared" si="5"/>
        <v>10.700043018753846</v>
      </c>
      <c r="H76" s="843">
        <f t="shared" si="11"/>
        <v>22.207675523039395</v>
      </c>
      <c r="I76" s="846">
        <f>$B$253/B76</f>
        <v>2.5366765737229322</v>
      </c>
    </row>
    <row r="77" spans="1:9" ht="16.5" hidden="1" thickBot="1">
      <c r="A77" s="973" t="s">
        <v>423</v>
      </c>
      <c r="B77" s="748">
        <f>+geral!C1546</f>
        <v>952.12</v>
      </c>
      <c r="C77" s="748">
        <f t="shared" si="6"/>
        <v>168.35293077535144</v>
      </c>
      <c r="D77" s="748">
        <f t="shared" si="25"/>
        <v>68.352930775351439</v>
      </c>
      <c r="E77" s="748">
        <f t="shared" si="24"/>
        <v>0</v>
      </c>
      <c r="F77" s="748">
        <f t="shared" ref="F77:F82" si="26">100*((B77/$B$76-1))</f>
        <v>0</v>
      </c>
      <c r="G77" s="748">
        <f t="shared" si="5"/>
        <v>10.700043018753846</v>
      </c>
      <c r="H77" s="843">
        <f t="shared" si="11"/>
        <v>22.207675523039395</v>
      </c>
      <c r="I77" s="846">
        <f>$B$253/B77</f>
        <v>2.5366765737229322</v>
      </c>
    </row>
    <row r="78" spans="1:9" ht="16.5" hidden="1" thickBot="1">
      <c r="A78" s="973" t="s">
        <v>424</v>
      </c>
      <c r="B78" s="748">
        <f>+geral!C1547</f>
        <v>952.12</v>
      </c>
      <c r="C78" s="748">
        <f t="shared" si="6"/>
        <v>168.35293077535144</v>
      </c>
      <c r="D78" s="748">
        <f t="shared" si="25"/>
        <v>68.352930775351439</v>
      </c>
      <c r="E78" s="748">
        <f t="shared" ref="E78:E83" si="27">100*((B78/B77)-1)</f>
        <v>0</v>
      </c>
      <c r="F78" s="748">
        <f t="shared" si="26"/>
        <v>0</v>
      </c>
      <c r="G78" s="748">
        <f t="shared" si="5"/>
        <v>10.700043018753846</v>
      </c>
      <c r="H78" s="843">
        <f t="shared" si="11"/>
        <v>22.207675523039395</v>
      </c>
      <c r="I78" s="846">
        <f>$B$253/B78</f>
        <v>2.5366765737229322</v>
      </c>
    </row>
    <row r="79" spans="1:9" ht="16.5" hidden="1" thickBot="1">
      <c r="A79" s="973" t="s">
        <v>425</v>
      </c>
      <c r="B79" s="748">
        <f>+geral!C1548</f>
        <v>952.12</v>
      </c>
      <c r="C79" s="748">
        <f t="shared" si="6"/>
        <v>168.35293077535144</v>
      </c>
      <c r="D79" s="748">
        <f t="shared" si="25"/>
        <v>68.352930775351439</v>
      </c>
      <c r="E79" s="748">
        <f t="shared" si="27"/>
        <v>0</v>
      </c>
      <c r="F79" s="748">
        <f t="shared" si="26"/>
        <v>0</v>
      </c>
      <c r="G79" s="748">
        <f t="shared" si="5"/>
        <v>10.700043018753846</v>
      </c>
      <c r="H79" s="843">
        <f t="shared" si="11"/>
        <v>21.298443193110295</v>
      </c>
      <c r="I79" s="846">
        <f>$B$253/B79</f>
        <v>2.5366765737229322</v>
      </c>
    </row>
    <row r="80" spans="1:9" ht="16.5" hidden="1" thickBot="1">
      <c r="A80" s="973" t="s">
        <v>426</v>
      </c>
      <c r="B80" s="748">
        <f>+geral!C1549</f>
        <v>952.12</v>
      </c>
      <c r="C80" s="748">
        <f t="shared" si="6"/>
        <v>168.35293077535144</v>
      </c>
      <c r="D80" s="748">
        <f t="shared" si="25"/>
        <v>68.352930775351439</v>
      </c>
      <c r="E80" s="748">
        <f t="shared" si="27"/>
        <v>0</v>
      </c>
      <c r="F80" s="748">
        <f t="shared" si="26"/>
        <v>0</v>
      </c>
      <c r="G80" s="748">
        <f t="shared" si="5"/>
        <v>10.700043018753846</v>
      </c>
      <c r="H80" s="843">
        <f t="shared" si="11"/>
        <v>21.298443193110295</v>
      </c>
      <c r="I80" s="846">
        <f>$B$253/B80</f>
        <v>2.5366765737229322</v>
      </c>
    </row>
    <row r="81" spans="1:11" ht="16.5" hidden="1" thickBot="1">
      <c r="A81" s="973" t="s">
        <v>427</v>
      </c>
      <c r="B81" s="748">
        <f>+geral!C1550</f>
        <v>1000.82</v>
      </c>
      <c r="C81" s="748">
        <f t="shared" si="6"/>
        <v>176.96401732826453</v>
      </c>
      <c r="D81" s="748">
        <f t="shared" si="25"/>
        <v>76.964017328264532</v>
      </c>
      <c r="E81" s="748">
        <f t="shared" si="27"/>
        <v>5.1149014830063511</v>
      </c>
      <c r="F81" s="748">
        <f t="shared" si="26"/>
        <v>5.1149014830063511</v>
      </c>
      <c r="G81" s="748">
        <f t="shared" si="5"/>
        <v>7.7424911185272949</v>
      </c>
      <c r="H81" s="843">
        <f t="shared" si="11"/>
        <v>20.285082447959233</v>
      </c>
      <c r="I81" s="846">
        <f>$B$253/B81</f>
        <v>2.4132416412272719</v>
      </c>
    </row>
    <row r="82" spans="1:11" ht="16.5" hidden="1" thickBot="1">
      <c r="A82" s="973" t="s">
        <v>428</v>
      </c>
      <c r="B82" s="748">
        <f>+geral!C1551</f>
        <v>1000.82</v>
      </c>
      <c r="C82" s="748">
        <f t="shared" si="6"/>
        <v>176.96401732826453</v>
      </c>
      <c r="D82" s="748">
        <f t="shared" si="25"/>
        <v>76.964017328264532</v>
      </c>
      <c r="E82" s="748">
        <f t="shared" si="27"/>
        <v>0</v>
      </c>
      <c r="F82" s="748">
        <f t="shared" si="26"/>
        <v>5.1149014830063511</v>
      </c>
      <c r="G82" s="748">
        <f t="shared" si="5"/>
        <v>7.7424911185272949</v>
      </c>
      <c r="H82" s="843">
        <f t="shared" si="11"/>
        <v>20.285082447959233</v>
      </c>
      <c r="I82" s="846">
        <f>$B$253/B82</f>
        <v>2.4132416412272719</v>
      </c>
    </row>
    <row r="83" spans="1:11" ht="16.5" hidden="1" thickBot="1">
      <c r="A83" s="973" t="s">
        <v>429</v>
      </c>
      <c r="B83" s="748">
        <f>+geral!C1552</f>
        <v>1000.82</v>
      </c>
      <c r="C83" s="748">
        <f t="shared" si="6"/>
        <v>176.96401732826453</v>
      </c>
      <c r="D83" s="748">
        <f t="shared" si="25"/>
        <v>76.964017328264532</v>
      </c>
      <c r="E83" s="748">
        <f t="shared" si="27"/>
        <v>0</v>
      </c>
      <c r="F83" s="748">
        <f t="shared" ref="F83:F88" si="28">100*((B83/$B$76-1))</f>
        <v>5.1149014830063511</v>
      </c>
      <c r="G83" s="748">
        <f t="shared" si="5"/>
        <v>7.7424911185272949</v>
      </c>
      <c r="H83" s="843">
        <f t="shared" si="11"/>
        <v>20.285082447959233</v>
      </c>
      <c r="I83" s="846">
        <f>$B$253/B83</f>
        <v>2.4132416412272719</v>
      </c>
    </row>
    <row r="84" spans="1:11" ht="16.5" hidden="1" thickBot="1">
      <c r="A84" s="973" t="s">
        <v>430</v>
      </c>
      <c r="B84" s="748">
        <f>+geral!C1553</f>
        <v>1000.82</v>
      </c>
      <c r="C84" s="748">
        <f t="shared" si="6"/>
        <v>176.96401732826453</v>
      </c>
      <c r="D84" s="748">
        <f t="shared" si="25"/>
        <v>76.964017328264532</v>
      </c>
      <c r="E84" s="748">
        <f t="shared" ref="E84:E94" si="29">100*((B84/B83)-1)</f>
        <v>0</v>
      </c>
      <c r="F84" s="748">
        <f t="shared" si="28"/>
        <v>5.1149014830063511</v>
      </c>
      <c r="G84" s="748">
        <f t="shared" ref="G84:G147" si="30">100*((B84/B72)-1)</f>
        <v>7.7424911185272949</v>
      </c>
      <c r="H84" s="843">
        <f t="shared" si="11"/>
        <v>18.074136995351697</v>
      </c>
      <c r="I84" s="846">
        <f>$B$253/B84</f>
        <v>2.4132416412272719</v>
      </c>
    </row>
    <row r="85" spans="1:11" ht="16.5" hidden="1" thickBot="1">
      <c r="A85" s="973" t="s">
        <v>431</v>
      </c>
      <c r="B85" s="748">
        <f>+geral!C1554</f>
        <v>1000.82</v>
      </c>
      <c r="C85" s="748">
        <f t="shared" si="6"/>
        <v>176.96401732826453</v>
      </c>
      <c r="D85" s="748">
        <f t="shared" si="25"/>
        <v>76.964017328264532</v>
      </c>
      <c r="E85" s="748">
        <f t="shared" si="29"/>
        <v>0</v>
      </c>
      <c r="F85" s="748">
        <f t="shared" si="28"/>
        <v>5.1149014830063511</v>
      </c>
      <c r="G85" s="748">
        <f t="shared" si="30"/>
        <v>7.7424911185272949</v>
      </c>
      <c r="H85" s="843">
        <f t="shared" si="11"/>
        <v>18.074136995351697</v>
      </c>
      <c r="I85" s="846">
        <f>$B$253/B85</f>
        <v>2.4132416412272719</v>
      </c>
    </row>
    <row r="86" spans="1:11" ht="16.5" hidden="1" thickBot="1">
      <c r="A86" s="973" t="s">
        <v>432</v>
      </c>
      <c r="B86" s="748">
        <f>+geral!C1555</f>
        <v>1000.82</v>
      </c>
      <c r="C86" s="748">
        <f t="shared" si="6"/>
        <v>176.96401732826453</v>
      </c>
      <c r="D86" s="748">
        <f t="shared" si="25"/>
        <v>76.964017328264532</v>
      </c>
      <c r="E86" s="748">
        <f t="shared" si="29"/>
        <v>0</v>
      </c>
      <c r="F86" s="748">
        <f t="shared" si="28"/>
        <v>5.1149014830063511</v>
      </c>
      <c r="G86" s="748">
        <f t="shared" si="30"/>
        <v>7.7424911185272949</v>
      </c>
      <c r="H86" s="843">
        <f t="shared" si="11"/>
        <v>18.074136995351697</v>
      </c>
      <c r="I86" s="846">
        <f>$B$253/B86</f>
        <v>2.4132416412272719</v>
      </c>
    </row>
    <row r="87" spans="1:11" ht="16.5" hidden="1" thickBot="1">
      <c r="A87" s="973" t="s">
        <v>433</v>
      </c>
      <c r="B87" s="748">
        <f>+geral!C1556</f>
        <v>1000.82</v>
      </c>
      <c r="C87" s="748">
        <f t="shared" si="6"/>
        <v>176.96401732826453</v>
      </c>
      <c r="D87" s="748">
        <f t="shared" si="25"/>
        <v>76.964017328264532</v>
      </c>
      <c r="E87" s="748">
        <f t="shared" si="29"/>
        <v>0</v>
      </c>
      <c r="F87" s="748">
        <f t="shared" si="28"/>
        <v>5.1149014830063511</v>
      </c>
      <c r="G87" s="748">
        <f t="shared" si="30"/>
        <v>5.1146254814900427</v>
      </c>
      <c r="H87" s="843">
        <f t="shared" si="11"/>
        <v>18.074136995351697</v>
      </c>
      <c r="I87" s="846">
        <f>$B$253/B87</f>
        <v>2.4132416412272719</v>
      </c>
    </row>
    <row r="88" spans="1:11" ht="16.5" hidden="1" thickBot="1">
      <c r="A88" s="973" t="s">
        <v>434</v>
      </c>
      <c r="B88" s="748">
        <f>+geral!C1557</f>
        <v>1000.82</v>
      </c>
      <c r="C88" s="748">
        <f t="shared" si="6"/>
        <v>176.96401732826453</v>
      </c>
      <c r="D88" s="748">
        <f t="shared" si="25"/>
        <v>76.964017328264532</v>
      </c>
      <c r="E88" s="748">
        <f t="shared" si="29"/>
        <v>0</v>
      </c>
      <c r="F88" s="748">
        <f t="shared" si="28"/>
        <v>5.1149014830063511</v>
      </c>
      <c r="G88" s="748">
        <f t="shared" si="30"/>
        <v>5.1149014830063511</v>
      </c>
      <c r="H88" s="843">
        <f t="shared" si="11"/>
        <v>16.362241160808754</v>
      </c>
      <c r="I88" s="846">
        <f>$B$253/B88</f>
        <v>2.4132416412272719</v>
      </c>
    </row>
    <row r="89" spans="1:11" ht="16.5" hidden="1" thickBot="1">
      <c r="A89" s="973" t="s">
        <v>435</v>
      </c>
      <c r="B89" s="748">
        <f>+geral!E1546</f>
        <v>1000.82</v>
      </c>
      <c r="C89" s="748">
        <f t="shared" si="6"/>
        <v>176.96401732826453</v>
      </c>
      <c r="D89" s="748">
        <f t="shared" si="25"/>
        <v>76.964017328264532</v>
      </c>
      <c r="E89" s="748">
        <f t="shared" si="29"/>
        <v>0</v>
      </c>
      <c r="F89" s="748">
        <f>100*((B89/$B$88-1))</f>
        <v>0</v>
      </c>
      <c r="G89" s="748">
        <f t="shared" si="30"/>
        <v>5.1149014830063511</v>
      </c>
      <c r="H89" s="843">
        <f t="shared" si="11"/>
        <v>16.362241160808754</v>
      </c>
      <c r="I89" s="846">
        <f>$B$253/B89</f>
        <v>2.4132416412272719</v>
      </c>
    </row>
    <row r="90" spans="1:11" ht="16.5" hidden="1" thickBot="1">
      <c r="A90" s="973" t="s">
        <v>436</v>
      </c>
      <c r="B90" s="748">
        <f>+geral!E1547</f>
        <v>1000.82</v>
      </c>
      <c r="C90" s="748">
        <f t="shared" ref="C90:C148" si="31">100*B90/$B$8</f>
        <v>176.96401732826453</v>
      </c>
      <c r="D90" s="748">
        <f t="shared" si="25"/>
        <v>76.964017328264532</v>
      </c>
      <c r="E90" s="748">
        <f t="shared" si="29"/>
        <v>0</v>
      </c>
      <c r="F90" s="748">
        <f>100*((B90/$B$88-1))</f>
        <v>0</v>
      </c>
      <c r="G90" s="748">
        <f t="shared" si="30"/>
        <v>5.1149014830063511</v>
      </c>
      <c r="H90" s="843">
        <f t="shared" si="11"/>
        <v>16.362241160808754</v>
      </c>
      <c r="I90" s="846">
        <f>$B$253/B90</f>
        <v>2.4132416412272719</v>
      </c>
    </row>
    <row r="91" spans="1:11" ht="16.5" hidden="1" thickBot="1">
      <c r="A91" s="973" t="s">
        <v>437</v>
      </c>
      <c r="B91" s="748">
        <f>+geral!E1548</f>
        <v>1000.82</v>
      </c>
      <c r="C91" s="748">
        <f t="shared" si="31"/>
        <v>176.96401732826453</v>
      </c>
      <c r="D91" s="748">
        <f t="shared" si="25"/>
        <v>76.964017328264532</v>
      </c>
      <c r="E91" s="748">
        <f t="shared" si="29"/>
        <v>0</v>
      </c>
      <c r="F91" s="748">
        <f>100*((B91/$B$88-1))</f>
        <v>0</v>
      </c>
      <c r="G91" s="748">
        <f t="shared" si="30"/>
        <v>5.1149014830063511</v>
      </c>
      <c r="H91" s="843">
        <f t="shared" si="11"/>
        <v>16.362241160808754</v>
      </c>
      <c r="I91" s="846">
        <f>$B$253/B91</f>
        <v>2.4132416412272719</v>
      </c>
    </row>
    <row r="92" spans="1:11" ht="16.5" hidden="1" thickBot="1">
      <c r="A92" s="973" t="s">
        <v>438</v>
      </c>
      <c r="B92" s="748">
        <f>+geral!E1549</f>
        <v>1000.82</v>
      </c>
      <c r="C92" s="748">
        <f t="shared" si="31"/>
        <v>176.96401732826453</v>
      </c>
      <c r="D92" s="748">
        <f t="shared" si="25"/>
        <v>76.964017328264532</v>
      </c>
      <c r="E92" s="748">
        <f t="shared" si="29"/>
        <v>0</v>
      </c>
      <c r="F92" s="748">
        <f>100*((B92/$B$88-1))</f>
        <v>0</v>
      </c>
      <c r="G92" s="748">
        <f t="shared" si="30"/>
        <v>5.1149014830063511</v>
      </c>
      <c r="H92" s="843">
        <f t="shared" si="11"/>
        <v>16.362241160808754</v>
      </c>
      <c r="I92" s="846">
        <f>$B$253/B92</f>
        <v>2.4132416412272719</v>
      </c>
    </row>
    <row r="93" spans="1:11" ht="16.5" hidden="1" thickBot="1">
      <c r="A93" s="973" t="s">
        <v>439</v>
      </c>
      <c r="B93" s="748">
        <f>+geral!E1550</f>
        <v>1054.72</v>
      </c>
      <c r="C93" s="748">
        <f t="shared" si="31"/>
        <v>186.4945628149589</v>
      </c>
      <c r="D93" s="748">
        <f t="shared" si="25"/>
        <v>86.494562814958897</v>
      </c>
      <c r="E93" s="748">
        <f t="shared" si="29"/>
        <v>5.3855838212665486</v>
      </c>
      <c r="F93" s="748">
        <f>100*((B93/$B$88-1))</f>
        <v>5.3855838212665486</v>
      </c>
      <c r="G93" s="748">
        <f t="shared" si="30"/>
        <v>5.3855838212665486</v>
      </c>
      <c r="H93" s="843">
        <f t="shared" si="11"/>
        <v>13.545053288836261</v>
      </c>
      <c r="I93" s="846">
        <f>$B$253/B93</f>
        <v>2.2899162805039048</v>
      </c>
    </row>
    <row r="94" spans="1:11" ht="16.5" hidden="1" thickBot="1">
      <c r="A94" s="973" t="s">
        <v>440</v>
      </c>
      <c r="B94" s="748">
        <f>+geral!E1551</f>
        <v>1054.72</v>
      </c>
      <c r="C94" s="748">
        <f t="shared" si="31"/>
        <v>186.4945628149589</v>
      </c>
      <c r="D94" s="748">
        <f t="shared" si="25"/>
        <v>86.494562814958897</v>
      </c>
      <c r="E94" s="748">
        <f t="shared" si="29"/>
        <v>0</v>
      </c>
      <c r="F94" s="748">
        <f t="shared" ref="F94:F100" si="32">100*((B94/$B$88-1))</f>
        <v>5.3855838212665486</v>
      </c>
      <c r="G94" s="748">
        <f t="shared" si="30"/>
        <v>5.3855838212665486</v>
      </c>
      <c r="H94" s="843">
        <f t="shared" si="11"/>
        <v>13.545053288836261</v>
      </c>
      <c r="I94" s="846">
        <f>$B$253/B94</f>
        <v>2.2899162805039048</v>
      </c>
      <c r="J94" s="783"/>
      <c r="K94" s="774"/>
    </row>
    <row r="95" spans="1:11" ht="16.5" hidden="1" thickBot="1">
      <c r="A95" s="973" t="s">
        <v>441</v>
      </c>
      <c r="B95" s="748">
        <f>+geral!E1552</f>
        <v>1054.72</v>
      </c>
      <c r="C95" s="748">
        <f t="shared" si="31"/>
        <v>186.4945628149589</v>
      </c>
      <c r="D95" s="748">
        <f t="shared" si="25"/>
        <v>86.494562814958897</v>
      </c>
      <c r="E95" s="748">
        <f t="shared" ref="E95:E100" si="33">100*((B95/B94)-1)</f>
        <v>0</v>
      </c>
      <c r="F95" s="748">
        <f t="shared" si="32"/>
        <v>5.3855838212665486</v>
      </c>
      <c r="G95" s="748">
        <f t="shared" si="30"/>
        <v>5.3855838212665486</v>
      </c>
      <c r="H95" s="843">
        <f t="shared" si="11"/>
        <v>13.545053288836261</v>
      </c>
      <c r="I95" s="846">
        <f>$B$253/B95</f>
        <v>2.2899162805039048</v>
      </c>
      <c r="J95" s="784" t="s">
        <v>241</v>
      </c>
    </row>
    <row r="96" spans="1:11" ht="16.5" hidden="1" thickBot="1">
      <c r="A96" s="973" t="s">
        <v>442</v>
      </c>
      <c r="B96" s="748">
        <f>+geral!E1553</f>
        <v>1054.72</v>
      </c>
      <c r="C96" s="748">
        <f t="shared" si="31"/>
        <v>186.4945628149589</v>
      </c>
      <c r="D96" s="748">
        <f t="shared" si="25"/>
        <v>86.494562814958897</v>
      </c>
      <c r="E96" s="748">
        <f t="shared" si="33"/>
        <v>0</v>
      </c>
      <c r="F96" s="748">
        <f t="shared" si="32"/>
        <v>5.3855838212665486</v>
      </c>
      <c r="G96" s="748">
        <f t="shared" si="30"/>
        <v>5.3855838212665486</v>
      </c>
      <c r="H96" s="843">
        <f t="shared" si="11"/>
        <v>13.545053288836261</v>
      </c>
      <c r="I96" s="846">
        <f>$B$253/B96</f>
        <v>2.2899162805039048</v>
      </c>
    </row>
    <row r="97" spans="1:9" ht="16.5" hidden="1" thickBot="1">
      <c r="A97" s="973" t="s">
        <v>443</v>
      </c>
      <c r="B97" s="748">
        <f>+geral!E1554</f>
        <v>1054.72</v>
      </c>
      <c r="C97" s="748">
        <f t="shared" si="31"/>
        <v>186.4945628149589</v>
      </c>
      <c r="D97" s="748">
        <f t="shared" si="25"/>
        <v>86.494562814958897</v>
      </c>
      <c r="E97" s="748">
        <f t="shared" si="33"/>
        <v>0</v>
      </c>
      <c r="F97" s="748">
        <f t="shared" si="32"/>
        <v>5.3855838212665486</v>
      </c>
      <c r="G97" s="748">
        <f t="shared" si="30"/>
        <v>5.3855838212665486</v>
      </c>
      <c r="H97" s="843">
        <f t="shared" ref="H97:H160" si="34">100*(B97/B73-1)</f>
        <v>13.545053288836261</v>
      </c>
      <c r="I97" s="846">
        <f>$B$253/B97</f>
        <v>2.2899162805039048</v>
      </c>
    </row>
    <row r="98" spans="1:9" ht="16.5" hidden="1" thickBot="1">
      <c r="A98" s="973" t="s">
        <v>444</v>
      </c>
      <c r="B98" s="748">
        <f>+geral!E1555</f>
        <v>1054.72</v>
      </c>
      <c r="C98" s="748">
        <f t="shared" si="31"/>
        <v>186.4945628149589</v>
      </c>
      <c r="D98" s="748">
        <f t="shared" si="25"/>
        <v>86.494562814958897</v>
      </c>
      <c r="E98" s="748">
        <f t="shared" si="33"/>
        <v>0</v>
      </c>
      <c r="F98" s="748">
        <f t="shared" si="32"/>
        <v>5.3855838212665486</v>
      </c>
      <c r="G98" s="748">
        <f t="shared" si="30"/>
        <v>5.3855838212665486</v>
      </c>
      <c r="H98" s="843">
        <f t="shared" si="34"/>
        <v>13.545053288836261</v>
      </c>
      <c r="I98" s="846">
        <f>$B$253/B98</f>
        <v>2.2899162805039048</v>
      </c>
    </row>
    <row r="99" spans="1:9" ht="16.5" hidden="1" thickBot="1">
      <c r="A99" s="973" t="s">
        <v>445</v>
      </c>
      <c r="B99" s="748">
        <f>+geral!E1556</f>
        <v>1054.72</v>
      </c>
      <c r="C99" s="748">
        <f t="shared" si="31"/>
        <v>186.4945628149589</v>
      </c>
      <c r="D99" s="748">
        <f t="shared" si="25"/>
        <v>86.494562814958897</v>
      </c>
      <c r="E99" s="748">
        <f t="shared" si="33"/>
        <v>0</v>
      </c>
      <c r="F99" s="748">
        <f t="shared" si="32"/>
        <v>5.3855838212665486</v>
      </c>
      <c r="G99" s="748">
        <f t="shared" si="30"/>
        <v>5.3855838212665486</v>
      </c>
      <c r="H99" s="843">
        <f t="shared" si="34"/>
        <v>10.775661745206122</v>
      </c>
      <c r="I99" s="846">
        <f>$B$253/B99</f>
        <v>2.2899162805039048</v>
      </c>
    </row>
    <row r="100" spans="1:9" ht="16.5" hidden="1" thickBot="1">
      <c r="A100" s="973" t="s">
        <v>446</v>
      </c>
      <c r="B100" s="748">
        <f>+geral!E1557</f>
        <v>1054.72</v>
      </c>
      <c r="C100" s="748">
        <f t="shared" si="31"/>
        <v>186.4945628149589</v>
      </c>
      <c r="D100" s="748">
        <f t="shared" si="25"/>
        <v>86.494562814958897</v>
      </c>
      <c r="E100" s="748">
        <f t="shared" si="33"/>
        <v>0</v>
      </c>
      <c r="F100" s="748">
        <f t="shared" si="32"/>
        <v>5.3855838212665486</v>
      </c>
      <c r="G100" s="748">
        <f t="shared" si="30"/>
        <v>5.3855838212665486</v>
      </c>
      <c r="H100" s="843">
        <f t="shared" si="34"/>
        <v>10.775952611015427</v>
      </c>
      <c r="I100" s="846">
        <f>$B$253/B100</f>
        <v>2.2899162805039048</v>
      </c>
    </row>
    <row r="101" spans="1:9" ht="16.5" hidden="1" thickBot="1">
      <c r="A101" s="973" t="s">
        <v>447</v>
      </c>
      <c r="B101" s="748">
        <f>geral!G1546</f>
        <v>1054.72</v>
      </c>
      <c r="C101" s="748">
        <f t="shared" si="31"/>
        <v>186.4945628149589</v>
      </c>
      <c r="D101" s="748">
        <f t="shared" si="25"/>
        <v>86.494562814958897</v>
      </c>
      <c r="E101" s="748">
        <f t="shared" ref="E101:E106" si="35">100*((B101/B100)-1)</f>
        <v>0</v>
      </c>
      <c r="F101" s="748">
        <f t="shared" ref="F101:F106" si="36">100*((B101/$B$100-1))</f>
        <v>0</v>
      </c>
      <c r="G101" s="748">
        <f t="shared" si="30"/>
        <v>5.3855838212665486</v>
      </c>
      <c r="H101" s="843">
        <f t="shared" si="34"/>
        <v>10.775952611015427</v>
      </c>
      <c r="I101" s="846">
        <f>$B$253/B101</f>
        <v>2.2899162805039048</v>
      </c>
    </row>
    <row r="102" spans="1:9" ht="16.5" hidden="1" thickBot="1">
      <c r="A102" s="973" t="s">
        <v>448</v>
      </c>
      <c r="B102" s="748">
        <f>geral!G1547</f>
        <v>1054.72</v>
      </c>
      <c r="C102" s="748">
        <f t="shared" si="31"/>
        <v>186.4945628149589</v>
      </c>
      <c r="D102" s="748">
        <f t="shared" si="25"/>
        <v>86.494562814958897</v>
      </c>
      <c r="E102" s="748">
        <f t="shared" si="35"/>
        <v>0</v>
      </c>
      <c r="F102" s="748">
        <f t="shared" si="36"/>
        <v>0</v>
      </c>
      <c r="G102" s="748">
        <f t="shared" si="30"/>
        <v>5.3855838212665486</v>
      </c>
      <c r="H102" s="843">
        <f t="shared" si="34"/>
        <v>10.775952611015427</v>
      </c>
      <c r="I102" s="846">
        <f>$B$253/B102</f>
        <v>2.2899162805039048</v>
      </c>
    </row>
    <row r="103" spans="1:9" ht="16.5" hidden="1" thickBot="1">
      <c r="A103" s="973" t="s">
        <v>449</v>
      </c>
      <c r="B103" s="748">
        <f>geral!G1548</f>
        <v>1054.72</v>
      </c>
      <c r="C103" s="748">
        <f t="shared" si="31"/>
        <v>186.4945628149589</v>
      </c>
      <c r="D103" s="748">
        <f t="shared" si="25"/>
        <v>86.494562814958897</v>
      </c>
      <c r="E103" s="748">
        <f t="shared" si="35"/>
        <v>0</v>
      </c>
      <c r="F103" s="748">
        <f t="shared" si="36"/>
        <v>0</v>
      </c>
      <c r="G103" s="748">
        <f t="shared" si="30"/>
        <v>5.3855838212665486</v>
      </c>
      <c r="H103" s="843">
        <f t="shared" si="34"/>
        <v>10.775952611015427</v>
      </c>
      <c r="I103" s="846">
        <f>$B$253/B103</f>
        <v>2.2899162805039048</v>
      </c>
    </row>
    <row r="104" spans="1:9" ht="16.5" hidden="1" thickBot="1">
      <c r="A104" s="973" t="s">
        <v>450</v>
      </c>
      <c r="B104" s="748">
        <f>geral!G1549</f>
        <v>1054.72</v>
      </c>
      <c r="C104" s="748">
        <f t="shared" si="31"/>
        <v>186.4945628149589</v>
      </c>
      <c r="D104" s="748">
        <f t="shared" si="25"/>
        <v>86.494562814958897</v>
      </c>
      <c r="E104" s="748">
        <f t="shared" si="35"/>
        <v>0</v>
      </c>
      <c r="F104" s="748">
        <f t="shared" si="36"/>
        <v>0</v>
      </c>
      <c r="G104" s="748">
        <f t="shared" si="30"/>
        <v>5.3855838212665486</v>
      </c>
      <c r="H104" s="843">
        <f t="shared" si="34"/>
        <v>10.775952611015427</v>
      </c>
      <c r="I104" s="846">
        <f>$B$253/B104</f>
        <v>2.2899162805039048</v>
      </c>
    </row>
    <row r="105" spans="1:9" ht="16.5" hidden="1" thickBot="1">
      <c r="A105" s="973" t="s">
        <v>451</v>
      </c>
      <c r="B105" s="748">
        <f>geral!G1550</f>
        <v>1136.43</v>
      </c>
      <c r="C105" s="748">
        <f t="shared" si="31"/>
        <v>200.94244540712583</v>
      </c>
      <c r="D105" s="748">
        <f t="shared" si="25"/>
        <v>100.94244540712583</v>
      </c>
      <c r="E105" s="748">
        <f t="shared" si="35"/>
        <v>7.7470797936893154</v>
      </c>
      <c r="F105" s="748">
        <f t="shared" si="36"/>
        <v>7.7470797936893154</v>
      </c>
      <c r="G105" s="748">
        <f t="shared" si="30"/>
        <v>7.7470797936893154</v>
      </c>
      <c r="H105" s="843">
        <f t="shared" si="34"/>
        <v>13.549889090945433</v>
      </c>
      <c r="I105" s="846">
        <f>$B$253/B105</f>
        <v>2.1252699236847659</v>
      </c>
    </row>
    <row r="106" spans="1:9" ht="16.5" hidden="1" thickBot="1">
      <c r="A106" s="973" t="s">
        <v>452</v>
      </c>
      <c r="B106" s="748">
        <f>geral!G1551</f>
        <v>1136.43</v>
      </c>
      <c r="C106" s="748">
        <f t="shared" si="31"/>
        <v>200.94244540712583</v>
      </c>
      <c r="D106" s="748">
        <f t="shared" si="25"/>
        <v>100.94244540712583</v>
      </c>
      <c r="E106" s="748">
        <f t="shared" si="35"/>
        <v>0</v>
      </c>
      <c r="F106" s="748">
        <f t="shared" si="36"/>
        <v>7.7470797936893154</v>
      </c>
      <c r="G106" s="748">
        <f t="shared" si="30"/>
        <v>7.7470797936893154</v>
      </c>
      <c r="H106" s="843">
        <f t="shared" si="34"/>
        <v>13.549889090945433</v>
      </c>
      <c r="I106" s="846">
        <f>$B$253/B106</f>
        <v>2.1252699236847659</v>
      </c>
    </row>
    <row r="107" spans="1:9" ht="16.5" hidden="1" thickBot="1">
      <c r="A107" s="973" t="s">
        <v>453</v>
      </c>
      <c r="B107" s="748">
        <f>geral!G1552</f>
        <v>1136.43</v>
      </c>
      <c r="C107" s="748">
        <f t="shared" si="31"/>
        <v>200.94244540712583</v>
      </c>
      <c r="D107" s="748">
        <f t="shared" si="25"/>
        <v>100.94244540712583</v>
      </c>
      <c r="E107" s="748">
        <f t="shared" ref="E107:E112" si="37">100*((B107/B106)-1)</f>
        <v>0</v>
      </c>
      <c r="F107" s="748">
        <f t="shared" ref="F107:F112" si="38">100*((B107/$B$100-1))</f>
        <v>7.7470797936893154</v>
      </c>
      <c r="G107" s="748">
        <f t="shared" si="30"/>
        <v>7.7470797936893154</v>
      </c>
      <c r="H107" s="843">
        <f t="shared" si="34"/>
        <v>13.549889090945433</v>
      </c>
      <c r="I107" s="846">
        <f>$B$253/B107</f>
        <v>2.1252699236847659</v>
      </c>
    </row>
    <row r="108" spans="1:9" ht="16.5" hidden="1" thickBot="1">
      <c r="A108" s="973" t="s">
        <v>454</v>
      </c>
      <c r="B108" s="748">
        <f>geral!G1553</f>
        <v>1136.43</v>
      </c>
      <c r="C108" s="748">
        <f t="shared" si="31"/>
        <v>200.94244540712583</v>
      </c>
      <c r="D108" s="748">
        <f t="shared" si="25"/>
        <v>100.94244540712583</v>
      </c>
      <c r="E108" s="748">
        <f t="shared" si="37"/>
        <v>0</v>
      </c>
      <c r="F108" s="748">
        <f t="shared" si="38"/>
        <v>7.7470797936893154</v>
      </c>
      <c r="G108" s="748">
        <f t="shared" si="30"/>
        <v>7.7470797936893154</v>
      </c>
      <c r="H108" s="843">
        <f t="shared" si="34"/>
        <v>13.549889090945433</v>
      </c>
      <c r="I108" s="846">
        <f>$B$253/B108</f>
        <v>2.1252699236847659</v>
      </c>
    </row>
    <row r="109" spans="1:9" ht="16.5" hidden="1" thickBot="1">
      <c r="A109" s="973" t="s">
        <v>455</v>
      </c>
      <c r="B109" s="748">
        <f>geral!G1554</f>
        <v>1136.43</v>
      </c>
      <c r="C109" s="748">
        <f t="shared" si="31"/>
        <v>200.94244540712583</v>
      </c>
      <c r="D109" s="748">
        <f t="shared" si="25"/>
        <v>100.94244540712583</v>
      </c>
      <c r="E109" s="748">
        <f t="shared" si="37"/>
        <v>0</v>
      </c>
      <c r="F109" s="748">
        <f t="shared" si="38"/>
        <v>7.7470797936893154</v>
      </c>
      <c r="G109" s="748">
        <f t="shared" si="30"/>
        <v>7.7470797936893154</v>
      </c>
      <c r="H109" s="843">
        <f t="shared" si="34"/>
        <v>13.549889090945433</v>
      </c>
      <c r="I109" s="846">
        <f>$B$253/B109</f>
        <v>2.1252699236847659</v>
      </c>
    </row>
    <row r="110" spans="1:9" ht="16.5" hidden="1" thickBot="1">
      <c r="A110" s="973" t="s">
        <v>456</v>
      </c>
      <c r="B110" s="748">
        <f>geral!G1555</f>
        <v>1136.43</v>
      </c>
      <c r="C110" s="748">
        <f t="shared" si="31"/>
        <v>200.94244540712583</v>
      </c>
      <c r="D110" s="748">
        <f t="shared" si="25"/>
        <v>100.94244540712583</v>
      </c>
      <c r="E110" s="748">
        <f t="shared" si="37"/>
        <v>0</v>
      </c>
      <c r="F110" s="748">
        <f t="shared" si="38"/>
        <v>7.7470797936893154</v>
      </c>
      <c r="G110" s="748">
        <f t="shared" si="30"/>
        <v>7.7470797936893154</v>
      </c>
      <c r="H110" s="843">
        <f t="shared" si="34"/>
        <v>13.549889090945433</v>
      </c>
      <c r="I110" s="846">
        <f>$B$253/B110</f>
        <v>2.1252699236847659</v>
      </c>
    </row>
    <row r="111" spans="1:9" ht="16.5" hidden="1" thickBot="1">
      <c r="A111" s="973" t="s">
        <v>457</v>
      </c>
      <c r="B111" s="748">
        <f>geral!G1556</f>
        <v>1136.43</v>
      </c>
      <c r="C111" s="748">
        <f t="shared" si="31"/>
        <v>200.94244540712583</v>
      </c>
      <c r="D111" s="748">
        <f t="shared" si="25"/>
        <v>100.94244540712583</v>
      </c>
      <c r="E111" s="748">
        <f t="shared" si="37"/>
        <v>0</v>
      </c>
      <c r="F111" s="748">
        <f t="shared" si="38"/>
        <v>7.7470797936893154</v>
      </c>
      <c r="G111" s="748">
        <f t="shared" si="30"/>
        <v>7.7470797936893154</v>
      </c>
      <c r="H111" s="843">
        <f t="shared" si="34"/>
        <v>13.549889090945433</v>
      </c>
      <c r="I111" s="846">
        <f>$B$253/B111</f>
        <v>2.1252699236847659</v>
      </c>
    </row>
    <row r="112" spans="1:9" ht="16.5" hidden="1" thickBot="1">
      <c r="A112" s="973" t="s">
        <v>458</v>
      </c>
      <c r="B112" s="748">
        <f>geral!G1557</f>
        <v>1136.43</v>
      </c>
      <c r="C112" s="748">
        <f t="shared" si="31"/>
        <v>200.94244540712583</v>
      </c>
      <c r="D112" s="748">
        <f t="shared" si="25"/>
        <v>100.94244540712583</v>
      </c>
      <c r="E112" s="748">
        <f t="shared" si="37"/>
        <v>0</v>
      </c>
      <c r="F112" s="748">
        <f t="shared" si="38"/>
        <v>7.7470797936893154</v>
      </c>
      <c r="G112" s="748">
        <f t="shared" si="30"/>
        <v>7.7470797936893154</v>
      </c>
      <c r="H112" s="843">
        <f t="shared" si="34"/>
        <v>13.549889090945433</v>
      </c>
      <c r="I112" s="846">
        <f>$B$253/B112</f>
        <v>2.1252699236847659</v>
      </c>
    </row>
    <row r="113" spans="1:10" ht="16.5" hidden="1" thickBot="1">
      <c r="A113" s="973" t="s">
        <v>459</v>
      </c>
      <c r="B113" s="748">
        <f>geral!I1546</f>
        <v>1136.43</v>
      </c>
      <c r="C113" s="748">
        <f t="shared" si="31"/>
        <v>200.94244540712583</v>
      </c>
      <c r="D113" s="748">
        <f t="shared" si="25"/>
        <v>100.94244540712583</v>
      </c>
      <c r="E113" s="748">
        <f t="shared" ref="E113:E118" si="39">100*((B113/B112)-1)</f>
        <v>0</v>
      </c>
      <c r="F113" s="748">
        <f t="shared" ref="F113:F118" si="40">100*((B113/$B$112-1))</f>
        <v>0</v>
      </c>
      <c r="G113" s="748">
        <f t="shared" si="30"/>
        <v>7.7470797936893154</v>
      </c>
      <c r="H113" s="843">
        <f t="shared" si="34"/>
        <v>13.549889090945433</v>
      </c>
      <c r="I113" s="846">
        <f>$B$253/B113</f>
        <v>2.1252699236847659</v>
      </c>
    </row>
    <row r="114" spans="1:10" ht="16.5" hidden="1" thickBot="1">
      <c r="A114" s="973" t="s">
        <v>460</v>
      </c>
      <c r="B114" s="748">
        <f>geral!I1547</f>
        <v>1136.43</v>
      </c>
      <c r="C114" s="748">
        <f t="shared" si="31"/>
        <v>200.94244540712583</v>
      </c>
      <c r="D114" s="748">
        <f t="shared" si="25"/>
        <v>100.94244540712583</v>
      </c>
      <c r="E114" s="748">
        <f t="shared" si="39"/>
        <v>0</v>
      </c>
      <c r="F114" s="748">
        <f t="shared" si="40"/>
        <v>0</v>
      </c>
      <c r="G114" s="748">
        <f t="shared" si="30"/>
        <v>7.7470797936893154</v>
      </c>
      <c r="H114" s="843">
        <f t="shared" si="34"/>
        <v>13.549889090945433</v>
      </c>
      <c r="I114" s="846">
        <f>$B$253/B114</f>
        <v>2.1252699236847659</v>
      </c>
    </row>
    <row r="115" spans="1:10" ht="16.5" hidden="1" thickBot="1">
      <c r="A115" s="973" t="s">
        <v>461</v>
      </c>
      <c r="B115" s="748">
        <f>geral!I1548</f>
        <v>1136.43</v>
      </c>
      <c r="C115" s="748">
        <f t="shared" si="31"/>
        <v>200.94244540712583</v>
      </c>
      <c r="D115" s="748">
        <f t="shared" si="25"/>
        <v>100.94244540712583</v>
      </c>
      <c r="E115" s="748">
        <f t="shared" si="39"/>
        <v>0</v>
      </c>
      <c r="F115" s="748">
        <f t="shared" si="40"/>
        <v>0</v>
      </c>
      <c r="G115" s="748">
        <f t="shared" si="30"/>
        <v>7.7470797936893154</v>
      </c>
      <c r="H115" s="843">
        <f t="shared" si="34"/>
        <v>13.549889090945433</v>
      </c>
      <c r="I115" s="846">
        <f>$B$253/B115</f>
        <v>2.1252699236847659</v>
      </c>
    </row>
    <row r="116" spans="1:10" ht="16.5" hidden="1" thickBot="1">
      <c r="A116" s="973" t="s">
        <v>462</v>
      </c>
      <c r="B116" s="748">
        <f>geral!I1549</f>
        <v>1136.43</v>
      </c>
      <c r="C116" s="748">
        <f t="shared" si="31"/>
        <v>200.94244540712583</v>
      </c>
      <c r="D116" s="748">
        <f t="shared" si="25"/>
        <v>100.94244540712583</v>
      </c>
      <c r="E116" s="748">
        <f t="shared" si="39"/>
        <v>0</v>
      </c>
      <c r="F116" s="748">
        <f t="shared" si="40"/>
        <v>0</v>
      </c>
      <c r="G116" s="748">
        <f t="shared" si="30"/>
        <v>7.7470797936893154</v>
      </c>
      <c r="H116" s="843">
        <f t="shared" si="34"/>
        <v>13.549889090945433</v>
      </c>
      <c r="I116" s="846">
        <f>$B$253/B116</f>
        <v>2.1252699236847659</v>
      </c>
      <c r="J116" s="784"/>
    </row>
    <row r="117" spans="1:10" ht="16.5" hidden="1" thickBot="1">
      <c r="A117" s="973" t="s">
        <v>463</v>
      </c>
      <c r="B117" s="748">
        <f>geral!I1550</f>
        <v>1215.9801000000002</v>
      </c>
      <c r="C117" s="748">
        <f t="shared" si="31"/>
        <v>215.00841658562467</v>
      </c>
      <c r="D117" s="748">
        <f t="shared" si="25"/>
        <v>115.00841658562467</v>
      </c>
      <c r="E117" s="748">
        <f t="shared" si="39"/>
        <v>7.0000000000000062</v>
      </c>
      <c r="F117" s="748">
        <f t="shared" si="40"/>
        <v>7.0000000000000062</v>
      </c>
      <c r="G117" s="748">
        <f t="shared" si="30"/>
        <v>7.0000000000000062</v>
      </c>
      <c r="H117" s="843">
        <f t="shared" si="34"/>
        <v>15.289375379247595</v>
      </c>
      <c r="I117" s="846">
        <f>$B$253/B117</f>
        <v>1.9862335735371639</v>
      </c>
      <c r="J117" s="785"/>
    </row>
    <row r="118" spans="1:10" ht="16.5" hidden="1" thickBot="1">
      <c r="A118" s="973" t="s">
        <v>464</v>
      </c>
      <c r="B118" s="748">
        <f>geral!I1551</f>
        <v>1215.9801000000002</v>
      </c>
      <c r="C118" s="748">
        <f t="shared" si="31"/>
        <v>215.00841658562467</v>
      </c>
      <c r="D118" s="748">
        <f t="shared" si="25"/>
        <v>115.00841658562467</v>
      </c>
      <c r="E118" s="748">
        <f t="shared" si="39"/>
        <v>0</v>
      </c>
      <c r="F118" s="748">
        <f t="shared" si="40"/>
        <v>7.0000000000000062</v>
      </c>
      <c r="G118" s="748">
        <f t="shared" si="30"/>
        <v>7.0000000000000062</v>
      </c>
      <c r="H118" s="843">
        <f t="shared" si="34"/>
        <v>15.289375379247595</v>
      </c>
      <c r="I118" s="846">
        <f>$B$253/B118</f>
        <v>1.9862335735371639</v>
      </c>
      <c r="J118" s="785"/>
    </row>
    <row r="119" spans="1:10" ht="16.5" hidden="1" thickBot="1">
      <c r="A119" s="973" t="s">
        <v>465</v>
      </c>
      <c r="B119" s="748">
        <f>geral!I1552</f>
        <v>1215.9801000000002</v>
      </c>
      <c r="C119" s="748">
        <f t="shared" si="31"/>
        <v>215.00841658562467</v>
      </c>
      <c r="D119" s="748">
        <f t="shared" si="25"/>
        <v>115.00841658562467</v>
      </c>
      <c r="E119" s="748">
        <f t="shared" ref="E119:E124" si="41">100*((B119/B118)-1)</f>
        <v>0</v>
      </c>
      <c r="F119" s="748">
        <f t="shared" ref="F119:F124" si="42">100*((B119/$B$112-1))</f>
        <v>7.0000000000000062</v>
      </c>
      <c r="G119" s="748">
        <f t="shared" si="30"/>
        <v>7.0000000000000062</v>
      </c>
      <c r="H119" s="843">
        <f t="shared" si="34"/>
        <v>15.289375379247595</v>
      </c>
      <c r="I119" s="846">
        <f>$B$253/B119</f>
        <v>1.9862335735371639</v>
      </c>
      <c r="J119" s="785"/>
    </row>
    <row r="120" spans="1:10" ht="16.5" hidden="1" thickBot="1">
      <c r="A120" s="973" t="s">
        <v>466</v>
      </c>
      <c r="B120" s="748">
        <f>geral!I1553</f>
        <v>1215.9801000000002</v>
      </c>
      <c r="C120" s="748">
        <f t="shared" si="31"/>
        <v>215.00841658562467</v>
      </c>
      <c r="D120" s="748">
        <f t="shared" si="25"/>
        <v>115.00841658562467</v>
      </c>
      <c r="E120" s="748">
        <f t="shared" si="41"/>
        <v>0</v>
      </c>
      <c r="F120" s="748">
        <f t="shared" si="42"/>
        <v>7.0000000000000062</v>
      </c>
      <c r="G120" s="748">
        <f t="shared" si="30"/>
        <v>7.0000000000000062</v>
      </c>
      <c r="H120" s="843">
        <f t="shared" si="34"/>
        <v>15.289375379247595</v>
      </c>
      <c r="I120" s="846">
        <f>$B$253/B120</f>
        <v>1.9862335735371639</v>
      </c>
      <c r="J120" s="785"/>
    </row>
    <row r="121" spans="1:10" ht="16.5" hidden="1" thickBot="1">
      <c r="A121" s="973" t="s">
        <v>467</v>
      </c>
      <c r="B121" s="748">
        <f>geral!I1554</f>
        <v>1215.9801000000002</v>
      </c>
      <c r="C121" s="748">
        <f t="shared" si="31"/>
        <v>215.00841658562467</v>
      </c>
      <c r="D121" s="748">
        <f t="shared" si="25"/>
        <v>115.00841658562467</v>
      </c>
      <c r="E121" s="748">
        <f t="shared" si="41"/>
        <v>0</v>
      </c>
      <c r="F121" s="748">
        <f t="shared" si="42"/>
        <v>7.0000000000000062</v>
      </c>
      <c r="G121" s="748">
        <f t="shared" si="30"/>
        <v>7.0000000000000062</v>
      </c>
      <c r="H121" s="843">
        <f t="shared" si="34"/>
        <v>15.289375379247595</v>
      </c>
      <c r="I121" s="846">
        <f>$B$253/B121</f>
        <v>1.9862335735371639</v>
      </c>
      <c r="J121" s="785"/>
    </row>
    <row r="122" spans="1:10" ht="16.5" hidden="1" thickBot="1">
      <c r="A122" s="973" t="s">
        <v>468</v>
      </c>
      <c r="B122" s="748">
        <f>geral!I1555</f>
        <v>1215.9801000000002</v>
      </c>
      <c r="C122" s="748">
        <f t="shared" si="31"/>
        <v>215.00841658562467</v>
      </c>
      <c r="D122" s="748">
        <f t="shared" si="25"/>
        <v>115.00841658562467</v>
      </c>
      <c r="E122" s="748">
        <f t="shared" si="41"/>
        <v>0</v>
      </c>
      <c r="F122" s="748">
        <f t="shared" si="42"/>
        <v>7.0000000000000062</v>
      </c>
      <c r="G122" s="748">
        <f t="shared" si="30"/>
        <v>7.0000000000000062</v>
      </c>
      <c r="H122" s="843">
        <f t="shared" si="34"/>
        <v>15.289375379247595</v>
      </c>
      <c r="I122" s="846">
        <f>$B$253/B122</f>
        <v>1.9862335735371639</v>
      </c>
      <c r="J122" s="785"/>
    </row>
    <row r="123" spans="1:10" ht="16.5" hidden="1" thickBot="1">
      <c r="A123" s="973" t="s">
        <v>469</v>
      </c>
      <c r="B123" s="748">
        <f>geral!I1556</f>
        <v>1215.9801000000002</v>
      </c>
      <c r="C123" s="748">
        <f t="shared" si="31"/>
        <v>215.00841658562467</v>
      </c>
      <c r="D123" s="748">
        <f t="shared" si="25"/>
        <v>115.00841658562467</v>
      </c>
      <c r="E123" s="748">
        <f t="shared" si="41"/>
        <v>0</v>
      </c>
      <c r="F123" s="748">
        <f t="shared" si="42"/>
        <v>7.0000000000000062</v>
      </c>
      <c r="G123" s="748">
        <f t="shared" si="30"/>
        <v>7.0000000000000062</v>
      </c>
      <c r="H123" s="843">
        <f t="shared" si="34"/>
        <v>15.289375379247595</v>
      </c>
      <c r="I123" s="846">
        <f>$B$253/B123</f>
        <v>1.9862335735371639</v>
      </c>
      <c r="J123" s="785"/>
    </row>
    <row r="124" spans="1:10" ht="16.5" hidden="1" thickBot="1">
      <c r="A124" s="973" t="s">
        <v>470</v>
      </c>
      <c r="B124" s="748">
        <f>geral!I1557</f>
        <v>1215.9801000000002</v>
      </c>
      <c r="C124" s="748">
        <f t="shared" si="31"/>
        <v>215.00841658562467</v>
      </c>
      <c r="D124" s="748">
        <f t="shared" si="25"/>
        <v>115.00841658562467</v>
      </c>
      <c r="E124" s="748">
        <f t="shared" si="41"/>
        <v>0</v>
      </c>
      <c r="F124" s="748">
        <f t="shared" si="42"/>
        <v>7.0000000000000062</v>
      </c>
      <c r="G124" s="748">
        <f t="shared" si="30"/>
        <v>7.0000000000000062</v>
      </c>
      <c r="H124" s="843">
        <f t="shared" si="34"/>
        <v>15.289375379247595</v>
      </c>
      <c r="I124" s="846">
        <f>$B$253/B124</f>
        <v>1.9862335735371639</v>
      </c>
      <c r="J124" s="785"/>
    </row>
    <row r="125" spans="1:10" ht="16.5" hidden="1" thickBot="1">
      <c r="A125" s="973" t="s">
        <v>471</v>
      </c>
      <c r="B125" s="748">
        <f>geral!K1546</f>
        <v>1215.9801000000002</v>
      </c>
      <c r="C125" s="748">
        <f t="shared" si="31"/>
        <v>215.00841658562467</v>
      </c>
      <c r="D125" s="748">
        <f t="shared" si="25"/>
        <v>115.00841658562467</v>
      </c>
      <c r="E125" s="748">
        <f t="shared" ref="E125:E130" si="43">100*((B125/B124)-1)</f>
        <v>0</v>
      </c>
      <c r="F125" s="748">
        <f t="shared" ref="F125:F130" si="44">100*((B125/$B$124-1))</f>
        <v>0</v>
      </c>
      <c r="G125" s="748">
        <f t="shared" si="30"/>
        <v>7.0000000000000062</v>
      </c>
      <c r="H125" s="843">
        <f t="shared" si="34"/>
        <v>15.289375379247595</v>
      </c>
      <c r="I125" s="846">
        <f>$B$253/B125</f>
        <v>1.9862335735371639</v>
      </c>
      <c r="J125" s="785"/>
    </row>
    <row r="126" spans="1:10" ht="16.5" hidden="1" thickBot="1">
      <c r="A126" s="973" t="s">
        <v>472</v>
      </c>
      <c r="B126" s="748">
        <f>geral!K1547</f>
        <v>1215.9801000000002</v>
      </c>
      <c r="C126" s="748">
        <f t="shared" si="31"/>
        <v>215.00841658562467</v>
      </c>
      <c r="D126" s="748">
        <f t="shared" si="25"/>
        <v>115.00841658562467</v>
      </c>
      <c r="E126" s="748">
        <f t="shared" si="43"/>
        <v>0</v>
      </c>
      <c r="F126" s="748">
        <f t="shared" si="44"/>
        <v>0</v>
      </c>
      <c r="G126" s="748">
        <f t="shared" si="30"/>
        <v>7.0000000000000062</v>
      </c>
      <c r="H126" s="843">
        <f t="shared" si="34"/>
        <v>15.289375379247595</v>
      </c>
      <c r="I126" s="846">
        <f>$B$253/B126</f>
        <v>1.9862335735371639</v>
      </c>
      <c r="J126" s="785"/>
    </row>
    <row r="127" spans="1:10" ht="16.5" hidden="1" thickBot="1">
      <c r="A127" s="973" t="s">
        <v>473</v>
      </c>
      <c r="B127" s="748">
        <f>geral!K1548</f>
        <v>1215.9801000000002</v>
      </c>
      <c r="C127" s="748">
        <f t="shared" si="31"/>
        <v>215.00841658562467</v>
      </c>
      <c r="D127" s="748">
        <f t="shared" si="25"/>
        <v>115.00841658562467</v>
      </c>
      <c r="E127" s="748">
        <f t="shared" si="43"/>
        <v>0</v>
      </c>
      <c r="F127" s="748">
        <f t="shared" si="44"/>
        <v>0</v>
      </c>
      <c r="G127" s="748">
        <f t="shared" si="30"/>
        <v>7.0000000000000062</v>
      </c>
      <c r="H127" s="843">
        <f t="shared" si="34"/>
        <v>15.289375379247595</v>
      </c>
      <c r="I127" s="846">
        <f>$B$253/B127</f>
        <v>1.9862335735371639</v>
      </c>
      <c r="J127" s="785"/>
    </row>
    <row r="128" spans="1:10" ht="16.5" hidden="1" thickBot="1">
      <c r="A128" s="973" t="s">
        <v>474</v>
      </c>
      <c r="B128" s="748">
        <f>geral!K1549</f>
        <v>1215.9801000000002</v>
      </c>
      <c r="C128" s="748">
        <f t="shared" si="31"/>
        <v>215.00841658562467</v>
      </c>
      <c r="D128" s="748">
        <f t="shared" si="25"/>
        <v>115.00841658562467</v>
      </c>
      <c r="E128" s="748">
        <f t="shared" si="43"/>
        <v>0</v>
      </c>
      <c r="F128" s="748">
        <f t="shared" si="44"/>
        <v>0</v>
      </c>
      <c r="G128" s="748">
        <f t="shared" si="30"/>
        <v>7.0000000000000062</v>
      </c>
      <c r="H128" s="843">
        <f t="shared" si="34"/>
        <v>15.289375379247595</v>
      </c>
      <c r="I128" s="846">
        <f>$B$253/B128</f>
        <v>1.9862335735371639</v>
      </c>
      <c r="J128" s="785"/>
    </row>
    <row r="129" spans="1:10" ht="16.5" hidden="1" thickBot="1">
      <c r="A129" s="973" t="s">
        <v>475</v>
      </c>
      <c r="B129" s="748">
        <f>geral!K1550</f>
        <v>1307.1786075000002</v>
      </c>
      <c r="C129" s="748">
        <f t="shared" si="31"/>
        <v>231.13404782954652</v>
      </c>
      <c r="D129" s="748">
        <f t="shared" si="25"/>
        <v>131.13404782954652</v>
      </c>
      <c r="E129" s="748">
        <f t="shared" si="43"/>
        <v>7.4999999999999956</v>
      </c>
      <c r="F129" s="748">
        <f t="shared" si="44"/>
        <v>7.4999999999999956</v>
      </c>
      <c r="G129" s="748">
        <f t="shared" si="30"/>
        <v>7.4999999999999956</v>
      </c>
      <c r="H129" s="843">
        <f t="shared" si="34"/>
        <v>15.025000000000022</v>
      </c>
      <c r="I129" s="846">
        <f>$B$253/B129</f>
        <v>1.8476591381741061</v>
      </c>
      <c r="J129" s="785"/>
    </row>
    <row r="130" spans="1:10" ht="16.5" hidden="1" thickBot="1">
      <c r="A130" s="973" t="s">
        <v>476</v>
      </c>
      <c r="B130" s="748">
        <f>geral!K1551</f>
        <v>1307.1786075000002</v>
      </c>
      <c r="C130" s="748">
        <f t="shared" si="31"/>
        <v>231.13404782954652</v>
      </c>
      <c r="D130" s="748">
        <f t="shared" si="25"/>
        <v>131.13404782954652</v>
      </c>
      <c r="E130" s="748">
        <f t="shared" si="43"/>
        <v>0</v>
      </c>
      <c r="F130" s="748">
        <f t="shared" si="44"/>
        <v>7.4999999999999956</v>
      </c>
      <c r="G130" s="748">
        <f t="shared" si="30"/>
        <v>7.4999999999999956</v>
      </c>
      <c r="H130" s="843">
        <f t="shared" si="34"/>
        <v>15.025000000000022</v>
      </c>
      <c r="I130" s="846">
        <f>$B$253/B130</f>
        <v>1.8476591381741061</v>
      </c>
      <c r="J130" s="785"/>
    </row>
    <row r="131" spans="1:10" ht="16.5" hidden="1" thickBot="1">
      <c r="A131" s="973" t="s">
        <v>477</v>
      </c>
      <c r="B131" s="748">
        <f>geral!K1552</f>
        <v>1307.1786075000002</v>
      </c>
      <c r="C131" s="748">
        <f t="shared" si="31"/>
        <v>231.13404782954652</v>
      </c>
      <c r="D131" s="748">
        <f t="shared" si="25"/>
        <v>131.13404782954652</v>
      </c>
      <c r="E131" s="748">
        <f t="shared" ref="E131:E136" si="45">100*((B131/B130)-1)</f>
        <v>0</v>
      </c>
      <c r="F131" s="748">
        <f t="shared" ref="F131:F136" si="46">100*((B131/$B$124-1))</f>
        <v>7.4999999999999956</v>
      </c>
      <c r="G131" s="748">
        <f t="shared" si="30"/>
        <v>7.4999999999999956</v>
      </c>
      <c r="H131" s="843">
        <f t="shared" si="34"/>
        <v>15.025000000000022</v>
      </c>
      <c r="I131" s="846">
        <f>$B$253/B131</f>
        <v>1.8476591381741061</v>
      </c>
      <c r="J131" s="785"/>
    </row>
    <row r="132" spans="1:10" ht="16.5" hidden="1" thickBot="1">
      <c r="A132" s="973" t="s">
        <v>478</v>
      </c>
      <c r="B132" s="748">
        <f>geral!K1553</f>
        <v>1307.1786075000002</v>
      </c>
      <c r="C132" s="748">
        <f t="shared" si="31"/>
        <v>231.13404782954652</v>
      </c>
      <c r="D132" s="748">
        <f t="shared" si="25"/>
        <v>131.13404782954652</v>
      </c>
      <c r="E132" s="748">
        <f t="shared" si="45"/>
        <v>0</v>
      </c>
      <c r="F132" s="748">
        <f t="shared" si="46"/>
        <v>7.4999999999999956</v>
      </c>
      <c r="G132" s="748">
        <f t="shared" si="30"/>
        <v>7.4999999999999956</v>
      </c>
      <c r="H132" s="843">
        <f t="shared" si="34"/>
        <v>15.025000000000022</v>
      </c>
      <c r="I132" s="846">
        <f>$B$253/B132</f>
        <v>1.8476591381741061</v>
      </c>
      <c r="J132" s="785"/>
    </row>
    <row r="133" spans="1:10" ht="16.5" hidden="1" thickBot="1">
      <c r="A133" s="973" t="s">
        <v>479</v>
      </c>
      <c r="B133" s="748">
        <f>geral!K1554</f>
        <v>1307.1786075000002</v>
      </c>
      <c r="C133" s="748">
        <f t="shared" si="31"/>
        <v>231.13404782954652</v>
      </c>
      <c r="D133" s="748">
        <f t="shared" si="25"/>
        <v>131.13404782954652</v>
      </c>
      <c r="E133" s="748">
        <f t="shared" si="45"/>
        <v>0</v>
      </c>
      <c r="F133" s="748">
        <f t="shared" si="46"/>
        <v>7.4999999999999956</v>
      </c>
      <c r="G133" s="748">
        <f t="shared" si="30"/>
        <v>7.4999999999999956</v>
      </c>
      <c r="H133" s="843">
        <f t="shared" si="34"/>
        <v>15.025000000000022</v>
      </c>
      <c r="I133" s="846">
        <f>$B$253/B133</f>
        <v>1.8476591381741061</v>
      </c>
      <c r="J133" s="785"/>
    </row>
    <row r="134" spans="1:10" ht="16.5" hidden="1" thickBot="1">
      <c r="A134" s="973" t="s">
        <v>480</v>
      </c>
      <c r="B134" s="748">
        <f>geral!K1555</f>
        <v>1307.1786075000002</v>
      </c>
      <c r="C134" s="748">
        <f t="shared" si="31"/>
        <v>231.13404782954652</v>
      </c>
      <c r="D134" s="748">
        <f t="shared" si="25"/>
        <v>131.13404782954652</v>
      </c>
      <c r="E134" s="748">
        <f t="shared" si="45"/>
        <v>0</v>
      </c>
      <c r="F134" s="748">
        <f t="shared" si="46"/>
        <v>7.4999999999999956</v>
      </c>
      <c r="G134" s="748">
        <f t="shared" si="30"/>
        <v>7.4999999999999956</v>
      </c>
      <c r="H134" s="843">
        <f t="shared" si="34"/>
        <v>15.025000000000022</v>
      </c>
      <c r="I134" s="846">
        <f>$B$253/B134</f>
        <v>1.8476591381741061</v>
      </c>
      <c r="J134" s="785"/>
    </row>
    <row r="135" spans="1:10" ht="16.5" hidden="1" thickBot="1">
      <c r="A135" s="973" t="s">
        <v>481</v>
      </c>
      <c r="B135" s="748">
        <f>geral!K1556</f>
        <v>1307.1786075000002</v>
      </c>
      <c r="C135" s="748">
        <f t="shared" si="31"/>
        <v>231.13404782954652</v>
      </c>
      <c r="D135" s="748">
        <f t="shared" si="25"/>
        <v>131.13404782954652</v>
      </c>
      <c r="E135" s="748">
        <f t="shared" si="45"/>
        <v>0</v>
      </c>
      <c r="F135" s="748">
        <f t="shared" si="46"/>
        <v>7.4999999999999956</v>
      </c>
      <c r="G135" s="748">
        <f t="shared" si="30"/>
        <v>7.4999999999999956</v>
      </c>
      <c r="H135" s="843">
        <f t="shared" si="34"/>
        <v>15.025000000000022</v>
      </c>
      <c r="I135" s="846">
        <f>$B$253/B135</f>
        <v>1.8476591381741061</v>
      </c>
      <c r="J135" s="785"/>
    </row>
    <row r="136" spans="1:10" ht="16.5" hidden="1" thickBot="1">
      <c r="A136" s="1015" t="s">
        <v>482</v>
      </c>
      <c r="B136" s="755">
        <f>geral!K1557</f>
        <v>1307.1786075000002</v>
      </c>
      <c r="C136" s="755">
        <f t="shared" si="31"/>
        <v>231.13404782954652</v>
      </c>
      <c r="D136" s="755">
        <f t="shared" si="25"/>
        <v>131.13404782954652</v>
      </c>
      <c r="E136" s="755">
        <f t="shared" si="45"/>
        <v>0</v>
      </c>
      <c r="F136" s="755">
        <f t="shared" si="46"/>
        <v>7.4999999999999956</v>
      </c>
      <c r="G136" s="755">
        <f t="shared" si="30"/>
        <v>7.4999999999999956</v>
      </c>
      <c r="H136" s="844">
        <f t="shared" si="34"/>
        <v>15.025000000000022</v>
      </c>
      <c r="I136" s="923">
        <f>$B$253/B136</f>
        <v>1.8476591381741061</v>
      </c>
      <c r="J136" s="785"/>
    </row>
    <row r="137" spans="1:10">
      <c r="A137" s="1013" t="s">
        <v>483</v>
      </c>
      <c r="B137" s="852">
        <f>geral!M1546</f>
        <v>1307.1786075000002</v>
      </c>
      <c r="C137" s="852">
        <f t="shared" si="31"/>
        <v>231.13404782954652</v>
      </c>
      <c r="D137" s="852">
        <f t="shared" si="25"/>
        <v>131.13404782954652</v>
      </c>
      <c r="E137" s="852">
        <f t="shared" ref="E137:E142" si="47">100*((B137/B136)-1)</f>
        <v>0</v>
      </c>
      <c r="F137" s="852">
        <f t="shared" ref="F137:F142" si="48">100*((B137/$B$136-1))</f>
        <v>0</v>
      </c>
      <c r="G137" s="852">
        <f t="shared" si="30"/>
        <v>7.4999999999999956</v>
      </c>
      <c r="H137" s="1019">
        <f t="shared" si="34"/>
        <v>15.025000000000022</v>
      </c>
      <c r="I137" s="1020">
        <f>$B$253/B137</f>
        <v>1.8476591381741061</v>
      </c>
      <c r="J137" s="785"/>
    </row>
    <row r="138" spans="1:10">
      <c r="A138" s="1014" t="s">
        <v>484</v>
      </c>
      <c r="B138" s="857">
        <f>geral!M1547</f>
        <v>1307.1786075000002</v>
      </c>
      <c r="C138" s="857">
        <f t="shared" si="31"/>
        <v>231.13404782954652</v>
      </c>
      <c r="D138" s="857">
        <f t="shared" si="25"/>
        <v>131.13404782954652</v>
      </c>
      <c r="E138" s="857">
        <f t="shared" si="47"/>
        <v>0</v>
      </c>
      <c r="F138" s="857">
        <f t="shared" si="48"/>
        <v>0</v>
      </c>
      <c r="G138" s="857">
        <f t="shared" si="30"/>
        <v>7.4999999999999956</v>
      </c>
      <c r="H138" s="897">
        <f t="shared" si="34"/>
        <v>15.025000000000022</v>
      </c>
      <c r="I138" s="1021">
        <f>$B$253/B138</f>
        <v>1.8476591381741061</v>
      </c>
      <c r="J138" s="785"/>
    </row>
    <row r="139" spans="1:10">
      <c r="A139" s="1014" t="s">
        <v>485</v>
      </c>
      <c r="B139" s="857">
        <f>geral!M1548</f>
        <v>1307.1786075000002</v>
      </c>
      <c r="C139" s="857">
        <f t="shared" si="31"/>
        <v>231.13404782954652</v>
      </c>
      <c r="D139" s="857">
        <f t="shared" si="25"/>
        <v>131.13404782954652</v>
      </c>
      <c r="E139" s="857">
        <f t="shared" si="47"/>
        <v>0</v>
      </c>
      <c r="F139" s="857">
        <f t="shared" si="48"/>
        <v>0</v>
      </c>
      <c r="G139" s="857">
        <f t="shared" si="30"/>
        <v>7.4999999999999956</v>
      </c>
      <c r="H139" s="897">
        <f t="shared" si="34"/>
        <v>15.025000000000022</v>
      </c>
      <c r="I139" s="1021">
        <f t="shared" ref="I139:I202" si="49">$B$253/B139</f>
        <v>1.8476591381741061</v>
      </c>
      <c r="J139" s="785"/>
    </row>
    <row r="140" spans="1:10">
      <c r="A140" s="1014" t="s">
        <v>486</v>
      </c>
      <c r="B140" s="857">
        <f>geral!M1549</f>
        <v>1307.1786075000002</v>
      </c>
      <c r="C140" s="857">
        <f t="shared" si="31"/>
        <v>231.13404782954652</v>
      </c>
      <c r="D140" s="857">
        <f t="shared" si="25"/>
        <v>131.13404782954652</v>
      </c>
      <c r="E140" s="857">
        <f t="shared" si="47"/>
        <v>0</v>
      </c>
      <c r="F140" s="857">
        <f t="shared" si="48"/>
        <v>0</v>
      </c>
      <c r="G140" s="857">
        <f t="shared" si="30"/>
        <v>7.4999999999999956</v>
      </c>
      <c r="H140" s="897">
        <f t="shared" si="34"/>
        <v>15.025000000000022</v>
      </c>
      <c r="I140" s="1021">
        <f t="shared" si="49"/>
        <v>1.8476591381741061</v>
      </c>
      <c r="J140" s="785"/>
    </row>
    <row r="141" spans="1:10">
      <c r="A141" s="1014" t="s">
        <v>487</v>
      </c>
      <c r="B141" s="857">
        <f>geral!M1550</f>
        <v>1424.8246821750004</v>
      </c>
      <c r="C141" s="857">
        <f t="shared" si="31"/>
        <v>251.93611213420576</v>
      </c>
      <c r="D141" s="857">
        <f t="shared" si="25"/>
        <v>151.93611213420576</v>
      </c>
      <c r="E141" s="857">
        <f t="shared" si="47"/>
        <v>9.0000000000000071</v>
      </c>
      <c r="F141" s="857">
        <f t="shared" si="48"/>
        <v>9.0000000000000071</v>
      </c>
      <c r="G141" s="857">
        <f t="shared" si="30"/>
        <v>9.0000000000000071</v>
      </c>
      <c r="H141" s="897">
        <f t="shared" si="34"/>
        <v>17.175000000000008</v>
      </c>
      <c r="I141" s="1021">
        <f t="shared" si="49"/>
        <v>1.6951001267652348</v>
      </c>
      <c r="J141" s="784" t="s">
        <v>376</v>
      </c>
    </row>
    <row r="142" spans="1:10">
      <c r="A142" s="1014" t="s">
        <v>488</v>
      </c>
      <c r="B142" s="857">
        <f>geral!M1551</f>
        <v>1424.82</v>
      </c>
      <c r="C142" s="857">
        <f t="shared" si="31"/>
        <v>251.93528423658387</v>
      </c>
      <c r="D142" s="857">
        <f t="shared" si="25"/>
        <v>151.93528423658387</v>
      </c>
      <c r="E142" s="857">
        <f t="shared" si="47"/>
        <v>-3.2861411365381343E-4</v>
      </c>
      <c r="F142" s="857">
        <f t="shared" si="48"/>
        <v>8.9996418106161222</v>
      </c>
      <c r="G142" s="857">
        <f t="shared" si="30"/>
        <v>8.9996418106161222</v>
      </c>
      <c r="H142" s="897">
        <f t="shared" si="34"/>
        <v>17.174614946412348</v>
      </c>
      <c r="I142" s="1021">
        <f t="shared" si="49"/>
        <v>1.6951056971217968</v>
      </c>
      <c r="J142" s="785"/>
    </row>
    <row r="143" spans="1:10">
      <c r="A143" s="1014" t="s">
        <v>489</v>
      </c>
      <c r="B143" s="857">
        <f>geral!M1552</f>
        <v>1424.82</v>
      </c>
      <c r="C143" s="857">
        <f t="shared" si="31"/>
        <v>251.93528423658387</v>
      </c>
      <c r="D143" s="857">
        <f t="shared" si="25"/>
        <v>151.93528423658387</v>
      </c>
      <c r="E143" s="857">
        <f t="shared" ref="E143:E148" si="50">100*((B143/B142)-1)</f>
        <v>0</v>
      </c>
      <c r="F143" s="857">
        <f t="shared" ref="F143:F148" si="51">100*((B143/$B$136-1))</f>
        <v>8.9996418106161222</v>
      </c>
      <c r="G143" s="857">
        <f t="shared" si="30"/>
        <v>8.9996418106161222</v>
      </c>
      <c r="H143" s="897">
        <f t="shared" si="34"/>
        <v>17.174614946412348</v>
      </c>
      <c r="I143" s="1021">
        <f t="shared" si="49"/>
        <v>1.6951056971217968</v>
      </c>
      <c r="J143" s="785"/>
    </row>
    <row r="144" spans="1:10">
      <c r="A144" s="1014" t="s">
        <v>490</v>
      </c>
      <c r="B144" s="857">
        <f>geral!M1553</f>
        <v>1424.82</v>
      </c>
      <c r="C144" s="857">
        <f t="shared" si="31"/>
        <v>251.93528423658387</v>
      </c>
      <c r="D144" s="857">
        <f t="shared" si="25"/>
        <v>151.93528423658387</v>
      </c>
      <c r="E144" s="857">
        <f t="shared" si="50"/>
        <v>0</v>
      </c>
      <c r="F144" s="857">
        <f t="shared" si="51"/>
        <v>8.9996418106161222</v>
      </c>
      <c r="G144" s="857">
        <f t="shared" si="30"/>
        <v>8.9996418106161222</v>
      </c>
      <c r="H144" s="897">
        <f t="shared" si="34"/>
        <v>17.174614946412348</v>
      </c>
      <c r="I144" s="1021">
        <f t="shared" si="49"/>
        <v>1.6951056971217968</v>
      </c>
      <c r="J144" s="785"/>
    </row>
    <row r="145" spans="1:10">
      <c r="A145" s="1014" t="s">
        <v>491</v>
      </c>
      <c r="B145" s="857">
        <f>geral!M1554</f>
        <v>1424.82</v>
      </c>
      <c r="C145" s="857">
        <f t="shared" si="31"/>
        <v>251.93528423658387</v>
      </c>
      <c r="D145" s="857">
        <f t="shared" si="25"/>
        <v>151.93528423658387</v>
      </c>
      <c r="E145" s="857">
        <f t="shared" si="50"/>
        <v>0</v>
      </c>
      <c r="F145" s="857">
        <f t="shared" si="51"/>
        <v>8.9996418106161222</v>
      </c>
      <c r="G145" s="857">
        <f t="shared" si="30"/>
        <v>8.9996418106161222</v>
      </c>
      <c r="H145" s="897">
        <f t="shared" si="34"/>
        <v>17.174614946412348</v>
      </c>
      <c r="I145" s="1021">
        <f t="shared" si="49"/>
        <v>1.6951056971217968</v>
      </c>
      <c r="J145" s="785"/>
    </row>
    <row r="146" spans="1:10">
      <c r="A146" s="1014" t="s">
        <v>492</v>
      </c>
      <c r="B146" s="857">
        <f>geral!M1555</f>
        <v>1424.82</v>
      </c>
      <c r="C146" s="857">
        <f t="shared" si="31"/>
        <v>251.93528423658387</v>
      </c>
      <c r="D146" s="857">
        <f t="shared" si="25"/>
        <v>151.93528423658387</v>
      </c>
      <c r="E146" s="857">
        <f t="shared" si="50"/>
        <v>0</v>
      </c>
      <c r="F146" s="857">
        <f t="shared" si="51"/>
        <v>8.9996418106161222</v>
      </c>
      <c r="G146" s="857">
        <f t="shared" si="30"/>
        <v>8.9996418106161222</v>
      </c>
      <c r="H146" s="897">
        <f t="shared" si="34"/>
        <v>17.174614946412348</v>
      </c>
      <c r="I146" s="1021">
        <f t="shared" si="49"/>
        <v>1.6951056971217968</v>
      </c>
      <c r="J146" s="785"/>
    </row>
    <row r="147" spans="1:10">
      <c r="A147" s="1014" t="s">
        <v>493</v>
      </c>
      <c r="B147" s="857">
        <f>geral!M1556</f>
        <v>1424.82</v>
      </c>
      <c r="C147" s="857">
        <f t="shared" si="31"/>
        <v>251.93528423658387</v>
      </c>
      <c r="D147" s="857">
        <f t="shared" si="25"/>
        <v>151.93528423658387</v>
      </c>
      <c r="E147" s="857">
        <f t="shared" si="50"/>
        <v>0</v>
      </c>
      <c r="F147" s="857">
        <f t="shared" si="51"/>
        <v>8.9996418106161222</v>
      </c>
      <c r="G147" s="857">
        <f t="shared" si="30"/>
        <v>8.9996418106161222</v>
      </c>
      <c r="H147" s="897">
        <f t="shared" si="34"/>
        <v>17.174614946412348</v>
      </c>
      <c r="I147" s="1021">
        <f t="shared" si="49"/>
        <v>1.6951056971217968</v>
      </c>
      <c r="J147" s="785"/>
    </row>
    <row r="148" spans="1:10">
      <c r="A148" s="1014" t="s">
        <v>494</v>
      </c>
      <c r="B148" s="857">
        <f>geral!M1557</f>
        <v>1424.82</v>
      </c>
      <c r="C148" s="857">
        <f t="shared" si="31"/>
        <v>251.93528423658387</v>
      </c>
      <c r="D148" s="857">
        <f t="shared" si="25"/>
        <v>151.93528423658387</v>
      </c>
      <c r="E148" s="857">
        <f t="shared" si="50"/>
        <v>0</v>
      </c>
      <c r="F148" s="857">
        <f t="shared" si="51"/>
        <v>8.9996418106161222</v>
      </c>
      <c r="G148" s="857">
        <f t="shared" ref="G148:G185" si="52">100*((B148/B136)-1)</f>
        <v>8.9996418106161222</v>
      </c>
      <c r="H148" s="897">
        <f t="shared" si="34"/>
        <v>17.174614946412348</v>
      </c>
      <c r="I148" s="1021">
        <f t="shared" si="49"/>
        <v>1.6951056971217968</v>
      </c>
      <c r="J148" s="785"/>
    </row>
    <row r="149" spans="1:10">
      <c r="A149" s="1014" t="s">
        <v>495</v>
      </c>
      <c r="B149" s="857">
        <f>geral!C1561</f>
        <v>1424.82</v>
      </c>
      <c r="C149" s="857">
        <f t="shared" ref="C149:C154" si="53">100*B149/$B$8</f>
        <v>251.93528423658387</v>
      </c>
      <c r="D149" s="857">
        <f t="shared" ref="D149:D154" si="54">C149-100</f>
        <v>151.93528423658387</v>
      </c>
      <c r="E149" s="857">
        <f t="shared" ref="E149:E154" si="55">100*((B149/B148)-1)</f>
        <v>0</v>
      </c>
      <c r="F149" s="857">
        <f t="shared" ref="F149:F154" si="56">100*((B149/$B$148-1))</f>
        <v>0</v>
      </c>
      <c r="G149" s="857">
        <f t="shared" si="52"/>
        <v>8.9996418106161222</v>
      </c>
      <c r="H149" s="897">
        <f t="shared" si="34"/>
        <v>17.174614946412348</v>
      </c>
      <c r="I149" s="1021">
        <f t="shared" si="49"/>
        <v>1.6951056971217968</v>
      </c>
      <c r="J149" s="785"/>
    </row>
    <row r="150" spans="1:10">
      <c r="A150" s="1014" t="s">
        <v>496</v>
      </c>
      <c r="B150" s="857">
        <f>geral!C1562</f>
        <v>1424.82</v>
      </c>
      <c r="C150" s="857">
        <f t="shared" si="53"/>
        <v>251.93528423658387</v>
      </c>
      <c r="D150" s="857">
        <f t="shared" si="54"/>
        <v>151.93528423658387</v>
      </c>
      <c r="E150" s="857">
        <f t="shared" si="55"/>
        <v>0</v>
      </c>
      <c r="F150" s="857">
        <f t="shared" si="56"/>
        <v>0</v>
      </c>
      <c r="G150" s="857">
        <f t="shared" si="52"/>
        <v>8.9996418106161222</v>
      </c>
      <c r="H150" s="897">
        <f t="shared" si="34"/>
        <v>17.174614946412348</v>
      </c>
      <c r="I150" s="1021">
        <f t="shared" si="49"/>
        <v>1.6951056971217968</v>
      </c>
      <c r="J150" s="785"/>
    </row>
    <row r="151" spans="1:10">
      <c r="A151" s="1014" t="s">
        <v>497</v>
      </c>
      <c r="B151" s="857">
        <f>geral!C1563</f>
        <v>1424.82</v>
      </c>
      <c r="C151" s="857">
        <f t="shared" si="53"/>
        <v>251.93528423658387</v>
      </c>
      <c r="D151" s="857">
        <f t="shared" si="54"/>
        <v>151.93528423658387</v>
      </c>
      <c r="E151" s="857">
        <f t="shared" si="55"/>
        <v>0</v>
      </c>
      <c r="F151" s="857">
        <f t="shared" si="56"/>
        <v>0</v>
      </c>
      <c r="G151" s="857">
        <f t="shared" si="52"/>
        <v>8.9996418106161222</v>
      </c>
      <c r="H151" s="897">
        <f t="shared" si="34"/>
        <v>17.174614946412348</v>
      </c>
      <c r="I151" s="1021">
        <f t="shared" si="49"/>
        <v>1.6951056971217968</v>
      </c>
      <c r="J151" s="785"/>
    </row>
    <row r="152" spans="1:10">
      <c r="A152" s="1014" t="s">
        <v>498</v>
      </c>
      <c r="B152" s="857">
        <f>geral!C1564</f>
        <v>1424.82</v>
      </c>
      <c r="C152" s="857">
        <f t="shared" si="53"/>
        <v>251.93528423658387</v>
      </c>
      <c r="D152" s="857">
        <f t="shared" si="54"/>
        <v>151.93528423658387</v>
      </c>
      <c r="E152" s="857">
        <f t="shared" si="55"/>
        <v>0</v>
      </c>
      <c r="F152" s="857">
        <f t="shared" si="56"/>
        <v>0</v>
      </c>
      <c r="G152" s="857">
        <f t="shared" si="52"/>
        <v>8.9996418106161222</v>
      </c>
      <c r="H152" s="897">
        <f t="shared" si="34"/>
        <v>17.174614946412348</v>
      </c>
      <c r="I152" s="1021">
        <f t="shared" si="49"/>
        <v>1.6951056971217968</v>
      </c>
      <c r="J152" s="784"/>
    </row>
    <row r="153" spans="1:10">
      <c r="A153" s="1014" t="s">
        <v>499</v>
      </c>
      <c r="B153" s="857">
        <f>geral!C1565</f>
        <v>1538.8056000000001</v>
      </c>
      <c r="C153" s="857">
        <f t="shared" si="53"/>
        <v>272.09010697551065</v>
      </c>
      <c r="D153" s="857">
        <f t="shared" si="54"/>
        <v>172.09010697551065</v>
      </c>
      <c r="E153" s="857">
        <f t="shared" si="55"/>
        <v>8.0000000000000071</v>
      </c>
      <c r="F153" s="857">
        <f t="shared" si="56"/>
        <v>8.0000000000000071</v>
      </c>
      <c r="G153" s="857">
        <f t="shared" si="52"/>
        <v>7.9996450967572796</v>
      </c>
      <c r="H153" s="897">
        <f t="shared" si="34"/>
        <v>17.719613155465442</v>
      </c>
      <c r="I153" s="1021">
        <f t="shared" si="49"/>
        <v>1.5695423121498115</v>
      </c>
      <c r="J153" s="784" t="s">
        <v>377</v>
      </c>
    </row>
    <row r="154" spans="1:10">
      <c r="A154" s="1014" t="s">
        <v>500</v>
      </c>
      <c r="B154" s="857">
        <f>geral!C1566</f>
        <v>1538.8056000000001</v>
      </c>
      <c r="C154" s="857">
        <f t="shared" si="53"/>
        <v>272.09010697551065</v>
      </c>
      <c r="D154" s="857">
        <f t="shared" si="54"/>
        <v>172.09010697551065</v>
      </c>
      <c r="E154" s="857">
        <f t="shared" si="55"/>
        <v>0</v>
      </c>
      <c r="F154" s="857">
        <f t="shared" si="56"/>
        <v>8.0000000000000071</v>
      </c>
      <c r="G154" s="857">
        <f t="shared" si="52"/>
        <v>8.0000000000000071</v>
      </c>
      <c r="H154" s="897">
        <f t="shared" si="34"/>
        <v>17.719613155465442</v>
      </c>
      <c r="I154" s="1021">
        <f t="shared" si="49"/>
        <v>1.5695423121498115</v>
      </c>
      <c r="J154" s="785"/>
    </row>
    <row r="155" spans="1:10">
      <c r="A155" s="1014" t="s">
        <v>501</v>
      </c>
      <c r="B155" s="857">
        <f>geral!C1567</f>
        <v>1538.8056000000001</v>
      </c>
      <c r="C155" s="857">
        <f t="shared" ref="C155:C160" si="57">100*B155/$B$8</f>
        <v>272.09010697551065</v>
      </c>
      <c r="D155" s="857">
        <f t="shared" ref="D155:D160" si="58">C155-100</f>
        <v>172.09010697551065</v>
      </c>
      <c r="E155" s="857">
        <f t="shared" ref="E155:E160" si="59">100*((B155/B154)-1)</f>
        <v>0</v>
      </c>
      <c r="F155" s="857">
        <f t="shared" ref="F155:F160" si="60">100*((B155/$B$148-1))</f>
        <v>8.0000000000000071</v>
      </c>
      <c r="G155" s="857">
        <f t="shared" si="52"/>
        <v>8.0000000000000071</v>
      </c>
      <c r="H155" s="897">
        <f t="shared" si="34"/>
        <v>17.719613155465442</v>
      </c>
      <c r="I155" s="1021">
        <f t="shared" si="49"/>
        <v>1.5695423121498115</v>
      </c>
      <c r="J155" s="785"/>
    </row>
    <row r="156" spans="1:10">
      <c r="A156" s="1014" t="s">
        <v>502</v>
      </c>
      <c r="B156" s="857">
        <f>geral!C1568</f>
        <v>1538.8056000000001</v>
      </c>
      <c r="C156" s="857">
        <f t="shared" si="57"/>
        <v>272.09010697551065</v>
      </c>
      <c r="D156" s="857">
        <f t="shared" si="58"/>
        <v>172.09010697551065</v>
      </c>
      <c r="E156" s="857">
        <f t="shared" si="59"/>
        <v>0</v>
      </c>
      <c r="F156" s="857">
        <f t="shared" si="60"/>
        <v>8.0000000000000071</v>
      </c>
      <c r="G156" s="857">
        <f t="shared" si="52"/>
        <v>8.0000000000000071</v>
      </c>
      <c r="H156" s="897">
        <f t="shared" si="34"/>
        <v>17.719613155465442</v>
      </c>
      <c r="I156" s="1021">
        <f t="shared" si="49"/>
        <v>1.5695423121498115</v>
      </c>
      <c r="J156" s="785"/>
    </row>
    <row r="157" spans="1:10">
      <c r="A157" s="1014" t="s">
        <v>503</v>
      </c>
      <c r="B157" s="857">
        <f>geral!C1569</f>
        <v>1538.8056000000001</v>
      </c>
      <c r="C157" s="857">
        <f t="shared" si="57"/>
        <v>272.09010697551065</v>
      </c>
      <c r="D157" s="857">
        <f t="shared" si="58"/>
        <v>172.09010697551065</v>
      </c>
      <c r="E157" s="857">
        <f t="shared" si="59"/>
        <v>0</v>
      </c>
      <c r="F157" s="857">
        <f t="shared" si="60"/>
        <v>8.0000000000000071</v>
      </c>
      <c r="G157" s="857">
        <f t="shared" si="52"/>
        <v>8.0000000000000071</v>
      </c>
      <c r="H157" s="897">
        <f t="shared" si="34"/>
        <v>17.719613155465442</v>
      </c>
      <c r="I157" s="1021">
        <f t="shared" si="49"/>
        <v>1.5695423121498115</v>
      </c>
      <c r="J157" s="785"/>
    </row>
    <row r="158" spans="1:10">
      <c r="A158" s="1014" t="s">
        <v>504</v>
      </c>
      <c r="B158" s="857">
        <f>geral!C1570</f>
        <v>1538.8056000000001</v>
      </c>
      <c r="C158" s="857">
        <f t="shared" si="57"/>
        <v>272.09010697551065</v>
      </c>
      <c r="D158" s="857">
        <f t="shared" si="58"/>
        <v>172.09010697551065</v>
      </c>
      <c r="E158" s="857">
        <f t="shared" si="59"/>
        <v>0</v>
      </c>
      <c r="F158" s="857">
        <f t="shared" si="60"/>
        <v>8.0000000000000071</v>
      </c>
      <c r="G158" s="857">
        <f t="shared" si="52"/>
        <v>8.0000000000000071</v>
      </c>
      <c r="H158" s="897">
        <f t="shared" si="34"/>
        <v>17.719613155465442</v>
      </c>
      <c r="I158" s="1021">
        <f t="shared" si="49"/>
        <v>1.5695423121498115</v>
      </c>
      <c r="J158" s="785"/>
    </row>
    <row r="159" spans="1:10">
      <c r="A159" s="1014" t="s">
        <v>505</v>
      </c>
      <c r="B159" s="857">
        <f>geral!C1571</f>
        <v>1538.8056000000001</v>
      </c>
      <c r="C159" s="857">
        <f t="shared" si="57"/>
        <v>272.09010697551065</v>
      </c>
      <c r="D159" s="857">
        <f t="shared" si="58"/>
        <v>172.09010697551065</v>
      </c>
      <c r="E159" s="857">
        <f t="shared" si="59"/>
        <v>0</v>
      </c>
      <c r="F159" s="857">
        <f t="shared" si="60"/>
        <v>8.0000000000000071</v>
      </c>
      <c r="G159" s="857">
        <f t="shared" si="52"/>
        <v>8.0000000000000071</v>
      </c>
      <c r="H159" s="897">
        <f t="shared" si="34"/>
        <v>17.719613155465442</v>
      </c>
      <c r="I159" s="1021">
        <f t="shared" si="49"/>
        <v>1.5695423121498115</v>
      </c>
      <c r="J159" s="785"/>
    </row>
    <row r="160" spans="1:10">
      <c r="A160" s="1014" t="s">
        <v>506</v>
      </c>
      <c r="B160" s="857">
        <f>geral!C1572</f>
        <v>1538.8056000000001</v>
      </c>
      <c r="C160" s="857">
        <f t="shared" si="57"/>
        <v>272.09010697551065</v>
      </c>
      <c r="D160" s="857">
        <f t="shared" si="58"/>
        <v>172.09010697551065</v>
      </c>
      <c r="E160" s="857">
        <f t="shared" si="59"/>
        <v>0</v>
      </c>
      <c r="F160" s="857">
        <f t="shared" si="60"/>
        <v>8.0000000000000071</v>
      </c>
      <c r="G160" s="857">
        <f t="shared" si="52"/>
        <v>8.0000000000000071</v>
      </c>
      <c r="H160" s="897">
        <f t="shared" si="34"/>
        <v>17.719613155465442</v>
      </c>
      <c r="I160" s="1021">
        <f t="shared" si="49"/>
        <v>1.5695423121498115</v>
      </c>
      <c r="J160" s="785"/>
    </row>
    <row r="161" spans="1:10">
      <c r="A161" s="1014" t="s">
        <v>507</v>
      </c>
      <c r="B161" s="857">
        <f>geral!E1561</f>
        <v>1538.8056000000001</v>
      </c>
      <c r="C161" s="857">
        <f t="shared" ref="C161:C166" si="61">100*B161/$B$8</f>
        <v>272.09010697551065</v>
      </c>
      <c r="D161" s="857">
        <f t="shared" ref="D161:D166" si="62">C161-100</f>
        <v>172.09010697551065</v>
      </c>
      <c r="E161" s="857">
        <f t="shared" ref="E161:E166" si="63">100*((B161/B160)-1)</f>
        <v>0</v>
      </c>
      <c r="F161" s="857">
        <f t="shared" ref="F161:F166" si="64">100*((B161/$B$160-1))</f>
        <v>0</v>
      </c>
      <c r="G161" s="857">
        <f t="shared" si="52"/>
        <v>8.0000000000000071</v>
      </c>
      <c r="H161" s="897">
        <f t="shared" ref="H161:H185" si="65">100*(B161/B137-1)</f>
        <v>17.719613155465442</v>
      </c>
      <c r="I161" s="1021">
        <f t="shared" si="49"/>
        <v>1.5695423121498115</v>
      </c>
      <c r="J161" s="785"/>
    </row>
    <row r="162" spans="1:10">
      <c r="A162" s="1014" t="s">
        <v>508</v>
      </c>
      <c r="B162" s="857">
        <f>geral!E1562</f>
        <v>1538.8056000000001</v>
      </c>
      <c r="C162" s="857">
        <f t="shared" si="61"/>
        <v>272.09010697551065</v>
      </c>
      <c r="D162" s="857">
        <f t="shared" si="62"/>
        <v>172.09010697551065</v>
      </c>
      <c r="E162" s="857">
        <f t="shared" si="63"/>
        <v>0</v>
      </c>
      <c r="F162" s="857">
        <f t="shared" si="64"/>
        <v>0</v>
      </c>
      <c r="G162" s="857">
        <f t="shared" si="52"/>
        <v>8.0000000000000071</v>
      </c>
      <c r="H162" s="897">
        <f t="shared" si="65"/>
        <v>17.719613155465442</v>
      </c>
      <c r="I162" s="1021">
        <f t="shared" si="49"/>
        <v>1.5695423121498115</v>
      </c>
      <c r="J162" s="785"/>
    </row>
    <row r="163" spans="1:10">
      <c r="A163" s="1014" t="s">
        <v>509</v>
      </c>
      <c r="B163" s="857">
        <f>geral!E1563</f>
        <v>1538.8056000000001</v>
      </c>
      <c r="C163" s="857">
        <f t="shared" si="61"/>
        <v>272.09010697551065</v>
      </c>
      <c r="D163" s="857">
        <f t="shared" si="62"/>
        <v>172.09010697551065</v>
      </c>
      <c r="E163" s="857">
        <f t="shared" si="63"/>
        <v>0</v>
      </c>
      <c r="F163" s="857">
        <f t="shared" si="64"/>
        <v>0</v>
      </c>
      <c r="G163" s="857">
        <f t="shared" si="52"/>
        <v>8.0000000000000071</v>
      </c>
      <c r="H163" s="897">
        <f t="shared" si="65"/>
        <v>17.719613155465442</v>
      </c>
      <c r="I163" s="1021">
        <f t="shared" si="49"/>
        <v>1.5695423121498115</v>
      </c>
      <c r="J163" s="785"/>
    </row>
    <row r="164" spans="1:10">
      <c r="A164" s="1014" t="s">
        <v>510</v>
      </c>
      <c r="B164" s="857">
        <f>geral!E1564</f>
        <v>1538.8056000000001</v>
      </c>
      <c r="C164" s="857">
        <f t="shared" si="61"/>
        <v>272.09010697551065</v>
      </c>
      <c r="D164" s="857">
        <f t="shared" si="62"/>
        <v>172.09010697551065</v>
      </c>
      <c r="E164" s="857">
        <f t="shared" si="63"/>
        <v>0</v>
      </c>
      <c r="F164" s="857">
        <f t="shared" si="64"/>
        <v>0</v>
      </c>
      <c r="G164" s="857">
        <f t="shared" si="52"/>
        <v>8.0000000000000071</v>
      </c>
      <c r="H164" s="897">
        <f t="shared" si="65"/>
        <v>17.719613155465442</v>
      </c>
      <c r="I164" s="1021">
        <f t="shared" si="49"/>
        <v>1.5695423121498115</v>
      </c>
      <c r="J164" s="784"/>
    </row>
    <row r="165" spans="1:10">
      <c r="A165" s="1014" t="s">
        <v>511</v>
      </c>
      <c r="B165" s="857">
        <f>geral!E1565</f>
        <v>1677.2981040000002</v>
      </c>
      <c r="C165" s="857">
        <f t="shared" si="61"/>
        <v>296.57821660330654</v>
      </c>
      <c r="D165" s="857">
        <f t="shared" si="62"/>
        <v>196.57821660330654</v>
      </c>
      <c r="E165" s="857">
        <f t="shared" si="63"/>
        <v>9.0000000000000071</v>
      </c>
      <c r="F165" s="857">
        <f t="shared" si="64"/>
        <v>9.0000000000000071</v>
      </c>
      <c r="G165" s="857">
        <f t="shared" si="52"/>
        <v>9.0000000000000071</v>
      </c>
      <c r="H165" s="897">
        <f t="shared" si="65"/>
        <v>17.719613155465417</v>
      </c>
      <c r="I165" s="1021">
        <f t="shared" si="49"/>
        <v>1.4399470753667996</v>
      </c>
      <c r="J165" s="784" t="s">
        <v>376</v>
      </c>
    </row>
    <row r="166" spans="1:10">
      <c r="A166" s="1014" t="s">
        <v>512</v>
      </c>
      <c r="B166" s="857">
        <f>geral!E1566</f>
        <v>1677.2981040000002</v>
      </c>
      <c r="C166" s="857">
        <f t="shared" si="61"/>
        <v>296.57821660330654</v>
      </c>
      <c r="D166" s="857">
        <f t="shared" si="62"/>
        <v>196.57821660330654</v>
      </c>
      <c r="E166" s="857">
        <f t="shared" si="63"/>
        <v>0</v>
      </c>
      <c r="F166" s="857">
        <f t="shared" si="64"/>
        <v>9.0000000000000071</v>
      </c>
      <c r="G166" s="857">
        <f t="shared" si="52"/>
        <v>9.0000000000000071</v>
      </c>
      <c r="H166" s="897">
        <f t="shared" si="65"/>
        <v>17.720000000000024</v>
      </c>
      <c r="I166" s="1021">
        <f t="shared" si="49"/>
        <v>1.4399470753667996</v>
      </c>
      <c r="J166" s="785"/>
    </row>
    <row r="167" spans="1:10">
      <c r="A167" s="1014" t="s">
        <v>513</v>
      </c>
      <c r="B167" s="857">
        <f>geral!E1567</f>
        <v>1677.2981040000002</v>
      </c>
      <c r="C167" s="857">
        <f t="shared" ref="C167:C172" si="66">100*B167/$B$8</f>
        <v>296.57821660330654</v>
      </c>
      <c r="D167" s="857">
        <f t="shared" ref="D167:D172" si="67">C167-100</f>
        <v>196.57821660330654</v>
      </c>
      <c r="E167" s="857">
        <f t="shared" ref="E167:E172" si="68">100*((B167/B166)-1)</f>
        <v>0</v>
      </c>
      <c r="F167" s="857">
        <f>100*((B167/$B$160-1))</f>
        <v>9.0000000000000071</v>
      </c>
      <c r="G167" s="857">
        <f t="shared" si="52"/>
        <v>9.0000000000000071</v>
      </c>
      <c r="H167" s="897">
        <f t="shared" si="65"/>
        <v>17.720000000000024</v>
      </c>
      <c r="I167" s="1021">
        <f t="shared" si="49"/>
        <v>1.4399470753667996</v>
      </c>
      <c r="J167" s="785"/>
    </row>
    <row r="168" spans="1:10">
      <c r="A168" s="1014" t="s">
        <v>514</v>
      </c>
      <c r="B168" s="857">
        <f>geral!E1568</f>
        <v>1677.2981040000002</v>
      </c>
      <c r="C168" s="857">
        <f t="shared" si="66"/>
        <v>296.57821660330654</v>
      </c>
      <c r="D168" s="857">
        <f t="shared" si="67"/>
        <v>196.57821660330654</v>
      </c>
      <c r="E168" s="857">
        <f t="shared" si="68"/>
        <v>0</v>
      </c>
      <c r="F168" s="857">
        <f>100*((B168/$B$160-1))</f>
        <v>9.0000000000000071</v>
      </c>
      <c r="G168" s="857">
        <f t="shared" si="52"/>
        <v>9.0000000000000071</v>
      </c>
      <c r="H168" s="897">
        <f t="shared" si="65"/>
        <v>17.720000000000024</v>
      </c>
      <c r="I168" s="1021">
        <f t="shared" si="49"/>
        <v>1.4399470753667996</v>
      </c>
      <c r="J168" s="784"/>
    </row>
    <row r="169" spans="1:10">
      <c r="A169" s="1014" t="s">
        <v>515</v>
      </c>
      <c r="B169" s="857">
        <f>geral!E1569</f>
        <v>1692.6861600000002</v>
      </c>
      <c r="C169" s="857">
        <f t="shared" si="66"/>
        <v>299.29911767306169</v>
      </c>
      <c r="D169" s="857">
        <f t="shared" si="67"/>
        <v>199.29911767306169</v>
      </c>
      <c r="E169" s="857">
        <f t="shared" si="68"/>
        <v>0.91743119266054496</v>
      </c>
      <c r="F169" s="857">
        <f>100*((B169/$B$160-1))</f>
        <v>10.000000000000009</v>
      </c>
      <c r="G169" s="857">
        <f t="shared" si="52"/>
        <v>10.000000000000009</v>
      </c>
      <c r="H169" s="897">
        <f t="shared" si="65"/>
        <v>18.800000000000018</v>
      </c>
      <c r="I169" s="1021">
        <f t="shared" si="49"/>
        <v>1.4268566474089197</v>
      </c>
      <c r="J169" s="784" t="s">
        <v>318</v>
      </c>
    </row>
    <row r="170" spans="1:10">
      <c r="A170" s="1014" t="s">
        <v>516</v>
      </c>
      <c r="B170" s="857">
        <f>geral!E1570</f>
        <v>1692.6861600000002</v>
      </c>
      <c r="C170" s="857">
        <f t="shared" si="66"/>
        <v>299.29911767306169</v>
      </c>
      <c r="D170" s="857">
        <f t="shared" si="67"/>
        <v>199.29911767306169</v>
      </c>
      <c r="E170" s="857">
        <f t="shared" si="68"/>
        <v>0</v>
      </c>
      <c r="F170" s="857">
        <f>100*((B170/$B$160-1))</f>
        <v>10.000000000000009</v>
      </c>
      <c r="G170" s="857">
        <f t="shared" si="52"/>
        <v>10.000000000000009</v>
      </c>
      <c r="H170" s="897">
        <f t="shared" si="65"/>
        <v>18.800000000000018</v>
      </c>
      <c r="I170" s="1021">
        <f t="shared" si="49"/>
        <v>1.4268566474089197</v>
      </c>
      <c r="J170" s="785"/>
    </row>
    <row r="171" spans="1:10">
      <c r="A171" s="1014" t="s">
        <v>517</v>
      </c>
      <c r="B171" s="857">
        <f>geral!E1571</f>
        <v>1692.6861600000002</v>
      </c>
      <c r="C171" s="857">
        <f t="shared" si="66"/>
        <v>299.29911767306169</v>
      </c>
      <c r="D171" s="857">
        <f t="shared" si="67"/>
        <v>199.29911767306169</v>
      </c>
      <c r="E171" s="857">
        <f t="shared" si="68"/>
        <v>0</v>
      </c>
      <c r="F171" s="857">
        <f>100*((B171/$B$160-1))</f>
        <v>10.000000000000009</v>
      </c>
      <c r="G171" s="857">
        <f t="shared" si="52"/>
        <v>10.000000000000009</v>
      </c>
      <c r="H171" s="897">
        <f t="shared" si="65"/>
        <v>18.800000000000018</v>
      </c>
      <c r="I171" s="1021">
        <f t="shared" si="49"/>
        <v>1.4268566474089197</v>
      </c>
      <c r="J171" s="785"/>
    </row>
    <row r="172" spans="1:10">
      <c r="A172" s="1014" t="s">
        <v>518</v>
      </c>
      <c r="B172" s="857">
        <f>geral!E1572</f>
        <v>1692.6861600000002</v>
      </c>
      <c r="C172" s="857">
        <f t="shared" si="66"/>
        <v>299.29911767306169</v>
      </c>
      <c r="D172" s="857">
        <f t="shared" si="67"/>
        <v>199.29911767306169</v>
      </c>
      <c r="E172" s="857">
        <f t="shared" si="68"/>
        <v>0</v>
      </c>
      <c r="F172" s="857">
        <f>100*((B172/$B$171-1))</f>
        <v>0</v>
      </c>
      <c r="G172" s="857">
        <f t="shared" si="52"/>
        <v>10.000000000000009</v>
      </c>
      <c r="H172" s="897">
        <f t="shared" si="65"/>
        <v>18.800000000000018</v>
      </c>
      <c r="I172" s="1021">
        <f t="shared" si="49"/>
        <v>1.4268566474089197</v>
      </c>
      <c r="J172" s="785"/>
    </row>
    <row r="173" spans="1:10">
      <c r="A173" s="1014" t="s">
        <v>519</v>
      </c>
      <c r="B173" s="857">
        <f>geral!G1561</f>
        <v>1692.6861600000002</v>
      </c>
      <c r="C173" s="857">
        <f t="shared" ref="C173:C178" si="69">100*B173/$B$8</f>
        <v>299.29911767306169</v>
      </c>
      <c r="D173" s="857">
        <f t="shared" ref="D173:D178" si="70">C173-100</f>
        <v>199.29911767306169</v>
      </c>
      <c r="E173" s="857">
        <f t="shared" ref="E173:E178" si="71">100*((B173/B172)-1)</f>
        <v>0</v>
      </c>
      <c r="F173" s="857">
        <f t="shared" ref="F173:F178" si="72">100*((B173/$B$172-1))</f>
        <v>0</v>
      </c>
      <c r="G173" s="857">
        <f t="shared" si="52"/>
        <v>10.000000000000009</v>
      </c>
      <c r="H173" s="897">
        <f t="shared" si="65"/>
        <v>18.800000000000018</v>
      </c>
      <c r="I173" s="1021">
        <f t="shared" si="49"/>
        <v>1.4268566474089197</v>
      </c>
      <c r="J173" s="785"/>
    </row>
    <row r="174" spans="1:10">
      <c r="A174" s="1014" t="s">
        <v>520</v>
      </c>
      <c r="B174" s="857">
        <f>geral!G1562</f>
        <v>1692.6861600000002</v>
      </c>
      <c r="C174" s="857">
        <f t="shared" si="69"/>
        <v>299.29911767306169</v>
      </c>
      <c r="D174" s="857">
        <f t="shared" si="70"/>
        <v>199.29911767306169</v>
      </c>
      <c r="E174" s="857">
        <f t="shared" si="71"/>
        <v>0</v>
      </c>
      <c r="F174" s="857">
        <f t="shared" si="72"/>
        <v>0</v>
      </c>
      <c r="G174" s="857">
        <f t="shared" si="52"/>
        <v>10.000000000000009</v>
      </c>
      <c r="H174" s="897">
        <f t="shared" si="65"/>
        <v>18.800000000000018</v>
      </c>
      <c r="I174" s="1021">
        <f t="shared" si="49"/>
        <v>1.4268566474089197</v>
      </c>
      <c r="J174" s="785"/>
    </row>
    <row r="175" spans="1:10">
      <c r="A175" s="1014" t="s">
        <v>521</v>
      </c>
      <c r="B175" s="857">
        <f>geral!G1563</f>
        <v>1692.6861600000002</v>
      </c>
      <c r="C175" s="857">
        <f t="shared" si="69"/>
        <v>299.29911767306169</v>
      </c>
      <c r="D175" s="857">
        <f t="shared" si="70"/>
        <v>199.29911767306169</v>
      </c>
      <c r="E175" s="857">
        <f t="shared" si="71"/>
        <v>0</v>
      </c>
      <c r="F175" s="857">
        <f t="shared" si="72"/>
        <v>0</v>
      </c>
      <c r="G175" s="857">
        <f t="shared" si="52"/>
        <v>10.000000000000009</v>
      </c>
      <c r="H175" s="897">
        <f t="shared" si="65"/>
        <v>18.800000000000018</v>
      </c>
      <c r="I175" s="1021">
        <f t="shared" si="49"/>
        <v>1.4268566474089197</v>
      </c>
      <c r="J175" s="785"/>
    </row>
    <row r="176" spans="1:10">
      <c r="A176" s="1014" t="s">
        <v>522</v>
      </c>
      <c r="B176" s="857">
        <f>geral!G1564</f>
        <v>1692.6861600000002</v>
      </c>
      <c r="C176" s="857">
        <f t="shared" si="69"/>
        <v>299.29911767306169</v>
      </c>
      <c r="D176" s="857">
        <f t="shared" si="70"/>
        <v>199.29911767306169</v>
      </c>
      <c r="E176" s="857">
        <f t="shared" si="71"/>
        <v>0</v>
      </c>
      <c r="F176" s="857">
        <f t="shared" si="72"/>
        <v>0</v>
      </c>
      <c r="G176" s="857">
        <f t="shared" si="52"/>
        <v>10.000000000000009</v>
      </c>
      <c r="H176" s="897">
        <f t="shared" si="65"/>
        <v>18.800000000000018</v>
      </c>
      <c r="I176" s="1021">
        <f t="shared" si="49"/>
        <v>1.4268566474089197</v>
      </c>
      <c r="J176" s="785"/>
    </row>
    <row r="177" spans="1:10">
      <c r="A177" s="1014" t="s">
        <v>523</v>
      </c>
      <c r="B177" s="857">
        <f>geral!G1565</f>
        <v>1819.6376220000002</v>
      </c>
      <c r="C177" s="857">
        <f t="shared" si="69"/>
        <v>321.74655149854129</v>
      </c>
      <c r="D177" s="857">
        <f t="shared" si="70"/>
        <v>221.74655149854129</v>
      </c>
      <c r="E177" s="857">
        <f t="shared" si="71"/>
        <v>7.4999999999999956</v>
      </c>
      <c r="F177" s="857">
        <f t="shared" si="72"/>
        <v>7.4999999999999956</v>
      </c>
      <c r="G177" s="857">
        <f t="shared" si="52"/>
        <v>8.4862385321100788</v>
      </c>
      <c r="H177" s="897">
        <f t="shared" si="65"/>
        <v>18.250000000000011</v>
      </c>
      <c r="I177" s="1021">
        <f t="shared" si="49"/>
        <v>1.3273085092175996</v>
      </c>
      <c r="J177" s="784" t="s">
        <v>375</v>
      </c>
    </row>
    <row r="178" spans="1:10">
      <c r="A178" s="1014" t="s">
        <v>524</v>
      </c>
      <c r="B178" s="857">
        <f>geral!G1566</f>
        <v>1819.6376220000002</v>
      </c>
      <c r="C178" s="857">
        <f t="shared" si="69"/>
        <v>321.74655149854129</v>
      </c>
      <c r="D178" s="857">
        <f t="shared" si="70"/>
        <v>221.74655149854129</v>
      </c>
      <c r="E178" s="857">
        <f t="shared" si="71"/>
        <v>0</v>
      </c>
      <c r="F178" s="857">
        <f t="shared" si="72"/>
        <v>7.4999999999999956</v>
      </c>
      <c r="G178" s="857">
        <f t="shared" si="52"/>
        <v>8.4862385321100788</v>
      </c>
      <c r="H178" s="897">
        <f t="shared" si="65"/>
        <v>18.250000000000011</v>
      </c>
      <c r="I178" s="1021">
        <f t="shared" si="49"/>
        <v>1.3273085092175996</v>
      </c>
      <c r="J178" s="784"/>
    </row>
    <row r="179" spans="1:10">
      <c r="A179" s="1014" t="s">
        <v>525</v>
      </c>
      <c r="B179" s="857">
        <f>geral!G1567</f>
        <v>1819.6376220000002</v>
      </c>
      <c r="C179" s="857">
        <f t="shared" ref="C179:C184" si="73">100*B179/$B$8</f>
        <v>321.74655149854129</v>
      </c>
      <c r="D179" s="857">
        <f t="shared" ref="D179:D184" si="74">C179-100</f>
        <v>221.74655149854129</v>
      </c>
      <c r="E179" s="857">
        <f t="shared" ref="E179:E184" si="75">100*((B179/B178)-1)</f>
        <v>0</v>
      </c>
      <c r="F179" s="857">
        <f t="shared" ref="F179:F184" si="76">100*((B179/$B$172-1))</f>
        <v>7.4999999999999956</v>
      </c>
      <c r="G179" s="857">
        <f t="shared" si="52"/>
        <v>8.4862385321100788</v>
      </c>
      <c r="H179" s="897">
        <f t="shared" si="65"/>
        <v>18.250000000000011</v>
      </c>
      <c r="I179" s="1021">
        <f t="shared" si="49"/>
        <v>1.3273085092175996</v>
      </c>
      <c r="J179" s="784"/>
    </row>
    <row r="180" spans="1:10">
      <c r="A180" s="1014" t="s">
        <v>526</v>
      </c>
      <c r="B180" s="857">
        <f>geral!G1568</f>
        <v>1819.6376220000002</v>
      </c>
      <c r="C180" s="857">
        <f t="shared" si="73"/>
        <v>321.74655149854129</v>
      </c>
      <c r="D180" s="857">
        <f t="shared" si="74"/>
        <v>221.74655149854129</v>
      </c>
      <c r="E180" s="857">
        <f t="shared" si="75"/>
        <v>0</v>
      </c>
      <c r="F180" s="857">
        <f t="shared" si="76"/>
        <v>7.4999999999999956</v>
      </c>
      <c r="G180" s="857">
        <f t="shared" si="52"/>
        <v>8.4862385321100788</v>
      </c>
      <c r="H180" s="897">
        <f t="shared" si="65"/>
        <v>18.250000000000011</v>
      </c>
      <c r="I180" s="1021">
        <f t="shared" si="49"/>
        <v>1.3273085092175996</v>
      </c>
      <c r="J180" s="784"/>
    </row>
    <row r="181" spans="1:10">
      <c r="A181" s="1014" t="s">
        <v>527</v>
      </c>
      <c r="B181" s="857">
        <f>geral!G1569</f>
        <v>1819.6376220000002</v>
      </c>
      <c r="C181" s="857">
        <f t="shared" si="73"/>
        <v>321.74655149854129</v>
      </c>
      <c r="D181" s="857">
        <f t="shared" si="74"/>
        <v>221.74655149854129</v>
      </c>
      <c r="E181" s="857">
        <f t="shared" si="75"/>
        <v>0</v>
      </c>
      <c r="F181" s="857">
        <f t="shared" si="76"/>
        <v>7.4999999999999956</v>
      </c>
      <c r="G181" s="857">
        <f t="shared" si="52"/>
        <v>7.4999999999999956</v>
      </c>
      <c r="H181" s="897">
        <f t="shared" si="65"/>
        <v>18.250000000000011</v>
      </c>
      <c r="I181" s="1021">
        <f t="shared" si="49"/>
        <v>1.3273085092175996</v>
      </c>
      <c r="J181" s="784"/>
    </row>
    <row r="182" spans="1:10">
      <c r="A182" s="1014" t="s">
        <v>528</v>
      </c>
      <c r="B182" s="857">
        <f>geral!G1570</f>
        <v>1819.6376220000002</v>
      </c>
      <c r="C182" s="857">
        <f t="shared" si="73"/>
        <v>321.74655149854129</v>
      </c>
      <c r="D182" s="857">
        <f t="shared" si="74"/>
        <v>221.74655149854129</v>
      </c>
      <c r="E182" s="857">
        <f t="shared" si="75"/>
        <v>0</v>
      </c>
      <c r="F182" s="857">
        <f t="shared" si="76"/>
        <v>7.4999999999999956</v>
      </c>
      <c r="G182" s="857">
        <f t="shared" si="52"/>
        <v>7.4999999999999956</v>
      </c>
      <c r="H182" s="897">
        <f t="shared" si="65"/>
        <v>18.250000000000011</v>
      </c>
      <c r="I182" s="1021">
        <f t="shared" si="49"/>
        <v>1.3273085092175996</v>
      </c>
      <c r="J182" s="784"/>
    </row>
    <row r="183" spans="1:10">
      <c r="A183" s="1014" t="s">
        <v>529</v>
      </c>
      <c r="B183" s="857">
        <f>geral!G1571</f>
        <v>1819.6376220000002</v>
      </c>
      <c r="C183" s="857">
        <f t="shared" si="73"/>
        <v>321.74655149854129</v>
      </c>
      <c r="D183" s="857">
        <f t="shared" si="74"/>
        <v>221.74655149854129</v>
      </c>
      <c r="E183" s="857">
        <f t="shared" si="75"/>
        <v>0</v>
      </c>
      <c r="F183" s="857">
        <f t="shared" si="76"/>
        <v>7.4999999999999956</v>
      </c>
      <c r="G183" s="857">
        <f t="shared" si="52"/>
        <v>7.4999999999999956</v>
      </c>
      <c r="H183" s="897">
        <f t="shared" si="65"/>
        <v>18.250000000000011</v>
      </c>
      <c r="I183" s="1021">
        <f t="shared" si="49"/>
        <v>1.3273085092175996</v>
      </c>
      <c r="J183" s="784"/>
    </row>
    <row r="184" spans="1:10">
      <c r="A184" s="1014" t="s">
        <v>530</v>
      </c>
      <c r="B184" s="857">
        <f>geral!G1572</f>
        <v>1819.6376220000002</v>
      </c>
      <c r="C184" s="857">
        <f t="shared" si="73"/>
        <v>321.74655149854129</v>
      </c>
      <c r="D184" s="857">
        <f t="shared" si="74"/>
        <v>221.74655149854129</v>
      </c>
      <c r="E184" s="857">
        <f t="shared" si="75"/>
        <v>0</v>
      </c>
      <c r="F184" s="857">
        <f t="shared" si="76"/>
        <v>7.4999999999999956</v>
      </c>
      <c r="G184" s="857">
        <f t="shared" si="52"/>
        <v>7.4999999999999956</v>
      </c>
      <c r="H184" s="897">
        <f t="shared" si="65"/>
        <v>18.250000000000011</v>
      </c>
      <c r="I184" s="1021">
        <f t="shared" si="49"/>
        <v>1.3273085092175996</v>
      </c>
      <c r="J184" s="784"/>
    </row>
    <row r="185" spans="1:10">
      <c r="A185" s="1014" t="s">
        <v>531</v>
      </c>
      <c r="B185" s="857">
        <f>geral!I1561</f>
        <v>1819.6376220000002</v>
      </c>
      <c r="C185" s="857">
        <f t="shared" ref="C185:C190" si="77">100*B185/$B$8</f>
        <v>321.74655149854129</v>
      </c>
      <c r="D185" s="857">
        <f t="shared" ref="D185:D190" si="78">C185-100</f>
        <v>221.74655149854129</v>
      </c>
      <c r="E185" s="857">
        <f t="shared" ref="E185:E190" si="79">100*((B185/B184)-1)</f>
        <v>0</v>
      </c>
      <c r="F185" s="857">
        <f t="shared" ref="F185:F190" si="80">100*((B185/$B$184-1))</f>
        <v>0</v>
      </c>
      <c r="G185" s="857">
        <f t="shared" si="52"/>
        <v>7.4999999999999956</v>
      </c>
      <c r="H185" s="897">
        <f t="shared" si="65"/>
        <v>18.250000000000011</v>
      </c>
      <c r="I185" s="1021">
        <f t="shared" si="49"/>
        <v>1.3273085092175996</v>
      </c>
      <c r="J185" s="784"/>
    </row>
    <row r="186" spans="1:10">
      <c r="A186" s="1014" t="s">
        <v>649</v>
      </c>
      <c r="B186" s="857">
        <f>geral!I1562</f>
        <v>1819.6376220000002</v>
      </c>
      <c r="C186" s="857">
        <f t="shared" si="77"/>
        <v>321.74655149854129</v>
      </c>
      <c r="D186" s="857">
        <f t="shared" si="78"/>
        <v>221.74655149854129</v>
      </c>
      <c r="E186" s="857">
        <f t="shared" si="79"/>
        <v>0</v>
      </c>
      <c r="F186" s="857">
        <f t="shared" si="80"/>
        <v>0</v>
      </c>
      <c r="G186" s="857">
        <f t="shared" ref="G186:G191" si="81">100*((B186/B174)-1)</f>
        <v>7.4999999999999956</v>
      </c>
      <c r="H186" s="897">
        <f t="shared" ref="H186:H191" si="82">100*(B186/B162-1)</f>
        <v>18.250000000000011</v>
      </c>
      <c r="I186" s="1021">
        <f t="shared" si="49"/>
        <v>1.3273085092175996</v>
      </c>
      <c r="J186" s="784"/>
    </row>
    <row r="187" spans="1:10">
      <c r="A187" s="1014" t="s">
        <v>650</v>
      </c>
      <c r="B187" s="857">
        <f>geral!I1563</f>
        <v>1819.6376220000002</v>
      </c>
      <c r="C187" s="857">
        <f t="shared" si="77"/>
        <v>321.74655149854129</v>
      </c>
      <c r="D187" s="857">
        <f t="shared" si="78"/>
        <v>221.74655149854129</v>
      </c>
      <c r="E187" s="857">
        <f t="shared" si="79"/>
        <v>0</v>
      </c>
      <c r="F187" s="857">
        <f t="shared" si="80"/>
        <v>0</v>
      </c>
      <c r="G187" s="857">
        <f t="shared" si="81"/>
        <v>7.4999999999999956</v>
      </c>
      <c r="H187" s="897">
        <f t="shared" si="82"/>
        <v>18.250000000000011</v>
      </c>
      <c r="I187" s="1021">
        <f t="shared" si="49"/>
        <v>1.3273085092175996</v>
      </c>
      <c r="J187" s="784"/>
    </row>
    <row r="188" spans="1:10">
      <c r="A188" s="1014" t="s">
        <v>652</v>
      </c>
      <c r="B188" s="857">
        <f>geral!I1564</f>
        <v>1819.6376220000002</v>
      </c>
      <c r="C188" s="857">
        <f t="shared" si="77"/>
        <v>321.74655149854129</v>
      </c>
      <c r="D188" s="857">
        <f t="shared" si="78"/>
        <v>221.74655149854129</v>
      </c>
      <c r="E188" s="857">
        <f t="shared" si="79"/>
        <v>0</v>
      </c>
      <c r="F188" s="857">
        <f t="shared" si="80"/>
        <v>0</v>
      </c>
      <c r="G188" s="857">
        <f t="shared" si="81"/>
        <v>7.4999999999999956</v>
      </c>
      <c r="H188" s="897">
        <f t="shared" si="82"/>
        <v>18.250000000000011</v>
      </c>
      <c r="I188" s="1021">
        <f t="shared" si="49"/>
        <v>1.3273085092175996</v>
      </c>
      <c r="J188" s="784"/>
    </row>
    <row r="189" spans="1:10">
      <c r="A189" s="1014" t="s">
        <v>653</v>
      </c>
      <c r="B189" s="857">
        <f>geral!I1565</f>
        <v>1971.3953996747998</v>
      </c>
      <c r="C189" s="857">
        <f t="shared" si="77"/>
        <v>348.58021389351956</v>
      </c>
      <c r="D189" s="857">
        <f t="shared" si="78"/>
        <v>248.58021389351956</v>
      </c>
      <c r="E189" s="857">
        <f t="shared" si="79"/>
        <v>8.3399999999999697</v>
      </c>
      <c r="F189" s="857">
        <f t="shared" si="80"/>
        <v>8.3399999999999697</v>
      </c>
      <c r="G189" s="857">
        <f t="shared" si="81"/>
        <v>8.3399999999999697</v>
      </c>
      <c r="H189" s="897">
        <f t="shared" si="82"/>
        <v>17.533990825688051</v>
      </c>
      <c r="I189" s="1021">
        <f t="shared" si="49"/>
        <v>1.2251324618955139</v>
      </c>
      <c r="J189" s="784"/>
    </row>
    <row r="190" spans="1:10">
      <c r="A190" s="1014" t="s">
        <v>654</v>
      </c>
      <c r="B190" s="857">
        <f>geral!I1566</f>
        <v>1983.4050079799997</v>
      </c>
      <c r="C190" s="857">
        <f t="shared" si="77"/>
        <v>350.70374113340995</v>
      </c>
      <c r="D190" s="857">
        <f t="shared" si="78"/>
        <v>250.70374113340995</v>
      </c>
      <c r="E190" s="857">
        <f t="shared" si="79"/>
        <v>0.6091932804135114</v>
      </c>
      <c r="F190" s="857">
        <f t="shared" si="80"/>
        <v>8.9999999999999645</v>
      </c>
      <c r="G190" s="857">
        <f t="shared" si="81"/>
        <v>8.9999999999999645</v>
      </c>
      <c r="H190" s="897">
        <f t="shared" si="82"/>
        <v>18.249999999999964</v>
      </c>
      <c r="I190" s="1021">
        <f t="shared" si="49"/>
        <v>1.21771422864</v>
      </c>
      <c r="J190" s="784"/>
    </row>
    <row r="191" spans="1:10">
      <c r="A191" s="1014" t="s">
        <v>657</v>
      </c>
      <c r="B191" s="857">
        <f>geral!I1567</f>
        <v>1983.4050079799997</v>
      </c>
      <c r="C191" s="857">
        <f t="shared" ref="C191:C196" si="83">100*B191/$B$8</f>
        <v>350.70374113340995</v>
      </c>
      <c r="D191" s="857">
        <f t="shared" ref="D191:D196" si="84">C191-100</f>
        <v>250.70374113340995</v>
      </c>
      <c r="E191" s="857">
        <f t="shared" ref="E191:E196" si="85">100*((B191/B190)-1)</f>
        <v>0</v>
      </c>
      <c r="F191" s="857">
        <f t="shared" ref="F191:F196" si="86">100*((B191/$B$184-1))</f>
        <v>8.9999999999999645</v>
      </c>
      <c r="G191" s="857">
        <f t="shared" si="81"/>
        <v>8.9999999999999645</v>
      </c>
      <c r="H191" s="897">
        <f t="shared" si="82"/>
        <v>18.249999999999964</v>
      </c>
      <c r="I191" s="1021">
        <f t="shared" si="49"/>
        <v>1.21771422864</v>
      </c>
      <c r="J191" s="784"/>
    </row>
    <row r="192" spans="1:10">
      <c r="A192" s="1014" t="str">
        <f>moturb!A192</f>
        <v>AGOSTO|15</v>
      </c>
      <c r="B192" s="857">
        <f>geral!I1568</f>
        <v>1983.4050079799997</v>
      </c>
      <c r="C192" s="857">
        <f t="shared" si="83"/>
        <v>350.70374113340995</v>
      </c>
      <c r="D192" s="857">
        <f t="shared" si="84"/>
        <v>250.70374113340995</v>
      </c>
      <c r="E192" s="857">
        <f t="shared" si="85"/>
        <v>0</v>
      </c>
      <c r="F192" s="857">
        <f t="shared" si="86"/>
        <v>8.9999999999999645</v>
      </c>
      <c r="G192" s="857">
        <f t="shared" ref="G192:G197" si="87">100*((B192/B180)-1)</f>
        <v>8.9999999999999645</v>
      </c>
      <c r="H192" s="897">
        <f t="shared" ref="H192:H197" si="88">100*(B192/B168-1)</f>
        <v>18.249999999999964</v>
      </c>
      <c r="I192" s="1021">
        <f t="shared" si="49"/>
        <v>1.21771422864</v>
      </c>
      <c r="J192" s="784"/>
    </row>
    <row r="193" spans="1:10">
      <c r="A193" s="1032" t="str">
        <f>moturb!A193</f>
        <v>SETEMBRO|15</v>
      </c>
      <c r="B193" s="918">
        <f>geral!I1569</f>
        <v>1983.4050079799997</v>
      </c>
      <c r="C193" s="918">
        <f t="shared" si="83"/>
        <v>350.70374113340995</v>
      </c>
      <c r="D193" s="918">
        <f t="shared" si="84"/>
        <v>250.70374113340995</v>
      </c>
      <c r="E193" s="918">
        <f t="shared" si="85"/>
        <v>0</v>
      </c>
      <c r="F193" s="918">
        <f t="shared" si="86"/>
        <v>8.9999999999999645</v>
      </c>
      <c r="G193" s="918">
        <f t="shared" si="87"/>
        <v>8.9999999999999645</v>
      </c>
      <c r="H193" s="1033">
        <f t="shared" si="88"/>
        <v>17.174999999999962</v>
      </c>
      <c r="I193" s="1021">
        <f t="shared" si="49"/>
        <v>1.21771422864</v>
      </c>
      <c r="J193" s="784"/>
    </row>
    <row r="194" spans="1:10">
      <c r="A194" s="1032" t="str">
        <f>moturb!A194</f>
        <v>OUTUBRO|15</v>
      </c>
      <c r="B194" s="918">
        <f>geral!I1570</f>
        <v>1983.4050079799997</v>
      </c>
      <c r="C194" s="918">
        <f t="shared" si="83"/>
        <v>350.70374113340995</v>
      </c>
      <c r="D194" s="918">
        <f t="shared" si="84"/>
        <v>250.70374113340995</v>
      </c>
      <c r="E194" s="918">
        <f t="shared" si="85"/>
        <v>0</v>
      </c>
      <c r="F194" s="918">
        <f t="shared" si="86"/>
        <v>8.9999999999999645</v>
      </c>
      <c r="G194" s="918">
        <f t="shared" si="87"/>
        <v>8.9999999999999645</v>
      </c>
      <c r="H194" s="1033">
        <f t="shared" si="88"/>
        <v>17.174999999999962</v>
      </c>
      <c r="I194" s="1021">
        <f t="shared" si="49"/>
        <v>1.21771422864</v>
      </c>
      <c r="J194" s="784"/>
    </row>
    <row r="195" spans="1:10">
      <c r="A195" s="1032" t="str">
        <f>moturb!A195</f>
        <v>NOVEMBRO|15</v>
      </c>
      <c r="B195" s="918">
        <f>geral!I1571</f>
        <v>1983.4050079799997</v>
      </c>
      <c r="C195" s="918">
        <f t="shared" si="83"/>
        <v>350.70374113340995</v>
      </c>
      <c r="D195" s="918">
        <f t="shared" si="84"/>
        <v>250.70374113340995</v>
      </c>
      <c r="E195" s="918">
        <f t="shared" si="85"/>
        <v>0</v>
      </c>
      <c r="F195" s="918">
        <f t="shared" si="86"/>
        <v>8.9999999999999645</v>
      </c>
      <c r="G195" s="918">
        <f t="shared" si="87"/>
        <v>8.9999999999999645</v>
      </c>
      <c r="H195" s="1033">
        <f t="shared" si="88"/>
        <v>17.174999999999962</v>
      </c>
      <c r="I195" s="1021">
        <f t="shared" si="49"/>
        <v>1.21771422864</v>
      </c>
      <c r="J195" s="784"/>
    </row>
    <row r="196" spans="1:10">
      <c r="A196" s="1032" t="str">
        <f>moturb!A196</f>
        <v>DEZEMBRO|15</v>
      </c>
      <c r="B196" s="918">
        <f>geral!I1572</f>
        <v>1983.4050079799997</v>
      </c>
      <c r="C196" s="918">
        <f t="shared" si="83"/>
        <v>350.70374113340995</v>
      </c>
      <c r="D196" s="918">
        <f t="shared" si="84"/>
        <v>250.70374113340995</v>
      </c>
      <c r="E196" s="918">
        <f t="shared" si="85"/>
        <v>0</v>
      </c>
      <c r="F196" s="918">
        <f t="shared" si="86"/>
        <v>8.9999999999999645</v>
      </c>
      <c r="G196" s="918">
        <f t="shared" si="87"/>
        <v>8.9999999999999645</v>
      </c>
      <c r="H196" s="1033">
        <f t="shared" si="88"/>
        <v>17.174999999999962</v>
      </c>
      <c r="I196" s="1021">
        <f t="shared" si="49"/>
        <v>1.21771422864</v>
      </c>
      <c r="J196" s="784"/>
    </row>
    <row r="197" spans="1:10">
      <c r="A197" s="1032" t="str">
        <f>moturb!A197</f>
        <v>JANEIRO|16</v>
      </c>
      <c r="B197" s="918">
        <f>geral!K1561</f>
        <v>1983.4050079799997</v>
      </c>
      <c r="C197" s="918">
        <f t="shared" ref="C197" si="89">100*B197/$B$8</f>
        <v>350.70374113340995</v>
      </c>
      <c r="D197" s="918">
        <f t="shared" ref="D197" si="90">C197-100</f>
        <v>250.70374113340995</v>
      </c>
      <c r="E197" s="918">
        <f t="shared" ref="E197" si="91">100*((B197/B196)-1)</f>
        <v>0</v>
      </c>
      <c r="F197" s="918">
        <f t="shared" ref="F197:F202" si="92">100*((B197/$B$196-1))</f>
        <v>0</v>
      </c>
      <c r="G197" s="918">
        <f t="shared" si="87"/>
        <v>8.9999999999999645</v>
      </c>
      <c r="H197" s="1033">
        <f t="shared" si="88"/>
        <v>17.174999999999962</v>
      </c>
      <c r="I197" s="1021">
        <f t="shared" si="49"/>
        <v>1.21771422864</v>
      </c>
      <c r="J197" s="784"/>
    </row>
    <row r="198" spans="1:10">
      <c r="A198" s="1032" t="str">
        <f>moturb!A198</f>
        <v>FEVEREIRO|16</v>
      </c>
      <c r="B198" s="918">
        <f>geral!K1562</f>
        <v>1983.4050079799997</v>
      </c>
      <c r="C198" s="918">
        <f t="shared" ref="C198" si="93">100*B198/$B$8</f>
        <v>350.70374113340995</v>
      </c>
      <c r="D198" s="918">
        <f t="shared" ref="D198" si="94">C198-100</f>
        <v>250.70374113340995</v>
      </c>
      <c r="E198" s="918">
        <f t="shared" ref="E198" si="95">100*((B198/B197)-1)</f>
        <v>0</v>
      </c>
      <c r="F198" s="918">
        <f t="shared" si="92"/>
        <v>0</v>
      </c>
      <c r="G198" s="918">
        <f t="shared" ref="G198" si="96">100*((B198/B186)-1)</f>
        <v>8.9999999999999645</v>
      </c>
      <c r="H198" s="1033">
        <f t="shared" ref="H198" si="97">100*(B198/B174-1)</f>
        <v>17.174999999999962</v>
      </c>
      <c r="I198" s="1021">
        <f t="shared" si="49"/>
        <v>1.21771422864</v>
      </c>
      <c r="J198" s="784"/>
    </row>
    <row r="199" spans="1:10">
      <c r="A199" s="1032" t="str">
        <f>moturb!A199</f>
        <v>MARÇO|16</v>
      </c>
      <c r="B199" s="918">
        <f>geral!K1563</f>
        <v>1983.4050079799997</v>
      </c>
      <c r="C199" s="918">
        <f t="shared" ref="C199" si="98">100*B199/$B$8</f>
        <v>350.70374113340995</v>
      </c>
      <c r="D199" s="918">
        <f t="shared" ref="D199" si="99">C199-100</f>
        <v>250.70374113340995</v>
      </c>
      <c r="E199" s="918">
        <f t="shared" ref="E199" si="100">100*((B199/B198)-1)</f>
        <v>0</v>
      </c>
      <c r="F199" s="918">
        <f t="shared" si="92"/>
        <v>0</v>
      </c>
      <c r="G199" s="918">
        <f t="shared" ref="G199" si="101">100*((B199/B187)-1)</f>
        <v>8.9999999999999645</v>
      </c>
      <c r="H199" s="1033">
        <f t="shared" ref="H199" si="102">100*(B199/B175-1)</f>
        <v>17.174999999999962</v>
      </c>
      <c r="I199" s="1021">
        <f t="shared" si="49"/>
        <v>1.21771422864</v>
      </c>
      <c r="J199" s="784"/>
    </row>
    <row r="200" spans="1:10">
      <c r="A200" s="1032" t="str">
        <f>moturb!A200</f>
        <v>ABRIL|16</v>
      </c>
      <c r="B200" s="918">
        <f>geral!K1564</f>
        <v>1983.4050079799997</v>
      </c>
      <c r="C200" s="918">
        <f t="shared" ref="C200" si="103">100*B200/$B$8</f>
        <v>350.70374113340995</v>
      </c>
      <c r="D200" s="918">
        <f t="shared" ref="D200" si="104">C200-100</f>
        <v>250.70374113340995</v>
      </c>
      <c r="E200" s="918">
        <f t="shared" ref="E200" si="105">100*((B200/B199)-1)</f>
        <v>0</v>
      </c>
      <c r="F200" s="918">
        <f t="shared" si="92"/>
        <v>0</v>
      </c>
      <c r="G200" s="918">
        <f t="shared" ref="G200" si="106">100*((B200/B188)-1)</f>
        <v>8.9999999999999645</v>
      </c>
      <c r="H200" s="1033">
        <f t="shared" ref="H200" si="107">100*(B200/B176-1)</f>
        <v>17.174999999999962</v>
      </c>
      <c r="I200" s="1021">
        <f t="shared" si="49"/>
        <v>1.21771422864</v>
      </c>
      <c r="J200" s="784"/>
    </row>
    <row r="201" spans="1:10">
      <c r="A201" s="1032" t="str">
        <f>moturb!A201</f>
        <v>MAIO|16</v>
      </c>
      <c r="B201" s="918">
        <f>geral!K1565</f>
        <v>2122.2433585385998</v>
      </c>
      <c r="C201" s="918">
        <f t="shared" ref="C201" si="108">100*B201/$B$8</f>
        <v>375.25300301274865</v>
      </c>
      <c r="D201" s="918">
        <f t="shared" ref="D201" si="109">C201-100</f>
        <v>275.25300301274865</v>
      </c>
      <c r="E201" s="918">
        <f t="shared" ref="E201" si="110">100*((B201/B200)-1)</f>
        <v>7.0000000000000062</v>
      </c>
      <c r="F201" s="918">
        <f t="shared" si="92"/>
        <v>7.0000000000000062</v>
      </c>
      <c r="G201" s="918">
        <f t="shared" ref="G201" si="111">100*((B201/B189)-1)</f>
        <v>7.6518368100424672</v>
      </c>
      <c r="H201" s="1033">
        <f t="shared" ref="H201" si="112">100*(B201/B177-1)</f>
        <v>16.629999999999967</v>
      </c>
      <c r="I201" s="1021">
        <f t="shared" si="49"/>
        <v>1.1380506809719626</v>
      </c>
      <c r="J201" s="784"/>
    </row>
    <row r="202" spans="1:10">
      <c r="A202" s="1032" t="str">
        <f>moturb!A202</f>
        <v>JUNHO|16</v>
      </c>
      <c r="B202" s="918">
        <f>geral!K1566</f>
        <v>2156.3579246758559</v>
      </c>
      <c r="C202" s="918">
        <f t="shared" ref="C202" si="113">100*B202/$B$8</f>
        <v>381.28510736024333</v>
      </c>
      <c r="D202" s="918">
        <f t="shared" ref="D202" si="114">C202-100</f>
        <v>281.28510736024333</v>
      </c>
      <c r="E202" s="918">
        <f t="shared" ref="E202" si="115">100*((B202/B201)-1)</f>
        <v>1.6074766355140158</v>
      </c>
      <c r="F202" s="918">
        <f t="shared" si="92"/>
        <v>8.7200000000000166</v>
      </c>
      <c r="G202" s="918">
        <f t="shared" ref="G202" si="116">100*((B202/B190)-1)</f>
        <v>8.7200000000000166</v>
      </c>
      <c r="H202" s="1033">
        <f t="shared" ref="H202" si="117">100*(B202/B178-1)</f>
        <v>18.504799999999989</v>
      </c>
      <c r="I202" s="1021">
        <f t="shared" si="49"/>
        <v>1.1200462</v>
      </c>
      <c r="J202" s="784"/>
    </row>
    <row r="203" spans="1:10">
      <c r="A203" s="1032" t="str">
        <f>moturb!A203</f>
        <v>JULHO|16</v>
      </c>
      <c r="B203" s="918">
        <f>geral!K1567</f>
        <v>2156.3579246758559</v>
      </c>
      <c r="C203" s="918">
        <f t="shared" ref="C203" si="118">100*B203/$B$8</f>
        <v>381.28510736024333</v>
      </c>
      <c r="D203" s="918">
        <f t="shared" ref="D203" si="119">C203-100</f>
        <v>281.28510736024333</v>
      </c>
      <c r="E203" s="918">
        <f t="shared" ref="E203" si="120">100*((B203/B202)-1)</f>
        <v>0</v>
      </c>
      <c r="F203" s="918">
        <f t="shared" ref="F203" si="121">100*((B203/$B$196-1))</f>
        <v>8.7200000000000166</v>
      </c>
      <c r="G203" s="918">
        <f t="shared" ref="G203" si="122">100*((B203/B191)-1)</f>
        <v>8.7200000000000166</v>
      </c>
      <c r="H203" s="1033">
        <f t="shared" ref="H203" si="123">100*(B203/B179-1)</f>
        <v>18.504799999999989</v>
      </c>
      <c r="I203" s="1021">
        <f t="shared" ref="I203:I253" si="124">$B$253/B203</f>
        <v>1.1200462</v>
      </c>
      <c r="J203" s="784"/>
    </row>
    <row r="204" spans="1:10">
      <c r="A204" s="1032" t="str">
        <f>moturb!A204</f>
        <v>AGOSTO|16</v>
      </c>
      <c r="B204" s="918">
        <f>geral!K1568</f>
        <v>2156.3579246758559</v>
      </c>
      <c r="C204" s="918">
        <f t="shared" ref="C204" si="125">100*B204/$B$8</f>
        <v>381.28510736024333</v>
      </c>
      <c r="D204" s="918">
        <f t="shared" ref="D204" si="126">C204-100</f>
        <v>281.28510736024333</v>
      </c>
      <c r="E204" s="918">
        <f t="shared" ref="E204" si="127">100*((B204/B203)-1)</f>
        <v>0</v>
      </c>
      <c r="F204" s="918">
        <f t="shared" ref="F204" si="128">100*((B204/$B$196-1))</f>
        <v>8.7200000000000166</v>
      </c>
      <c r="G204" s="918">
        <f t="shared" ref="G204" si="129">100*((B204/B192)-1)</f>
        <v>8.7200000000000166</v>
      </c>
      <c r="H204" s="1033">
        <f t="shared" ref="H204" si="130">100*(B204/B180-1)</f>
        <v>18.504799999999989</v>
      </c>
      <c r="I204" s="1021">
        <f t="shared" si="124"/>
        <v>1.1200462</v>
      </c>
      <c r="J204" s="784"/>
    </row>
    <row r="205" spans="1:10">
      <c r="A205" s="1032" t="str">
        <f>moturb!A205</f>
        <v>SETEMBRO|16</v>
      </c>
      <c r="B205" s="918">
        <f>geral!K1569</f>
        <v>2156.3579246758559</v>
      </c>
      <c r="C205" s="918">
        <f t="shared" ref="C205" si="131">100*B205/$B$8</f>
        <v>381.28510736024333</v>
      </c>
      <c r="D205" s="918">
        <f t="shared" ref="D205" si="132">C205-100</f>
        <v>281.28510736024333</v>
      </c>
      <c r="E205" s="918">
        <f t="shared" ref="E205" si="133">100*((B205/B204)-1)</f>
        <v>0</v>
      </c>
      <c r="F205" s="918">
        <f t="shared" ref="F205" si="134">100*((B205/$B$196-1))</f>
        <v>8.7200000000000166</v>
      </c>
      <c r="G205" s="918">
        <f t="shared" ref="G205" si="135">100*((B205/B193)-1)</f>
        <v>8.7200000000000166</v>
      </c>
      <c r="H205" s="1033">
        <f t="shared" ref="H205" si="136">100*(B205/B181-1)</f>
        <v>18.504799999999989</v>
      </c>
      <c r="I205" s="1021">
        <f t="shared" si="124"/>
        <v>1.1200462</v>
      </c>
      <c r="J205" s="784"/>
    </row>
    <row r="206" spans="1:10">
      <c r="A206" s="1032" t="str">
        <f>moturb!A206</f>
        <v>OUTUBRO|16</v>
      </c>
      <c r="B206" s="918">
        <f>geral!K1570</f>
        <v>2156.3579246758559</v>
      </c>
      <c r="C206" s="918">
        <f t="shared" ref="C206" si="137">100*B206/$B$8</f>
        <v>381.28510736024333</v>
      </c>
      <c r="D206" s="918">
        <f t="shared" ref="D206" si="138">C206-100</f>
        <v>281.28510736024333</v>
      </c>
      <c r="E206" s="918">
        <f t="shared" ref="E206" si="139">100*((B206/B205)-1)</f>
        <v>0</v>
      </c>
      <c r="F206" s="918">
        <f t="shared" ref="F206" si="140">100*((B206/$B$196-1))</f>
        <v>8.7200000000000166</v>
      </c>
      <c r="G206" s="918">
        <f t="shared" ref="G206" si="141">100*((B206/B194)-1)</f>
        <v>8.7200000000000166</v>
      </c>
      <c r="H206" s="1033">
        <f t="shared" ref="H206" si="142">100*(B206/B182-1)</f>
        <v>18.504799999999989</v>
      </c>
      <c r="I206" s="1021">
        <f t="shared" si="124"/>
        <v>1.1200462</v>
      </c>
      <c r="J206" s="784"/>
    </row>
    <row r="207" spans="1:10">
      <c r="A207" s="1032" t="str">
        <f>moturb!A207</f>
        <v>NOVEMBRO|16</v>
      </c>
      <c r="B207" s="918">
        <f>geral!K1571</f>
        <v>2156.3579246758559</v>
      </c>
      <c r="C207" s="918">
        <f t="shared" ref="C207" si="143">100*B207/$B$8</f>
        <v>381.28510736024333</v>
      </c>
      <c r="D207" s="918">
        <f t="shared" ref="D207" si="144">C207-100</f>
        <v>281.28510736024333</v>
      </c>
      <c r="E207" s="918">
        <f t="shared" ref="E207" si="145">100*((B207/B206)-1)</f>
        <v>0</v>
      </c>
      <c r="F207" s="918">
        <f t="shared" ref="F207" si="146">100*((B207/$B$196-1))</f>
        <v>8.7200000000000166</v>
      </c>
      <c r="G207" s="918">
        <f t="shared" ref="G207" si="147">100*((B207/B195)-1)</f>
        <v>8.7200000000000166</v>
      </c>
      <c r="H207" s="1033">
        <f t="shared" ref="H207" si="148">100*(B207/B183-1)</f>
        <v>18.504799999999989</v>
      </c>
      <c r="I207" s="1021">
        <f t="shared" si="124"/>
        <v>1.1200462</v>
      </c>
      <c r="J207" s="784"/>
    </row>
    <row r="208" spans="1:10">
      <c r="A208" s="1032" t="str">
        <f>moturb!A208</f>
        <v>DEZEMBRO|16</v>
      </c>
      <c r="B208" s="918">
        <f>geral!K1572</f>
        <v>2156.3579246758559</v>
      </c>
      <c r="C208" s="918">
        <f t="shared" ref="C208" si="149">100*B208/$B$8</f>
        <v>381.28510736024333</v>
      </c>
      <c r="D208" s="918">
        <f t="shared" ref="D208" si="150">C208-100</f>
        <v>281.28510736024333</v>
      </c>
      <c r="E208" s="918">
        <f t="shared" ref="E208" si="151">100*((B208/B207)-1)</f>
        <v>0</v>
      </c>
      <c r="F208" s="918">
        <f t="shared" ref="F208" si="152">100*((B208/$B$196-1))</f>
        <v>8.7200000000000166</v>
      </c>
      <c r="G208" s="918">
        <f t="shared" ref="G208" si="153">100*((B208/B196)-1)</f>
        <v>8.7200000000000166</v>
      </c>
      <c r="H208" s="1033">
        <f t="shared" ref="H208" si="154">100*(B208/B184-1)</f>
        <v>18.504799999999989</v>
      </c>
      <c r="I208" s="1021">
        <f t="shared" si="124"/>
        <v>1.1200462</v>
      </c>
      <c r="J208" s="784"/>
    </row>
    <row r="209" spans="1:10">
      <c r="A209" s="1032" t="str">
        <f>moturb!A209</f>
        <v>JANEIRO|17</v>
      </c>
      <c r="B209" s="918">
        <f>geral!M1561</f>
        <v>2156.3579246758559</v>
      </c>
      <c r="C209" s="918">
        <f t="shared" ref="C209" si="155">100*B209/$B$8</f>
        <v>381.28510736024333</v>
      </c>
      <c r="D209" s="918">
        <f t="shared" ref="D209" si="156">C209-100</f>
        <v>281.28510736024333</v>
      </c>
      <c r="E209" s="918">
        <f t="shared" ref="E209" si="157">100*((B209/B208)-1)</f>
        <v>0</v>
      </c>
      <c r="F209" s="918">
        <f t="shared" ref="F209:F214" si="158">100*((B209/$B$208-1))</f>
        <v>0</v>
      </c>
      <c r="G209" s="918">
        <f t="shared" ref="G209" si="159">100*((B209/B197)-1)</f>
        <v>8.7200000000000166</v>
      </c>
      <c r="H209" s="1033">
        <f t="shared" ref="H209" si="160">100*(B209/B185-1)</f>
        <v>18.504799999999989</v>
      </c>
      <c r="I209" s="1021">
        <f t="shared" si="124"/>
        <v>1.1200462</v>
      </c>
      <c r="J209" s="784"/>
    </row>
    <row r="210" spans="1:10">
      <c r="A210" s="1032" t="str">
        <f>moturb!A210</f>
        <v>FEVEREIRO|17</v>
      </c>
      <c r="B210" s="918">
        <f>geral!M1562</f>
        <v>2156.3579246758559</v>
      </c>
      <c r="C210" s="918">
        <f t="shared" ref="C210" si="161">100*B210/$B$8</f>
        <v>381.28510736024333</v>
      </c>
      <c r="D210" s="918">
        <f t="shared" ref="D210" si="162">C210-100</f>
        <v>281.28510736024333</v>
      </c>
      <c r="E210" s="918">
        <f t="shared" ref="E210" si="163">100*((B210/B209)-1)</f>
        <v>0</v>
      </c>
      <c r="F210" s="918">
        <f t="shared" si="158"/>
        <v>0</v>
      </c>
      <c r="G210" s="918">
        <f t="shared" ref="G210" si="164">100*((B210/B198)-1)</f>
        <v>8.7200000000000166</v>
      </c>
      <c r="H210" s="1033">
        <f t="shared" ref="H210" si="165">100*(B210/B186-1)</f>
        <v>18.504799999999989</v>
      </c>
      <c r="I210" s="1021">
        <f t="shared" si="124"/>
        <v>1.1200462</v>
      </c>
      <c r="J210" s="784"/>
    </row>
    <row r="211" spans="1:10">
      <c r="A211" s="1032" t="str">
        <f>moturb!A211</f>
        <v>MARÇO|17</v>
      </c>
      <c r="B211" s="918">
        <f>geral!M1563</f>
        <v>2156.3579246758559</v>
      </c>
      <c r="C211" s="918">
        <f t="shared" ref="C211" si="166">100*B211/$B$8</f>
        <v>381.28510736024333</v>
      </c>
      <c r="D211" s="918">
        <f t="shared" ref="D211" si="167">C211-100</f>
        <v>281.28510736024333</v>
      </c>
      <c r="E211" s="918">
        <f t="shared" ref="E211" si="168">100*((B211/B210)-1)</f>
        <v>0</v>
      </c>
      <c r="F211" s="918">
        <f t="shared" si="158"/>
        <v>0</v>
      </c>
      <c r="G211" s="918">
        <f t="shared" ref="G211" si="169">100*((B211/B199)-1)</f>
        <v>8.7200000000000166</v>
      </c>
      <c r="H211" s="1033">
        <f t="shared" ref="H211" si="170">100*(B211/B187-1)</f>
        <v>18.504799999999989</v>
      </c>
      <c r="I211" s="1021">
        <f t="shared" si="124"/>
        <v>1.1200462</v>
      </c>
      <c r="J211" s="784"/>
    </row>
    <row r="212" spans="1:10">
      <c r="A212" s="1032" t="str">
        <f>moturb!A212</f>
        <v>ABRIL|17</v>
      </c>
      <c r="B212" s="918">
        <f>geral!M1564</f>
        <v>2156.3579246758559</v>
      </c>
      <c r="C212" s="918">
        <f t="shared" ref="C212" si="171">100*B212/$B$8</f>
        <v>381.28510736024333</v>
      </c>
      <c r="D212" s="918">
        <f t="shared" ref="D212" si="172">C212-100</f>
        <v>281.28510736024333</v>
      </c>
      <c r="E212" s="918">
        <f t="shared" ref="E212" si="173">100*((B212/B211)-1)</f>
        <v>0</v>
      </c>
      <c r="F212" s="918">
        <f t="shared" si="158"/>
        <v>0</v>
      </c>
      <c r="G212" s="918">
        <f t="shared" ref="G212" si="174">100*((B212/B200)-1)</f>
        <v>8.7200000000000166</v>
      </c>
      <c r="H212" s="1033">
        <f t="shared" ref="H212" si="175">100*(B212/B188-1)</f>
        <v>18.504799999999989</v>
      </c>
      <c r="I212" s="1021">
        <f t="shared" si="124"/>
        <v>1.1200462</v>
      </c>
      <c r="J212" s="784"/>
    </row>
    <row r="213" spans="1:10">
      <c r="A213" s="1032" t="str">
        <f>moturb!A213</f>
        <v>MAIO|17</v>
      </c>
      <c r="B213" s="918">
        <f>geral!M1565</f>
        <v>2242.3966058704227</v>
      </c>
      <c r="C213" s="918">
        <f t="shared" ref="C213" si="176">100*B213/$B$8</f>
        <v>396.49838314391707</v>
      </c>
      <c r="D213" s="918">
        <f t="shared" ref="D213" si="177">C213-100</f>
        <v>296.49838314391707</v>
      </c>
      <c r="E213" s="918">
        <f t="shared" ref="E213" si="178">100*((B213/B212)-1)</f>
        <v>3.9900000000000047</v>
      </c>
      <c r="F213" s="918">
        <f t="shared" si="158"/>
        <v>3.9900000000000047</v>
      </c>
      <c r="G213" s="918">
        <f t="shared" ref="G213" si="179">100*((B213/B201)-1)</f>
        <v>5.6616149532710436</v>
      </c>
      <c r="H213" s="1033">
        <f t="shared" ref="H213" si="180">100*(B213/B189-1)</f>
        <v>13.746669300350757</v>
      </c>
      <c r="I213" s="1021">
        <f t="shared" si="124"/>
        <v>1.0770710645254349</v>
      </c>
      <c r="J213" s="784"/>
    </row>
    <row r="214" spans="1:10">
      <c r="A214" s="1032" t="str">
        <f>moturb!A214</f>
        <v>JUNHO|17</v>
      </c>
      <c r="B214" s="918">
        <f>geral!M1566</f>
        <v>2242.61224166289</v>
      </c>
      <c r="C214" s="918">
        <f t="shared" ref="C214" si="181">100*B214/$B$8</f>
        <v>396.53651165465305</v>
      </c>
      <c r="D214" s="918">
        <f t="shared" ref="D214" si="182">C214-100</f>
        <v>296.53651165465305</v>
      </c>
      <c r="E214" s="918">
        <f t="shared" ref="E214" si="183">100*((B214/B213)-1)</f>
        <v>9.6163092604850675E-3</v>
      </c>
      <c r="F214" s="918">
        <f t="shared" si="158"/>
        <v>4.0000000000000036</v>
      </c>
      <c r="G214" s="918">
        <f t="shared" ref="G214" si="184">100*((B214/B202)-1)</f>
        <v>4.0000000000000036</v>
      </c>
      <c r="H214" s="1033">
        <f t="shared" ref="H214" si="185">100*(B214/B190-1)</f>
        <v>13.068800000000014</v>
      </c>
      <c r="I214" s="1021">
        <f t="shared" si="124"/>
        <v>1.0769674999999999</v>
      </c>
      <c r="J214" s="784"/>
    </row>
    <row r="215" spans="1:10">
      <c r="A215" s="1032" t="str">
        <f>moturb!A215</f>
        <v>JULHO|17</v>
      </c>
      <c r="B215" s="918">
        <f>geral!M1567</f>
        <v>2242.61224166289</v>
      </c>
      <c r="C215" s="918">
        <f t="shared" ref="C215" si="186">100*B215/$B$8</f>
        <v>396.53651165465305</v>
      </c>
      <c r="D215" s="918">
        <f t="shared" ref="D215" si="187">C215-100</f>
        <v>296.53651165465305</v>
      </c>
      <c r="E215" s="918">
        <f t="shared" ref="E215" si="188">100*((B215/B214)-1)</f>
        <v>0</v>
      </c>
      <c r="F215" s="918">
        <f t="shared" ref="F215" si="189">100*((B215/$B$208-1))</f>
        <v>4.0000000000000036</v>
      </c>
      <c r="G215" s="918">
        <f t="shared" ref="G215" si="190">100*((B215/B203)-1)</f>
        <v>4.0000000000000036</v>
      </c>
      <c r="H215" s="1033">
        <f t="shared" ref="H215" si="191">100*(B215/B191-1)</f>
        <v>13.068800000000014</v>
      </c>
      <c r="I215" s="1021">
        <f t="shared" si="124"/>
        <v>1.0769674999999999</v>
      </c>
      <c r="J215" s="784"/>
    </row>
    <row r="216" spans="1:10">
      <c r="A216" s="1032" t="str">
        <f>moturb!A216</f>
        <v>AGOSTO|17</v>
      </c>
      <c r="B216" s="918">
        <f>geral!M1568</f>
        <v>2242.61224166289</v>
      </c>
      <c r="C216" s="918">
        <f t="shared" ref="C216" si="192">100*B216/$B$8</f>
        <v>396.53651165465305</v>
      </c>
      <c r="D216" s="918">
        <f t="shared" ref="D216" si="193">C216-100</f>
        <v>296.53651165465305</v>
      </c>
      <c r="E216" s="918">
        <f t="shared" ref="E216" si="194">100*((B216/B215)-1)</f>
        <v>0</v>
      </c>
      <c r="F216" s="918">
        <f t="shared" ref="F216" si="195">100*((B216/$B$208-1))</f>
        <v>4.0000000000000036</v>
      </c>
      <c r="G216" s="918">
        <f t="shared" ref="G216" si="196">100*((B216/B204)-1)</f>
        <v>4.0000000000000036</v>
      </c>
      <c r="H216" s="1033">
        <f t="shared" ref="H216" si="197">100*(B216/B192-1)</f>
        <v>13.068800000000014</v>
      </c>
      <c r="I216" s="1021">
        <f t="shared" si="124"/>
        <v>1.0769674999999999</v>
      </c>
      <c r="J216" s="784"/>
    </row>
    <row r="217" spans="1:10">
      <c r="A217" s="1032" t="str">
        <f>moturb!A217</f>
        <v>SETEMBRO|17</v>
      </c>
      <c r="B217" s="918">
        <f>geral!M1569</f>
        <v>2242.61224166289</v>
      </c>
      <c r="C217" s="918">
        <f t="shared" ref="C217" si="198">100*B217/$B$8</f>
        <v>396.53651165465305</v>
      </c>
      <c r="D217" s="918">
        <f t="shared" ref="D217" si="199">C217-100</f>
        <v>296.53651165465305</v>
      </c>
      <c r="E217" s="918">
        <f t="shared" ref="E217" si="200">100*((B217/B216)-1)</f>
        <v>0</v>
      </c>
      <c r="F217" s="918">
        <f t="shared" ref="F217" si="201">100*((B217/$B$208-1))</f>
        <v>4.0000000000000036</v>
      </c>
      <c r="G217" s="918">
        <f t="shared" ref="G217" si="202">100*((B217/B205)-1)</f>
        <v>4.0000000000000036</v>
      </c>
      <c r="H217" s="1033">
        <f t="shared" ref="H217" si="203">100*(B217/B193-1)</f>
        <v>13.068800000000014</v>
      </c>
      <c r="I217" s="1021">
        <f t="shared" si="124"/>
        <v>1.0769674999999999</v>
      </c>
      <c r="J217" s="784"/>
    </row>
    <row r="218" spans="1:10">
      <c r="A218" s="1032" t="str">
        <f>moturb!A218</f>
        <v>OUTUBRO|17</v>
      </c>
      <c r="B218" s="918">
        <f>geral!M1570</f>
        <v>2242.61224166289</v>
      </c>
      <c r="C218" s="918">
        <f t="shared" ref="C218" si="204">100*B218/$B$8</f>
        <v>396.53651165465305</v>
      </c>
      <c r="D218" s="918">
        <f t="shared" ref="D218" si="205">C218-100</f>
        <v>296.53651165465305</v>
      </c>
      <c r="E218" s="918">
        <f t="shared" ref="E218" si="206">100*((B218/B217)-1)</f>
        <v>0</v>
      </c>
      <c r="F218" s="918">
        <f t="shared" ref="F218" si="207">100*((B218/$B$208-1))</f>
        <v>4.0000000000000036</v>
      </c>
      <c r="G218" s="918">
        <f t="shared" ref="G218" si="208">100*((B218/B206)-1)</f>
        <v>4.0000000000000036</v>
      </c>
      <c r="H218" s="1033">
        <f t="shared" ref="H218" si="209">100*(B218/B194-1)</f>
        <v>13.068800000000014</v>
      </c>
      <c r="I218" s="1021">
        <f t="shared" si="124"/>
        <v>1.0769674999999999</v>
      </c>
      <c r="J218" s="784"/>
    </row>
    <row r="219" spans="1:10">
      <c r="A219" s="1032" t="str">
        <f>moturb!A219</f>
        <v>NOVEMBRO|17</v>
      </c>
      <c r="B219" s="918">
        <f>geral!M1571</f>
        <v>2242.61224166289</v>
      </c>
      <c r="C219" s="918">
        <f t="shared" ref="C219" si="210">100*B219/$B$8</f>
        <v>396.53651165465305</v>
      </c>
      <c r="D219" s="918">
        <f t="shared" ref="D219" si="211">C219-100</f>
        <v>296.53651165465305</v>
      </c>
      <c r="E219" s="918">
        <f t="shared" ref="E219" si="212">100*((B219/B218)-1)</f>
        <v>0</v>
      </c>
      <c r="F219" s="918">
        <f t="shared" ref="F219" si="213">100*((B219/$B$208-1))</f>
        <v>4.0000000000000036</v>
      </c>
      <c r="G219" s="918">
        <f t="shared" ref="G219" si="214">100*((B219/B207)-1)</f>
        <v>4.0000000000000036</v>
      </c>
      <c r="H219" s="1033">
        <f t="shared" ref="H219" si="215">100*(B219/B195-1)</f>
        <v>13.068800000000014</v>
      </c>
      <c r="I219" s="1021">
        <f t="shared" si="124"/>
        <v>1.0769674999999999</v>
      </c>
      <c r="J219" s="784"/>
    </row>
    <row r="220" spans="1:10">
      <c r="A220" s="1032" t="str">
        <f>moturb!A220</f>
        <v>DEZEMBRO|17</v>
      </c>
      <c r="B220" s="918">
        <f>geral!M1572</f>
        <v>2242.61224166289</v>
      </c>
      <c r="C220" s="918">
        <f t="shared" ref="C220" si="216">100*B220/$B$8</f>
        <v>396.53651165465305</v>
      </c>
      <c r="D220" s="918">
        <f t="shared" ref="D220" si="217">C220-100</f>
        <v>296.53651165465305</v>
      </c>
      <c r="E220" s="918">
        <f t="shared" ref="E220" si="218">100*((B220/B219)-1)</f>
        <v>0</v>
      </c>
      <c r="F220" s="918">
        <f t="shared" ref="F220" si="219">100*((B220/$B$208-1))</f>
        <v>4.0000000000000036</v>
      </c>
      <c r="G220" s="918">
        <f t="shared" ref="G220" si="220">100*((B220/B208)-1)</f>
        <v>4.0000000000000036</v>
      </c>
      <c r="H220" s="1033">
        <f t="shared" ref="H220" si="221">100*(B220/B196-1)</f>
        <v>13.068800000000014</v>
      </c>
      <c r="I220" s="1021">
        <f t="shared" si="124"/>
        <v>1.0769674999999999</v>
      </c>
      <c r="J220" s="784"/>
    </row>
    <row r="221" spans="1:10">
      <c r="A221" s="1032" t="str">
        <f>moturb!A221</f>
        <v>JANEIRO|18</v>
      </c>
      <c r="B221" s="918">
        <f>geral!O1561</f>
        <v>2242.61224166289</v>
      </c>
      <c r="C221" s="918">
        <f t="shared" ref="C221" si="222">100*B221/$B$8</f>
        <v>396.53651165465305</v>
      </c>
      <c r="D221" s="918">
        <f t="shared" ref="D221" si="223">C221-100</f>
        <v>296.53651165465305</v>
      </c>
      <c r="E221" s="918">
        <f t="shared" ref="E221" si="224">100*((B221/B220)-1)</f>
        <v>0</v>
      </c>
      <c r="F221" s="918">
        <f t="shared" ref="F221:F226" si="225">100*((B221/$B$220-1))</f>
        <v>0</v>
      </c>
      <c r="G221" s="918">
        <f t="shared" ref="G221" si="226">100*((B221/B209)-1)</f>
        <v>4.0000000000000036</v>
      </c>
      <c r="H221" s="1033">
        <f t="shared" ref="H221" si="227">100*(B221/B197-1)</f>
        <v>13.068800000000014</v>
      </c>
      <c r="I221" s="1021">
        <f t="shared" si="124"/>
        <v>1.0769674999999999</v>
      </c>
      <c r="J221" s="784"/>
    </row>
    <row r="222" spans="1:10">
      <c r="A222" s="1032" t="str">
        <f>moturb!A222</f>
        <v>FEVEREIRO|18</v>
      </c>
      <c r="B222" s="918">
        <f>geral!O1562</f>
        <v>2242.61224166289</v>
      </c>
      <c r="C222" s="918">
        <f t="shared" ref="C222" si="228">100*B222/$B$8</f>
        <v>396.53651165465305</v>
      </c>
      <c r="D222" s="918">
        <f t="shared" ref="D222" si="229">C222-100</f>
        <v>296.53651165465305</v>
      </c>
      <c r="E222" s="918">
        <f t="shared" ref="E222" si="230">100*((B222/B221)-1)</f>
        <v>0</v>
      </c>
      <c r="F222" s="918">
        <f t="shared" si="225"/>
        <v>0</v>
      </c>
      <c r="G222" s="918">
        <f t="shared" ref="G222" si="231">100*((B222/B210)-1)</f>
        <v>4.0000000000000036</v>
      </c>
      <c r="H222" s="1033">
        <f t="shared" ref="H222" si="232">100*(B222/B198-1)</f>
        <v>13.068800000000014</v>
      </c>
      <c r="I222" s="1021">
        <f t="shared" si="124"/>
        <v>1.0769674999999999</v>
      </c>
      <c r="J222" s="784"/>
    </row>
    <row r="223" spans="1:10">
      <c r="A223" s="1032" t="str">
        <f>moturb!A223</f>
        <v>MARÇO|18</v>
      </c>
      <c r="B223" s="918">
        <f>geral!O1563</f>
        <v>2242.61224166289</v>
      </c>
      <c r="C223" s="918">
        <f t="shared" ref="C223" si="233">100*B223/$B$8</f>
        <v>396.53651165465305</v>
      </c>
      <c r="D223" s="918">
        <f t="shared" ref="D223" si="234">C223-100</f>
        <v>296.53651165465305</v>
      </c>
      <c r="E223" s="918">
        <f t="shared" ref="E223" si="235">100*((B223/B222)-1)</f>
        <v>0</v>
      </c>
      <c r="F223" s="918">
        <f t="shared" si="225"/>
        <v>0</v>
      </c>
      <c r="G223" s="918">
        <f t="shared" ref="G223" si="236">100*((B223/B211)-1)</f>
        <v>4.0000000000000036</v>
      </c>
      <c r="H223" s="1033">
        <f t="shared" ref="H223" si="237">100*(B223/B199-1)</f>
        <v>13.068800000000014</v>
      </c>
      <c r="I223" s="1021">
        <f t="shared" si="124"/>
        <v>1.0769674999999999</v>
      </c>
      <c r="J223" s="784"/>
    </row>
    <row r="224" spans="1:10">
      <c r="A224" s="1032" t="str">
        <f>moturb!A224</f>
        <v>ABRIL|18</v>
      </c>
      <c r="B224" s="918">
        <f>geral!O1564</f>
        <v>2242.61224166289</v>
      </c>
      <c r="C224" s="918">
        <f t="shared" ref="C224" si="238">100*B224/$B$8</f>
        <v>396.53651165465305</v>
      </c>
      <c r="D224" s="918">
        <f t="shared" ref="D224" si="239">C224-100</f>
        <v>296.53651165465305</v>
      </c>
      <c r="E224" s="918">
        <f t="shared" ref="E224" si="240">100*((B224/B223)-1)</f>
        <v>0</v>
      </c>
      <c r="F224" s="918">
        <f t="shared" si="225"/>
        <v>0</v>
      </c>
      <c r="G224" s="918">
        <f t="shared" ref="G224" si="241">100*((B224/B212)-1)</f>
        <v>4.0000000000000036</v>
      </c>
      <c r="H224" s="1033">
        <f t="shared" ref="H224" si="242">100*(B224/B200-1)</f>
        <v>13.068800000000014</v>
      </c>
      <c r="I224" s="1021">
        <f t="shared" si="124"/>
        <v>1.0769674999999999</v>
      </c>
      <c r="J224" s="784"/>
    </row>
    <row r="225" spans="1:10">
      <c r="A225" s="1032" t="str">
        <f>moturb!A225</f>
        <v>MAIO|18</v>
      </c>
      <c r="B225" s="918">
        <f>geral!O1565</f>
        <v>2242.61224166289</v>
      </c>
      <c r="C225" s="918">
        <f t="shared" ref="C225" si="243">100*B225/$B$8</f>
        <v>396.53651165465305</v>
      </c>
      <c r="D225" s="918">
        <f t="shared" ref="D225" si="244">C225-100</f>
        <v>296.53651165465305</v>
      </c>
      <c r="E225" s="918">
        <f t="shared" ref="E225" si="245">100*((B225/B224)-1)</f>
        <v>0</v>
      </c>
      <c r="F225" s="918">
        <f t="shared" si="225"/>
        <v>0</v>
      </c>
      <c r="G225" s="918">
        <f t="shared" ref="G225" si="246">100*((B225/B213)-1)</f>
        <v>9.6163092604850675E-3</v>
      </c>
      <c r="H225" s="1033">
        <f t="shared" ref="H225" si="247">100*(B225/B201-1)</f>
        <v>5.6717757009345782</v>
      </c>
      <c r="I225" s="1021">
        <f t="shared" si="124"/>
        <v>1.0769674999999999</v>
      </c>
      <c r="J225" s="784"/>
    </row>
    <row r="226" spans="1:10">
      <c r="A226" s="1014" t="str">
        <f>moturb!A226</f>
        <v>JUNHO|18</v>
      </c>
      <c r="B226" s="857">
        <f>geral!O1566</f>
        <v>2298.6775477044621</v>
      </c>
      <c r="C226" s="857">
        <f t="shared" ref="C226" si="248">100*B226/$B$8</f>
        <v>406.44992444601934</v>
      </c>
      <c r="D226" s="857">
        <f t="shared" ref="D226" si="249">C226-100</f>
        <v>306.44992444601934</v>
      </c>
      <c r="E226" s="857">
        <f t="shared" ref="E226" si="250">100*((B226/B225)-1)</f>
        <v>2.4999999999999911</v>
      </c>
      <c r="F226" s="857">
        <f t="shared" si="225"/>
        <v>2.4999999999999911</v>
      </c>
      <c r="G226" s="857">
        <f t="shared" ref="G226" si="251">100*((B226/B214)-1)</f>
        <v>2.4999999999999911</v>
      </c>
      <c r="H226" s="897">
        <f t="shared" ref="H226" si="252">100*(B226/B202-1)</f>
        <v>6.5999999999999837</v>
      </c>
      <c r="I226" s="1021">
        <f t="shared" si="124"/>
        <v>1.0507</v>
      </c>
      <c r="J226" s="784"/>
    </row>
    <row r="227" spans="1:10">
      <c r="A227" s="1014" t="str">
        <f>moturb!A227</f>
        <v>JULHO|18</v>
      </c>
      <c r="B227" s="857">
        <f>geral!O1567</f>
        <v>2298.6775477044621</v>
      </c>
      <c r="C227" s="857">
        <f t="shared" ref="C227" si="253">100*B227/$B$8</f>
        <v>406.44992444601934</v>
      </c>
      <c r="D227" s="857">
        <f t="shared" ref="D227" si="254">C227-100</f>
        <v>306.44992444601934</v>
      </c>
      <c r="E227" s="857">
        <f t="shared" ref="E227" si="255">100*((B227/B226)-1)</f>
        <v>0</v>
      </c>
      <c r="F227" s="857">
        <f t="shared" ref="F227" si="256">100*((B227/$B$220-1))</f>
        <v>2.4999999999999911</v>
      </c>
      <c r="G227" s="857">
        <f t="shared" ref="G227" si="257">100*((B227/B215)-1)</f>
        <v>2.4999999999999911</v>
      </c>
      <c r="H227" s="897">
        <f t="shared" ref="H227" si="258">100*(B227/B203-1)</f>
        <v>6.5999999999999837</v>
      </c>
      <c r="I227" s="1021">
        <f t="shared" si="124"/>
        <v>1.0507</v>
      </c>
      <c r="J227" s="784"/>
    </row>
    <row r="228" spans="1:10">
      <c r="A228" s="1032" t="str">
        <f>moturb!A228</f>
        <v>AGOSTO|18</v>
      </c>
      <c r="B228" s="918">
        <f>geral!O1568</f>
        <v>2298.6775477044621</v>
      </c>
      <c r="C228" s="918">
        <f t="shared" ref="C228" si="259">100*B228/$B$8</f>
        <v>406.44992444601934</v>
      </c>
      <c r="D228" s="918">
        <f t="shared" ref="D228" si="260">C228-100</f>
        <v>306.44992444601934</v>
      </c>
      <c r="E228" s="918">
        <f t="shared" ref="E228" si="261">100*((B228/B227)-1)</f>
        <v>0</v>
      </c>
      <c r="F228" s="918">
        <f t="shared" ref="F228" si="262">100*((B228/$B$220-1))</f>
        <v>2.4999999999999911</v>
      </c>
      <c r="G228" s="918">
        <f t="shared" ref="G228" si="263">100*((B228/B216)-1)</f>
        <v>2.4999999999999911</v>
      </c>
      <c r="H228" s="1033">
        <f t="shared" ref="H228" si="264">100*(B228/B204-1)</f>
        <v>6.5999999999999837</v>
      </c>
      <c r="I228" s="1021">
        <f t="shared" si="124"/>
        <v>1.0507</v>
      </c>
      <c r="J228" s="784"/>
    </row>
    <row r="229" spans="1:10">
      <c r="A229" s="1032" t="str">
        <f>moturb!A229</f>
        <v>SETEMBRO|18</v>
      </c>
      <c r="B229" s="918">
        <f>geral!O1569</f>
        <v>2298.6775477044621</v>
      </c>
      <c r="C229" s="918">
        <f t="shared" ref="C229" si="265">100*B229/$B$8</f>
        <v>406.44992444601934</v>
      </c>
      <c r="D229" s="918">
        <f t="shared" ref="D229" si="266">C229-100</f>
        <v>306.44992444601934</v>
      </c>
      <c r="E229" s="918">
        <f t="shared" ref="E229" si="267">100*((B229/B228)-1)</f>
        <v>0</v>
      </c>
      <c r="F229" s="918">
        <f t="shared" ref="F229" si="268">100*((B229/$B$220-1))</f>
        <v>2.4999999999999911</v>
      </c>
      <c r="G229" s="918">
        <f t="shared" ref="G229" si="269">100*((B229/B217)-1)</f>
        <v>2.4999999999999911</v>
      </c>
      <c r="H229" s="1033">
        <f t="shared" ref="H229" si="270">100*(B229/B205-1)</f>
        <v>6.5999999999999837</v>
      </c>
      <c r="I229" s="1021">
        <f t="shared" si="124"/>
        <v>1.0507</v>
      </c>
      <c r="J229" s="784"/>
    </row>
    <row r="230" spans="1:10">
      <c r="A230" s="1032" t="str">
        <f>moturb!A230</f>
        <v>OUTUBRO|18</v>
      </c>
      <c r="B230" s="918">
        <f>geral!O1570</f>
        <v>2298.6775477044621</v>
      </c>
      <c r="C230" s="918">
        <f t="shared" ref="C230" si="271">100*B230/$B$8</f>
        <v>406.44992444601934</v>
      </c>
      <c r="D230" s="918">
        <f t="shared" ref="D230" si="272">C230-100</f>
        <v>306.44992444601934</v>
      </c>
      <c r="E230" s="918">
        <f t="shared" ref="E230" si="273">100*((B230/B229)-1)</f>
        <v>0</v>
      </c>
      <c r="F230" s="918">
        <f t="shared" ref="F230" si="274">100*((B230/$B$220-1))</f>
        <v>2.4999999999999911</v>
      </c>
      <c r="G230" s="918">
        <f t="shared" ref="G230" si="275">100*((B230/B218)-1)</f>
        <v>2.4999999999999911</v>
      </c>
      <c r="H230" s="1033">
        <f t="shared" ref="H230" si="276">100*(B230/B206-1)</f>
        <v>6.5999999999999837</v>
      </c>
      <c r="I230" s="1021">
        <f t="shared" si="124"/>
        <v>1.0507</v>
      </c>
      <c r="J230" s="784"/>
    </row>
    <row r="231" spans="1:10">
      <c r="A231" s="1032" t="str">
        <f>moturb!A231</f>
        <v>NOVEMBRO|18</v>
      </c>
      <c r="B231" s="918">
        <f>geral!O1571</f>
        <v>2298.6775477044621</v>
      </c>
      <c r="C231" s="918">
        <f t="shared" ref="C231" si="277">100*B231/$B$8</f>
        <v>406.44992444601934</v>
      </c>
      <c r="D231" s="918">
        <f t="shared" ref="D231" si="278">C231-100</f>
        <v>306.44992444601934</v>
      </c>
      <c r="E231" s="918">
        <f t="shared" ref="E231" si="279">100*((B231/B230)-1)</f>
        <v>0</v>
      </c>
      <c r="F231" s="918">
        <f t="shared" ref="F231" si="280">100*((B231/$B$220-1))</f>
        <v>2.4999999999999911</v>
      </c>
      <c r="G231" s="918">
        <f t="shared" ref="G231" si="281">100*((B231/B219)-1)</f>
        <v>2.4999999999999911</v>
      </c>
      <c r="H231" s="1033">
        <f t="shared" ref="H231" si="282">100*(B231/B207-1)</f>
        <v>6.5999999999999837</v>
      </c>
      <c r="I231" s="1021">
        <f t="shared" si="124"/>
        <v>1.0507</v>
      </c>
      <c r="J231" s="784"/>
    </row>
    <row r="232" spans="1:10">
      <c r="A232" s="1032" t="str">
        <f>moturb!A232</f>
        <v>DEZEMBRO|18</v>
      </c>
      <c r="B232" s="918">
        <f>geral!O1572</f>
        <v>2298.6775477044621</v>
      </c>
      <c r="C232" s="918">
        <f t="shared" ref="C232" si="283">100*B232/$B$8</f>
        <v>406.44992444601934</v>
      </c>
      <c r="D232" s="918">
        <f t="shared" ref="D232" si="284">C232-100</f>
        <v>306.44992444601934</v>
      </c>
      <c r="E232" s="918">
        <f t="shared" ref="E232" si="285">100*((B232/B231)-1)</f>
        <v>0</v>
      </c>
      <c r="F232" s="918">
        <f t="shared" ref="F232" si="286">100*((B232/$B$220-1))</f>
        <v>2.4999999999999911</v>
      </c>
      <c r="G232" s="918">
        <f t="shared" ref="G232" si="287">100*((B232/B220)-1)</f>
        <v>2.4999999999999911</v>
      </c>
      <c r="H232" s="1033">
        <f t="shared" ref="H232" si="288">100*(B232/B208-1)</f>
        <v>6.5999999999999837</v>
      </c>
      <c r="I232" s="1021">
        <f t="shared" si="124"/>
        <v>1.0507</v>
      </c>
      <c r="J232" s="784"/>
    </row>
    <row r="233" spans="1:10">
      <c r="A233" s="1032" t="str">
        <f>moturb!A233</f>
        <v>JANEIRO|19</v>
      </c>
      <c r="B233" s="918">
        <f>geral!Q1561</f>
        <v>2298.6775477044621</v>
      </c>
      <c r="C233" s="918">
        <f t="shared" ref="C233" si="289">100*B233/$B$8</f>
        <v>406.44992444601934</v>
      </c>
      <c r="D233" s="918">
        <f t="shared" ref="D233" si="290">C233-100</f>
        <v>306.44992444601934</v>
      </c>
      <c r="E233" s="918">
        <f t="shared" ref="E233" si="291">100*((B233/B232)-1)</f>
        <v>0</v>
      </c>
      <c r="F233" s="918">
        <f t="shared" ref="F233:F238" si="292">100*((B233/$B$232-1))</f>
        <v>0</v>
      </c>
      <c r="G233" s="918">
        <f t="shared" ref="G233" si="293">100*((B233/B221)-1)</f>
        <v>2.4999999999999911</v>
      </c>
      <c r="H233" s="1033">
        <f t="shared" ref="H233" si="294">100*(B233/B209-1)</f>
        <v>6.5999999999999837</v>
      </c>
      <c r="I233" s="1021">
        <f t="shared" si="124"/>
        <v>1.0507</v>
      </c>
      <c r="J233" s="784"/>
    </row>
    <row r="234" spans="1:10">
      <c r="A234" s="1032" t="str">
        <f>moturb!A234</f>
        <v>FEVEREIRO|19</v>
      </c>
      <c r="B234" s="918">
        <f>geral!Q1562</f>
        <v>2298.6775477044621</v>
      </c>
      <c r="C234" s="918">
        <f t="shared" ref="C234" si="295">100*B234/$B$8</f>
        <v>406.44992444601934</v>
      </c>
      <c r="D234" s="918">
        <f t="shared" ref="D234" si="296">C234-100</f>
        <v>306.44992444601934</v>
      </c>
      <c r="E234" s="918">
        <f t="shared" ref="E234" si="297">100*((B234/B233)-1)</f>
        <v>0</v>
      </c>
      <c r="F234" s="918">
        <f t="shared" si="292"/>
        <v>0</v>
      </c>
      <c r="G234" s="918">
        <f t="shared" ref="G234" si="298">100*((B234/B222)-1)</f>
        <v>2.4999999999999911</v>
      </c>
      <c r="H234" s="1033">
        <f t="shared" ref="H234" si="299">100*(B234/B210-1)</f>
        <v>6.5999999999999837</v>
      </c>
      <c r="I234" s="1021">
        <f t="shared" si="124"/>
        <v>1.0507</v>
      </c>
      <c r="J234" s="784"/>
    </row>
    <row r="235" spans="1:10">
      <c r="A235" s="1032" t="str">
        <f>moturb!A235</f>
        <v>MARÇO|19</v>
      </c>
      <c r="B235" s="918">
        <f>geral!Q1563</f>
        <v>2298.6775477044621</v>
      </c>
      <c r="C235" s="918">
        <f t="shared" ref="C235" si="300">100*B235/$B$8</f>
        <v>406.44992444601934</v>
      </c>
      <c r="D235" s="918">
        <f t="shared" ref="D235" si="301">C235-100</f>
        <v>306.44992444601934</v>
      </c>
      <c r="E235" s="918">
        <f t="shared" ref="E235" si="302">100*((B235/B234)-1)</f>
        <v>0</v>
      </c>
      <c r="F235" s="918">
        <f t="shared" si="292"/>
        <v>0</v>
      </c>
      <c r="G235" s="918">
        <f t="shared" ref="G235" si="303">100*((B235/B223)-1)</f>
        <v>2.4999999999999911</v>
      </c>
      <c r="H235" s="1033">
        <f t="shared" ref="H235" si="304">100*(B235/B211-1)</f>
        <v>6.5999999999999837</v>
      </c>
      <c r="I235" s="1021">
        <f t="shared" si="124"/>
        <v>1.0507</v>
      </c>
      <c r="J235" s="784"/>
    </row>
    <row r="236" spans="1:10">
      <c r="A236" s="1032" t="str">
        <f>moturb!A236</f>
        <v>ABRIL|19</v>
      </c>
      <c r="B236" s="918">
        <f>geral!Q1564</f>
        <v>2298.6775477044621</v>
      </c>
      <c r="C236" s="918">
        <f t="shared" ref="C236" si="305">100*B236/$B$8</f>
        <v>406.44992444601934</v>
      </c>
      <c r="D236" s="918">
        <f t="shared" ref="D236" si="306">C236-100</f>
        <v>306.44992444601934</v>
      </c>
      <c r="E236" s="918">
        <f t="shared" ref="E236" si="307">100*((B236/B235)-1)</f>
        <v>0</v>
      </c>
      <c r="F236" s="918">
        <f t="shared" si="292"/>
        <v>0</v>
      </c>
      <c r="G236" s="918">
        <f t="shared" ref="G236" si="308">100*((B236/B224)-1)</f>
        <v>2.4999999999999911</v>
      </c>
      <c r="H236" s="1033">
        <f t="shared" ref="H236" si="309">100*(B236/B212-1)</f>
        <v>6.5999999999999837</v>
      </c>
      <c r="I236" s="1021">
        <f t="shared" si="124"/>
        <v>1.0507</v>
      </c>
      <c r="J236" s="784"/>
    </row>
    <row r="237" spans="1:10">
      <c r="A237" s="1032" t="str">
        <f>moturb!A237</f>
        <v>MAIO|19</v>
      </c>
      <c r="B237" s="918">
        <f>geral!Q1565</f>
        <v>2415.2204993730784</v>
      </c>
      <c r="C237" s="918">
        <f t="shared" ref="C237" si="310">100*B237/$B$8</f>
        <v>427.05693561543251</v>
      </c>
      <c r="D237" s="918">
        <f t="shared" ref="D237" si="311">C237-100</f>
        <v>327.05693561543251</v>
      </c>
      <c r="E237" s="918">
        <f t="shared" ref="E237" si="312">100*((B237/B236)-1)</f>
        <v>5.0699999999999967</v>
      </c>
      <c r="F237" s="918">
        <f t="shared" si="292"/>
        <v>5.0699999999999967</v>
      </c>
      <c r="G237" s="918">
        <f t="shared" ref="G237" si="313">100*((B237/B225)-1)</f>
        <v>7.6967499999999855</v>
      </c>
      <c r="H237" s="1033">
        <f t="shared" ref="H237" si="314">100*(B237/B213-1)</f>
        <v>7.7071064525434885</v>
      </c>
      <c r="I237" s="1021">
        <f t="shared" si="124"/>
        <v>1</v>
      </c>
      <c r="J237" s="784"/>
    </row>
    <row r="238" spans="1:10">
      <c r="A238" s="1032" t="str">
        <f>moturb!A238</f>
        <v>JUNHO|19</v>
      </c>
      <c r="B238" s="918">
        <f>geral!Q1566</f>
        <v>2415.2204993730784</v>
      </c>
      <c r="C238" s="918">
        <f t="shared" ref="C238" si="315">100*B238/$B$8</f>
        <v>427.05693561543251</v>
      </c>
      <c r="D238" s="918">
        <f t="shared" ref="D238" si="316">C238-100</f>
        <v>327.05693561543251</v>
      </c>
      <c r="E238" s="918">
        <f t="shared" ref="E238" si="317">100*((B238/B237)-1)</f>
        <v>0</v>
      </c>
      <c r="F238" s="918">
        <f t="shared" si="292"/>
        <v>5.0699999999999967</v>
      </c>
      <c r="G238" s="918">
        <f t="shared" ref="G238" si="318">100*((B238/B226)-1)</f>
        <v>5.0699999999999967</v>
      </c>
      <c r="H238" s="1033">
        <f t="shared" ref="H238" si="319">100*(B238/B214-1)</f>
        <v>7.6967499999999855</v>
      </c>
      <c r="I238" s="1021">
        <f t="shared" si="124"/>
        <v>1</v>
      </c>
      <c r="J238" s="784"/>
    </row>
    <row r="239" spans="1:10">
      <c r="A239" s="1032" t="str">
        <f>moturb!A239</f>
        <v>JULHO|19</v>
      </c>
      <c r="B239" s="918">
        <f>geral!Q1567</f>
        <v>2415.2204993730784</v>
      </c>
      <c r="C239" s="918">
        <f t="shared" ref="C239" si="320">100*B239/$B$8</f>
        <v>427.05693561543251</v>
      </c>
      <c r="D239" s="918">
        <f t="shared" ref="D239" si="321">C239-100</f>
        <v>327.05693561543251</v>
      </c>
      <c r="E239" s="918">
        <f t="shared" ref="E239" si="322">100*((B239/B238)-1)</f>
        <v>0</v>
      </c>
      <c r="F239" s="918">
        <f t="shared" ref="F239" si="323">100*((B239/$B$232-1))</f>
        <v>5.0699999999999967</v>
      </c>
      <c r="G239" s="918">
        <f t="shared" ref="G239" si="324">100*((B239/B227)-1)</f>
        <v>5.0699999999999967</v>
      </c>
      <c r="H239" s="1033">
        <f t="shared" ref="H239" si="325">100*(B239/B215-1)</f>
        <v>7.6967499999999855</v>
      </c>
      <c r="I239" s="1021">
        <f t="shared" si="124"/>
        <v>1</v>
      </c>
      <c r="J239" s="784"/>
    </row>
    <row r="240" spans="1:10">
      <c r="A240" s="1032" t="str">
        <f>moturb!A240</f>
        <v>AGOSTO|19</v>
      </c>
      <c r="B240" s="918">
        <f>geral!Q1568</f>
        <v>2415.2204993730784</v>
      </c>
      <c r="C240" s="918">
        <f t="shared" ref="C240" si="326">100*B240/$B$8</f>
        <v>427.05693561543251</v>
      </c>
      <c r="D240" s="918">
        <f t="shared" ref="D240" si="327">C240-100</f>
        <v>327.05693561543251</v>
      </c>
      <c r="E240" s="918">
        <f t="shared" ref="E240" si="328">100*((B240/B239)-1)</f>
        <v>0</v>
      </c>
      <c r="F240" s="918">
        <f t="shared" ref="F240" si="329">100*((B240/$B$232-1))</f>
        <v>5.0699999999999967</v>
      </c>
      <c r="G240" s="918">
        <f t="shared" ref="G240" si="330">100*((B240/B228)-1)</f>
        <v>5.0699999999999967</v>
      </c>
      <c r="H240" s="1033">
        <f t="shared" ref="H240" si="331">100*(B240/B216-1)</f>
        <v>7.6967499999999855</v>
      </c>
      <c r="I240" s="1021">
        <f t="shared" si="124"/>
        <v>1</v>
      </c>
      <c r="J240" s="784"/>
    </row>
    <row r="241" spans="1:10">
      <c r="A241" s="1032" t="str">
        <f>moturb!A241</f>
        <v>SETEMBRO|19</v>
      </c>
      <c r="B241" s="918">
        <f>geral!Q1569</f>
        <v>2415.2204993730784</v>
      </c>
      <c r="C241" s="918">
        <f t="shared" ref="C241" si="332">100*B241/$B$8</f>
        <v>427.05693561543251</v>
      </c>
      <c r="D241" s="918">
        <f t="shared" ref="D241" si="333">C241-100</f>
        <v>327.05693561543251</v>
      </c>
      <c r="E241" s="918">
        <f t="shared" ref="E241" si="334">100*((B241/B240)-1)</f>
        <v>0</v>
      </c>
      <c r="F241" s="918">
        <f t="shared" ref="F241" si="335">100*((B241/$B$232-1))</f>
        <v>5.0699999999999967</v>
      </c>
      <c r="G241" s="918">
        <f t="shared" ref="G241" si="336">100*((B241/B229)-1)</f>
        <v>5.0699999999999967</v>
      </c>
      <c r="H241" s="1033">
        <f t="shared" ref="H241" si="337">100*(B241/B217-1)</f>
        <v>7.6967499999999855</v>
      </c>
      <c r="I241" s="1021">
        <f t="shared" si="124"/>
        <v>1</v>
      </c>
      <c r="J241" s="784"/>
    </row>
    <row r="242" spans="1:10">
      <c r="A242" s="1032" t="str">
        <f>moturb!A242</f>
        <v>OUTUBRO|19</v>
      </c>
      <c r="B242" s="918">
        <f>geral!Q1570</f>
        <v>2415.2204993730784</v>
      </c>
      <c r="C242" s="918">
        <f t="shared" ref="C242" si="338">100*B242/$B$8</f>
        <v>427.05693561543251</v>
      </c>
      <c r="D242" s="918">
        <f t="shared" ref="D242" si="339">C242-100</f>
        <v>327.05693561543251</v>
      </c>
      <c r="E242" s="918">
        <f t="shared" ref="E242" si="340">100*((B242/B241)-1)</f>
        <v>0</v>
      </c>
      <c r="F242" s="918">
        <f t="shared" ref="F242" si="341">100*((B242/$B$232-1))</f>
        <v>5.0699999999999967</v>
      </c>
      <c r="G242" s="918">
        <f t="shared" ref="G242" si="342">100*((B242/B230)-1)</f>
        <v>5.0699999999999967</v>
      </c>
      <c r="H242" s="1033">
        <f t="shared" ref="H242" si="343">100*(B242/B218-1)</f>
        <v>7.6967499999999855</v>
      </c>
      <c r="I242" s="1021">
        <f t="shared" si="124"/>
        <v>1</v>
      </c>
      <c r="J242" s="784"/>
    </row>
    <row r="243" spans="1:10">
      <c r="A243" s="1032" t="str">
        <f>moturb!A243</f>
        <v>NOVEMBRO|19</v>
      </c>
      <c r="B243" s="918">
        <f>geral!Q1571</f>
        <v>2415.2204993730784</v>
      </c>
      <c r="C243" s="918">
        <f t="shared" ref="C243" si="344">100*B243/$B$8</f>
        <v>427.05693561543251</v>
      </c>
      <c r="D243" s="918">
        <f t="shared" ref="D243" si="345">C243-100</f>
        <v>327.05693561543251</v>
      </c>
      <c r="E243" s="918">
        <f t="shared" ref="E243" si="346">100*((B243/B242)-1)</f>
        <v>0</v>
      </c>
      <c r="F243" s="918">
        <f t="shared" ref="F243" si="347">100*((B243/$B$232-1))</f>
        <v>5.0699999999999967</v>
      </c>
      <c r="G243" s="918">
        <f t="shared" ref="G243" si="348">100*((B243/B231)-1)</f>
        <v>5.0699999999999967</v>
      </c>
      <c r="H243" s="1033">
        <f t="shared" ref="H243" si="349">100*(B243/B219-1)</f>
        <v>7.6967499999999855</v>
      </c>
      <c r="I243" s="1021">
        <f t="shared" si="124"/>
        <v>1</v>
      </c>
      <c r="J243" s="784"/>
    </row>
    <row r="244" spans="1:10">
      <c r="A244" s="1032" t="str">
        <f>moturb!A244</f>
        <v>DEZEMBRO|19</v>
      </c>
      <c r="B244" s="918">
        <f>geral!Q1572</f>
        <v>2415.2204993730784</v>
      </c>
      <c r="C244" s="918">
        <f t="shared" ref="C244" si="350">100*B244/$B$8</f>
        <v>427.05693561543251</v>
      </c>
      <c r="D244" s="918">
        <f t="shared" ref="D244" si="351">C244-100</f>
        <v>327.05693561543251</v>
      </c>
      <c r="E244" s="918">
        <f t="shared" ref="E244" si="352">100*((B244/B243)-1)</f>
        <v>0</v>
      </c>
      <c r="F244" s="918">
        <f t="shared" ref="F244" si="353">100*((B244/$B$232-1))</f>
        <v>5.0699999999999967</v>
      </c>
      <c r="G244" s="918">
        <f t="shared" ref="G244" si="354">100*((B244/B232)-1)</f>
        <v>5.0699999999999967</v>
      </c>
      <c r="H244" s="1033">
        <f t="shared" ref="H244" si="355">100*(B244/B220-1)</f>
        <v>7.6967499999999855</v>
      </c>
      <c r="I244" s="1021">
        <f t="shared" si="124"/>
        <v>1</v>
      </c>
      <c r="J244" s="784"/>
    </row>
    <row r="245" spans="1:10">
      <c r="A245" s="1032" t="str">
        <f>moturb!A245</f>
        <v>JANEIRO|20</v>
      </c>
      <c r="B245" s="918">
        <f>geral!S1561</f>
        <v>2415.2204993730784</v>
      </c>
      <c r="C245" s="918">
        <f t="shared" ref="C245" si="356">100*B245/$B$8</f>
        <v>427.05693561543251</v>
      </c>
      <c r="D245" s="918">
        <f t="shared" ref="D245" si="357">C245-100</f>
        <v>327.05693561543251</v>
      </c>
      <c r="E245" s="918">
        <f t="shared" ref="E245" si="358">100*((B245/B244)-1)</f>
        <v>0</v>
      </c>
      <c r="F245" s="918">
        <f t="shared" ref="F245:F250" si="359">100*((B245/$B$244-1))</f>
        <v>0</v>
      </c>
      <c r="G245" s="918">
        <f t="shared" ref="G245" si="360">100*((B245/B233)-1)</f>
        <v>5.0699999999999967</v>
      </c>
      <c r="H245" s="1033">
        <f t="shared" ref="H245" si="361">100*(B245/B221-1)</f>
        <v>7.6967499999999855</v>
      </c>
      <c r="I245" s="1021">
        <f t="shared" si="124"/>
        <v>1</v>
      </c>
      <c r="J245" s="784"/>
    </row>
    <row r="246" spans="1:10">
      <c r="A246" s="1032" t="str">
        <f>moturb!A246</f>
        <v>FEVEREIRO|20</v>
      </c>
      <c r="B246" s="918">
        <f>geral!S1562</f>
        <v>2415.2204993730784</v>
      </c>
      <c r="C246" s="918">
        <f t="shared" ref="C246" si="362">100*B246/$B$8</f>
        <v>427.05693561543251</v>
      </c>
      <c r="D246" s="918">
        <f t="shared" ref="D246" si="363">C246-100</f>
        <v>327.05693561543251</v>
      </c>
      <c r="E246" s="918">
        <f t="shared" ref="E246" si="364">100*((B246/B245)-1)</f>
        <v>0</v>
      </c>
      <c r="F246" s="918">
        <f t="shared" si="359"/>
        <v>0</v>
      </c>
      <c r="G246" s="918">
        <f t="shared" ref="G246" si="365">100*((B246/B234)-1)</f>
        <v>5.0699999999999967</v>
      </c>
      <c r="H246" s="1033">
        <f t="shared" ref="H246" si="366">100*(B246/B222-1)</f>
        <v>7.6967499999999855</v>
      </c>
      <c r="I246" s="1021">
        <f t="shared" si="124"/>
        <v>1</v>
      </c>
      <c r="J246" s="784"/>
    </row>
    <row r="247" spans="1:10">
      <c r="A247" s="1032" t="str">
        <f>moturb!A247</f>
        <v>MARÇO|20</v>
      </c>
      <c r="B247" s="918">
        <f>geral!S1563</f>
        <v>2415.2204993730784</v>
      </c>
      <c r="C247" s="918">
        <f t="shared" ref="C247" si="367">100*B247/$B$8</f>
        <v>427.05693561543251</v>
      </c>
      <c r="D247" s="918">
        <f t="shared" ref="D247" si="368">C247-100</f>
        <v>327.05693561543251</v>
      </c>
      <c r="E247" s="918">
        <f t="shared" ref="E247" si="369">100*((B247/B246)-1)</f>
        <v>0</v>
      </c>
      <c r="F247" s="918">
        <f t="shared" si="359"/>
        <v>0</v>
      </c>
      <c r="G247" s="918">
        <f t="shared" ref="G247" si="370">100*((B247/B235)-1)</f>
        <v>5.0699999999999967</v>
      </c>
      <c r="H247" s="1033">
        <f t="shared" ref="H247" si="371">100*(B247/B223-1)</f>
        <v>7.6967499999999855</v>
      </c>
      <c r="I247" s="1021">
        <f t="shared" si="124"/>
        <v>1</v>
      </c>
      <c r="J247" s="784"/>
    </row>
    <row r="248" spans="1:10">
      <c r="A248" s="1032" t="str">
        <f>moturb!A248</f>
        <v>ABRIL|20</v>
      </c>
      <c r="B248" s="918">
        <f>geral!S1564</f>
        <v>2415.2204993730784</v>
      </c>
      <c r="C248" s="918">
        <f t="shared" ref="C248" si="372">100*B248/$B$8</f>
        <v>427.05693561543251</v>
      </c>
      <c r="D248" s="918">
        <f t="shared" ref="D248" si="373">C248-100</f>
        <v>327.05693561543251</v>
      </c>
      <c r="E248" s="918">
        <f t="shared" ref="E248" si="374">100*((B248/B247)-1)</f>
        <v>0</v>
      </c>
      <c r="F248" s="918">
        <f t="shared" si="359"/>
        <v>0</v>
      </c>
      <c r="G248" s="918">
        <f t="shared" ref="G248" si="375">100*((B248/B236)-1)</f>
        <v>5.0699999999999967</v>
      </c>
      <c r="H248" s="1033">
        <f t="shared" ref="H248" si="376">100*(B248/B224-1)</f>
        <v>7.6967499999999855</v>
      </c>
      <c r="I248" s="1021">
        <f t="shared" si="124"/>
        <v>1</v>
      </c>
      <c r="J248" s="784"/>
    </row>
    <row r="249" spans="1:10">
      <c r="A249" s="1032" t="str">
        <f>moturb!A249</f>
        <v>MAIO|20</v>
      </c>
      <c r="B249" s="918">
        <f>geral!S1565</f>
        <v>2415.2204993730784</v>
      </c>
      <c r="C249" s="918">
        <f t="shared" ref="C249" si="377">100*B249/$B$8</f>
        <v>427.05693561543251</v>
      </c>
      <c r="D249" s="918">
        <f t="shared" ref="D249" si="378">C249-100</f>
        <v>327.05693561543251</v>
      </c>
      <c r="E249" s="918">
        <f t="shared" ref="E249" si="379">100*((B249/B248)-1)</f>
        <v>0</v>
      </c>
      <c r="F249" s="918">
        <f t="shared" si="359"/>
        <v>0</v>
      </c>
      <c r="G249" s="918">
        <f t="shared" ref="G249" si="380">100*((B249/B237)-1)</f>
        <v>0</v>
      </c>
      <c r="H249" s="1033">
        <f t="shared" ref="H249" si="381">100*(B249/B225-1)</f>
        <v>7.6967499999999855</v>
      </c>
      <c r="I249" s="1021">
        <f t="shared" si="124"/>
        <v>1</v>
      </c>
      <c r="J249" s="784"/>
    </row>
    <row r="250" spans="1:10">
      <c r="A250" s="1032" t="str">
        <f>moturb!A250</f>
        <v>JUNHO|20</v>
      </c>
      <c r="B250" s="918">
        <f>geral!S1566</f>
        <v>2415.2204993730784</v>
      </c>
      <c r="C250" s="918">
        <f t="shared" ref="C250" si="382">100*B250/$B$8</f>
        <v>427.05693561543251</v>
      </c>
      <c r="D250" s="918">
        <f t="shared" ref="D250" si="383">C250-100</f>
        <v>327.05693561543251</v>
      </c>
      <c r="E250" s="918">
        <f t="shared" ref="E250" si="384">100*((B250/B249)-1)</f>
        <v>0</v>
      </c>
      <c r="F250" s="918">
        <f t="shared" si="359"/>
        <v>0</v>
      </c>
      <c r="G250" s="918">
        <f t="shared" ref="G250" si="385">100*((B250/B238)-1)</f>
        <v>0</v>
      </c>
      <c r="H250" s="1033">
        <f t="shared" ref="H250" si="386">100*(B250/B226-1)</f>
        <v>5.0699999999999967</v>
      </c>
      <c r="I250" s="1021">
        <f t="shared" si="124"/>
        <v>1</v>
      </c>
      <c r="J250" s="784"/>
    </row>
    <row r="251" spans="1:10">
      <c r="A251" s="1032" t="str">
        <f>moturb!A251</f>
        <v>JULHO|20</v>
      </c>
      <c r="B251" s="918">
        <f>geral!S1567</f>
        <v>2415.2204993730784</v>
      </c>
      <c r="C251" s="918">
        <f t="shared" ref="C251" si="387">100*B251/$B$8</f>
        <v>427.05693561543251</v>
      </c>
      <c r="D251" s="918">
        <f t="shared" ref="D251" si="388">C251-100</f>
        <v>327.05693561543251</v>
      </c>
      <c r="E251" s="918">
        <f>100*((B251/B250)-1)</f>
        <v>0</v>
      </c>
      <c r="F251" s="918">
        <f t="shared" ref="F251" si="389">100*((B251/$B$244-1))</f>
        <v>0</v>
      </c>
      <c r="G251" s="918">
        <f>100*((B251/B239)-1)</f>
        <v>0</v>
      </c>
      <c r="H251" s="1033">
        <f>100*(B251/B227-1)</f>
        <v>5.0699999999999967</v>
      </c>
      <c r="I251" s="1021">
        <f t="shared" si="124"/>
        <v>1</v>
      </c>
      <c r="J251" s="784"/>
    </row>
    <row r="252" spans="1:10">
      <c r="A252" s="1032" t="str">
        <f>moturb!A252</f>
        <v>AGOSTO|20</v>
      </c>
      <c r="B252" s="918">
        <f>geral!S1568</f>
        <v>2415.2204993730784</v>
      </c>
      <c r="C252" s="918">
        <f t="shared" ref="C252" si="390">100*B252/$B$8</f>
        <v>427.05693561543251</v>
      </c>
      <c r="D252" s="918">
        <f t="shared" ref="D252" si="391">C252-100</f>
        <v>327.05693561543251</v>
      </c>
      <c r="E252" s="918">
        <f>100*((B252/B251)-1)</f>
        <v>0</v>
      </c>
      <c r="F252" s="918">
        <f t="shared" ref="F252" si="392">100*((B252/$B$244-1))</f>
        <v>0</v>
      </c>
      <c r="G252" s="918">
        <f>100*((B252/B240)-1)</f>
        <v>0</v>
      </c>
      <c r="H252" s="1033">
        <f>100*(B252/B228-1)</f>
        <v>5.0699999999999967</v>
      </c>
      <c r="I252" s="1034">
        <f t="shared" si="124"/>
        <v>1</v>
      </c>
      <c r="J252" s="784"/>
    </row>
    <row r="253" spans="1:10" ht="16.5" thickBot="1">
      <c r="A253" s="1046" t="str">
        <f>moturb!A253</f>
        <v>SETEMBRO|20</v>
      </c>
      <c r="B253" s="1047">
        <f>geral!S1569</f>
        <v>2415.2204993730784</v>
      </c>
      <c r="C253" s="1047">
        <f t="shared" ref="C253" si="393">100*B253/$B$8</f>
        <v>427.05693561543251</v>
      </c>
      <c r="D253" s="1047">
        <f t="shared" ref="D253" si="394">C253-100</f>
        <v>327.05693561543251</v>
      </c>
      <c r="E253" s="1047">
        <f>100*((B253/B252)-1)</f>
        <v>0</v>
      </c>
      <c r="F253" s="1047">
        <f t="shared" ref="F253" si="395">100*((B253/$B$244-1))</f>
        <v>0</v>
      </c>
      <c r="G253" s="1047">
        <f>100*((B253/B241)-1)</f>
        <v>0</v>
      </c>
      <c r="H253" s="1056">
        <f>100*(B253/B229-1)</f>
        <v>5.0699999999999967</v>
      </c>
      <c r="I253" s="1057">
        <f t="shared" si="124"/>
        <v>1</v>
      </c>
      <c r="J253" s="784"/>
    </row>
    <row r="254" spans="1:10" s="794" customFormat="1" ht="15">
      <c r="A254" s="758" t="s">
        <v>238</v>
      </c>
      <c r="J254" s="787"/>
    </row>
    <row r="255" spans="1:10">
      <c r="A255" s="794"/>
    </row>
  </sheetData>
  <mergeCells count="11">
    <mergeCell ref="A4:C4"/>
    <mergeCell ref="N4:S4"/>
    <mergeCell ref="D4:I4"/>
    <mergeCell ref="D1:I3"/>
    <mergeCell ref="A5:C5"/>
    <mergeCell ref="D5:H5"/>
    <mergeCell ref="I5:I6"/>
    <mergeCell ref="K1:S1"/>
    <mergeCell ref="K2:S2"/>
    <mergeCell ref="K3:M4"/>
    <mergeCell ref="N3:S3"/>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6">
    <pageSetUpPr fitToPage="1"/>
  </sheetPr>
  <dimension ref="A1:P330"/>
  <sheetViews>
    <sheetView showGridLines="0" showOutlineSymbols="0" zoomScaleNormal="100" workbookViewId="0">
      <pane ySplit="2280" topLeftCell="A311" activePane="bottomLeft"/>
      <selection activeCell="A286" sqref="A286"/>
      <selection pane="bottomLeft" activeCell="H324" sqref="H324"/>
    </sheetView>
  </sheetViews>
  <sheetFormatPr defaultColWidth="11.6640625" defaultRowHeight="15.75"/>
  <cols>
    <col min="1" max="1" width="10.6640625" style="722" customWidth="1"/>
    <col min="2" max="2" width="10.44140625" style="722" customWidth="1"/>
    <col min="3" max="3" width="7.6640625" style="722" customWidth="1"/>
    <col min="4" max="5" width="6.5546875" style="722" customWidth="1"/>
    <col min="6" max="6" width="8.109375" style="722" customWidth="1"/>
    <col min="7" max="7" width="7.21875" style="722" customWidth="1"/>
    <col min="8" max="16384" width="11.6640625" style="722"/>
  </cols>
  <sheetData>
    <row r="1" spans="1:8" s="707" customFormat="1" ht="21" customHeight="1">
      <c r="B1" s="708"/>
      <c r="C1" s="1417" t="s">
        <v>378</v>
      </c>
      <c r="D1" s="1417" t="s">
        <v>346</v>
      </c>
      <c r="E1" s="1417"/>
      <c r="F1" s="1417"/>
      <c r="G1" s="1417"/>
      <c r="H1" s="1417"/>
    </row>
    <row r="2" spans="1:8" s="707" customFormat="1" ht="15" customHeight="1">
      <c r="A2" s="708"/>
      <c r="B2" s="708"/>
      <c r="C2" s="1417"/>
      <c r="D2" s="1417"/>
      <c r="E2" s="1417"/>
      <c r="F2" s="1417"/>
      <c r="G2" s="1417"/>
      <c r="H2" s="1417"/>
    </row>
    <row r="3" spans="1:8" s="707" customFormat="1" ht="15" customHeight="1" thickBot="1">
      <c r="A3" s="708"/>
      <c r="B3" s="708"/>
      <c r="C3" s="1418"/>
      <c r="D3" s="1418"/>
      <c r="E3" s="1418"/>
      <c r="F3" s="1418"/>
      <c r="G3" s="1418"/>
      <c r="H3" s="1418"/>
    </row>
    <row r="4" spans="1:8" s="707" customFormat="1" ht="17.25" customHeight="1" thickBot="1">
      <c r="A4" s="1480" t="s">
        <v>366</v>
      </c>
      <c r="B4" s="1481"/>
      <c r="C4" s="1481"/>
      <c r="D4" s="1482"/>
      <c r="E4" s="1432" t="s">
        <v>359</v>
      </c>
      <c r="F4" s="1433"/>
      <c r="G4" s="1433"/>
      <c r="H4" s="1434"/>
    </row>
    <row r="5" spans="1:8" s="707" customFormat="1" ht="15" customHeight="1" thickBot="1">
      <c r="A5" s="1421" t="s">
        <v>274</v>
      </c>
      <c r="B5" s="1422"/>
      <c r="C5" s="1423"/>
      <c r="D5" s="1424" t="s">
        <v>275</v>
      </c>
      <c r="E5" s="1425"/>
      <c r="F5" s="1425"/>
      <c r="G5" s="1426"/>
      <c r="H5" s="1427" t="s">
        <v>186</v>
      </c>
    </row>
    <row r="6" spans="1:8" s="707" customFormat="1" ht="15.75" customHeight="1" thickBot="1">
      <c r="A6" s="831" t="s">
        <v>341</v>
      </c>
      <c r="B6" s="781" t="s">
        <v>655</v>
      </c>
      <c r="C6" s="781" t="s">
        <v>68</v>
      </c>
      <c r="D6" s="781" t="s">
        <v>342</v>
      </c>
      <c r="E6" s="781" t="s">
        <v>343</v>
      </c>
      <c r="F6" s="781" t="s">
        <v>344</v>
      </c>
      <c r="G6" s="781" t="s">
        <v>345</v>
      </c>
      <c r="H6" s="1428"/>
    </row>
    <row r="7" spans="1:8" s="707" customFormat="1" ht="15.75" customHeight="1" thickBot="1">
      <c r="A7" s="1419" t="s">
        <v>347</v>
      </c>
      <c r="B7" s="1420"/>
      <c r="C7" s="952"/>
      <c r="D7" s="952"/>
      <c r="E7" s="952"/>
      <c r="F7" s="952"/>
      <c r="G7" s="952"/>
      <c r="H7" s="953"/>
    </row>
    <row r="8" spans="1:8" ht="15" hidden="1" customHeight="1" thickBot="1">
      <c r="A8" s="973" t="s">
        <v>637</v>
      </c>
      <c r="B8" s="746">
        <f>+geral!C236</f>
        <v>24.35</v>
      </c>
      <c r="C8" s="746">
        <v>100</v>
      </c>
      <c r="D8" s="746"/>
      <c r="E8" s="746"/>
      <c r="F8" s="746"/>
      <c r="G8" s="838"/>
      <c r="H8" s="847">
        <f>$B$323/B8</f>
        <v>24.531239370321533</v>
      </c>
    </row>
    <row r="9" spans="1:8" ht="15" hidden="1" customHeight="1" thickBot="1">
      <c r="A9" s="973" t="s">
        <v>638</v>
      </c>
      <c r="B9" s="748">
        <f>+geral!C237</f>
        <v>24.35</v>
      </c>
      <c r="C9" s="748">
        <v>100</v>
      </c>
      <c r="D9" s="748">
        <f t="shared" ref="D9:D73" si="0">100*((B9/B8)-1)</f>
        <v>0</v>
      </c>
      <c r="E9" s="748"/>
      <c r="F9" s="748"/>
      <c r="G9" s="839"/>
      <c r="H9" s="848">
        <f>$B$323/B9</f>
        <v>24.531239370321533</v>
      </c>
    </row>
    <row r="10" spans="1:8" ht="15" hidden="1" customHeight="1" thickBot="1">
      <c r="A10" s="973" t="s">
        <v>639</v>
      </c>
      <c r="B10" s="748">
        <f>+geral!C238</f>
        <v>25.328870000000002</v>
      </c>
      <c r="C10" s="748">
        <f t="shared" ref="C10:C73" si="1">100*B10/$B$9</f>
        <v>104.02</v>
      </c>
      <c r="D10" s="748">
        <f t="shared" si="0"/>
        <v>4.0200000000000014</v>
      </c>
      <c r="E10" s="748"/>
      <c r="F10" s="748"/>
      <c r="G10" s="839"/>
      <c r="H10" s="848">
        <f>$B$323/B10</f>
        <v>23.583194933975708</v>
      </c>
    </row>
    <row r="11" spans="1:8" ht="15" hidden="1" customHeight="1" thickBot="1">
      <c r="A11" s="973" t="s">
        <v>640</v>
      </c>
      <c r="B11" s="748">
        <f>+geral!C239</f>
        <v>25.79</v>
      </c>
      <c r="C11" s="748">
        <f t="shared" si="1"/>
        <v>105.91375770020534</v>
      </c>
      <c r="D11" s="748">
        <f t="shared" si="0"/>
        <v>1.8205707558213158</v>
      </c>
      <c r="E11" s="748"/>
      <c r="F11" s="748"/>
      <c r="G11" s="839"/>
      <c r="H11" s="848">
        <f>$B$323/B11</f>
        <v>23.161523019283809</v>
      </c>
    </row>
    <row r="12" spans="1:8" ht="15" hidden="1" customHeight="1" thickBot="1">
      <c r="A12" s="973" t="s">
        <v>641</v>
      </c>
      <c r="B12" s="748">
        <f>+geral!C240</f>
        <v>25.79</v>
      </c>
      <c r="C12" s="748">
        <f t="shared" si="1"/>
        <v>105.91375770020534</v>
      </c>
      <c r="D12" s="748">
        <f t="shared" si="0"/>
        <v>0</v>
      </c>
      <c r="E12" s="748"/>
      <c r="F12" s="748"/>
      <c r="G12" s="839"/>
      <c r="H12" s="848">
        <f>$B$323/B12</f>
        <v>23.161523019283809</v>
      </c>
    </row>
    <row r="13" spans="1:8" ht="15" hidden="1" customHeight="1" thickBot="1">
      <c r="A13" s="973" t="s">
        <v>642</v>
      </c>
      <c r="B13" s="748">
        <f>+geral!C241</f>
        <v>26.48</v>
      </c>
      <c r="C13" s="748">
        <f t="shared" si="1"/>
        <v>108.74743326488706</v>
      </c>
      <c r="D13" s="748">
        <f t="shared" si="0"/>
        <v>2.6754556029468857</v>
      </c>
      <c r="E13" s="748"/>
      <c r="F13" s="748"/>
      <c r="G13" s="839"/>
      <c r="H13" s="848">
        <f>$B$323/B13</f>
        <v>22.557993907376488</v>
      </c>
    </row>
    <row r="14" spans="1:8" ht="15" hidden="1" customHeight="1" thickBot="1">
      <c r="A14" s="973" t="s">
        <v>625</v>
      </c>
      <c r="B14" s="748">
        <f>+geral!E230</f>
        <v>26.48</v>
      </c>
      <c r="C14" s="748">
        <f t="shared" si="1"/>
        <v>108.74743326488706</v>
      </c>
      <c r="D14" s="748">
        <f t="shared" si="0"/>
        <v>0</v>
      </c>
      <c r="E14" s="748">
        <f>100*((B14/$B$13)-1)</f>
        <v>0</v>
      </c>
      <c r="F14" s="748"/>
      <c r="G14" s="839"/>
      <c r="H14" s="848">
        <f>$B$323/B14</f>
        <v>22.557993907376488</v>
      </c>
    </row>
    <row r="15" spans="1:8" ht="15" hidden="1" customHeight="1" thickBot="1">
      <c r="A15" s="973" t="s">
        <v>626</v>
      </c>
      <c r="B15" s="748">
        <f>+geral!E231</f>
        <v>26.48</v>
      </c>
      <c r="C15" s="748">
        <f t="shared" si="1"/>
        <v>108.74743326488706</v>
      </c>
      <c r="D15" s="748">
        <f t="shared" si="0"/>
        <v>0</v>
      </c>
      <c r="E15" s="748">
        <f t="shared" ref="E15:E25" si="2">100*((B15/$B$13)-1)</f>
        <v>0</v>
      </c>
      <c r="F15" s="748"/>
      <c r="G15" s="839"/>
      <c r="H15" s="848">
        <f>$B$323/B15</f>
        <v>22.557993907376488</v>
      </c>
    </row>
    <row r="16" spans="1:8" ht="15" hidden="1" customHeight="1" thickBot="1">
      <c r="A16" s="973" t="s">
        <v>627</v>
      </c>
      <c r="B16" s="748">
        <f>+geral!E232</f>
        <v>28.21</v>
      </c>
      <c r="C16" s="748">
        <f t="shared" si="1"/>
        <v>115.85215605749487</v>
      </c>
      <c r="D16" s="748">
        <f t="shared" si="0"/>
        <v>6.5332326283987996</v>
      </c>
      <c r="E16" s="748">
        <f t="shared" si="2"/>
        <v>6.5332326283987996</v>
      </c>
      <c r="F16" s="748"/>
      <c r="G16" s="839"/>
      <c r="H16" s="848">
        <f>$B$323/B16</f>
        <v>21.174607538721354</v>
      </c>
    </row>
    <row r="17" spans="1:8" ht="15" hidden="1" customHeight="1" thickBot="1">
      <c r="A17" s="973" t="s">
        <v>628</v>
      </c>
      <c r="B17" s="748">
        <f>+geral!E233</f>
        <v>28.21</v>
      </c>
      <c r="C17" s="748">
        <f t="shared" si="1"/>
        <v>115.85215605749487</v>
      </c>
      <c r="D17" s="748">
        <f t="shared" si="0"/>
        <v>0</v>
      </c>
      <c r="E17" s="748">
        <f t="shared" si="2"/>
        <v>6.5332326283987996</v>
      </c>
      <c r="F17" s="748"/>
      <c r="G17" s="839"/>
      <c r="H17" s="848">
        <f>$B$323/B17</f>
        <v>21.174607538721354</v>
      </c>
    </row>
    <row r="18" spans="1:8" ht="15" hidden="1" customHeight="1" thickBot="1">
      <c r="A18" s="973" t="s">
        <v>629</v>
      </c>
      <c r="B18" s="748">
        <f>+geral!E234</f>
        <v>30.92</v>
      </c>
      <c r="C18" s="748">
        <f t="shared" si="1"/>
        <v>126.98151950718685</v>
      </c>
      <c r="D18" s="748">
        <f t="shared" si="0"/>
        <v>9.6065225097483165</v>
      </c>
      <c r="E18" s="748">
        <f t="shared" si="2"/>
        <v>16.76737160120847</v>
      </c>
      <c r="F18" s="748"/>
      <c r="G18" s="839"/>
      <c r="H18" s="848">
        <f>$B$323/B18</f>
        <v>19.318747692992542</v>
      </c>
    </row>
    <row r="19" spans="1:8" ht="15" hidden="1" customHeight="1" thickBot="1">
      <c r="A19" s="973" t="s">
        <v>630</v>
      </c>
      <c r="B19" s="748">
        <f>+geral!E235</f>
        <v>33.71</v>
      </c>
      <c r="C19" s="748">
        <f t="shared" si="1"/>
        <v>138.43942505133469</v>
      </c>
      <c r="D19" s="748">
        <f t="shared" si="0"/>
        <v>9.0232858990944251</v>
      </c>
      <c r="E19" s="748">
        <f t="shared" si="2"/>
        <v>27.303625377643503</v>
      </c>
      <c r="F19" s="748"/>
      <c r="G19" s="839"/>
      <c r="H19" s="848">
        <f>$B$323/B19</f>
        <v>17.719836210837418</v>
      </c>
    </row>
    <row r="20" spans="1:8" ht="15" hidden="1" customHeight="1" thickBot="1">
      <c r="A20" s="973" t="s">
        <v>631</v>
      </c>
      <c r="B20" s="748">
        <f>+geral!E236</f>
        <v>33.99</v>
      </c>
      <c r="C20" s="748">
        <f t="shared" si="1"/>
        <v>139.58932238193017</v>
      </c>
      <c r="D20" s="748">
        <f t="shared" si="0"/>
        <v>0.83061406110946923</v>
      </c>
      <c r="E20" s="748">
        <f t="shared" si="2"/>
        <v>28.361027190332333</v>
      </c>
      <c r="F20" s="748">
        <f>100*((B20/B8)-1)</f>
        <v>39.589322381930181</v>
      </c>
      <c r="G20" s="839"/>
      <c r="H20" s="848">
        <f>$B$323/B20</f>
        <v>17.573865215278886</v>
      </c>
    </row>
    <row r="21" spans="1:8" ht="15" hidden="1" customHeight="1" thickBot="1">
      <c r="A21" s="973" t="s">
        <v>632</v>
      </c>
      <c r="B21" s="748">
        <f>+geral!E237</f>
        <v>34.03</v>
      </c>
      <c r="C21" s="748">
        <f t="shared" si="1"/>
        <v>139.75359342915812</v>
      </c>
      <c r="D21" s="748">
        <f t="shared" si="0"/>
        <v>0.11768167107972793</v>
      </c>
      <c r="E21" s="748">
        <f t="shared" si="2"/>
        <v>28.512084592145026</v>
      </c>
      <c r="F21" s="748">
        <f t="shared" ref="F21:F84" si="3">100*((B21/B9)-1)</f>
        <v>39.753593429158116</v>
      </c>
      <c r="G21" s="839"/>
      <c r="H21" s="848">
        <f>$B$323/B21</f>
        <v>17.55320830641579</v>
      </c>
    </row>
    <row r="22" spans="1:8" ht="15" hidden="1" customHeight="1" thickBot="1">
      <c r="A22" s="973" t="s">
        <v>633</v>
      </c>
      <c r="B22" s="748">
        <f>+geral!E238</f>
        <v>34.03</v>
      </c>
      <c r="C22" s="748">
        <f t="shared" si="1"/>
        <v>139.75359342915812</v>
      </c>
      <c r="D22" s="748">
        <f t="shared" si="0"/>
        <v>0</v>
      </c>
      <c r="E22" s="748">
        <f t="shared" si="2"/>
        <v>28.512084592145026</v>
      </c>
      <c r="F22" s="748">
        <f t="shared" si="3"/>
        <v>34.352618178386948</v>
      </c>
      <c r="G22" s="839"/>
      <c r="H22" s="848">
        <f>$B$323/B22</f>
        <v>17.55320830641579</v>
      </c>
    </row>
    <row r="23" spans="1:8" ht="15" hidden="1" customHeight="1" thickBot="1">
      <c r="A23" s="973" t="s">
        <v>634</v>
      </c>
      <c r="B23" s="748">
        <f>+geral!E239</f>
        <v>34.14</v>
      </c>
      <c r="C23" s="748">
        <f t="shared" si="1"/>
        <v>140.20533880903491</v>
      </c>
      <c r="D23" s="748">
        <f t="shared" si="0"/>
        <v>0.32324419629738976</v>
      </c>
      <c r="E23" s="748">
        <f t="shared" si="2"/>
        <v>28.927492447129911</v>
      </c>
      <c r="F23" s="748">
        <f t="shared" si="3"/>
        <v>32.376890267545576</v>
      </c>
      <c r="G23" s="839"/>
      <c r="H23" s="848">
        <f>$B$323/B23</f>
        <v>17.496651396231087</v>
      </c>
    </row>
    <row r="24" spans="1:8" ht="15" hidden="1" customHeight="1" thickBot="1">
      <c r="A24" s="973" t="s">
        <v>635</v>
      </c>
      <c r="B24" s="748">
        <f>+geral!E240</f>
        <v>34.19</v>
      </c>
      <c r="C24" s="748">
        <f t="shared" si="1"/>
        <v>140.4106776180698</v>
      </c>
      <c r="D24" s="748">
        <f t="shared" si="0"/>
        <v>0.14645577035734547</v>
      </c>
      <c r="E24" s="748">
        <f t="shared" si="2"/>
        <v>29.116314199395752</v>
      </c>
      <c r="F24" s="748">
        <f t="shared" si="3"/>
        <v>32.570763861962007</v>
      </c>
      <c r="G24" s="839"/>
      <c r="H24" s="848">
        <f>$B$323/B24</f>
        <v>17.471064014838532</v>
      </c>
    </row>
    <row r="25" spans="1:8" ht="15" hidden="1" customHeight="1" thickBot="1">
      <c r="A25" s="973" t="s">
        <v>636</v>
      </c>
      <c r="B25" s="748">
        <f>+geral!E241</f>
        <v>34.19</v>
      </c>
      <c r="C25" s="748">
        <f t="shared" si="1"/>
        <v>140.4106776180698</v>
      </c>
      <c r="D25" s="748">
        <f t="shared" si="0"/>
        <v>0</v>
      </c>
      <c r="E25" s="748">
        <f t="shared" si="2"/>
        <v>29.116314199395752</v>
      </c>
      <c r="F25" s="748">
        <f t="shared" si="3"/>
        <v>29.116314199395752</v>
      </c>
      <c r="G25" s="839"/>
      <c r="H25" s="848">
        <f>$B$323/B25</f>
        <v>17.471064014838532</v>
      </c>
    </row>
    <row r="26" spans="1:8" ht="15" hidden="1" customHeight="1" thickBot="1">
      <c r="A26" s="973" t="s">
        <v>613</v>
      </c>
      <c r="B26" s="748">
        <f>+geral!G230</f>
        <v>34.19</v>
      </c>
      <c r="C26" s="748">
        <f t="shared" si="1"/>
        <v>140.4106776180698</v>
      </c>
      <c r="D26" s="748">
        <f t="shared" si="0"/>
        <v>0</v>
      </c>
      <c r="E26" s="748">
        <f>100*((B26/$B$25)-1)</f>
        <v>0</v>
      </c>
      <c r="F26" s="748">
        <f t="shared" si="3"/>
        <v>29.116314199395752</v>
      </c>
      <c r="G26" s="839"/>
      <c r="H26" s="848">
        <f>$B$323/B26</f>
        <v>17.471064014838532</v>
      </c>
    </row>
    <row r="27" spans="1:8" ht="15" hidden="1" customHeight="1" thickBot="1">
      <c r="A27" s="973" t="s">
        <v>614</v>
      </c>
      <c r="B27" s="748">
        <f>+geral!G231</f>
        <v>34.19</v>
      </c>
      <c r="C27" s="748">
        <f t="shared" si="1"/>
        <v>140.4106776180698</v>
      </c>
      <c r="D27" s="748">
        <f t="shared" si="0"/>
        <v>0</v>
      </c>
      <c r="E27" s="748">
        <f t="shared" ref="E27:E37" si="4">100*((B27/$B$25)-1)</f>
        <v>0</v>
      </c>
      <c r="F27" s="748">
        <f t="shared" si="3"/>
        <v>29.116314199395752</v>
      </c>
      <c r="G27" s="839"/>
      <c r="H27" s="848">
        <f>$B$323/B27</f>
        <v>17.471064014838532</v>
      </c>
    </row>
    <row r="28" spans="1:8" ht="15" hidden="1" customHeight="1" thickBot="1">
      <c r="A28" s="973" t="s">
        <v>615</v>
      </c>
      <c r="B28" s="748">
        <f>+geral!G232</f>
        <v>34.19</v>
      </c>
      <c r="C28" s="748">
        <f t="shared" si="1"/>
        <v>140.4106776180698</v>
      </c>
      <c r="D28" s="748">
        <f t="shared" si="0"/>
        <v>0</v>
      </c>
      <c r="E28" s="748">
        <f t="shared" si="4"/>
        <v>0</v>
      </c>
      <c r="F28" s="748">
        <f t="shared" si="3"/>
        <v>21.198156682027648</v>
      </c>
      <c r="G28" s="839"/>
      <c r="H28" s="848">
        <f>$B$323/B28</f>
        <v>17.471064014838532</v>
      </c>
    </row>
    <row r="29" spans="1:8" ht="15" hidden="1" customHeight="1" thickBot="1">
      <c r="A29" s="973" t="s">
        <v>616</v>
      </c>
      <c r="B29" s="748">
        <f>+geral!G233</f>
        <v>34.19</v>
      </c>
      <c r="C29" s="748">
        <f t="shared" si="1"/>
        <v>140.4106776180698</v>
      </c>
      <c r="D29" s="748">
        <f t="shared" si="0"/>
        <v>0</v>
      </c>
      <c r="E29" s="748">
        <f t="shared" si="4"/>
        <v>0</v>
      </c>
      <c r="F29" s="748">
        <f t="shared" si="3"/>
        <v>21.198156682027648</v>
      </c>
      <c r="G29" s="839"/>
      <c r="H29" s="848">
        <f>$B$323/B29</f>
        <v>17.471064014838532</v>
      </c>
    </row>
    <row r="30" spans="1:8" ht="15" hidden="1" customHeight="1" thickBot="1">
      <c r="A30" s="973" t="s">
        <v>617</v>
      </c>
      <c r="B30" s="748">
        <f>+geral!G234</f>
        <v>35.299999999999997</v>
      </c>
      <c r="C30" s="748">
        <f t="shared" si="1"/>
        <v>144.96919917864474</v>
      </c>
      <c r="D30" s="748">
        <f t="shared" si="0"/>
        <v>3.246563322608953</v>
      </c>
      <c r="E30" s="748">
        <f t="shared" si="4"/>
        <v>3.246563322608953</v>
      </c>
      <c r="F30" s="748">
        <f t="shared" si="3"/>
        <v>14.165588615782653</v>
      </c>
      <c r="G30" s="839"/>
      <c r="H30" s="848">
        <f>$B$323/B30</f>
        <v>16.921690613805367</v>
      </c>
    </row>
    <row r="31" spans="1:8" ht="15" hidden="1" customHeight="1" thickBot="1">
      <c r="A31" s="973" t="s">
        <v>618</v>
      </c>
      <c r="B31" s="748">
        <f>+geral!G235</f>
        <v>35.299999999999997</v>
      </c>
      <c r="C31" s="748">
        <f t="shared" si="1"/>
        <v>144.96919917864474</v>
      </c>
      <c r="D31" s="748">
        <f t="shared" si="0"/>
        <v>0</v>
      </c>
      <c r="E31" s="748">
        <f t="shared" si="4"/>
        <v>3.246563322608953</v>
      </c>
      <c r="F31" s="748">
        <f t="shared" si="3"/>
        <v>4.7167012755858773</v>
      </c>
      <c r="G31" s="839"/>
      <c r="H31" s="848">
        <f>$B$323/B31</f>
        <v>16.921690613805367</v>
      </c>
    </row>
    <row r="32" spans="1:8" ht="15" hidden="1" customHeight="1" thickBot="1">
      <c r="A32" s="973" t="s">
        <v>619</v>
      </c>
      <c r="B32" s="748">
        <f>+geral!G236</f>
        <v>38.869999999999997</v>
      </c>
      <c r="C32" s="748">
        <f t="shared" si="1"/>
        <v>159.63039014373715</v>
      </c>
      <c r="D32" s="748">
        <f t="shared" si="0"/>
        <v>10.113314447592071</v>
      </c>
      <c r="E32" s="748">
        <f t="shared" si="4"/>
        <v>13.688212927756659</v>
      </c>
      <c r="F32" s="748">
        <f t="shared" si="3"/>
        <v>14.357163871726964</v>
      </c>
      <c r="G32" s="839">
        <f>100*(B32/B8-1)</f>
        <v>59.630390143737145</v>
      </c>
      <c r="H32" s="848">
        <f>$B$323/B32</f>
        <v>15.367524534791084</v>
      </c>
    </row>
    <row r="33" spans="1:16" ht="15" hidden="1" customHeight="1" thickBot="1">
      <c r="A33" s="973" t="s">
        <v>620</v>
      </c>
      <c r="B33" s="748">
        <f>+geral!G237</f>
        <v>40.840000000000003</v>
      </c>
      <c r="C33" s="748">
        <f t="shared" si="1"/>
        <v>167.72073921971253</v>
      </c>
      <c r="D33" s="748">
        <f t="shared" si="0"/>
        <v>5.0681759711860286</v>
      </c>
      <c r="E33" s="748">
        <f t="shared" si="4"/>
        <v>19.45013161743201</v>
      </c>
      <c r="F33" s="748">
        <f t="shared" si="3"/>
        <v>20.011754334410824</v>
      </c>
      <c r="G33" s="839">
        <f t="shared" ref="G33:G96" si="5">100*(B33/B9-1)</f>
        <v>67.720739219712527</v>
      </c>
      <c r="H33" s="848">
        <f>$B$323/B33</f>
        <v>14.626240907623147</v>
      </c>
    </row>
    <row r="34" spans="1:16" ht="15" hidden="1" customHeight="1" thickBot="1">
      <c r="A34" s="973" t="s">
        <v>621</v>
      </c>
      <c r="B34" s="748">
        <f>+geral!G238</f>
        <v>40.840000000000003</v>
      </c>
      <c r="C34" s="748">
        <f t="shared" si="1"/>
        <v>167.72073921971253</v>
      </c>
      <c r="D34" s="748">
        <f t="shared" si="0"/>
        <v>0</v>
      </c>
      <c r="E34" s="748">
        <f t="shared" si="4"/>
        <v>19.45013161743201</v>
      </c>
      <c r="F34" s="748">
        <f t="shared" si="3"/>
        <v>20.011754334410824</v>
      </c>
      <c r="G34" s="839">
        <f t="shared" si="5"/>
        <v>61.238934070094707</v>
      </c>
      <c r="H34" s="848">
        <f>$B$323/B34</f>
        <v>14.626240907623147</v>
      </c>
    </row>
    <row r="35" spans="1:16" ht="15" hidden="1" customHeight="1" thickBot="1">
      <c r="A35" s="973" t="s">
        <v>622</v>
      </c>
      <c r="B35" s="748">
        <f>+geral!G239</f>
        <v>40.840000000000003</v>
      </c>
      <c r="C35" s="748">
        <f t="shared" si="1"/>
        <v>167.72073921971253</v>
      </c>
      <c r="D35" s="748">
        <f t="shared" si="0"/>
        <v>0</v>
      </c>
      <c r="E35" s="748">
        <f t="shared" si="4"/>
        <v>19.45013161743201</v>
      </c>
      <c r="F35" s="748">
        <f t="shared" si="3"/>
        <v>19.625073227885181</v>
      </c>
      <c r="G35" s="839">
        <f t="shared" si="5"/>
        <v>58.355951919348612</v>
      </c>
      <c r="H35" s="848">
        <f>$B$323/B35</f>
        <v>14.626240907623147</v>
      </c>
    </row>
    <row r="36" spans="1:16" ht="15" hidden="1" customHeight="1" thickBot="1">
      <c r="A36" s="973" t="s">
        <v>623</v>
      </c>
      <c r="B36" s="748">
        <f>+geral!G240</f>
        <v>41.88</v>
      </c>
      <c r="C36" s="748">
        <f t="shared" si="1"/>
        <v>171.99178644763859</v>
      </c>
      <c r="D36" s="748">
        <f t="shared" si="0"/>
        <v>2.5465230166503483</v>
      </c>
      <c r="E36" s="748">
        <f t="shared" si="4"/>
        <v>22.491956712489049</v>
      </c>
      <c r="F36" s="748">
        <f t="shared" si="3"/>
        <v>22.491956712489049</v>
      </c>
      <c r="G36" s="839">
        <f t="shared" si="5"/>
        <v>62.388522683210553</v>
      </c>
      <c r="H36" s="848">
        <f>$B$323/B36</f>
        <v>14.263029576583795</v>
      </c>
    </row>
    <row r="37" spans="1:16" ht="15" hidden="1" customHeight="1" thickBot="1">
      <c r="A37" s="973" t="s">
        <v>624</v>
      </c>
      <c r="B37" s="748">
        <f>+geral!G241</f>
        <v>41.88</v>
      </c>
      <c r="C37" s="748">
        <f t="shared" si="1"/>
        <v>171.99178644763859</v>
      </c>
      <c r="D37" s="748">
        <f t="shared" si="0"/>
        <v>0</v>
      </c>
      <c r="E37" s="748">
        <f t="shared" si="4"/>
        <v>22.491956712489049</v>
      </c>
      <c r="F37" s="748">
        <f t="shared" si="3"/>
        <v>22.491956712489049</v>
      </c>
      <c r="G37" s="839">
        <f t="shared" si="5"/>
        <v>58.157099697885208</v>
      </c>
      <c r="H37" s="848">
        <f>$B$323/B37</f>
        <v>14.263029576583795</v>
      </c>
    </row>
    <row r="38" spans="1:16" ht="15" hidden="1" customHeight="1" thickBot="1">
      <c r="A38" s="973" t="s">
        <v>601</v>
      </c>
      <c r="B38" s="748">
        <f>+geral!I230</f>
        <v>41.88</v>
      </c>
      <c r="C38" s="748">
        <f t="shared" si="1"/>
        <v>171.99178644763859</v>
      </c>
      <c r="D38" s="748">
        <f t="shared" si="0"/>
        <v>0</v>
      </c>
      <c r="E38" s="748">
        <f>100*((B38/$B$37)-1)</f>
        <v>0</v>
      </c>
      <c r="F38" s="748">
        <f t="shared" si="3"/>
        <v>22.491956712489049</v>
      </c>
      <c r="G38" s="839">
        <f t="shared" si="5"/>
        <v>58.157099697885208</v>
      </c>
      <c r="H38" s="848">
        <f>$B$323/B38</f>
        <v>14.263029576583795</v>
      </c>
    </row>
    <row r="39" spans="1:16" ht="15" hidden="1" customHeight="1" thickBot="1">
      <c r="A39" s="973" t="s">
        <v>602</v>
      </c>
      <c r="B39" s="748">
        <f>+geral!I231</f>
        <v>41.88</v>
      </c>
      <c r="C39" s="748">
        <f t="shared" si="1"/>
        <v>171.99178644763859</v>
      </c>
      <c r="D39" s="748">
        <f t="shared" si="0"/>
        <v>0</v>
      </c>
      <c r="E39" s="748">
        <f t="shared" ref="E39:E49" si="6">100*((B39/$B$37)-1)</f>
        <v>0</v>
      </c>
      <c r="F39" s="748">
        <f t="shared" si="3"/>
        <v>22.491956712489049</v>
      </c>
      <c r="G39" s="839">
        <f t="shared" si="5"/>
        <v>58.157099697885208</v>
      </c>
      <c r="H39" s="848">
        <f>$B$323/B39</f>
        <v>14.263029576583795</v>
      </c>
    </row>
    <row r="40" spans="1:16" ht="15" hidden="1" customHeight="1" thickBot="1">
      <c r="A40" s="973" t="s">
        <v>603</v>
      </c>
      <c r="B40" s="748">
        <f>+geral!I232</f>
        <v>41.88</v>
      </c>
      <c r="C40" s="748">
        <f t="shared" si="1"/>
        <v>171.99178644763859</v>
      </c>
      <c r="D40" s="748">
        <f t="shared" si="0"/>
        <v>0</v>
      </c>
      <c r="E40" s="748">
        <f t="shared" si="6"/>
        <v>0</v>
      </c>
      <c r="F40" s="748">
        <f t="shared" si="3"/>
        <v>22.491956712489049</v>
      </c>
      <c r="G40" s="839">
        <f t="shared" si="5"/>
        <v>48.457993619283954</v>
      </c>
      <c r="H40" s="848">
        <f>$B$323/B40</f>
        <v>14.263029576583795</v>
      </c>
    </row>
    <row r="41" spans="1:16" ht="15" hidden="1" customHeight="1" thickBot="1">
      <c r="A41" s="973" t="s">
        <v>604</v>
      </c>
      <c r="B41" s="748">
        <f>+geral!I233</f>
        <v>41.91</v>
      </c>
      <c r="C41" s="748">
        <f t="shared" si="1"/>
        <v>172.11498973305953</v>
      </c>
      <c r="D41" s="748">
        <f t="shared" si="0"/>
        <v>7.1633237822332774E-2</v>
      </c>
      <c r="E41" s="748">
        <f t="shared" si="6"/>
        <v>7.1633237822332774E-2</v>
      </c>
      <c r="F41" s="748">
        <f t="shared" si="3"/>
        <v>22.579701667154129</v>
      </c>
      <c r="G41" s="839">
        <f t="shared" si="5"/>
        <v>48.564338886919515</v>
      </c>
      <c r="H41" s="848">
        <f>$B$323/B41</f>
        <v>14.252819820265556</v>
      </c>
      <c r="I41" s="1468"/>
      <c r="J41" s="1468"/>
      <c r="K41" s="1468"/>
      <c r="L41" s="1468"/>
      <c r="M41" s="1468"/>
      <c r="N41" s="1468"/>
      <c r="O41" s="1468"/>
      <c r="P41" s="1468"/>
    </row>
    <row r="42" spans="1:16" ht="15" hidden="1" customHeight="1" thickBot="1">
      <c r="A42" s="973" t="s">
        <v>605</v>
      </c>
      <c r="B42" s="748">
        <f>+geral!I234</f>
        <v>42.06</v>
      </c>
      <c r="C42" s="748">
        <f t="shared" si="1"/>
        <v>172.73100616016427</v>
      </c>
      <c r="D42" s="748">
        <f t="shared" si="0"/>
        <v>0.35790980672871786</v>
      </c>
      <c r="E42" s="748">
        <f t="shared" si="6"/>
        <v>0.42979942693410766</v>
      </c>
      <c r="F42" s="748">
        <f t="shared" si="3"/>
        <v>19.150141643059506</v>
      </c>
      <c r="G42" s="839">
        <f t="shared" si="5"/>
        <v>36.028460543337637</v>
      </c>
      <c r="H42" s="848">
        <f>$B$323/B42</f>
        <v>14.201989507069172</v>
      </c>
      <c r="I42" s="1453"/>
      <c r="J42" s="1453"/>
      <c r="K42" s="1453"/>
      <c r="L42" s="1453"/>
      <c r="M42" s="1453"/>
      <c r="N42" s="1453"/>
      <c r="O42" s="1453"/>
      <c r="P42" s="1453"/>
    </row>
    <row r="43" spans="1:16" ht="15" hidden="1" customHeight="1" thickBot="1">
      <c r="A43" s="973" t="s">
        <v>606</v>
      </c>
      <c r="B43" s="748">
        <f>+geral!I235</f>
        <v>43.68</v>
      </c>
      <c r="C43" s="748">
        <f t="shared" si="1"/>
        <v>179.38398357289526</v>
      </c>
      <c r="D43" s="748">
        <f t="shared" si="0"/>
        <v>3.8516405135520682</v>
      </c>
      <c r="E43" s="748">
        <f t="shared" si="6"/>
        <v>4.2979942693409656</v>
      </c>
      <c r="F43" s="748">
        <f t="shared" si="3"/>
        <v>23.739376770538257</v>
      </c>
      <c r="G43" s="839">
        <f t="shared" si="5"/>
        <v>29.575793533076244</v>
      </c>
      <c r="H43" s="848">
        <f>$B$323/B43</f>
        <v>13.67526736875754</v>
      </c>
      <c r="I43" s="1469"/>
      <c r="J43" s="1469"/>
      <c r="K43" s="1469"/>
      <c r="L43" s="1470"/>
      <c r="M43" s="1470"/>
      <c r="N43" s="1470"/>
      <c r="O43" s="1470"/>
      <c r="P43" s="1470"/>
    </row>
    <row r="44" spans="1:16" ht="15" hidden="1" customHeight="1" thickBot="1">
      <c r="A44" s="973" t="s">
        <v>607</v>
      </c>
      <c r="B44" s="748">
        <f>+geral!I236</f>
        <v>44.89</v>
      </c>
      <c r="C44" s="748">
        <f t="shared" si="1"/>
        <v>184.35318275154003</v>
      </c>
      <c r="D44" s="748">
        <f t="shared" si="0"/>
        <v>2.7701465201465325</v>
      </c>
      <c r="E44" s="748">
        <f t="shared" si="6"/>
        <v>7.1872015281757351</v>
      </c>
      <c r="F44" s="748">
        <f t="shared" si="3"/>
        <v>15.487522510933882</v>
      </c>
      <c r="G44" s="839">
        <f t="shared" si="5"/>
        <v>32.068255369226236</v>
      </c>
      <c r="H44" s="848">
        <f>$B$323/B44</f>
        <v>13.306653567995752</v>
      </c>
      <c r="I44" s="1469"/>
      <c r="J44" s="1469"/>
      <c r="K44" s="1469"/>
      <c r="L44" s="1471"/>
      <c r="M44" s="1471"/>
      <c r="N44" s="1471"/>
      <c r="O44" s="1471"/>
      <c r="P44" s="1471"/>
    </row>
    <row r="45" spans="1:16" ht="15" hidden="1" customHeight="1" thickBot="1">
      <c r="A45" s="973" t="s">
        <v>608</v>
      </c>
      <c r="B45" s="748">
        <f>+geral!I237</f>
        <v>44.89</v>
      </c>
      <c r="C45" s="748">
        <f t="shared" si="1"/>
        <v>184.35318275154003</v>
      </c>
      <c r="D45" s="748">
        <f t="shared" si="0"/>
        <v>0</v>
      </c>
      <c r="E45" s="748">
        <f t="shared" si="6"/>
        <v>7.1872015281757351</v>
      </c>
      <c r="F45" s="748">
        <f t="shared" si="3"/>
        <v>9.9167482859941138</v>
      </c>
      <c r="G45" s="839">
        <f t="shared" si="5"/>
        <v>31.913017925359966</v>
      </c>
      <c r="H45" s="848">
        <f>$B$323/B45</f>
        <v>13.306653567995752</v>
      </c>
      <c r="I45" s="790"/>
      <c r="J45" s="790"/>
      <c r="K45" s="790"/>
      <c r="L45" s="790"/>
      <c r="M45" s="790"/>
      <c r="N45" s="790"/>
      <c r="O45" s="790"/>
      <c r="P45" s="790"/>
    </row>
    <row r="46" spans="1:16" ht="15" hidden="1" customHeight="1" thickBot="1">
      <c r="A46" s="973" t="s">
        <v>609</v>
      </c>
      <c r="B46" s="748">
        <f>+geral!I238</f>
        <v>44.89</v>
      </c>
      <c r="C46" s="748">
        <f t="shared" si="1"/>
        <v>184.35318275154003</v>
      </c>
      <c r="D46" s="748">
        <f t="shared" si="0"/>
        <v>0</v>
      </c>
      <c r="E46" s="748">
        <f t="shared" si="6"/>
        <v>7.1872015281757351</v>
      </c>
      <c r="F46" s="748">
        <f t="shared" si="3"/>
        <v>9.9167482859941138</v>
      </c>
      <c r="G46" s="839">
        <f t="shared" si="5"/>
        <v>31.913017925359966</v>
      </c>
      <c r="H46" s="848">
        <f>$B$323/B46</f>
        <v>13.306653567995752</v>
      </c>
      <c r="I46" s="796"/>
      <c r="J46" s="797"/>
      <c r="K46" s="793"/>
      <c r="L46" s="761"/>
      <c r="M46" s="761"/>
      <c r="N46" s="798"/>
      <c r="O46" s="793"/>
      <c r="P46" s="793"/>
    </row>
    <row r="47" spans="1:16" ht="15" hidden="1" customHeight="1" thickBot="1">
      <c r="A47" s="973" t="s">
        <v>610</v>
      </c>
      <c r="B47" s="748">
        <f>+geral!I239</f>
        <v>44.89</v>
      </c>
      <c r="C47" s="748">
        <f t="shared" si="1"/>
        <v>184.35318275154003</v>
      </c>
      <c r="D47" s="748">
        <f t="shared" si="0"/>
        <v>0</v>
      </c>
      <c r="E47" s="748">
        <f t="shared" si="6"/>
        <v>7.1872015281757351</v>
      </c>
      <c r="F47" s="748">
        <f t="shared" si="3"/>
        <v>9.9167482859941138</v>
      </c>
      <c r="G47" s="839">
        <f t="shared" si="5"/>
        <v>31.487990626830697</v>
      </c>
      <c r="H47" s="848">
        <f>$B$323/B47</f>
        <v>13.306653567995752</v>
      </c>
      <c r="I47" s="796"/>
      <c r="J47" s="797"/>
      <c r="K47" s="793"/>
      <c r="L47" s="761"/>
      <c r="M47" s="761"/>
      <c r="N47" s="798"/>
      <c r="O47" s="793"/>
      <c r="P47" s="793"/>
    </row>
    <row r="48" spans="1:16" ht="15" hidden="1" customHeight="1" thickBot="1">
      <c r="A48" s="973" t="s">
        <v>611</v>
      </c>
      <c r="B48" s="748">
        <f>+geral!I240</f>
        <v>44.89</v>
      </c>
      <c r="C48" s="748">
        <f t="shared" si="1"/>
        <v>184.35318275154003</v>
      </c>
      <c r="D48" s="748">
        <f t="shared" si="0"/>
        <v>0</v>
      </c>
      <c r="E48" s="748">
        <f t="shared" si="6"/>
        <v>7.1872015281757351</v>
      </c>
      <c r="F48" s="748">
        <f t="shared" si="3"/>
        <v>7.1872015281757351</v>
      </c>
      <c r="G48" s="839">
        <f t="shared" si="5"/>
        <v>31.295700497221411</v>
      </c>
      <c r="H48" s="848">
        <f>$B$323/B48</f>
        <v>13.306653567995752</v>
      </c>
    </row>
    <row r="49" spans="1:8" ht="15" hidden="1" customHeight="1" thickBot="1">
      <c r="A49" s="973" t="s">
        <v>612</v>
      </c>
      <c r="B49" s="748">
        <f>+geral!I241</f>
        <v>44.89</v>
      </c>
      <c r="C49" s="748">
        <f t="shared" si="1"/>
        <v>184.35318275154003</v>
      </c>
      <c r="D49" s="748">
        <f t="shared" si="0"/>
        <v>0</v>
      </c>
      <c r="E49" s="748">
        <f t="shared" si="6"/>
        <v>7.1872015281757351</v>
      </c>
      <c r="F49" s="748">
        <f t="shared" si="3"/>
        <v>7.1872015281757351</v>
      </c>
      <c r="G49" s="839">
        <f t="shared" si="5"/>
        <v>31.295700497221411</v>
      </c>
      <c r="H49" s="848">
        <f>$B$323/B49</f>
        <v>13.306653567995752</v>
      </c>
    </row>
    <row r="50" spans="1:8" ht="15" hidden="1" customHeight="1" thickBot="1">
      <c r="A50" s="973" t="s">
        <v>589</v>
      </c>
      <c r="B50" s="748">
        <f>+geral!K230</f>
        <v>44.85</v>
      </c>
      <c r="C50" s="748">
        <f t="shared" si="1"/>
        <v>184.18891170431209</v>
      </c>
      <c r="D50" s="748">
        <f t="shared" si="0"/>
        <v>-8.9106705279573539E-2</v>
      </c>
      <c r="E50" s="748">
        <f>100*((B50/$B$49)-1)</f>
        <v>-8.9106705279573539E-2</v>
      </c>
      <c r="F50" s="748">
        <f t="shared" si="3"/>
        <v>7.0916905444126099</v>
      </c>
      <c r="G50" s="839">
        <f t="shared" si="5"/>
        <v>31.178707224334623</v>
      </c>
      <c r="H50" s="848">
        <f>$B$323/B50</f>
        <v>13.318521263485604</v>
      </c>
    </row>
    <row r="51" spans="1:8" ht="15" hidden="1" customHeight="1" thickBot="1">
      <c r="A51" s="973" t="s">
        <v>590</v>
      </c>
      <c r="B51" s="748">
        <f>+geral!K231</f>
        <v>44.85</v>
      </c>
      <c r="C51" s="748">
        <f t="shared" si="1"/>
        <v>184.18891170431209</v>
      </c>
      <c r="D51" s="748">
        <f t="shared" si="0"/>
        <v>0</v>
      </c>
      <c r="E51" s="748">
        <f t="shared" ref="E51:E59" si="7">100*((B51/$B$49)-1)</f>
        <v>-8.9106705279573539E-2</v>
      </c>
      <c r="F51" s="748">
        <f t="shared" si="3"/>
        <v>7.0916905444126099</v>
      </c>
      <c r="G51" s="839">
        <f t="shared" si="5"/>
        <v>31.178707224334623</v>
      </c>
      <c r="H51" s="848">
        <f>$B$323/B51</f>
        <v>13.318521263485604</v>
      </c>
    </row>
    <row r="52" spans="1:8" ht="15" hidden="1" customHeight="1" thickBot="1">
      <c r="A52" s="973" t="s">
        <v>591</v>
      </c>
      <c r="B52" s="748">
        <f>+geral!K232</f>
        <v>44.85</v>
      </c>
      <c r="C52" s="748">
        <f t="shared" si="1"/>
        <v>184.18891170431209</v>
      </c>
      <c r="D52" s="748">
        <f t="shared" si="0"/>
        <v>0</v>
      </c>
      <c r="E52" s="748">
        <f t="shared" si="7"/>
        <v>-8.9106705279573539E-2</v>
      </c>
      <c r="F52" s="748">
        <f t="shared" si="3"/>
        <v>7.0916905444126099</v>
      </c>
      <c r="G52" s="839">
        <f t="shared" si="5"/>
        <v>31.178707224334623</v>
      </c>
      <c r="H52" s="848">
        <f>$B$323/B52</f>
        <v>13.318521263485604</v>
      </c>
    </row>
    <row r="53" spans="1:8" ht="15" hidden="1" customHeight="1" thickBot="1">
      <c r="A53" s="973" t="s">
        <v>592</v>
      </c>
      <c r="B53" s="748">
        <f>+geral!K233</f>
        <v>44.85</v>
      </c>
      <c r="C53" s="748">
        <f t="shared" si="1"/>
        <v>184.18891170431209</v>
      </c>
      <c r="D53" s="748">
        <f t="shared" si="0"/>
        <v>0</v>
      </c>
      <c r="E53" s="748">
        <f t="shared" si="7"/>
        <v>-8.9106705279573539E-2</v>
      </c>
      <c r="F53" s="748">
        <f t="shared" si="3"/>
        <v>7.0150322118826214</v>
      </c>
      <c r="G53" s="839">
        <f t="shared" si="5"/>
        <v>31.178707224334623</v>
      </c>
      <c r="H53" s="848">
        <f>$B$323/B53</f>
        <v>13.318521263485604</v>
      </c>
    </row>
    <row r="54" spans="1:8" ht="15" hidden="1" customHeight="1" thickBot="1">
      <c r="A54" s="973" t="s">
        <v>593</v>
      </c>
      <c r="B54" s="748">
        <f>+geral!K234</f>
        <v>44.85</v>
      </c>
      <c r="C54" s="748">
        <f t="shared" si="1"/>
        <v>184.18891170431209</v>
      </c>
      <c r="D54" s="748">
        <f t="shared" si="0"/>
        <v>0</v>
      </c>
      <c r="E54" s="748">
        <f t="shared" si="7"/>
        <v>-8.9106705279573539E-2</v>
      </c>
      <c r="F54" s="748">
        <f t="shared" si="3"/>
        <v>6.6333808844507791</v>
      </c>
      <c r="G54" s="839">
        <f t="shared" si="5"/>
        <v>27.053824362606239</v>
      </c>
      <c r="H54" s="848">
        <f>$B$323/B54</f>
        <v>13.318521263485604</v>
      </c>
    </row>
    <row r="55" spans="1:8" ht="15" hidden="1" customHeight="1" thickBot="1">
      <c r="A55" s="973" t="s">
        <v>594</v>
      </c>
      <c r="B55" s="748">
        <f>+geral!K235</f>
        <v>44.85</v>
      </c>
      <c r="C55" s="748">
        <f t="shared" si="1"/>
        <v>184.18891170431209</v>
      </c>
      <c r="D55" s="748">
        <f t="shared" si="0"/>
        <v>0</v>
      </c>
      <c r="E55" s="748">
        <f t="shared" si="7"/>
        <v>-8.9106705279573539E-2</v>
      </c>
      <c r="F55" s="748">
        <f t="shared" si="3"/>
        <v>2.6785714285714413</v>
      </c>
      <c r="G55" s="839">
        <f t="shared" si="5"/>
        <v>27.053824362606239</v>
      </c>
      <c r="H55" s="848">
        <f>$B$323/B55</f>
        <v>13.318521263485604</v>
      </c>
    </row>
    <row r="56" spans="1:8" ht="15" hidden="1" customHeight="1" thickBot="1">
      <c r="A56" s="973" t="s">
        <v>595</v>
      </c>
      <c r="B56" s="748">
        <f>+geral!K236</f>
        <v>45.19</v>
      </c>
      <c r="C56" s="748">
        <f t="shared" si="1"/>
        <v>185.58521560574948</v>
      </c>
      <c r="D56" s="748">
        <f t="shared" si="0"/>
        <v>0.75808249721291965</v>
      </c>
      <c r="E56" s="748">
        <f t="shared" si="7"/>
        <v>0.66830028959679044</v>
      </c>
      <c r="F56" s="748">
        <f t="shared" si="3"/>
        <v>0.66830028959679044</v>
      </c>
      <c r="G56" s="839">
        <f t="shared" si="5"/>
        <v>16.259325958322624</v>
      </c>
      <c r="H56" s="848">
        <f>$B$323/B56</f>
        <v>13.21831552704867</v>
      </c>
    </row>
    <row r="57" spans="1:8" ht="15" hidden="1" customHeight="1" thickBot="1">
      <c r="A57" s="973" t="s">
        <v>596</v>
      </c>
      <c r="B57" s="748">
        <f>+geral!K237</f>
        <v>46.12</v>
      </c>
      <c r="C57" s="748">
        <f t="shared" si="1"/>
        <v>189.40451745379875</v>
      </c>
      <c r="D57" s="748">
        <f t="shared" si="0"/>
        <v>2.0579774286346497</v>
      </c>
      <c r="E57" s="748">
        <f t="shared" si="7"/>
        <v>2.7400311873468475</v>
      </c>
      <c r="F57" s="748">
        <f t="shared" si="3"/>
        <v>2.7400311873468475</v>
      </c>
      <c r="G57" s="839">
        <f t="shared" si="5"/>
        <v>12.928501469147879</v>
      </c>
      <c r="H57" s="848">
        <f>$B$323/B57</f>
        <v>12.95177100319448</v>
      </c>
    </row>
    <row r="58" spans="1:8" ht="15" hidden="1" customHeight="1" thickBot="1">
      <c r="A58" s="973" t="s">
        <v>597</v>
      </c>
      <c r="B58" s="748">
        <f>+geral!K238</f>
        <v>46.12</v>
      </c>
      <c r="C58" s="748">
        <f t="shared" si="1"/>
        <v>189.40451745379875</v>
      </c>
      <c r="D58" s="748">
        <f t="shared" si="0"/>
        <v>0</v>
      </c>
      <c r="E58" s="748">
        <f t="shared" si="7"/>
        <v>2.7400311873468475</v>
      </c>
      <c r="F58" s="748">
        <f t="shared" si="3"/>
        <v>2.7400311873468475</v>
      </c>
      <c r="G58" s="839">
        <f t="shared" si="5"/>
        <v>12.928501469147879</v>
      </c>
      <c r="H58" s="848">
        <f>$B$323/B58</f>
        <v>12.95177100319448</v>
      </c>
    </row>
    <row r="59" spans="1:8" ht="15" hidden="1" customHeight="1" thickBot="1">
      <c r="A59" s="973" t="s">
        <v>598</v>
      </c>
      <c r="B59" s="748">
        <f>+geral!K239</f>
        <v>46.12</v>
      </c>
      <c r="C59" s="748">
        <f t="shared" si="1"/>
        <v>189.40451745379875</v>
      </c>
      <c r="D59" s="748">
        <f t="shared" si="0"/>
        <v>0</v>
      </c>
      <c r="E59" s="748">
        <f t="shared" si="7"/>
        <v>2.7400311873468475</v>
      </c>
      <c r="F59" s="748">
        <f t="shared" si="3"/>
        <v>2.7400311873468475</v>
      </c>
      <c r="G59" s="839">
        <f t="shared" si="5"/>
        <v>12.928501469147879</v>
      </c>
      <c r="H59" s="848">
        <f>$B$323/B59</f>
        <v>12.95177100319448</v>
      </c>
    </row>
    <row r="60" spans="1:8" ht="15" hidden="1" customHeight="1" thickBot="1">
      <c r="A60" s="973" t="s">
        <v>599</v>
      </c>
      <c r="B60" s="748">
        <f>+geral!K240</f>
        <v>46.12</v>
      </c>
      <c r="C60" s="748">
        <f t="shared" si="1"/>
        <v>189.40451745379875</v>
      </c>
      <c r="D60" s="748">
        <f t="shared" si="0"/>
        <v>0</v>
      </c>
      <c r="E60" s="748">
        <f>100*((B60/$B$49)-1)</f>
        <v>2.7400311873468475</v>
      </c>
      <c r="F60" s="748">
        <f t="shared" si="3"/>
        <v>2.7400311873468475</v>
      </c>
      <c r="G60" s="839">
        <f t="shared" si="5"/>
        <v>10.124164278892067</v>
      </c>
      <c r="H60" s="848">
        <f>$B$323/B60</f>
        <v>12.95177100319448</v>
      </c>
    </row>
    <row r="61" spans="1:8" ht="15" hidden="1" customHeight="1" thickBot="1">
      <c r="A61" s="973" t="s">
        <v>600</v>
      </c>
      <c r="B61" s="748">
        <f>+geral!K241</f>
        <v>46.12</v>
      </c>
      <c r="C61" s="748">
        <f t="shared" si="1"/>
        <v>189.40451745379875</v>
      </c>
      <c r="D61" s="748">
        <f t="shared" si="0"/>
        <v>0</v>
      </c>
      <c r="E61" s="748">
        <f>100*((B61/$B$49)-1)</f>
        <v>2.7400311873468475</v>
      </c>
      <c r="F61" s="748">
        <f t="shared" si="3"/>
        <v>2.7400311873468475</v>
      </c>
      <c r="G61" s="839">
        <f t="shared" si="5"/>
        <v>10.124164278892067</v>
      </c>
      <c r="H61" s="848">
        <f>$B$323/B61</f>
        <v>12.95177100319448</v>
      </c>
    </row>
    <row r="62" spans="1:8" ht="15" hidden="1" customHeight="1" thickBot="1">
      <c r="A62" s="973" t="s">
        <v>577</v>
      </c>
      <c r="B62" s="748">
        <f>+geral!M230</f>
        <v>46.12</v>
      </c>
      <c r="C62" s="748">
        <f t="shared" si="1"/>
        <v>189.40451745379875</v>
      </c>
      <c r="D62" s="748">
        <f t="shared" si="0"/>
        <v>0</v>
      </c>
      <c r="E62" s="748">
        <f>100*((B62/$B$61)-1)</f>
        <v>0</v>
      </c>
      <c r="F62" s="748">
        <f t="shared" si="3"/>
        <v>2.8316610925306573</v>
      </c>
      <c r="G62" s="839">
        <f t="shared" si="5"/>
        <v>10.124164278892067</v>
      </c>
      <c r="H62" s="848">
        <f>$B$323/B62</f>
        <v>12.95177100319448</v>
      </c>
    </row>
    <row r="63" spans="1:8" ht="15" hidden="1" customHeight="1" thickBot="1">
      <c r="A63" s="973" t="s">
        <v>578</v>
      </c>
      <c r="B63" s="748">
        <f>+geral!M231</f>
        <v>46.12</v>
      </c>
      <c r="C63" s="748">
        <f t="shared" si="1"/>
        <v>189.40451745379875</v>
      </c>
      <c r="D63" s="748">
        <f t="shared" si="0"/>
        <v>0</v>
      </c>
      <c r="E63" s="748">
        <f t="shared" ref="E63:E73" si="8">100*((B63/$B$61)-1)</f>
        <v>0</v>
      </c>
      <c r="F63" s="748">
        <f t="shared" si="3"/>
        <v>2.8316610925306573</v>
      </c>
      <c r="G63" s="839">
        <f t="shared" si="5"/>
        <v>10.124164278892067</v>
      </c>
      <c r="H63" s="848">
        <f>$B$323/B63</f>
        <v>12.95177100319448</v>
      </c>
    </row>
    <row r="64" spans="1:8" ht="15" hidden="1" customHeight="1" thickBot="1">
      <c r="A64" s="973" t="s">
        <v>579</v>
      </c>
      <c r="B64" s="748">
        <f>+geral!M232</f>
        <v>46.12</v>
      </c>
      <c r="C64" s="748">
        <f t="shared" si="1"/>
        <v>189.40451745379875</v>
      </c>
      <c r="D64" s="748">
        <f t="shared" si="0"/>
        <v>0</v>
      </c>
      <c r="E64" s="748">
        <f t="shared" si="8"/>
        <v>0</v>
      </c>
      <c r="F64" s="748">
        <f t="shared" si="3"/>
        <v>2.8316610925306573</v>
      </c>
      <c r="G64" s="839">
        <f t="shared" si="5"/>
        <v>10.124164278892067</v>
      </c>
      <c r="H64" s="848">
        <f>$B$323/B64</f>
        <v>12.95177100319448</v>
      </c>
    </row>
    <row r="65" spans="1:8" ht="15" hidden="1" customHeight="1" thickBot="1">
      <c r="A65" s="973" t="s">
        <v>580</v>
      </c>
      <c r="B65" s="748">
        <f>+geral!M233</f>
        <v>46.17</v>
      </c>
      <c r="C65" s="748">
        <f t="shared" si="1"/>
        <v>189.60985626283366</v>
      </c>
      <c r="D65" s="748">
        <f t="shared" si="0"/>
        <v>0.10841283607980756</v>
      </c>
      <c r="E65" s="748">
        <f t="shared" si="8"/>
        <v>0.10841283607980756</v>
      </c>
      <c r="F65" s="748">
        <f t="shared" si="3"/>
        <v>2.943143812709037</v>
      </c>
      <c r="G65" s="839">
        <f t="shared" si="5"/>
        <v>10.164638511095214</v>
      </c>
      <c r="H65" s="848">
        <f>$B$323/B65</f>
        <v>12.93774482710265</v>
      </c>
    </row>
    <row r="66" spans="1:8" ht="15" hidden="1" customHeight="1" thickBot="1">
      <c r="A66" s="973" t="s">
        <v>581</v>
      </c>
      <c r="B66" s="748">
        <f>+geral!M234</f>
        <v>46.9</v>
      </c>
      <c r="C66" s="748">
        <f t="shared" si="1"/>
        <v>192.60780287474333</v>
      </c>
      <c r="D66" s="748">
        <f t="shared" si="0"/>
        <v>1.5811132770197078</v>
      </c>
      <c r="E66" s="748">
        <f t="shared" si="8"/>
        <v>1.6912402428447493</v>
      </c>
      <c r="F66" s="748">
        <f t="shared" si="3"/>
        <v>4.570791527313256</v>
      </c>
      <c r="G66" s="839">
        <f t="shared" si="5"/>
        <v>11.507370423204932</v>
      </c>
      <c r="H66" s="848">
        <f>$B$323/B66</f>
        <v>12.73636841508165</v>
      </c>
    </row>
    <row r="67" spans="1:8" ht="15" hidden="1" customHeight="1" thickBot="1">
      <c r="A67" s="973" t="s">
        <v>582</v>
      </c>
      <c r="B67" s="748">
        <f>+geral!M235</f>
        <v>47.07</v>
      </c>
      <c r="C67" s="748">
        <f t="shared" si="1"/>
        <v>193.30595482546201</v>
      </c>
      <c r="D67" s="748">
        <f t="shared" si="0"/>
        <v>0.36247334754797578</v>
      </c>
      <c r="E67" s="748">
        <f t="shared" si="8"/>
        <v>2.059843885516055</v>
      </c>
      <c r="F67" s="748">
        <f t="shared" si="3"/>
        <v>4.949832775919738</v>
      </c>
      <c r="G67" s="839">
        <f t="shared" si="5"/>
        <v>7.7609890109890056</v>
      </c>
      <c r="H67" s="848">
        <f>$B$323/B67</f>
        <v>12.690369208993614</v>
      </c>
    </row>
    <row r="68" spans="1:8" ht="15" hidden="1" customHeight="1" thickBot="1">
      <c r="A68" s="973" t="s">
        <v>583</v>
      </c>
      <c r="B68" s="748">
        <f>+geral!M236</f>
        <v>47.5</v>
      </c>
      <c r="C68" s="748">
        <f t="shared" si="1"/>
        <v>195.0718685831622</v>
      </c>
      <c r="D68" s="748">
        <f t="shared" si="0"/>
        <v>0.9135330359039795</v>
      </c>
      <c r="E68" s="748">
        <f t="shared" si="8"/>
        <v>2.9921942758022624</v>
      </c>
      <c r="F68" s="748">
        <f t="shared" si="3"/>
        <v>5.1117503872538217</v>
      </c>
      <c r="G68" s="839">
        <f t="shared" si="5"/>
        <v>5.8142125194921013</v>
      </c>
      <c r="H68" s="848">
        <f>$B$323/B68</f>
        <v>12.575487971943776</v>
      </c>
    </row>
    <row r="69" spans="1:8" ht="15" hidden="1" customHeight="1" thickBot="1">
      <c r="A69" s="973" t="s">
        <v>584</v>
      </c>
      <c r="B69" s="748">
        <f>+geral!M237</f>
        <v>47.5</v>
      </c>
      <c r="C69" s="748">
        <f t="shared" si="1"/>
        <v>195.0718685831622</v>
      </c>
      <c r="D69" s="748">
        <f t="shared" si="0"/>
        <v>0</v>
      </c>
      <c r="E69" s="748">
        <f t="shared" si="8"/>
        <v>2.9921942758022624</v>
      </c>
      <c r="F69" s="748">
        <f t="shared" si="3"/>
        <v>2.9921942758022624</v>
      </c>
      <c r="G69" s="839">
        <f t="shared" si="5"/>
        <v>5.8142125194921013</v>
      </c>
      <c r="H69" s="848">
        <f>$B$323/B69</f>
        <v>12.575487971943776</v>
      </c>
    </row>
    <row r="70" spans="1:8" ht="15" hidden="1" customHeight="1" thickBot="1">
      <c r="A70" s="973" t="s">
        <v>585</v>
      </c>
      <c r="B70" s="748">
        <f>+geral!M238</f>
        <v>47.5</v>
      </c>
      <c r="C70" s="748">
        <f t="shared" si="1"/>
        <v>195.0718685831622</v>
      </c>
      <c r="D70" s="748">
        <f t="shared" si="0"/>
        <v>0</v>
      </c>
      <c r="E70" s="748">
        <f t="shared" si="8"/>
        <v>2.9921942758022624</v>
      </c>
      <c r="F70" s="748">
        <f t="shared" si="3"/>
        <v>2.9921942758022624</v>
      </c>
      <c r="G70" s="839">
        <f t="shared" si="5"/>
        <v>5.8142125194921013</v>
      </c>
      <c r="H70" s="848">
        <f>$B$323/B70</f>
        <v>12.575487971943776</v>
      </c>
    </row>
    <row r="71" spans="1:8" ht="15" hidden="1" customHeight="1" thickBot="1">
      <c r="A71" s="973" t="s">
        <v>586</v>
      </c>
      <c r="B71" s="748">
        <f>+geral!M239</f>
        <v>47.5</v>
      </c>
      <c r="C71" s="748">
        <f t="shared" si="1"/>
        <v>195.0718685831622</v>
      </c>
      <c r="D71" s="748">
        <f t="shared" si="0"/>
        <v>0</v>
      </c>
      <c r="E71" s="748">
        <f t="shared" si="8"/>
        <v>2.9921942758022624</v>
      </c>
      <c r="F71" s="748">
        <f t="shared" si="3"/>
        <v>2.9921942758022624</v>
      </c>
      <c r="G71" s="839">
        <f t="shared" si="5"/>
        <v>5.8142125194921013</v>
      </c>
      <c r="H71" s="848">
        <f>$B$323/B71</f>
        <v>12.575487971943776</v>
      </c>
    </row>
    <row r="72" spans="1:8" ht="15" hidden="1" customHeight="1" thickBot="1">
      <c r="A72" s="973" t="s">
        <v>587</v>
      </c>
      <c r="B72" s="748">
        <f>+geral!M240</f>
        <v>47.5</v>
      </c>
      <c r="C72" s="748">
        <f t="shared" si="1"/>
        <v>195.0718685831622</v>
      </c>
      <c r="D72" s="748">
        <f t="shared" si="0"/>
        <v>0</v>
      </c>
      <c r="E72" s="748">
        <f t="shared" si="8"/>
        <v>2.9921942758022624</v>
      </c>
      <c r="F72" s="748">
        <f t="shared" si="3"/>
        <v>2.9921942758022624</v>
      </c>
      <c r="G72" s="839">
        <f t="shared" si="5"/>
        <v>5.8142125194921013</v>
      </c>
      <c r="H72" s="848">
        <f>$B$323/B72</f>
        <v>12.575487971943776</v>
      </c>
    </row>
    <row r="73" spans="1:8" ht="15" hidden="1" customHeight="1" thickBot="1">
      <c r="A73" s="973" t="s">
        <v>588</v>
      </c>
      <c r="B73" s="748">
        <f>+geral!M241</f>
        <v>47.5</v>
      </c>
      <c r="C73" s="748">
        <f t="shared" si="1"/>
        <v>195.0718685831622</v>
      </c>
      <c r="D73" s="748">
        <f t="shared" si="0"/>
        <v>0</v>
      </c>
      <c r="E73" s="748">
        <f t="shared" si="8"/>
        <v>2.9921942758022624</v>
      </c>
      <c r="F73" s="748">
        <f t="shared" si="3"/>
        <v>2.9921942758022624</v>
      </c>
      <c r="G73" s="839">
        <f t="shared" si="5"/>
        <v>5.8142125194921013</v>
      </c>
      <c r="H73" s="848">
        <f>$B$323/B73</f>
        <v>12.575487971943776</v>
      </c>
    </row>
    <row r="74" spans="1:8" ht="15" hidden="1" customHeight="1" thickBot="1">
      <c r="A74" s="973" t="s">
        <v>574</v>
      </c>
      <c r="B74" s="748">
        <f>+geral!C247</f>
        <v>47.67</v>
      </c>
      <c r="C74" s="748">
        <f t="shared" ref="C74:C91" si="9">100*B74/$B$9</f>
        <v>195.77002053388088</v>
      </c>
      <c r="D74" s="748">
        <f t="shared" ref="D74:D86" si="10">100*((B74/B73)-1)</f>
        <v>0.35789473684211259</v>
      </c>
      <c r="E74" s="748">
        <f>100*((B74/$B$73)-1)</f>
        <v>0.35789473684211259</v>
      </c>
      <c r="F74" s="748">
        <f t="shared" si="3"/>
        <v>3.3607979184735459</v>
      </c>
      <c r="G74" s="839">
        <f t="shared" si="5"/>
        <v>6.2876254180602054</v>
      </c>
      <c r="H74" s="848">
        <f>$B$323/B74</f>
        <v>12.530641465645676</v>
      </c>
    </row>
    <row r="75" spans="1:8" ht="15" hidden="1" customHeight="1" thickBot="1">
      <c r="A75" s="973" t="s">
        <v>575</v>
      </c>
      <c r="B75" s="748">
        <f>+geral!C248</f>
        <v>47.67</v>
      </c>
      <c r="C75" s="748">
        <f t="shared" si="9"/>
        <v>195.77002053388088</v>
      </c>
      <c r="D75" s="748">
        <f t="shared" si="10"/>
        <v>0</v>
      </c>
      <c r="E75" s="748">
        <f t="shared" ref="E75:E85" si="11">100*((B75/$B$73)-1)</f>
        <v>0.35789473684211259</v>
      </c>
      <c r="F75" s="748">
        <f t="shared" si="3"/>
        <v>3.3607979184735459</v>
      </c>
      <c r="G75" s="839">
        <f t="shared" si="5"/>
        <v>6.2876254180602054</v>
      </c>
      <c r="H75" s="848">
        <f>$B$323/B75</f>
        <v>12.530641465645676</v>
      </c>
    </row>
    <row r="76" spans="1:8" ht="15" hidden="1" customHeight="1" thickBot="1">
      <c r="A76" s="973" t="s">
        <v>576</v>
      </c>
      <c r="B76" s="748">
        <f>+geral!C249</f>
        <v>47.67</v>
      </c>
      <c r="C76" s="748">
        <f t="shared" si="9"/>
        <v>195.77002053388088</v>
      </c>
      <c r="D76" s="748">
        <f t="shared" si="10"/>
        <v>0</v>
      </c>
      <c r="E76" s="748">
        <f t="shared" si="11"/>
        <v>0.35789473684211259</v>
      </c>
      <c r="F76" s="748">
        <f t="shared" si="3"/>
        <v>3.3607979184735459</v>
      </c>
      <c r="G76" s="839">
        <f t="shared" si="5"/>
        <v>6.2876254180602054</v>
      </c>
      <c r="H76" s="848">
        <f>$B$323/B76</f>
        <v>12.530641465645676</v>
      </c>
    </row>
    <row r="77" spans="1:8" ht="15" hidden="1" customHeight="1" thickBot="1">
      <c r="A77" s="973" t="s">
        <v>557</v>
      </c>
      <c r="B77" s="748">
        <f>+geral!C250</f>
        <v>106.47</v>
      </c>
      <c r="C77" s="748">
        <f t="shared" si="9"/>
        <v>437.24845995893219</v>
      </c>
      <c r="D77" s="748">
        <f t="shared" si="10"/>
        <v>123.34801762114536</v>
      </c>
      <c r="E77" s="748">
        <f t="shared" si="11"/>
        <v>124.14736842105265</v>
      </c>
      <c r="F77" s="748">
        <f>100*((B77/B65)-1)</f>
        <v>130.60428849902533</v>
      </c>
      <c r="G77" s="839">
        <f t="shared" si="5"/>
        <v>137.39130434782609</v>
      </c>
      <c r="H77" s="848">
        <f>$B$323/B77</f>
        <v>5.6103661000030938</v>
      </c>
    </row>
    <row r="78" spans="1:8" ht="15" hidden="1" customHeight="1" thickBot="1">
      <c r="A78" s="973" t="s">
        <v>558</v>
      </c>
      <c r="B78" s="748">
        <f>+geral!C251</f>
        <v>106.47</v>
      </c>
      <c r="C78" s="748">
        <f t="shared" si="9"/>
        <v>437.24845995893219</v>
      </c>
      <c r="D78" s="748">
        <f t="shared" si="10"/>
        <v>0</v>
      </c>
      <c r="E78" s="748">
        <f t="shared" si="11"/>
        <v>124.14736842105265</v>
      </c>
      <c r="F78" s="748">
        <f>100*((B78/B66)-1)</f>
        <v>127.01492537313435</v>
      </c>
      <c r="G78" s="839">
        <f t="shared" si="5"/>
        <v>137.39130434782609</v>
      </c>
      <c r="H78" s="848">
        <f>$B$323/B78</f>
        <v>5.6103661000030938</v>
      </c>
    </row>
    <row r="79" spans="1:8" ht="15" hidden="1" customHeight="1" thickBot="1">
      <c r="A79" s="973" t="s">
        <v>559</v>
      </c>
      <c r="B79" s="748">
        <f>+geral!C252</f>
        <v>106.47</v>
      </c>
      <c r="C79" s="748">
        <f t="shared" si="9"/>
        <v>437.24845995893219</v>
      </c>
      <c r="D79" s="748">
        <f t="shared" si="10"/>
        <v>0</v>
      </c>
      <c r="E79" s="748">
        <f t="shared" si="11"/>
        <v>124.14736842105265</v>
      </c>
      <c r="F79" s="748">
        <f t="shared" si="3"/>
        <v>126.19502868068832</v>
      </c>
      <c r="G79" s="839">
        <f t="shared" si="5"/>
        <v>137.39130434782609</v>
      </c>
      <c r="H79" s="848">
        <f>$B$323/B79</f>
        <v>5.6103661000030938</v>
      </c>
    </row>
    <row r="80" spans="1:8" ht="15" hidden="1" customHeight="1" thickBot="1">
      <c r="A80" s="973" t="s">
        <v>560</v>
      </c>
      <c r="B80" s="748">
        <f>+geral!C253</f>
        <v>108.25</v>
      </c>
      <c r="C80" s="748">
        <f t="shared" si="9"/>
        <v>444.55852156057495</v>
      </c>
      <c r="D80" s="748">
        <f t="shared" si="10"/>
        <v>1.6718324410632146</v>
      </c>
      <c r="E80" s="748">
        <f t="shared" si="11"/>
        <v>127.89473684210529</v>
      </c>
      <c r="F80" s="748">
        <f t="shared" si="3"/>
        <v>127.89473684210529</v>
      </c>
      <c r="G80" s="839">
        <f t="shared" si="5"/>
        <v>139.54414693516264</v>
      </c>
      <c r="H80" s="848">
        <f>$B$323/B80</f>
        <v>5.5181125050099711</v>
      </c>
    </row>
    <row r="81" spans="1:8" ht="15" hidden="1" customHeight="1" thickBot="1">
      <c r="A81" s="973" t="s">
        <v>561</v>
      </c>
      <c r="B81" s="748">
        <f>+geral!C254</f>
        <v>108.25</v>
      </c>
      <c r="C81" s="748">
        <f t="shared" si="9"/>
        <v>444.55852156057495</v>
      </c>
      <c r="D81" s="748">
        <f t="shared" si="10"/>
        <v>0</v>
      </c>
      <c r="E81" s="748">
        <f t="shared" si="11"/>
        <v>127.89473684210529</v>
      </c>
      <c r="F81" s="748">
        <f t="shared" si="3"/>
        <v>127.89473684210529</v>
      </c>
      <c r="G81" s="839">
        <f t="shared" si="5"/>
        <v>134.71379011274936</v>
      </c>
      <c r="H81" s="848">
        <f>$B$323/B81</f>
        <v>5.5181125050099711</v>
      </c>
    </row>
    <row r="82" spans="1:8" ht="15" hidden="1" customHeight="1" thickBot="1">
      <c r="A82" s="973" t="s">
        <v>562</v>
      </c>
      <c r="B82" s="748">
        <f>+geral!C255</f>
        <v>108.25</v>
      </c>
      <c r="C82" s="748">
        <f t="shared" si="9"/>
        <v>444.55852156057495</v>
      </c>
      <c r="D82" s="748">
        <f t="shared" si="10"/>
        <v>0</v>
      </c>
      <c r="E82" s="748">
        <f t="shared" si="11"/>
        <v>127.89473684210529</v>
      </c>
      <c r="F82" s="748">
        <f t="shared" si="3"/>
        <v>127.89473684210529</v>
      </c>
      <c r="G82" s="839">
        <f t="shared" si="5"/>
        <v>134.71379011274936</v>
      </c>
      <c r="H82" s="848">
        <f>$B$323/B82</f>
        <v>5.5181125050099711</v>
      </c>
    </row>
    <row r="83" spans="1:8" ht="15" hidden="1" customHeight="1" thickBot="1">
      <c r="A83" s="973" t="s">
        <v>534</v>
      </c>
      <c r="B83" s="748">
        <f>+geral!C256</f>
        <v>108.25</v>
      </c>
      <c r="C83" s="748">
        <f t="shared" si="9"/>
        <v>444.55852156057495</v>
      </c>
      <c r="D83" s="748">
        <f t="shared" si="10"/>
        <v>0</v>
      </c>
      <c r="E83" s="748">
        <f t="shared" si="11"/>
        <v>127.89473684210529</v>
      </c>
      <c r="F83" s="748">
        <f t="shared" si="3"/>
        <v>127.89473684210529</v>
      </c>
      <c r="G83" s="839">
        <f t="shared" si="5"/>
        <v>134.71379011274936</v>
      </c>
      <c r="H83" s="848">
        <f>$B$323/B83</f>
        <v>5.5181125050099711</v>
      </c>
    </row>
    <row r="84" spans="1:8" ht="15" hidden="1" customHeight="1" thickBot="1">
      <c r="A84" s="973" t="s">
        <v>563</v>
      </c>
      <c r="B84" s="748">
        <f>+geral!C257</f>
        <v>108.25</v>
      </c>
      <c r="C84" s="748">
        <f t="shared" si="9"/>
        <v>444.55852156057495</v>
      </c>
      <c r="D84" s="748">
        <f t="shared" si="10"/>
        <v>0</v>
      </c>
      <c r="E84" s="748">
        <f t="shared" si="11"/>
        <v>127.89473684210529</v>
      </c>
      <c r="F84" s="748">
        <f t="shared" si="3"/>
        <v>127.89473684210529</v>
      </c>
      <c r="G84" s="839">
        <f t="shared" si="5"/>
        <v>134.71379011274936</v>
      </c>
      <c r="H84" s="848">
        <f>$B$323/B84</f>
        <v>5.5181125050099711</v>
      </c>
    </row>
    <row r="85" spans="1:8" ht="15" hidden="1" customHeight="1" thickBot="1">
      <c r="A85" s="973" t="s">
        <v>564</v>
      </c>
      <c r="B85" s="748">
        <f>+geral!C258</f>
        <v>108.25</v>
      </c>
      <c r="C85" s="748">
        <f t="shared" si="9"/>
        <v>444.55852156057495</v>
      </c>
      <c r="D85" s="748">
        <f t="shared" si="10"/>
        <v>0</v>
      </c>
      <c r="E85" s="748">
        <f t="shared" si="11"/>
        <v>127.89473684210529</v>
      </c>
      <c r="F85" s="748">
        <f t="shared" ref="F85:F90" si="12">100*((B85/B73)-1)</f>
        <v>127.89473684210529</v>
      </c>
      <c r="G85" s="839">
        <f t="shared" si="5"/>
        <v>134.71379011274936</v>
      </c>
      <c r="H85" s="848">
        <f>$B$323/B85</f>
        <v>5.5181125050099711</v>
      </c>
    </row>
    <row r="86" spans="1:8" ht="15" hidden="1" customHeight="1" thickBot="1">
      <c r="A86" s="973" t="s">
        <v>546</v>
      </c>
      <c r="B86" s="748">
        <f>+geral!E247</f>
        <v>108.25</v>
      </c>
      <c r="C86" s="748">
        <f t="shared" si="9"/>
        <v>444.55852156057495</v>
      </c>
      <c r="D86" s="748">
        <f t="shared" si="10"/>
        <v>0</v>
      </c>
      <c r="E86" s="748">
        <f t="shared" ref="E86:E91" si="13">100*((B86/$B$85)-1)</f>
        <v>0</v>
      </c>
      <c r="F86" s="748">
        <f t="shared" si="12"/>
        <v>127.08202223620724</v>
      </c>
      <c r="G86" s="839">
        <f t="shared" si="5"/>
        <v>134.71379011274936</v>
      </c>
      <c r="H86" s="848">
        <f>$B$323/B86</f>
        <v>5.5181125050099711</v>
      </c>
    </row>
    <row r="87" spans="1:8" ht="15" hidden="1" customHeight="1" thickBot="1">
      <c r="A87" s="973" t="s">
        <v>547</v>
      </c>
      <c r="B87" s="748">
        <f>+geral!E248</f>
        <v>108.25</v>
      </c>
      <c r="C87" s="748">
        <f t="shared" si="9"/>
        <v>444.55852156057495</v>
      </c>
      <c r="D87" s="748">
        <f t="shared" ref="D87:D92" si="14">100*((B87/B86)-1)</f>
        <v>0</v>
      </c>
      <c r="E87" s="748">
        <f t="shared" si="13"/>
        <v>0</v>
      </c>
      <c r="F87" s="748">
        <f t="shared" si="12"/>
        <v>127.08202223620724</v>
      </c>
      <c r="G87" s="839">
        <f t="shared" si="5"/>
        <v>134.71379011274936</v>
      </c>
      <c r="H87" s="848">
        <f>$B$323/B87</f>
        <v>5.5181125050099711</v>
      </c>
    </row>
    <row r="88" spans="1:8" ht="15" hidden="1" customHeight="1" thickBot="1">
      <c r="A88" s="973" t="s">
        <v>548</v>
      </c>
      <c r="B88" s="748">
        <f>+geral!E249</f>
        <v>108.25</v>
      </c>
      <c r="C88" s="748">
        <f t="shared" si="9"/>
        <v>444.55852156057495</v>
      </c>
      <c r="D88" s="748">
        <f t="shared" si="14"/>
        <v>0</v>
      </c>
      <c r="E88" s="748">
        <f t="shared" si="13"/>
        <v>0</v>
      </c>
      <c r="F88" s="748">
        <f t="shared" si="12"/>
        <v>127.08202223620724</v>
      </c>
      <c r="G88" s="839">
        <f t="shared" si="5"/>
        <v>134.71379011274936</v>
      </c>
      <c r="H88" s="848">
        <f>$B$323/B88</f>
        <v>5.5181125050099711</v>
      </c>
    </row>
    <row r="89" spans="1:8" ht="15" hidden="1" customHeight="1" thickBot="1">
      <c r="A89" s="973" t="s">
        <v>549</v>
      </c>
      <c r="B89" s="748">
        <f>+geral!E250</f>
        <v>108.25</v>
      </c>
      <c r="C89" s="748">
        <f t="shared" si="9"/>
        <v>444.55852156057495</v>
      </c>
      <c r="D89" s="748">
        <f t="shared" si="14"/>
        <v>0</v>
      </c>
      <c r="E89" s="748">
        <f t="shared" si="13"/>
        <v>0</v>
      </c>
      <c r="F89" s="748">
        <f t="shared" si="12"/>
        <v>1.6718324410632146</v>
      </c>
      <c r="G89" s="839">
        <f t="shared" si="5"/>
        <v>134.45960580463506</v>
      </c>
      <c r="H89" s="848">
        <f>$B$323/B89</f>
        <v>5.5181125050099711</v>
      </c>
    </row>
    <row r="90" spans="1:8" ht="15" hidden="1" customHeight="1" thickBot="1">
      <c r="A90" s="973" t="s">
        <v>550</v>
      </c>
      <c r="B90" s="748">
        <f>+geral!E251</f>
        <v>111.71</v>
      </c>
      <c r="C90" s="748">
        <f t="shared" si="9"/>
        <v>458.76796714579052</v>
      </c>
      <c r="D90" s="748">
        <f t="shared" si="14"/>
        <v>3.1963048498845126</v>
      </c>
      <c r="E90" s="748">
        <f t="shared" si="13"/>
        <v>3.1963048498845126</v>
      </c>
      <c r="F90" s="748">
        <f t="shared" si="12"/>
        <v>4.9215741523433776</v>
      </c>
      <c r="G90" s="839">
        <f t="shared" si="5"/>
        <v>138.18763326226011</v>
      </c>
      <c r="H90" s="848">
        <f>$B$323/B90</f>
        <v>5.3471997016142634</v>
      </c>
    </row>
    <row r="91" spans="1:8" ht="15" hidden="1" customHeight="1" thickBot="1">
      <c r="A91" s="973" t="s">
        <v>551</v>
      </c>
      <c r="B91" s="748">
        <f>+geral!E252</f>
        <v>111.71</v>
      </c>
      <c r="C91" s="748">
        <f t="shared" si="9"/>
        <v>458.76796714579052</v>
      </c>
      <c r="D91" s="748">
        <f t="shared" si="14"/>
        <v>0</v>
      </c>
      <c r="E91" s="748">
        <f t="shared" si="13"/>
        <v>3.1963048498845126</v>
      </c>
      <c r="F91" s="748">
        <f t="shared" ref="F91:F96" si="15">100*((B91/B79)-1)</f>
        <v>4.9215741523433776</v>
      </c>
      <c r="G91" s="839">
        <f t="shared" si="5"/>
        <v>137.32738474612276</v>
      </c>
      <c r="H91" s="848">
        <f>$B$323/B91</f>
        <v>5.3471997016142634</v>
      </c>
    </row>
    <row r="92" spans="1:8" ht="15" hidden="1" customHeight="1" thickBot="1">
      <c r="A92" s="973" t="s">
        <v>552</v>
      </c>
      <c r="B92" s="748">
        <f>+geral!E253</f>
        <v>114.18</v>
      </c>
      <c r="C92" s="748">
        <f t="shared" ref="C92:C128" si="16">100*B92/$B$9</f>
        <v>468.91170431211498</v>
      </c>
      <c r="D92" s="748">
        <f t="shared" si="14"/>
        <v>2.2110822665831309</v>
      </c>
      <c r="E92" s="748">
        <f t="shared" ref="E92:E97" si="17">100*((B92/$B$85)-1)</f>
        <v>5.4780600461893814</v>
      </c>
      <c r="F92" s="748">
        <f t="shared" si="15"/>
        <v>5.4780600461893814</v>
      </c>
      <c r="G92" s="839">
        <f t="shared" si="5"/>
        <v>140.37894736842108</v>
      </c>
      <c r="H92" s="848">
        <f>$B$323/B92</f>
        <v>5.2315263502130787</v>
      </c>
    </row>
    <row r="93" spans="1:8" ht="15" hidden="1" customHeight="1" thickBot="1">
      <c r="A93" s="973" t="s">
        <v>553</v>
      </c>
      <c r="B93" s="748">
        <f>+geral!E254</f>
        <v>114.18</v>
      </c>
      <c r="C93" s="748">
        <f t="shared" si="16"/>
        <v>468.91170431211498</v>
      </c>
      <c r="D93" s="748">
        <f t="shared" ref="D93:D98" si="18">100*((B93/B92)-1)</f>
        <v>0</v>
      </c>
      <c r="E93" s="748">
        <f t="shared" si="17"/>
        <v>5.4780600461893814</v>
      </c>
      <c r="F93" s="748">
        <f t="shared" si="15"/>
        <v>5.4780600461893814</v>
      </c>
      <c r="G93" s="839">
        <f t="shared" si="5"/>
        <v>140.37894736842108</v>
      </c>
      <c r="H93" s="848">
        <f>$B$323/B93</f>
        <v>5.2315263502130787</v>
      </c>
    </row>
    <row r="94" spans="1:8" ht="15" hidden="1" customHeight="1" thickBot="1">
      <c r="A94" s="973" t="s">
        <v>554</v>
      </c>
      <c r="B94" s="748">
        <f>+geral!E255</f>
        <v>114.18</v>
      </c>
      <c r="C94" s="748">
        <f t="shared" si="16"/>
        <v>468.91170431211498</v>
      </c>
      <c r="D94" s="748">
        <f t="shared" si="18"/>
        <v>0</v>
      </c>
      <c r="E94" s="748">
        <f t="shared" si="17"/>
        <v>5.4780600461893814</v>
      </c>
      <c r="F94" s="748">
        <f t="shared" si="15"/>
        <v>5.4780600461893814</v>
      </c>
      <c r="G94" s="839">
        <f t="shared" si="5"/>
        <v>140.37894736842108</v>
      </c>
      <c r="H94" s="848">
        <f>$B$323/B94</f>
        <v>5.2315263502130787</v>
      </c>
    </row>
    <row r="95" spans="1:8" ht="15" hidden="1" customHeight="1" thickBot="1">
      <c r="A95" s="973" t="s">
        <v>533</v>
      </c>
      <c r="B95" s="748">
        <f>+geral!E256</f>
        <v>114.18</v>
      </c>
      <c r="C95" s="748">
        <f t="shared" si="16"/>
        <v>468.91170431211498</v>
      </c>
      <c r="D95" s="748">
        <f t="shared" si="18"/>
        <v>0</v>
      </c>
      <c r="E95" s="748">
        <f t="shared" si="17"/>
        <v>5.4780600461893814</v>
      </c>
      <c r="F95" s="748">
        <f t="shared" si="15"/>
        <v>5.4780600461893814</v>
      </c>
      <c r="G95" s="839">
        <f t="shared" si="5"/>
        <v>140.37894736842108</v>
      </c>
      <c r="H95" s="848">
        <f>$B$323/B95</f>
        <v>5.2315263502130787</v>
      </c>
    </row>
    <row r="96" spans="1:8" ht="15" hidden="1" customHeight="1" thickBot="1">
      <c r="A96" s="973" t="s">
        <v>555</v>
      </c>
      <c r="B96" s="748">
        <f>+geral!E257</f>
        <v>114.18</v>
      </c>
      <c r="C96" s="748">
        <f t="shared" si="16"/>
        <v>468.91170431211498</v>
      </c>
      <c r="D96" s="748">
        <f t="shared" si="18"/>
        <v>0</v>
      </c>
      <c r="E96" s="748">
        <f t="shared" si="17"/>
        <v>5.4780600461893814</v>
      </c>
      <c r="F96" s="748">
        <f t="shared" si="15"/>
        <v>5.4780600461893814</v>
      </c>
      <c r="G96" s="839">
        <f t="shared" si="5"/>
        <v>140.37894736842108</v>
      </c>
      <c r="H96" s="848">
        <f>$B$323/B96</f>
        <v>5.2315263502130787</v>
      </c>
    </row>
    <row r="97" spans="1:8" ht="15" hidden="1" customHeight="1" thickBot="1">
      <c r="A97" s="973" t="s">
        <v>556</v>
      </c>
      <c r="B97" s="748">
        <f>+geral!E258</f>
        <v>114.18</v>
      </c>
      <c r="C97" s="748">
        <f t="shared" si="16"/>
        <v>468.91170431211498</v>
      </c>
      <c r="D97" s="748">
        <f t="shared" si="18"/>
        <v>0</v>
      </c>
      <c r="E97" s="748">
        <f t="shared" si="17"/>
        <v>5.4780600461893814</v>
      </c>
      <c r="F97" s="748">
        <f t="shared" ref="F97:F114" si="19">100*((B97/B85)-1)</f>
        <v>5.4780600461893814</v>
      </c>
      <c r="G97" s="839">
        <f t="shared" ref="G97:G121" si="20">100*(B97/B73-1)</f>
        <v>140.37894736842108</v>
      </c>
      <c r="H97" s="848">
        <f>$B$323/B97</f>
        <v>5.2315263502130787</v>
      </c>
    </row>
    <row r="98" spans="1:8" ht="15" hidden="1" customHeight="1" thickBot="1">
      <c r="A98" s="973" t="s">
        <v>535</v>
      </c>
      <c r="B98" s="748">
        <f>+geral!G247</f>
        <v>114.18</v>
      </c>
      <c r="C98" s="748">
        <f t="shared" si="16"/>
        <v>468.91170431211498</v>
      </c>
      <c r="D98" s="748">
        <f t="shared" si="18"/>
        <v>0</v>
      </c>
      <c r="E98" s="748">
        <f t="shared" ref="E98:E103" si="21">100*((B98/$B$97)-1)</f>
        <v>0</v>
      </c>
      <c r="F98" s="748">
        <f t="shared" si="19"/>
        <v>5.4780600461893814</v>
      </c>
      <c r="G98" s="839">
        <f t="shared" si="20"/>
        <v>139.52171176840781</v>
      </c>
      <c r="H98" s="848">
        <f>$B$323/B98</f>
        <v>5.2315263502130787</v>
      </c>
    </row>
    <row r="99" spans="1:8" ht="15" hidden="1" customHeight="1" thickBot="1">
      <c r="A99" s="973" t="s">
        <v>536</v>
      </c>
      <c r="B99" s="748">
        <f>+geral!G248</f>
        <v>114.21</v>
      </c>
      <c r="C99" s="748">
        <f t="shared" si="16"/>
        <v>469.03490759753589</v>
      </c>
      <c r="D99" s="748">
        <f t="shared" ref="D99:D104" si="22">100*((B99/B98)-1)</f>
        <v>2.6274303730944304E-2</v>
      </c>
      <c r="E99" s="748">
        <f t="shared" si="21"/>
        <v>2.6274303730944304E-2</v>
      </c>
      <c r="F99" s="748">
        <f t="shared" si="19"/>
        <v>5.5057736720554251</v>
      </c>
      <c r="G99" s="839">
        <f t="shared" si="20"/>
        <v>139.58464443045938</v>
      </c>
      <c r="H99" s="848">
        <f>$B$323/B99</f>
        <v>5.2301521641478805</v>
      </c>
    </row>
    <row r="100" spans="1:8" ht="15" hidden="1" customHeight="1" thickBot="1">
      <c r="A100" s="973" t="s">
        <v>537</v>
      </c>
      <c r="B100" s="748">
        <f>+geral!G249</f>
        <v>114.21</v>
      </c>
      <c r="C100" s="748">
        <f t="shared" si="16"/>
        <v>469.03490759753589</v>
      </c>
      <c r="D100" s="748">
        <f t="shared" si="22"/>
        <v>0</v>
      </c>
      <c r="E100" s="748">
        <f t="shared" si="21"/>
        <v>2.6274303730944304E-2</v>
      </c>
      <c r="F100" s="748">
        <f t="shared" si="19"/>
        <v>5.5057736720554251</v>
      </c>
      <c r="G100" s="839">
        <f t="shared" si="20"/>
        <v>139.58464443045938</v>
      </c>
      <c r="H100" s="848">
        <f>$B$323/B100</f>
        <v>5.2301521641478805</v>
      </c>
    </row>
    <row r="101" spans="1:8" ht="15" hidden="1" customHeight="1" thickBot="1">
      <c r="A101" s="973" t="s">
        <v>538</v>
      </c>
      <c r="B101" s="748">
        <f>+geral!G250</f>
        <v>114.21</v>
      </c>
      <c r="C101" s="748">
        <f t="shared" si="16"/>
        <v>469.03490759753589</v>
      </c>
      <c r="D101" s="748">
        <f t="shared" si="22"/>
        <v>0</v>
      </c>
      <c r="E101" s="748">
        <f t="shared" si="21"/>
        <v>2.6274303730944304E-2</v>
      </c>
      <c r="F101" s="748">
        <f t="shared" si="19"/>
        <v>5.5057736720554251</v>
      </c>
      <c r="G101" s="839">
        <f t="shared" si="20"/>
        <v>7.2696534234995669</v>
      </c>
      <c r="H101" s="848">
        <f>$B$323/B101</f>
        <v>5.2301521641478805</v>
      </c>
    </row>
    <row r="102" spans="1:8" ht="15" hidden="1" customHeight="1" thickBot="1">
      <c r="A102" s="973" t="s">
        <v>539</v>
      </c>
      <c r="B102" s="748">
        <f>+geral!G251</f>
        <v>118.03</v>
      </c>
      <c r="C102" s="748">
        <f t="shared" si="16"/>
        <v>484.72279260780283</v>
      </c>
      <c r="D102" s="748">
        <f t="shared" si="22"/>
        <v>3.3447158742667016</v>
      </c>
      <c r="E102" s="748">
        <f t="shared" si="21"/>
        <v>3.3718689788053924</v>
      </c>
      <c r="F102" s="748">
        <f t="shared" si="19"/>
        <v>5.6575060424312928</v>
      </c>
      <c r="G102" s="839">
        <f t="shared" si="20"/>
        <v>10.857518549826239</v>
      </c>
      <c r="H102" s="848">
        <f>$B$323/B102</f>
        <v>5.0608801039339948</v>
      </c>
    </row>
    <row r="103" spans="1:8" ht="15" hidden="1" customHeight="1" thickBot="1">
      <c r="A103" s="973" t="s">
        <v>540</v>
      </c>
      <c r="B103" s="748">
        <f>+geral!G252</f>
        <v>118.03</v>
      </c>
      <c r="C103" s="748">
        <f t="shared" si="16"/>
        <v>484.72279260780283</v>
      </c>
      <c r="D103" s="748">
        <f t="shared" si="22"/>
        <v>0</v>
      </c>
      <c r="E103" s="748">
        <f t="shared" si="21"/>
        <v>3.3718689788053924</v>
      </c>
      <c r="F103" s="748">
        <f t="shared" si="19"/>
        <v>5.6575060424312928</v>
      </c>
      <c r="G103" s="839">
        <f t="shared" si="20"/>
        <v>10.857518549826239</v>
      </c>
      <c r="H103" s="848">
        <f>$B$323/B103</f>
        <v>5.0608801039339948</v>
      </c>
    </row>
    <row r="104" spans="1:8" ht="15" hidden="1" customHeight="1" thickBot="1">
      <c r="A104" s="973" t="s">
        <v>541</v>
      </c>
      <c r="B104" s="748">
        <f>+geral!G253</f>
        <v>122.54</v>
      </c>
      <c r="C104" s="748">
        <f t="shared" si="16"/>
        <v>503.24435318275152</v>
      </c>
      <c r="D104" s="748">
        <f t="shared" si="22"/>
        <v>3.82106244175211</v>
      </c>
      <c r="E104" s="748">
        <f t="shared" ref="E104:E109" si="23">100*((B104/$B$97)-1)</f>
        <v>7.3217726396917149</v>
      </c>
      <c r="F104" s="748">
        <f t="shared" si="19"/>
        <v>7.3217726396917149</v>
      </c>
      <c r="G104" s="839">
        <f t="shared" si="20"/>
        <v>13.200923787528884</v>
      </c>
      <c r="H104" s="848">
        <f>$B$323/B104</f>
        <v>4.8746179098035691</v>
      </c>
    </row>
    <row r="105" spans="1:8" ht="15" hidden="1" customHeight="1" thickBot="1">
      <c r="A105" s="973" t="s">
        <v>542</v>
      </c>
      <c r="B105" s="748">
        <f>+geral!G254</f>
        <v>122.54</v>
      </c>
      <c r="C105" s="748">
        <f t="shared" si="16"/>
        <v>503.24435318275152</v>
      </c>
      <c r="D105" s="748">
        <f t="shared" ref="D105:D110" si="24">100*((B105/B104)-1)</f>
        <v>0</v>
      </c>
      <c r="E105" s="748">
        <f t="shared" si="23"/>
        <v>7.3217726396917149</v>
      </c>
      <c r="F105" s="748">
        <f t="shared" si="19"/>
        <v>7.3217726396917149</v>
      </c>
      <c r="G105" s="839">
        <f t="shared" si="20"/>
        <v>13.200923787528884</v>
      </c>
      <c r="H105" s="848">
        <f>$B$323/B105</f>
        <v>4.8746179098035691</v>
      </c>
    </row>
    <row r="106" spans="1:8" ht="15" hidden="1" customHeight="1" thickBot="1">
      <c r="A106" s="973" t="s">
        <v>543</v>
      </c>
      <c r="B106" s="748">
        <f>+geral!G255</f>
        <v>122.54</v>
      </c>
      <c r="C106" s="748">
        <f t="shared" si="16"/>
        <v>503.24435318275152</v>
      </c>
      <c r="D106" s="748">
        <f t="shared" si="24"/>
        <v>0</v>
      </c>
      <c r="E106" s="748">
        <f t="shared" si="23"/>
        <v>7.3217726396917149</v>
      </c>
      <c r="F106" s="748">
        <f t="shared" si="19"/>
        <v>7.3217726396917149</v>
      </c>
      <c r="G106" s="839">
        <f t="shared" si="20"/>
        <v>13.200923787528884</v>
      </c>
      <c r="H106" s="848">
        <f>$B$323/B106</f>
        <v>4.8746179098035691</v>
      </c>
    </row>
    <row r="107" spans="1:8" ht="15" hidden="1" customHeight="1" thickBot="1">
      <c r="A107" s="973" t="s">
        <v>532</v>
      </c>
      <c r="B107" s="748">
        <f>+geral!G256</f>
        <v>122.93</v>
      </c>
      <c r="C107" s="748">
        <f t="shared" si="16"/>
        <v>504.8459958932238</v>
      </c>
      <c r="D107" s="748">
        <f t="shared" si="24"/>
        <v>0.31826342418801445</v>
      </c>
      <c r="E107" s="748">
        <f t="shared" si="23"/>
        <v>7.6633385881940796</v>
      </c>
      <c r="F107" s="748">
        <f t="shared" si="19"/>
        <v>7.6633385881940796</v>
      </c>
      <c r="G107" s="839">
        <f t="shared" si="20"/>
        <v>13.561200923787542</v>
      </c>
      <c r="H107" s="848">
        <f>$B$323/B107</f>
        <v>4.8591530030694647</v>
      </c>
    </row>
    <row r="108" spans="1:8" ht="15" hidden="1" customHeight="1" thickBot="1">
      <c r="A108" s="973" t="s">
        <v>544</v>
      </c>
      <c r="B108" s="748">
        <f>+geral!G257</f>
        <v>122.93</v>
      </c>
      <c r="C108" s="748">
        <f t="shared" si="16"/>
        <v>504.8459958932238</v>
      </c>
      <c r="D108" s="748">
        <f t="shared" si="24"/>
        <v>0</v>
      </c>
      <c r="E108" s="748">
        <f t="shared" si="23"/>
        <v>7.6633385881940796</v>
      </c>
      <c r="F108" s="748">
        <f t="shared" si="19"/>
        <v>7.6633385881940796</v>
      </c>
      <c r="G108" s="839">
        <f t="shared" si="20"/>
        <v>13.561200923787542</v>
      </c>
      <c r="H108" s="848">
        <f>$B$323/B108</f>
        <v>4.8591530030694647</v>
      </c>
    </row>
    <row r="109" spans="1:8" ht="15" hidden="1" customHeight="1" thickBot="1">
      <c r="A109" s="973" t="s">
        <v>545</v>
      </c>
      <c r="B109" s="748">
        <f>+geral!G258</f>
        <v>122.93</v>
      </c>
      <c r="C109" s="748">
        <f t="shared" si="16"/>
        <v>504.8459958932238</v>
      </c>
      <c r="D109" s="748">
        <f t="shared" si="24"/>
        <v>0</v>
      </c>
      <c r="E109" s="748">
        <f t="shared" si="23"/>
        <v>7.6633385881940796</v>
      </c>
      <c r="F109" s="748">
        <f t="shared" si="19"/>
        <v>7.6633385881940796</v>
      </c>
      <c r="G109" s="839">
        <f t="shared" si="20"/>
        <v>13.561200923787542</v>
      </c>
      <c r="H109" s="848">
        <f>$B$323/B109</f>
        <v>4.8591530030694647</v>
      </c>
    </row>
    <row r="110" spans="1:8" ht="15" hidden="1" customHeight="1" thickBot="1">
      <c r="A110" s="973" t="s">
        <v>565</v>
      </c>
      <c r="B110" s="748">
        <f>+geral!I247</f>
        <v>122.93</v>
      </c>
      <c r="C110" s="748">
        <f t="shared" si="16"/>
        <v>504.8459958932238</v>
      </c>
      <c r="D110" s="748">
        <f t="shared" si="24"/>
        <v>0</v>
      </c>
      <c r="E110" s="748">
        <f t="shared" ref="E110:E115" si="25">100*((B110/$B$109)-1)</f>
        <v>0</v>
      </c>
      <c r="F110" s="748">
        <f t="shared" si="19"/>
        <v>7.6633385881940796</v>
      </c>
      <c r="G110" s="839">
        <f t="shared" si="20"/>
        <v>13.561200923787542</v>
      </c>
      <c r="H110" s="848">
        <f>$B$323/B110</f>
        <v>4.8591530030694647</v>
      </c>
    </row>
    <row r="111" spans="1:8" ht="15" hidden="1" customHeight="1" thickBot="1">
      <c r="A111" s="973" t="s">
        <v>566</v>
      </c>
      <c r="B111" s="748">
        <f>+geral!I248</f>
        <v>124.2</v>
      </c>
      <c r="C111" s="748">
        <f t="shared" si="16"/>
        <v>510.06160164271046</v>
      </c>
      <c r="D111" s="748">
        <f t="shared" ref="D111:D116" si="26">100*((B111/B110)-1)</f>
        <v>1.0331082730008934</v>
      </c>
      <c r="E111" s="748">
        <f t="shared" si="25"/>
        <v>1.0331082730008934</v>
      </c>
      <c r="F111" s="748">
        <f t="shared" si="19"/>
        <v>8.7470449172576856</v>
      </c>
      <c r="G111" s="839">
        <f t="shared" si="20"/>
        <v>14.73441108545035</v>
      </c>
      <c r="H111" s="848">
        <f>$B$323/B111</f>
        <v>4.809466011814246</v>
      </c>
    </row>
    <row r="112" spans="1:8" ht="15" hidden="1" customHeight="1" thickBot="1">
      <c r="A112" s="973" t="s">
        <v>567</v>
      </c>
      <c r="B112" s="748">
        <f>+geral!I249</f>
        <v>124.59</v>
      </c>
      <c r="C112" s="748">
        <f t="shared" si="16"/>
        <v>511.66324435318273</v>
      </c>
      <c r="D112" s="748">
        <f t="shared" si="26"/>
        <v>0.31400966183574575</v>
      </c>
      <c r="E112" s="748">
        <f t="shared" si="25"/>
        <v>1.3503619946310774</v>
      </c>
      <c r="F112" s="748">
        <f t="shared" si="19"/>
        <v>9.0885211452587313</v>
      </c>
      <c r="G112" s="839">
        <f t="shared" si="20"/>
        <v>15.094688221709006</v>
      </c>
      <c r="H112" s="848">
        <f>$B$323/B112</f>
        <v>4.7944110977392196</v>
      </c>
    </row>
    <row r="113" spans="1:9" ht="15" hidden="1" customHeight="1" thickBot="1">
      <c r="A113" s="973" t="s">
        <v>568</v>
      </c>
      <c r="B113" s="748">
        <f>+geral!I250</f>
        <v>124.59</v>
      </c>
      <c r="C113" s="748">
        <f t="shared" si="16"/>
        <v>511.66324435318273</v>
      </c>
      <c r="D113" s="748">
        <f t="shared" si="26"/>
        <v>0</v>
      </c>
      <c r="E113" s="748">
        <f t="shared" si="25"/>
        <v>1.3503619946310774</v>
      </c>
      <c r="F113" s="748">
        <f t="shared" si="19"/>
        <v>9.0885211452587313</v>
      </c>
      <c r="G113" s="839">
        <f t="shared" si="20"/>
        <v>15.094688221709006</v>
      </c>
      <c r="H113" s="848">
        <f>$B$323/B113</f>
        <v>4.7944110977392196</v>
      </c>
    </row>
    <row r="114" spans="1:9" ht="15" hidden="1" customHeight="1" thickBot="1">
      <c r="A114" s="973" t="s">
        <v>569</v>
      </c>
      <c r="B114" s="748">
        <f>+geral!I251</f>
        <v>128.41999999999999</v>
      </c>
      <c r="C114" s="748">
        <f t="shared" si="16"/>
        <v>527.39219712525653</v>
      </c>
      <c r="D114" s="748">
        <f t="shared" si="26"/>
        <v>3.0740829922144552</v>
      </c>
      <c r="E114" s="748">
        <f t="shared" si="25"/>
        <v>4.4659562352558302</v>
      </c>
      <c r="F114" s="748">
        <f t="shared" si="19"/>
        <v>8.8028467338812089</v>
      </c>
      <c r="G114" s="839">
        <f t="shared" si="20"/>
        <v>14.95837436218781</v>
      </c>
      <c r="H114" s="848">
        <f>$B$323/B114</f>
        <v>4.651422509479282</v>
      </c>
    </row>
    <row r="115" spans="1:9" ht="15" hidden="1" customHeight="1" thickBot="1">
      <c r="A115" s="973" t="s">
        <v>570</v>
      </c>
      <c r="B115" s="748">
        <f>+geral!I252</f>
        <v>128.41999999999999</v>
      </c>
      <c r="C115" s="748">
        <f t="shared" si="16"/>
        <v>527.39219712525653</v>
      </c>
      <c r="D115" s="748">
        <f t="shared" si="26"/>
        <v>0</v>
      </c>
      <c r="E115" s="748">
        <f t="shared" si="25"/>
        <v>4.4659562352558302</v>
      </c>
      <c r="F115" s="748">
        <f t="shared" ref="F115:F120" si="27">100*((B115/B103)-1)</f>
        <v>8.8028467338812089</v>
      </c>
      <c r="G115" s="839">
        <f t="shared" si="20"/>
        <v>14.95837436218781</v>
      </c>
      <c r="H115" s="848">
        <f>$B$323/B115</f>
        <v>4.651422509479282</v>
      </c>
    </row>
    <row r="116" spans="1:9" ht="15" hidden="1" customHeight="1" thickBot="1">
      <c r="A116" s="973" t="s">
        <v>571</v>
      </c>
      <c r="B116" s="748">
        <f>+geral!I253</f>
        <v>141.49</v>
      </c>
      <c r="C116" s="748">
        <f t="shared" si="16"/>
        <v>581.06776180698148</v>
      </c>
      <c r="D116" s="748">
        <f t="shared" si="26"/>
        <v>10.177542438872479</v>
      </c>
      <c r="E116" s="748">
        <f t="shared" ref="E116:E121" si="28">100*((B116/$B$109)-1)</f>
        <v>15.09802326527292</v>
      </c>
      <c r="F116" s="748">
        <f t="shared" si="27"/>
        <v>15.464338175289694</v>
      </c>
      <c r="G116" s="839">
        <f t="shared" si="20"/>
        <v>23.918374496409189</v>
      </c>
      <c r="H116" s="848">
        <f>$B$323/B116</f>
        <v>4.2217519165123285</v>
      </c>
    </row>
    <row r="117" spans="1:9" ht="15" hidden="1" customHeight="1" thickBot="1">
      <c r="A117" s="973" t="s">
        <v>572</v>
      </c>
      <c r="B117" s="748">
        <f>+geral!I254</f>
        <v>142.18</v>
      </c>
      <c r="C117" s="748">
        <f t="shared" si="16"/>
        <v>583.90143737166318</v>
      </c>
      <c r="D117" s="748">
        <f t="shared" ref="D117:D122" si="29">100*((B117/B116)-1)</f>
        <v>0.48766697293094463</v>
      </c>
      <c r="E117" s="748">
        <f t="shared" si="28"/>
        <v>15.659318311234038</v>
      </c>
      <c r="F117" s="748">
        <f t="shared" si="27"/>
        <v>16.027419618083893</v>
      </c>
      <c r="G117" s="839">
        <f t="shared" si="20"/>
        <v>24.522683482221062</v>
      </c>
      <c r="H117" s="848">
        <f>$B$323/B117</f>
        <v>4.2012637408027107</v>
      </c>
    </row>
    <row r="118" spans="1:9" ht="15" hidden="1" customHeight="1" thickBot="1">
      <c r="A118" s="973" t="s">
        <v>573</v>
      </c>
      <c r="B118" s="748">
        <f>+geral!I255</f>
        <v>142.33000000000001</v>
      </c>
      <c r="C118" s="748">
        <f t="shared" si="16"/>
        <v>584.51745379876797</v>
      </c>
      <c r="D118" s="748">
        <f t="shared" si="29"/>
        <v>0.10550007033338638</v>
      </c>
      <c r="E118" s="748">
        <f t="shared" si="28"/>
        <v>15.781338973399507</v>
      </c>
      <c r="F118" s="748">
        <f t="shared" si="27"/>
        <v>16.149828627386988</v>
      </c>
      <c r="G118" s="839">
        <f t="shared" si="20"/>
        <v>24.654055000875807</v>
      </c>
      <c r="H118" s="848">
        <f>$B$323/B118</f>
        <v>4.1968360757909737</v>
      </c>
    </row>
    <row r="119" spans="1:9" ht="15" hidden="1" customHeight="1" thickBot="1">
      <c r="A119" s="973" t="s">
        <v>396</v>
      </c>
      <c r="B119" s="748">
        <f>+geral!I256</f>
        <v>142.79</v>
      </c>
      <c r="C119" s="748">
        <f t="shared" si="16"/>
        <v>586.40657084188911</v>
      </c>
      <c r="D119" s="748">
        <f t="shared" si="29"/>
        <v>0.3231925806224778</v>
      </c>
      <c r="E119" s="748">
        <f t="shared" si="28"/>
        <v>16.15553567070689</v>
      </c>
      <c r="F119" s="748">
        <f t="shared" si="27"/>
        <v>16.15553567070689</v>
      </c>
      <c r="G119" s="839">
        <f t="shared" si="20"/>
        <v>25.056927658083715</v>
      </c>
      <c r="H119" s="848">
        <f>$B$323/B119</f>
        <v>4.1833159091486056</v>
      </c>
    </row>
    <row r="120" spans="1:9" ht="15" hidden="1" customHeight="1" thickBot="1">
      <c r="A120" s="973" t="s">
        <v>397</v>
      </c>
      <c r="B120" s="748">
        <f>+geral!I257</f>
        <v>142.79</v>
      </c>
      <c r="C120" s="748">
        <f t="shared" si="16"/>
        <v>586.40657084188911</v>
      </c>
      <c r="D120" s="748">
        <f t="shared" si="29"/>
        <v>0</v>
      </c>
      <c r="E120" s="748">
        <f t="shared" si="28"/>
        <v>16.15553567070689</v>
      </c>
      <c r="F120" s="748">
        <f t="shared" si="27"/>
        <v>16.15553567070689</v>
      </c>
      <c r="G120" s="839">
        <f t="shared" si="20"/>
        <v>25.056927658083715</v>
      </c>
      <c r="H120" s="848">
        <f>$B$323/B120</f>
        <v>4.1833159091486056</v>
      </c>
    </row>
    <row r="121" spans="1:9" ht="15" hidden="1" customHeight="1" thickBot="1">
      <c r="A121" s="973" t="s">
        <v>398</v>
      </c>
      <c r="B121" s="748">
        <f>+geral!I258</f>
        <v>142.79</v>
      </c>
      <c r="C121" s="748">
        <f t="shared" si="16"/>
        <v>586.40657084188911</v>
      </c>
      <c r="D121" s="748">
        <f>100*((B121/B120)-1)</f>
        <v>0</v>
      </c>
      <c r="E121" s="748">
        <f t="shared" si="28"/>
        <v>16.15553567070689</v>
      </c>
      <c r="F121" s="748">
        <f t="shared" ref="F121:F128" si="30">100*((B121/B109)-1)</f>
        <v>16.15553567070689</v>
      </c>
      <c r="G121" s="839">
        <f t="shared" si="20"/>
        <v>25.056927658083715</v>
      </c>
      <c r="H121" s="848">
        <f>$B$323/B121</f>
        <v>4.1833159091486056</v>
      </c>
    </row>
    <row r="122" spans="1:9" ht="15" hidden="1" customHeight="1" thickBot="1">
      <c r="A122" s="973" t="s">
        <v>399</v>
      </c>
      <c r="B122" s="748">
        <f>+geral!K247</f>
        <v>142.79</v>
      </c>
      <c r="C122" s="748">
        <f t="shared" si="16"/>
        <v>586.40657084188911</v>
      </c>
      <c r="D122" s="748">
        <f t="shared" si="29"/>
        <v>0</v>
      </c>
      <c r="E122" s="748">
        <f t="shared" ref="E122:E127" si="31">100*((B122/$B$121)-1)</f>
        <v>0</v>
      </c>
      <c r="F122" s="748">
        <f t="shared" si="30"/>
        <v>16.15553567070689</v>
      </c>
      <c r="G122" s="839">
        <f t="shared" ref="G122:G128" si="32">100*(B122/B98-1)</f>
        <v>25.056927658083715</v>
      </c>
      <c r="H122" s="848">
        <f>$B$323/B122</f>
        <v>4.1833159091486056</v>
      </c>
    </row>
    <row r="123" spans="1:9" ht="15" hidden="1" customHeight="1" thickBot="1">
      <c r="A123" s="973" t="s">
        <v>400</v>
      </c>
      <c r="B123" s="748">
        <f>+geral!K248</f>
        <v>145.21</v>
      </c>
      <c r="C123" s="748">
        <f t="shared" si="16"/>
        <v>596.34496919917865</v>
      </c>
      <c r="D123" s="748">
        <f t="shared" ref="D123:D128" si="33">100*((B123/B122)-1)</f>
        <v>1.6947965543805621</v>
      </c>
      <c r="E123" s="748">
        <f t="shared" si="31"/>
        <v>1.6947965543805621</v>
      </c>
      <c r="F123" s="748">
        <f t="shared" si="30"/>
        <v>16.916264090177147</v>
      </c>
      <c r="G123" s="839">
        <f t="shared" si="32"/>
        <v>27.142982225724555</v>
      </c>
      <c r="H123" s="848">
        <f>$B$323/B123</f>
        <v>4.1135987787847208</v>
      </c>
      <c r="I123" s="799"/>
    </row>
    <row r="124" spans="1:9" ht="15" hidden="1" customHeight="1" thickBot="1">
      <c r="A124" s="973" t="s">
        <v>401</v>
      </c>
      <c r="B124" s="748">
        <f>+geral!K249</f>
        <v>145.66999999999999</v>
      </c>
      <c r="C124" s="748">
        <f t="shared" si="16"/>
        <v>598.23408624229967</v>
      </c>
      <c r="D124" s="748">
        <f t="shared" si="33"/>
        <v>0.31678259073064652</v>
      </c>
      <c r="E124" s="748">
        <f t="shared" si="31"/>
        <v>2.0169479655437916</v>
      </c>
      <c r="F124" s="748">
        <f t="shared" si="30"/>
        <v>16.919495946705187</v>
      </c>
      <c r="G124" s="839">
        <f t="shared" si="32"/>
        <v>27.545749058751422</v>
      </c>
      <c r="H124" s="848">
        <f>$B$323/B124</f>
        <v>4.1006087641060578</v>
      </c>
    </row>
    <row r="125" spans="1:9" ht="15" hidden="1" customHeight="1" thickBot="1">
      <c r="A125" s="973" t="s">
        <v>402</v>
      </c>
      <c r="B125" s="748">
        <f>+geral!K250</f>
        <v>145.66999999999999</v>
      </c>
      <c r="C125" s="748">
        <f t="shared" si="16"/>
        <v>598.23408624229967</v>
      </c>
      <c r="D125" s="748">
        <f t="shared" si="33"/>
        <v>0</v>
      </c>
      <c r="E125" s="748">
        <f t="shared" si="31"/>
        <v>2.0169479655437916</v>
      </c>
      <c r="F125" s="748">
        <f t="shared" si="30"/>
        <v>16.919495946705187</v>
      </c>
      <c r="G125" s="839">
        <f t="shared" si="32"/>
        <v>27.545749058751422</v>
      </c>
      <c r="H125" s="848">
        <f>$B$323/B125</f>
        <v>4.1006087641060578</v>
      </c>
    </row>
    <row r="126" spans="1:9" ht="15" hidden="1" customHeight="1" thickBot="1">
      <c r="A126" s="973" t="s">
        <v>403</v>
      </c>
      <c r="B126" s="748">
        <f>+geral!K251</f>
        <v>149.38</v>
      </c>
      <c r="C126" s="748">
        <f t="shared" si="16"/>
        <v>613.47022587268987</v>
      </c>
      <c r="D126" s="748">
        <f>100*((B126/B125)-1)</f>
        <v>2.5468524747717547</v>
      </c>
      <c r="E126" s="748">
        <f t="shared" si="31"/>
        <v>4.6151691294908703</v>
      </c>
      <c r="F126" s="748">
        <f t="shared" si="30"/>
        <v>16.321445257748014</v>
      </c>
      <c r="G126" s="839">
        <f t="shared" si="32"/>
        <v>26.5610438024231</v>
      </c>
      <c r="H126" s="848">
        <f>$B$323/B126</f>
        <v>3.9987660909581564</v>
      </c>
    </row>
    <row r="127" spans="1:9" ht="15" hidden="1" customHeight="1" thickBot="1">
      <c r="A127" s="973" t="s">
        <v>404</v>
      </c>
      <c r="B127" s="748">
        <f>+geral!K252</f>
        <v>149.38</v>
      </c>
      <c r="C127" s="748">
        <f t="shared" si="16"/>
        <v>613.47022587268987</v>
      </c>
      <c r="D127" s="748">
        <f t="shared" si="33"/>
        <v>0</v>
      </c>
      <c r="E127" s="748">
        <f t="shared" si="31"/>
        <v>4.6151691294908703</v>
      </c>
      <c r="F127" s="748">
        <f t="shared" si="30"/>
        <v>16.321445257748014</v>
      </c>
      <c r="G127" s="839">
        <f t="shared" si="32"/>
        <v>26.5610438024231</v>
      </c>
      <c r="H127" s="848">
        <f>$B$323/B127</f>
        <v>3.9987660909581564</v>
      </c>
    </row>
    <row r="128" spans="1:9" ht="15" hidden="1" customHeight="1" thickBot="1">
      <c r="A128" s="973" t="s">
        <v>405</v>
      </c>
      <c r="B128" s="748">
        <f>+geral!K253</f>
        <v>154.44</v>
      </c>
      <c r="C128" s="748">
        <f t="shared" si="16"/>
        <v>634.25051334702255</v>
      </c>
      <c r="D128" s="748">
        <f t="shared" si="33"/>
        <v>3.3873343151693769</v>
      </c>
      <c r="E128" s="748">
        <f>100*((B128/$B$121)-1)</f>
        <v>8.158834652286572</v>
      </c>
      <c r="F128" s="748">
        <f t="shared" si="30"/>
        <v>9.1525902890663637</v>
      </c>
      <c r="G128" s="839">
        <f t="shared" si="32"/>
        <v>26.032315978456012</v>
      </c>
      <c r="H128" s="848">
        <f>$B$323/B128</f>
        <v>3.8677523871233448</v>
      </c>
    </row>
    <row r="129" spans="1:8" ht="15" hidden="1" customHeight="1" thickBot="1">
      <c r="A129" s="747">
        <v>38169</v>
      </c>
      <c r="B129" s="748">
        <f>+geral!C269</f>
        <v>249.1</v>
      </c>
      <c r="C129" s="1478" t="s">
        <v>182</v>
      </c>
      <c r="D129" s="1479"/>
      <c r="E129" s="800">
        <f>+B128/B129</f>
        <v>0.61999197109594539</v>
      </c>
      <c r="F129" s="748"/>
      <c r="G129" s="839"/>
      <c r="H129" s="848">
        <f>$B$323/B129</f>
        <v>2.3979754262036508</v>
      </c>
    </row>
    <row r="130" spans="1:8" ht="15" hidden="1" customHeight="1" thickBot="1">
      <c r="A130" s="973" t="s">
        <v>406</v>
      </c>
      <c r="B130" s="748">
        <f>+geral!C270</f>
        <v>253.09</v>
      </c>
      <c r="C130" s="748">
        <f t="shared" ref="C130:C161" si="34">100*B130*E$129/$B$9</f>
        <v>644.40972470091504</v>
      </c>
      <c r="D130" s="748">
        <f t="shared" ref="D130:D135" si="35">100*(B130/B129-1)</f>
        <v>1.6017663588920206</v>
      </c>
      <c r="E130" s="748">
        <f>100*((B130*E$129/$B$121)-1)</f>
        <v>9.891286479916527</v>
      </c>
      <c r="F130" s="748">
        <f t="shared" ref="F130:F140" si="36">100*((B130*E$129/B117)-1)</f>
        <v>10.362757043657901</v>
      </c>
      <c r="G130" s="839">
        <f t="shared" ref="G130:G153" si="37">100*(B130*E$129/B105-1)</f>
        <v>28.051059217131382</v>
      </c>
      <c r="H130" s="848">
        <f>$B$323/B130</f>
        <v>2.3601710010957735</v>
      </c>
    </row>
    <row r="131" spans="1:8" ht="15" hidden="1" customHeight="1" thickBot="1">
      <c r="A131" s="973" t="s">
        <v>407</v>
      </c>
      <c r="B131" s="748">
        <f>+geral!C271</f>
        <v>262.70999999999998</v>
      </c>
      <c r="C131" s="748">
        <f t="shared" si="34"/>
        <v>668.90386335365827</v>
      </c>
      <c r="D131" s="748">
        <f t="shared" si="35"/>
        <v>3.8010194002133568</v>
      </c>
      <c r="E131" s="748">
        <f>100*((B131*E$129/$B$121)-1)</f>
        <v>14.068275598162195</v>
      </c>
      <c r="F131" s="748">
        <f t="shared" si="36"/>
        <v>14.436935801739459</v>
      </c>
      <c r="G131" s="839">
        <f t="shared" si="37"/>
        <v>32.918304820153253</v>
      </c>
      <c r="H131" s="848">
        <f>$B$323/B131</f>
        <v>2.273745493766242</v>
      </c>
    </row>
    <row r="132" spans="1:8" ht="15" hidden="1" customHeight="1" thickBot="1">
      <c r="A132" s="973" t="s">
        <v>408</v>
      </c>
      <c r="B132" s="748">
        <f>+geral!C272</f>
        <v>253.17</v>
      </c>
      <c r="C132" s="748">
        <f t="shared" si="34"/>
        <v>644.61341816164474</v>
      </c>
      <c r="D132" s="748">
        <f t="shared" si="35"/>
        <v>-3.631380609797874</v>
      </c>
      <c r="E132" s="748">
        <f>100*((B132*E$129/$B$121)-1)</f>
        <v>9.926022356159736</v>
      </c>
      <c r="F132" s="748">
        <f t="shared" si="36"/>
        <v>9.926022356159736</v>
      </c>
      <c r="G132" s="839">
        <f t="shared" si="37"/>
        <v>27.685160109298359</v>
      </c>
      <c r="H132" s="848">
        <f>$B$323/B132</f>
        <v>2.3594252030940845</v>
      </c>
    </row>
    <row r="133" spans="1:8" ht="15" hidden="1" customHeight="1" thickBot="1">
      <c r="A133" s="973" t="s">
        <v>409</v>
      </c>
      <c r="B133" s="748">
        <f>+geral!C273</f>
        <v>253.17</v>
      </c>
      <c r="C133" s="748">
        <f t="shared" si="34"/>
        <v>644.61341816164474</v>
      </c>
      <c r="D133" s="748">
        <f t="shared" si="35"/>
        <v>0</v>
      </c>
      <c r="E133" s="748">
        <f>100*((B133*E$129/$B$121)-1)</f>
        <v>9.926022356159736</v>
      </c>
      <c r="F133" s="748">
        <f t="shared" si="36"/>
        <v>9.926022356159736</v>
      </c>
      <c r="G133" s="839">
        <f t="shared" si="37"/>
        <v>27.685160109298359</v>
      </c>
      <c r="H133" s="848">
        <f>$B$323/B133</f>
        <v>2.3594252030940845</v>
      </c>
    </row>
    <row r="134" spans="1:8" ht="15" hidden="1" customHeight="1" thickBot="1">
      <c r="A134" s="973" t="s">
        <v>410</v>
      </c>
      <c r="B134" s="748">
        <f>+geral!C274</f>
        <v>255.41</v>
      </c>
      <c r="C134" s="748">
        <f t="shared" si="34"/>
        <v>650.3168350620756</v>
      </c>
      <c r="D134" s="748">
        <f t="shared" si="35"/>
        <v>0.88478097720898763</v>
      </c>
      <c r="E134" s="748">
        <f>100*((B134*E$129/$B$121)-1)</f>
        <v>10.898626890969542</v>
      </c>
      <c r="F134" s="748">
        <f t="shared" si="36"/>
        <v>10.898626890969542</v>
      </c>
      <c r="G134" s="839">
        <f t="shared" si="37"/>
        <v>28.81489411666427</v>
      </c>
      <c r="H134" s="848">
        <f>$B$323/B134</f>
        <v>2.3387325424506846</v>
      </c>
    </row>
    <row r="135" spans="1:8" ht="15" hidden="1" customHeight="1" thickBot="1">
      <c r="A135" s="973" t="s">
        <v>411</v>
      </c>
      <c r="B135" s="748">
        <f>+geral!E263</f>
        <v>255.41</v>
      </c>
      <c r="C135" s="748">
        <f t="shared" si="34"/>
        <v>650.3168350620756</v>
      </c>
      <c r="D135" s="748">
        <f t="shared" si="35"/>
        <v>0</v>
      </c>
      <c r="E135" s="748">
        <f t="shared" ref="E135:E140" si="38">100*((B135/$B$134)-1)</f>
        <v>0</v>
      </c>
      <c r="F135" s="748">
        <f t="shared" si="36"/>
        <v>10.898626890969542</v>
      </c>
      <c r="G135" s="839">
        <f t="shared" si="37"/>
        <v>28.81489411666427</v>
      </c>
      <c r="H135" s="848">
        <f>$B$323/B135</f>
        <v>2.3387325424506846</v>
      </c>
    </row>
    <row r="136" spans="1:8" ht="15" hidden="1" customHeight="1" thickBot="1">
      <c r="A136" s="973" t="s">
        <v>412</v>
      </c>
      <c r="B136" s="748">
        <f>+geral!E264</f>
        <v>255.41</v>
      </c>
      <c r="C136" s="748">
        <f t="shared" si="34"/>
        <v>650.3168350620756</v>
      </c>
      <c r="D136" s="748">
        <f t="shared" ref="D136:D141" si="39">100*(B136/B135-1)</f>
        <v>0</v>
      </c>
      <c r="E136" s="748">
        <f t="shared" si="38"/>
        <v>0</v>
      </c>
      <c r="F136" s="748">
        <f t="shared" si="36"/>
        <v>9.0504437281284886</v>
      </c>
      <c r="G136" s="839">
        <f t="shared" si="37"/>
        <v>27.497704780688736</v>
      </c>
      <c r="H136" s="848">
        <f>$B$323/B136</f>
        <v>2.3387325424506846</v>
      </c>
    </row>
    <row r="137" spans="1:8" ht="15" hidden="1" customHeight="1" thickBot="1">
      <c r="A137" s="973" t="s">
        <v>413</v>
      </c>
      <c r="B137" s="748">
        <f>+geral!E265</f>
        <v>265.35000000000002</v>
      </c>
      <c r="C137" s="748">
        <f t="shared" si="34"/>
        <v>675.62574755773755</v>
      </c>
      <c r="D137" s="748">
        <f t="shared" si="39"/>
        <v>3.8917818409615945</v>
      </c>
      <c r="E137" s="748">
        <f t="shared" si="38"/>
        <v>3.8917818409615945</v>
      </c>
      <c r="F137" s="748">
        <f t="shared" si="36"/>
        <v>12.936685336932197</v>
      </c>
      <c r="G137" s="839">
        <f t="shared" si="37"/>
        <v>32.045003234857617</v>
      </c>
      <c r="H137" s="848">
        <f>$B$323/B137</f>
        <v>2.2511237183618968</v>
      </c>
    </row>
    <row r="138" spans="1:8" ht="15" hidden="1" customHeight="1" thickBot="1">
      <c r="A138" s="973" t="s">
        <v>414</v>
      </c>
      <c r="B138" s="748">
        <f>+geral!E266</f>
        <v>255.41</v>
      </c>
      <c r="C138" s="748">
        <f t="shared" si="34"/>
        <v>650.3168350620756</v>
      </c>
      <c r="D138" s="748">
        <f t="shared" si="39"/>
        <v>-3.7459958545317584</v>
      </c>
      <c r="E138" s="748">
        <f t="shared" si="38"/>
        <v>0</v>
      </c>
      <c r="F138" s="748">
        <f t="shared" si="36"/>
        <v>8.7060817859651465</v>
      </c>
      <c r="G138" s="839">
        <f t="shared" si="37"/>
        <v>27.098602887563516</v>
      </c>
      <c r="H138" s="848">
        <f>$B$323/B138</f>
        <v>2.3387325424506846</v>
      </c>
    </row>
    <row r="139" spans="1:8" ht="15" hidden="1" customHeight="1" thickBot="1">
      <c r="A139" s="973" t="s">
        <v>415</v>
      </c>
      <c r="B139" s="748">
        <f>+geral!E267</f>
        <v>267.8</v>
      </c>
      <c r="C139" s="748">
        <f t="shared" si="34"/>
        <v>681.86385979258387</v>
      </c>
      <c r="D139" s="748">
        <f t="shared" si="39"/>
        <v>4.8510238440155007</v>
      </c>
      <c r="E139" s="748">
        <f t="shared" si="38"/>
        <v>4.8510238440155007</v>
      </c>
      <c r="F139" s="748">
        <f t="shared" si="36"/>
        <v>11.14864764994925</v>
      </c>
      <c r="G139" s="839">
        <f t="shared" si="37"/>
        <v>29.289713330862945</v>
      </c>
      <c r="H139" s="848">
        <f>$B$323/B139</f>
        <v>2.2305290465546279</v>
      </c>
    </row>
    <row r="140" spans="1:8" ht="15" hidden="1" customHeight="1" thickBot="1">
      <c r="A140" s="973" t="s">
        <v>416</v>
      </c>
      <c r="B140" s="748">
        <f>+geral!E268</f>
        <v>267.8</v>
      </c>
      <c r="C140" s="748">
        <f t="shared" si="34"/>
        <v>681.86385979258387</v>
      </c>
      <c r="D140" s="748">
        <f t="shared" si="39"/>
        <v>0</v>
      </c>
      <c r="E140" s="748">
        <f t="shared" si="38"/>
        <v>4.8510238440155007</v>
      </c>
      <c r="F140" s="748">
        <f t="shared" si="36"/>
        <v>11.14864764994925</v>
      </c>
      <c r="G140" s="839">
        <f t="shared" si="37"/>
        <v>29.289713330862945</v>
      </c>
      <c r="H140" s="848">
        <f>$B$323/B140</f>
        <v>2.2305290465546279</v>
      </c>
    </row>
    <row r="141" spans="1:8" ht="15" hidden="1" customHeight="1" thickBot="1">
      <c r="A141" s="973" t="s">
        <v>417</v>
      </c>
      <c r="B141" s="748">
        <f>+geral!E269</f>
        <v>275.13</v>
      </c>
      <c r="C141" s="748">
        <f t="shared" si="34"/>
        <v>700.52727313194032</v>
      </c>
      <c r="D141" s="748">
        <f t="shared" si="39"/>
        <v>2.7371172516803544</v>
      </c>
      <c r="E141" s="748">
        <f t="shared" ref="E141:E146" si="40">100*((B141/$B$134)-1)</f>
        <v>7.7209193062135473</v>
      </c>
      <c r="F141" s="748">
        <f>100*((B141/B128)-1)</f>
        <v>78.146853146853147</v>
      </c>
      <c r="G141" s="839">
        <f t="shared" si="37"/>
        <v>20.558619695828284</v>
      </c>
      <c r="H141" s="848">
        <f>$B$323/B141</f>
        <v>2.1711034008189922</v>
      </c>
    </row>
    <row r="142" spans="1:8" ht="15" hidden="1" customHeight="1" thickBot="1">
      <c r="A142" s="973" t="s">
        <v>418</v>
      </c>
      <c r="B142" s="748">
        <f>+geral!E270</f>
        <v>275.13</v>
      </c>
      <c r="C142" s="748">
        <f t="shared" si="34"/>
        <v>700.52727313194032</v>
      </c>
      <c r="D142" s="748">
        <f t="shared" ref="D142:D147" si="41">100*(B142/B141-1)</f>
        <v>0</v>
      </c>
      <c r="E142" s="748">
        <f t="shared" si="40"/>
        <v>7.7209193062135473</v>
      </c>
      <c r="F142" s="748">
        <f t="shared" ref="F142:F147" si="42">100*((B142/B130)-1)</f>
        <v>8.7083646133786274</v>
      </c>
      <c r="G142" s="839">
        <f t="shared" si="37"/>
        <v>19.973548324396862</v>
      </c>
      <c r="H142" s="848">
        <f>$B$323/B142</f>
        <v>2.1711034008189922</v>
      </c>
    </row>
    <row r="143" spans="1:8" ht="15" hidden="1" customHeight="1" thickBot="1">
      <c r="A143" s="973" t="s">
        <v>419</v>
      </c>
      <c r="B143" s="748">
        <f>+geral!E271</f>
        <v>300.33999999999997</v>
      </c>
      <c r="C143" s="748">
        <f t="shared" si="34"/>
        <v>764.71617494437874</v>
      </c>
      <c r="D143" s="748">
        <f t="shared" si="41"/>
        <v>9.1629411550903086</v>
      </c>
      <c r="E143" s="748">
        <f t="shared" si="40"/>
        <v>17.591323753964218</v>
      </c>
      <c r="F143" s="748">
        <f t="shared" si="42"/>
        <v>14.323779071980503</v>
      </c>
      <c r="G143" s="839">
        <f t="shared" si="37"/>
        <v>30.828629662724794</v>
      </c>
      <c r="H143" s="848">
        <f>$B$323/B143</f>
        <v>1.9888648820248034</v>
      </c>
    </row>
    <row r="144" spans="1:8" ht="15" hidden="1" customHeight="1" thickBot="1">
      <c r="A144" s="973" t="s">
        <v>420</v>
      </c>
      <c r="B144" s="748">
        <f>+geral!E272</f>
        <v>265.93</v>
      </c>
      <c r="C144" s="748">
        <f t="shared" si="34"/>
        <v>677.10252514802767</v>
      </c>
      <c r="D144" s="748">
        <f t="shared" si="41"/>
        <v>-11.457015382566416</v>
      </c>
      <c r="E144" s="748">
        <f t="shared" si="40"/>
        <v>4.118867702909057</v>
      </c>
      <c r="F144" s="748">
        <f t="shared" si="42"/>
        <v>5.0400916380297867</v>
      </c>
      <c r="G144" s="839">
        <f t="shared" si="37"/>
        <v>15.466394616951295</v>
      </c>
      <c r="H144" s="848">
        <f>$B$323/B144</f>
        <v>2.246213961069941</v>
      </c>
    </row>
    <row r="145" spans="1:8" ht="15" hidden="1" customHeight="1" thickBot="1">
      <c r="A145" s="973" t="s">
        <v>421</v>
      </c>
      <c r="B145" s="748">
        <f>+geral!E273</f>
        <v>270.11</v>
      </c>
      <c r="C145" s="748">
        <f t="shared" si="34"/>
        <v>687.74550847115324</v>
      </c>
      <c r="D145" s="748">
        <f t="shared" si="41"/>
        <v>1.5718422141165034</v>
      </c>
      <c r="E145" s="748">
        <f t="shared" si="40"/>
        <v>5.7554520183234814</v>
      </c>
      <c r="F145" s="748">
        <f t="shared" si="42"/>
        <v>6.6911561401429953</v>
      </c>
      <c r="G145" s="839">
        <f t="shared" si="37"/>
        <v>17.281344150658896</v>
      </c>
      <c r="H145" s="848">
        <f>$B$323/B145</f>
        <v>2.2114534029370603</v>
      </c>
    </row>
    <row r="146" spans="1:8" ht="15" hidden="1" customHeight="1" thickBot="1">
      <c r="A146" s="973" t="s">
        <v>422</v>
      </c>
      <c r="B146" s="748">
        <f>+geral!E274</f>
        <v>270.11</v>
      </c>
      <c r="C146" s="748">
        <f t="shared" si="34"/>
        <v>687.74550847115324</v>
      </c>
      <c r="D146" s="748">
        <f t="shared" si="41"/>
        <v>0</v>
      </c>
      <c r="E146" s="748">
        <f t="shared" si="40"/>
        <v>5.7554520183234814</v>
      </c>
      <c r="F146" s="748">
        <f t="shared" si="42"/>
        <v>5.7554520183234814</v>
      </c>
      <c r="G146" s="839">
        <f t="shared" si="37"/>
        <v>17.281344150658896</v>
      </c>
      <c r="H146" s="848">
        <f>$B$323/B146</f>
        <v>2.2114534029370603</v>
      </c>
    </row>
    <row r="147" spans="1:8" ht="15" hidden="1" customHeight="1" thickBot="1">
      <c r="A147" s="973" t="s">
        <v>423</v>
      </c>
      <c r="B147" s="748">
        <f>geral!G263</f>
        <v>270.11</v>
      </c>
      <c r="C147" s="748">
        <f t="shared" si="34"/>
        <v>687.74550847115324</v>
      </c>
      <c r="D147" s="748">
        <f t="shared" si="41"/>
        <v>0</v>
      </c>
      <c r="E147" s="748">
        <f t="shared" ref="E147:E152" si="43">100*((B147/$B$146)-1)</f>
        <v>0</v>
      </c>
      <c r="F147" s="748">
        <f t="shared" si="42"/>
        <v>5.7554520183234814</v>
      </c>
      <c r="G147" s="839">
        <f t="shared" si="37"/>
        <v>17.281344150658896</v>
      </c>
      <c r="H147" s="848">
        <f>$B$323/B147</f>
        <v>2.2114534029370603</v>
      </c>
    </row>
    <row r="148" spans="1:8" ht="15" hidden="1" customHeight="1" thickBot="1">
      <c r="A148" s="973" t="s">
        <v>424</v>
      </c>
      <c r="B148" s="748">
        <f>geral!G264</f>
        <v>270.11</v>
      </c>
      <c r="C148" s="748">
        <f t="shared" si="34"/>
        <v>687.74550847115324</v>
      </c>
      <c r="D148" s="748">
        <f t="shared" ref="D148:D153" si="44">100*(B148/B147-1)</f>
        <v>0</v>
      </c>
      <c r="E148" s="748">
        <f t="shared" si="43"/>
        <v>0</v>
      </c>
      <c r="F148" s="748">
        <f t="shared" ref="F148:F153" si="45">100*((B148/B136)-1)</f>
        <v>5.7554520183234814</v>
      </c>
      <c r="G148" s="839">
        <f t="shared" si="37"/>
        <v>15.326789692669784</v>
      </c>
      <c r="H148" s="848">
        <f>$B$323/B148</f>
        <v>2.2114534029370603</v>
      </c>
    </row>
    <row r="149" spans="1:8" ht="15" hidden="1" customHeight="1" thickBot="1">
      <c r="A149" s="973" t="s">
        <v>425</v>
      </c>
      <c r="B149" s="748">
        <f>geral!G265</f>
        <v>270.11</v>
      </c>
      <c r="C149" s="748">
        <f t="shared" si="34"/>
        <v>687.74550847115324</v>
      </c>
      <c r="D149" s="748">
        <f t="shared" si="44"/>
        <v>0</v>
      </c>
      <c r="E149" s="748">
        <f t="shared" si="43"/>
        <v>0</v>
      </c>
      <c r="F149" s="748">
        <f t="shared" si="45"/>
        <v>1.7938571697757588</v>
      </c>
      <c r="G149" s="839">
        <f t="shared" si="37"/>
        <v>14.962608164155844</v>
      </c>
      <c r="H149" s="848">
        <f>$B$323/B149</f>
        <v>2.2114534029370603</v>
      </c>
    </row>
    <row r="150" spans="1:8" ht="15" hidden="1" customHeight="1" thickBot="1">
      <c r="A150" s="973" t="s">
        <v>426</v>
      </c>
      <c r="B150" s="748">
        <f>geral!G266</f>
        <v>270.11</v>
      </c>
      <c r="C150" s="748">
        <f t="shared" si="34"/>
        <v>687.74550847115324</v>
      </c>
      <c r="D150" s="748">
        <f t="shared" si="44"/>
        <v>0</v>
      </c>
      <c r="E150" s="748">
        <f t="shared" si="43"/>
        <v>0</v>
      </c>
      <c r="F150" s="748">
        <f t="shared" si="45"/>
        <v>5.7554520183234814</v>
      </c>
      <c r="G150" s="839">
        <f t="shared" si="37"/>
        <v>14.962608164155844</v>
      </c>
      <c r="H150" s="848">
        <f>$B$323/B150</f>
        <v>2.2114534029370603</v>
      </c>
    </row>
    <row r="151" spans="1:8" ht="15" hidden="1" customHeight="1" thickBot="1">
      <c r="A151" s="973" t="s">
        <v>427</v>
      </c>
      <c r="B151" s="748">
        <f>geral!G267</f>
        <v>277.64999999999998</v>
      </c>
      <c r="C151" s="748">
        <f t="shared" si="34"/>
        <v>706.94361714492481</v>
      </c>
      <c r="D151" s="748">
        <f t="shared" si="44"/>
        <v>2.7914553330124603</v>
      </c>
      <c r="E151" s="748">
        <f t="shared" si="43"/>
        <v>2.7914553330124603</v>
      </c>
      <c r="F151" s="748">
        <f t="shared" si="45"/>
        <v>3.678117998506325</v>
      </c>
      <c r="G151" s="839">
        <f t="shared" si="37"/>
        <v>15.236826064258423</v>
      </c>
      <c r="H151" s="848">
        <f>$B$323/B151</f>
        <v>2.1513980863220943</v>
      </c>
    </row>
    <row r="152" spans="1:8" ht="15" hidden="1" customHeight="1" thickBot="1">
      <c r="A152" s="973" t="s">
        <v>428</v>
      </c>
      <c r="B152" s="748">
        <f>geral!G268</f>
        <v>277.64999999999998</v>
      </c>
      <c r="C152" s="748">
        <f t="shared" si="34"/>
        <v>706.94361714492481</v>
      </c>
      <c r="D152" s="748">
        <f t="shared" si="44"/>
        <v>0</v>
      </c>
      <c r="E152" s="748">
        <f t="shared" si="43"/>
        <v>2.7914553330124603</v>
      </c>
      <c r="F152" s="748">
        <f t="shared" si="45"/>
        <v>3.678117998506325</v>
      </c>
      <c r="G152" s="839">
        <f t="shared" si="37"/>
        <v>15.236826064258423</v>
      </c>
      <c r="H152" s="848">
        <f>$B$323/B152</f>
        <v>2.1513980863220943</v>
      </c>
    </row>
    <row r="153" spans="1:8" ht="15" hidden="1" customHeight="1" thickBot="1">
      <c r="A153" s="973" t="s">
        <v>429</v>
      </c>
      <c r="B153" s="748">
        <f>geral!G269</f>
        <v>279.86</v>
      </c>
      <c r="C153" s="748">
        <f t="shared" si="34"/>
        <v>712.57064899758211</v>
      </c>
      <c r="D153" s="748">
        <f t="shared" si="44"/>
        <v>0.79596614442645208</v>
      </c>
      <c r="E153" s="748">
        <f t="shared" ref="E153:E158" si="46">100*((B153/$B$146)-1)</f>
        <v>3.6096405168264845</v>
      </c>
      <c r="F153" s="748">
        <f t="shared" si="45"/>
        <v>1.719187293279556</v>
      </c>
      <c r="G153" s="839">
        <f t="shared" si="37"/>
        <v>12.348454435969503</v>
      </c>
      <c r="H153" s="848">
        <f>$B$323/B153</f>
        <v>2.1344089139831679</v>
      </c>
    </row>
    <row r="154" spans="1:8" ht="15" hidden="1" customHeight="1" thickBot="1">
      <c r="A154" s="973" t="s">
        <v>430</v>
      </c>
      <c r="B154" s="748">
        <f>geral!G270</f>
        <v>279.86</v>
      </c>
      <c r="C154" s="748">
        <f t="shared" si="34"/>
        <v>712.57064899758211</v>
      </c>
      <c r="D154" s="748">
        <f t="shared" ref="D154:D159" si="47">100*(B154/B153-1)</f>
        <v>0</v>
      </c>
      <c r="E154" s="748">
        <f t="shared" si="46"/>
        <v>3.6096405168264845</v>
      </c>
      <c r="F154" s="748">
        <f t="shared" ref="F154:F159" si="48">100*((B154/B142)-1)</f>
        <v>1.719187293279556</v>
      </c>
      <c r="G154" s="839">
        <f t="shared" ref="G154:G159" si="49">100*(B154/B130-1)</f>
        <v>10.577265004543834</v>
      </c>
      <c r="H154" s="848">
        <f>$B$323/B154</f>
        <v>2.1344089139831679</v>
      </c>
    </row>
    <row r="155" spans="1:8" ht="15" hidden="1" customHeight="1" thickBot="1">
      <c r="A155" s="973" t="s">
        <v>431</v>
      </c>
      <c r="B155" s="748">
        <f>geral!G271</f>
        <v>279.86</v>
      </c>
      <c r="C155" s="748">
        <f t="shared" si="34"/>
        <v>712.57064899758211</v>
      </c>
      <c r="D155" s="748">
        <f t="shared" si="47"/>
        <v>0</v>
      </c>
      <c r="E155" s="748">
        <f t="shared" si="46"/>
        <v>3.6096405168264845</v>
      </c>
      <c r="F155" s="748">
        <f t="shared" si="48"/>
        <v>-6.8189385363254811</v>
      </c>
      <c r="G155" s="839">
        <f t="shared" si="49"/>
        <v>6.5281108446576308</v>
      </c>
      <c r="H155" s="848">
        <f>$B$323/B155</f>
        <v>2.1344089139831679</v>
      </c>
    </row>
    <row r="156" spans="1:8" ht="15" hidden="1" customHeight="1" thickBot="1">
      <c r="A156" s="973" t="s">
        <v>432</v>
      </c>
      <c r="B156" s="748">
        <f>geral!G272</f>
        <v>279.86</v>
      </c>
      <c r="C156" s="748">
        <f t="shared" si="34"/>
        <v>712.57064899758211</v>
      </c>
      <c r="D156" s="748">
        <f t="shared" si="47"/>
        <v>0</v>
      </c>
      <c r="E156" s="748">
        <f t="shared" si="46"/>
        <v>3.6096405168264845</v>
      </c>
      <c r="F156" s="748">
        <f t="shared" si="48"/>
        <v>5.238220584364317</v>
      </c>
      <c r="G156" s="839">
        <f t="shared" si="49"/>
        <v>10.54232334004821</v>
      </c>
      <c r="H156" s="848">
        <f>$B$323/B156</f>
        <v>2.1344089139831679</v>
      </c>
    </row>
    <row r="157" spans="1:8" ht="15" hidden="1" customHeight="1" thickBot="1">
      <c r="A157" s="973" t="s">
        <v>433</v>
      </c>
      <c r="B157" s="748">
        <f>geral!G273</f>
        <v>279.86</v>
      </c>
      <c r="C157" s="748">
        <f t="shared" si="34"/>
        <v>712.57064899758211</v>
      </c>
      <c r="D157" s="748">
        <f t="shared" si="47"/>
        <v>0</v>
      </c>
      <c r="E157" s="748">
        <f t="shared" si="46"/>
        <v>3.6096405168264845</v>
      </c>
      <c r="F157" s="748">
        <f t="shared" si="48"/>
        <v>3.6096405168264845</v>
      </c>
      <c r="G157" s="839">
        <f t="shared" si="49"/>
        <v>10.54232334004821</v>
      </c>
      <c r="H157" s="848">
        <f>$B$323/B157</f>
        <v>2.1344089139831679</v>
      </c>
    </row>
    <row r="158" spans="1:8" ht="15" hidden="1" customHeight="1" thickBot="1">
      <c r="A158" s="973" t="s">
        <v>434</v>
      </c>
      <c r="B158" s="748">
        <f>geral!G274</f>
        <v>279.86</v>
      </c>
      <c r="C158" s="748">
        <f t="shared" si="34"/>
        <v>712.57064899758211</v>
      </c>
      <c r="D158" s="748">
        <f t="shared" si="47"/>
        <v>0</v>
      </c>
      <c r="E158" s="748">
        <f t="shared" si="46"/>
        <v>3.6096405168264845</v>
      </c>
      <c r="F158" s="748">
        <f t="shared" si="48"/>
        <v>3.6096405168264845</v>
      </c>
      <c r="G158" s="839">
        <f t="shared" si="49"/>
        <v>9.5728436631298699</v>
      </c>
      <c r="H158" s="848">
        <f>$B$323/B158</f>
        <v>2.1344089139831679</v>
      </c>
    </row>
    <row r="159" spans="1:8" ht="15" hidden="1" customHeight="1" thickBot="1">
      <c r="A159" s="973" t="s">
        <v>435</v>
      </c>
      <c r="B159" s="748">
        <f>geral!I263</f>
        <v>279.86</v>
      </c>
      <c r="C159" s="748">
        <f t="shared" si="34"/>
        <v>712.57064899758211</v>
      </c>
      <c r="D159" s="748">
        <f t="shared" si="47"/>
        <v>0</v>
      </c>
      <c r="E159" s="748">
        <f t="shared" ref="E159:E164" si="50">100*((B159/$B$158)-1)</f>
        <v>0</v>
      </c>
      <c r="F159" s="748">
        <f t="shared" si="48"/>
        <v>3.6096405168264845</v>
      </c>
      <c r="G159" s="839">
        <f t="shared" si="49"/>
        <v>9.5728436631298699</v>
      </c>
      <c r="H159" s="848">
        <f>$B$323/B159</f>
        <v>2.1344089139831679</v>
      </c>
    </row>
    <row r="160" spans="1:8" ht="15" hidden="1" customHeight="1" thickBot="1">
      <c r="A160" s="973" t="s">
        <v>436</v>
      </c>
      <c r="B160" s="748">
        <f>geral!I264</f>
        <v>279.86</v>
      </c>
      <c r="C160" s="748">
        <f t="shared" si="34"/>
        <v>712.57064899758211</v>
      </c>
      <c r="D160" s="748">
        <f t="shared" ref="D160:D170" si="51">100*(B160/B159-1)</f>
        <v>0</v>
      </c>
      <c r="E160" s="748">
        <f t="shared" si="50"/>
        <v>0</v>
      </c>
      <c r="F160" s="748">
        <f t="shared" ref="F160:F170" si="52">100*((B160/B148)-1)</f>
        <v>3.6096405168264845</v>
      </c>
      <c r="G160" s="839">
        <f t="shared" ref="G160:G170" si="53">100*(B160/B136-1)</f>
        <v>9.5728436631298699</v>
      </c>
      <c r="H160" s="848">
        <f>$B$323/B160</f>
        <v>2.1344089139831679</v>
      </c>
    </row>
    <row r="161" spans="1:10" ht="15" hidden="1" customHeight="1" thickBot="1">
      <c r="A161" s="973" t="s">
        <v>437</v>
      </c>
      <c r="B161" s="748">
        <f>geral!I265</f>
        <v>279.86</v>
      </c>
      <c r="C161" s="748">
        <f t="shared" si="34"/>
        <v>712.57064899758211</v>
      </c>
      <c r="D161" s="748">
        <f t="shared" si="51"/>
        <v>0</v>
      </c>
      <c r="E161" s="748">
        <f t="shared" si="50"/>
        <v>0</v>
      </c>
      <c r="F161" s="748">
        <f t="shared" si="52"/>
        <v>3.6096405168264845</v>
      </c>
      <c r="G161" s="839">
        <f t="shared" si="53"/>
        <v>5.4682494818164562</v>
      </c>
      <c r="H161" s="848">
        <f>$B$323/B161</f>
        <v>2.1344089139831679</v>
      </c>
    </row>
    <row r="162" spans="1:10" ht="15" hidden="1" customHeight="1" thickBot="1">
      <c r="A162" s="973" t="s">
        <v>438</v>
      </c>
      <c r="B162" s="748">
        <f>geral!I266</f>
        <v>279.86</v>
      </c>
      <c r="C162" s="748">
        <f t="shared" ref="C162:C193" si="54">100*B162*E$129/$B$9</f>
        <v>712.57064899758211</v>
      </c>
      <c r="D162" s="748">
        <f t="shared" si="51"/>
        <v>0</v>
      </c>
      <c r="E162" s="748">
        <f t="shared" si="50"/>
        <v>0</v>
      </c>
      <c r="F162" s="748">
        <f t="shared" si="52"/>
        <v>3.6096405168264845</v>
      </c>
      <c r="G162" s="839">
        <f t="shared" si="53"/>
        <v>9.5728436631298699</v>
      </c>
      <c r="H162" s="848">
        <f>$B$323/B162</f>
        <v>2.1344089139831679</v>
      </c>
    </row>
    <row r="163" spans="1:10" ht="15" hidden="1" customHeight="1" thickBot="1">
      <c r="A163" s="973" t="s">
        <v>439</v>
      </c>
      <c r="B163" s="748">
        <f>geral!I267</f>
        <v>285.89</v>
      </c>
      <c r="C163" s="748">
        <f t="shared" si="54"/>
        <v>727.92404360008129</v>
      </c>
      <c r="D163" s="748">
        <f t="shared" si="51"/>
        <v>2.1546487529478853</v>
      </c>
      <c r="E163" s="748">
        <f t="shared" si="50"/>
        <v>2.1546487529478853</v>
      </c>
      <c r="F163" s="748">
        <f t="shared" si="52"/>
        <v>2.9677651719791198</v>
      </c>
      <c r="G163" s="839">
        <f t="shared" si="53"/>
        <v>6.7550410754294132</v>
      </c>
      <c r="H163" s="848">
        <f>$B$323/B163</f>
        <v>2.0893899005468168</v>
      </c>
    </row>
    <row r="164" spans="1:10" ht="15" hidden="1" customHeight="1" thickBot="1">
      <c r="A164" s="973" t="s">
        <v>440</v>
      </c>
      <c r="B164" s="748">
        <f>geral!I268</f>
        <v>285.88839999999999</v>
      </c>
      <c r="C164" s="748">
        <f t="shared" si="54"/>
        <v>727.91996973086668</v>
      </c>
      <c r="D164" s="748">
        <f t="shared" si="51"/>
        <v>-5.5965581167161105E-4</v>
      </c>
      <c r="E164" s="748">
        <f t="shared" si="50"/>
        <v>2.154077038519242</v>
      </c>
      <c r="F164" s="748">
        <f t="shared" si="52"/>
        <v>2.967188906897178</v>
      </c>
      <c r="G164" s="839">
        <f t="shared" si="53"/>
        <v>6.7544436146377729</v>
      </c>
      <c r="H164" s="848">
        <f>$B$323/B164</f>
        <v>2.0894015940042667</v>
      </c>
    </row>
    <row r="165" spans="1:10" ht="15" hidden="1" customHeight="1" thickBot="1">
      <c r="A165" s="973" t="s">
        <v>441</v>
      </c>
      <c r="B165" s="748">
        <f>geral!I269</f>
        <v>289.66722102349979</v>
      </c>
      <c r="C165" s="748">
        <f t="shared" si="54"/>
        <v>737.54148387780094</v>
      </c>
      <c r="D165" s="748">
        <f t="shared" si="51"/>
        <v>1.3217818643567858</v>
      </c>
      <c r="E165" s="748">
        <f t="shared" ref="E165:E170" si="55">100*((B165/$B$158)-1)</f>
        <v>3.5043311025154678</v>
      </c>
      <c r="F165" s="748">
        <f t="shared" si="52"/>
        <v>3.5043311025154678</v>
      </c>
      <c r="G165" s="839">
        <f t="shared" si="53"/>
        <v>5.283764410823899</v>
      </c>
      <c r="H165" s="848">
        <f>$B$323/B165</f>
        <v>2.0621445414387063</v>
      </c>
      <c r="I165" s="779" t="s">
        <v>241</v>
      </c>
      <c r="J165" s="780"/>
    </row>
    <row r="166" spans="1:10" ht="15" hidden="1" customHeight="1" thickBot="1">
      <c r="A166" s="973" t="s">
        <v>442</v>
      </c>
      <c r="B166" s="748">
        <f>geral!I270</f>
        <v>289.66722102349979</v>
      </c>
      <c r="C166" s="748">
        <f t="shared" si="54"/>
        <v>737.54148387780094</v>
      </c>
      <c r="D166" s="748">
        <f t="shared" si="51"/>
        <v>0</v>
      </c>
      <c r="E166" s="748">
        <f t="shared" si="55"/>
        <v>3.5043311025154678</v>
      </c>
      <c r="F166" s="748">
        <f t="shared" si="52"/>
        <v>3.5043311025154678</v>
      </c>
      <c r="G166" s="839">
        <f t="shared" si="53"/>
        <v>5.283764410823899</v>
      </c>
      <c r="H166" s="848">
        <f>$B$323/B166</f>
        <v>2.0621445414387063</v>
      </c>
    </row>
    <row r="167" spans="1:10" ht="15" hidden="1" customHeight="1" thickBot="1">
      <c r="A167" s="973" t="s">
        <v>443</v>
      </c>
      <c r="B167" s="748">
        <f>geral!I271</f>
        <v>289.66722102349979</v>
      </c>
      <c r="C167" s="748">
        <f t="shared" si="54"/>
        <v>737.54148387780094</v>
      </c>
      <c r="D167" s="748">
        <f t="shared" si="51"/>
        <v>0</v>
      </c>
      <c r="E167" s="748">
        <f t="shared" si="55"/>
        <v>3.5043311025154678</v>
      </c>
      <c r="F167" s="748">
        <f t="shared" si="52"/>
        <v>3.5043311025154678</v>
      </c>
      <c r="G167" s="839">
        <f t="shared" si="53"/>
        <v>-3.553565617799892</v>
      </c>
      <c r="H167" s="848">
        <f>$B$323/B167</f>
        <v>2.0621445414387063</v>
      </c>
    </row>
    <row r="168" spans="1:10" ht="15" hidden="1" customHeight="1" thickBot="1">
      <c r="A168" s="973" t="s">
        <v>444</v>
      </c>
      <c r="B168" s="748">
        <f>geral!I272</f>
        <v>289.66722102349979</v>
      </c>
      <c r="C168" s="748">
        <f t="shared" si="54"/>
        <v>737.54148387780094</v>
      </c>
      <c r="D168" s="748">
        <f t="shared" si="51"/>
        <v>0</v>
      </c>
      <c r="E168" s="748">
        <f t="shared" si="55"/>
        <v>3.5043311025154678</v>
      </c>
      <c r="F168" s="748">
        <f t="shared" si="52"/>
        <v>3.5043311025154678</v>
      </c>
      <c r="G168" s="839">
        <f t="shared" si="53"/>
        <v>8.9261162800360125</v>
      </c>
      <c r="H168" s="848">
        <f>$B$323/B168</f>
        <v>2.0621445414387063</v>
      </c>
    </row>
    <row r="169" spans="1:10" ht="15" hidden="1" customHeight="1" thickBot="1">
      <c r="A169" s="973" t="s">
        <v>445</v>
      </c>
      <c r="B169" s="748">
        <f>geral!I273</f>
        <v>289.66722102349979</v>
      </c>
      <c r="C169" s="748">
        <f t="shared" si="54"/>
        <v>737.54148387780094</v>
      </c>
      <c r="D169" s="748">
        <f t="shared" si="51"/>
        <v>0</v>
      </c>
      <c r="E169" s="748">
        <f t="shared" si="55"/>
        <v>3.5043311025154678</v>
      </c>
      <c r="F169" s="748">
        <f t="shared" si="52"/>
        <v>3.5043311025154678</v>
      </c>
      <c r="G169" s="839">
        <f t="shared" si="53"/>
        <v>7.2404653746620973</v>
      </c>
      <c r="H169" s="848">
        <f>$B$323/B169</f>
        <v>2.0621445414387063</v>
      </c>
    </row>
    <row r="170" spans="1:10" ht="15" hidden="1" customHeight="1" thickBot="1">
      <c r="A170" s="973" t="s">
        <v>446</v>
      </c>
      <c r="B170" s="748">
        <f>geral!I274</f>
        <v>289.66722102349979</v>
      </c>
      <c r="C170" s="748">
        <f t="shared" si="54"/>
        <v>737.54148387780094</v>
      </c>
      <c r="D170" s="748">
        <f t="shared" si="51"/>
        <v>0</v>
      </c>
      <c r="E170" s="748">
        <f t="shared" si="55"/>
        <v>3.5043311025154678</v>
      </c>
      <c r="F170" s="748">
        <f t="shared" si="52"/>
        <v>3.5043311025154678</v>
      </c>
      <c r="G170" s="839">
        <f t="shared" si="53"/>
        <v>7.2404653746620973</v>
      </c>
      <c r="H170" s="848">
        <f>$B$323/B170</f>
        <v>2.0621445414387063</v>
      </c>
    </row>
    <row r="171" spans="1:10" ht="15" hidden="1" customHeight="1" thickBot="1">
      <c r="A171" s="973" t="s">
        <v>447</v>
      </c>
      <c r="B171" s="748">
        <f>geral!K263</f>
        <v>289.66722102349979</v>
      </c>
      <c r="C171" s="748">
        <f t="shared" si="54"/>
        <v>737.54148387780094</v>
      </c>
      <c r="D171" s="748">
        <f t="shared" ref="D171:D176" si="56">100*(B171/B170-1)</f>
        <v>0</v>
      </c>
      <c r="E171" s="748">
        <f t="shared" ref="E171:E177" si="57">100*((B171/$B$170)-1)</f>
        <v>0</v>
      </c>
      <c r="F171" s="748">
        <f>100*((B171/B159)-1)</f>
        <v>3.5043311025154678</v>
      </c>
      <c r="G171" s="839">
        <f>100*(B171/B147-1)</f>
        <v>7.2404653746620973</v>
      </c>
      <c r="H171" s="848">
        <f>$B$323/B171</f>
        <v>2.0621445414387063</v>
      </c>
    </row>
    <row r="172" spans="1:10" ht="15" hidden="1" customHeight="1" thickBot="1">
      <c r="A172" s="973" t="s">
        <v>448</v>
      </c>
      <c r="B172" s="748">
        <f>geral!K264</f>
        <v>289.66722102349979</v>
      </c>
      <c r="C172" s="748">
        <f t="shared" si="54"/>
        <v>737.54148387780094</v>
      </c>
      <c r="D172" s="748">
        <f t="shared" si="56"/>
        <v>0</v>
      </c>
      <c r="E172" s="748">
        <f t="shared" si="57"/>
        <v>0</v>
      </c>
      <c r="F172" s="748">
        <f>100*((B172/B160)-1)</f>
        <v>3.5043311025154678</v>
      </c>
      <c r="G172" s="839">
        <f>100*(B172/B148-1)</f>
        <v>7.2404653746620973</v>
      </c>
      <c r="H172" s="848">
        <f>$B$323/B172</f>
        <v>2.0621445414387063</v>
      </c>
    </row>
    <row r="173" spans="1:10" ht="15" hidden="1" customHeight="1" thickBot="1">
      <c r="A173" s="973" t="s">
        <v>449</v>
      </c>
      <c r="B173" s="748">
        <f>geral!K265</f>
        <v>289.66722102349979</v>
      </c>
      <c r="C173" s="748">
        <f t="shared" si="54"/>
        <v>737.54148387780094</v>
      </c>
      <c r="D173" s="748">
        <f t="shared" si="56"/>
        <v>0</v>
      </c>
      <c r="E173" s="748">
        <f t="shared" si="57"/>
        <v>0</v>
      </c>
      <c r="F173" s="748">
        <f>100*((B173/B161)-1)</f>
        <v>3.5043311025154678</v>
      </c>
      <c r="G173" s="839">
        <f>100*(B173/B149-1)</f>
        <v>7.2404653746620973</v>
      </c>
      <c r="H173" s="848">
        <f>$B$323/B173</f>
        <v>2.0621445414387063</v>
      </c>
    </row>
    <row r="174" spans="1:10" ht="15" hidden="1" customHeight="1" thickBot="1">
      <c r="A174" s="973" t="s">
        <v>450</v>
      </c>
      <c r="B174" s="748">
        <f>geral!K266</f>
        <v>289.66722102349979</v>
      </c>
      <c r="C174" s="748">
        <f t="shared" si="54"/>
        <v>737.54148387780094</v>
      </c>
      <c r="D174" s="748">
        <f t="shared" si="56"/>
        <v>0</v>
      </c>
      <c r="E174" s="748">
        <f t="shared" si="57"/>
        <v>0</v>
      </c>
      <c r="F174" s="748">
        <f>100*((B174/B162)-1)</f>
        <v>3.5043311025154678</v>
      </c>
      <c r="G174" s="839">
        <f>100*(B174/B150-1)</f>
        <v>7.2404653746620973</v>
      </c>
      <c r="H174" s="848">
        <f>$B$323/B174</f>
        <v>2.0621445414387063</v>
      </c>
    </row>
    <row r="175" spans="1:10" ht="15" hidden="1" customHeight="1" thickBot="1">
      <c r="A175" s="973" t="s">
        <v>451</v>
      </c>
      <c r="B175" s="748">
        <f>geral!K267</f>
        <v>303.58378664260084</v>
      </c>
      <c r="C175" s="748">
        <f t="shared" si="54"/>
        <v>772.97540153312946</v>
      </c>
      <c r="D175" s="748">
        <f t="shared" si="56"/>
        <v>4.8043287638583232</v>
      </c>
      <c r="E175" s="748">
        <f t="shared" si="57"/>
        <v>4.8043287638583232</v>
      </c>
      <c r="F175" s="748">
        <f>100*((B175/B163)-1)</f>
        <v>6.1890190781772159</v>
      </c>
      <c r="G175" s="839">
        <f>100*(B175/B151-1)</f>
        <v>9.3404598028456132</v>
      </c>
      <c r="H175" s="848">
        <f>$B$323/B175</f>
        <v>1.9676139008390225</v>
      </c>
    </row>
    <row r="176" spans="1:10" ht="15" hidden="1" customHeight="1" thickBot="1">
      <c r="A176" s="973" t="s">
        <v>452</v>
      </c>
      <c r="B176" s="748">
        <f>geral!K267</f>
        <v>303.58378664260084</v>
      </c>
      <c r="C176" s="748">
        <f t="shared" si="54"/>
        <v>772.97540153312946</v>
      </c>
      <c r="D176" s="748">
        <f t="shared" si="56"/>
        <v>0</v>
      </c>
      <c r="E176" s="748">
        <f>100*((B176/$B$170)-1)</f>
        <v>4.8043287638583232</v>
      </c>
      <c r="F176" s="748">
        <f t="shared" ref="F176:F212" si="58">100*((B176/B164)-1)</f>
        <v>6.1896133745198645</v>
      </c>
      <c r="G176" s="839">
        <f t="shared" ref="G176:G212" si="59">100*(B176/B152-1)</f>
        <v>9.3404598028456132</v>
      </c>
      <c r="H176" s="848">
        <f>$B$323/B176</f>
        <v>1.9676139008390225</v>
      </c>
    </row>
    <row r="177" spans="1:10" ht="15" hidden="1" customHeight="1" thickBot="1">
      <c r="A177" s="973" t="s">
        <v>453</v>
      </c>
      <c r="B177" s="748">
        <f>+geral!K269</f>
        <v>310.19</v>
      </c>
      <c r="C177" s="748">
        <f t="shared" si="54"/>
        <v>789.79593229671991</v>
      </c>
      <c r="D177" s="748">
        <f t="shared" ref="D177:D195" si="60">100*(B177/B176-1)</f>
        <v>2.1760758143439363</v>
      </c>
      <c r="E177" s="748">
        <f t="shared" si="57"/>
        <v>7.0849504144741449</v>
      </c>
      <c r="F177" s="748">
        <f t="shared" si="58"/>
        <v>7.0849504144741449</v>
      </c>
      <c r="G177" s="839">
        <f t="shared" si="59"/>
        <v>10.837561637961834</v>
      </c>
      <c r="H177" s="848">
        <f>$B$323/B177</f>
        <v>1.9257090127577594</v>
      </c>
      <c r="J177" s="801"/>
    </row>
    <row r="178" spans="1:10" ht="15" hidden="1" customHeight="1" thickBot="1">
      <c r="A178" s="973" t="s">
        <v>454</v>
      </c>
      <c r="B178" s="748">
        <f>+geral!K270</f>
        <v>310.18672337391752</v>
      </c>
      <c r="C178" s="748">
        <f t="shared" si="54"/>
        <v>789.78758945539175</v>
      </c>
      <c r="D178" s="748">
        <f t="shared" si="60"/>
        <v>-1.0563287283549272E-3</v>
      </c>
      <c r="E178" s="748">
        <f>100*((B178/$B$170)-1)</f>
        <v>7.0838192453791748</v>
      </c>
      <c r="F178" s="748">
        <f t="shared" si="58"/>
        <v>7.0838192453791748</v>
      </c>
      <c r="G178" s="839">
        <f t="shared" si="59"/>
        <v>10.836390828956443</v>
      </c>
      <c r="H178" s="848">
        <f>$B$323/B178</f>
        <v>1.9257293547901644</v>
      </c>
      <c r="J178" s="801"/>
    </row>
    <row r="179" spans="1:10" ht="15" hidden="1" customHeight="1" thickBot="1">
      <c r="A179" s="973" t="s">
        <v>455</v>
      </c>
      <c r="B179" s="748">
        <f>+geral!K271</f>
        <v>310.18672337391752</v>
      </c>
      <c r="C179" s="748">
        <f t="shared" si="54"/>
        <v>789.78758945539175</v>
      </c>
      <c r="D179" s="748">
        <f t="shared" si="60"/>
        <v>0</v>
      </c>
      <c r="E179" s="748">
        <f>100*((B179/$B$170)-1)</f>
        <v>7.0838192453791748</v>
      </c>
      <c r="F179" s="748">
        <f t="shared" si="58"/>
        <v>7.0838192453791748</v>
      </c>
      <c r="G179" s="839">
        <f t="shared" si="59"/>
        <v>10.836390828956443</v>
      </c>
      <c r="H179" s="848">
        <f>$B$323/B179</f>
        <v>1.9257293547901644</v>
      </c>
      <c r="J179" s="801"/>
    </row>
    <row r="180" spans="1:10" ht="15" hidden="1" customHeight="1" thickBot="1">
      <c r="A180" s="973" t="s">
        <v>456</v>
      </c>
      <c r="B180" s="748">
        <f>+geral!K272</f>
        <v>310.18672337391752</v>
      </c>
      <c r="C180" s="748">
        <f t="shared" si="54"/>
        <v>789.78758945539175</v>
      </c>
      <c r="D180" s="748">
        <f t="shared" si="60"/>
        <v>0</v>
      </c>
      <c r="E180" s="748">
        <f>100*((B180/$B$170)-1)</f>
        <v>7.0838192453791748</v>
      </c>
      <c r="F180" s="748">
        <f t="shared" si="58"/>
        <v>7.0838192453791748</v>
      </c>
      <c r="G180" s="839">
        <f t="shared" si="59"/>
        <v>10.836390828956443</v>
      </c>
      <c r="H180" s="848">
        <f>$B$323/B180</f>
        <v>1.9257293547901644</v>
      </c>
      <c r="J180" s="801"/>
    </row>
    <row r="181" spans="1:10" ht="15" hidden="1" customHeight="1" thickBot="1">
      <c r="A181" s="973" t="s">
        <v>457</v>
      </c>
      <c r="B181" s="748">
        <f>+geral!K273</f>
        <v>310.18672337391752</v>
      </c>
      <c r="C181" s="748">
        <f t="shared" si="54"/>
        <v>789.78758945539175</v>
      </c>
      <c r="D181" s="748">
        <f t="shared" si="60"/>
        <v>0</v>
      </c>
      <c r="E181" s="748">
        <f>100*((B181/$B$170)-1)</f>
        <v>7.0838192453791748</v>
      </c>
      <c r="F181" s="748">
        <f t="shared" si="58"/>
        <v>7.0838192453791748</v>
      </c>
      <c r="G181" s="839">
        <f t="shared" si="59"/>
        <v>10.836390828956443</v>
      </c>
      <c r="H181" s="848">
        <f>$B$323/B181</f>
        <v>1.9257293547901644</v>
      </c>
      <c r="J181" s="801"/>
    </row>
    <row r="182" spans="1:10" ht="15" hidden="1" customHeight="1" thickBot="1">
      <c r="A182" s="973" t="s">
        <v>458</v>
      </c>
      <c r="B182" s="748">
        <f>+geral!K274</f>
        <v>310.18672337391752</v>
      </c>
      <c r="C182" s="748">
        <f t="shared" si="54"/>
        <v>789.78758945539175</v>
      </c>
      <c r="D182" s="748">
        <f t="shared" si="60"/>
        <v>0</v>
      </c>
      <c r="E182" s="748">
        <f>100*((B182/$B$170)-1)</f>
        <v>7.0838192453791748</v>
      </c>
      <c r="F182" s="748">
        <f t="shared" si="58"/>
        <v>7.0838192453791748</v>
      </c>
      <c r="G182" s="839">
        <f t="shared" si="59"/>
        <v>10.836390828956443</v>
      </c>
      <c r="H182" s="848">
        <f>$B$323/B182</f>
        <v>1.9257293547901644</v>
      </c>
      <c r="J182" s="801"/>
    </row>
    <row r="183" spans="1:10" ht="15" hidden="1" customHeight="1" thickBot="1">
      <c r="A183" s="973" t="s">
        <v>459</v>
      </c>
      <c r="B183" s="748">
        <f>geral!M263</f>
        <v>310.25</v>
      </c>
      <c r="C183" s="748">
        <f t="shared" si="54"/>
        <v>789.94870239226714</v>
      </c>
      <c r="D183" s="748">
        <f t="shared" si="60"/>
        <v>2.0399527547221297E-2</v>
      </c>
      <c r="E183" s="748">
        <f t="shared" ref="E183:E188" si="61">100*((B183/$B$182)-1)</f>
        <v>2.0399527547221297E-2</v>
      </c>
      <c r="F183" s="748">
        <f t="shared" si="58"/>
        <v>7.1056638385847526</v>
      </c>
      <c r="G183" s="839">
        <f t="shared" si="59"/>
        <v>10.859000929035933</v>
      </c>
      <c r="H183" s="848">
        <f>$B$323/B183</f>
        <v>1.9253365952210455</v>
      </c>
      <c r="J183" s="801"/>
    </row>
    <row r="184" spans="1:10" ht="15" hidden="1" customHeight="1" thickBot="1">
      <c r="A184" s="973" t="s">
        <v>460</v>
      </c>
      <c r="B184" s="748">
        <f>geral!M264</f>
        <v>310.25</v>
      </c>
      <c r="C184" s="748">
        <f t="shared" si="54"/>
        <v>789.94870239226714</v>
      </c>
      <c r="D184" s="748">
        <f t="shared" si="60"/>
        <v>0</v>
      </c>
      <c r="E184" s="748">
        <f t="shared" si="61"/>
        <v>2.0399527547221297E-2</v>
      </c>
      <c r="F184" s="748">
        <f t="shared" si="58"/>
        <v>7.1056638385847526</v>
      </c>
      <c r="G184" s="839">
        <f t="shared" si="59"/>
        <v>10.859000929035933</v>
      </c>
      <c r="H184" s="848">
        <f>$B$323/B184</f>
        <v>1.9253365952210455</v>
      </c>
      <c r="J184" s="801"/>
    </row>
    <row r="185" spans="1:10" ht="15" hidden="1" customHeight="1" thickBot="1">
      <c r="A185" s="973" t="s">
        <v>461</v>
      </c>
      <c r="B185" s="748">
        <f>geral!M265</f>
        <v>310.25</v>
      </c>
      <c r="C185" s="748">
        <f t="shared" si="54"/>
        <v>789.94870239226714</v>
      </c>
      <c r="D185" s="748">
        <f t="shared" si="60"/>
        <v>0</v>
      </c>
      <c r="E185" s="748">
        <f t="shared" si="61"/>
        <v>2.0399527547221297E-2</v>
      </c>
      <c r="F185" s="748">
        <f t="shared" si="58"/>
        <v>7.1056638385847526</v>
      </c>
      <c r="G185" s="839">
        <f t="shared" si="59"/>
        <v>10.859000929035933</v>
      </c>
      <c r="H185" s="848">
        <f>$B$323/B185</f>
        <v>1.9253365952210455</v>
      </c>
      <c r="J185" s="801"/>
    </row>
    <row r="186" spans="1:10" ht="15" hidden="1" customHeight="1" thickBot="1">
      <c r="A186" s="973" t="s">
        <v>462</v>
      </c>
      <c r="B186" s="748">
        <f>geral!M266</f>
        <v>310.25</v>
      </c>
      <c r="C186" s="748">
        <f t="shared" si="54"/>
        <v>789.94870239226714</v>
      </c>
      <c r="D186" s="748">
        <f t="shared" si="60"/>
        <v>0</v>
      </c>
      <c r="E186" s="748">
        <f t="shared" si="61"/>
        <v>2.0399527547221297E-2</v>
      </c>
      <c r="F186" s="748">
        <f t="shared" si="58"/>
        <v>7.1056638385847526</v>
      </c>
      <c r="G186" s="839">
        <f t="shared" si="59"/>
        <v>10.859000929035933</v>
      </c>
      <c r="H186" s="848">
        <f>$B$323/B186</f>
        <v>1.9253365952210455</v>
      </c>
      <c r="J186" s="801"/>
    </row>
    <row r="187" spans="1:10" ht="15" hidden="1" customHeight="1" thickBot="1">
      <c r="A187" s="973" t="s">
        <v>463</v>
      </c>
      <c r="B187" s="748">
        <f>geral!M267</f>
        <v>310.25</v>
      </c>
      <c r="C187" s="748">
        <f t="shared" si="54"/>
        <v>789.94870239226714</v>
      </c>
      <c r="D187" s="748">
        <f t="shared" si="60"/>
        <v>0</v>
      </c>
      <c r="E187" s="748">
        <f t="shared" si="61"/>
        <v>2.0399527547221297E-2</v>
      </c>
      <c r="F187" s="748">
        <f t="shared" si="58"/>
        <v>2.1958397156588205</v>
      </c>
      <c r="G187" s="839">
        <f t="shared" si="59"/>
        <v>8.5207597327643612</v>
      </c>
      <c r="H187" s="848">
        <f>$B$323/B187</f>
        <v>1.9253365952210455</v>
      </c>
      <c r="J187" s="801"/>
    </row>
    <row r="188" spans="1:10" ht="15" hidden="1" customHeight="1" thickBot="1">
      <c r="A188" s="973" t="s">
        <v>464</v>
      </c>
      <c r="B188" s="748">
        <f>geral!M268</f>
        <v>323.85563855039055</v>
      </c>
      <c r="C188" s="748">
        <f t="shared" si="54"/>
        <v>824.59094741434353</v>
      </c>
      <c r="D188" s="748">
        <f t="shared" si="60"/>
        <v>4.3853790653958225</v>
      </c>
      <c r="E188" s="748">
        <f t="shared" si="61"/>
        <v>4.4066731895535449</v>
      </c>
      <c r="F188" s="748">
        <f t="shared" si="58"/>
        <v>6.6775146762547921</v>
      </c>
      <c r="G188" s="839">
        <f t="shared" si="59"/>
        <v>13.28044039226166</v>
      </c>
      <c r="H188" s="848">
        <f>$B$323/B188</f>
        <v>1.8444504512598952</v>
      </c>
      <c r="J188" s="801"/>
    </row>
    <row r="189" spans="1:10" ht="15" hidden="1" customHeight="1" thickBot="1">
      <c r="A189" s="973" t="s">
        <v>465</v>
      </c>
      <c r="B189" s="748">
        <f>geral!M269</f>
        <v>329.35</v>
      </c>
      <c r="C189" s="748">
        <f t="shared" si="54"/>
        <v>838.58051614147689</v>
      </c>
      <c r="D189" s="748">
        <f t="shared" si="60"/>
        <v>1.696546484168926</v>
      </c>
      <c r="E189" s="748">
        <f t="shared" ref="E189:E194" si="62">100*((B189/$B$182)-1)</f>
        <v>6.1779809327886515</v>
      </c>
      <c r="F189" s="748">
        <f t="shared" si="58"/>
        <v>6.1768593442728781</v>
      </c>
      <c r="G189" s="839">
        <f t="shared" si="59"/>
        <v>13.69943718046056</v>
      </c>
      <c r="H189" s="848">
        <f>$B$323/B189</f>
        <v>1.8136805181944111</v>
      </c>
      <c r="J189" s="801"/>
    </row>
    <row r="190" spans="1:10" ht="15" hidden="1" customHeight="1" thickBot="1">
      <c r="A190" s="973" t="s">
        <v>466</v>
      </c>
      <c r="B190" s="748">
        <f>geral!M270</f>
        <v>329.34693048984752</v>
      </c>
      <c r="C190" s="748">
        <f t="shared" si="54"/>
        <v>838.5727006521555</v>
      </c>
      <c r="D190" s="748">
        <f t="shared" si="60"/>
        <v>-9.3199033019963906E-4</v>
      </c>
      <c r="E190" s="748">
        <f t="shared" si="62"/>
        <v>6.1769913642735652</v>
      </c>
      <c r="F190" s="748">
        <f t="shared" si="58"/>
        <v>6.1769913642735652</v>
      </c>
      <c r="G190" s="839">
        <f t="shared" si="59"/>
        <v>13.698377512700555</v>
      </c>
      <c r="H190" s="848">
        <f>$B$323/B190</f>
        <v>1.8136974216790003</v>
      </c>
      <c r="J190" s="801"/>
    </row>
    <row r="191" spans="1:10" ht="15" hidden="1" customHeight="1" thickBot="1">
      <c r="A191" s="973" t="s">
        <v>467</v>
      </c>
      <c r="B191" s="748">
        <f>geral!M271</f>
        <v>329.40518876086804</v>
      </c>
      <c r="C191" s="748">
        <f t="shared" si="54"/>
        <v>838.72103601265928</v>
      </c>
      <c r="D191" s="748">
        <f t="shared" si="60"/>
        <v>1.7689028081679936E-2</v>
      </c>
      <c r="E191" s="748">
        <f t="shared" si="62"/>
        <v>6.1957730420922674</v>
      </c>
      <c r="F191" s="748">
        <f t="shared" si="58"/>
        <v>6.1957730420922674</v>
      </c>
      <c r="G191" s="839">
        <f t="shared" si="59"/>
        <v>13.718489650627209</v>
      </c>
      <c r="H191" s="848">
        <f>$B$323/B191</f>
        <v>1.813376652973629</v>
      </c>
      <c r="J191" s="801"/>
    </row>
    <row r="192" spans="1:10" ht="15" hidden="1" customHeight="1" thickBot="1">
      <c r="A192" s="973" t="s">
        <v>468</v>
      </c>
      <c r="B192" s="748">
        <f>geral!M272</f>
        <v>329.40518876086804</v>
      </c>
      <c r="C192" s="748">
        <f t="shared" si="54"/>
        <v>838.72103601265928</v>
      </c>
      <c r="D192" s="748">
        <f t="shared" si="60"/>
        <v>0</v>
      </c>
      <c r="E192" s="748">
        <f t="shared" si="62"/>
        <v>6.1957730420922674</v>
      </c>
      <c r="F192" s="748">
        <f t="shared" si="58"/>
        <v>6.1957730420922674</v>
      </c>
      <c r="G192" s="839">
        <f t="shared" si="59"/>
        <v>13.718489650627209</v>
      </c>
      <c r="H192" s="848">
        <f>$B$323/B192</f>
        <v>1.813376652973629</v>
      </c>
      <c r="J192" s="801"/>
    </row>
    <row r="193" spans="1:10" ht="15" hidden="1" customHeight="1" thickBot="1">
      <c r="A193" s="973" t="s">
        <v>469</v>
      </c>
      <c r="B193" s="748">
        <f>geral!M273</f>
        <v>329.40518876086804</v>
      </c>
      <c r="C193" s="748">
        <f t="shared" si="54"/>
        <v>838.72103601265928</v>
      </c>
      <c r="D193" s="748">
        <f t="shared" si="60"/>
        <v>0</v>
      </c>
      <c r="E193" s="748">
        <f t="shared" si="62"/>
        <v>6.1957730420922674</v>
      </c>
      <c r="F193" s="748">
        <f t="shared" si="58"/>
        <v>6.1957730420922674</v>
      </c>
      <c r="G193" s="839">
        <f t="shared" si="59"/>
        <v>13.718489650627209</v>
      </c>
      <c r="H193" s="848">
        <f>$B$323/B193</f>
        <v>1.813376652973629</v>
      </c>
      <c r="J193" s="801"/>
    </row>
    <row r="194" spans="1:10" ht="15" hidden="1" customHeight="1" thickBot="1">
      <c r="A194" s="973" t="s">
        <v>470</v>
      </c>
      <c r="B194" s="748">
        <f>geral!M274</f>
        <v>329.4608741750576</v>
      </c>
      <c r="C194" s="748">
        <f t="shared" ref="C194:C225" si="63">100*B194*E$129/$B$9</f>
        <v>838.86282044676477</v>
      </c>
      <c r="D194" s="748">
        <f t="shared" si="60"/>
        <v>1.6904838202158601E-2</v>
      </c>
      <c r="E194" s="748">
        <f t="shared" si="62"/>
        <v>6.2137252657025854</v>
      </c>
      <c r="F194" s="748">
        <f t="shared" si="58"/>
        <v>6.2137252657025854</v>
      </c>
      <c r="G194" s="839">
        <f t="shared" si="59"/>
        <v>13.737713577308597</v>
      </c>
      <c r="H194" s="848">
        <f>$B$323/B194</f>
        <v>1.8130701563971985</v>
      </c>
      <c r="J194" s="801"/>
    </row>
    <row r="195" spans="1:10" ht="15" hidden="1" customHeight="1" thickBot="1">
      <c r="A195" s="973" t="s">
        <v>471</v>
      </c>
      <c r="B195" s="748">
        <f>geral!C279</f>
        <v>329.4608741750576</v>
      </c>
      <c r="C195" s="748">
        <f t="shared" si="63"/>
        <v>838.86282044676477</v>
      </c>
      <c r="D195" s="748">
        <f t="shared" si="60"/>
        <v>0</v>
      </c>
      <c r="E195" s="748">
        <f t="shared" ref="E195:E200" si="64">100*((B195/$B$194)-1)</f>
        <v>0</v>
      </c>
      <c r="F195" s="748">
        <f t="shared" si="58"/>
        <v>6.1920625866422663</v>
      </c>
      <c r="G195" s="839">
        <f t="shared" si="59"/>
        <v>13.737713577308597</v>
      </c>
      <c r="H195" s="848">
        <f>$B$323/B195</f>
        <v>1.8130701563971985</v>
      </c>
      <c r="J195" s="801"/>
    </row>
    <row r="196" spans="1:10" ht="15" hidden="1" customHeight="1" thickBot="1">
      <c r="A196" s="973" t="s">
        <v>472</v>
      </c>
      <c r="B196" s="748">
        <f>geral!C280</f>
        <v>329.46</v>
      </c>
      <c r="C196" s="748">
        <f t="shared" si="63"/>
        <v>838.86059464998016</v>
      </c>
      <c r="D196" s="748">
        <f t="shared" ref="D196:D201" si="65">100*(B196/B195-1)</f>
        <v>-2.653350143044797E-4</v>
      </c>
      <c r="E196" s="748">
        <f t="shared" si="64"/>
        <v>-2.653350143044797E-4</v>
      </c>
      <c r="F196" s="748">
        <f t="shared" si="58"/>
        <v>6.1917808219178028</v>
      </c>
      <c r="G196" s="839">
        <f t="shared" si="59"/>
        <v>13.73741179132999</v>
      </c>
      <c r="H196" s="848">
        <f>$B$323/B196</f>
        <v>1.8130749671199218</v>
      </c>
      <c r="J196" s="801"/>
    </row>
    <row r="197" spans="1:10" ht="15" hidden="1" customHeight="1" thickBot="1">
      <c r="A197" s="973" t="s">
        <v>473</v>
      </c>
      <c r="B197" s="748">
        <f>geral!C281</f>
        <v>329.4608741750576</v>
      </c>
      <c r="C197" s="748">
        <f t="shared" si="63"/>
        <v>838.86282044676477</v>
      </c>
      <c r="D197" s="748">
        <f t="shared" si="65"/>
        <v>2.653357183302063E-4</v>
      </c>
      <c r="E197" s="748">
        <f t="shared" si="64"/>
        <v>0</v>
      </c>
      <c r="F197" s="748">
        <f t="shared" si="58"/>
        <v>6.1920625866422663</v>
      </c>
      <c r="G197" s="839">
        <f t="shared" si="59"/>
        <v>13.737713577308597</v>
      </c>
      <c r="H197" s="848">
        <f>$B$323/B197</f>
        <v>1.8130701563971985</v>
      </c>
      <c r="J197" s="801"/>
    </row>
    <row r="198" spans="1:10" ht="15" hidden="1" customHeight="1" thickBot="1">
      <c r="A198" s="973" t="s">
        <v>474</v>
      </c>
      <c r="B198" s="748">
        <f>geral!C282</f>
        <v>329.46</v>
      </c>
      <c r="C198" s="748">
        <f t="shared" si="63"/>
        <v>838.86059464998016</v>
      </c>
      <c r="D198" s="748">
        <f t="shared" si="65"/>
        <v>-2.653350143044797E-4</v>
      </c>
      <c r="E198" s="748">
        <f t="shared" si="64"/>
        <v>-2.653350143044797E-4</v>
      </c>
      <c r="F198" s="748">
        <f t="shared" si="58"/>
        <v>6.1917808219178028</v>
      </c>
      <c r="G198" s="839">
        <f t="shared" si="59"/>
        <v>13.73741179132999</v>
      </c>
      <c r="H198" s="848">
        <f>$B$323/B198</f>
        <v>1.8130749671199218</v>
      </c>
      <c r="J198" s="801"/>
    </row>
    <row r="199" spans="1:10" ht="15" hidden="1" customHeight="1" thickBot="1">
      <c r="A199" s="973" t="s">
        <v>475</v>
      </c>
      <c r="B199" s="748">
        <f>geral!C283</f>
        <v>345.07642153372495</v>
      </c>
      <c r="C199" s="748">
        <f t="shared" si="63"/>
        <v>878.62263148020304</v>
      </c>
      <c r="D199" s="748">
        <f t="shared" si="65"/>
        <v>4.7400053219586624</v>
      </c>
      <c r="E199" s="748">
        <f t="shared" si="64"/>
        <v>4.7397274100505538</v>
      </c>
      <c r="F199" s="748">
        <f t="shared" si="58"/>
        <v>11.225276884359371</v>
      </c>
      <c r="G199" s="839">
        <f t="shared" si="59"/>
        <v>13.667605688037622</v>
      </c>
      <c r="H199" s="848">
        <f>$B$323/B199</f>
        <v>1.7310243221267168</v>
      </c>
      <c r="J199" s="801"/>
    </row>
    <row r="200" spans="1:10" ht="15" hidden="1" customHeight="1" thickBot="1">
      <c r="A200" s="973" t="s">
        <v>476</v>
      </c>
      <c r="B200" s="748">
        <f>geral!C284</f>
        <v>345.07642153372495</v>
      </c>
      <c r="C200" s="748">
        <f t="shared" si="63"/>
        <v>878.62263148020304</v>
      </c>
      <c r="D200" s="748">
        <f t="shared" si="65"/>
        <v>0</v>
      </c>
      <c r="E200" s="748">
        <f t="shared" si="64"/>
        <v>4.7397274100505538</v>
      </c>
      <c r="F200" s="748">
        <f t="shared" si="58"/>
        <v>6.5525439292398069</v>
      </c>
      <c r="G200" s="839">
        <f t="shared" si="59"/>
        <v>13.667605688037622</v>
      </c>
      <c r="H200" s="848">
        <f>$B$323/B200</f>
        <v>1.7310243221267168</v>
      </c>
      <c r="J200" s="801"/>
    </row>
    <row r="201" spans="1:10" ht="15" hidden="1" customHeight="1" thickBot="1">
      <c r="A201" s="973" t="s">
        <v>477</v>
      </c>
      <c r="B201" s="748">
        <f>geral!C285</f>
        <v>350.55</v>
      </c>
      <c r="C201" s="748">
        <f t="shared" si="63"/>
        <v>892.55928323484045</v>
      </c>
      <c r="D201" s="748">
        <f t="shared" si="65"/>
        <v>1.5861931226559101</v>
      </c>
      <c r="E201" s="748">
        <f t="shared" ref="E201:E206" si="66">100*((B201/$B$194)-1)</f>
        <v>6.4011017629173272</v>
      </c>
      <c r="F201" s="748">
        <f t="shared" si="58"/>
        <v>6.43692120844086</v>
      </c>
      <c r="G201" s="839">
        <f t="shared" si="59"/>
        <v>13.011380121860805</v>
      </c>
      <c r="H201" s="848">
        <f>$B$323/B201</f>
        <v>1.7039956601549833</v>
      </c>
      <c r="J201" s="801"/>
    </row>
    <row r="202" spans="1:10" ht="15" hidden="1" customHeight="1" thickBot="1">
      <c r="A202" s="973" t="s">
        <v>478</v>
      </c>
      <c r="B202" s="748">
        <f>geral!C286</f>
        <v>350.55</v>
      </c>
      <c r="C202" s="748">
        <f t="shared" si="63"/>
        <v>892.55928323484045</v>
      </c>
      <c r="D202" s="748">
        <f t="shared" ref="D202:D207" si="67">100*(B202/B201-1)</f>
        <v>0</v>
      </c>
      <c r="E202" s="748">
        <f t="shared" si="66"/>
        <v>6.4011017629173272</v>
      </c>
      <c r="F202" s="748">
        <f t="shared" si="58"/>
        <v>6.4379131994995564</v>
      </c>
      <c r="G202" s="839">
        <f t="shared" si="59"/>
        <v>13.012573906145629</v>
      </c>
      <c r="H202" s="848">
        <f>$B$323/B202</f>
        <v>1.7039956601549833</v>
      </c>
      <c r="J202" s="801"/>
    </row>
    <row r="203" spans="1:10" ht="15" hidden="1" customHeight="1" thickBot="1">
      <c r="A203" s="973" t="s">
        <v>479</v>
      </c>
      <c r="B203" s="748">
        <f>geral!C287</f>
        <v>350.55</v>
      </c>
      <c r="C203" s="748">
        <f t="shared" si="63"/>
        <v>892.55928323484045</v>
      </c>
      <c r="D203" s="748">
        <f t="shared" si="67"/>
        <v>0</v>
      </c>
      <c r="E203" s="748">
        <f t="shared" si="66"/>
        <v>6.4011017629173272</v>
      </c>
      <c r="F203" s="748">
        <f t="shared" si="58"/>
        <v>6.4190886970156624</v>
      </c>
      <c r="G203" s="839">
        <f t="shared" si="59"/>
        <v>13.012573906145629</v>
      </c>
      <c r="H203" s="848">
        <f>$B$323/B203</f>
        <v>1.7039956601549833</v>
      </c>
      <c r="J203" s="801"/>
    </row>
    <row r="204" spans="1:10" ht="15" hidden="1" customHeight="1" thickBot="1">
      <c r="A204" s="973" t="s">
        <v>480</v>
      </c>
      <c r="B204" s="748">
        <f>geral!C288</f>
        <v>350.55</v>
      </c>
      <c r="C204" s="748">
        <f t="shared" si="63"/>
        <v>892.55928323484045</v>
      </c>
      <c r="D204" s="748">
        <f t="shared" si="67"/>
        <v>0</v>
      </c>
      <c r="E204" s="748">
        <f t="shared" si="66"/>
        <v>6.4011017629173272</v>
      </c>
      <c r="F204" s="748">
        <f t="shared" si="58"/>
        <v>6.4190886970156624</v>
      </c>
      <c r="G204" s="839">
        <f t="shared" si="59"/>
        <v>13.012573906145629</v>
      </c>
      <c r="H204" s="848">
        <f>$B$323/B204</f>
        <v>1.7039956601549833</v>
      </c>
      <c r="J204" s="801"/>
    </row>
    <row r="205" spans="1:10" ht="15" hidden="1" customHeight="1" thickBot="1">
      <c r="A205" s="973" t="s">
        <v>481</v>
      </c>
      <c r="B205" s="748">
        <f>geral!C289</f>
        <v>350.55</v>
      </c>
      <c r="C205" s="748">
        <f t="shared" si="63"/>
        <v>892.55928323484045</v>
      </c>
      <c r="D205" s="748">
        <f t="shared" si="67"/>
        <v>0</v>
      </c>
      <c r="E205" s="748">
        <f t="shared" si="66"/>
        <v>6.4011017629173272</v>
      </c>
      <c r="F205" s="748">
        <f t="shared" si="58"/>
        <v>6.4190886970156624</v>
      </c>
      <c r="G205" s="839">
        <f t="shared" si="59"/>
        <v>13.012573906145629</v>
      </c>
      <c r="H205" s="848">
        <f>$B$323/B205</f>
        <v>1.7039956601549833</v>
      </c>
      <c r="J205" s="801"/>
    </row>
    <row r="206" spans="1:10" ht="15" hidden="1" customHeight="1" thickBot="1">
      <c r="A206" s="1015" t="s">
        <v>482</v>
      </c>
      <c r="B206" s="755">
        <f>geral!C290</f>
        <v>350.55</v>
      </c>
      <c r="C206" s="755">
        <f t="shared" si="63"/>
        <v>892.55928323484045</v>
      </c>
      <c r="D206" s="755">
        <f t="shared" si="67"/>
        <v>0</v>
      </c>
      <c r="E206" s="755">
        <f t="shared" si="66"/>
        <v>6.4011017629173272</v>
      </c>
      <c r="F206" s="755">
        <f t="shared" si="58"/>
        <v>6.4011017629173272</v>
      </c>
      <c r="G206" s="932">
        <f t="shared" si="59"/>
        <v>13.012573906145629</v>
      </c>
      <c r="H206" s="924">
        <f>$B$323/B206</f>
        <v>1.7039956601549833</v>
      </c>
      <c r="J206" s="801"/>
    </row>
    <row r="207" spans="1:10" ht="16.5" customHeight="1">
      <c r="A207" s="1013" t="s">
        <v>483</v>
      </c>
      <c r="B207" s="852">
        <f>geral!E279</f>
        <v>350.55</v>
      </c>
      <c r="C207" s="852">
        <f t="shared" si="63"/>
        <v>892.55928323484045</v>
      </c>
      <c r="D207" s="852">
        <f t="shared" si="67"/>
        <v>0</v>
      </c>
      <c r="E207" s="852">
        <f t="shared" ref="E207:E212" si="68">100*((B207/$B$206)-1)</f>
        <v>0</v>
      </c>
      <c r="F207" s="852">
        <f t="shared" si="58"/>
        <v>6.4011017629173272</v>
      </c>
      <c r="G207" s="866">
        <f t="shared" si="59"/>
        <v>12.989524576954082</v>
      </c>
      <c r="H207" s="1022">
        <f>$B$323/B207</f>
        <v>1.7039956601549833</v>
      </c>
      <c r="J207" s="801"/>
    </row>
    <row r="208" spans="1:10" ht="16.5" customHeight="1">
      <c r="A208" s="1014" t="s">
        <v>484</v>
      </c>
      <c r="B208" s="857">
        <f>geral!E280</f>
        <v>350.55</v>
      </c>
      <c r="C208" s="857">
        <f t="shared" si="63"/>
        <v>892.55928323484045</v>
      </c>
      <c r="D208" s="857">
        <f t="shared" ref="D208:D213" si="69">100*(B208/B207-1)</f>
        <v>0</v>
      </c>
      <c r="E208" s="857">
        <f t="shared" si="68"/>
        <v>0</v>
      </c>
      <c r="F208" s="857">
        <f t="shared" si="58"/>
        <v>6.4013840830450031</v>
      </c>
      <c r="G208" s="870">
        <f t="shared" si="59"/>
        <v>12.989524576954082</v>
      </c>
      <c r="H208" s="1023">
        <f>$B$323/B208</f>
        <v>1.7039956601549833</v>
      </c>
      <c r="J208" s="837"/>
    </row>
    <row r="209" spans="1:10" ht="16.5" customHeight="1">
      <c r="A209" s="1014" t="s">
        <v>485</v>
      </c>
      <c r="B209" s="857">
        <f>geral!E281</f>
        <v>350.55</v>
      </c>
      <c r="C209" s="857">
        <f t="shared" si="63"/>
        <v>892.55928323484045</v>
      </c>
      <c r="D209" s="857">
        <f t="shared" si="69"/>
        <v>0</v>
      </c>
      <c r="E209" s="857">
        <f t="shared" si="68"/>
        <v>0</v>
      </c>
      <c r="F209" s="857">
        <f t="shared" si="58"/>
        <v>6.4011017629173272</v>
      </c>
      <c r="G209" s="870">
        <f t="shared" si="59"/>
        <v>12.989524576954082</v>
      </c>
      <c r="H209" s="1023">
        <f>$B$323/B209</f>
        <v>1.7039956601549833</v>
      </c>
      <c r="J209" s="801"/>
    </row>
    <row r="210" spans="1:10" ht="16.5" customHeight="1">
      <c r="A210" s="1014" t="s">
        <v>486</v>
      </c>
      <c r="B210" s="857">
        <f>geral!E282</f>
        <v>350.55</v>
      </c>
      <c r="C210" s="857">
        <f t="shared" si="63"/>
        <v>892.55928323484045</v>
      </c>
      <c r="D210" s="857">
        <f t="shared" si="69"/>
        <v>0</v>
      </c>
      <c r="E210" s="857">
        <f t="shared" si="68"/>
        <v>0</v>
      </c>
      <c r="F210" s="857">
        <f t="shared" si="58"/>
        <v>6.4013840830450031</v>
      </c>
      <c r="G210" s="870">
        <f t="shared" si="59"/>
        <v>12.989524576954082</v>
      </c>
      <c r="H210" s="1023">
        <f t="shared" ref="H210:H273" si="70">$B$323/B210</f>
        <v>1.7039956601549833</v>
      </c>
      <c r="J210" s="801"/>
    </row>
    <row r="211" spans="1:10" ht="16.5" customHeight="1">
      <c r="A211" s="1014" t="s">
        <v>487</v>
      </c>
      <c r="B211" s="857">
        <f>geral!E283</f>
        <v>370.93</v>
      </c>
      <c r="C211" s="857">
        <f t="shared" si="63"/>
        <v>944.45019235572499</v>
      </c>
      <c r="D211" s="857">
        <f t="shared" si="69"/>
        <v>5.8137212951076878</v>
      </c>
      <c r="E211" s="857">
        <f t="shared" si="68"/>
        <v>5.8137212951076878</v>
      </c>
      <c r="F211" s="857">
        <f t="shared" si="58"/>
        <v>7.4921312651169858</v>
      </c>
      <c r="G211" s="870">
        <f t="shared" si="59"/>
        <v>19.558420628525376</v>
      </c>
      <c r="H211" s="1023">
        <f t="shared" si="70"/>
        <v>1.6103730587100784</v>
      </c>
      <c r="J211" s="801"/>
    </row>
    <row r="212" spans="1:10" ht="16.5" customHeight="1">
      <c r="A212" s="1014" t="s">
        <v>488</v>
      </c>
      <c r="B212" s="857">
        <f>geral!E284</f>
        <v>370.93</v>
      </c>
      <c r="C212" s="857">
        <f t="shared" si="63"/>
        <v>944.45019235572499</v>
      </c>
      <c r="D212" s="857">
        <f t="shared" si="69"/>
        <v>0</v>
      </c>
      <c r="E212" s="857">
        <f t="shared" si="68"/>
        <v>5.8137212951076878</v>
      </c>
      <c r="F212" s="857">
        <f t="shared" si="58"/>
        <v>7.4921312651169858</v>
      </c>
      <c r="G212" s="870">
        <f t="shared" si="59"/>
        <v>14.535600386739866</v>
      </c>
      <c r="H212" s="1023">
        <f t="shared" si="70"/>
        <v>1.6103730587100784</v>
      </c>
      <c r="J212" s="801"/>
    </row>
    <row r="213" spans="1:10" ht="16.5" customHeight="1">
      <c r="A213" s="1014" t="s">
        <v>489</v>
      </c>
      <c r="B213" s="857">
        <f>geral!E285</f>
        <v>370.93</v>
      </c>
      <c r="C213" s="857">
        <f t="shared" si="63"/>
        <v>944.45019235572499</v>
      </c>
      <c r="D213" s="857">
        <f t="shared" si="69"/>
        <v>0</v>
      </c>
      <c r="E213" s="857">
        <f t="shared" ref="E213:E218" si="71">100*((B213/$B$206)-1)</f>
        <v>5.8137212951076878</v>
      </c>
      <c r="F213" s="857">
        <f t="shared" ref="F213:F218" si="72">100*((B213/B201)-1)</f>
        <v>5.8137212951076878</v>
      </c>
      <c r="G213" s="870">
        <f t="shared" ref="G213:G218" si="73">100*(B213/B189-1)</f>
        <v>12.62486716259299</v>
      </c>
      <c r="H213" s="1023">
        <f t="shared" si="70"/>
        <v>1.6103730587100784</v>
      </c>
      <c r="J213" s="801"/>
    </row>
    <row r="214" spans="1:10" ht="16.5" customHeight="1">
      <c r="A214" s="1014" t="s">
        <v>490</v>
      </c>
      <c r="B214" s="857">
        <f>geral!E286</f>
        <v>370.93</v>
      </c>
      <c r="C214" s="857">
        <f t="shared" si="63"/>
        <v>944.45019235572499</v>
      </c>
      <c r="D214" s="857">
        <f t="shared" ref="D214:D219" si="74">100*(B214/B213-1)</f>
        <v>0</v>
      </c>
      <c r="E214" s="857">
        <f t="shared" si="71"/>
        <v>5.8137212951076878</v>
      </c>
      <c r="F214" s="857">
        <f t="shared" si="72"/>
        <v>5.8137212951076878</v>
      </c>
      <c r="G214" s="870">
        <f t="shared" si="73"/>
        <v>12.625916825247096</v>
      </c>
      <c r="H214" s="1023">
        <f t="shared" si="70"/>
        <v>1.6103730587100784</v>
      </c>
      <c r="J214" s="801"/>
    </row>
    <row r="215" spans="1:10" ht="16.5" customHeight="1">
      <c r="A215" s="1014" t="s">
        <v>491</v>
      </c>
      <c r="B215" s="857">
        <f>geral!E287</f>
        <v>377.50546915962212</v>
      </c>
      <c r="C215" s="857">
        <f t="shared" si="63"/>
        <v>961.1924432187833</v>
      </c>
      <c r="D215" s="857">
        <f t="shared" si="74"/>
        <v>1.7726981262292441</v>
      </c>
      <c r="E215" s="857">
        <f t="shared" si="71"/>
        <v>7.6894791497994941</v>
      </c>
      <c r="F215" s="857">
        <f t="shared" si="72"/>
        <v>7.6894791497994941</v>
      </c>
      <c r="G215" s="870">
        <f t="shared" si="73"/>
        <v>14.602162333779312</v>
      </c>
      <c r="H215" s="1023">
        <f t="shared" si="70"/>
        <v>1.582323244209094</v>
      </c>
      <c r="J215" s="801"/>
    </row>
    <row r="216" spans="1:10" ht="16.5" customHeight="1">
      <c r="A216" s="1014" t="s">
        <v>492</v>
      </c>
      <c r="B216" s="857">
        <f>geral!E288</f>
        <v>377.50546915962212</v>
      </c>
      <c r="C216" s="857">
        <f t="shared" si="63"/>
        <v>961.1924432187833</v>
      </c>
      <c r="D216" s="857">
        <f t="shared" si="74"/>
        <v>0</v>
      </c>
      <c r="E216" s="857">
        <f t="shared" si="71"/>
        <v>7.6894791497994941</v>
      </c>
      <c r="F216" s="857">
        <f t="shared" si="72"/>
        <v>7.6894791497994941</v>
      </c>
      <c r="G216" s="870">
        <f t="shared" si="73"/>
        <v>14.602162333779312</v>
      </c>
      <c r="H216" s="1023">
        <f t="shared" si="70"/>
        <v>1.582323244209094</v>
      </c>
      <c r="J216" s="801"/>
    </row>
    <row r="217" spans="1:10" ht="16.5" customHeight="1">
      <c r="A217" s="1014" t="s">
        <v>493</v>
      </c>
      <c r="B217" s="857">
        <f>geral!E289</f>
        <v>377.50546915962212</v>
      </c>
      <c r="C217" s="857">
        <f t="shared" si="63"/>
        <v>961.1924432187833</v>
      </c>
      <c r="D217" s="857">
        <f t="shared" si="74"/>
        <v>0</v>
      </c>
      <c r="E217" s="857">
        <f t="shared" si="71"/>
        <v>7.6894791497994941</v>
      </c>
      <c r="F217" s="857">
        <f t="shared" si="72"/>
        <v>7.6894791497994941</v>
      </c>
      <c r="G217" s="870">
        <f t="shared" si="73"/>
        <v>14.602162333779312</v>
      </c>
      <c r="H217" s="1023">
        <f t="shared" si="70"/>
        <v>1.582323244209094</v>
      </c>
      <c r="J217" s="801"/>
    </row>
    <row r="218" spans="1:10" ht="16.5" customHeight="1">
      <c r="A218" s="1014" t="s">
        <v>494</v>
      </c>
      <c r="B218" s="857">
        <f>geral!E290</f>
        <v>377.50546915962212</v>
      </c>
      <c r="C218" s="857">
        <f t="shared" si="63"/>
        <v>961.1924432187833</v>
      </c>
      <c r="D218" s="857">
        <f t="shared" si="74"/>
        <v>0</v>
      </c>
      <c r="E218" s="857">
        <f t="shared" si="71"/>
        <v>7.6894791497994941</v>
      </c>
      <c r="F218" s="857">
        <f t="shared" si="72"/>
        <v>7.6894791497994941</v>
      </c>
      <c r="G218" s="870">
        <f t="shared" si="73"/>
        <v>14.582792298133773</v>
      </c>
      <c r="H218" s="1023">
        <f t="shared" si="70"/>
        <v>1.582323244209094</v>
      </c>
      <c r="J218" s="801"/>
    </row>
    <row r="219" spans="1:10" ht="16.5" customHeight="1">
      <c r="A219" s="1014" t="s">
        <v>495</v>
      </c>
      <c r="B219" s="857">
        <f>geral!G279</f>
        <v>377.6295930100398</v>
      </c>
      <c r="C219" s="857">
        <f t="shared" si="63"/>
        <v>961.50848342691677</v>
      </c>
      <c r="D219" s="857">
        <f t="shared" si="74"/>
        <v>3.2880013816494191E-2</v>
      </c>
      <c r="E219" s="857">
        <f t="shared" ref="E219:E224" si="75">100*((B219/$B$218)-1)</f>
        <v>3.2880013816494191E-2</v>
      </c>
      <c r="F219" s="857">
        <f t="shared" ref="F219:F224" si="76">100*((B219/B207)-1)</f>
        <v>7.7248874654228361</v>
      </c>
      <c r="G219" s="870">
        <f t="shared" ref="G219:G224" si="77">100*(B219/B195-1)</f>
        <v>14.620467136072723</v>
      </c>
      <c r="H219" s="1023">
        <f t="shared" si="70"/>
        <v>1.5818031471157727</v>
      </c>
      <c r="J219" s="801"/>
    </row>
    <row r="220" spans="1:10" ht="16.5" customHeight="1">
      <c r="A220" s="1014" t="s">
        <v>496</v>
      </c>
      <c r="B220" s="857">
        <f>geral!G280</f>
        <v>377.6295930100398</v>
      </c>
      <c r="C220" s="857">
        <f t="shared" si="63"/>
        <v>961.50848342691677</v>
      </c>
      <c r="D220" s="857">
        <f t="shared" ref="D220:D225" si="78">100*(B220/B219-1)</f>
        <v>0</v>
      </c>
      <c r="E220" s="857">
        <f t="shared" si="75"/>
        <v>3.2880013816494191E-2</v>
      </c>
      <c r="F220" s="857">
        <f t="shared" si="76"/>
        <v>7.7248874654228361</v>
      </c>
      <c r="G220" s="870">
        <f t="shared" si="77"/>
        <v>14.620771265112564</v>
      </c>
      <c r="H220" s="1023">
        <f t="shared" si="70"/>
        <v>1.5818031471157727</v>
      </c>
      <c r="J220" s="801"/>
    </row>
    <row r="221" spans="1:10" ht="16.5" customHeight="1">
      <c r="A221" s="1014" t="s">
        <v>497</v>
      </c>
      <c r="B221" s="857">
        <f>geral!G281</f>
        <v>377.6295930100398</v>
      </c>
      <c r="C221" s="857">
        <f t="shared" si="63"/>
        <v>961.50848342691677</v>
      </c>
      <c r="D221" s="857">
        <f t="shared" si="78"/>
        <v>0</v>
      </c>
      <c r="E221" s="857">
        <f t="shared" si="75"/>
        <v>3.2880013816494191E-2</v>
      </c>
      <c r="F221" s="857">
        <f t="shared" si="76"/>
        <v>7.7248874654228361</v>
      </c>
      <c r="G221" s="870">
        <f t="shared" si="77"/>
        <v>14.620467136072723</v>
      </c>
      <c r="H221" s="1023">
        <f t="shared" si="70"/>
        <v>1.5818031471157727</v>
      </c>
      <c r="J221" s="801"/>
    </row>
    <row r="222" spans="1:10" ht="16.5" customHeight="1">
      <c r="A222" s="1014" t="s">
        <v>498</v>
      </c>
      <c r="B222" s="857">
        <f>geral!G282</f>
        <v>377.6295930100398</v>
      </c>
      <c r="C222" s="857">
        <f t="shared" si="63"/>
        <v>961.50848342691677</v>
      </c>
      <c r="D222" s="857">
        <f t="shared" si="78"/>
        <v>0</v>
      </c>
      <c r="E222" s="857">
        <f t="shared" si="75"/>
        <v>3.2880013816494191E-2</v>
      </c>
      <c r="F222" s="857">
        <f t="shared" si="76"/>
        <v>7.7248874654228361</v>
      </c>
      <c r="G222" s="870">
        <f t="shared" si="77"/>
        <v>14.620771265112564</v>
      </c>
      <c r="H222" s="1023">
        <f t="shared" si="70"/>
        <v>1.5818031471157727</v>
      </c>
      <c r="J222" s="801"/>
    </row>
    <row r="223" spans="1:10" ht="16.5" customHeight="1">
      <c r="A223" s="1014" t="s">
        <v>499</v>
      </c>
      <c r="B223" s="857">
        <f>geral!G283</f>
        <v>397.64119285039084</v>
      </c>
      <c r="C223" s="857">
        <f t="shared" si="63"/>
        <v>1012.461383754648</v>
      </c>
      <c r="D223" s="857">
        <f t="shared" si="78"/>
        <v>5.2992668505773111</v>
      </c>
      <c r="E223" s="857">
        <f t="shared" si="75"/>
        <v>5.3338892640664382</v>
      </c>
      <c r="F223" s="857">
        <f t="shared" si="76"/>
        <v>7.2011411453349217</v>
      </c>
      <c r="G223" s="870">
        <f t="shared" si="77"/>
        <v>15.232791357646747</v>
      </c>
      <c r="H223" s="1023">
        <f t="shared" si="70"/>
        <v>1.5021976832568047</v>
      </c>
      <c r="J223" s="801"/>
    </row>
    <row r="224" spans="1:10" ht="16.5" customHeight="1">
      <c r="A224" s="1014" t="s">
        <v>500</v>
      </c>
      <c r="B224" s="857">
        <f>geral!G284</f>
        <v>397.64119285039084</v>
      </c>
      <c r="C224" s="857">
        <f t="shared" si="63"/>
        <v>1012.461383754648</v>
      </c>
      <c r="D224" s="857">
        <f t="shared" si="78"/>
        <v>0</v>
      </c>
      <c r="E224" s="857">
        <f t="shared" si="75"/>
        <v>5.3338892640664382</v>
      </c>
      <c r="F224" s="857">
        <f t="shared" si="76"/>
        <v>7.2011411453349217</v>
      </c>
      <c r="G224" s="870">
        <f t="shared" si="77"/>
        <v>15.232791357646747</v>
      </c>
      <c r="H224" s="1023">
        <f t="shared" si="70"/>
        <v>1.5021976832568047</v>
      </c>
      <c r="J224" s="801"/>
    </row>
    <row r="225" spans="1:10" ht="16.5" customHeight="1">
      <c r="A225" s="1014" t="s">
        <v>501</v>
      </c>
      <c r="B225" s="857">
        <f>geral!G285</f>
        <v>403.69910343022531</v>
      </c>
      <c r="C225" s="857">
        <f t="shared" si="63"/>
        <v>1027.8858433896153</v>
      </c>
      <c r="D225" s="857">
        <f t="shared" si="78"/>
        <v>1.5234615248007621</v>
      </c>
      <c r="E225" s="857">
        <f t="shared" ref="E225:E230" si="79">100*((B225/$B$218)-1)</f>
        <v>6.9386105395807141</v>
      </c>
      <c r="F225" s="857">
        <f t="shared" ref="F225:F230" si="80">100*((B225/B213)-1)</f>
        <v>8.8343092848314431</v>
      </c>
      <c r="G225" s="870">
        <f t="shared" ref="G225:G230" si="81">100*(B225/B201-1)</f>
        <v>15.161632700107063</v>
      </c>
      <c r="H225" s="1023">
        <f t="shared" si="70"/>
        <v>1.4796556979982789</v>
      </c>
      <c r="J225" s="801"/>
    </row>
    <row r="226" spans="1:10" ht="16.5" customHeight="1">
      <c r="A226" s="1014" t="s">
        <v>502</v>
      </c>
      <c r="B226" s="857">
        <f>geral!G286</f>
        <v>403.69910343022531</v>
      </c>
      <c r="C226" s="857">
        <f t="shared" ref="C226:C255" si="82">100*B226*E$129/$B$9</f>
        <v>1027.8858433896153</v>
      </c>
      <c r="D226" s="857">
        <f t="shared" ref="D226:D231" si="83">100*(B226/B225-1)</f>
        <v>0</v>
      </c>
      <c r="E226" s="857">
        <f t="shared" si="79"/>
        <v>6.9386105395807141</v>
      </c>
      <c r="F226" s="857">
        <f t="shared" si="80"/>
        <v>8.8343092848314431</v>
      </c>
      <c r="G226" s="870">
        <f t="shared" si="81"/>
        <v>15.161632700107063</v>
      </c>
      <c r="H226" s="1023">
        <f t="shared" si="70"/>
        <v>1.4796556979982789</v>
      </c>
      <c r="J226" s="801"/>
    </row>
    <row r="227" spans="1:10" ht="16.5" customHeight="1">
      <c r="A227" s="1014" t="s">
        <v>503</v>
      </c>
      <c r="B227" s="857">
        <f>geral!G287</f>
        <v>403.96287303972281</v>
      </c>
      <c r="C227" s="857">
        <f t="shared" si="82"/>
        <v>1028.5574451970385</v>
      </c>
      <c r="D227" s="857">
        <f t="shared" si="83"/>
        <v>6.53381707455436E-2</v>
      </c>
      <c r="E227" s="857">
        <f t="shared" si="79"/>
        <v>7.0084822715279937</v>
      </c>
      <c r="F227" s="857">
        <f t="shared" si="80"/>
        <v>7.0084822715279937</v>
      </c>
      <c r="G227" s="870">
        <f t="shared" si="81"/>
        <v>15.236877204314014</v>
      </c>
      <c r="H227" s="1023">
        <f t="shared" si="70"/>
        <v>1.4786895492957632</v>
      </c>
      <c r="J227" s="801"/>
    </row>
    <row r="228" spans="1:10" ht="16.5" customHeight="1">
      <c r="A228" s="1014" t="s">
        <v>504</v>
      </c>
      <c r="B228" s="857">
        <f>geral!G288</f>
        <v>403.96287303972281</v>
      </c>
      <c r="C228" s="857">
        <f t="shared" si="82"/>
        <v>1028.5574451970385</v>
      </c>
      <c r="D228" s="857">
        <f t="shared" si="83"/>
        <v>0</v>
      </c>
      <c r="E228" s="857">
        <f t="shared" si="79"/>
        <v>7.0084822715279937</v>
      </c>
      <c r="F228" s="857">
        <f t="shared" si="80"/>
        <v>7.0084822715279937</v>
      </c>
      <c r="G228" s="870">
        <f t="shared" si="81"/>
        <v>15.236877204314014</v>
      </c>
      <c r="H228" s="1023">
        <f t="shared" si="70"/>
        <v>1.4786895492957632</v>
      </c>
      <c r="J228" s="801"/>
    </row>
    <row r="229" spans="1:10" ht="16.5" customHeight="1">
      <c r="A229" s="1014" t="s">
        <v>505</v>
      </c>
      <c r="B229" s="857">
        <f>geral!G289</f>
        <v>403.96287303972281</v>
      </c>
      <c r="C229" s="857">
        <f t="shared" si="82"/>
        <v>1028.5574451970385</v>
      </c>
      <c r="D229" s="857">
        <f t="shared" si="83"/>
        <v>0</v>
      </c>
      <c r="E229" s="857">
        <f t="shared" si="79"/>
        <v>7.0084822715279937</v>
      </c>
      <c r="F229" s="857">
        <f t="shared" si="80"/>
        <v>7.0084822715279937</v>
      </c>
      <c r="G229" s="870">
        <f t="shared" si="81"/>
        <v>15.236877204314014</v>
      </c>
      <c r="H229" s="1023">
        <f t="shared" si="70"/>
        <v>1.4786895492957632</v>
      </c>
      <c r="J229" s="801"/>
    </row>
    <row r="230" spans="1:10" ht="16.5" customHeight="1">
      <c r="A230" s="1014" t="s">
        <v>506</v>
      </c>
      <c r="B230" s="857">
        <f>geral!G290</f>
        <v>403.96287303972281</v>
      </c>
      <c r="C230" s="857">
        <f t="shared" si="82"/>
        <v>1028.5574451970385</v>
      </c>
      <c r="D230" s="857">
        <f t="shared" si="83"/>
        <v>0</v>
      </c>
      <c r="E230" s="857">
        <f t="shared" si="79"/>
        <v>7.0084822715279937</v>
      </c>
      <c r="F230" s="857">
        <f t="shared" si="80"/>
        <v>7.0084822715279937</v>
      </c>
      <c r="G230" s="870">
        <f t="shared" si="81"/>
        <v>15.236877204314014</v>
      </c>
      <c r="H230" s="1023">
        <f t="shared" si="70"/>
        <v>1.4786895492957632</v>
      </c>
      <c r="J230" s="801"/>
    </row>
    <row r="231" spans="1:10" ht="16.5" customHeight="1">
      <c r="A231" s="1014" t="s">
        <v>507</v>
      </c>
      <c r="B231" s="857">
        <f>geral!I279</f>
        <v>403.96287303972281</v>
      </c>
      <c r="C231" s="857">
        <f t="shared" si="82"/>
        <v>1028.5574451970385</v>
      </c>
      <c r="D231" s="857">
        <f t="shared" si="83"/>
        <v>0</v>
      </c>
      <c r="E231" s="857">
        <f t="shared" ref="E231:E236" si="84">100*((B231/$B$230)-1)</f>
        <v>0</v>
      </c>
      <c r="F231" s="857">
        <f t="shared" ref="F231:F236" si="85">100*((B231/B219)-1)</f>
        <v>6.9733094326065892</v>
      </c>
      <c r="G231" s="870">
        <f t="shared" ref="G231:G236" si="86">100*(B231/B207-1)</f>
        <v>15.236877204314014</v>
      </c>
      <c r="H231" s="1023">
        <f t="shared" si="70"/>
        <v>1.4786895492957632</v>
      </c>
      <c r="J231" s="801"/>
    </row>
    <row r="232" spans="1:10" ht="16.5" customHeight="1">
      <c r="A232" s="1014" t="s">
        <v>508</v>
      </c>
      <c r="B232" s="857">
        <f>geral!I280</f>
        <v>403.96287303972281</v>
      </c>
      <c r="C232" s="857">
        <f t="shared" si="82"/>
        <v>1028.5574451970385</v>
      </c>
      <c r="D232" s="857">
        <f t="shared" ref="D232:D237" si="87">100*(B232/B231-1)</f>
        <v>0</v>
      </c>
      <c r="E232" s="857">
        <f t="shared" si="84"/>
        <v>0</v>
      </c>
      <c r="F232" s="857">
        <f t="shared" si="85"/>
        <v>6.9733094326065892</v>
      </c>
      <c r="G232" s="870">
        <f t="shared" si="86"/>
        <v>15.236877204314014</v>
      </c>
      <c r="H232" s="1023">
        <f t="shared" si="70"/>
        <v>1.4786895492957632</v>
      </c>
      <c r="J232" s="801"/>
    </row>
    <row r="233" spans="1:10" ht="16.5" customHeight="1">
      <c r="A233" s="1014" t="s">
        <v>509</v>
      </c>
      <c r="B233" s="857">
        <f>geral!I281</f>
        <v>403.96287303972281</v>
      </c>
      <c r="C233" s="857">
        <f t="shared" si="82"/>
        <v>1028.5574451970385</v>
      </c>
      <c r="D233" s="857">
        <f t="shared" si="87"/>
        <v>0</v>
      </c>
      <c r="E233" s="857">
        <f t="shared" si="84"/>
        <v>0</v>
      </c>
      <c r="F233" s="857">
        <f t="shared" si="85"/>
        <v>6.9733094326065892</v>
      </c>
      <c r="G233" s="870">
        <f t="shared" si="86"/>
        <v>15.236877204314014</v>
      </c>
      <c r="H233" s="1023">
        <f t="shared" si="70"/>
        <v>1.4786895492957632</v>
      </c>
      <c r="J233" s="801"/>
    </row>
    <row r="234" spans="1:10" ht="16.5" customHeight="1">
      <c r="A234" s="1014" t="s">
        <v>510</v>
      </c>
      <c r="B234" s="857">
        <f>geral!I282</f>
        <v>403.96287303972281</v>
      </c>
      <c r="C234" s="857">
        <f t="shared" si="82"/>
        <v>1028.5574451970385</v>
      </c>
      <c r="D234" s="857">
        <f t="shared" si="87"/>
        <v>0</v>
      </c>
      <c r="E234" s="857">
        <f t="shared" si="84"/>
        <v>0</v>
      </c>
      <c r="F234" s="857">
        <f t="shared" si="85"/>
        <v>6.9733094326065892</v>
      </c>
      <c r="G234" s="870">
        <f t="shared" si="86"/>
        <v>15.236877204314014</v>
      </c>
      <c r="H234" s="1023">
        <f t="shared" si="70"/>
        <v>1.4786895492957632</v>
      </c>
      <c r="J234" s="801"/>
    </row>
    <row r="235" spans="1:10" ht="16.5" customHeight="1">
      <c r="A235" s="1014" t="s">
        <v>511</v>
      </c>
      <c r="B235" s="857">
        <f>geral!I283</f>
        <v>428.48830341516981</v>
      </c>
      <c r="C235" s="857">
        <f t="shared" si="82"/>
        <v>1091.0033175602819</v>
      </c>
      <c r="D235" s="857">
        <f t="shared" si="87"/>
        <v>6.0712090175265576</v>
      </c>
      <c r="E235" s="857">
        <f t="shared" si="84"/>
        <v>6.0712090175265576</v>
      </c>
      <c r="F235" s="857">
        <f t="shared" si="85"/>
        <v>7.7575238982810601</v>
      </c>
      <c r="G235" s="870">
        <f t="shared" si="86"/>
        <v>15.517295288914301</v>
      </c>
      <c r="H235" s="1023">
        <f t="shared" si="70"/>
        <v>1.3940536390524536</v>
      </c>
      <c r="J235" s="801"/>
    </row>
    <row r="236" spans="1:10" ht="16.5" customHeight="1">
      <c r="A236" s="1014" t="s">
        <v>512</v>
      </c>
      <c r="B236" s="857">
        <f>geral!I284</f>
        <v>428.48830341516981</v>
      </c>
      <c r="C236" s="857">
        <f t="shared" si="82"/>
        <v>1091.0033175602819</v>
      </c>
      <c r="D236" s="857">
        <f t="shared" si="87"/>
        <v>0</v>
      </c>
      <c r="E236" s="857">
        <f t="shared" si="84"/>
        <v>6.0712090175265576</v>
      </c>
      <c r="F236" s="857">
        <f t="shared" si="85"/>
        <v>7.7575238982810601</v>
      </c>
      <c r="G236" s="870">
        <f t="shared" si="86"/>
        <v>15.517295288914301</v>
      </c>
      <c r="H236" s="1023">
        <f t="shared" si="70"/>
        <v>1.3940536390524536</v>
      </c>
      <c r="J236" s="801"/>
    </row>
    <row r="237" spans="1:10" ht="16.5" customHeight="1">
      <c r="A237" s="1014" t="s">
        <v>513</v>
      </c>
      <c r="B237" s="857">
        <f>geral!I285</f>
        <v>435.83294971734841</v>
      </c>
      <c r="C237" s="857">
        <f t="shared" si="82"/>
        <v>1109.7040228493588</v>
      </c>
      <c r="D237" s="857">
        <f t="shared" si="87"/>
        <v>1.7140832651999505</v>
      </c>
      <c r="E237" s="857">
        <f t="shared" ref="E237:E242" si="88">100*((B237/$B$230)-1)</f>
        <v>7.8893578604912307</v>
      </c>
      <c r="F237" s="857">
        <f t="shared" ref="F237:F243" si="89">100*((B237/B225)-1)</f>
        <v>7.9598507933464013</v>
      </c>
      <c r="G237" s="870">
        <f t="shared" ref="G237:G243" si="90">100*(B237/B213-1)</f>
        <v>17.497357915873192</v>
      </c>
      <c r="H237" s="1023">
        <f t="shared" si="70"/>
        <v>1.3705610809249751</v>
      </c>
      <c r="J237" s="801"/>
    </row>
    <row r="238" spans="1:10" ht="16.5" customHeight="1">
      <c r="A238" s="1014" t="s">
        <v>514</v>
      </c>
      <c r="B238" s="857">
        <f>geral!I286</f>
        <v>435.83762819772915</v>
      </c>
      <c r="C238" s="857">
        <f t="shared" si="82"/>
        <v>1109.7159350476052</v>
      </c>
      <c r="D238" s="857">
        <f t="shared" ref="D238:D243" si="91">100*(B238/B237-1)</f>
        <v>1.0734572463588776E-3</v>
      </c>
      <c r="E238" s="857">
        <f t="shared" si="88"/>
        <v>7.8905160066212288</v>
      </c>
      <c r="F238" s="857">
        <f t="shared" si="89"/>
        <v>7.9610096961878929</v>
      </c>
      <c r="G238" s="870">
        <f t="shared" si="90"/>
        <v>17.498619199776002</v>
      </c>
      <c r="H238" s="1023">
        <f t="shared" si="70"/>
        <v>1.3705463686956658</v>
      </c>
      <c r="J238" s="801"/>
    </row>
    <row r="239" spans="1:10" ht="16.5" customHeight="1">
      <c r="A239" s="1014" t="s">
        <v>515</v>
      </c>
      <c r="B239" s="857">
        <f>geral!I287</f>
        <v>438.68864969724416</v>
      </c>
      <c r="C239" s="857">
        <f t="shared" si="82"/>
        <v>1116.9751154957419</v>
      </c>
      <c r="D239" s="857">
        <f t="shared" si="91"/>
        <v>0.6541476263315138</v>
      </c>
      <c r="E239" s="857">
        <f t="shared" si="88"/>
        <v>8.5962792561153698</v>
      </c>
      <c r="F239" s="857">
        <f t="shared" si="89"/>
        <v>8.5962792561153698</v>
      </c>
      <c r="G239" s="870">
        <f t="shared" si="90"/>
        <v>16.207230235319248</v>
      </c>
      <c r="H239" s="1023">
        <f t="shared" si="70"/>
        <v>1.361639237941473</v>
      </c>
      <c r="J239" s="801"/>
    </row>
    <row r="240" spans="1:10" ht="16.5" customHeight="1">
      <c r="A240" s="1014" t="s">
        <v>516</v>
      </c>
      <c r="B240" s="857">
        <f>geral!I288</f>
        <v>438.73440291371099</v>
      </c>
      <c r="C240" s="857">
        <f t="shared" si="82"/>
        <v>1117.0916108832623</v>
      </c>
      <c r="D240" s="857">
        <f t="shared" si="91"/>
        <v>1.042954188543721E-2</v>
      </c>
      <c r="E240" s="857">
        <f t="shared" si="88"/>
        <v>8.607605350546411</v>
      </c>
      <c r="F240" s="857">
        <f t="shared" si="89"/>
        <v>8.607605350546411</v>
      </c>
      <c r="G240" s="870">
        <f t="shared" si="90"/>
        <v>16.21935011707054</v>
      </c>
      <c r="H240" s="1023">
        <f t="shared" si="70"/>
        <v>1.3614972400165566</v>
      </c>
      <c r="J240" s="801"/>
    </row>
    <row r="241" spans="1:10" ht="16.5" customHeight="1">
      <c r="A241" s="1014" t="s">
        <v>517</v>
      </c>
      <c r="B241" s="857">
        <f>geral!I289</f>
        <v>438.78445379330037</v>
      </c>
      <c r="C241" s="857">
        <f t="shared" si="82"/>
        <v>1117.2190488442136</v>
      </c>
      <c r="D241" s="857">
        <f t="shared" si="91"/>
        <v>1.1408013426117414E-2</v>
      </c>
      <c r="E241" s="857">
        <f t="shared" si="88"/>
        <v>8.6199953207465754</v>
      </c>
      <c r="F241" s="857">
        <f t="shared" si="89"/>
        <v>8.6199953207465754</v>
      </c>
      <c r="G241" s="870">
        <f t="shared" si="90"/>
        <v>16.232608436135632</v>
      </c>
      <c r="H241" s="1023">
        <f t="shared" si="70"/>
        <v>1.3613419379455003</v>
      </c>
      <c r="J241" s="801"/>
    </row>
    <row r="242" spans="1:10" ht="16.5" customHeight="1">
      <c r="A242" s="1014" t="s">
        <v>518</v>
      </c>
      <c r="B242" s="857">
        <f>geral!I290</f>
        <v>438.82517104898903</v>
      </c>
      <c r="C242" s="857">
        <f t="shared" si="82"/>
        <v>1117.3227218282468</v>
      </c>
      <c r="D242" s="857">
        <f t="shared" si="91"/>
        <v>9.2795574995196972E-3</v>
      </c>
      <c r="E242" s="857">
        <f t="shared" si="88"/>
        <v>8.6300747756683283</v>
      </c>
      <c r="F242" s="857">
        <f t="shared" si="89"/>
        <v>8.6300747756683283</v>
      </c>
      <c r="G242" s="870">
        <f t="shared" si="90"/>
        <v>16.243394307868652</v>
      </c>
      <c r="H242" s="1023">
        <f t="shared" si="70"/>
        <v>1.3612156231590569</v>
      </c>
      <c r="J242" s="801"/>
    </row>
    <row r="243" spans="1:10" ht="16.5" customHeight="1">
      <c r="A243" s="1014" t="s">
        <v>519</v>
      </c>
      <c r="B243" s="857">
        <f>geral!K279</f>
        <v>438.82903140408024</v>
      </c>
      <c r="C243" s="857">
        <f t="shared" si="82"/>
        <v>1117.3325509418489</v>
      </c>
      <c r="D243" s="857">
        <f t="shared" si="91"/>
        <v>8.7970229283307333E-4</v>
      </c>
      <c r="E243" s="857">
        <f t="shared" ref="E243:E248" si="92">100*((B243/$B$242)-1)</f>
        <v>8.7970229283307333E-4</v>
      </c>
      <c r="F243" s="857">
        <f t="shared" si="89"/>
        <v>8.6310303969268318</v>
      </c>
      <c r="G243" s="870">
        <f t="shared" si="90"/>
        <v>16.206208286333478</v>
      </c>
      <c r="H243" s="1023">
        <f t="shared" si="70"/>
        <v>1.3612036486193502</v>
      </c>
      <c r="J243" s="801"/>
    </row>
    <row r="244" spans="1:10" ht="16.5" customHeight="1">
      <c r="A244" s="1014" t="s">
        <v>520</v>
      </c>
      <c r="B244" s="857">
        <f>geral!K280</f>
        <v>416.11304866851987</v>
      </c>
      <c r="C244" s="857">
        <f t="shared" si="82"/>
        <v>1059.493836725826</v>
      </c>
      <c r="D244" s="857">
        <f t="shared" ref="D244:D249" si="93">100*(B244/B243-1)</f>
        <v>-5.1764995271343262</v>
      </c>
      <c r="E244" s="857">
        <f t="shared" si="92"/>
        <v>-5.1756653626265354</v>
      </c>
      <c r="F244" s="857">
        <f t="shared" ref="F244:F249" si="94">100*((B244/B232)-1)</f>
        <v>3.0077456221087706</v>
      </c>
      <c r="G244" s="870">
        <f t="shared" ref="G244:G249" si="95">100*(B244/B220-1)</f>
        <v>10.190794463890684</v>
      </c>
      <c r="H244" s="1023">
        <f t="shared" si="70"/>
        <v>1.4355129707628405</v>
      </c>
      <c r="J244" s="801"/>
    </row>
    <row r="245" spans="1:10" ht="16.5" customHeight="1">
      <c r="A245" s="1014" t="s">
        <v>521</v>
      </c>
      <c r="B245" s="857">
        <f>geral!K281</f>
        <v>416.16566613476874</v>
      </c>
      <c r="C245" s="857">
        <f t="shared" si="82"/>
        <v>1059.6278096482645</v>
      </c>
      <c r="D245" s="857">
        <f t="shared" si="93"/>
        <v>1.2644993089550027E-2</v>
      </c>
      <c r="E245" s="857">
        <f t="shared" si="92"/>
        <v>-5.1636748320644248</v>
      </c>
      <c r="F245" s="857">
        <f t="shared" si="94"/>
        <v>3.0207709444243891</v>
      </c>
      <c r="G245" s="870">
        <f t="shared" si="95"/>
        <v>10.204728082235981</v>
      </c>
      <c r="H245" s="1023">
        <f t="shared" si="70"/>
        <v>1.4353314731972424</v>
      </c>
      <c r="J245" s="801"/>
    </row>
    <row r="246" spans="1:10" ht="16.5" customHeight="1">
      <c r="A246" s="1014" t="s">
        <v>522</v>
      </c>
      <c r="B246" s="857">
        <f>geral!K282</f>
        <v>416.23458382390339</v>
      </c>
      <c r="C246" s="857">
        <f t="shared" si="82"/>
        <v>1059.8032856808311</v>
      </c>
      <c r="D246" s="857">
        <f t="shared" si="93"/>
        <v>1.6560157346656723E-2</v>
      </c>
      <c r="E246" s="857">
        <f t="shared" si="92"/>
        <v>-5.1479697873948354</v>
      </c>
      <c r="F246" s="857">
        <f t="shared" si="94"/>
        <v>3.0378313461925099</v>
      </c>
      <c r="G246" s="870">
        <f t="shared" si="95"/>
        <v>10.222978158609841</v>
      </c>
      <c r="H246" s="1023">
        <f t="shared" si="70"/>
        <v>1.4350938194026774</v>
      </c>
      <c r="J246" s="801"/>
    </row>
    <row r="247" spans="1:10" ht="16.5" customHeight="1">
      <c r="A247" s="1014" t="s">
        <v>523</v>
      </c>
      <c r="B247" s="857">
        <f>geral!K283</f>
        <v>436.77297688535879</v>
      </c>
      <c r="C247" s="857">
        <f t="shared" si="82"/>
        <v>1112.0974901872582</v>
      </c>
      <c r="D247" s="857">
        <f t="shared" si="93"/>
        <v>4.9343312304257259</v>
      </c>
      <c r="E247" s="857">
        <f t="shared" si="92"/>
        <v>-0.46765643792141542</v>
      </c>
      <c r="F247" s="857">
        <f t="shared" si="94"/>
        <v>1.933465488826136</v>
      </c>
      <c r="G247" s="870">
        <f t="shared" si="95"/>
        <v>9.8409784344679174</v>
      </c>
      <c r="H247" s="1023">
        <f t="shared" si="70"/>
        <v>1.3676113456627927</v>
      </c>
      <c r="J247" s="801"/>
    </row>
    <row r="248" spans="1:10" ht="16.5" customHeight="1">
      <c r="A248" s="1014" t="s">
        <v>524</v>
      </c>
      <c r="B248" s="857">
        <f>geral!K284</f>
        <v>437.24648137301307</v>
      </c>
      <c r="C248" s="857">
        <f t="shared" si="82"/>
        <v>1113.3031122842749</v>
      </c>
      <c r="D248" s="857">
        <f t="shared" si="93"/>
        <v>0.10840974893429056</v>
      </c>
      <c r="E248" s="857">
        <f t="shared" si="92"/>
        <v>-0.35975367415733706</v>
      </c>
      <c r="F248" s="857">
        <f t="shared" si="94"/>
        <v>2.0439713028426176</v>
      </c>
      <c r="G248" s="870">
        <f t="shared" si="95"/>
        <v>9.9600567634156931</v>
      </c>
      <c r="H248" s="1023">
        <f t="shared" si="70"/>
        <v>1.3661303272049545</v>
      </c>
      <c r="J248" s="801"/>
    </row>
    <row r="249" spans="1:10" ht="16.5" customHeight="1">
      <c r="A249" s="1014" t="s">
        <v>525</v>
      </c>
      <c r="B249" s="857">
        <f>geral!K285</f>
        <v>437.28414668099015</v>
      </c>
      <c r="C249" s="857">
        <f t="shared" si="82"/>
        <v>1113.3990144959162</v>
      </c>
      <c r="D249" s="857">
        <f t="shared" si="93"/>
        <v>8.6142049351201067E-3</v>
      </c>
      <c r="E249" s="857">
        <f t="shared" ref="E249:E254" si="96">100*((B249/$B$242)-1)</f>
        <v>-0.35117045914097034</v>
      </c>
      <c r="F249" s="857">
        <f t="shared" si="94"/>
        <v>0.33297091571045101</v>
      </c>
      <c r="G249" s="870">
        <f t="shared" si="95"/>
        <v>8.3193256971326512</v>
      </c>
      <c r="H249" s="1023">
        <f t="shared" si="70"/>
        <v>1.3660126560753205</v>
      </c>
      <c r="J249" s="801"/>
    </row>
    <row r="250" spans="1:10" ht="16.5" customHeight="1">
      <c r="A250" s="1014" t="s">
        <v>526</v>
      </c>
      <c r="B250" s="857">
        <f>geral!K286</f>
        <v>445.00079987595001</v>
      </c>
      <c r="C250" s="857">
        <f t="shared" si="82"/>
        <v>1133.046911927567</v>
      </c>
      <c r="D250" s="857">
        <f t="shared" ref="D250:D255" si="97">100*(B250/B249-1)</f>
        <v>1.7646770992110428</v>
      </c>
      <c r="E250" s="857">
        <f t="shared" si="96"/>
        <v>1.407309615398411</v>
      </c>
      <c r="F250" s="857">
        <f t="shared" ref="F250:F255" si="98">100*((B250/B238)-1)</f>
        <v>2.1024278505076044</v>
      </c>
      <c r="G250" s="870">
        <f t="shared" ref="G250:G255" si="99">100*(B250/B226-1)</f>
        <v>10.230812031729775</v>
      </c>
      <c r="H250" s="1023">
        <f t="shared" si="70"/>
        <v>1.3423249549974849</v>
      </c>
      <c r="J250" s="801"/>
    </row>
    <row r="251" spans="1:10" ht="16.5" customHeight="1">
      <c r="A251" s="1014" t="s">
        <v>527</v>
      </c>
      <c r="B251" s="857">
        <f>geral!K287</f>
        <v>445.01703211785929</v>
      </c>
      <c r="C251" s="857">
        <f t="shared" si="82"/>
        <v>1133.0882419466907</v>
      </c>
      <c r="D251" s="857">
        <f t="shared" si="97"/>
        <v>3.6476882544489442E-3</v>
      </c>
      <c r="E251" s="857">
        <f t="shared" si="96"/>
        <v>1.4110086379204079</v>
      </c>
      <c r="F251" s="857">
        <f t="shared" si="98"/>
        <v>1.442568077606432</v>
      </c>
      <c r="G251" s="870">
        <f t="shared" si="99"/>
        <v>10.162854514132412</v>
      </c>
      <c r="H251" s="1023">
        <f t="shared" si="70"/>
        <v>1.3422759929537476</v>
      </c>
      <c r="J251" s="801"/>
    </row>
    <row r="252" spans="1:10" ht="16.5" customHeight="1">
      <c r="A252" s="1014" t="s">
        <v>528</v>
      </c>
      <c r="B252" s="857">
        <f>geral!K288</f>
        <v>445.0410687123333</v>
      </c>
      <c r="C252" s="857">
        <f t="shared" si="82"/>
        <v>1133.1494431605977</v>
      </c>
      <c r="D252" s="857">
        <f t="shared" si="97"/>
        <v>5.4012751735887932E-3</v>
      </c>
      <c r="E252" s="857">
        <f t="shared" si="96"/>
        <v>1.4164861255532513</v>
      </c>
      <c r="F252" s="857">
        <f t="shared" si="98"/>
        <v>1.4374678066590318</v>
      </c>
      <c r="G252" s="870">
        <f t="shared" si="99"/>
        <v>10.1688047130438</v>
      </c>
      <c r="H252" s="1023">
        <f t="shared" si="70"/>
        <v>1.3422034968494934</v>
      </c>
      <c r="J252" s="801"/>
    </row>
    <row r="253" spans="1:10" ht="16.5" customHeight="1">
      <c r="A253" s="1014" t="s">
        <v>529</v>
      </c>
      <c r="B253" s="857">
        <f>geral!K289</f>
        <v>445.07295872551498</v>
      </c>
      <c r="C253" s="857">
        <f t="shared" si="82"/>
        <v>1133.230640499944</v>
      </c>
      <c r="D253" s="857">
        <f t="shared" si="97"/>
        <v>7.1656337861103481E-3</v>
      </c>
      <c r="E253" s="857">
        <f t="shared" si="96"/>
        <v>1.4237532595477331</v>
      </c>
      <c r="F253" s="857">
        <f t="shared" si="98"/>
        <v>1.4331649350496356</v>
      </c>
      <c r="G253" s="870">
        <f t="shared" si="99"/>
        <v>10.176699006136069</v>
      </c>
      <c r="H253" s="1023">
        <f t="shared" si="70"/>
        <v>1.3421073263534704</v>
      </c>
      <c r="J253" s="801"/>
    </row>
    <row r="254" spans="1:10" ht="16.5" customHeight="1">
      <c r="A254" s="1014" t="s">
        <v>530</v>
      </c>
      <c r="B254" s="857">
        <f>geral!K290</f>
        <v>445.22676507607042</v>
      </c>
      <c r="C254" s="857">
        <f t="shared" si="82"/>
        <v>1133.6222573477796</v>
      </c>
      <c r="D254" s="857">
        <f t="shared" si="97"/>
        <v>3.4557559056347387E-2</v>
      </c>
      <c r="E254" s="857">
        <f t="shared" si="96"/>
        <v>1.4588028329775904</v>
      </c>
      <c r="F254" s="857">
        <f t="shared" si="98"/>
        <v>1.4588028329775904</v>
      </c>
      <c r="G254" s="870">
        <f t="shared" si="99"/>
        <v>10.214773383961461</v>
      </c>
      <c r="H254" s="1023">
        <f t="shared" si="70"/>
        <v>1.3416436870439943</v>
      </c>
      <c r="J254" s="801"/>
    </row>
    <row r="255" spans="1:10" ht="16.5" customHeight="1">
      <c r="A255" s="1014" t="s">
        <v>531</v>
      </c>
      <c r="B255" s="857">
        <f>geral!M279</f>
        <v>445.81565019322875</v>
      </c>
      <c r="C255" s="857">
        <f t="shared" si="82"/>
        <v>1135.1216579413567</v>
      </c>
      <c r="D255" s="857">
        <f t="shared" si="97"/>
        <v>0.13226633332741322</v>
      </c>
      <c r="E255" s="857">
        <f t="shared" ref="E255:E260" si="100">100*((B255/$B$254)-1)</f>
        <v>0.13226633332741322</v>
      </c>
      <c r="F255" s="857">
        <f t="shared" si="98"/>
        <v>1.592104963245955</v>
      </c>
      <c r="G255" s="870">
        <f t="shared" si="99"/>
        <v>10.360550423501525</v>
      </c>
      <c r="H255" s="1023">
        <f t="shared" si="70"/>
        <v>1.339871488155312</v>
      </c>
      <c r="J255" s="801"/>
    </row>
    <row r="256" spans="1:10" ht="16.5" customHeight="1">
      <c r="A256" s="1014" t="s">
        <v>649</v>
      </c>
      <c r="B256" s="857">
        <f>geral!M280</f>
        <v>446.84037179766915</v>
      </c>
      <c r="C256" s="857">
        <f t="shared" ref="C256:C261" si="101">100*B256*E$129/$B$9</f>
        <v>1137.7307715650184</v>
      </c>
      <c r="D256" s="857">
        <f t="shared" ref="D256:D261" si="102">100*(B256/B255-1)</f>
        <v>0.22985321488742105</v>
      </c>
      <c r="E256" s="857">
        <f t="shared" si="100"/>
        <v>0.36242356663418462</v>
      </c>
      <c r="F256" s="857">
        <f t="shared" ref="F256:F261" si="103">100*((B256/B244)-1)</f>
        <v>7.3843690380464455</v>
      </c>
      <c r="G256" s="870">
        <f t="shared" ref="G256:G261" si="104">100*(B256/B232-1)</f>
        <v>10.614217696617413</v>
      </c>
      <c r="H256" s="1023">
        <f t="shared" si="70"/>
        <v>1.3367988131068089</v>
      </c>
      <c r="J256" s="801"/>
    </row>
    <row r="257" spans="1:10" ht="16.5" customHeight="1">
      <c r="A257" s="1014" t="s">
        <v>650</v>
      </c>
      <c r="B257" s="857">
        <f>geral!M281</f>
        <v>448.6787626182624</v>
      </c>
      <c r="C257" s="857">
        <f t="shared" si="101"/>
        <v>1142.4116239202722</v>
      </c>
      <c r="D257" s="857">
        <f t="shared" si="102"/>
        <v>0.4114200364656595</v>
      </c>
      <c r="E257" s="857">
        <f t="shared" si="100"/>
        <v>0.77533468626984625</v>
      </c>
      <c r="F257" s="857">
        <f t="shared" si="103"/>
        <v>7.8125369604528538</v>
      </c>
      <c r="G257" s="870">
        <f t="shared" si="104"/>
        <v>11.069306751401031</v>
      </c>
      <c r="H257" s="1023">
        <f t="shared" si="70"/>
        <v>1.3313214897482117</v>
      </c>
      <c r="J257" s="801"/>
    </row>
    <row r="258" spans="1:10" ht="16.5" customHeight="1">
      <c r="A258" s="1014" t="s">
        <v>652</v>
      </c>
      <c r="B258" s="857">
        <f>geral!M282</f>
        <v>448.81494476718171</v>
      </c>
      <c r="C258" s="857">
        <f t="shared" si="101"/>
        <v>1142.7583665853094</v>
      </c>
      <c r="D258" s="857">
        <f t="shared" si="102"/>
        <v>3.0351815210649669E-2</v>
      </c>
      <c r="E258" s="857">
        <f t="shared" si="100"/>
        <v>0.80592182963175052</v>
      </c>
      <c r="F258" s="857">
        <f t="shared" si="103"/>
        <v>7.827403634740282</v>
      </c>
      <c r="G258" s="870">
        <f t="shared" si="104"/>
        <v>11.103018302141955</v>
      </c>
      <c r="H258" s="1023">
        <f t="shared" si="70"/>
        <v>1.3309175321182571</v>
      </c>
      <c r="J258" s="801"/>
    </row>
    <row r="259" spans="1:10" ht="16.5" customHeight="1">
      <c r="A259" s="1014" t="s">
        <v>653</v>
      </c>
      <c r="B259" s="857">
        <f>geral!M283</f>
        <v>473.32484766290173</v>
      </c>
      <c r="C259" s="857">
        <f t="shared" si="101"/>
        <v>1205.1647033725278</v>
      </c>
      <c r="D259" s="857">
        <f t="shared" si="102"/>
        <v>5.4610264612365622</v>
      </c>
      <c r="E259" s="857">
        <f t="shared" si="100"/>
        <v>6.3109598952413748</v>
      </c>
      <c r="F259" s="857">
        <f t="shared" si="103"/>
        <v>8.3686200181603443</v>
      </c>
      <c r="G259" s="870">
        <f t="shared" si="104"/>
        <v>10.463889886928612</v>
      </c>
      <c r="H259" s="1023">
        <f t="shared" si="70"/>
        <v>1.2619994103769241</v>
      </c>
      <c r="J259" s="801"/>
    </row>
    <row r="260" spans="1:10" ht="16.5" customHeight="1">
      <c r="A260" s="1014" t="s">
        <v>654</v>
      </c>
      <c r="B260" s="857">
        <f>geral!M284</f>
        <v>476.17196324930632</v>
      </c>
      <c r="C260" s="857">
        <f t="shared" si="101"/>
        <v>1212.4139387086796</v>
      </c>
      <c r="D260" s="857">
        <f t="shared" si="102"/>
        <v>0.60151407652959676</v>
      </c>
      <c r="E260" s="857">
        <f t="shared" si="100"/>
        <v>6.9504352839049766</v>
      </c>
      <c r="F260" s="857">
        <f t="shared" si="103"/>
        <v>8.9024116910128015</v>
      </c>
      <c r="G260" s="870">
        <f t="shared" si="104"/>
        <v>11.128345734080636</v>
      </c>
      <c r="H260" s="1023">
        <f t="shared" si="70"/>
        <v>1.2544536948190419</v>
      </c>
      <c r="J260" s="801"/>
    </row>
    <row r="261" spans="1:10" ht="16.5" customHeight="1">
      <c r="A261" s="1014" t="s">
        <v>657</v>
      </c>
      <c r="B261" s="857">
        <f>geral!M285</f>
        <v>486.2234470421991</v>
      </c>
      <c r="C261" s="857">
        <f t="shared" si="101"/>
        <v>1238.0067076992116</v>
      </c>
      <c r="D261" s="857">
        <f t="shared" si="102"/>
        <v>2.110893662092872</v>
      </c>
      <c r="E261" s="857">
        <f t="shared" ref="E261:E266" si="105">100*((B261/$B$254)-1)</f>
        <v>9.2080452438936469</v>
      </c>
      <c r="F261" s="857">
        <f t="shared" si="103"/>
        <v>11.19164752087649</v>
      </c>
      <c r="G261" s="870">
        <f t="shared" si="104"/>
        <v>11.561883367820291</v>
      </c>
      <c r="H261" s="1023">
        <f t="shared" si="70"/>
        <v>1.2285209244865702</v>
      </c>
      <c r="J261" s="801"/>
    </row>
    <row r="262" spans="1:10" ht="16.5" customHeight="1">
      <c r="A262" s="1014" t="str">
        <f>ajud!A192</f>
        <v>AGOSTO|15</v>
      </c>
      <c r="B262" s="857">
        <f>geral!M286</f>
        <v>486.27786751163529</v>
      </c>
      <c r="C262" s="857">
        <f t="shared" ref="C262:C267" si="106">100*B262*E$129/$B$9</f>
        <v>1238.1452713711365</v>
      </c>
      <c r="D262" s="857">
        <f t="shared" ref="D262:D267" si="107">100*(B262/B261-1)</f>
        <v>1.1192481515909236E-2</v>
      </c>
      <c r="E262" s="857">
        <f t="shared" si="105"/>
        <v>9.2202683341714664</v>
      </c>
      <c r="F262" s="857">
        <f t="shared" ref="F262:F267" si="108">100*((B262/B250)-1)</f>
        <v>9.275728863227183</v>
      </c>
      <c r="G262" s="870">
        <f t="shared" ref="G262:G267" si="109">100*(B262/B238-1)</f>
        <v>11.57317222069285</v>
      </c>
      <c r="H262" s="1023">
        <f t="shared" si="70"/>
        <v>1.2283834378973391</v>
      </c>
      <c r="J262" s="801"/>
    </row>
    <row r="263" spans="1:10" ht="16.5" customHeight="1">
      <c r="A263" s="1032" t="str">
        <f>ajud!A193</f>
        <v>SETEMBRO|15</v>
      </c>
      <c r="B263" s="918">
        <f>geral!M287</f>
        <v>486.30146066170386</v>
      </c>
      <c r="C263" s="918">
        <f t="shared" si="106"/>
        <v>1238.2053435009736</v>
      </c>
      <c r="D263" s="918">
        <f t="shared" si="107"/>
        <v>4.8517836498174205E-3</v>
      </c>
      <c r="E263" s="918">
        <f t="shared" si="105"/>
        <v>9.2255674652927731</v>
      </c>
      <c r="F263" s="918">
        <f t="shared" si="108"/>
        <v>9.2770445992527151</v>
      </c>
      <c r="G263" s="1076">
        <f t="shared" si="109"/>
        <v>10.853440360793275</v>
      </c>
      <c r="H263" s="1023">
        <f t="shared" si="70"/>
        <v>1.2283238422819927</v>
      </c>
      <c r="J263" s="801"/>
    </row>
    <row r="264" spans="1:10" ht="16.5" customHeight="1">
      <c r="A264" s="1032" t="str">
        <f>ajud!A194</f>
        <v>OUTUBRO|15</v>
      </c>
      <c r="B264" s="918">
        <f>geral!M288</f>
        <v>486.34971101290904</v>
      </c>
      <c r="C264" s="918">
        <f t="shared" si="106"/>
        <v>1238.3281970137039</v>
      </c>
      <c r="D264" s="918">
        <f t="shared" si="107"/>
        <v>9.9219013530271738E-3</v>
      </c>
      <c r="E264" s="918">
        <f t="shared" si="105"/>
        <v>9.2364047183489681</v>
      </c>
      <c r="F264" s="918">
        <f t="shared" si="108"/>
        <v>9.2819843391300338</v>
      </c>
      <c r="G264" s="1076">
        <f t="shared" si="109"/>
        <v>10.852877682483197</v>
      </c>
      <c r="H264" s="1023">
        <f t="shared" si="70"/>
        <v>1.2282019812929927</v>
      </c>
      <c r="J264" s="801"/>
    </row>
    <row r="265" spans="1:10" ht="16.5" customHeight="1">
      <c r="A265" s="1032" t="str">
        <f>ajud!A195</f>
        <v>NOVEMBRO|15</v>
      </c>
      <c r="B265" s="918">
        <f>geral!M289</f>
        <v>486.42293111007984</v>
      </c>
      <c r="C265" s="918">
        <f t="shared" si="106"/>
        <v>1238.5146277010499</v>
      </c>
      <c r="D265" s="918">
        <f t="shared" si="107"/>
        <v>1.5055030467348018E-2</v>
      </c>
      <c r="E265" s="918">
        <f t="shared" si="105"/>
        <v>9.252850292360737</v>
      </c>
      <c r="F265" s="918">
        <f t="shared" si="108"/>
        <v>9.2906054106212785</v>
      </c>
      <c r="G265" s="1076">
        <f t="shared" si="109"/>
        <v>10.856920044669739</v>
      </c>
      <c r="H265" s="1023">
        <f t="shared" si="70"/>
        <v>1.2280171029440006</v>
      </c>
      <c r="J265" s="801"/>
    </row>
    <row r="266" spans="1:10" ht="16.5" customHeight="1">
      <c r="A266" s="1032" t="str">
        <f>ajud!A196</f>
        <v>DEZEMBRO|15</v>
      </c>
      <c r="B266" s="918">
        <f>geral!M290</f>
        <v>486.52804434037193</v>
      </c>
      <c r="C266" s="918">
        <f t="shared" si="106"/>
        <v>1238.7822636716332</v>
      </c>
      <c r="D266" s="918">
        <f t="shared" si="107"/>
        <v>2.1609431539793E-2</v>
      </c>
      <c r="E266" s="918">
        <f t="shared" si="105"/>
        <v>9.2764592122499323</v>
      </c>
      <c r="F266" s="918">
        <f t="shared" si="108"/>
        <v>9.2764592122499323</v>
      </c>
      <c r="G266" s="1076">
        <f t="shared" si="109"/>
        <v>10.870587295015843</v>
      </c>
      <c r="H266" s="1023">
        <f t="shared" si="70"/>
        <v>1.2277517927608652</v>
      </c>
      <c r="J266" s="801"/>
    </row>
    <row r="267" spans="1:10" ht="16.5" customHeight="1">
      <c r="A267" s="1032" t="str">
        <f>ajud!A197</f>
        <v>JANEIRO|16</v>
      </c>
      <c r="B267" s="918">
        <f>geral!O279</f>
        <v>486.6152425271348</v>
      </c>
      <c r="C267" s="918">
        <f t="shared" si="106"/>
        <v>1239.0042849270219</v>
      </c>
      <c r="D267" s="918">
        <f t="shared" si="107"/>
        <v>1.7922540699810696E-2</v>
      </c>
      <c r="E267" s="918">
        <f t="shared" ref="E267:E272" si="110">100*((B267/$B$266)-1)</f>
        <v>1.7922540699810696E-2</v>
      </c>
      <c r="F267" s="918">
        <f t="shared" si="108"/>
        <v>9.1516734139374343</v>
      </c>
      <c r="G267" s="1076">
        <f t="shared" si="109"/>
        <v>10.889482623826741</v>
      </c>
      <c r="H267" s="1023">
        <f t="shared" si="70"/>
        <v>1.2275317878765801</v>
      </c>
      <c r="J267" s="801"/>
    </row>
    <row r="268" spans="1:10" ht="16.5" customHeight="1">
      <c r="A268" s="1032" t="str">
        <f>ajud!A198</f>
        <v>FEVEREIRO|16</v>
      </c>
      <c r="B268" s="918">
        <f>geral!O280</f>
        <v>487.04984998552271</v>
      </c>
      <c r="C268" s="918">
        <f t="shared" ref="C268" si="111">100*B268*E$129/$B$9</f>
        <v>1240.1108686427463</v>
      </c>
      <c r="D268" s="918">
        <f t="shared" ref="D268" si="112">100*(B268/B267-1)</f>
        <v>8.931233968973995E-2</v>
      </c>
      <c r="E268" s="918">
        <f t="shared" si="110"/>
        <v>0.10725088742997713</v>
      </c>
      <c r="F268" s="918">
        <f t="shared" ref="F268" si="113">100*((B268/B256)-1)</f>
        <v>8.9986224892992794</v>
      </c>
      <c r="G268" s="1076">
        <f t="shared" ref="G268" si="114">100*(B268/B244-1)</f>
        <v>17.047483020296216</v>
      </c>
      <c r="H268" s="1023">
        <f t="shared" si="70"/>
        <v>1.2264364288072049</v>
      </c>
      <c r="J268" s="801"/>
    </row>
    <row r="269" spans="1:10" ht="16.5" customHeight="1">
      <c r="A269" s="1032" t="str">
        <f>ajud!A199</f>
        <v>MARÇO|16</v>
      </c>
      <c r="B269" s="918">
        <f>geral!O281</f>
        <v>487.1441232495589</v>
      </c>
      <c r="C269" s="918">
        <f t="shared" ref="C269" si="115">100*B269*E$129/$B$9</f>
        <v>1240.3509042353189</v>
      </c>
      <c r="D269" s="918">
        <f t="shared" ref="D269" si="116">100*(B269/B268-1)</f>
        <v>1.9355978456614409E-2</v>
      </c>
      <c r="E269" s="918">
        <f t="shared" si="110"/>
        <v>0.12662762534525474</v>
      </c>
      <c r="F269" s="918">
        <f t="shared" ref="F269" si="117">100*((B269/B257)-1)</f>
        <v>8.5730290435036771</v>
      </c>
      <c r="G269" s="1076">
        <f t="shared" ref="G269" si="118">100*(B269/B245-1)</f>
        <v>17.055337066610598</v>
      </c>
      <c r="H269" s="1023">
        <f t="shared" si="70"/>
        <v>1.2261990859762881</v>
      </c>
      <c r="J269" s="801"/>
    </row>
    <row r="270" spans="1:10" ht="16.5" customHeight="1">
      <c r="A270" s="1032" t="str">
        <f>ajud!A200</f>
        <v>ABRIL|16</v>
      </c>
      <c r="B270" s="918">
        <f>geral!O282</f>
        <v>487.18820145842159</v>
      </c>
      <c r="C270" s="918">
        <f t="shared" ref="C270" si="119">100*B270*E$129/$B$9</f>
        <v>1240.463134771644</v>
      </c>
      <c r="D270" s="918">
        <f t="shared" ref="D270" si="120">100*(B270/B269-1)</f>
        <v>9.0482891528465004E-3</v>
      </c>
      <c r="E270" s="918">
        <f t="shared" si="110"/>
        <v>0.1356873721317875</v>
      </c>
      <c r="F270" s="918">
        <f t="shared" ref="F270" si="121">100*((B270/B258)-1)</f>
        <v>8.5499061781789898</v>
      </c>
      <c r="G270" s="1076">
        <f t="shared" ref="G270" si="122">100*(B270/B246-1)</f>
        <v>17.04654547987694</v>
      </c>
      <c r="H270" s="1023">
        <f t="shared" si="70"/>
        <v>1.2260881459755715</v>
      </c>
      <c r="J270" s="801"/>
    </row>
    <row r="271" spans="1:10" ht="16.5" customHeight="1">
      <c r="A271" s="1032" t="str">
        <f>ajud!A201</f>
        <v>MAIO|16</v>
      </c>
      <c r="B271" s="918">
        <f>geral!O283</f>
        <v>509.60667355910698</v>
      </c>
      <c r="C271" s="918">
        <f t="shared" ref="C271" si="123">100*B271*E$129/$B$9</f>
        <v>1297.5443368523972</v>
      </c>
      <c r="D271" s="918">
        <f t="shared" ref="D271" si="124">100*(B271/B270-1)</f>
        <v>4.6016040687304471</v>
      </c>
      <c r="E271" s="918">
        <f t="shared" si="110"/>
        <v>4.7435352364989969</v>
      </c>
      <c r="F271" s="918">
        <f t="shared" ref="F271" si="125">100*((B271/B259)-1)</f>
        <v>7.6653119047840335</v>
      </c>
      <c r="G271" s="1076">
        <f t="shared" ref="G271" si="126">100*(B271/B247-1)</f>
        <v>16.675412749462538</v>
      </c>
      <c r="H271" s="1023">
        <f t="shared" si="70"/>
        <v>1.1721504243567311</v>
      </c>
      <c r="J271" s="801"/>
    </row>
    <row r="272" spans="1:10" ht="16.5" customHeight="1">
      <c r="A272" s="1032" t="str">
        <f>ajud!A202</f>
        <v>JUNHO|16</v>
      </c>
      <c r="B272" s="918">
        <f>geral!O284</f>
        <v>515.78562013498197</v>
      </c>
      <c r="C272" s="918">
        <f t="shared" ref="C272" si="127">100*B272*E$129/$B$9</f>
        <v>1313.276974498694</v>
      </c>
      <c r="D272" s="918">
        <f t="shared" ref="D272" si="128">100*(B272/B271-1)</f>
        <v>1.2124932612677553</v>
      </c>
      <c r="E272" s="918">
        <f t="shared" si="110"/>
        <v>6.0135435428551931</v>
      </c>
      <c r="F272" s="918">
        <f t="shared" ref="F272" si="129">100*((B272/B260)-1)</f>
        <v>8.3191913726628606</v>
      </c>
      <c r="G272" s="1076">
        <f t="shared" ref="G272" si="130">100*(B272/B248-1)</f>
        <v>17.962211729033339</v>
      </c>
      <c r="H272" s="1023">
        <f t="shared" si="70"/>
        <v>1.1581084375927457</v>
      </c>
      <c r="J272" s="801"/>
    </row>
    <row r="273" spans="1:10" ht="16.5" customHeight="1">
      <c r="A273" s="1032" t="str">
        <f>ajud!A203</f>
        <v>JULHO|16</v>
      </c>
      <c r="B273" s="918">
        <f>geral!O285</f>
        <v>526.71795507948264</v>
      </c>
      <c r="C273" s="918">
        <f t="shared" ref="C273" si="131">100*B273*E$129/$B$9</f>
        <v>1341.1125387324603</v>
      </c>
      <c r="D273" s="918">
        <f t="shared" ref="D273" si="132">100*(B273/B272-1)</f>
        <v>2.1195501614875711</v>
      </c>
      <c r="E273" s="918">
        <f t="shared" ref="E273" si="133">100*((B273/$B$266)-1)</f>
        <v>8.2605537762164616</v>
      </c>
      <c r="F273" s="918">
        <f t="shared" ref="F273" si="134">100*((B273/B261)-1)</f>
        <v>8.3283741834377256</v>
      </c>
      <c r="G273" s="1076">
        <f t="shared" ref="G273" si="135">100*(B273/B249-1)</f>
        <v>20.452103987144255</v>
      </c>
      <c r="H273" s="1023">
        <f t="shared" si="70"/>
        <v>1.1340712290265298</v>
      </c>
      <c r="J273" s="801"/>
    </row>
    <row r="274" spans="1:10" ht="16.5" customHeight="1">
      <c r="A274" s="1032" t="str">
        <f>ajud!A204</f>
        <v>AGOSTO|16</v>
      </c>
      <c r="B274" s="918">
        <f>geral!O286</f>
        <v>527.8808345333523</v>
      </c>
      <c r="C274" s="918">
        <f t="shared" ref="C274" si="136">100*B274*E$129/$B$9</f>
        <v>1344.073425487087</v>
      </c>
      <c r="D274" s="918">
        <f t="shared" ref="D274" si="137">100*(B274/B273-1)</f>
        <v>0.22077839622804962</v>
      </c>
      <c r="E274" s="918">
        <f t="shared" ref="E274" si="138">100*((B274/$B$266)-1)</f>
        <v>8.4995696905912013</v>
      </c>
      <c r="F274" s="918">
        <f t="shared" ref="F274" si="139">100*((B274/B262)-1)</f>
        <v>8.5553897886832218</v>
      </c>
      <c r="G274" s="1076">
        <f t="shared" ref="G274" si="140">100*(B274/B250-1)</f>
        <v>18.624693411900871</v>
      </c>
      <c r="H274" s="1023">
        <f t="shared" ref="H274:H323" si="141">$B$323/B274</f>
        <v>1.1315729603924252</v>
      </c>
      <c r="J274" s="801"/>
    </row>
    <row r="275" spans="1:10" ht="16.5" customHeight="1">
      <c r="A275" s="1032" t="str">
        <f>ajud!A205</f>
        <v>SETEMBRO|16</v>
      </c>
      <c r="B275" s="918">
        <f>geral!O287</f>
        <v>528.06830504851087</v>
      </c>
      <c r="C275" s="918">
        <f t="shared" ref="C275" si="142">100*B275*E$129/$B$9</f>
        <v>1344.5507569623048</v>
      </c>
      <c r="D275" s="918">
        <f t="shared" ref="D275" si="143">100*(B275/B274-1)</f>
        <v>3.551379457151782E-2</v>
      </c>
      <c r="E275" s="918">
        <f t="shared" ref="E275" si="144">100*((B275/$B$266)-1)</f>
        <v>8.5381020048820986</v>
      </c>
      <c r="F275" s="918">
        <f t="shared" ref="F275" si="145">100*((B275/B263)-1)</f>
        <v>8.5886734393056052</v>
      </c>
      <c r="G275" s="1076">
        <f t="shared" ref="G275" si="146">100*(B275/B251-1)</f>
        <v>18.66249310400687</v>
      </c>
      <c r="H275" s="1023">
        <f t="shared" si="141"/>
        <v>1.1311712385625099</v>
      </c>
      <c r="J275" s="801"/>
    </row>
    <row r="276" spans="1:10" ht="16.5" customHeight="1">
      <c r="A276" s="1032" t="str">
        <f>ajud!A206</f>
        <v>OUTUBRO|16</v>
      </c>
      <c r="B276" s="918">
        <f>geral!O288</f>
        <v>528.03357505562326</v>
      </c>
      <c r="C276" s="918">
        <f t="shared" ref="C276" si="147">100*B276*E$129/$B$9</f>
        <v>1344.4623285567748</v>
      </c>
      <c r="D276" s="918">
        <f t="shared" ref="D276" si="148">100*(B276/B275-1)</f>
        <v>-6.5767993563614624E-3</v>
      </c>
      <c r="E276" s="918">
        <f t="shared" ref="E276" si="149">100*((B276/$B$266)-1)</f>
        <v>8.5309636716880188</v>
      </c>
      <c r="F276" s="918">
        <f t="shared" ref="F276" si="150">100*((B276/B264)-1)</f>
        <v>8.5707594964743006</v>
      </c>
      <c r="G276" s="1076">
        <f t="shared" ref="G276" si="151">100*(B276/B252-1)</f>
        <v>18.648280389811589</v>
      </c>
      <c r="H276" s="1023">
        <f t="shared" si="141"/>
        <v>1.1312456383183698</v>
      </c>
      <c r="J276" s="801"/>
    </row>
    <row r="277" spans="1:10" ht="16.5" customHeight="1">
      <c r="A277" s="1032" t="str">
        <f>ajud!A207</f>
        <v>NOVEMBRO|16</v>
      </c>
      <c r="B277" s="918">
        <f>geral!O289</f>
        <v>528.26206334466713</v>
      </c>
      <c r="C277" s="918">
        <f t="shared" ref="C277" si="152">100*B277*E$129/$B$9</f>
        <v>1345.0440981859192</v>
      </c>
      <c r="D277" s="918">
        <f t="shared" ref="D277" si="153">100*(B277/B276-1)</f>
        <v>4.3271545567868941E-2</v>
      </c>
      <c r="E277" s="918">
        <f t="shared" ref="E277" si="154">100*((B277/$B$266)-1)</f>
        <v>8.5779266970884791</v>
      </c>
      <c r="F277" s="918">
        <f t="shared" ref="F277" si="155">100*((B277/B265)-1)</f>
        <v>8.6013897698254063</v>
      </c>
      <c r="G277" s="1076">
        <f t="shared" ref="G277" si="156">100*(B277/B253-1)</f>
        <v>18.691116363790705</v>
      </c>
      <c r="H277" s="1023">
        <f t="shared" si="141"/>
        <v>1.1307563425723319</v>
      </c>
      <c r="J277" s="801"/>
    </row>
    <row r="278" spans="1:10" ht="16.5" customHeight="1">
      <c r="A278" s="1032" t="str">
        <f>ajud!A208</f>
        <v>DEZEMBRO|16</v>
      </c>
      <c r="B278" s="918">
        <f>geral!O290</f>
        <v>528.35129702397796</v>
      </c>
      <c r="C278" s="918">
        <f t="shared" ref="C278" si="157">100*B278*E$129/$B$9</f>
        <v>1345.2713021478251</v>
      </c>
      <c r="D278" s="918">
        <f t="shared" ref="D278" si="158">100*(B278/B277-1)</f>
        <v>1.6891934042329027E-2</v>
      </c>
      <c r="E278" s="918">
        <f t="shared" ref="E278" si="159">100*((B278/$B$266)-1)</f>
        <v>8.5962676088506829</v>
      </c>
      <c r="F278" s="918">
        <f t="shared" ref="F278" si="160">100*((B278/B266)-1)</f>
        <v>8.5962676088506829</v>
      </c>
      <c r="G278" s="1076">
        <f t="shared" ref="G278" si="161">100*(B278/B254-1)</f>
        <v>18.670156079611488</v>
      </c>
      <c r="H278" s="1023">
        <f t="shared" si="141"/>
        <v>1.1305653682160275</v>
      </c>
      <c r="J278" s="801"/>
    </row>
    <row r="279" spans="1:10" ht="16.5" customHeight="1">
      <c r="A279" s="1032" t="str">
        <f>ajud!A209</f>
        <v>JANEIRO|17</v>
      </c>
      <c r="B279" s="918">
        <f>geral!Q279</f>
        <v>529.09548711075286</v>
      </c>
      <c r="C279" s="918">
        <f t="shared" ref="C279" si="162">100*B279*E$129/$B$9</f>
        <v>1347.1661353255238</v>
      </c>
      <c r="D279" s="918">
        <f t="shared" ref="D279" si="163">100*(B279/B278-1)</f>
        <v>0.14085137880168741</v>
      </c>
      <c r="E279" s="918">
        <f t="shared" ref="E279:E284" si="164">100*((B279/$B$278)-1)</f>
        <v>0.14085137880168741</v>
      </c>
      <c r="F279" s="918">
        <f t="shared" ref="F279" si="165">100*((B279/B267)-1)</f>
        <v>8.7297398172333729</v>
      </c>
      <c r="G279" s="1076">
        <f t="shared" ref="G279" si="166">100*(B279/B255-1)</f>
        <v>18.680330509130471</v>
      </c>
      <c r="H279" s="1023">
        <f t="shared" si="141"/>
        <v>1.1289751910930439</v>
      </c>
      <c r="J279" s="801"/>
    </row>
    <row r="280" spans="1:10" ht="16.5" customHeight="1">
      <c r="A280" s="1032" t="str">
        <f>ajud!A210</f>
        <v>FEVEREIRO|17</v>
      </c>
      <c r="B280" s="918">
        <f>geral!Q280</f>
        <v>529.49642417440168</v>
      </c>
      <c r="C280" s="918">
        <f t="shared" ref="C280" si="167">100*B280*E$129/$B$9</f>
        <v>1348.1869885508913</v>
      </c>
      <c r="D280" s="918">
        <f t="shared" ref="D280" si="168">100*(B280/B279-1)</f>
        <v>7.577782714387471E-2</v>
      </c>
      <c r="E280" s="918">
        <f t="shared" si="164"/>
        <v>0.21673594005993113</v>
      </c>
      <c r="F280" s="918">
        <f t="shared" ref="F280" si="169">100*((B280/B268)-1)</f>
        <v>8.715036908468532</v>
      </c>
      <c r="G280" s="1076">
        <f t="shared" ref="G280" si="170">100*(B280/B256-1)</f>
        <v>18.497892668963999</v>
      </c>
      <c r="H280" s="1023">
        <f t="shared" si="141"/>
        <v>1.1281203260224157</v>
      </c>
      <c r="J280" s="801"/>
    </row>
    <row r="281" spans="1:10" ht="16.5" customHeight="1">
      <c r="A281" s="1032" t="str">
        <f>ajud!A211</f>
        <v>MARÇO|17</v>
      </c>
      <c r="B281" s="918">
        <f>geral!Q281</f>
        <v>529.52968183998325</v>
      </c>
      <c r="C281" s="918">
        <f t="shared" ref="C281" si="171">100*B281*E$129/$B$9</f>
        <v>1348.2716681633678</v>
      </c>
      <c r="D281" s="918">
        <f t="shared" ref="D281" si="172">100*(B281/B280-1)</f>
        <v>6.2809990895473788E-3</v>
      </c>
      <c r="E281" s="918">
        <f t="shared" si="164"/>
        <v>0.22303055233188207</v>
      </c>
      <c r="F281" s="918">
        <f t="shared" ref="F281" si="173">100*((B281/B269)-1)</f>
        <v>8.700825190640904</v>
      </c>
      <c r="G281" s="1076">
        <f t="shared" ref="G281" si="174">100*(B281/B257-1)</f>
        <v>18.019778504762684</v>
      </c>
      <c r="H281" s="1023">
        <f t="shared" si="141"/>
        <v>1.1280494732452715</v>
      </c>
      <c r="J281" s="801"/>
    </row>
    <row r="282" spans="1:10" ht="16.5" customHeight="1">
      <c r="A282" s="1032" t="str">
        <f>ajud!A212</f>
        <v>ABRIL|17</v>
      </c>
      <c r="B282" s="918">
        <f>geral!Q282</f>
        <v>529.65729700825625</v>
      </c>
      <c r="C282" s="918">
        <f t="shared" ref="C282" si="175">100*B282*E$129/$B$9</f>
        <v>1348.5965978542069</v>
      </c>
      <c r="D282" s="918">
        <f t="shared" ref="D282" si="176">100*(B282/B281-1)</f>
        <v>2.4099719552928001E-2</v>
      </c>
      <c r="E282" s="918">
        <f t="shared" si="164"/>
        <v>0.24718402162244857</v>
      </c>
      <c r="F282" s="918">
        <f t="shared" ref="F282" si="177">100*((B282/B270)-1)</f>
        <v>8.7171847394295288</v>
      </c>
      <c r="G282" s="1076">
        <f t="shared" ref="G282" si="178">100*(B282/B258-1)</f>
        <v>18.012402034208264</v>
      </c>
      <c r="H282" s="1023">
        <f t="shared" si="141"/>
        <v>1.1277776819867322</v>
      </c>
      <c r="J282" s="801"/>
    </row>
    <row r="283" spans="1:10" ht="16.5" customHeight="1">
      <c r="A283" s="1032" t="str">
        <f>ajud!A213</f>
        <v>MAIO|17</v>
      </c>
      <c r="B283" s="918">
        <f>geral!Q283</f>
        <v>543.34737269805419</v>
      </c>
      <c r="C283" s="918">
        <f t="shared" ref="C283" si="179">100*B283*E$129/$B$9</f>
        <v>1383.4538340405334</v>
      </c>
      <c r="D283" s="918">
        <f t="shared" ref="D283" si="180">100*(B283/B282-1)</f>
        <v>2.5847044432552257</v>
      </c>
      <c r="E283" s="918">
        <f t="shared" si="164"/>
        <v>2.8382774412675671</v>
      </c>
      <c r="F283" s="918">
        <f t="shared" ref="F283" si="181">100*((B283/B271)-1)</f>
        <v>6.6209296089670966</v>
      </c>
      <c r="G283" s="1076">
        <f t="shared" ref="G283" si="182">100*(B283/B259-1)</f>
        <v>14.793756419274651</v>
      </c>
      <c r="H283" s="1023">
        <f t="shared" si="141"/>
        <v>1.0993624128542114</v>
      </c>
      <c r="J283" s="801"/>
    </row>
    <row r="284" spans="1:10" ht="16.5" customHeight="1">
      <c r="A284" s="1032" t="str">
        <f>ajud!A214</f>
        <v>JUNHO|17</v>
      </c>
      <c r="B284" s="918">
        <f>geral!Q284</f>
        <v>544.38285129678582</v>
      </c>
      <c r="C284" s="918">
        <f t="shared" ref="C284" si="183">100*B284*E$129/$B$9</f>
        <v>1386.0903367816227</v>
      </c>
      <c r="D284" s="918">
        <f t="shared" ref="D284" si="184">100*(B284/B283-1)</f>
        <v>0.1905739589003419</v>
      </c>
      <c r="E284" s="918">
        <f t="shared" si="164"/>
        <v>3.034260417852308</v>
      </c>
      <c r="F284" s="918">
        <f t="shared" ref="F284" si="185">100*((B284/B272)-1)</f>
        <v>5.5444025667718222</v>
      </c>
      <c r="G284" s="1076">
        <f t="shared" ref="G284" si="186">100*(B284/B260-1)</f>
        <v>14.324843399435249</v>
      </c>
      <c r="H284" s="1023">
        <f t="shared" si="141"/>
        <v>1.0972712994988794</v>
      </c>
      <c r="J284" s="801"/>
    </row>
    <row r="285" spans="1:10" ht="16.5" customHeight="1">
      <c r="A285" s="1032" t="str">
        <f>ajud!A215</f>
        <v>JULHO|17</v>
      </c>
      <c r="B285" s="918">
        <f>geral!Q285</f>
        <v>544.61459102600861</v>
      </c>
      <c r="C285" s="918">
        <f t="shared" ref="C285" si="187">100*B285*E$129/$B$9</f>
        <v>1386.680385124547</v>
      </c>
      <c r="D285" s="918">
        <f t="shared" ref="D285" si="188">100*(B285/B284-1)</f>
        <v>4.2569255932800587E-2</v>
      </c>
      <c r="E285" s="918">
        <f t="shared" ref="E285" si="189">100*((B285/$B$278)-1)</f>
        <v>3.0781213358680448</v>
      </c>
      <c r="F285" s="918">
        <f t="shared" ref="F285" si="190">100*((B285/B273)-1)</f>
        <v>3.3977645481679808</v>
      </c>
      <c r="G285" s="1076">
        <f t="shared" ref="G285" si="191">100*(B285/B261-1)</f>
        <v>12.00911727704932</v>
      </c>
      <c r="H285" s="1023">
        <f t="shared" si="141"/>
        <v>1.0968043980276008</v>
      </c>
      <c r="J285" s="801"/>
    </row>
    <row r="286" spans="1:10" ht="16.5" customHeight="1">
      <c r="A286" s="1032" t="str">
        <f>ajud!A216</f>
        <v>AGOSTO|17</v>
      </c>
      <c r="B286" s="918">
        <f>geral!Q286</f>
        <v>544.53326731116215</v>
      </c>
      <c r="C286" s="918">
        <f t="shared" ref="C286" si="192">100*B286*E$129/$B$9</f>
        <v>1386.4733212630913</v>
      </c>
      <c r="D286" s="918">
        <f t="shared" ref="D286" si="193">100*(B286/B285-1)</f>
        <v>-1.4932342281404054E-2</v>
      </c>
      <c r="E286" s="918">
        <f t="shared" ref="E286" si="194">100*((B286/$B$278)-1)</f>
        <v>3.0627293579729375</v>
      </c>
      <c r="F286" s="918">
        <f t="shared" ref="F286" si="195">100*((B286/B274)-1)</f>
        <v>3.1545818087013178</v>
      </c>
      <c r="G286" s="1076">
        <f t="shared" ref="G286" si="196">100*(B286/B262-1)</f>
        <v>11.979858367321849</v>
      </c>
      <c r="H286" s="1023">
        <f t="shared" si="141"/>
        <v>1.0969682010741033</v>
      </c>
      <c r="J286" s="801"/>
    </row>
    <row r="287" spans="1:10" ht="16.5" customHeight="1">
      <c r="A287" s="1032" t="str">
        <f>ajud!A217</f>
        <v>SETEMBRO|17</v>
      </c>
      <c r="B287" s="918">
        <f>geral!Q287</f>
        <v>544.70772192202958</v>
      </c>
      <c r="C287" s="918">
        <f t="shared" ref="C287" si="197">100*B287*E$129/$B$9</f>
        <v>1386.9175120559391</v>
      </c>
      <c r="D287" s="918">
        <f t="shared" ref="D287" si="198">100*(B287/B286-1)</f>
        <v>3.2037456908540207E-2</v>
      </c>
      <c r="E287" s="918">
        <f t="shared" ref="E287" si="199">100*((B287/$B$278)-1)</f>
        <v>3.0957480354797617</v>
      </c>
      <c r="F287" s="918">
        <f t="shared" ref="F287" si="200">100*((B287/B275)-1)</f>
        <v>3.1509970801959275</v>
      </c>
      <c r="G287" s="1076">
        <f t="shared" ref="G287" si="201">100*(B287/B263-1)</f>
        <v>12.010299368801626</v>
      </c>
      <c r="H287" s="1023">
        <f t="shared" si="141"/>
        <v>1.0966168729159911</v>
      </c>
      <c r="J287" s="801"/>
    </row>
    <row r="288" spans="1:10" ht="16.5" customHeight="1">
      <c r="A288" s="1032" t="str">
        <f>ajud!A218</f>
        <v>OUTUBRO|17</v>
      </c>
      <c r="B288" s="918">
        <f>geral!Q288</f>
        <v>545.03788134231831</v>
      </c>
      <c r="C288" s="918">
        <f t="shared" ref="C288" si="202">100*B288*E$129/$B$9</f>
        <v>1387.7581534923281</v>
      </c>
      <c r="D288" s="918">
        <f t="shared" ref="D288" si="203">100*(B288/B287-1)</f>
        <v>6.06122158730793E-2</v>
      </c>
      <c r="E288" s="918">
        <f t="shared" ref="E288" si="204">100*((B288/$B$278)-1)</f>
        <v>3.1582366528349892</v>
      </c>
      <c r="F288" s="918">
        <f t="shared" ref="F288" si="205">100*((B288/B276)-1)</f>
        <v>3.2203077777589906</v>
      </c>
      <c r="G288" s="1076">
        <f t="shared" ref="G288" si="206">100*(B288/B264-1)</f>
        <v>12.067072108911269</v>
      </c>
      <c r="H288" s="1023">
        <f t="shared" si="141"/>
        <v>1.0959525917652038</v>
      </c>
      <c r="J288" s="801"/>
    </row>
    <row r="289" spans="1:10" ht="16.5" customHeight="1">
      <c r="A289" s="1032" t="str">
        <f>ajud!A219</f>
        <v>NOVEMBRO|17</v>
      </c>
      <c r="B289" s="918">
        <f>geral!Q289</f>
        <v>545.45826336109644</v>
      </c>
      <c r="C289" s="918">
        <f t="shared" ref="C289" si="207">100*B289*E$129/$B$9</f>
        <v>1388.8285168452462</v>
      </c>
      <c r="D289" s="918">
        <f t="shared" ref="D289" si="208">100*(B289/B288-1)</f>
        <v>7.7128954366045832E-2</v>
      </c>
      <c r="E289" s="918">
        <f t="shared" ref="E289" si="209">100*((B289/$B$278)-1)</f>
        <v>3.2378015221077749</v>
      </c>
      <c r="F289" s="918">
        <f t="shared" ref="F289" si="210">100*((B289/B277)-1)</f>
        <v>3.2552403834476218</v>
      </c>
      <c r="G289" s="1076">
        <f t="shared" ref="G289" si="211">100*(B289/B265-1)</f>
        <v>12.136626066598133</v>
      </c>
      <c r="H289" s="1023">
        <f t="shared" si="141"/>
        <v>1.0951079464569222</v>
      </c>
      <c r="J289" s="801"/>
    </row>
    <row r="290" spans="1:10" ht="16.5" customHeight="1">
      <c r="A290" s="1032" t="str">
        <f>ajud!A220</f>
        <v>DEZEMBRO|17</v>
      </c>
      <c r="B290" s="918">
        <f>geral!Q290</f>
        <v>545.8244011260316</v>
      </c>
      <c r="C290" s="918">
        <f t="shared" ref="C290" si="212">100*B290*E$129/$B$9</f>
        <v>1389.7607652007896</v>
      </c>
      <c r="D290" s="918">
        <f t="shared" ref="D290" si="213">100*(B290/B289-1)</f>
        <v>6.7124799371276467E-2</v>
      </c>
      <c r="E290" s="918">
        <f t="shared" ref="E290" si="214">100*((B290/$B$278)-1)</f>
        <v>3.3070996892547999</v>
      </c>
      <c r="F290" s="918">
        <f t="shared" ref="F290" si="215">100*((B290/B278)-1)</f>
        <v>3.3070996892547999</v>
      </c>
      <c r="G290" s="1076">
        <f t="shared" ref="G290" si="216">100*(B290/B266-1)</f>
        <v>12.187654437485286</v>
      </c>
      <c r="H290" s="1023">
        <f t="shared" si="141"/>
        <v>1.0943733505409989</v>
      </c>
      <c r="J290" s="801"/>
    </row>
    <row r="291" spans="1:10" ht="16.5" customHeight="1">
      <c r="A291" s="1032" t="str">
        <f>ajud!A221</f>
        <v>JANEIRO|18</v>
      </c>
      <c r="B291" s="918">
        <f>geral!S279</f>
        <v>546.91931948942249</v>
      </c>
      <c r="C291" s="918">
        <f t="shared" ref="C291" si="217">100*B291*E$129/$B$9</f>
        <v>1392.5486115839842</v>
      </c>
      <c r="D291" s="918">
        <f t="shared" ref="D291" si="218">100*(B291/B290-1)</f>
        <v>0.20059901336988428</v>
      </c>
      <c r="E291" s="918">
        <f t="shared" ref="E291:E296" si="219">100*((B291/$B$290)-1)</f>
        <v>0.20059901336988428</v>
      </c>
      <c r="F291" s="918">
        <f t="shared" ref="F291" si="220">100*((B291/B279)-1)</f>
        <v>3.3687364214729509</v>
      </c>
      <c r="G291" s="1076">
        <f t="shared" ref="G291" si="221">100*(B291/B267-1)</f>
        <v>12.392558163429301</v>
      </c>
      <c r="H291" s="1023">
        <f t="shared" si="141"/>
        <v>1.0921824433354688</v>
      </c>
      <c r="J291" s="801"/>
    </row>
    <row r="292" spans="1:10" ht="16.5" customHeight="1">
      <c r="A292" s="1032" t="str">
        <f>ajud!A222</f>
        <v>FEVEREIRO|18</v>
      </c>
      <c r="B292" s="918">
        <f>geral!S280</f>
        <v>547.65555464488511</v>
      </c>
      <c r="C292" s="918">
        <f t="shared" ref="C292" si="222">100*B292*E$129/$B$9</f>
        <v>1394.4231901680721</v>
      </c>
      <c r="D292" s="918">
        <f t="shared" ref="D292" si="223">100*(B292/B291-1)</f>
        <v>0.13461494762150306</v>
      </c>
      <c r="E292" s="918">
        <f t="shared" si="219"/>
        <v>0.33548399724816491</v>
      </c>
      <c r="F292" s="918">
        <f t="shared" ref="F292" si="224">100*((B292/B280)-1)</f>
        <v>3.4295095568959599</v>
      </c>
      <c r="G292" s="1076">
        <f t="shared" ref="G292" si="225">100*(B292/B268-1)</f>
        <v>12.443429489027436</v>
      </c>
      <c r="H292" s="1023">
        <f t="shared" si="141"/>
        <v>1.0907141790146879</v>
      </c>
      <c r="J292" s="801"/>
    </row>
    <row r="293" spans="1:10" ht="16.5" customHeight="1">
      <c r="A293" s="1032" t="str">
        <f>ajud!A223</f>
        <v>MARÇO|18</v>
      </c>
      <c r="B293" s="918">
        <f>geral!S281</f>
        <v>547.71073476643357</v>
      </c>
      <c r="C293" s="918">
        <f t="shared" ref="C293" si="226">100*B293*E$129/$B$9</f>
        <v>1394.5636880420932</v>
      </c>
      <c r="D293" s="918">
        <f t="shared" ref="D293" si="227">100*(B293/B292-1)</f>
        <v>1.0075698325429094E-2</v>
      </c>
      <c r="E293" s="918">
        <f t="shared" si="219"/>
        <v>0.34559349792908645</v>
      </c>
      <c r="F293" s="918">
        <f t="shared" ref="F293" si="228">100*((B293/B281)-1)</f>
        <v>3.4334341492011644</v>
      </c>
      <c r="G293" s="1076">
        <f t="shared" ref="G293" si="229">100*(B293/B269-1)</f>
        <v>12.432996443199841</v>
      </c>
      <c r="H293" s="1023">
        <f t="shared" si="141"/>
        <v>1.0906042930161994</v>
      </c>
      <c r="J293" s="801"/>
    </row>
    <row r="294" spans="1:10" ht="16.5" customHeight="1">
      <c r="A294" s="1032" t="str">
        <f>ajud!A224</f>
        <v>ABRIL|18</v>
      </c>
      <c r="B294" s="918">
        <f>geral!S282</f>
        <v>547.75705093816964</v>
      </c>
      <c r="C294" s="918">
        <f t="shared" ref="C294" si="230">100*B294*E$129/$B$9</f>
        <v>1394.6816168084515</v>
      </c>
      <c r="D294" s="918">
        <f t="shared" ref="D294" si="231">100*(B294/B293-1)</f>
        <v>8.4563198776477222E-3</v>
      </c>
      <c r="E294" s="918">
        <f t="shared" si="219"/>
        <v>0.35407904229840526</v>
      </c>
      <c r="F294" s="918">
        <f t="shared" ref="F294" si="232">100*((B294/B282)-1)</f>
        <v>3.4172575422162454</v>
      </c>
      <c r="G294" s="1076">
        <f t="shared" ref="G294" si="233">100*(B294/B270-1)</f>
        <v>12.432330934622859</v>
      </c>
      <c r="H294" s="1023">
        <f t="shared" si="141"/>
        <v>1.090512075826763</v>
      </c>
      <c r="J294" s="801"/>
    </row>
    <row r="295" spans="1:10" ht="16.5" customHeight="1">
      <c r="A295" s="1032" t="str">
        <f>ajud!A225</f>
        <v>MAIO|18</v>
      </c>
      <c r="B295" s="918">
        <f>geral!S283</f>
        <v>548.140891798854</v>
      </c>
      <c r="C295" s="918">
        <f t="shared" ref="C295" si="234">100*B295*E$129/$B$9</f>
        <v>1395.6589402244797</v>
      </c>
      <c r="D295" s="918">
        <f t="shared" ref="D295" si="235">100*(B295/B294-1)</f>
        <v>7.0075019577919839E-2</v>
      </c>
      <c r="E295" s="918">
        <f t="shared" si="219"/>
        <v>0.4244021828345268</v>
      </c>
      <c r="F295" s="918">
        <f t="shared" ref="F295" si="236">100*((B295/B283)-1)</f>
        <v>0.88221998332245199</v>
      </c>
      <c r="G295" s="1076">
        <f t="shared" ref="G295" si="237">100*(B295/B271-1)</f>
        <v>7.5615607563815912</v>
      </c>
      <c r="H295" s="1023">
        <f t="shared" si="141"/>
        <v>1.0897484343980086</v>
      </c>
      <c r="J295" s="801"/>
    </row>
    <row r="296" spans="1:10" ht="16.5" customHeight="1">
      <c r="A296" s="1032" t="str">
        <f>ajud!A226</f>
        <v>JUNHO|18</v>
      </c>
      <c r="B296" s="918">
        <f>geral!S284</f>
        <v>559.94210549052355</v>
      </c>
      <c r="C296" s="918">
        <f t="shared" ref="C296" si="238">100*B296*E$129/$B$9</f>
        <v>1425.7068159453117</v>
      </c>
      <c r="D296" s="918">
        <f t="shared" ref="D296" si="239">100*(B296/B295-1)</f>
        <v>2.1529526200720239</v>
      </c>
      <c r="E296" s="918">
        <f t="shared" si="219"/>
        <v>2.5864919808215259</v>
      </c>
      <c r="F296" s="918">
        <f t="shared" ref="F296" si="240">100*((B296/B284)-1)</f>
        <v>2.8581455416300638</v>
      </c>
      <c r="G296" s="1076">
        <f t="shared" ref="G296" si="241">100*(B296/B272-1)</f>
        <v>8.5610152031740938</v>
      </c>
      <c r="H296" s="1023">
        <f t="shared" si="141"/>
        <v>1.0667811418540281</v>
      </c>
      <c r="J296" s="801"/>
    </row>
    <row r="297" spans="1:10" ht="16.5" customHeight="1">
      <c r="A297" s="1032" t="str">
        <f>ajud!A227</f>
        <v>JULHO|18</v>
      </c>
      <c r="B297" s="918">
        <f>geral!S285</f>
        <v>560.12570737093665</v>
      </c>
      <c r="C297" s="918">
        <f t="shared" ref="C297" si="242">100*B297*E$129/$B$9</f>
        <v>1426.1742972255347</v>
      </c>
      <c r="D297" s="918">
        <f t="shared" ref="D297" si="243">100*(B297/B296-1)</f>
        <v>3.2789439946157017E-2</v>
      </c>
      <c r="E297" s="918">
        <f t="shared" ref="E297" si="244">100*((B297/$B$290)-1)</f>
        <v>2.6201295170024563</v>
      </c>
      <c r="F297" s="918">
        <f t="shared" ref="F297" si="245">100*((B297/B285)-1)</f>
        <v>2.8480904846317712</v>
      </c>
      <c r="G297" s="1076">
        <f t="shared" ref="G297" si="246">100*(B297/B273-1)</f>
        <v>6.3426264415863187</v>
      </c>
      <c r="H297" s="1023">
        <f t="shared" si="141"/>
        <v>1.0664314649492617</v>
      </c>
      <c r="J297" s="801"/>
    </row>
    <row r="298" spans="1:10" ht="16.5" customHeight="1">
      <c r="A298" s="1032" t="str">
        <f>ajud!A228</f>
        <v>AGOSTO|18</v>
      </c>
      <c r="B298" s="918">
        <f>geral!S286</f>
        <v>560.89327178915096</v>
      </c>
      <c r="C298" s="918">
        <f t="shared" ref="C298" si="247">100*B298*E$129/$B$9</f>
        <v>1428.1286453840228</v>
      </c>
      <c r="D298" s="918">
        <f t="shared" ref="D298" si="248">100*(B298/B297-1)</f>
        <v>0.13703431356810736</v>
      </c>
      <c r="E298" s="918">
        <f t="shared" ref="E298" si="249">100*((B298/$B$290)-1)</f>
        <v>2.7607543070687912</v>
      </c>
      <c r="F298" s="918">
        <f t="shared" ref="F298" si="250">100*((B298/B286)-1)</f>
        <v>3.0044086303069095</v>
      </c>
      <c r="G298" s="1076">
        <f t="shared" ref="G298" si="251">100*(B298/B274-1)</f>
        <v>6.2537669671189455</v>
      </c>
      <c r="H298" s="1023">
        <f t="shared" si="141"/>
        <v>1.0649720877591089</v>
      </c>
      <c r="J298" s="801"/>
    </row>
    <row r="299" spans="1:10" ht="16.5" customHeight="1">
      <c r="A299" s="1032" t="str">
        <f>ajud!A229</f>
        <v>SETEMBRO|18</v>
      </c>
      <c r="B299" s="918">
        <f>geral!S287</f>
        <v>561.4998595359059</v>
      </c>
      <c r="C299" s="918">
        <f t="shared" ref="C299" si="252">100*B299*E$129/$B$9</f>
        <v>1429.6731198511816</v>
      </c>
      <c r="D299" s="918">
        <f t="shared" ref="D299" si="253">100*(B299/B298-1)</f>
        <v>0.10814673258960905</v>
      </c>
      <c r="E299" s="918">
        <f t="shared" ref="E299" si="254">100*((B299/$B$290)-1)</f>
        <v>2.8718867052363262</v>
      </c>
      <c r="F299" s="918">
        <f t="shared" ref="F299" si="255">100*((B299/B287)-1)</f>
        <v>3.082779431623317</v>
      </c>
      <c r="G299" s="1076">
        <f t="shared" ref="G299" si="256">100*(B299/B275-1)</f>
        <v>6.3309148016985839</v>
      </c>
      <c r="H299" s="1023">
        <f t="shared" si="141"/>
        <v>1.0638215994587117</v>
      </c>
      <c r="J299" s="801"/>
    </row>
    <row r="300" spans="1:10" ht="16.5" customHeight="1">
      <c r="A300" s="1032" t="str">
        <f>ajud!A230</f>
        <v>OUTUBRO|18</v>
      </c>
      <c r="B300" s="918">
        <f>geral!S288</f>
        <v>562.05447557298635</v>
      </c>
      <c r="C300" s="918">
        <f t="shared" ref="C300" si="257">100*B300*E$129/$B$9</f>
        <v>1431.0852656007953</v>
      </c>
      <c r="D300" s="918">
        <f t="shared" ref="D300" si="258">100*(B300/B299-1)</f>
        <v>9.8774029532067154E-2</v>
      </c>
      <c r="E300" s="918">
        <f t="shared" ref="E300" si="259">100*((B300/$B$290)-1)</f>
        <v>2.9734974129907332</v>
      </c>
      <c r="F300" s="918">
        <f t="shared" ref="F300" si="260">100*((B300/B288)-1)</f>
        <v>3.1220938604780368</v>
      </c>
      <c r="G300" s="1076">
        <f t="shared" ref="G300" si="261">100*(B300/B276-1)</f>
        <v>6.4429426696549275</v>
      </c>
      <c r="H300" s="1023">
        <f t="shared" si="141"/>
        <v>1.0627718568709477</v>
      </c>
      <c r="J300" s="801"/>
    </row>
    <row r="301" spans="1:10" ht="16.5" customHeight="1">
      <c r="A301" s="1032" t="str">
        <f>ajud!A231</f>
        <v>NOVEMBRO|18</v>
      </c>
      <c r="B301" s="918">
        <f>geral!S289</f>
        <v>562.72849137294315</v>
      </c>
      <c r="C301" s="918">
        <f t="shared" ref="C301" si="262">100*B301*E$129/$B$9</f>
        <v>1432.8014232367914</v>
      </c>
      <c r="D301" s="918">
        <f t="shared" ref="D301" si="263">100*(B301/B300-1)</f>
        <v>0.11992001296132759</v>
      </c>
      <c r="E301" s="918">
        <f t="shared" ref="E301" si="264">100*((B301/$B$290)-1)</f>
        <v>3.0969832444351253</v>
      </c>
      <c r="F301" s="918">
        <f t="shared" ref="F301" si="265">100*((B301/B289)-1)</f>
        <v>3.1661868875957788</v>
      </c>
      <c r="G301" s="1076">
        <f t="shared" ref="G301" si="266">100*(B301/B277-1)</f>
        <v>6.5244942652238569</v>
      </c>
      <c r="H301" s="1023">
        <f t="shared" si="141"/>
        <v>1.0614989072437966</v>
      </c>
      <c r="J301" s="801"/>
    </row>
    <row r="302" spans="1:10" ht="16.5" customHeight="1">
      <c r="A302" s="1032" t="str">
        <f>ajud!A232</f>
        <v>DEZEMBRO|18</v>
      </c>
      <c r="B302" s="918">
        <f>geral!S290</f>
        <v>562.97175904167386</v>
      </c>
      <c r="C302" s="918">
        <f t="shared" ref="C302" si="267">100*B302*E$129/$B$9</f>
        <v>1433.4208236533839</v>
      </c>
      <c r="D302" s="918">
        <f t="shared" ref="D302" si="268">100*(B302/B301-1)</f>
        <v>4.3230025218243817E-2</v>
      </c>
      <c r="E302" s="918">
        <f t="shared" ref="E302" si="269">100*((B302/$B$290)-1)</f>
        <v>3.1415520962909227</v>
      </c>
      <c r="F302" s="918">
        <f t="shared" ref="F302" si="270">100*((B302/B290)-1)</f>
        <v>3.1415520962909227</v>
      </c>
      <c r="G302" s="1076">
        <f t="shared" ref="G302" si="271">100*(B302/B278-1)</f>
        <v>6.5525460451599349</v>
      </c>
      <c r="H302" s="1023">
        <f t="shared" si="141"/>
        <v>1.0610402192894222</v>
      </c>
      <c r="J302" s="801"/>
    </row>
    <row r="303" spans="1:10" ht="16.5" customHeight="1">
      <c r="A303" s="1032" t="str">
        <f>ajud!A233</f>
        <v>JANEIRO|19</v>
      </c>
      <c r="B303" s="918">
        <f>geral!U279</f>
        <v>563.12750954627609</v>
      </c>
      <c r="C303" s="918">
        <f t="shared" ref="C303" si="272">100*B303*E$129/$B$9</f>
        <v>1433.817390644544</v>
      </c>
      <c r="D303" s="918">
        <f t="shared" ref="D303" si="273">100*(B303/B302-1)</f>
        <v>2.7665775787277802E-2</v>
      </c>
      <c r="E303" s="918">
        <f t="shared" ref="E303:E308" si="274">100*((B303/$B$302)-1)</f>
        <v>2.7665775787277802E-2</v>
      </c>
      <c r="F303" s="918">
        <f t="shared" ref="F303" si="275">100*((B303/B291)-1)</f>
        <v>2.963543155137538</v>
      </c>
      <c r="G303" s="1076">
        <f t="shared" ref="G303" si="276">100*(B303/B279-1)</f>
        <v>6.4321135342436664</v>
      </c>
      <c r="H303" s="1023">
        <f t="shared" si="141"/>
        <v>1.0607467554703829</v>
      </c>
      <c r="J303" s="801"/>
    </row>
    <row r="304" spans="1:10" ht="16.5" customHeight="1">
      <c r="A304" s="1032" t="str">
        <f>ajud!A234</f>
        <v>FEVEREIRO|19</v>
      </c>
      <c r="B304" s="918">
        <f>geral!U280</f>
        <v>563.77706786389922</v>
      </c>
      <c r="C304" s="918">
        <f t="shared" ref="C304" si="277">100*B304*E$129/$B$9</f>
        <v>1435.4712754153243</v>
      </c>
      <c r="D304" s="918">
        <f t="shared" ref="D304" si="278">100*(B304/B303-1)</f>
        <v>0.11534835478850258</v>
      </c>
      <c r="E304" s="918">
        <f t="shared" si="274"/>
        <v>0.14304604259300913</v>
      </c>
      <c r="F304" s="918">
        <f t="shared" ref="F304" si="279">100*((B304/B292)-1)</f>
        <v>2.9437322569416446</v>
      </c>
      <c r="G304" s="1076">
        <f t="shared" ref="G304" si="280">100*(B304/B280-1)</f>
        <v>6.4741973929188346</v>
      </c>
      <c r="H304" s="1023">
        <f t="shared" si="141"/>
        <v>1.0595246112627119</v>
      </c>
      <c r="J304" s="801"/>
    </row>
    <row r="305" spans="1:10" ht="16.5" customHeight="1">
      <c r="A305" s="1032" t="str">
        <f>ajud!A235</f>
        <v>MARÇO|19</v>
      </c>
      <c r="B305" s="918">
        <f>geral!U281</f>
        <v>564.55642226315695</v>
      </c>
      <c r="C305" s="918">
        <f t="shared" ref="C305" si="281">100*B305*E$129/$B$9</f>
        <v>1437.4556428493206</v>
      </c>
      <c r="D305" s="918">
        <f t="shared" ref="D305" si="282">100*(B305/B304-1)</f>
        <v>0.13823804544066398</v>
      </c>
      <c r="E305" s="918">
        <f t="shared" si="274"/>
        <v>0.28148183208702715</v>
      </c>
      <c r="F305" s="918">
        <f t="shared" ref="F305" si="283">100*((B305/B293)-1)</f>
        <v>3.0756540683664069</v>
      </c>
      <c r="G305" s="1076">
        <f t="shared" ref="G305" si="284">100*(B305/B281-1)</f>
        <v>6.6146887746621807</v>
      </c>
      <c r="H305" s="1023">
        <f t="shared" si="141"/>
        <v>1.0580619670798697</v>
      </c>
      <c r="J305" s="801"/>
    </row>
    <row r="306" spans="1:10" ht="16.5" customHeight="1">
      <c r="A306" s="1032" t="str">
        <f>ajud!A236</f>
        <v>ABRIL|19</v>
      </c>
      <c r="B306" s="918">
        <f>geral!U282</f>
        <v>565.37243515485034</v>
      </c>
      <c r="C306" s="918">
        <f t="shared" ref="C306" si="285">100*B306*E$129/$B$9</f>
        <v>1439.5333489731836</v>
      </c>
      <c r="D306" s="918">
        <f t="shared" ref="D306" si="286">100*(B306/B305-1)</f>
        <v>0.14454053829060509</v>
      </c>
      <c r="E306" s="918">
        <f t="shared" si="274"/>
        <v>0.42642922573292719</v>
      </c>
      <c r="F306" s="918">
        <f t="shared" ref="F306" si="287">100*((B306/B294)-1)</f>
        <v>3.2159119059280039</v>
      </c>
      <c r="G306" s="1076">
        <f t="shared" ref="G306" si="288">100*(B306/B282-1)</f>
        <v>6.7430654403006107</v>
      </c>
      <c r="H306" s="1023">
        <f t="shared" si="141"/>
        <v>1.0565348459263399</v>
      </c>
      <c r="J306" s="801"/>
    </row>
    <row r="307" spans="1:10" ht="16.5" customHeight="1">
      <c r="A307" s="1032" t="str">
        <f>ajud!A237</f>
        <v>MAIO|19</v>
      </c>
      <c r="B307" s="918">
        <f>geral!U283</f>
        <v>584.73093962002906</v>
      </c>
      <c r="C307" s="918">
        <f t="shared" ref="C307" si="289">100*B307*E$129/$B$9</f>
        <v>1488.8233585864725</v>
      </c>
      <c r="D307" s="918">
        <f t="shared" ref="D307" si="290">100*(B307/B306-1)</f>
        <v>3.4240269354264941</v>
      </c>
      <c r="E307" s="918">
        <f t="shared" si="274"/>
        <v>3.8650572127090443</v>
      </c>
      <c r="F307" s="918">
        <f t="shared" ref="F307" si="291">100*((B307/B295)-1)</f>
        <v>6.6752997940175973</v>
      </c>
      <c r="G307" s="1076">
        <f t="shared" ref="G307" si="292">100*(B307/B283-1)</f>
        <v>7.6164106060695458</v>
      </c>
      <c r="H307" s="1023">
        <f t="shared" si="141"/>
        <v>1.0215564769934888</v>
      </c>
      <c r="J307" s="801"/>
    </row>
    <row r="308" spans="1:10" ht="16.5" customHeight="1">
      <c r="A308" s="1032" t="str">
        <f>ajud!A238</f>
        <v>JUNHO|19</v>
      </c>
      <c r="B308" s="918">
        <f>geral!U284</f>
        <v>584.99294730190331</v>
      </c>
      <c r="C308" s="918">
        <f t="shared" ref="C308" si="293">100*B308*E$129/$B$9</f>
        <v>1489.4904742297065</v>
      </c>
      <c r="D308" s="918">
        <f t="shared" ref="D308" si="294">100*(B308/B307-1)</f>
        <v>4.4808246686001141E-2</v>
      </c>
      <c r="E308" s="918">
        <f t="shared" si="274"/>
        <v>3.91159732376547</v>
      </c>
      <c r="F308" s="918">
        <f t="shared" ref="F308" si="295">100*((B308/B296)-1)</f>
        <v>4.473827127080332</v>
      </c>
      <c r="G308" s="1076">
        <f t="shared" ref="G308" si="296">100*(B308/B284-1)</f>
        <v>7.4598411592832647</v>
      </c>
      <c r="H308" s="1023">
        <f t="shared" si="141"/>
        <v>1.0210989404613389</v>
      </c>
      <c r="J308" s="801"/>
    </row>
    <row r="309" spans="1:10" ht="16.5" customHeight="1">
      <c r="A309" s="1032" t="str">
        <f>ajud!A239</f>
        <v>JULHO|19</v>
      </c>
      <c r="B309" s="918">
        <f>geral!U285</f>
        <v>586.7605876819174</v>
      </c>
      <c r="C309" s="918">
        <f t="shared" ref="C309" si="297">100*B309*E$129/$B$9</f>
        <v>1493.9911840588388</v>
      </c>
      <c r="D309" s="918">
        <f t="shared" ref="D309" si="298">100*(B309/B308-1)</f>
        <v>0.30216439158228248</v>
      </c>
      <c r="E309" s="918">
        <f t="shared" ref="E309" si="299">100*((B309/$B$302)-1)</f>
        <v>4.2255811696022549</v>
      </c>
      <c r="F309" s="918">
        <f t="shared" ref="F309" si="300">100*((B309/B297)-1)</f>
        <v>4.7551612005092503</v>
      </c>
      <c r="G309" s="1076">
        <f t="shared" ref="G309" si="301">100*(B309/B285-1)</f>
        <v>7.7386829788216316</v>
      </c>
      <c r="H309" s="1023">
        <f t="shared" si="141"/>
        <v>1.0180228379468881</v>
      </c>
      <c r="J309" s="801"/>
    </row>
    <row r="310" spans="1:10" ht="16.5" customHeight="1">
      <c r="A310" s="1032" t="str">
        <f>ajud!A240</f>
        <v>AGOSTO|19</v>
      </c>
      <c r="B310" s="918">
        <f>geral!U286</f>
        <v>587.66474896725219</v>
      </c>
      <c r="C310" s="918">
        <f t="shared" ref="C310" si="302">100*B310*E$129/$B$9</f>
        <v>1496.2933308246841</v>
      </c>
      <c r="D310" s="918">
        <f t="shared" ref="D310" si="303">100*(B310/B309-1)</f>
        <v>0.15409373163708384</v>
      </c>
      <c r="E310" s="918">
        <f t="shared" ref="E310" si="304">100*((B310/$B$302)-1)</f>
        <v>4.3861862569469334</v>
      </c>
      <c r="F310" s="918">
        <f t="shared" ref="F310" si="305">100*((B310/B298)-1)</f>
        <v>4.7730073660368522</v>
      </c>
      <c r="G310" s="1076">
        <f t="shared" ref="G310" si="306">100*(B310/B286-1)</f>
        <v>7.9208166415741577</v>
      </c>
      <c r="H310" s="1023">
        <f t="shared" si="141"/>
        <v>1.0164565421306495</v>
      </c>
      <c r="J310" s="801"/>
    </row>
    <row r="311" spans="1:10" ht="16.5" customHeight="1">
      <c r="A311" s="1032" t="str">
        <f>ajud!A241</f>
        <v>SETEMBRO|19</v>
      </c>
      <c r="B311" s="918">
        <f>geral!U287</f>
        <v>588.93960769543526</v>
      </c>
      <c r="C311" s="918">
        <f t="shared" ref="C311" si="307">100*B311*E$129/$B$9</f>
        <v>1499.5393356532472</v>
      </c>
      <c r="D311" s="918">
        <f t="shared" ref="D311" si="308">100*(B311/B310-1)</f>
        <v>0.21693639620607996</v>
      </c>
      <c r="E311" s="918">
        <f t="shared" ref="E311" si="309">100*((B311/$B$302)-1)</f>
        <v>4.6126378875497309</v>
      </c>
      <c r="F311" s="918">
        <f t="shared" ref="F311" si="310">100*((B311/B299)-1)</f>
        <v>4.8868664334500433</v>
      </c>
      <c r="G311" s="1076">
        <f t="shared" ref="G311" si="311">100*(B311/B287-1)</f>
        <v>8.12029717833469</v>
      </c>
      <c r="H311" s="1023">
        <f t="shared" si="141"/>
        <v>1.0142562511710642</v>
      </c>
      <c r="J311" s="801"/>
    </row>
    <row r="312" spans="1:10" ht="16.5" customHeight="1">
      <c r="A312" s="1032" t="str">
        <f>ajud!A242</f>
        <v>OUTUBRO|19</v>
      </c>
      <c r="B312" s="918">
        <f>geral!U288</f>
        <v>589.00652911042903</v>
      </c>
      <c r="C312" s="918">
        <f t="shared" ref="C312" si="312">100*B312*E$129/$B$9</f>
        <v>1499.7097288359596</v>
      </c>
      <c r="D312" s="918">
        <f t="shared" ref="D312" si="313">100*(B312/B311-1)</f>
        <v>1.1363035210965045E-2</v>
      </c>
      <c r="E312" s="918">
        <f t="shared" ref="E312" si="314">100*((B312/$B$302)-1)</f>
        <v>4.6245250584280084</v>
      </c>
      <c r="F312" s="918">
        <f t="shared" ref="F312" si="315">100*((B312/B300)-1)</f>
        <v>4.7952742498787781</v>
      </c>
      <c r="G312" s="1076">
        <f t="shared" ref="G312" si="316">100*(B312/B288-1)</f>
        <v>8.06708107330536</v>
      </c>
      <c r="H312" s="1023">
        <f t="shared" si="141"/>
        <v>1.0141410139705578</v>
      </c>
      <c r="J312" s="801"/>
    </row>
    <row r="313" spans="1:10" ht="16.5" customHeight="1">
      <c r="A313" s="1032" t="str">
        <f>ajud!A243</f>
        <v>NOVEMBRO|19</v>
      </c>
      <c r="B313" s="918">
        <f>geral!U289</f>
        <v>589.25527241650923</v>
      </c>
      <c r="C313" s="918">
        <f t="shared" ref="C313" si="317">100*B313*E$129/$B$9</f>
        <v>1500.3430711465701</v>
      </c>
      <c r="D313" s="918">
        <f t="shared" ref="D313" si="318">100*(B313/B312-1)</f>
        <v>4.223099300033617E-2</v>
      </c>
      <c r="E313" s="918">
        <f t="shared" ref="E313" si="319">100*((B313/$B$302)-1)</f>
        <v>4.6687090342820703</v>
      </c>
      <c r="F313" s="918">
        <f t="shared" ref="F313" si="320">100*((B313/B301)-1)</f>
        <v>4.7139573435931892</v>
      </c>
      <c r="G313" s="1076">
        <f t="shared" ref="G313" si="321">100*(B313/B289-1)</f>
        <v>8.0293969304886978</v>
      </c>
      <c r="H313" s="1023">
        <f t="shared" si="141"/>
        <v>1.0137129129412501</v>
      </c>
      <c r="J313" s="801"/>
    </row>
    <row r="314" spans="1:10" ht="16.5" customHeight="1">
      <c r="A314" s="1032" t="str">
        <f>ajud!A244</f>
        <v>DEZEMBRO|19</v>
      </c>
      <c r="B314" s="918">
        <f>geral!U290</f>
        <v>589.99864813865463</v>
      </c>
      <c r="C314" s="918">
        <f t="shared" ref="C314" si="322">100*B314*E$129/$B$9</f>
        <v>1502.2358308148978</v>
      </c>
      <c r="D314" s="918">
        <f t="shared" ref="D314" si="323">100*(B314/B313-1)</f>
        <v>0.12615512443305832</v>
      </c>
      <c r="E314" s="918">
        <f t="shared" ref="E314" si="324">100*((B314/$B$302)-1)</f>
        <v>4.8007539744067573</v>
      </c>
      <c r="F314" s="918">
        <f t="shared" ref="F314" si="325">100*((B314/B302)-1)</f>
        <v>4.8007539744067573</v>
      </c>
      <c r="G314" s="1076">
        <f t="shared" ref="G314" si="326">100*(B314/B290-1)</f>
        <v>8.0931242578184293</v>
      </c>
      <c r="H314" s="1023">
        <f t="shared" si="141"/>
        <v>1.012435673457595</v>
      </c>
      <c r="J314" s="801"/>
    </row>
    <row r="315" spans="1:10" ht="16.5" customHeight="1">
      <c r="A315" s="1032" t="str">
        <f>ajud!A245</f>
        <v>JANEIRO|20</v>
      </c>
      <c r="B315" s="918">
        <f>geral!W279</f>
        <v>591.04541961299822</v>
      </c>
      <c r="C315" s="918">
        <f t="shared" ref="C315" si="327">100*B315*E$129/$B$9</f>
        <v>1504.9010871174246</v>
      </c>
      <c r="D315" s="918">
        <f t="shared" ref="D315" si="328">100*(B315/B314-1)</f>
        <v>0.17741930047567855</v>
      </c>
      <c r="E315" s="918">
        <f t="shared" ref="E315:E320" si="329">100*((B315/$B$314)-1)</f>
        <v>0.17741930047567855</v>
      </c>
      <c r="F315" s="918">
        <f t="shared" ref="F315" si="330">100*((B315/B303)-1)</f>
        <v>4.9576533899429176</v>
      </c>
      <c r="G315" s="1076">
        <f t="shared" ref="G315" si="331">100*(B315/B291-1)</f>
        <v>8.0681187427735566</v>
      </c>
      <c r="H315" s="1023">
        <f t="shared" si="141"/>
        <v>1.0106425984291527</v>
      </c>
      <c r="J315" s="801"/>
    </row>
    <row r="316" spans="1:10" ht="16.5" customHeight="1">
      <c r="A316" s="1032" t="str">
        <f>ajud!A246</f>
        <v>FEVEREIRO|20</v>
      </c>
      <c r="B316" s="918">
        <f>geral!W280</f>
        <v>591.83559797994815</v>
      </c>
      <c r="C316" s="918">
        <f t="shared" ref="C316" si="332">100*B316*E$129/$B$9</f>
        <v>1506.9130141943965</v>
      </c>
      <c r="D316" s="918">
        <f t="shared" ref="D316" si="333">100*(B316/B315-1)</f>
        <v>0.13369164885286278</v>
      </c>
      <c r="E316" s="918">
        <f t="shared" si="329"/>
        <v>0.31134814411672984</v>
      </c>
      <c r="F316" s="918">
        <f t="shared" ref="F316" si="334">100*((B316/B304)-1)</f>
        <v>4.9768838988716313</v>
      </c>
      <c r="G316" s="1076">
        <f t="shared" ref="G316" si="335">100*(B316/B292-1)</f>
        <v>8.0671222925348793</v>
      </c>
      <c r="H316" s="1023">
        <f t="shared" si="141"/>
        <v>1.0092932576312645</v>
      </c>
      <c r="J316" s="801"/>
    </row>
    <row r="317" spans="1:10" ht="16.5" customHeight="1">
      <c r="A317" s="1032" t="str">
        <f>ajud!A247</f>
        <v>MARÇO|20</v>
      </c>
      <c r="B317" s="918">
        <f>geral!W281</f>
        <v>591.15061080931355</v>
      </c>
      <c r="C317" s="918">
        <f t="shared" ref="C317" si="336">100*B317*E$129/$B$9</f>
        <v>1505.1689216026214</v>
      </c>
      <c r="D317" s="918">
        <f t="shared" ref="D317" si="337">100*(B317/B316-1)</f>
        <v>-0.11573943388545338</v>
      </c>
      <c r="E317" s="918">
        <f t="shared" si="329"/>
        <v>0.195248357651856</v>
      </c>
      <c r="F317" s="918">
        <f t="shared" ref="F317" si="338">100*((B317/B305)-1)</f>
        <v>4.7106343134929896</v>
      </c>
      <c r="G317" s="1076">
        <f t="shared" ref="G317" si="339">100*(B317/B293-1)</f>
        <v>7.9311711977682053</v>
      </c>
      <c r="H317" s="1023">
        <f t="shared" si="141"/>
        <v>1.0104627615110608</v>
      </c>
      <c r="J317" s="801"/>
    </row>
    <row r="318" spans="1:10" ht="16.5" customHeight="1">
      <c r="A318" s="1032" t="str">
        <f>ajud!A248</f>
        <v>ABRIL|20</v>
      </c>
      <c r="B318" s="918">
        <f>geral!W282</f>
        <v>591.52677188359064</v>
      </c>
      <c r="C318" s="918">
        <f t="shared" ref="C318" si="340">100*B318*E$129/$B$9</f>
        <v>1506.1266909902627</v>
      </c>
      <c r="D318" s="918">
        <f t="shared" ref="D318" si="341">100*(B318/B317-1)</f>
        <v>6.3632019894566128E-2</v>
      </c>
      <c r="E318" s="918">
        <f t="shared" si="329"/>
        <v>0.2590046180202199</v>
      </c>
      <c r="F318" s="918">
        <f t="shared" ref="F318" si="342">100*((B318/B306)-1)</f>
        <v>4.6260367684138881</v>
      </c>
      <c r="G318" s="1076">
        <f t="shared" ref="G318" si="343">100*(B318/B294-1)</f>
        <v>7.9907179415499074</v>
      </c>
      <c r="H318" s="1023">
        <f t="shared" si="141"/>
        <v>1.0098201925252537</v>
      </c>
      <c r="J318" s="801"/>
    </row>
    <row r="319" spans="1:10" ht="16.5" customHeight="1">
      <c r="A319" s="1032" t="str">
        <f>ajud!A249</f>
        <v>MAIO|20</v>
      </c>
      <c r="B319" s="918">
        <f>geral!W283</f>
        <v>591.8184989889055</v>
      </c>
      <c r="C319" s="918">
        <f t="shared" ref="C319" si="344">100*B319*E$129/$B$9</f>
        <v>1506.8694772861406</v>
      </c>
      <c r="D319" s="918">
        <f t="shared" ref="D319" si="345">100*(B319/B318-1)</f>
        <v>4.9317650389002488E-2</v>
      </c>
      <c r="E319" s="918">
        <f t="shared" si="329"/>
        <v>0.3084500034012283</v>
      </c>
      <c r="F319" s="918">
        <f t="shared" ref="F319" si="346">100*((B319/B307)-1)</f>
        <v>1.2121060967771102</v>
      </c>
      <c r="G319" s="1076">
        <f t="shared" ref="G319" si="347">100*(B319/B295-1)</f>
        <v>7.9683176065761252</v>
      </c>
      <c r="H319" s="1023">
        <f t="shared" si="141"/>
        <v>1.0093224184236378</v>
      </c>
      <c r="J319" s="801"/>
    </row>
    <row r="320" spans="1:10" ht="16.5" customHeight="1">
      <c r="A320" s="1032" t="str">
        <f>ajud!A250</f>
        <v>JUNHO|20</v>
      </c>
      <c r="B320" s="918">
        <f>geral!W284</f>
        <v>592.0252538959553</v>
      </c>
      <c r="C320" s="918">
        <f t="shared" ref="C320" si="348">100*B320*E$129/$B$9</f>
        <v>1507.3959100678883</v>
      </c>
      <c r="D320" s="918">
        <f t="shared" ref="D320" si="349">100*(B320/B319-1)</f>
        <v>3.4935526247159565E-2</v>
      </c>
      <c r="E320" s="918">
        <f t="shared" si="329"/>
        <v>0.34349328828027215</v>
      </c>
      <c r="F320" s="918">
        <f t="shared" ref="F320" si="350">100*((B320/B308)-1)</f>
        <v>1.202118183900569</v>
      </c>
      <c r="G320" s="1076">
        <f t="shared" ref="G320" si="351">100*(B320/B296-1)</f>
        <v>5.7297260003917883</v>
      </c>
      <c r="H320" s="1023">
        <f t="shared" si="141"/>
        <v>1.0089699294691024</v>
      </c>
      <c r="J320" s="801"/>
    </row>
    <row r="321" spans="1:10" ht="16.5" customHeight="1">
      <c r="A321" s="1032" t="str">
        <f>ajud!A251</f>
        <v>JULHO|20</v>
      </c>
      <c r="B321" s="918">
        <f>geral!W285</f>
        <v>594.18266068657317</v>
      </c>
      <c r="C321" s="918">
        <f t="shared" ref="C321" si="352">100*B321*E$129/$B$9</f>
        <v>1512.8890307601716</v>
      </c>
      <c r="D321" s="918">
        <f t="shared" ref="D321" si="353">100*(B321/B320-1)</f>
        <v>0.36441127746165147</v>
      </c>
      <c r="E321" s="918">
        <f t="shared" ref="E321" si="354">100*((B321/$B$314)-1)</f>
        <v>0.70915629402175107</v>
      </c>
      <c r="F321" s="918">
        <f t="shared" ref="F321" si="355">100*((B321/B309)-1)</f>
        <v>1.2649235753849464</v>
      </c>
      <c r="G321" s="1076">
        <f t="shared" ref="G321" si="356">100*(B321/B297-1)</f>
        <v>6.0802339309669717</v>
      </c>
      <c r="H321" s="1023">
        <f t="shared" si="141"/>
        <v>1.0053064792855331</v>
      </c>
      <c r="J321" s="801"/>
    </row>
    <row r="322" spans="1:10" ht="16.5" customHeight="1">
      <c r="A322" s="1032" t="str">
        <f>ajud!A252</f>
        <v>AGOSTO|20</v>
      </c>
      <c r="B322" s="918">
        <f>geral!W286</f>
        <v>595.74859116184723</v>
      </c>
      <c r="C322" s="918">
        <f t="shared" ref="C322" si="357">100*B322*E$129/$B$9</f>
        <v>1516.8761532323047</v>
      </c>
      <c r="D322" s="918">
        <f t="shared" ref="D322" si="358">100*(B322/B321-1)</f>
        <v>0.26354361695184458</v>
      </c>
      <c r="E322" s="918">
        <f t="shared" ref="E322" si="359">100*((B322/$B$314)-1)</f>
        <v>0.9745688471207048</v>
      </c>
      <c r="F322" s="918">
        <f t="shared" ref="F322" si="360">100*((B322/B310)-1)</f>
        <v>1.3755873920975104</v>
      </c>
      <c r="G322" s="1076">
        <f t="shared" ref="G322" si="361">100*(B322/B298-1)</f>
        <v>6.2142516456854535</v>
      </c>
      <c r="H322" s="1035">
        <f t="shared" si="141"/>
        <v>1.0026640222554064</v>
      </c>
      <c r="J322" s="801"/>
    </row>
    <row r="323" spans="1:10" ht="16.5" customHeight="1" thickBot="1">
      <c r="A323" s="1046" t="str">
        <f>ajud!A253</f>
        <v>SETEMBRO|20</v>
      </c>
      <c r="B323" s="1047">
        <f>geral!W287</f>
        <v>597.33567866732938</v>
      </c>
      <c r="C323" s="1047">
        <f t="shared" ref="C323" si="362">100*B323*E$129/$B$9</f>
        <v>1520.9171450632107</v>
      </c>
      <c r="D323" s="1047">
        <f t="shared" ref="D323" si="363">100*(B323/B322-1)</f>
        <v>0.26640222554064064</v>
      </c>
      <c r="E323" s="1047">
        <f t="shared" ref="E323" si="364">100*((B323/$B$314)-1)</f>
        <v>1.2435673457594998</v>
      </c>
      <c r="F323" s="1047">
        <f t="shared" ref="F323" si="365">100*((B323/B311)-1)</f>
        <v>1.4256251171064216</v>
      </c>
      <c r="G323" s="1058">
        <f t="shared" ref="G323" si="366">100*(B323/B299-1)</f>
        <v>6.3821599458711686</v>
      </c>
      <c r="H323" s="1050">
        <f t="shared" si="141"/>
        <v>1</v>
      </c>
      <c r="J323" s="801"/>
    </row>
    <row r="324" spans="1:10">
      <c r="A324" s="758" t="s">
        <v>238</v>
      </c>
      <c r="B324" s="786"/>
      <c r="C324" s="786"/>
      <c r="D324" s="786"/>
      <c r="E324" s="786"/>
      <c r="F324" s="786"/>
      <c r="G324" s="786"/>
      <c r="H324" s="803"/>
    </row>
    <row r="325" spans="1:10">
      <c r="A325" s="802"/>
      <c r="B325" s="736"/>
      <c r="C325" s="804"/>
      <c r="D325" s="804"/>
      <c r="E325" s="805"/>
      <c r="F325" s="805"/>
      <c r="G325" s="806"/>
    </row>
    <row r="326" spans="1:10">
      <c r="B326" s="736"/>
      <c r="C326" s="804"/>
      <c r="D326" s="804"/>
      <c r="E326" s="805"/>
      <c r="F326" s="805"/>
      <c r="G326" s="806"/>
    </row>
    <row r="327" spans="1:10">
      <c r="A327" s="807"/>
      <c r="B327" s="808"/>
      <c r="C327" s="806"/>
      <c r="D327" s="806"/>
      <c r="E327" s="806"/>
      <c r="F327" s="806"/>
      <c r="G327" s="806"/>
    </row>
    <row r="328" spans="1:10">
      <c r="A328" s="760"/>
      <c r="C328" s="806"/>
      <c r="D328" s="806"/>
      <c r="E328" s="806"/>
      <c r="F328" s="806"/>
      <c r="G328" s="806"/>
    </row>
    <row r="329" spans="1:10">
      <c r="A329" s="807"/>
      <c r="C329" s="810"/>
      <c r="D329" s="806"/>
      <c r="E329" s="806"/>
      <c r="F329" s="806"/>
      <c r="G329" s="806"/>
    </row>
    <row r="330" spans="1:10">
      <c r="A330" s="809"/>
    </row>
  </sheetData>
  <mergeCells count="13">
    <mergeCell ref="C1:H3"/>
    <mergeCell ref="A7:B7"/>
    <mergeCell ref="E4:H4"/>
    <mergeCell ref="C129:D129"/>
    <mergeCell ref="I41:P41"/>
    <mergeCell ref="I42:P42"/>
    <mergeCell ref="I43:K44"/>
    <mergeCell ref="L43:P43"/>
    <mergeCell ref="L44:P44"/>
    <mergeCell ref="A4:D4"/>
    <mergeCell ref="A5:C5"/>
    <mergeCell ref="D5:G5"/>
    <mergeCell ref="H5:H6"/>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7" orientation="portrait" r:id="rId1"/>
  <headerFooter>
    <oddFooter>&amp;L&amp;"Calibri,Regular"&amp;K184782&amp;F&amp;C&amp;"Calibri,Regular"&amp;K184782&amp;A&amp;R&amp;"Calibri,Regular"&amp;K184782&amp;P</oddFooter>
  </headerFooter>
  <ignoredErrors>
    <ignoredError sqref="C145 G145"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7">
    <pageSetUpPr fitToPage="1"/>
  </sheetPr>
  <dimension ref="A1:K255"/>
  <sheetViews>
    <sheetView showGridLines="0" zoomScaleNormal="100" workbookViewId="0">
      <pane ySplit="2595" topLeftCell="A242" activePane="bottomLeft"/>
      <selection activeCell="I221" sqref="I221"/>
      <selection pane="bottomLeft" activeCell="H254" sqref="H254"/>
    </sheetView>
  </sheetViews>
  <sheetFormatPr defaultColWidth="11.6640625" defaultRowHeight="15.75"/>
  <cols>
    <col min="1" max="1" width="10.6640625" style="707" customWidth="1"/>
    <col min="2" max="2" width="10.44140625" style="734"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11" ht="21" customHeight="1">
      <c r="B1" s="708"/>
      <c r="C1" s="1417" t="s">
        <v>355</v>
      </c>
      <c r="D1" s="1417"/>
      <c r="E1" s="1417"/>
      <c r="F1" s="1417"/>
      <c r="G1" s="1417"/>
      <c r="H1" s="1417"/>
    </row>
    <row r="2" spans="1:11" ht="15" customHeight="1">
      <c r="A2" s="708"/>
      <c r="B2" s="708"/>
      <c r="C2" s="1417"/>
      <c r="D2" s="1417"/>
      <c r="E2" s="1417"/>
      <c r="F2" s="1417"/>
      <c r="G2" s="1417"/>
      <c r="H2" s="1417"/>
    </row>
    <row r="3" spans="1:11" ht="15" customHeight="1" thickBot="1">
      <c r="A3" s="708"/>
      <c r="B3" s="708"/>
      <c r="C3" s="1418"/>
      <c r="D3" s="1418"/>
      <c r="E3" s="1418"/>
      <c r="F3" s="1418"/>
      <c r="G3" s="1418"/>
      <c r="H3" s="1418"/>
    </row>
    <row r="4" spans="1:11" ht="17.25" customHeight="1" thickBot="1">
      <c r="A4" s="1472" t="s">
        <v>692</v>
      </c>
      <c r="B4" s="1466"/>
      <c r="C4" s="1467"/>
      <c r="D4" s="1432" t="s">
        <v>365</v>
      </c>
      <c r="E4" s="1433"/>
      <c r="F4" s="1433"/>
      <c r="G4" s="1433"/>
      <c r="H4" s="1434"/>
    </row>
    <row r="5" spans="1:11" ht="15" customHeight="1" thickBot="1">
      <c r="A5" s="1421" t="s">
        <v>274</v>
      </c>
      <c r="B5" s="1422"/>
      <c r="C5" s="1423"/>
      <c r="D5" s="1424" t="s">
        <v>275</v>
      </c>
      <c r="E5" s="1425"/>
      <c r="F5" s="1425"/>
      <c r="G5" s="1426"/>
      <c r="H5" s="1427" t="s">
        <v>186</v>
      </c>
    </row>
    <row r="6" spans="1:11" ht="15.75" customHeight="1" thickBot="1">
      <c r="A6" s="831" t="s">
        <v>341</v>
      </c>
      <c r="B6" s="781" t="s">
        <v>76</v>
      </c>
      <c r="C6" s="781" t="s">
        <v>68</v>
      </c>
      <c r="D6" s="781" t="s">
        <v>342</v>
      </c>
      <c r="E6" s="781" t="s">
        <v>343</v>
      </c>
      <c r="F6" s="781" t="s">
        <v>344</v>
      </c>
      <c r="G6" s="781" t="s">
        <v>345</v>
      </c>
      <c r="H6" s="1428"/>
    </row>
    <row r="7" spans="1:11" ht="15.75" customHeight="1" thickBot="1">
      <c r="A7" s="1419" t="s">
        <v>347</v>
      </c>
      <c r="B7" s="1420"/>
      <c r="C7" s="952"/>
      <c r="D7" s="952"/>
      <c r="E7" s="952"/>
      <c r="F7" s="952"/>
      <c r="G7" s="952"/>
      <c r="H7" s="953" t="str">
        <f>A4</f>
        <v>Atego 2426</v>
      </c>
    </row>
    <row r="8" spans="1:11" ht="16.5" hidden="1" thickBot="1">
      <c r="A8" s="972" t="s">
        <v>557</v>
      </c>
      <c r="B8" s="997">
        <f>+geral!C336</f>
        <v>81410</v>
      </c>
      <c r="C8" s="997">
        <v>100</v>
      </c>
      <c r="D8" s="1004"/>
      <c r="E8" s="1004"/>
      <c r="F8" s="1004"/>
      <c r="G8" s="1005"/>
      <c r="H8" s="1003">
        <f>$B$253/B8</f>
        <v>3.7321459280186708</v>
      </c>
    </row>
    <row r="9" spans="1:11" ht="16.5" hidden="1" thickBot="1">
      <c r="A9" s="973" t="s">
        <v>558</v>
      </c>
      <c r="B9" s="748">
        <f>+geral!C337</f>
        <v>82895</v>
      </c>
      <c r="C9" s="748">
        <f t="shared" ref="C9:C40" si="0">100*B9/$B$8</f>
        <v>101.82410023338656</v>
      </c>
      <c r="D9" s="849">
        <f>100*((B9/B8)-1)</f>
        <v>1.8241002333865719</v>
      </c>
      <c r="E9" s="849"/>
      <c r="F9" s="849"/>
      <c r="G9" s="925"/>
      <c r="H9" s="848">
        <f>$B$253/B9</f>
        <v>3.6652874117859944</v>
      </c>
      <c r="K9" s="811"/>
    </row>
    <row r="10" spans="1:11" ht="16.5" hidden="1" thickBot="1">
      <c r="A10" s="973" t="s">
        <v>559</v>
      </c>
      <c r="B10" s="748">
        <f>+geral!C338</f>
        <v>85524.33</v>
      </c>
      <c r="C10" s="748">
        <f t="shared" si="0"/>
        <v>105.05383859476723</v>
      </c>
      <c r="D10" s="849">
        <f t="shared" ref="D10:D41" si="1">100*((B10/B9)-1)</f>
        <v>3.1718800892695631</v>
      </c>
      <c r="E10" s="849"/>
      <c r="F10" s="849"/>
      <c r="G10" s="925"/>
      <c r="H10" s="848">
        <f>$B$253/B10</f>
        <v>3.5526031013630859</v>
      </c>
    </row>
    <row r="11" spans="1:11" ht="16.5" hidden="1" thickBot="1">
      <c r="A11" s="973" t="s">
        <v>560</v>
      </c>
      <c r="B11" s="748">
        <f>+geral!C339</f>
        <v>85358.33</v>
      </c>
      <c r="C11" s="748">
        <f t="shared" si="0"/>
        <v>104.84993244073209</v>
      </c>
      <c r="D11" s="849">
        <f t="shared" si="1"/>
        <v>-0.19409681432172032</v>
      </c>
      <c r="E11" s="849"/>
      <c r="F11" s="849"/>
      <c r="G11" s="925"/>
      <c r="H11" s="848">
        <f>$B$253/B11</f>
        <v>3.5595120007619641</v>
      </c>
    </row>
    <row r="12" spans="1:11" ht="16.5" hidden="1" thickBot="1">
      <c r="A12" s="973" t="s">
        <v>561</v>
      </c>
      <c r="B12" s="748">
        <f>+geral!C340</f>
        <v>82025</v>
      </c>
      <c r="C12" s="748">
        <f t="shared" si="0"/>
        <v>100.75543545019039</v>
      </c>
      <c r="D12" s="849">
        <f>100*((B12/B11)-1)</f>
        <v>-3.9051021733906954</v>
      </c>
      <c r="E12" s="849"/>
      <c r="F12" s="849"/>
      <c r="G12" s="925"/>
      <c r="H12" s="848">
        <f>$B$253/B12</f>
        <v>3.7041633648277963</v>
      </c>
    </row>
    <row r="13" spans="1:11" ht="16.5" hidden="1" thickBot="1">
      <c r="A13" s="973" t="s">
        <v>562</v>
      </c>
      <c r="B13" s="748">
        <f>+geral!C341</f>
        <v>81255.56</v>
      </c>
      <c r="C13" s="748">
        <f t="shared" si="0"/>
        <v>99.810293575727798</v>
      </c>
      <c r="D13" s="849">
        <f t="shared" si="1"/>
        <v>-0.93805547089301777</v>
      </c>
      <c r="E13" s="849"/>
      <c r="F13" s="849"/>
      <c r="G13" s="925"/>
      <c r="H13" s="848">
        <f>$B$253/B13</f>
        <v>3.7392395055796799</v>
      </c>
    </row>
    <row r="14" spans="1:11" ht="16.5" hidden="1" thickBot="1">
      <c r="A14" s="973" t="s">
        <v>534</v>
      </c>
      <c r="B14" s="748">
        <f>+geral!C342</f>
        <v>80818.33</v>
      </c>
      <c r="C14" s="748">
        <f t="shared" si="0"/>
        <v>99.273221962903818</v>
      </c>
      <c r="D14" s="849">
        <f t="shared" si="1"/>
        <v>-0.53809240869178154</v>
      </c>
      <c r="E14" s="849"/>
      <c r="F14" s="849"/>
      <c r="G14" s="925"/>
      <c r="H14" s="848">
        <f>$B$253/B14</f>
        <v>3.7594689224585562</v>
      </c>
    </row>
    <row r="15" spans="1:11" ht="16.5" hidden="1" thickBot="1">
      <c r="A15" s="973" t="s">
        <v>563</v>
      </c>
      <c r="B15" s="748">
        <f>+geral!C343</f>
        <v>80517.86</v>
      </c>
      <c r="C15" s="748">
        <f t="shared" si="0"/>
        <v>98.904139540596972</v>
      </c>
      <c r="D15" s="849">
        <f t="shared" si="1"/>
        <v>-0.37178447018145766</v>
      </c>
      <c r="E15" s="849"/>
      <c r="F15" s="849"/>
      <c r="G15" s="925"/>
      <c r="H15" s="848">
        <f>$B$253/B15</f>
        <v>3.7734982027589905</v>
      </c>
    </row>
    <row r="16" spans="1:11" ht="16.5" hidden="1" thickBot="1">
      <c r="A16" s="973" t="s">
        <v>564</v>
      </c>
      <c r="B16" s="748">
        <f>+geral!C344</f>
        <v>80950</v>
      </c>
      <c r="C16" s="748">
        <f t="shared" si="0"/>
        <v>99.434958850264096</v>
      </c>
      <c r="D16" s="849">
        <f t="shared" si="1"/>
        <v>0.53670080153644939</v>
      </c>
      <c r="E16" s="849"/>
      <c r="F16" s="849"/>
      <c r="G16" s="925"/>
      <c r="H16" s="848">
        <f>$B$253/B16</f>
        <v>3.7533539221741816</v>
      </c>
    </row>
    <row r="17" spans="1:8" ht="16.5" hidden="1" thickBot="1">
      <c r="A17" s="973" t="s">
        <v>546</v>
      </c>
      <c r="B17" s="748">
        <f>+geral!E333</f>
        <v>81860</v>
      </c>
      <c r="C17" s="748">
        <f t="shared" si="0"/>
        <v>100.55275764648077</v>
      </c>
      <c r="D17" s="849">
        <f t="shared" si="1"/>
        <v>1.1241507103150195</v>
      </c>
      <c r="E17" s="849">
        <f t="shared" ref="E17:E28" si="2">100*((B17/$B$16)-1)</f>
        <v>1.1241507103150195</v>
      </c>
      <c r="F17" s="849"/>
      <c r="G17" s="925"/>
      <c r="H17" s="848">
        <f>$B$253/B17</f>
        <v>3.7116296115318836</v>
      </c>
    </row>
    <row r="18" spans="1:8" ht="16.5" hidden="1" thickBot="1">
      <c r="A18" s="973" t="s">
        <v>547</v>
      </c>
      <c r="B18" s="748">
        <f>+geral!E334</f>
        <v>81625</v>
      </c>
      <c r="C18" s="748">
        <f t="shared" si="0"/>
        <v>100.26409531998526</v>
      </c>
      <c r="D18" s="849">
        <f t="shared" si="1"/>
        <v>-0.28707549474712435</v>
      </c>
      <c r="E18" s="849">
        <f t="shared" si="2"/>
        <v>0.83384805435453568</v>
      </c>
      <c r="F18" s="849"/>
      <c r="G18" s="925"/>
      <c r="H18" s="848">
        <f>$B$253/B18</f>
        <v>3.7223154670750382</v>
      </c>
    </row>
    <row r="19" spans="1:8" ht="16.5" hidden="1" thickBot="1">
      <c r="A19" s="973" t="s">
        <v>548</v>
      </c>
      <c r="B19" s="748">
        <f>+geral!E335</f>
        <v>84012.5</v>
      </c>
      <c r="C19" s="748">
        <f t="shared" si="0"/>
        <v>103.19678172214715</v>
      </c>
      <c r="D19" s="849">
        <f t="shared" si="1"/>
        <v>2.9249617151607898</v>
      </c>
      <c r="E19" s="849">
        <f t="shared" si="2"/>
        <v>3.7831995058678292</v>
      </c>
      <c r="F19" s="849"/>
      <c r="G19" s="925"/>
      <c r="H19" s="848">
        <f>$B$253/B19</f>
        <v>3.6165332539800623</v>
      </c>
    </row>
    <row r="20" spans="1:8" ht="16.5" hidden="1" thickBot="1">
      <c r="A20" s="973" t="s">
        <v>549</v>
      </c>
      <c r="B20" s="748">
        <f>+geral!E336</f>
        <v>78800</v>
      </c>
      <c r="C20" s="748">
        <f t="shared" si="0"/>
        <v>96.794005650411492</v>
      </c>
      <c r="D20" s="849">
        <f t="shared" si="1"/>
        <v>-6.2044338640083296</v>
      </c>
      <c r="E20" s="849">
        <f t="shared" si="2"/>
        <v>-2.6559604694255667</v>
      </c>
      <c r="F20" s="849">
        <f t="shared" ref="F20:F83" si="3">100*((B20/B8)-1)</f>
        <v>-3.2059943495885035</v>
      </c>
      <c r="G20" s="925"/>
      <c r="H20" s="848">
        <f>$B$253/B20</f>
        <v>3.855761421319797</v>
      </c>
    </row>
    <row r="21" spans="1:8" ht="16.5" hidden="1" thickBot="1">
      <c r="A21" s="973" t="s">
        <v>550</v>
      </c>
      <c r="B21" s="748">
        <f>+geral!E337</f>
        <v>79760</v>
      </c>
      <c r="C21" s="748">
        <f t="shared" si="0"/>
        <v>97.973221962903821</v>
      </c>
      <c r="D21" s="849">
        <f t="shared" si="1"/>
        <v>1.2182741116751217</v>
      </c>
      <c r="E21" s="849">
        <f t="shared" si="2"/>
        <v>-1.4700432365657767</v>
      </c>
      <c r="F21" s="849">
        <f t="shared" si="3"/>
        <v>-3.7818927558960103</v>
      </c>
      <c r="G21" s="925"/>
      <c r="H21" s="848">
        <f>$B$253/B21</f>
        <v>3.8093530591775324</v>
      </c>
    </row>
    <row r="22" spans="1:8" ht="16.5" hidden="1" thickBot="1">
      <c r="A22" s="973" t="s">
        <v>551</v>
      </c>
      <c r="B22" s="748">
        <f>+geral!E338</f>
        <v>86975</v>
      </c>
      <c r="C22" s="748">
        <f t="shared" si="0"/>
        <v>106.83576956147894</v>
      </c>
      <c r="D22" s="849">
        <f t="shared" si="1"/>
        <v>9.0458876629889708</v>
      </c>
      <c r="E22" s="849">
        <f t="shared" si="2"/>
        <v>7.4428659666460728</v>
      </c>
      <c r="F22" s="849">
        <f t="shared" si="3"/>
        <v>1.6962073833258984</v>
      </c>
      <c r="G22" s="925"/>
      <c r="H22" s="848">
        <f>$B$253/B22</f>
        <v>3.4933486634090256</v>
      </c>
    </row>
    <row r="23" spans="1:8" ht="16.5" hidden="1" thickBot="1">
      <c r="A23" s="973" t="s">
        <v>552</v>
      </c>
      <c r="B23" s="748">
        <f>+geral!E339</f>
        <v>88060</v>
      </c>
      <c r="C23" s="748">
        <f t="shared" si="0"/>
        <v>108.16852966466035</v>
      </c>
      <c r="D23" s="849">
        <f t="shared" si="1"/>
        <v>1.247484909456742</v>
      </c>
      <c r="E23" s="849">
        <f t="shared" si="2"/>
        <v>8.7831995058678114</v>
      </c>
      <c r="F23" s="849">
        <f t="shared" si="3"/>
        <v>3.1650923817277077</v>
      </c>
      <c r="G23" s="925"/>
      <c r="H23" s="848">
        <f>$B$253/B23</f>
        <v>3.4503066091301386</v>
      </c>
    </row>
    <row r="24" spans="1:8" ht="16.5" hidden="1" thickBot="1">
      <c r="A24" s="973" t="s">
        <v>553</v>
      </c>
      <c r="B24" s="748">
        <f>+geral!E340</f>
        <v>87583</v>
      </c>
      <c r="C24" s="748">
        <f t="shared" si="0"/>
        <v>107.58260655939074</v>
      </c>
      <c r="D24" s="849">
        <f t="shared" si="1"/>
        <v>-0.54167612991142811</v>
      </c>
      <c r="E24" s="849">
        <f t="shared" si="2"/>
        <v>8.1939468807906035</v>
      </c>
      <c r="F24" s="849">
        <f t="shared" si="3"/>
        <v>6.7759829320329201</v>
      </c>
      <c r="G24" s="925"/>
      <c r="H24" s="848">
        <f>$B$253/B24</f>
        <v>3.4690978842926139</v>
      </c>
    </row>
    <row r="25" spans="1:8" ht="16.5" hidden="1" thickBot="1">
      <c r="A25" s="973" t="s">
        <v>554</v>
      </c>
      <c r="B25" s="748">
        <f>+geral!E341</f>
        <v>88680</v>
      </c>
      <c r="C25" s="748">
        <f t="shared" si="0"/>
        <v>108.93010686647833</v>
      </c>
      <c r="D25" s="849">
        <f t="shared" si="1"/>
        <v>1.252526175170976</v>
      </c>
      <c r="E25" s="849">
        <f t="shared" si="2"/>
        <v>9.5491043854230906</v>
      </c>
      <c r="F25" s="849">
        <f t="shared" si="3"/>
        <v>9.1371470456913961</v>
      </c>
      <c r="G25" s="925"/>
      <c r="H25" s="848">
        <f>$B$253/B25</f>
        <v>3.4261840324763195</v>
      </c>
    </row>
    <row r="26" spans="1:8" ht="16.5" hidden="1" thickBot="1">
      <c r="A26" s="973" t="s">
        <v>533</v>
      </c>
      <c r="B26" s="748">
        <f>+geral!E342</f>
        <v>88020</v>
      </c>
      <c r="C26" s="748">
        <f t="shared" si="0"/>
        <v>108.11939565163985</v>
      </c>
      <c r="D26" s="849">
        <f t="shared" si="1"/>
        <v>-0.7442489851150258</v>
      </c>
      <c r="E26" s="849">
        <f t="shared" si="2"/>
        <v>8.7337862878319896</v>
      </c>
      <c r="F26" s="849">
        <f t="shared" si="3"/>
        <v>8.910936417518144</v>
      </c>
      <c r="G26" s="925"/>
      <c r="H26" s="848">
        <f>$B$253/B26</f>
        <v>3.4518745739604637</v>
      </c>
    </row>
    <row r="27" spans="1:8" ht="16.5" hidden="1" thickBot="1">
      <c r="A27" s="973" t="s">
        <v>555</v>
      </c>
      <c r="B27" s="748">
        <f>+geral!E343</f>
        <v>86830</v>
      </c>
      <c r="C27" s="748">
        <f t="shared" si="0"/>
        <v>106.65765876427957</v>
      </c>
      <c r="D27" s="849">
        <f t="shared" si="1"/>
        <v>-1.3519654623949107</v>
      </c>
      <c r="E27" s="849">
        <f t="shared" si="2"/>
        <v>7.2637430512662027</v>
      </c>
      <c r="F27" s="849">
        <f t="shared" si="3"/>
        <v>7.8394284199803543</v>
      </c>
      <c r="G27" s="925"/>
      <c r="H27" s="848">
        <f>$B$253/B27</f>
        <v>3.4991823102614306</v>
      </c>
    </row>
    <row r="28" spans="1:8" ht="16.5" hidden="1" thickBot="1">
      <c r="A28" s="973" t="s">
        <v>556</v>
      </c>
      <c r="B28" s="748">
        <f>+geral!E344</f>
        <v>85615</v>
      </c>
      <c r="C28" s="748">
        <f t="shared" si="0"/>
        <v>105.16521311878148</v>
      </c>
      <c r="D28" s="849">
        <f t="shared" si="1"/>
        <v>-1.3992859610733599</v>
      </c>
      <c r="E28" s="849">
        <f t="shared" si="2"/>
        <v>5.7628165534280518</v>
      </c>
      <c r="F28" s="849">
        <f t="shared" si="3"/>
        <v>5.7628165534280518</v>
      </c>
      <c r="G28" s="925"/>
      <c r="H28" s="848">
        <f>$B$253/B28</f>
        <v>3.5488407405244407</v>
      </c>
    </row>
    <row r="29" spans="1:8" ht="16.5" hidden="1" thickBot="1">
      <c r="A29" s="973" t="s">
        <v>535</v>
      </c>
      <c r="B29" s="748">
        <f>+geral!G333</f>
        <v>88680</v>
      </c>
      <c r="C29" s="748">
        <f t="shared" si="0"/>
        <v>108.93010686647833</v>
      </c>
      <c r="D29" s="849">
        <f t="shared" si="1"/>
        <v>3.5799801436664058</v>
      </c>
      <c r="E29" s="849">
        <f t="shared" ref="E29:E40" si="4">100*((B29/$B$28)-1)</f>
        <v>3.5799801436664058</v>
      </c>
      <c r="F29" s="849">
        <f t="shared" si="3"/>
        <v>8.3312973369166876</v>
      </c>
      <c r="G29" s="925"/>
      <c r="H29" s="848">
        <f>$B$253/B29</f>
        <v>3.4261840324763195</v>
      </c>
    </row>
    <row r="30" spans="1:8" ht="16.5" hidden="1" thickBot="1">
      <c r="A30" s="973" t="s">
        <v>536</v>
      </c>
      <c r="B30" s="748">
        <v>83000</v>
      </c>
      <c r="C30" s="748">
        <f t="shared" si="0"/>
        <v>101.95307701756541</v>
      </c>
      <c r="D30" s="849">
        <f t="shared" si="1"/>
        <v>-6.4050518718989586</v>
      </c>
      <c r="E30" s="849">
        <f t="shared" si="4"/>
        <v>-3.0543713134380646</v>
      </c>
      <c r="F30" s="849">
        <f t="shared" si="3"/>
        <v>1.6845329249617125</v>
      </c>
      <c r="G30" s="925"/>
      <c r="H30" s="848">
        <f>$B$253/B30</f>
        <v>3.6606506024096386</v>
      </c>
    </row>
    <row r="31" spans="1:8" ht="16.5" hidden="1" thickBot="1">
      <c r="A31" s="973" t="s">
        <v>537</v>
      </c>
      <c r="B31" s="748">
        <f>+geral!G335</f>
        <v>87340</v>
      </c>
      <c r="C31" s="748">
        <f t="shared" si="0"/>
        <v>107.28411743029112</v>
      </c>
      <c r="D31" s="849">
        <f t="shared" si="1"/>
        <v>5.2289156626506017</v>
      </c>
      <c r="E31" s="849">
        <f t="shared" si="4"/>
        <v>2.0148338492086637</v>
      </c>
      <c r="F31" s="849">
        <f t="shared" si="3"/>
        <v>3.9607201309328932</v>
      </c>
      <c r="G31" s="925"/>
      <c r="H31" s="848">
        <f>$B$253/B31</f>
        <v>3.478749713762308</v>
      </c>
    </row>
    <row r="32" spans="1:8" ht="16.5" hidden="1" thickBot="1">
      <c r="A32" s="973" t="s">
        <v>538</v>
      </c>
      <c r="B32" s="748">
        <f>+geral!G336</f>
        <v>89760</v>
      </c>
      <c r="C32" s="748">
        <f t="shared" si="0"/>
        <v>110.25672521803219</v>
      </c>
      <c r="D32" s="849">
        <f t="shared" si="1"/>
        <v>2.7707808564231717</v>
      </c>
      <c r="E32" s="849">
        <f t="shared" si="4"/>
        <v>4.8414413362144471</v>
      </c>
      <c r="F32" s="849">
        <f t="shared" si="3"/>
        <v>13.908629441624365</v>
      </c>
      <c r="G32" s="925">
        <f>100*(B32/B8-1)</f>
        <v>10.25672521803218</v>
      </c>
      <c r="H32" s="848">
        <f>$B$253/B32</f>
        <v>3.3849598930481282</v>
      </c>
    </row>
    <row r="33" spans="1:8" ht="16.5" hidden="1" thickBot="1">
      <c r="A33" s="973" t="s">
        <v>539</v>
      </c>
      <c r="B33" s="748">
        <f>+geral!G337</f>
        <v>90685</v>
      </c>
      <c r="C33" s="748">
        <f t="shared" si="0"/>
        <v>111.39294926913156</v>
      </c>
      <c r="D33" s="849">
        <f t="shared" si="1"/>
        <v>1.0305258467023126</v>
      </c>
      <c r="E33" s="849">
        <f t="shared" si="4"/>
        <v>5.9218594872393782</v>
      </c>
      <c r="F33" s="849">
        <f t="shared" si="3"/>
        <v>13.697342026078241</v>
      </c>
      <c r="G33" s="925">
        <f t="shared" ref="G33:G94" si="5">100*(B33/B9-1)</f>
        <v>9.3974304843476695</v>
      </c>
      <c r="H33" s="848">
        <f>$B$253/B33</f>
        <v>3.350432816893643</v>
      </c>
    </row>
    <row r="34" spans="1:8" ht="16.5" hidden="1" thickBot="1">
      <c r="A34" s="973" t="s">
        <v>540</v>
      </c>
      <c r="B34" s="748">
        <f>+geral!G338</f>
        <v>90995</v>
      </c>
      <c r="C34" s="748">
        <f t="shared" si="0"/>
        <v>111.77373787004053</v>
      </c>
      <c r="D34" s="849">
        <f t="shared" si="1"/>
        <v>0.34184264211281068</v>
      </c>
      <c r="E34" s="849">
        <f t="shared" si="4"/>
        <v>6.2839455702855762</v>
      </c>
      <c r="F34" s="849">
        <f t="shared" si="3"/>
        <v>4.622017821212987</v>
      </c>
      <c r="G34" s="925">
        <f t="shared" si="5"/>
        <v>6.3966242120809369</v>
      </c>
      <c r="H34" s="848">
        <f>$B$253/B34</f>
        <v>3.3390186273971096</v>
      </c>
    </row>
    <row r="35" spans="1:8" ht="16.5" hidden="1" thickBot="1">
      <c r="A35" s="973" t="s">
        <v>541</v>
      </c>
      <c r="B35" s="748">
        <f>+geral!G339</f>
        <v>90889.2</v>
      </c>
      <c r="C35" s="748">
        <f t="shared" si="0"/>
        <v>111.64377840560128</v>
      </c>
      <c r="D35" s="849">
        <f t="shared" si="1"/>
        <v>-0.11627012473213183</v>
      </c>
      <c r="E35" s="849">
        <f t="shared" si="4"/>
        <v>6.1603690942007683</v>
      </c>
      <c r="F35" s="849">
        <f t="shared" si="3"/>
        <v>3.2128094481035596</v>
      </c>
      <c r="G35" s="925">
        <f t="shared" si="5"/>
        <v>6.4795902169126229</v>
      </c>
      <c r="H35" s="848">
        <f>$B$253/B35</f>
        <v>3.3429054277075827</v>
      </c>
    </row>
    <row r="36" spans="1:8" ht="16.5" hidden="1" thickBot="1">
      <c r="A36" s="973" t="s">
        <v>542</v>
      </c>
      <c r="B36" s="748">
        <f>+geral!G340</f>
        <v>90560</v>
      </c>
      <c r="C36" s="748">
        <f t="shared" si="0"/>
        <v>111.23940547844245</v>
      </c>
      <c r="D36" s="849">
        <f t="shared" si="1"/>
        <v>-0.362199249195716</v>
      </c>
      <c r="E36" s="849">
        <f t="shared" si="4"/>
        <v>5.7758570343981797</v>
      </c>
      <c r="F36" s="849">
        <f t="shared" si="3"/>
        <v>3.3990614616991932</v>
      </c>
      <c r="G36" s="925">
        <f t="shared" si="5"/>
        <v>10.405364218226154</v>
      </c>
      <c r="H36" s="848">
        <f>$B$253/B36</f>
        <v>3.3550574204946995</v>
      </c>
    </row>
    <row r="37" spans="1:8" ht="16.5" hidden="1" thickBot="1">
      <c r="A37" s="973" t="s">
        <v>543</v>
      </c>
      <c r="B37" s="748">
        <f>+geral!G341</f>
        <v>91780</v>
      </c>
      <c r="C37" s="748">
        <f t="shared" si="0"/>
        <v>112.73799287556811</v>
      </c>
      <c r="D37" s="849">
        <f t="shared" si="1"/>
        <v>1.3471731448763347</v>
      </c>
      <c r="E37" s="849">
        <f t="shared" si="4"/>
        <v>7.2008409741283641</v>
      </c>
      <c r="F37" s="849">
        <f t="shared" si="3"/>
        <v>3.4957149300856916</v>
      </c>
      <c r="G37" s="925">
        <f t="shared" si="5"/>
        <v>12.952270589237225</v>
      </c>
      <c r="H37" s="848">
        <f>$B$253/B37</f>
        <v>3.3104597951623447</v>
      </c>
    </row>
    <row r="38" spans="1:8" ht="16.5" hidden="1" thickBot="1">
      <c r="A38" s="973" t="s">
        <v>532</v>
      </c>
      <c r="B38" s="748">
        <f>+geral!G342</f>
        <v>94140</v>
      </c>
      <c r="C38" s="748">
        <f t="shared" si="0"/>
        <v>115.63689964377841</v>
      </c>
      <c r="D38" s="849">
        <f t="shared" si="1"/>
        <v>2.571366310743084</v>
      </c>
      <c r="E38" s="849">
        <f t="shared" si="4"/>
        <v>9.9573672837703686</v>
      </c>
      <c r="F38" s="849">
        <f t="shared" si="3"/>
        <v>6.9529652351738136</v>
      </c>
      <c r="G38" s="925">
        <f t="shared" si="5"/>
        <v>16.483475963930449</v>
      </c>
      <c r="H38" s="848">
        <f>$B$253/B38</f>
        <v>3.2274697259400891</v>
      </c>
    </row>
    <row r="39" spans="1:8" ht="16.5" hidden="1" thickBot="1">
      <c r="A39" s="973" t="s">
        <v>544</v>
      </c>
      <c r="B39" s="748">
        <f>+geral!G343</f>
        <v>95900</v>
      </c>
      <c r="C39" s="748">
        <f t="shared" si="0"/>
        <v>117.798796216681</v>
      </c>
      <c r="D39" s="849">
        <f t="shared" si="1"/>
        <v>1.8695559804546402</v>
      </c>
      <c r="E39" s="849">
        <f t="shared" si="4"/>
        <v>12.013081819774563</v>
      </c>
      <c r="F39" s="849">
        <f t="shared" si="3"/>
        <v>10.445698491304857</v>
      </c>
      <c r="G39" s="925">
        <f t="shared" si="5"/>
        <v>19.104009967478031</v>
      </c>
      <c r="H39" s="848">
        <f>$B$253/B39</f>
        <v>3.1682377476538059</v>
      </c>
    </row>
    <row r="40" spans="1:8" ht="16.5" hidden="1" thickBot="1">
      <c r="A40" s="973" t="s">
        <v>545</v>
      </c>
      <c r="B40" s="748">
        <f>+geral!G344</f>
        <v>96230</v>
      </c>
      <c r="C40" s="748">
        <f t="shared" si="0"/>
        <v>118.20415182410024</v>
      </c>
      <c r="D40" s="849">
        <f t="shared" si="1"/>
        <v>0.34410844629821913</v>
      </c>
      <c r="E40" s="849">
        <f t="shared" si="4"/>
        <v>12.398528295275369</v>
      </c>
      <c r="F40" s="849">
        <f t="shared" si="3"/>
        <v>12.398528295275369</v>
      </c>
      <c r="G40" s="925">
        <f t="shared" si="5"/>
        <v>18.875849289685</v>
      </c>
      <c r="H40" s="848">
        <f>$B$253/B40</f>
        <v>3.1573729606151928</v>
      </c>
    </row>
    <row r="41" spans="1:8" ht="16.5" hidden="1" thickBot="1">
      <c r="A41" s="973" t="s">
        <v>565</v>
      </c>
      <c r="B41" s="748">
        <f>+geral!I333</f>
        <v>104620</v>
      </c>
      <c r="C41" s="748">
        <f t="shared" ref="C41:C72" si="6">100*B41/$B$8</f>
        <v>128.51001105515292</v>
      </c>
      <c r="D41" s="849">
        <f t="shared" si="1"/>
        <v>8.7186947937233796</v>
      </c>
      <c r="E41" s="849">
        <f t="shared" ref="E41:E46" si="7">100*((B41/$B$40)-1)</f>
        <v>8.7186947937233796</v>
      </c>
      <c r="F41" s="849">
        <f t="shared" si="3"/>
        <v>17.974740640505193</v>
      </c>
      <c r="G41" s="925">
        <f t="shared" si="5"/>
        <v>27.803567065721957</v>
      </c>
      <c r="H41" s="848">
        <f>$B$253/B41</f>
        <v>2.9041674632001531</v>
      </c>
    </row>
    <row r="42" spans="1:8" ht="16.5" hidden="1" thickBot="1">
      <c r="A42" s="973" t="s">
        <v>566</v>
      </c>
      <c r="B42" s="748">
        <f>+geral!I334</f>
        <v>104370.6</v>
      </c>
      <c r="C42" s="748">
        <f t="shared" si="6"/>
        <v>128.20366048397003</v>
      </c>
      <c r="D42" s="849">
        <f t="shared" ref="D42:D47" si="8">100*((B42/B41)-1)</f>
        <v>-0.23838654177020802</v>
      </c>
      <c r="E42" s="849">
        <f t="shared" si="7"/>
        <v>8.4595240569468988</v>
      </c>
      <c r="F42" s="849">
        <f t="shared" si="3"/>
        <v>25.747710843373504</v>
      </c>
      <c r="G42" s="925">
        <f t="shared" si="5"/>
        <v>27.865972434915776</v>
      </c>
      <c r="H42" s="848">
        <f>$B$253/B42</f>
        <v>2.9111071508643236</v>
      </c>
    </row>
    <row r="43" spans="1:8" ht="16.5" hidden="1" thickBot="1">
      <c r="A43" s="973" t="s">
        <v>567</v>
      </c>
      <c r="B43" s="748">
        <f>+geral!I335</f>
        <v>105365.4</v>
      </c>
      <c r="C43" s="748">
        <f t="shared" si="6"/>
        <v>129.42562338779021</v>
      </c>
      <c r="D43" s="849">
        <f t="shared" si="8"/>
        <v>0.95314197676354961</v>
      </c>
      <c r="E43" s="849">
        <f t="shared" si="7"/>
        <v>9.4932973085316341</v>
      </c>
      <c r="F43" s="849">
        <f t="shared" si="3"/>
        <v>20.638195557591011</v>
      </c>
      <c r="G43" s="925">
        <f t="shared" si="5"/>
        <v>25.416336854634714</v>
      </c>
      <c r="H43" s="848">
        <f>$B$253/B43</f>
        <v>2.8836221378175382</v>
      </c>
    </row>
    <row r="44" spans="1:8" ht="16.5" hidden="1" thickBot="1">
      <c r="A44" s="973" t="s">
        <v>568</v>
      </c>
      <c r="B44" s="748">
        <f>+geral!I336</f>
        <v>105378.6</v>
      </c>
      <c r="C44" s="748">
        <f t="shared" si="6"/>
        <v>129.44183761208697</v>
      </c>
      <c r="D44" s="849">
        <f t="shared" si="8"/>
        <v>1.2527831717057403E-2</v>
      </c>
      <c r="E44" s="849">
        <f t="shared" si="7"/>
        <v>9.5070144445599247</v>
      </c>
      <c r="F44" s="849">
        <f t="shared" si="3"/>
        <v>17.400401069518722</v>
      </c>
      <c r="G44" s="925">
        <f t="shared" si="5"/>
        <v>33.729187817258889</v>
      </c>
      <c r="H44" s="848">
        <f>$B$253/B44</f>
        <v>2.883260927740547</v>
      </c>
    </row>
    <row r="45" spans="1:8" ht="16.5" hidden="1" thickBot="1">
      <c r="A45" s="973" t="s">
        <v>569</v>
      </c>
      <c r="B45" s="748">
        <f>+geral!I337</f>
        <v>106218.6</v>
      </c>
      <c r="C45" s="748">
        <f t="shared" si="6"/>
        <v>130.47365188551774</v>
      </c>
      <c r="D45" s="849">
        <f t="shared" si="8"/>
        <v>0.79712579214374912</v>
      </c>
      <c r="E45" s="849">
        <f t="shared" si="7"/>
        <v>10.379923100904097</v>
      </c>
      <c r="F45" s="849">
        <f t="shared" si="3"/>
        <v>17.129183437172646</v>
      </c>
      <c r="G45" s="925">
        <f t="shared" si="5"/>
        <v>33.172768304914754</v>
      </c>
      <c r="H45" s="848">
        <f>$B$253/B45</f>
        <v>2.8604594675508808</v>
      </c>
    </row>
    <row r="46" spans="1:8" ht="16.5" hidden="1" thickBot="1">
      <c r="A46" s="973" t="s">
        <v>570</v>
      </c>
      <c r="B46" s="748">
        <f>+geral!I338</f>
        <v>106346</v>
      </c>
      <c r="C46" s="748">
        <f t="shared" si="6"/>
        <v>130.63014371698807</v>
      </c>
      <c r="D46" s="849">
        <f t="shared" si="8"/>
        <v>0.11994132854320494</v>
      </c>
      <c r="E46" s="849">
        <f t="shared" si="7"/>
        <v>10.512314247116294</v>
      </c>
      <c r="F46" s="849">
        <f t="shared" si="3"/>
        <v>16.870157700972577</v>
      </c>
      <c r="G46" s="925">
        <f t="shared" si="5"/>
        <v>22.271917217591252</v>
      </c>
      <c r="H46" s="848">
        <f>$B$253/B46</f>
        <v>2.8570327045681081</v>
      </c>
    </row>
    <row r="47" spans="1:8" ht="16.5" hidden="1" thickBot="1">
      <c r="A47" s="973" t="s">
        <v>571</v>
      </c>
      <c r="B47" s="748">
        <f>+geral!I339</f>
        <v>109223.2</v>
      </c>
      <c r="C47" s="748">
        <f t="shared" si="6"/>
        <v>134.16435327355362</v>
      </c>
      <c r="D47" s="849">
        <f t="shared" si="8"/>
        <v>2.705508434731918</v>
      </c>
      <c r="E47" s="849">
        <f t="shared" ref="E47:E52" si="9">100*((B47/$B$40)-1)</f>
        <v>13.50223423048944</v>
      </c>
      <c r="F47" s="849">
        <f t="shared" si="3"/>
        <v>20.171813592814104</v>
      </c>
      <c r="G47" s="925">
        <f t="shared" si="5"/>
        <v>24.032704973881437</v>
      </c>
      <c r="H47" s="848">
        <f>$B$253/B47</f>
        <v>2.7817716382600035</v>
      </c>
    </row>
    <row r="48" spans="1:8" ht="16.5" hidden="1" thickBot="1">
      <c r="A48" s="973" t="s">
        <v>572</v>
      </c>
      <c r="B48" s="748">
        <f>+geral!I340</f>
        <v>111814</v>
      </c>
      <c r="C48" s="748">
        <f t="shared" si="6"/>
        <v>137.34676329689228</v>
      </c>
      <c r="D48" s="849">
        <f t="shared" ref="D48:D53" si="10">100*((B48/B47)-1)</f>
        <v>2.3720235261373013</v>
      </c>
      <c r="E48" s="849">
        <f t="shared" si="9"/>
        <v>16.194533929128131</v>
      </c>
      <c r="F48" s="849">
        <f t="shared" si="3"/>
        <v>23.469522968197886</v>
      </c>
      <c r="G48" s="925">
        <f t="shared" si="5"/>
        <v>27.666327940353732</v>
      </c>
      <c r="H48" s="848">
        <f>$B$253/B48</f>
        <v>2.7173162573559662</v>
      </c>
    </row>
    <row r="49" spans="1:8" ht="16.5" hidden="1" thickBot="1">
      <c r="A49" s="973" t="s">
        <v>573</v>
      </c>
      <c r="B49" s="748">
        <f>+geral!I341</f>
        <v>112992</v>
      </c>
      <c r="C49" s="748">
        <f t="shared" si="6"/>
        <v>138.79375998034641</v>
      </c>
      <c r="D49" s="849">
        <f t="shared" si="10"/>
        <v>1.0535353354678367</v>
      </c>
      <c r="E49" s="849">
        <f t="shared" si="9"/>
        <v>17.418684401953644</v>
      </c>
      <c r="F49" s="849">
        <f t="shared" si="3"/>
        <v>23.111789060797562</v>
      </c>
      <c r="G49" s="925">
        <f t="shared" si="5"/>
        <v>27.415426251691464</v>
      </c>
      <c r="H49" s="848">
        <f>$B$253/B49</f>
        <v>2.6889868309260834</v>
      </c>
    </row>
    <row r="50" spans="1:8" ht="16.5" hidden="1" thickBot="1">
      <c r="A50" s="973" t="s">
        <v>396</v>
      </c>
      <c r="B50" s="748">
        <v>117114.6</v>
      </c>
      <c r="C50" s="748">
        <f t="shared" si="6"/>
        <v>143.85775703230561</v>
      </c>
      <c r="D50" s="849">
        <f t="shared" si="10"/>
        <v>3.6485768903993243</v>
      </c>
      <c r="E50" s="849">
        <f t="shared" si="9"/>
        <v>21.702795386054241</v>
      </c>
      <c r="F50" s="849">
        <f t="shared" si="3"/>
        <v>24.404716379859792</v>
      </c>
      <c r="G50" s="925">
        <f t="shared" si="5"/>
        <v>33.054533060668035</v>
      </c>
      <c r="H50" s="848">
        <f>$B$253/B50</f>
        <v>2.5943306812301796</v>
      </c>
    </row>
    <row r="51" spans="1:8" ht="16.5" hidden="1" thickBot="1">
      <c r="A51" s="973" t="s">
        <v>397</v>
      </c>
      <c r="B51" s="748">
        <f>+geral!I343</f>
        <v>115751.8</v>
      </c>
      <c r="C51" s="748">
        <f t="shared" si="6"/>
        <v>142.18376120869672</v>
      </c>
      <c r="D51" s="849">
        <f t="shared" si="10"/>
        <v>-1.1636465479111902</v>
      </c>
      <c r="E51" s="849">
        <f t="shared" si="9"/>
        <v>20.286605008833014</v>
      </c>
      <c r="F51" s="849">
        <f t="shared" si="3"/>
        <v>20.700521376433791</v>
      </c>
      <c r="G51" s="925">
        <f t="shared" si="5"/>
        <v>33.308533916849029</v>
      </c>
      <c r="H51" s="848">
        <f>$B$253/B51</f>
        <v>2.6248749479489737</v>
      </c>
    </row>
    <row r="52" spans="1:8" ht="16.5" hidden="1" thickBot="1">
      <c r="A52" s="973" t="s">
        <v>398</v>
      </c>
      <c r="B52" s="748">
        <f>+geral!I344</f>
        <v>114300</v>
      </c>
      <c r="C52" s="748">
        <f t="shared" si="6"/>
        <v>140.40044220611719</v>
      </c>
      <c r="D52" s="849">
        <f t="shared" si="10"/>
        <v>-1.2542353553033347</v>
      </c>
      <c r="E52" s="849">
        <f t="shared" si="9"/>
        <v>18.77792788111816</v>
      </c>
      <c r="F52" s="849">
        <f t="shared" si="3"/>
        <v>18.77792788111816</v>
      </c>
      <c r="G52" s="925">
        <f t="shared" si="5"/>
        <v>33.504642878000347</v>
      </c>
      <c r="H52" s="848">
        <f>$B$253/B52</f>
        <v>2.658215223097113</v>
      </c>
    </row>
    <row r="53" spans="1:8" ht="16.5" hidden="1" thickBot="1">
      <c r="A53" s="973" t="s">
        <v>399</v>
      </c>
      <c r="B53" s="748">
        <f>+geral!K333</f>
        <v>120545.45</v>
      </c>
      <c r="C53" s="748">
        <f t="shared" si="6"/>
        <v>148.07204274659134</v>
      </c>
      <c r="D53" s="849">
        <f t="shared" si="10"/>
        <v>5.464085739282587</v>
      </c>
      <c r="E53" s="849">
        <f t="shared" ref="E53:E58" si="11">100*((B53/$B$52)-1)</f>
        <v>5.464085739282587</v>
      </c>
      <c r="F53" s="849">
        <f t="shared" si="3"/>
        <v>15.222185050659531</v>
      </c>
      <c r="G53" s="925">
        <f t="shared" si="5"/>
        <v>35.933073973838518</v>
      </c>
      <c r="H53" s="848">
        <f>$B$253/B53</f>
        <v>2.5204933077109093</v>
      </c>
    </row>
    <row r="54" spans="1:8" ht="16.5" hidden="1" thickBot="1">
      <c r="A54" s="973" t="s">
        <v>400</v>
      </c>
      <c r="B54" s="748">
        <f>+geral!K334</f>
        <v>122200</v>
      </c>
      <c r="C54" s="748">
        <f t="shared" si="6"/>
        <v>150.10440977766859</v>
      </c>
      <c r="D54" s="849">
        <f t="shared" ref="D54:D59" si="12">100*((B54/B53)-1)</f>
        <v>1.3725528421022926</v>
      </c>
      <c r="E54" s="849">
        <f t="shared" si="11"/>
        <v>6.9116360454943182</v>
      </c>
      <c r="F54" s="849">
        <f t="shared" si="3"/>
        <v>17.082780016594711</v>
      </c>
      <c r="G54" s="925">
        <f t="shared" si="5"/>
        <v>47.228915662650593</v>
      </c>
      <c r="H54" s="848">
        <f>$B$253/B54</f>
        <v>2.4863666121112931</v>
      </c>
    </row>
    <row r="55" spans="1:8" ht="16.5" hidden="1" thickBot="1">
      <c r="A55" s="973" t="s">
        <v>401</v>
      </c>
      <c r="B55" s="748">
        <f>+geral!K335</f>
        <v>127125</v>
      </c>
      <c r="C55" s="748">
        <f t="shared" si="6"/>
        <v>156.15403513081932</v>
      </c>
      <c r="D55" s="849">
        <f t="shared" si="12"/>
        <v>4.0302782324058928</v>
      </c>
      <c r="E55" s="849">
        <f t="shared" si="11"/>
        <v>11.220472440944885</v>
      </c>
      <c r="F55" s="849">
        <f t="shared" si="3"/>
        <v>20.651561138666018</v>
      </c>
      <c r="G55" s="925">
        <f t="shared" si="5"/>
        <v>45.551866269750406</v>
      </c>
      <c r="H55" s="848">
        <f>$B$253/B55</f>
        <v>2.3900412979351033</v>
      </c>
    </row>
    <row r="56" spans="1:8" ht="16.5" hidden="1" thickBot="1">
      <c r="A56" s="973" t="s">
        <v>402</v>
      </c>
      <c r="B56" s="748">
        <f>+geral!K336</f>
        <v>127106.2</v>
      </c>
      <c r="C56" s="748">
        <f t="shared" si="6"/>
        <v>156.13094214469967</v>
      </c>
      <c r="D56" s="849">
        <f t="shared" si="12"/>
        <v>-1.4788593903636293E-2</v>
      </c>
      <c r="E56" s="849">
        <f t="shared" si="11"/>
        <v>11.204024496937869</v>
      </c>
      <c r="F56" s="849">
        <f t="shared" si="3"/>
        <v>20.618607573074609</v>
      </c>
      <c r="G56" s="925">
        <f t="shared" si="5"/>
        <v>41.606729055258462</v>
      </c>
      <c r="H56" s="848">
        <f>$B$253/B56</f>
        <v>2.3903948037153184</v>
      </c>
    </row>
    <row r="57" spans="1:8" ht="16.5" hidden="1" thickBot="1">
      <c r="A57" s="973" t="s">
        <v>403</v>
      </c>
      <c r="B57" s="748">
        <f>+geral!K337</f>
        <v>131250</v>
      </c>
      <c r="C57" s="748">
        <f t="shared" si="6"/>
        <v>161.22098022355976</v>
      </c>
      <c r="D57" s="849">
        <f t="shared" si="12"/>
        <v>3.2601084762190924</v>
      </c>
      <c r="E57" s="849">
        <f t="shared" si="11"/>
        <v>14.829396325459321</v>
      </c>
      <c r="F57" s="849">
        <f t="shared" si="3"/>
        <v>23.56592913105613</v>
      </c>
      <c r="G57" s="925">
        <f t="shared" si="5"/>
        <v>44.731763797761495</v>
      </c>
      <c r="H57" s="848">
        <f>$B$253/B57</f>
        <v>2.3149257142857143</v>
      </c>
    </row>
    <row r="58" spans="1:8" ht="16.5" hidden="1" thickBot="1">
      <c r="A58" s="973" t="s">
        <v>404</v>
      </c>
      <c r="B58" s="748">
        <f>+geral!K338</f>
        <v>134515.79999999999</v>
      </c>
      <c r="C58" s="748">
        <f t="shared" si="6"/>
        <v>165.23252671661956</v>
      </c>
      <c r="D58" s="849">
        <f t="shared" si="12"/>
        <v>2.4882285714285635</v>
      </c>
      <c r="E58" s="849">
        <f t="shared" si="11"/>
        <v>17.686614173228342</v>
      </c>
      <c r="F58" s="849">
        <f t="shared" si="3"/>
        <v>26.488819513662932</v>
      </c>
      <c r="G58" s="925">
        <f t="shared" si="5"/>
        <v>47.827682839716459</v>
      </c>
      <c r="H58" s="848">
        <f>$B$253/B58</f>
        <v>2.2587235105467167</v>
      </c>
    </row>
    <row r="59" spans="1:8" ht="16.5" hidden="1" thickBot="1">
      <c r="A59" s="973" t="s">
        <v>405</v>
      </c>
      <c r="B59" s="748">
        <f>+geral!K339</f>
        <v>136098.79999999999</v>
      </c>
      <c r="C59" s="748">
        <f t="shared" si="6"/>
        <v>167.17700528190639</v>
      </c>
      <c r="D59" s="849">
        <f t="shared" si="12"/>
        <v>1.1768134300951916</v>
      </c>
      <c r="E59" s="849">
        <f t="shared" ref="E59:E64" si="13">100*((B59/$B$52)-1)</f>
        <v>19.071566054243206</v>
      </c>
      <c r="F59" s="849">
        <f t="shared" si="3"/>
        <v>24.606127635886878</v>
      </c>
      <c r="G59" s="925">
        <f t="shared" si="5"/>
        <v>49.741443427822006</v>
      </c>
      <c r="H59" s="848">
        <f>$B$253/B59</f>
        <v>2.2324517188983299</v>
      </c>
    </row>
    <row r="60" spans="1:8" ht="16.5" hidden="1" thickBot="1">
      <c r="A60" s="973" t="s">
        <v>406</v>
      </c>
      <c r="B60" s="748">
        <f>+geral!K340</f>
        <v>136347</v>
      </c>
      <c r="C60" s="748">
        <f t="shared" si="6"/>
        <v>167.48188183269869</v>
      </c>
      <c r="D60" s="849">
        <f t="shared" ref="D60:D65" si="14">100*((B60/B59)-1)</f>
        <v>0.18236751536384599</v>
      </c>
      <c r="E60" s="849">
        <f t="shared" si="13"/>
        <v>19.288713910761146</v>
      </c>
      <c r="F60" s="849">
        <f t="shared" si="3"/>
        <v>21.940901854866123</v>
      </c>
      <c r="G60" s="925">
        <f t="shared" si="5"/>
        <v>50.559849823321557</v>
      </c>
      <c r="H60" s="848">
        <f>$B$253/B60</f>
        <v>2.228387863319325</v>
      </c>
    </row>
    <row r="61" spans="1:8" ht="16.5" hidden="1" thickBot="1">
      <c r="A61" s="973" t="s">
        <v>407</v>
      </c>
      <c r="B61" s="748">
        <f>+geral!K341</f>
        <v>140800</v>
      </c>
      <c r="C61" s="748">
        <f t="shared" si="6"/>
        <v>172.95172583220736</v>
      </c>
      <c r="D61" s="849">
        <f t="shared" si="14"/>
        <v>3.2659317770101337</v>
      </c>
      <c r="E61" s="849">
        <f t="shared" si="13"/>
        <v>23.184601924759395</v>
      </c>
      <c r="F61" s="849">
        <f t="shared" si="3"/>
        <v>24.610591900311519</v>
      </c>
      <c r="G61" s="925">
        <f t="shared" si="5"/>
        <v>53.410329047722826</v>
      </c>
      <c r="H61" s="848">
        <f>$B$253/B61</f>
        <v>2.1579119318181816</v>
      </c>
    </row>
    <row r="62" spans="1:8" ht="16.5" hidden="1" thickBot="1">
      <c r="A62" s="973" t="s">
        <v>408</v>
      </c>
      <c r="B62" s="748">
        <f>+geral!K342</f>
        <v>142555</v>
      </c>
      <c r="C62" s="748">
        <f t="shared" si="6"/>
        <v>175.10748065348238</v>
      </c>
      <c r="D62" s="849">
        <f t="shared" si="14"/>
        <v>1.2464488636363624</v>
      </c>
      <c r="E62" s="849">
        <f t="shared" si="13"/>
        <v>24.720034995625539</v>
      </c>
      <c r="F62" s="849">
        <f t="shared" si="3"/>
        <v>21.722654562283438</v>
      </c>
      <c r="G62" s="925">
        <f t="shared" si="5"/>
        <v>51.428723178245164</v>
      </c>
      <c r="H62" s="848">
        <f>$B$253/B62</f>
        <v>2.1313457963592999</v>
      </c>
    </row>
    <row r="63" spans="1:8" ht="16.5" hidden="1" thickBot="1">
      <c r="A63" s="973" t="s">
        <v>409</v>
      </c>
      <c r="B63" s="748">
        <f>+geral!K343</f>
        <v>142640</v>
      </c>
      <c r="C63" s="748">
        <f t="shared" si="6"/>
        <v>175.21189043115098</v>
      </c>
      <c r="D63" s="849">
        <f t="shared" si="14"/>
        <v>5.9626109221011525E-2</v>
      </c>
      <c r="E63" s="849">
        <f t="shared" si="13"/>
        <v>24.794400699912501</v>
      </c>
      <c r="F63" s="849">
        <f t="shared" si="3"/>
        <v>23.229185204895298</v>
      </c>
      <c r="G63" s="925">
        <f t="shared" si="5"/>
        <v>48.738269030239834</v>
      </c>
      <c r="H63" s="848">
        <f>$B$253/B63</f>
        <v>2.1300757150869321</v>
      </c>
    </row>
    <row r="64" spans="1:8" ht="16.5" hidden="1" thickBot="1">
      <c r="A64" s="973" t="s">
        <v>410</v>
      </c>
      <c r="B64" s="748">
        <f>+geral!K344</f>
        <v>142905.48000000001</v>
      </c>
      <c r="C64" s="748">
        <f t="shared" si="6"/>
        <v>175.53799287556814</v>
      </c>
      <c r="D64" s="849">
        <f t="shared" si="14"/>
        <v>0.1861189007291264</v>
      </c>
      <c r="E64" s="849">
        <f t="shared" si="13"/>
        <v>25.026666666666685</v>
      </c>
      <c r="F64" s="849">
        <f t="shared" si="3"/>
        <v>25.026666666666685</v>
      </c>
      <c r="G64" s="925">
        <f t="shared" si="5"/>
        <v>48.504083965499348</v>
      </c>
      <c r="H64" s="848">
        <f>$B$253/B64</f>
        <v>2.1261186065083018</v>
      </c>
    </row>
    <row r="65" spans="1:8" ht="16.5" hidden="1" thickBot="1">
      <c r="A65" s="973" t="s">
        <v>411</v>
      </c>
      <c r="B65" s="748">
        <f>+geral!M333</f>
        <v>144046.44</v>
      </c>
      <c r="C65" s="748">
        <f t="shared" si="6"/>
        <v>176.93949146296524</v>
      </c>
      <c r="D65" s="849">
        <f t="shared" si="14"/>
        <v>0.7984018527491088</v>
      </c>
      <c r="E65" s="849">
        <f t="shared" ref="E65:E70" si="15">100*((B65/$B$64)-1)</f>
        <v>0.7984018527491088</v>
      </c>
      <c r="F65" s="849">
        <f t="shared" si="3"/>
        <v>19.49554296740359</v>
      </c>
      <c r="G65" s="925">
        <f t="shared" si="5"/>
        <v>37.685375645192124</v>
      </c>
      <c r="H65" s="848">
        <f>$B$253/B65</f>
        <v>2.1092780911489379</v>
      </c>
    </row>
    <row r="66" spans="1:8" ht="16.5" hidden="1" thickBot="1">
      <c r="A66" s="973" t="s">
        <v>412</v>
      </c>
      <c r="B66" s="748">
        <f>+geral!M334</f>
        <v>147808.5</v>
      </c>
      <c r="C66" s="748">
        <f t="shared" si="6"/>
        <v>181.56061908856407</v>
      </c>
      <c r="D66" s="849">
        <f t="shared" ref="D66:D71" si="16">100*((B66/B65)-1)</f>
        <v>2.6116993936122324</v>
      </c>
      <c r="E66" s="849">
        <f t="shared" si="15"/>
        <v>3.4309531027081563</v>
      </c>
      <c r="F66" s="849">
        <f t="shared" si="3"/>
        <v>20.956219312602297</v>
      </c>
      <c r="G66" s="925">
        <f t="shared" si="5"/>
        <v>41.618904174163987</v>
      </c>
      <c r="H66" s="848">
        <f>$B$253/B66</f>
        <v>2.0555922020722761</v>
      </c>
    </row>
    <row r="67" spans="1:8" ht="16.5" hidden="1" thickBot="1">
      <c r="A67" s="973" t="s">
        <v>413</v>
      </c>
      <c r="B67" s="748">
        <f>+geral!M335</f>
        <v>150271.10999999999</v>
      </c>
      <c r="C67" s="748">
        <f t="shared" si="6"/>
        <v>184.5855668836752</v>
      </c>
      <c r="D67" s="849">
        <f t="shared" si="16"/>
        <v>1.666081449984258</v>
      </c>
      <c r="E67" s="849">
        <f t="shared" si="15"/>
        <v>5.1541970258943026</v>
      </c>
      <c r="F67" s="849">
        <f t="shared" si="3"/>
        <v>18.207362831858397</v>
      </c>
      <c r="G67" s="925">
        <f t="shared" si="5"/>
        <v>42.619028637484412</v>
      </c>
      <c r="H67" s="848">
        <f>$B$253/B67</f>
        <v>2.0219056078044546</v>
      </c>
    </row>
    <row r="68" spans="1:8" ht="16.5" hidden="1" thickBot="1">
      <c r="A68" s="973" t="s">
        <v>414</v>
      </c>
      <c r="B68" s="748">
        <f>+geral!M336</f>
        <v>149485</v>
      </c>
      <c r="C68" s="748">
        <f t="shared" si="6"/>
        <v>183.61994840928634</v>
      </c>
      <c r="D68" s="849">
        <f t="shared" si="16"/>
        <v>-0.52312783208960933</v>
      </c>
      <c r="E68" s="849">
        <f t="shared" si="15"/>
        <v>4.6041061546415074</v>
      </c>
      <c r="F68" s="849">
        <f t="shared" si="3"/>
        <v>17.606379547181806</v>
      </c>
      <c r="G68" s="925">
        <f t="shared" si="5"/>
        <v>41.855177426915887</v>
      </c>
      <c r="H68" s="848">
        <f>$B$253/B68</f>
        <v>2.0325383817774361</v>
      </c>
    </row>
    <row r="69" spans="1:8" ht="16.5" hidden="1" thickBot="1">
      <c r="A69" s="973" t="s">
        <v>415</v>
      </c>
      <c r="B69" s="748">
        <f>+geral!M337</f>
        <v>151542.85999999999</v>
      </c>
      <c r="C69" s="748">
        <f t="shared" si="6"/>
        <v>186.14772141014615</v>
      </c>
      <c r="D69" s="849">
        <f t="shared" si="16"/>
        <v>1.376633107000691</v>
      </c>
      <c r="E69" s="849">
        <f t="shared" si="15"/>
        <v>6.0441209112484628</v>
      </c>
      <c r="F69" s="849">
        <f t="shared" si="3"/>
        <v>15.461226666666651</v>
      </c>
      <c r="G69" s="925">
        <f t="shared" si="5"/>
        <v>42.670737516781408</v>
      </c>
      <c r="H69" s="848">
        <f>$B$253/B69</f>
        <v>2.0049377450049448</v>
      </c>
    </row>
    <row r="70" spans="1:8" ht="16.5" hidden="1" thickBot="1">
      <c r="A70" s="973" t="s">
        <v>416</v>
      </c>
      <c r="B70" s="748">
        <f>+geral!M338</f>
        <v>150600</v>
      </c>
      <c r="C70" s="748">
        <f t="shared" si="6"/>
        <v>184.98955902223315</v>
      </c>
      <c r="D70" s="849">
        <f t="shared" si="16"/>
        <v>-0.62217381934061011</v>
      </c>
      <c r="E70" s="849">
        <f t="shared" si="15"/>
        <v>5.3843421539887748</v>
      </c>
      <c r="F70" s="849">
        <f t="shared" si="3"/>
        <v>11.957108384293891</v>
      </c>
      <c r="G70" s="925">
        <f t="shared" si="5"/>
        <v>41.613224756925504</v>
      </c>
      <c r="H70" s="848">
        <f>$B$253/B70</f>
        <v>2.0174900398406375</v>
      </c>
    </row>
    <row r="71" spans="1:8" ht="16.5" hidden="1" thickBot="1">
      <c r="A71" s="973" t="s">
        <v>417</v>
      </c>
      <c r="B71" s="748">
        <f>+geral!M339</f>
        <v>148333.32999999999</v>
      </c>
      <c r="C71" s="748">
        <f t="shared" si="6"/>
        <v>182.20529418990293</v>
      </c>
      <c r="D71" s="849">
        <f t="shared" si="16"/>
        <v>-1.5050929614873976</v>
      </c>
      <c r="E71" s="849">
        <f t="shared" ref="E71:E76" si="17">100*((B71/$B$64)-1)</f>
        <v>3.7982098377193019</v>
      </c>
      <c r="F71" s="849">
        <f t="shared" si="3"/>
        <v>8.9894473720561798</v>
      </c>
      <c r="G71" s="925">
        <f t="shared" si="5"/>
        <v>35.807529902072076</v>
      </c>
      <c r="H71" s="848">
        <f>$B$253/B71</f>
        <v>2.0483191471532396</v>
      </c>
    </row>
    <row r="72" spans="1:8" ht="16.5" hidden="1" thickBot="1">
      <c r="A72" s="973" t="s">
        <v>418</v>
      </c>
      <c r="B72" s="748">
        <f>+geral!M340</f>
        <v>151320</v>
      </c>
      <c r="C72" s="748">
        <f t="shared" si="6"/>
        <v>185.87397125660237</v>
      </c>
      <c r="D72" s="849">
        <f t="shared" ref="D72:D77" si="18">100*((B72/B71)-1)</f>
        <v>2.0134854385053025</v>
      </c>
      <c r="E72" s="849">
        <f t="shared" si="17"/>
        <v>5.8881716782309468</v>
      </c>
      <c r="F72" s="849">
        <f t="shared" si="3"/>
        <v>10.981539747849233</v>
      </c>
      <c r="G72" s="925">
        <f t="shared" si="5"/>
        <v>35.331890460944074</v>
      </c>
      <c r="H72" s="848">
        <f>$B$253/B72</f>
        <v>2.0078905630452022</v>
      </c>
    </row>
    <row r="73" spans="1:8" ht="16.5" hidden="1" thickBot="1">
      <c r="A73" s="973" t="s">
        <v>419</v>
      </c>
      <c r="B73" s="748">
        <f>+geral!M341</f>
        <v>150222.22</v>
      </c>
      <c r="C73" s="748">
        <f t="shared" ref="C73:C83" si="19">100*B73/$B$8</f>
        <v>184.5255128362609</v>
      </c>
      <c r="D73" s="849">
        <f t="shared" si="18"/>
        <v>-0.72546920433518292</v>
      </c>
      <c r="E73" s="849">
        <f t="shared" si="17"/>
        <v>5.119985601671817</v>
      </c>
      <c r="F73" s="849">
        <f t="shared" si="3"/>
        <v>6.6919176136363667</v>
      </c>
      <c r="G73" s="925">
        <f t="shared" si="5"/>
        <v>32.949430048145011</v>
      </c>
      <c r="H73" s="848">
        <f>$B$253/B73</f>
        <v>2.0225636393870361</v>
      </c>
    </row>
    <row r="74" spans="1:8" ht="16.5" hidden="1" thickBot="1">
      <c r="A74" s="973" t="s">
        <v>420</v>
      </c>
      <c r="B74" s="748">
        <f>+geral!M342</f>
        <v>149350</v>
      </c>
      <c r="C74" s="748">
        <f t="shared" si="19"/>
        <v>183.4541211153421</v>
      </c>
      <c r="D74" s="849">
        <f t="shared" si="18"/>
        <v>-0.5806198310742583</v>
      </c>
      <c r="E74" s="849">
        <f t="shared" si="17"/>
        <v>4.5096381188461043</v>
      </c>
      <c r="F74" s="849">
        <f t="shared" si="3"/>
        <v>4.7665813194907258</v>
      </c>
      <c r="G74" s="925">
        <f t="shared" si="5"/>
        <v>27.524663876237465</v>
      </c>
      <c r="H74" s="848">
        <f>$B$253/B74</f>
        <v>2.0343756277201206</v>
      </c>
    </row>
    <row r="75" spans="1:8" ht="16.5" hidden="1" thickBot="1">
      <c r="A75" s="973" t="s">
        <v>421</v>
      </c>
      <c r="B75" s="748">
        <f>+geral!M343</f>
        <v>151237.5</v>
      </c>
      <c r="C75" s="748">
        <f t="shared" si="19"/>
        <v>185.77263235474757</v>
      </c>
      <c r="D75" s="849">
        <f t="shared" si="18"/>
        <v>1.2638098426514865</v>
      </c>
      <c r="E75" s="849">
        <f t="shared" si="17"/>
        <v>5.830441211911519</v>
      </c>
      <c r="F75" s="849">
        <f t="shared" si="3"/>
        <v>6.0274116657319077</v>
      </c>
      <c r="G75" s="925">
        <f t="shared" si="5"/>
        <v>30.656715489521535</v>
      </c>
      <c r="H75" s="848">
        <f>$B$253/B75</f>
        <v>2.0089858666005456</v>
      </c>
    </row>
    <row r="76" spans="1:8" ht="16.5" hidden="1" thickBot="1">
      <c r="A76" s="973" t="s">
        <v>422</v>
      </c>
      <c r="B76" s="748">
        <f>+geral!M344</f>
        <v>150373.75</v>
      </c>
      <c r="C76" s="748">
        <f t="shared" si="19"/>
        <v>184.71164476108586</v>
      </c>
      <c r="D76" s="849">
        <f t="shared" si="18"/>
        <v>-0.57112158029589688</v>
      </c>
      <c r="E76" s="849">
        <f t="shared" si="17"/>
        <v>5.2260207236279443</v>
      </c>
      <c r="F76" s="849">
        <f t="shared" si="3"/>
        <v>5.2260207236279443</v>
      </c>
      <c r="G76" s="925">
        <f t="shared" si="5"/>
        <v>31.560586176727902</v>
      </c>
      <c r="H76" s="848">
        <f>$B$253/B76</f>
        <v>2.020525523902942</v>
      </c>
    </row>
    <row r="77" spans="1:8" ht="16.5" hidden="1" thickBot="1">
      <c r="A77" s="973" t="s">
        <v>423</v>
      </c>
      <c r="B77" s="748">
        <f>+geral!C349</f>
        <v>153033.32999999999</v>
      </c>
      <c r="C77" s="748">
        <f>100*B77/$B$8</f>
        <v>187.97854071981328</v>
      </c>
      <c r="D77" s="849">
        <f t="shared" si="18"/>
        <v>1.7686464559140136</v>
      </c>
      <c r="E77" s="849">
        <f t="shared" ref="E77:E82" si="20">100*((B77/$B$76)-1)</f>
        <v>1.7686464559140136</v>
      </c>
      <c r="F77" s="849">
        <f t="shared" si="3"/>
        <v>6.2388837933099905</v>
      </c>
      <c r="G77" s="925">
        <f t="shared" si="5"/>
        <v>26.950731031324683</v>
      </c>
      <c r="H77" s="848">
        <f>$B$253/B77</f>
        <v>1.9854106291747036</v>
      </c>
    </row>
    <row r="78" spans="1:8" ht="16.5" hidden="1" thickBot="1">
      <c r="A78" s="973" t="s">
        <v>424</v>
      </c>
      <c r="B78" s="748">
        <f>+geral!C350</f>
        <v>161529.32999999999</v>
      </c>
      <c r="C78" s="748">
        <f t="shared" si="19"/>
        <v>198.41460508537031</v>
      </c>
      <c r="D78" s="849">
        <f t="shared" ref="D78:D83" si="21">100*((B78/B77)-1)</f>
        <v>5.5517317698046575</v>
      </c>
      <c r="E78" s="849">
        <f t="shared" si="20"/>
        <v>7.4185687329071603</v>
      </c>
      <c r="F78" s="849">
        <f t="shared" si="3"/>
        <v>9.2828423263885185</v>
      </c>
      <c r="G78" s="925">
        <f t="shared" si="5"/>
        <v>32.184394435351884</v>
      </c>
      <c r="H78" s="848">
        <f>$B$253/B78</f>
        <v>1.8809834721657053</v>
      </c>
    </row>
    <row r="79" spans="1:8" ht="16.5" hidden="1" thickBot="1">
      <c r="A79" s="973" t="s">
        <v>425</v>
      </c>
      <c r="B79" s="748">
        <f>+geral!C351</f>
        <v>157250</v>
      </c>
      <c r="C79" s="748">
        <f t="shared" si="19"/>
        <v>193.15808868689351</v>
      </c>
      <c r="D79" s="849">
        <f t="shared" si="21"/>
        <v>-2.6492588064347067</v>
      </c>
      <c r="E79" s="849">
        <f t="shared" si="20"/>
        <v>4.5727728410045021</v>
      </c>
      <c r="F79" s="849">
        <f t="shared" si="3"/>
        <v>4.6441994073245452</v>
      </c>
      <c r="G79" s="925">
        <f t="shared" si="5"/>
        <v>23.697148475909536</v>
      </c>
      <c r="H79" s="848">
        <f>$B$253/B79</f>
        <v>1.9321717011128776</v>
      </c>
    </row>
    <row r="80" spans="1:8" ht="16.5" hidden="1" thickBot="1">
      <c r="A80" s="973" t="s">
        <v>426</v>
      </c>
      <c r="B80" s="748">
        <f>+geral!C352</f>
        <v>158685.71</v>
      </c>
      <c r="C80" s="748">
        <f t="shared" si="19"/>
        <v>194.92164353273554</v>
      </c>
      <c r="D80" s="849">
        <f t="shared" si="21"/>
        <v>0.91301112877582025</v>
      </c>
      <c r="E80" s="849">
        <f t="shared" si="20"/>
        <v>5.5275338947123442</v>
      </c>
      <c r="F80" s="849">
        <f t="shared" si="3"/>
        <v>6.1549386226042779</v>
      </c>
      <c r="G80" s="925">
        <f t="shared" si="5"/>
        <v>24.844980024577868</v>
      </c>
      <c r="H80" s="848">
        <f>$B$253/B80</f>
        <v>1.9146903649988396</v>
      </c>
    </row>
    <row r="81" spans="1:10" ht="16.5" hidden="1" thickBot="1">
      <c r="A81" s="973" t="s">
        <v>427</v>
      </c>
      <c r="B81" s="748">
        <f>+geral!C353</f>
        <v>159987.5</v>
      </c>
      <c r="C81" s="748">
        <f t="shared" si="19"/>
        <v>196.5206977029849</v>
      </c>
      <c r="D81" s="849">
        <f t="shared" si="21"/>
        <v>0.82035742222787977</v>
      </c>
      <c r="E81" s="849">
        <f t="shared" si="20"/>
        <v>6.3932368515116522</v>
      </c>
      <c r="F81" s="849">
        <f t="shared" si="3"/>
        <v>5.5724433338528945</v>
      </c>
      <c r="G81" s="925">
        <f t="shared" si="5"/>
        <v>21.895238095238099</v>
      </c>
      <c r="H81" s="848">
        <f>$B$253/B81</f>
        <v>1.8991108680365654</v>
      </c>
    </row>
    <row r="82" spans="1:10" ht="16.5" hidden="1" thickBot="1">
      <c r="A82" s="973" t="s">
        <v>428</v>
      </c>
      <c r="B82" s="748">
        <f>+geral!C354</f>
        <v>158666.67000000001</v>
      </c>
      <c r="C82" s="748">
        <f t="shared" si="19"/>
        <v>194.8982557425378</v>
      </c>
      <c r="D82" s="849">
        <f t="shared" si="21"/>
        <v>-0.82558324869129729</v>
      </c>
      <c r="E82" s="849">
        <f t="shared" si="20"/>
        <v>5.5148721103251086</v>
      </c>
      <c r="F82" s="849">
        <f t="shared" si="3"/>
        <v>5.3563545816733171</v>
      </c>
      <c r="G82" s="925">
        <f t="shared" si="5"/>
        <v>17.953928088744988</v>
      </c>
      <c r="H82" s="848">
        <f>$B$253/B82</f>
        <v>1.9149201278378123</v>
      </c>
    </row>
    <row r="83" spans="1:10" ht="16.5" hidden="1" thickBot="1">
      <c r="A83" s="973" t="s">
        <v>429</v>
      </c>
      <c r="B83" s="748">
        <f>+geral!C355</f>
        <v>159666.67000000001</v>
      </c>
      <c r="C83" s="748">
        <f t="shared" si="19"/>
        <v>196.12660606805062</v>
      </c>
      <c r="D83" s="849">
        <f t="shared" si="21"/>
        <v>0.63025208759974749</v>
      </c>
      <c r="E83" s="849">
        <f t="shared" ref="E83:E88" si="22">100*((B83/$B$76)-1)</f>
        <v>6.1798817945286411</v>
      </c>
      <c r="F83" s="849">
        <f t="shared" si="3"/>
        <v>7.6404541042798924</v>
      </c>
      <c r="G83" s="925">
        <f t="shared" si="5"/>
        <v>17.31673607702642</v>
      </c>
      <c r="H83" s="848">
        <f>$B$253/B83</f>
        <v>1.9029268913793966</v>
      </c>
    </row>
    <row r="84" spans="1:10" ht="16.5" hidden="1" thickBot="1">
      <c r="A84" s="973" t="s">
        <v>430</v>
      </c>
      <c r="B84" s="748">
        <f>+geral!C356</f>
        <v>161857.14000000001</v>
      </c>
      <c r="C84" s="748">
        <f t="shared" ref="C84:C90" si="23">100*B84/$B$8</f>
        <v>198.81727060557674</v>
      </c>
      <c r="D84" s="849">
        <f>100*((B84/B83)-1)</f>
        <v>1.3719018502734492</v>
      </c>
      <c r="E84" s="849">
        <f t="shared" si="22"/>
        <v>7.6365655574859304</v>
      </c>
      <c r="F84" s="849">
        <f t="shared" ref="F84:F94" si="24">100*((B84/B72)-1)</f>
        <v>6.9634813639968263</v>
      </c>
      <c r="G84" s="925">
        <f t="shared" si="5"/>
        <v>18.709718585667456</v>
      </c>
      <c r="H84" s="848">
        <f>$B$253/B84</f>
        <v>1.8771739078053644</v>
      </c>
    </row>
    <row r="85" spans="1:10" ht="16.5" hidden="1" thickBot="1">
      <c r="A85" s="973" t="s">
        <v>431</v>
      </c>
      <c r="B85" s="748">
        <f>+geral!C357</f>
        <v>158928.57</v>
      </c>
      <c r="C85" s="748">
        <f t="shared" si="23"/>
        <v>195.21996069278958</v>
      </c>
      <c r="D85" s="849">
        <f>100*((B85/B84)-1)</f>
        <v>-1.8093548421774908</v>
      </c>
      <c r="E85" s="849">
        <f t="shared" si="22"/>
        <v>5.6890381466180084</v>
      </c>
      <c r="F85" s="849">
        <f t="shared" si="24"/>
        <v>5.7956472750835486</v>
      </c>
      <c r="G85" s="925">
        <f t="shared" si="5"/>
        <v>12.875404829545456</v>
      </c>
      <c r="H85" s="848">
        <f>$B$253/B85</f>
        <v>1.9117645115664226</v>
      </c>
    </row>
    <row r="86" spans="1:10" ht="16.5" hidden="1" thickBot="1">
      <c r="A86" s="973" t="s">
        <v>432</v>
      </c>
      <c r="B86" s="748">
        <f>+geral!C358</f>
        <v>160083.32999999999</v>
      </c>
      <c r="C86" s="748">
        <f t="shared" si="23"/>
        <v>196.63841051467875</v>
      </c>
      <c r="D86" s="849">
        <f>100*((B86/B85)-1)</f>
        <v>0.72659056832888869</v>
      </c>
      <c r="E86" s="849">
        <f t="shared" si="22"/>
        <v>6.4569647295488641</v>
      </c>
      <c r="F86" s="849">
        <f t="shared" si="24"/>
        <v>7.1866956812855598</v>
      </c>
      <c r="G86" s="925">
        <f t="shared" si="5"/>
        <v>12.295836694609097</v>
      </c>
      <c r="H86" s="848">
        <f>$B$253/B86</f>
        <v>1.8979740114101826</v>
      </c>
    </row>
    <row r="87" spans="1:10" ht="16.5" hidden="1" thickBot="1">
      <c r="A87" s="973" t="s">
        <v>433</v>
      </c>
      <c r="B87" s="748">
        <f>+geral!C359</f>
        <v>162437</v>
      </c>
      <c r="C87" s="748">
        <f t="shared" si="23"/>
        <v>199.52954182532858</v>
      </c>
      <c r="D87" s="849">
        <f>100*((B87/B86)-1)</f>
        <v>1.4702780108334812</v>
      </c>
      <c r="E87" s="849">
        <f t="shared" si="22"/>
        <v>8.0221780729681882</v>
      </c>
      <c r="F87" s="849">
        <f t="shared" si="24"/>
        <v>7.4052401024877978</v>
      </c>
      <c r="G87" s="925">
        <f t="shared" si="5"/>
        <v>13.878996074032536</v>
      </c>
      <c r="H87" s="848">
        <f>$B$253/B87</f>
        <v>1.8704728602473575</v>
      </c>
    </row>
    <row r="88" spans="1:10" ht="16.5" hidden="1" thickBot="1">
      <c r="A88" s="973" t="s">
        <v>434</v>
      </c>
      <c r="B88" s="748">
        <f>+geral!C360</f>
        <v>162187.5</v>
      </c>
      <c r="C88" s="748">
        <f t="shared" si="23"/>
        <v>199.22306841911313</v>
      </c>
      <c r="D88" s="849">
        <f t="shared" ref="D88:D94" si="25">100*((B88/B87)-1)</f>
        <v>-0.15359801030553344</v>
      </c>
      <c r="E88" s="849">
        <f t="shared" si="22"/>
        <v>7.8562581567594103</v>
      </c>
      <c r="F88" s="849">
        <f t="shared" si="24"/>
        <v>7.8562581567594103</v>
      </c>
      <c r="G88" s="925">
        <f t="shared" si="5"/>
        <v>13.492848559761317</v>
      </c>
      <c r="H88" s="848">
        <f>$B$253/B88</f>
        <v>1.873350289017341</v>
      </c>
    </row>
    <row r="89" spans="1:10" ht="16.5" hidden="1" thickBot="1">
      <c r="A89" s="973" t="s">
        <v>435</v>
      </c>
      <c r="B89" s="748">
        <f>+geral!E349</f>
        <v>165512.5</v>
      </c>
      <c r="C89" s="748">
        <f t="shared" si="23"/>
        <v>203.30733325144331</v>
      </c>
      <c r="D89" s="849">
        <f t="shared" si="25"/>
        <v>2.0500963391136828</v>
      </c>
      <c r="E89" s="849">
        <f>100*((C89/$C$88)-1)</f>
        <v>2.0500963391136828</v>
      </c>
      <c r="F89" s="849">
        <f t="shared" si="24"/>
        <v>8.1545438500227441</v>
      </c>
      <c r="G89" s="925">
        <f t="shared" si="5"/>
        <v>14.902180158010147</v>
      </c>
      <c r="H89" s="848">
        <f>$B$253/B89</f>
        <v>1.8357163356241977</v>
      </c>
    </row>
    <row r="90" spans="1:10" ht="16.5" hidden="1" thickBot="1">
      <c r="A90" s="973" t="s">
        <v>436</v>
      </c>
      <c r="B90" s="748">
        <f>+geral!E350</f>
        <v>172633.33</v>
      </c>
      <c r="C90" s="748">
        <f t="shared" si="23"/>
        <v>212.05420709986487</v>
      </c>
      <c r="D90" s="849">
        <f t="shared" si="25"/>
        <v>4.3022913677214669</v>
      </c>
      <c r="E90" s="849">
        <f t="shared" ref="E90:E95" si="26">100*((C90/$C$88)-1)</f>
        <v>6.4405888246628074</v>
      </c>
      <c r="F90" s="849">
        <f t="shared" si="24"/>
        <v>6.8742933558877617</v>
      </c>
      <c r="G90" s="925">
        <f t="shared" si="5"/>
        <v>16.795265495556745</v>
      </c>
      <c r="H90" s="848">
        <f>$B$253/B90</f>
        <v>1.7599961722339483</v>
      </c>
    </row>
    <row r="91" spans="1:10" ht="16.5" hidden="1" thickBot="1">
      <c r="A91" s="973" t="s">
        <v>437</v>
      </c>
      <c r="B91" s="748">
        <f>+geral!E351</f>
        <v>170200</v>
      </c>
      <c r="C91" s="748">
        <f t="shared" ref="C91:C148" si="27">100*B91/$B$8</f>
        <v>209.06522540228474</v>
      </c>
      <c r="D91" s="849">
        <f t="shared" si="25"/>
        <v>-1.4095366172916846</v>
      </c>
      <c r="E91" s="849">
        <f t="shared" si="26"/>
        <v>4.9402697495183112</v>
      </c>
      <c r="F91" s="849">
        <f t="shared" si="24"/>
        <v>8.2352941176470509</v>
      </c>
      <c r="G91" s="925">
        <f t="shared" si="5"/>
        <v>13.261957005574798</v>
      </c>
      <c r="H91" s="848">
        <f>$B$253/B91</f>
        <v>1.7851586368977674</v>
      </c>
    </row>
    <row r="92" spans="1:10" ht="16.5" hidden="1" thickBot="1">
      <c r="A92" s="973" t="s">
        <v>438</v>
      </c>
      <c r="B92" s="748">
        <f>+geral!E352</f>
        <v>167000</v>
      </c>
      <c r="C92" s="748">
        <f t="shared" si="27"/>
        <v>205.13450436064366</v>
      </c>
      <c r="D92" s="849">
        <f t="shared" si="25"/>
        <v>-1.8801410105757976</v>
      </c>
      <c r="E92" s="849">
        <f t="shared" si="26"/>
        <v>2.967244701348748</v>
      </c>
      <c r="F92" s="849">
        <f t="shared" si="24"/>
        <v>5.239469893035742</v>
      </c>
      <c r="G92" s="925">
        <f t="shared" si="5"/>
        <v>11.716894671706202</v>
      </c>
      <c r="H92" s="848">
        <f>$B$253/B92</f>
        <v>1.8193652694610778</v>
      </c>
    </row>
    <row r="93" spans="1:10" ht="16.5" hidden="1" thickBot="1">
      <c r="A93" s="973" t="s">
        <v>439</v>
      </c>
      <c r="B93" s="748">
        <f>+geral!E353</f>
        <v>170666.67</v>
      </c>
      <c r="C93" s="748">
        <f t="shared" si="27"/>
        <v>209.63845964869179</v>
      </c>
      <c r="D93" s="849">
        <f t="shared" si="25"/>
        <v>2.1956107784431245</v>
      </c>
      <c r="E93" s="849">
        <f t="shared" si="26"/>
        <v>5.2280046242774381</v>
      </c>
      <c r="F93" s="849">
        <f t="shared" si="24"/>
        <v>6.6750027345886531</v>
      </c>
      <c r="G93" s="925">
        <f t="shared" si="5"/>
        <v>12.619406813359625</v>
      </c>
      <c r="H93" s="848">
        <f>$B$253/B93</f>
        <v>1.7802773089789588</v>
      </c>
    </row>
    <row r="94" spans="1:10" ht="16.5" hidden="1" thickBot="1">
      <c r="A94" s="973" t="s">
        <v>440</v>
      </c>
      <c r="B94" s="748">
        <f>+geral!E354</f>
        <v>168716.66666666666</v>
      </c>
      <c r="C94" s="748">
        <f t="shared" si="27"/>
        <v>207.24317241944067</v>
      </c>
      <c r="D94" s="849">
        <f t="shared" si="25"/>
        <v>-1.1425800558089949</v>
      </c>
      <c r="E94" s="849">
        <f t="shared" si="26"/>
        <v>4.0256904303146879</v>
      </c>
      <c r="F94" s="849">
        <f t="shared" si="24"/>
        <v>6.3340313795371417</v>
      </c>
      <c r="G94" s="925">
        <f t="shared" si="5"/>
        <v>12.029659141212923</v>
      </c>
      <c r="H94" s="848">
        <f>$B$253/B94</f>
        <v>1.8008535019263066</v>
      </c>
    </row>
    <row r="95" spans="1:10" ht="16.5" hidden="1" thickBot="1">
      <c r="A95" s="973" t="s">
        <v>441</v>
      </c>
      <c r="B95" s="748">
        <f>+geral!E355</f>
        <v>174016.66666666666</v>
      </c>
      <c r="C95" s="748">
        <f t="shared" si="27"/>
        <v>213.7534291446587</v>
      </c>
      <c r="D95" s="849">
        <f t="shared" ref="D95:D100" si="28">100*((B95/B94)-1)</f>
        <v>3.1413612565444948</v>
      </c>
      <c r="E95" s="849">
        <f t="shared" si="26"/>
        <v>7.2935131663455222</v>
      </c>
      <c r="F95" s="849">
        <f t="shared" ref="F95:F100" si="29">100*((B95/B83)-1)</f>
        <v>8.9874716286540313</v>
      </c>
      <c r="G95" s="925">
        <f t="shared" ref="G95:G100" si="30">100*(B95/B71-1)</f>
        <v>17.314609377856407</v>
      </c>
      <c r="H95" s="848">
        <f>$B$253/B95</f>
        <v>1.7460051719183987</v>
      </c>
      <c r="I95" s="758" t="s">
        <v>241</v>
      </c>
      <c r="J95" s="770"/>
    </row>
    <row r="96" spans="1:10" ht="16.5" hidden="1" thickBot="1">
      <c r="A96" s="973" t="s">
        <v>442</v>
      </c>
      <c r="B96" s="748">
        <f>+geral!E356</f>
        <v>174840</v>
      </c>
      <c r="C96" s="748">
        <f t="shared" si="27"/>
        <v>214.76477091266429</v>
      </c>
      <c r="D96" s="849">
        <f t="shared" si="28"/>
        <v>0.47313475720716092</v>
      </c>
      <c r="E96" s="849">
        <f>100*((C96/$C$88)-1)</f>
        <v>7.8011560693641568</v>
      </c>
      <c r="F96" s="849">
        <f t="shared" si="29"/>
        <v>8.0211846076113638</v>
      </c>
      <c r="G96" s="925">
        <f t="shared" si="30"/>
        <v>15.543219666930996</v>
      </c>
      <c r="H96" s="848">
        <f>$B$253/B96</f>
        <v>1.7377831159917638</v>
      </c>
    </row>
    <row r="97" spans="1:8" ht="16.5" hidden="1" thickBot="1">
      <c r="A97" s="973" t="s">
        <v>443</v>
      </c>
      <c r="B97" s="748">
        <f>+geral!E357</f>
        <v>175110</v>
      </c>
      <c r="C97" s="748">
        <f t="shared" si="27"/>
        <v>215.09642550055275</v>
      </c>
      <c r="D97" s="849">
        <f t="shared" si="28"/>
        <v>0.15442690459848141</v>
      </c>
      <c r="E97" s="849">
        <f>100*((C97/$C$88)-1)</f>
        <v>7.9676300578034764</v>
      </c>
      <c r="F97" s="849">
        <f t="shared" si="29"/>
        <v>10.181574024104023</v>
      </c>
      <c r="G97" s="925">
        <f t="shared" si="30"/>
        <v>16.567309416676167</v>
      </c>
      <c r="H97" s="848">
        <f>$B$253/B97</f>
        <v>1.7351036491348295</v>
      </c>
    </row>
    <row r="98" spans="1:8" ht="16.5" hidden="1" thickBot="1">
      <c r="A98" s="973" t="s">
        <v>444</v>
      </c>
      <c r="B98" s="748">
        <f>+geral!E358</f>
        <v>176056</v>
      </c>
      <c r="C98" s="748">
        <f t="shared" si="27"/>
        <v>216.25844490848789</v>
      </c>
      <c r="D98" s="849">
        <f t="shared" si="28"/>
        <v>0.54023185426304021</v>
      </c>
      <c r="E98" s="849">
        <f>100*((C98/$C$88)-1)</f>
        <v>8.5509055876685771</v>
      </c>
      <c r="F98" s="849">
        <f t="shared" si="29"/>
        <v>9.9777222275423849</v>
      </c>
      <c r="G98" s="925">
        <f t="shared" si="30"/>
        <v>17.881486441245386</v>
      </c>
      <c r="H98" s="848">
        <f>$B$253/B98</f>
        <v>1.7257804334984324</v>
      </c>
    </row>
    <row r="99" spans="1:8" ht="16.5" hidden="1" thickBot="1">
      <c r="A99" s="973" t="s">
        <v>445</v>
      </c>
      <c r="B99" s="748">
        <f>+geral!E359</f>
        <v>175701.66666666666</v>
      </c>
      <c r="C99" s="748">
        <f t="shared" si="27"/>
        <v>215.82319944314781</v>
      </c>
      <c r="D99" s="849">
        <f t="shared" si="28"/>
        <v>-0.20126171975584084</v>
      </c>
      <c r="E99" s="849">
        <f>100*((C99/$C$88)-1)</f>
        <v>8.3324341682722967</v>
      </c>
      <c r="F99" s="849">
        <f t="shared" si="29"/>
        <v>8.1660377048742951</v>
      </c>
      <c r="G99" s="925">
        <f t="shared" si="30"/>
        <v>16.175992506267733</v>
      </c>
      <c r="H99" s="848">
        <f>$B$253/B99</f>
        <v>1.7292607734701815</v>
      </c>
    </row>
    <row r="100" spans="1:8" ht="16.5" hidden="1" thickBot="1">
      <c r="A100" s="973" t="s">
        <v>446</v>
      </c>
      <c r="B100" s="748">
        <f>+geral!E360</f>
        <v>175960</v>
      </c>
      <c r="C100" s="748">
        <f t="shared" si="27"/>
        <v>216.14052327723866</v>
      </c>
      <c r="D100" s="849">
        <f t="shared" si="28"/>
        <v>0.14702952922094337</v>
      </c>
      <c r="E100" s="849">
        <f>100*((C100/$C$88)-1)</f>
        <v>8.4917148362235082</v>
      </c>
      <c r="F100" s="849">
        <f t="shared" si="29"/>
        <v>8.4917148362235082</v>
      </c>
      <c r="G100" s="925">
        <f t="shared" si="30"/>
        <v>17.015104032452477</v>
      </c>
      <c r="H100" s="848">
        <f>$B$253/B100</f>
        <v>1.7267219822686974</v>
      </c>
    </row>
    <row r="101" spans="1:8" ht="16.5" hidden="1" thickBot="1">
      <c r="A101" s="973" t="s">
        <v>447</v>
      </c>
      <c r="B101" s="748">
        <f>geral!G349</f>
        <v>177583.33333333334</v>
      </c>
      <c r="C101" s="748">
        <f t="shared" si="27"/>
        <v>218.13454530565454</v>
      </c>
      <c r="D101" s="849">
        <f t="shared" ref="D101:D106" si="31">100*((B101/B100)-1)</f>
        <v>0.92255815715693856</v>
      </c>
      <c r="E101" s="849">
        <f t="shared" ref="E101:E106" si="32">100*((C101/$C$100)-1)</f>
        <v>0.92255815715696077</v>
      </c>
      <c r="F101" s="849">
        <f t="shared" ref="F101:F106" si="33">100*((B101/B89)-1)</f>
        <v>7.2930040530674978</v>
      </c>
      <c r="G101" s="925">
        <f t="shared" ref="G101:G106" si="34">100*(B101/B77-1)</f>
        <v>16.042259116581569</v>
      </c>
      <c r="H101" s="848">
        <f>$B$253/B101</f>
        <v>1.7109375879868605</v>
      </c>
    </row>
    <row r="102" spans="1:8" ht="16.5" hidden="1" thickBot="1">
      <c r="A102" s="973" t="s">
        <v>448</v>
      </c>
      <c r="B102" s="748">
        <f>geral!G350</f>
        <v>178216.66666666666</v>
      </c>
      <c r="C102" s="748">
        <f t="shared" si="27"/>
        <v>218.9125005118126</v>
      </c>
      <c r="D102" s="849">
        <f t="shared" si="31"/>
        <v>0.35664007508211526</v>
      </c>
      <c r="E102" s="849">
        <f t="shared" si="32"/>
        <v>1.2824884443433993</v>
      </c>
      <c r="F102" s="849">
        <f t="shared" si="33"/>
        <v>3.234217092763414</v>
      </c>
      <c r="G102" s="925">
        <f t="shared" si="34"/>
        <v>10.330840019373987</v>
      </c>
      <c r="H102" s="848">
        <f>$B$253/B102</f>
        <v>1.7048573833348921</v>
      </c>
    </row>
    <row r="103" spans="1:8" ht="16.5" hidden="1" thickBot="1">
      <c r="A103" s="973" t="s">
        <v>449</v>
      </c>
      <c r="B103" s="748">
        <f>geral!G351</f>
        <v>178358.33333333334</v>
      </c>
      <c r="C103" s="748">
        <f t="shared" si="27"/>
        <v>219.08651680792698</v>
      </c>
      <c r="D103" s="849">
        <f t="shared" si="31"/>
        <v>7.9491255961849916E-2</v>
      </c>
      <c r="E103" s="849">
        <f t="shared" si="32"/>
        <v>1.3629991664772412</v>
      </c>
      <c r="F103" s="849">
        <f t="shared" si="33"/>
        <v>4.7933803368586103</v>
      </c>
      <c r="G103" s="925">
        <f t="shared" si="34"/>
        <v>13.423423423423419</v>
      </c>
      <c r="H103" s="848">
        <f>$B$253/B103</f>
        <v>1.7035032472083351</v>
      </c>
    </row>
    <row r="104" spans="1:8" ht="16.5" hidden="1" thickBot="1">
      <c r="A104" s="973" t="s">
        <v>450</v>
      </c>
      <c r="B104" s="748">
        <f>geral!G352</f>
        <v>178775</v>
      </c>
      <c r="C104" s="748">
        <f t="shared" si="27"/>
        <v>219.5983294435573</v>
      </c>
      <c r="D104" s="849">
        <f t="shared" si="31"/>
        <v>0.23361211045180852</v>
      </c>
      <c r="E104" s="849">
        <f t="shared" si="32"/>
        <v>1.5997954080472887</v>
      </c>
      <c r="F104" s="849">
        <f t="shared" si="33"/>
        <v>7.0508982035928147</v>
      </c>
      <c r="G104" s="925">
        <f t="shared" si="34"/>
        <v>12.659797785194392</v>
      </c>
      <c r="H104" s="848">
        <f>$B$253/B104</f>
        <v>1.699532932456999</v>
      </c>
    </row>
    <row r="105" spans="1:8" ht="16.5" hidden="1" thickBot="1">
      <c r="A105" s="973" t="s">
        <v>451</v>
      </c>
      <c r="B105" s="748">
        <f>geral!G353</f>
        <v>179333.33333333334</v>
      </c>
      <c r="C105" s="748">
        <f t="shared" si="27"/>
        <v>220.28415837530201</v>
      </c>
      <c r="D105" s="849">
        <f t="shared" si="31"/>
        <v>0.31231063254557601</v>
      </c>
      <c r="E105" s="849">
        <f t="shared" si="32"/>
        <v>1.9171023717511781</v>
      </c>
      <c r="F105" s="849">
        <f t="shared" si="33"/>
        <v>5.078122947692898</v>
      </c>
      <c r="G105" s="925">
        <f t="shared" si="34"/>
        <v>12.09209052790583</v>
      </c>
      <c r="H105" s="848">
        <f>$B$253/B105</f>
        <v>1.6942416356877323</v>
      </c>
    </row>
    <row r="106" spans="1:8" ht="16.5" hidden="1" thickBot="1">
      <c r="A106" s="973" t="s">
        <v>452</v>
      </c>
      <c r="B106" s="748">
        <f>geral!G354</f>
        <v>179716.67</v>
      </c>
      <c r="C106" s="748">
        <f t="shared" si="27"/>
        <v>220.75503009458296</v>
      </c>
      <c r="D106" s="849">
        <f t="shared" si="31"/>
        <v>0.21375650557620141</v>
      </c>
      <c r="E106" s="849">
        <f t="shared" si="32"/>
        <v>2.134956808365529</v>
      </c>
      <c r="F106" s="849">
        <f t="shared" si="33"/>
        <v>6.5198083572063803</v>
      </c>
      <c r="G106" s="925">
        <f t="shared" si="34"/>
        <v>13.266806443974644</v>
      </c>
      <c r="H106" s="848">
        <f>$B$253/B106</f>
        <v>1.6906278087614242</v>
      </c>
    </row>
    <row r="107" spans="1:8" ht="16.5" hidden="1" thickBot="1">
      <c r="A107" s="973" t="s">
        <v>453</v>
      </c>
      <c r="B107" s="748">
        <f>geral!G355</f>
        <v>180500</v>
      </c>
      <c r="C107" s="748">
        <f t="shared" si="27"/>
        <v>221.71723375506696</v>
      </c>
      <c r="D107" s="849">
        <f t="shared" ref="D107:D112" si="35">100*((B107/B106)-1)</f>
        <v>0.43586941600908258</v>
      </c>
      <c r="E107" s="849">
        <f t="shared" ref="E107:E112" si="36">100*((C107/$C$100)-1)</f>
        <v>2.5801318481473157</v>
      </c>
      <c r="F107" s="849">
        <f t="shared" ref="F107:F112" si="37">100*((B107/B95)-1)</f>
        <v>3.725696772339826</v>
      </c>
      <c r="G107" s="925">
        <f t="shared" ref="G107:G112" si="38">100*(B107/B83-1)</f>
        <v>13.048014341377566</v>
      </c>
      <c r="H107" s="848">
        <f>$B$253/B107</f>
        <v>1.6832908587257618</v>
      </c>
    </row>
    <row r="108" spans="1:8" ht="16.5" hidden="1" thickBot="1">
      <c r="A108" s="973" t="s">
        <v>454</v>
      </c>
      <c r="B108" s="748">
        <f>geral!G356</f>
        <v>181625</v>
      </c>
      <c r="C108" s="748">
        <f t="shared" si="27"/>
        <v>223.09912787126888</v>
      </c>
      <c r="D108" s="849">
        <f t="shared" si="35"/>
        <v>0.62326869806095253</v>
      </c>
      <c r="E108" s="849">
        <f t="shared" si="36"/>
        <v>3.2194817003864618</v>
      </c>
      <c r="F108" s="849">
        <f t="shared" si="37"/>
        <v>3.8806909174102122</v>
      </c>
      <c r="G108" s="925">
        <f t="shared" si="38"/>
        <v>12.213152907557845</v>
      </c>
      <c r="H108" s="848">
        <f>$B$253/B108</f>
        <v>1.6728644184445973</v>
      </c>
    </row>
    <row r="109" spans="1:8" ht="16.5" hidden="1" thickBot="1">
      <c r="A109" s="973" t="s">
        <v>455</v>
      </c>
      <c r="B109" s="748">
        <f>geral!G357</f>
        <v>182116.66666666666</v>
      </c>
      <c r="C109" s="748">
        <f t="shared" si="27"/>
        <v>223.70306678131266</v>
      </c>
      <c r="D109" s="849">
        <f t="shared" si="35"/>
        <v>0.27070428997475471</v>
      </c>
      <c r="E109" s="849">
        <f t="shared" si="36"/>
        <v>3.4989012654391027</v>
      </c>
      <c r="F109" s="849">
        <f t="shared" si="37"/>
        <v>4.0012944244570026</v>
      </c>
      <c r="G109" s="925">
        <f t="shared" si="38"/>
        <v>14.590263202309472</v>
      </c>
      <c r="H109" s="848">
        <f>$B$253/B109</f>
        <v>1.6683481284890638</v>
      </c>
    </row>
    <row r="110" spans="1:8" ht="16.5" hidden="1" thickBot="1">
      <c r="A110" s="973" t="s">
        <v>456</v>
      </c>
      <c r="B110" s="748">
        <f>geral!G358</f>
        <v>184075</v>
      </c>
      <c r="C110" s="748">
        <f t="shared" si="27"/>
        <v>226.10858616877533</v>
      </c>
      <c r="D110" s="849">
        <f t="shared" si="35"/>
        <v>1.0753180195845147</v>
      </c>
      <c r="E110" s="849">
        <f t="shared" si="36"/>
        <v>4.6118436008183661</v>
      </c>
      <c r="F110" s="849">
        <f t="shared" si="37"/>
        <v>4.5548007452174355</v>
      </c>
      <c r="G110" s="925">
        <f t="shared" si="38"/>
        <v>14.986988339135632</v>
      </c>
      <c r="H110" s="848">
        <f>$B$253/B110</f>
        <v>1.6505989406491919</v>
      </c>
    </row>
    <row r="111" spans="1:8" ht="16.5" hidden="1" thickBot="1">
      <c r="A111" s="973" t="s">
        <v>457</v>
      </c>
      <c r="B111" s="748">
        <f>geral!G359</f>
        <v>184425</v>
      </c>
      <c r="C111" s="748">
        <f t="shared" si="27"/>
        <v>226.53850878270484</v>
      </c>
      <c r="D111" s="849">
        <f t="shared" si="35"/>
        <v>0.19013988863234577</v>
      </c>
      <c r="E111" s="849">
        <f t="shared" si="36"/>
        <v>4.8107524437372318</v>
      </c>
      <c r="F111" s="849">
        <f t="shared" si="37"/>
        <v>4.9648551996281709</v>
      </c>
      <c r="G111" s="925">
        <f t="shared" si="38"/>
        <v>13.536324852096504</v>
      </c>
      <c r="H111" s="848">
        <f>$B$253/B111</f>
        <v>1.6474664497763318</v>
      </c>
    </row>
    <row r="112" spans="1:8" ht="16.5" hidden="1" thickBot="1">
      <c r="A112" s="973" t="s">
        <v>458</v>
      </c>
      <c r="B112" s="748">
        <f>geral!G360</f>
        <v>184191.66666666666</v>
      </c>
      <c r="C112" s="748">
        <f t="shared" si="27"/>
        <v>226.25189370675182</v>
      </c>
      <c r="D112" s="849">
        <f t="shared" si="35"/>
        <v>-0.12651936198093683</v>
      </c>
      <c r="E112" s="849">
        <f t="shared" si="36"/>
        <v>4.6781465484579732</v>
      </c>
      <c r="F112" s="849">
        <f t="shared" si="37"/>
        <v>4.6781465484579732</v>
      </c>
      <c r="G112" s="925">
        <f t="shared" si="38"/>
        <v>13.567116249197175</v>
      </c>
      <c r="H112" s="848">
        <f>$B$253/B112</f>
        <v>1.6495534542822243</v>
      </c>
    </row>
    <row r="113" spans="1:8" ht="16.5" hidden="1" thickBot="1">
      <c r="A113" s="973" t="s">
        <v>459</v>
      </c>
      <c r="B113" s="748">
        <f>geral!I349</f>
        <v>182125</v>
      </c>
      <c r="C113" s="748">
        <f t="shared" si="27"/>
        <v>223.7133030340253</v>
      </c>
      <c r="D113" s="849">
        <f t="shared" ref="D113:D118" si="39">100*((B113/B112)-1)</f>
        <v>-1.1220196353436185</v>
      </c>
      <c r="E113" s="849">
        <f t="shared" ref="E113:E118" si="40">100*((C113/$C$112)-1)</f>
        <v>-1.1220196353436074</v>
      </c>
      <c r="F113" s="849">
        <f t="shared" ref="F113:F118" si="41">100*((B113/B101)-1)</f>
        <v>2.5574847489441499</v>
      </c>
      <c r="G113" s="925">
        <f t="shared" ref="G113:G118" si="42">100*(B113/B89-1)</f>
        <v>10.037006268408732</v>
      </c>
      <c r="H113" s="848">
        <f>$B$253/B113</f>
        <v>1.6682717913520932</v>
      </c>
    </row>
    <row r="114" spans="1:8" ht="16.5" hidden="1" thickBot="1">
      <c r="A114" s="973" t="s">
        <v>460</v>
      </c>
      <c r="B114" s="748">
        <f>geral!I350</f>
        <v>181983.33333333334</v>
      </c>
      <c r="C114" s="748">
        <f t="shared" si="27"/>
        <v>223.53928673791103</v>
      </c>
      <c r="D114" s="849">
        <f t="shared" si="39"/>
        <v>-7.7785403797747676E-2</v>
      </c>
      <c r="E114" s="849">
        <f t="shared" si="40"/>
        <v>-1.1989322716373096</v>
      </c>
      <c r="F114" s="849">
        <f t="shared" si="41"/>
        <v>2.1135322173384541</v>
      </c>
      <c r="G114" s="925">
        <f t="shared" si="42"/>
        <v>5.4161055303360905</v>
      </c>
      <c r="H114" s="848">
        <f>$B$253/B114</f>
        <v>1.6695704734865828</v>
      </c>
    </row>
    <row r="115" spans="1:8" ht="16.5" hidden="1" thickBot="1">
      <c r="A115" s="973" t="s">
        <v>461</v>
      </c>
      <c r="B115" s="748">
        <f>geral!I351</f>
        <v>181850</v>
      </c>
      <c r="C115" s="748">
        <f t="shared" si="27"/>
        <v>223.37550669450928</v>
      </c>
      <c r="D115" s="849">
        <f t="shared" si="39"/>
        <v>-7.3266782672409825E-2</v>
      </c>
      <c r="E115" s="849">
        <f t="shared" si="40"/>
        <v>-1.2713206352078732</v>
      </c>
      <c r="F115" s="849">
        <f t="shared" si="41"/>
        <v>1.9576694855861332</v>
      </c>
      <c r="G115" s="925">
        <f t="shared" si="42"/>
        <v>6.8448883666274885</v>
      </c>
      <c r="H115" s="848">
        <f>$B$253/B115</f>
        <v>1.6707946109430849</v>
      </c>
    </row>
    <row r="116" spans="1:8" ht="16.5" hidden="1" thickBot="1">
      <c r="A116" s="973" t="s">
        <v>462</v>
      </c>
      <c r="B116" s="748">
        <f>geral!I352</f>
        <v>182033.33333333334</v>
      </c>
      <c r="C116" s="748">
        <f t="shared" si="27"/>
        <v>223.60070425418667</v>
      </c>
      <c r="D116" s="849">
        <f t="shared" si="39"/>
        <v>0.10081569058748574</v>
      </c>
      <c r="E116" s="849">
        <f t="shared" si="40"/>
        <v>-1.1717866352983553</v>
      </c>
      <c r="F116" s="849">
        <f t="shared" si="41"/>
        <v>1.8225889153032249</v>
      </c>
      <c r="G116" s="925">
        <f t="shared" si="42"/>
        <v>9.0019960079840367</v>
      </c>
      <c r="H116" s="848">
        <f>$B$253/B116</f>
        <v>1.6691118842702801</v>
      </c>
    </row>
    <row r="117" spans="1:8" ht="16.5" hidden="1" thickBot="1">
      <c r="A117" s="973" t="s">
        <v>463</v>
      </c>
      <c r="B117" s="748">
        <f>geral!I353</f>
        <v>182400</v>
      </c>
      <c r="C117" s="748">
        <f t="shared" si="27"/>
        <v>224.05109937354135</v>
      </c>
      <c r="D117" s="849">
        <f t="shared" si="39"/>
        <v>0.20142830983336246</v>
      </c>
      <c r="E117" s="849">
        <f t="shared" si="40"/>
        <v>-0.97271863547933046</v>
      </c>
      <c r="F117" s="849">
        <f t="shared" si="41"/>
        <v>1.7100371747211796</v>
      </c>
      <c r="G117" s="925">
        <f t="shared" si="42"/>
        <v>6.8749979125976912</v>
      </c>
      <c r="H117" s="848">
        <f>$B$253/B117</f>
        <v>1.6657565789473685</v>
      </c>
    </row>
    <row r="118" spans="1:8" ht="16.5" hidden="1" thickBot="1">
      <c r="A118" s="973" t="s">
        <v>464</v>
      </c>
      <c r="B118" s="748">
        <f>geral!I354</f>
        <v>182308.33333333334</v>
      </c>
      <c r="C118" s="748">
        <f t="shared" si="27"/>
        <v>223.93850059370268</v>
      </c>
      <c r="D118" s="849">
        <f t="shared" si="39"/>
        <v>-5.02558479532067E-2</v>
      </c>
      <c r="E118" s="849">
        <f t="shared" si="40"/>
        <v>-1.0224856354340894</v>
      </c>
      <c r="F118" s="849">
        <f t="shared" si="41"/>
        <v>1.4420828815342013</v>
      </c>
      <c r="G118" s="925">
        <f t="shared" si="42"/>
        <v>8.055912278968691</v>
      </c>
      <c r="H118" s="848">
        <f>$B$253/B118</f>
        <v>1.666594139964346</v>
      </c>
    </row>
    <row r="119" spans="1:8" ht="16.5" hidden="1" thickBot="1">
      <c r="A119" s="973" t="s">
        <v>465</v>
      </c>
      <c r="B119" s="748">
        <f>geral!I355</f>
        <v>182225</v>
      </c>
      <c r="C119" s="748">
        <f t="shared" si="27"/>
        <v>223.83613806657658</v>
      </c>
      <c r="D119" s="849">
        <f t="shared" ref="D119:D124" si="43">100*((B119/B118)-1)</f>
        <v>-4.5710106504548431E-2</v>
      </c>
      <c r="E119" s="849">
        <f t="shared" ref="E119:E124" si="44">100*((C119/$C$112)-1)</f>
        <v>-1.0677283626656986</v>
      </c>
      <c r="F119" s="849">
        <f t="shared" ref="F119:F124" si="45">100*((B119/B107)-1)</f>
        <v>0.95567867036010501</v>
      </c>
      <c r="G119" s="925">
        <f t="shared" ref="G119:G124" si="46">100*(B119/B95-1)</f>
        <v>4.7169811320754818</v>
      </c>
      <c r="H119" s="848">
        <f>$B$253/B119</f>
        <v>1.6673562903004528</v>
      </c>
    </row>
    <row r="120" spans="1:8" ht="16.5" hidden="1" thickBot="1">
      <c r="A120" s="973" t="s">
        <v>466</v>
      </c>
      <c r="B120" s="748">
        <f>geral!I356</f>
        <v>182615</v>
      </c>
      <c r="C120" s="748">
        <f t="shared" si="27"/>
        <v>224.31519469352659</v>
      </c>
      <c r="D120" s="849">
        <f t="shared" si="43"/>
        <v>0.21402112772670456</v>
      </c>
      <c r="E120" s="849">
        <f t="shared" si="44"/>
        <v>-0.85599239922181658</v>
      </c>
      <c r="F120" s="849">
        <f t="shared" si="45"/>
        <v>0.54507914659325252</v>
      </c>
      <c r="G120" s="925">
        <f t="shared" si="46"/>
        <v>4.4469229009379996</v>
      </c>
      <c r="H120" s="848">
        <f>$B$253/B120</f>
        <v>1.6637954165868083</v>
      </c>
    </row>
    <row r="121" spans="1:8" ht="16.5" hidden="1" thickBot="1">
      <c r="A121" s="973" t="s">
        <v>467</v>
      </c>
      <c r="B121" s="748">
        <f>geral!I357</f>
        <v>183195</v>
      </c>
      <c r="C121" s="748">
        <f t="shared" si="27"/>
        <v>225.02763788232403</v>
      </c>
      <c r="D121" s="849">
        <f t="shared" si="43"/>
        <v>0.31760808257810247</v>
      </c>
      <c r="E121" s="849">
        <f t="shared" si="44"/>
        <v>-0.54110301768990343</v>
      </c>
      <c r="F121" s="849">
        <f t="shared" si="45"/>
        <v>0.59211128397547164</v>
      </c>
      <c r="G121" s="925">
        <f t="shared" si="46"/>
        <v>4.6170978242247696</v>
      </c>
      <c r="H121" s="848">
        <f>$B$253/B121</f>
        <v>1.6585277982477689</v>
      </c>
    </row>
    <row r="122" spans="1:8" ht="16.5" hidden="1" thickBot="1">
      <c r="A122" s="973" t="s">
        <v>468</v>
      </c>
      <c r="B122" s="748">
        <f>geral!I358</f>
        <v>184006.66666666666</v>
      </c>
      <c r="C122" s="748">
        <f t="shared" si="27"/>
        <v>226.02464889653191</v>
      </c>
      <c r="D122" s="849">
        <f t="shared" si="43"/>
        <v>0.44306158283067276</v>
      </c>
      <c r="E122" s="849">
        <f t="shared" si="44"/>
        <v>-0.10043885445415457</v>
      </c>
      <c r="F122" s="849">
        <f t="shared" si="45"/>
        <v>-3.7122549685364437E-2</v>
      </c>
      <c r="G122" s="925">
        <f t="shared" si="46"/>
        <v>4.5159873373623594</v>
      </c>
      <c r="H122" s="848">
        <f>$B$253/B122</f>
        <v>1.6512119126118621</v>
      </c>
    </row>
    <row r="123" spans="1:8" ht="16.5" hidden="1" thickBot="1">
      <c r="A123" s="973" t="s">
        <v>469</v>
      </c>
      <c r="B123" s="748">
        <f>geral!I359</f>
        <v>184150</v>
      </c>
      <c r="C123" s="748">
        <f t="shared" si="27"/>
        <v>226.20071244318879</v>
      </c>
      <c r="D123" s="849">
        <f t="shared" si="43"/>
        <v>7.7895728415633414E-2</v>
      </c>
      <c r="E123" s="849">
        <f t="shared" si="44"/>
        <v>-2.2621363615793477E-2</v>
      </c>
      <c r="F123" s="849">
        <f t="shared" si="45"/>
        <v>-0.14911210519181761</v>
      </c>
      <c r="G123" s="925">
        <f t="shared" si="46"/>
        <v>4.8083398943284505</v>
      </c>
      <c r="H123" s="848">
        <f>$B$253/B123</f>
        <v>1.6499266901982079</v>
      </c>
    </row>
    <row r="124" spans="1:8" ht="16.5" hidden="1" thickBot="1">
      <c r="A124" s="973" t="s">
        <v>470</v>
      </c>
      <c r="B124" s="748">
        <f>geral!I360</f>
        <v>184566.66666666666</v>
      </c>
      <c r="C124" s="748">
        <f t="shared" si="27"/>
        <v>226.71252507881911</v>
      </c>
      <c r="D124" s="849">
        <f t="shared" si="43"/>
        <v>0.22626482034573403</v>
      </c>
      <c r="E124" s="849">
        <f t="shared" si="44"/>
        <v>0.2035922725421857</v>
      </c>
      <c r="F124" s="849">
        <f t="shared" si="45"/>
        <v>0.2035922725421857</v>
      </c>
      <c r="G124" s="925">
        <f t="shared" si="46"/>
        <v>4.8912631658710293</v>
      </c>
      <c r="H124" s="848">
        <f>$B$253/B124</f>
        <v>1.6462019143940763</v>
      </c>
    </row>
    <row r="125" spans="1:8" ht="16.5" hidden="1" thickBot="1">
      <c r="A125" s="973" t="s">
        <v>471</v>
      </c>
      <c r="B125" s="748">
        <f>geral!K349</f>
        <v>184869.03666666665</v>
      </c>
      <c r="C125" s="748">
        <f t="shared" si="27"/>
        <v>227.08394136674443</v>
      </c>
      <c r="D125" s="849">
        <f t="shared" ref="D125:D130" si="47">100*((B125/B124)-1)</f>
        <v>0.16382698212027424</v>
      </c>
      <c r="E125" s="849">
        <f t="shared" ref="E125:E130" si="48">100*((C125/$C$124)-1)</f>
        <v>0.16382698212027424</v>
      </c>
      <c r="F125" s="849">
        <f t="shared" ref="F125:F130" si="49">100*((B125/B113)-1)</f>
        <v>1.5066776481354349</v>
      </c>
      <c r="G125" s="925">
        <f t="shared" ref="G125:G130" si="50">100*(B125/B101-1)</f>
        <v>4.1026954481463873</v>
      </c>
      <c r="H125" s="848">
        <f>$B$253/B125</f>
        <v>1.6435094025390335</v>
      </c>
    </row>
    <row r="126" spans="1:8" ht="16.5" hidden="1" thickBot="1">
      <c r="A126" s="973" t="s">
        <v>472</v>
      </c>
      <c r="B126" s="748">
        <f>geral!K350</f>
        <v>183562.84399999998</v>
      </c>
      <c r="C126" s="748">
        <f t="shared" si="27"/>
        <v>225.47947917946198</v>
      </c>
      <c r="D126" s="849">
        <f t="shared" si="47"/>
        <v>-0.70655026402384191</v>
      </c>
      <c r="E126" s="849">
        <f t="shared" si="48"/>
        <v>-0.54388080187826038</v>
      </c>
      <c r="F126" s="849">
        <f t="shared" si="49"/>
        <v>0.86794248557557907</v>
      </c>
      <c r="G126" s="925">
        <f t="shared" si="50"/>
        <v>2.9998189469746528</v>
      </c>
      <c r="H126" s="848">
        <f>$B$253/B126</f>
        <v>1.655204252555599</v>
      </c>
    </row>
    <row r="127" spans="1:8" ht="16.5" hidden="1" thickBot="1">
      <c r="A127" s="973" t="s">
        <v>473</v>
      </c>
      <c r="B127" s="748">
        <f>geral!K351</f>
        <v>182636.84399999998</v>
      </c>
      <c r="C127" s="748">
        <f t="shared" si="27"/>
        <v>224.34202677803708</v>
      </c>
      <c r="D127" s="849">
        <f t="shared" si="47"/>
        <v>-0.50445938830627757</v>
      </c>
      <c r="E127" s="849">
        <f t="shared" si="48"/>
        <v>-1.0455965324182692</v>
      </c>
      <c r="F127" s="849">
        <f t="shared" si="49"/>
        <v>0.43268847951607459</v>
      </c>
      <c r="G127" s="925">
        <f t="shared" si="50"/>
        <v>2.3988285754333427</v>
      </c>
      <c r="H127" s="848">
        <f>$B$253/B127</f>
        <v>1.6635964208842768</v>
      </c>
    </row>
    <row r="128" spans="1:8" ht="16.5" hidden="1" thickBot="1">
      <c r="A128" s="973" t="s">
        <v>474</v>
      </c>
      <c r="B128" s="748">
        <f>geral!K352</f>
        <v>200436.84399999998</v>
      </c>
      <c r="C128" s="748">
        <f t="shared" si="27"/>
        <v>246.20666257216556</v>
      </c>
      <c r="D128" s="849">
        <f t="shared" si="47"/>
        <v>9.7461167254948791</v>
      </c>
      <c r="E128" s="849">
        <f t="shared" si="48"/>
        <v>8.5986151345494033</v>
      </c>
      <c r="F128" s="849">
        <f t="shared" si="49"/>
        <v>10.10996740523713</v>
      </c>
      <c r="G128" s="925">
        <f t="shared" si="50"/>
        <v>12.116819465808959</v>
      </c>
      <c r="H128" s="848">
        <f>$B$253/B128</f>
        <v>1.5158590303886446</v>
      </c>
    </row>
    <row r="129" spans="1:8" ht="16.5" hidden="1" thickBot="1">
      <c r="A129" s="973" t="s">
        <v>475</v>
      </c>
      <c r="B129" s="748">
        <f>geral!K353</f>
        <v>192236.84399999998</v>
      </c>
      <c r="C129" s="748">
        <f t="shared" si="27"/>
        <v>236.13418990296032</v>
      </c>
      <c r="D129" s="849">
        <f t="shared" si="47"/>
        <v>-4.0910642157187427</v>
      </c>
      <c r="E129" s="849">
        <f t="shared" si="48"/>
        <v>4.1557760520137377</v>
      </c>
      <c r="F129" s="849">
        <f t="shared" si="49"/>
        <v>5.393006578947368</v>
      </c>
      <c r="G129" s="925">
        <f t="shared" si="50"/>
        <v>7.1952661710037003</v>
      </c>
      <c r="H129" s="848">
        <f>$B$253/B129</f>
        <v>1.5805190809312288</v>
      </c>
    </row>
    <row r="130" spans="1:8" ht="16.5" hidden="1" thickBot="1">
      <c r="A130" s="973" t="s">
        <v>476</v>
      </c>
      <c r="B130" s="748">
        <f>geral!K354</f>
        <v>195510.53199999998</v>
      </c>
      <c r="C130" s="748">
        <f t="shared" si="27"/>
        <v>240.15542562338777</v>
      </c>
      <c r="D130" s="849">
        <f t="shared" si="47"/>
        <v>1.7029451440640608</v>
      </c>
      <c r="E130" s="849">
        <f t="shared" si="48"/>
        <v>5.9294917825537308</v>
      </c>
      <c r="F130" s="849">
        <f t="shared" si="49"/>
        <v>7.2416868857704264</v>
      </c>
      <c r="G130" s="925">
        <f t="shared" si="50"/>
        <v>8.7882008942186332</v>
      </c>
      <c r="H130" s="848">
        <f>$B$253/B130</f>
        <v>1.5540543872081531</v>
      </c>
    </row>
    <row r="131" spans="1:8" ht="16.5" hidden="1" thickBot="1">
      <c r="A131" s="973" t="s">
        <v>477</v>
      </c>
      <c r="B131" s="748">
        <f>geral!K355</f>
        <v>198888.16499999998</v>
      </c>
      <c r="C131" s="748">
        <f t="shared" si="27"/>
        <v>244.30434221840065</v>
      </c>
      <c r="D131" s="849">
        <f t="shared" ref="D131:D136" si="51">100*((B131/B130)-1)</f>
        <v>1.727596444778734</v>
      </c>
      <c r="E131" s="849">
        <f t="shared" ref="E131:E136" si="52">100*((C131/$C$124)-1)</f>
        <v>7.7595259165613051</v>
      </c>
      <c r="F131" s="849">
        <f t="shared" ref="F131:F136" si="53">100*((B131/B119)-1)</f>
        <v>9.1442804225545302</v>
      </c>
      <c r="G131" s="925">
        <f t="shared" ref="G131:G136" si="54">100*(B131/B107-1)</f>
        <v>10.187349030470894</v>
      </c>
      <c r="H131" s="848">
        <f>$B$253/B131</f>
        <v>1.5276625434198161</v>
      </c>
    </row>
    <row r="132" spans="1:8" ht="16.5" hidden="1" thickBot="1">
      <c r="A132" s="973" t="s">
        <v>478</v>
      </c>
      <c r="B132" s="748">
        <f>geral!K356</f>
        <v>198888.17</v>
      </c>
      <c r="C132" s="748">
        <f t="shared" si="27"/>
        <v>244.30434836015232</v>
      </c>
      <c r="D132" s="849">
        <f t="shared" si="51"/>
        <v>2.513975649875988E-6</v>
      </c>
      <c r="E132" s="849">
        <f t="shared" si="52"/>
        <v>7.7595286256095575</v>
      </c>
      <c r="F132" s="849">
        <f t="shared" si="53"/>
        <v>8.9111902089094706</v>
      </c>
      <c r="G132" s="925">
        <f t="shared" si="54"/>
        <v>9.5048423950447436</v>
      </c>
      <c r="H132" s="848">
        <f>$B$253/B132</f>
        <v>1.5276625050147528</v>
      </c>
    </row>
    <row r="133" spans="1:8" ht="16.5" hidden="1" thickBot="1">
      <c r="A133" s="973" t="s">
        <v>479</v>
      </c>
      <c r="B133" s="748">
        <f>geral!K357</f>
        <v>198888.17</v>
      </c>
      <c r="C133" s="748">
        <f t="shared" si="27"/>
        <v>244.30434836015232</v>
      </c>
      <c r="D133" s="849">
        <f t="shared" si="51"/>
        <v>0</v>
      </c>
      <c r="E133" s="849">
        <f t="shared" si="52"/>
        <v>7.7595286256095575</v>
      </c>
      <c r="F133" s="849">
        <f t="shared" si="53"/>
        <v>8.5663746281285036</v>
      </c>
      <c r="G133" s="925">
        <f t="shared" si="54"/>
        <v>9.2092083829047553</v>
      </c>
      <c r="H133" s="848">
        <f>$B$253/B133</f>
        <v>1.5276625050147528</v>
      </c>
    </row>
    <row r="134" spans="1:8" ht="16.5" hidden="1" thickBot="1">
      <c r="A134" s="973" t="s">
        <v>480</v>
      </c>
      <c r="B134" s="748">
        <f>geral!K358</f>
        <v>198888.17</v>
      </c>
      <c r="C134" s="748">
        <f t="shared" si="27"/>
        <v>244.30434836015232</v>
      </c>
      <c r="D134" s="849">
        <f t="shared" si="51"/>
        <v>0</v>
      </c>
      <c r="E134" s="849">
        <f t="shared" si="52"/>
        <v>7.7595286256095575</v>
      </c>
      <c r="F134" s="849">
        <f t="shared" si="53"/>
        <v>8.0874805260679139</v>
      </c>
      <c r="G134" s="925">
        <f t="shared" si="54"/>
        <v>8.0473556974059548</v>
      </c>
      <c r="H134" s="848">
        <f>$B$253/B134</f>
        <v>1.5276625050147528</v>
      </c>
    </row>
    <row r="135" spans="1:8" ht="16.5" hidden="1" thickBot="1">
      <c r="A135" s="973" t="s">
        <v>481</v>
      </c>
      <c r="B135" s="748">
        <f>geral!K359</f>
        <v>193042.11</v>
      </c>
      <c r="C135" s="748">
        <f t="shared" si="27"/>
        <v>237.12333865618476</v>
      </c>
      <c r="D135" s="849">
        <f t="shared" si="51"/>
        <v>-2.9393704009645361</v>
      </c>
      <c r="E135" s="849">
        <f t="shared" si="52"/>
        <v>4.5920769369695025</v>
      </c>
      <c r="F135" s="849">
        <f t="shared" si="53"/>
        <v>4.8287320119467791</v>
      </c>
      <c r="G135" s="925">
        <f t="shared" si="54"/>
        <v>4.6724196827978792</v>
      </c>
      <c r="H135" s="848">
        <f>$B$253/B135</f>
        <v>1.5739260205972678</v>
      </c>
    </row>
    <row r="136" spans="1:8" ht="16.5" hidden="1" thickBot="1">
      <c r="A136" s="1015" t="s">
        <v>482</v>
      </c>
      <c r="B136" s="755">
        <f>geral!K360</f>
        <v>193756.55499999999</v>
      </c>
      <c r="C136" s="755">
        <f t="shared" si="27"/>
        <v>238.00092740449577</v>
      </c>
      <c r="D136" s="1024">
        <f t="shared" si="51"/>
        <v>0.37009800607754606</v>
      </c>
      <c r="E136" s="1024">
        <f t="shared" si="52"/>
        <v>4.9791701282283052</v>
      </c>
      <c r="F136" s="1024">
        <f t="shared" si="53"/>
        <v>4.979170128228283</v>
      </c>
      <c r="G136" s="1025">
        <f t="shared" si="54"/>
        <v>5.1928996063882682</v>
      </c>
      <c r="H136" s="924">
        <f>$B$253/B136</f>
        <v>1.568122430748214</v>
      </c>
    </row>
    <row r="137" spans="1:8" ht="16.5" customHeight="1">
      <c r="A137" s="1013" t="s">
        <v>483</v>
      </c>
      <c r="B137" s="852">
        <f>geral!M349</f>
        <v>194517.05499999999</v>
      </c>
      <c r="C137" s="852">
        <f t="shared" si="27"/>
        <v>238.93508782704828</v>
      </c>
      <c r="D137" s="967">
        <f t="shared" ref="D137:D142" si="55">100*((B137/B136)-1)</f>
        <v>0.3925028497745453</v>
      </c>
      <c r="E137" s="967">
        <f t="shared" ref="E137:E142" si="56">100*((C137/$C$136)-1)</f>
        <v>0.3925028497745453</v>
      </c>
      <c r="F137" s="967">
        <f t="shared" ref="F137:F142" si="57">100*((B137/B125)-1)</f>
        <v>5.2188395132547027</v>
      </c>
      <c r="G137" s="1026">
        <f t="shared" ref="G137:G142" si="58">100*(B137/B113-1)</f>
        <v>6.8041482498284012</v>
      </c>
      <c r="H137" s="1022">
        <f>$B$253/B137</f>
        <v>1.5619915693253736</v>
      </c>
    </row>
    <row r="138" spans="1:8" ht="16.5" customHeight="1">
      <c r="A138" s="1014" t="s">
        <v>484</v>
      </c>
      <c r="B138" s="857">
        <f>geral!M350</f>
        <v>191567.05499999999</v>
      </c>
      <c r="C138" s="857">
        <f t="shared" si="27"/>
        <v>235.3114543667854</v>
      </c>
      <c r="D138" s="961">
        <f t="shared" si="55"/>
        <v>-1.5165765284694488</v>
      </c>
      <c r="E138" s="961">
        <f t="shared" si="56"/>
        <v>-1.1300262847881548</v>
      </c>
      <c r="F138" s="961">
        <f t="shared" si="57"/>
        <v>4.3604744977692844</v>
      </c>
      <c r="G138" s="962">
        <f t="shared" si="58"/>
        <v>5.2662633940836923</v>
      </c>
      <c r="H138" s="1023">
        <f>$B$253/B138</f>
        <v>1.5860451579213346</v>
      </c>
    </row>
    <row r="139" spans="1:8" ht="16.5" customHeight="1">
      <c r="A139" s="1014" t="s">
        <v>485</v>
      </c>
      <c r="B139" s="857">
        <f>geral!M351</f>
        <v>191567.05499999999</v>
      </c>
      <c r="C139" s="857">
        <f t="shared" si="27"/>
        <v>235.3114543667854</v>
      </c>
      <c r="D139" s="961">
        <f t="shared" si="55"/>
        <v>0</v>
      </c>
      <c r="E139" s="961">
        <f t="shared" si="56"/>
        <v>-1.1300262847881548</v>
      </c>
      <c r="F139" s="961">
        <f t="shared" si="57"/>
        <v>4.8895999319830574</v>
      </c>
      <c r="G139" s="962">
        <f t="shared" si="58"/>
        <v>5.3434451470992572</v>
      </c>
      <c r="H139" s="1023">
        <f t="shared" ref="H139:H202" si="59">$B$253/B139</f>
        <v>1.5860451579213346</v>
      </c>
    </row>
    <row r="140" spans="1:8" ht="16.5" customHeight="1">
      <c r="A140" s="1014" t="s">
        <v>486</v>
      </c>
      <c r="B140" s="857">
        <f>geral!M352</f>
        <v>191567.05499999999</v>
      </c>
      <c r="C140" s="857">
        <f t="shared" si="27"/>
        <v>235.3114543667854</v>
      </c>
      <c r="D140" s="961">
        <f t="shared" si="55"/>
        <v>0</v>
      </c>
      <c r="E140" s="961">
        <f t="shared" si="56"/>
        <v>-1.1300262847881548</v>
      </c>
      <c r="F140" s="961">
        <f t="shared" si="57"/>
        <v>-4.4252288266921624</v>
      </c>
      <c r="G140" s="962">
        <f t="shared" si="58"/>
        <v>5.2373493865592202</v>
      </c>
      <c r="H140" s="1023">
        <f t="shared" si="59"/>
        <v>1.5860451579213346</v>
      </c>
    </row>
    <row r="141" spans="1:8" ht="16.5" customHeight="1">
      <c r="A141" s="1014" t="s">
        <v>487</v>
      </c>
      <c r="B141" s="857">
        <f>geral!M353</f>
        <v>191567.05499999999</v>
      </c>
      <c r="C141" s="857">
        <f t="shared" si="27"/>
        <v>235.3114543667854</v>
      </c>
      <c r="D141" s="961">
        <f t="shared" si="55"/>
        <v>0</v>
      </c>
      <c r="E141" s="961">
        <f t="shared" si="56"/>
        <v>-1.1300262847881548</v>
      </c>
      <c r="F141" s="961">
        <f t="shared" si="57"/>
        <v>-0.34841864132975076</v>
      </c>
      <c r="G141" s="962">
        <f t="shared" si="58"/>
        <v>5.0257976973684171</v>
      </c>
      <c r="H141" s="1023">
        <f t="shared" si="59"/>
        <v>1.5860451579213346</v>
      </c>
    </row>
    <row r="142" spans="1:8" ht="16.5" customHeight="1">
      <c r="A142" s="1014" t="s">
        <v>488</v>
      </c>
      <c r="B142" s="857">
        <f>geral!M354</f>
        <v>187421.05499999999</v>
      </c>
      <c r="C142" s="857">
        <f t="shared" si="27"/>
        <v>230.21871391720919</v>
      </c>
      <c r="D142" s="961">
        <f t="shared" si="55"/>
        <v>-2.1642552264532156</v>
      </c>
      <c r="E142" s="961">
        <f t="shared" si="56"/>
        <v>-3.2698248583125422</v>
      </c>
      <c r="F142" s="961">
        <f t="shared" si="57"/>
        <v>-4.1376169954874804</v>
      </c>
      <c r="G142" s="962">
        <f t="shared" si="58"/>
        <v>2.804436622937323</v>
      </c>
      <c r="H142" s="1023">
        <f t="shared" si="59"/>
        <v>1.621130560811324</v>
      </c>
    </row>
    <row r="143" spans="1:8" ht="16.5" customHeight="1">
      <c r="A143" s="1014" t="s">
        <v>489</v>
      </c>
      <c r="B143" s="857">
        <f>geral!M355</f>
        <v>187421.05499999999</v>
      </c>
      <c r="C143" s="857">
        <f t="shared" si="27"/>
        <v>230.21871391720919</v>
      </c>
      <c r="D143" s="961">
        <f t="shared" ref="D143:D148" si="60">100*((B143/B142)-1)</f>
        <v>0</v>
      </c>
      <c r="E143" s="961">
        <f t="shared" ref="E143:E148" si="61">100*((C143/$C$136)-1)</f>
        <v>-3.2698248583125422</v>
      </c>
      <c r="F143" s="961">
        <f t="shared" ref="F143:F148" si="62">100*((B143/B131)-1)</f>
        <v>-5.7656070183964907</v>
      </c>
      <c r="G143" s="962">
        <f t="shared" ref="G143:G148" si="63">100*(B143/B119-1)</f>
        <v>2.8514501303333661</v>
      </c>
      <c r="H143" s="1023">
        <f t="shared" si="59"/>
        <v>1.621130560811324</v>
      </c>
    </row>
    <row r="144" spans="1:8" ht="16.5" customHeight="1">
      <c r="A144" s="1014" t="s">
        <v>490</v>
      </c>
      <c r="B144" s="857">
        <f>geral!M356</f>
        <v>185046.05499999999</v>
      </c>
      <c r="C144" s="857">
        <f t="shared" si="27"/>
        <v>227.30138189411619</v>
      </c>
      <c r="D144" s="961">
        <f t="shared" si="60"/>
        <v>-1.267200208642516</v>
      </c>
      <c r="E144" s="961">
        <f t="shared" si="61"/>
        <v>-4.4955898395282805</v>
      </c>
      <c r="F144" s="961">
        <f t="shared" si="62"/>
        <v>-6.9597477818816529</v>
      </c>
      <c r="G144" s="962">
        <f t="shared" si="63"/>
        <v>1.3312460641239809</v>
      </c>
      <c r="H144" s="1023">
        <f t="shared" si="59"/>
        <v>1.6419371923384154</v>
      </c>
    </row>
    <row r="145" spans="1:8" ht="16.5" customHeight="1">
      <c r="A145" s="1014" t="s">
        <v>491</v>
      </c>
      <c r="B145" s="857">
        <f>geral!M357</f>
        <v>185046.05499999999</v>
      </c>
      <c r="C145" s="857">
        <f t="shared" si="27"/>
        <v>227.30138189411619</v>
      </c>
      <c r="D145" s="961">
        <f t="shared" si="60"/>
        <v>0</v>
      </c>
      <c r="E145" s="961">
        <f t="shared" si="61"/>
        <v>-4.4955898395282805</v>
      </c>
      <c r="F145" s="961">
        <f t="shared" si="62"/>
        <v>-6.9597477818816529</v>
      </c>
      <c r="G145" s="962">
        <f t="shared" si="63"/>
        <v>1.0104287780779986</v>
      </c>
      <c r="H145" s="1023">
        <f t="shared" si="59"/>
        <v>1.6419371923384154</v>
      </c>
    </row>
    <row r="146" spans="1:8" ht="16.5" customHeight="1">
      <c r="A146" s="1014" t="s">
        <v>492</v>
      </c>
      <c r="B146" s="857">
        <f>geral!M358</f>
        <v>181296.05499999999</v>
      </c>
      <c r="C146" s="857">
        <f t="shared" si="27"/>
        <v>222.69506817344308</v>
      </c>
      <c r="D146" s="961">
        <f t="shared" si="60"/>
        <v>-2.0265225324582081</v>
      </c>
      <c r="E146" s="961">
        <f t="shared" si="61"/>
        <v>-6.4310082309215311</v>
      </c>
      <c r="F146" s="961">
        <f t="shared" si="62"/>
        <v>-8.8452294573377657</v>
      </c>
      <c r="G146" s="962">
        <f t="shared" si="63"/>
        <v>-1.4731051411180696</v>
      </c>
      <c r="H146" s="1023">
        <f t="shared" si="59"/>
        <v>1.6758996769124404</v>
      </c>
    </row>
    <row r="147" spans="1:8" ht="16.5" customHeight="1">
      <c r="A147" s="1014" t="s">
        <v>493</v>
      </c>
      <c r="B147" s="857">
        <f>geral!M359</f>
        <v>181296.05499999999</v>
      </c>
      <c r="C147" s="857">
        <f t="shared" si="27"/>
        <v>222.69506817344308</v>
      </c>
      <c r="D147" s="961">
        <f t="shared" si="60"/>
        <v>0</v>
      </c>
      <c r="E147" s="961">
        <f t="shared" si="61"/>
        <v>-6.4310082309215311</v>
      </c>
      <c r="F147" s="961">
        <f t="shared" si="62"/>
        <v>-6.0847112580773128</v>
      </c>
      <c r="G147" s="962">
        <f t="shared" si="63"/>
        <v>-1.5497936464838435</v>
      </c>
      <c r="H147" s="1023">
        <f t="shared" si="59"/>
        <v>1.6758996769124404</v>
      </c>
    </row>
    <row r="148" spans="1:8" ht="16.5" customHeight="1">
      <c r="A148" s="1014" t="s">
        <v>494</v>
      </c>
      <c r="B148" s="857">
        <f>geral!M360</f>
        <v>181296.05499999999</v>
      </c>
      <c r="C148" s="857">
        <f t="shared" si="27"/>
        <v>222.69506817344308</v>
      </c>
      <c r="D148" s="961">
        <f t="shared" si="60"/>
        <v>0</v>
      </c>
      <c r="E148" s="961">
        <f t="shared" si="61"/>
        <v>-6.4310082309215311</v>
      </c>
      <c r="F148" s="961">
        <f t="shared" si="62"/>
        <v>-6.4310082309215311</v>
      </c>
      <c r="G148" s="962">
        <f t="shared" si="63"/>
        <v>-1.7720489434711939</v>
      </c>
      <c r="H148" s="1023">
        <f t="shared" si="59"/>
        <v>1.6758996769124404</v>
      </c>
    </row>
    <row r="149" spans="1:8" ht="16.5" customHeight="1">
      <c r="A149" s="1014" t="s">
        <v>495</v>
      </c>
      <c r="B149" s="857">
        <f>geral!C365</f>
        <v>186496.05499999999</v>
      </c>
      <c r="C149" s="857">
        <f t="shared" ref="C149:C154" si="64">100*B149/$B$8</f>
        <v>229.08248986610982</v>
      </c>
      <c r="D149" s="961">
        <f t="shared" ref="D149:D154" si="65">100*((B149/B148)-1)</f>
        <v>2.8682367081843019</v>
      </c>
      <c r="E149" s="961">
        <f t="shared" ref="E149:E154" si="66">100*((C149/$C$148)-1)</f>
        <v>2.8682367081843019</v>
      </c>
      <c r="F149" s="961">
        <f t="shared" ref="F149:F154" si="67">100*((B149/B137)-1)</f>
        <v>-4.1235458762215016</v>
      </c>
      <c r="G149" s="962">
        <f t="shared" ref="G149:G154" si="68">100*(B149/B125-1)</f>
        <v>0.88009239549777796</v>
      </c>
      <c r="H149" s="1023">
        <f t="shared" si="59"/>
        <v>1.6291711907793438</v>
      </c>
    </row>
    <row r="150" spans="1:8" ht="16.5" customHeight="1">
      <c r="A150" s="1014" t="s">
        <v>496</v>
      </c>
      <c r="B150" s="857">
        <f>geral!C366</f>
        <v>186496.05499999999</v>
      </c>
      <c r="C150" s="857">
        <f t="shared" si="64"/>
        <v>229.08248986610982</v>
      </c>
      <c r="D150" s="961">
        <f t="shared" si="65"/>
        <v>0</v>
      </c>
      <c r="E150" s="961">
        <f t="shared" si="66"/>
        <v>2.8682367081843019</v>
      </c>
      <c r="F150" s="961">
        <f t="shared" si="67"/>
        <v>-2.6471148705605962</v>
      </c>
      <c r="G150" s="962">
        <f t="shared" si="68"/>
        <v>1.5979328583512364</v>
      </c>
      <c r="H150" s="1023">
        <f t="shared" si="59"/>
        <v>1.6291711907793438</v>
      </c>
    </row>
    <row r="151" spans="1:8" ht="16.5" customHeight="1">
      <c r="A151" s="1014" t="s">
        <v>497</v>
      </c>
      <c r="B151" s="857">
        <f>geral!C367</f>
        <v>204332.75</v>
      </c>
      <c r="C151" s="857">
        <f t="shared" si="64"/>
        <v>250.99219997543298</v>
      </c>
      <c r="D151" s="961">
        <f t="shared" si="65"/>
        <v>9.5641138360808888</v>
      </c>
      <c r="E151" s="961">
        <f t="shared" si="66"/>
        <v>12.706671968124162</v>
      </c>
      <c r="F151" s="961">
        <f t="shared" si="67"/>
        <v>6.663825885928043</v>
      </c>
      <c r="G151" s="962">
        <f t="shared" si="68"/>
        <v>11.879260243896915</v>
      </c>
      <c r="H151" s="1023">
        <f t="shared" si="59"/>
        <v>1.4869569366633593</v>
      </c>
    </row>
    <row r="152" spans="1:8" ht="16.5" customHeight="1">
      <c r="A152" s="1014" t="s">
        <v>498</v>
      </c>
      <c r="B152" s="857">
        <f>geral!C368</f>
        <v>204332.75</v>
      </c>
      <c r="C152" s="857">
        <f t="shared" si="64"/>
        <v>250.99219997543298</v>
      </c>
      <c r="D152" s="961">
        <f t="shared" si="65"/>
        <v>0</v>
      </c>
      <c r="E152" s="961">
        <f t="shared" si="66"/>
        <v>12.706671968124162</v>
      </c>
      <c r="F152" s="961">
        <f t="shared" si="67"/>
        <v>6.663825885928043</v>
      </c>
      <c r="G152" s="962">
        <f t="shared" si="68"/>
        <v>1.9437075151712113</v>
      </c>
      <c r="H152" s="1023">
        <f t="shared" si="59"/>
        <v>1.4869569366633593</v>
      </c>
    </row>
    <row r="153" spans="1:8" ht="16.5" customHeight="1">
      <c r="A153" s="1014" t="s">
        <v>499</v>
      </c>
      <c r="B153" s="857">
        <f>geral!C369</f>
        <v>204332.75</v>
      </c>
      <c r="C153" s="857">
        <f t="shared" si="64"/>
        <v>250.99219997543298</v>
      </c>
      <c r="D153" s="961">
        <f t="shared" si="65"/>
        <v>0</v>
      </c>
      <c r="E153" s="961">
        <f t="shared" si="66"/>
        <v>12.706671968124162</v>
      </c>
      <c r="F153" s="961">
        <f t="shared" si="67"/>
        <v>6.663825885928043</v>
      </c>
      <c r="G153" s="962">
        <f t="shared" si="68"/>
        <v>6.2921892329859563</v>
      </c>
      <c r="H153" s="1023">
        <f t="shared" si="59"/>
        <v>1.4869569366633593</v>
      </c>
    </row>
    <row r="154" spans="1:8" ht="16.5" customHeight="1">
      <c r="A154" s="1014" t="s">
        <v>500</v>
      </c>
      <c r="B154" s="857">
        <f>geral!C370</f>
        <v>204332.75</v>
      </c>
      <c r="C154" s="857">
        <f t="shared" si="64"/>
        <v>250.99219997543298</v>
      </c>
      <c r="D154" s="961">
        <f t="shared" si="65"/>
        <v>0</v>
      </c>
      <c r="E154" s="961">
        <f t="shared" si="66"/>
        <v>12.706671968124162</v>
      </c>
      <c r="F154" s="961">
        <f t="shared" si="67"/>
        <v>9.0233698663151785</v>
      </c>
      <c r="G154" s="962">
        <f t="shared" si="68"/>
        <v>4.5124003856733541</v>
      </c>
      <c r="H154" s="1023">
        <f t="shared" si="59"/>
        <v>1.4869569366633593</v>
      </c>
    </row>
    <row r="155" spans="1:8" ht="16.5" customHeight="1">
      <c r="A155" s="1014" t="s">
        <v>501</v>
      </c>
      <c r="B155" s="857">
        <f>geral!C371</f>
        <v>209582.75</v>
      </c>
      <c r="C155" s="857">
        <f t="shared" ref="C155:C160" si="69">100*B155/$B$8</f>
        <v>257.44103918437537</v>
      </c>
      <c r="D155" s="961">
        <f t="shared" ref="D155:D160" si="70">100*((B155/B154)-1)</f>
        <v>2.5693384932175656</v>
      </c>
      <c r="E155" s="961">
        <f t="shared" ref="E155:E160" si="71">100*((C155/$C$148)-1)</f>
        <v>15.60248787542562</v>
      </c>
      <c r="F155" s="961">
        <f t="shared" ref="F155:F160" si="72">100*((B155/B143)-1)</f>
        <v>11.824549274893382</v>
      </c>
      <c r="G155" s="962">
        <f t="shared" ref="G155:G160" si="73">100*(B155/B131-1)</f>
        <v>5.3771852136098808</v>
      </c>
      <c r="H155" s="1023">
        <f t="shared" si="59"/>
        <v>1.4497090051542887</v>
      </c>
    </row>
    <row r="156" spans="1:8" ht="16.5" customHeight="1">
      <c r="A156" s="1014" t="s">
        <v>502</v>
      </c>
      <c r="B156" s="857">
        <f>geral!C372</f>
        <v>209582.75</v>
      </c>
      <c r="C156" s="857">
        <f t="shared" si="69"/>
        <v>257.44103918437537</v>
      </c>
      <c r="D156" s="961">
        <f t="shared" si="70"/>
        <v>0</v>
      </c>
      <c r="E156" s="961">
        <f t="shared" si="71"/>
        <v>15.60248787542562</v>
      </c>
      <c r="F156" s="961">
        <f t="shared" si="72"/>
        <v>13.25977741054789</v>
      </c>
      <c r="G156" s="962">
        <f t="shared" si="73"/>
        <v>5.3771825644531646</v>
      </c>
      <c r="H156" s="1023">
        <f t="shared" si="59"/>
        <v>1.4497090051542887</v>
      </c>
    </row>
    <row r="157" spans="1:8" ht="16.5" customHeight="1">
      <c r="A157" s="1014" t="s">
        <v>503</v>
      </c>
      <c r="B157" s="857">
        <f>geral!C373</f>
        <v>209582.75</v>
      </c>
      <c r="C157" s="857">
        <f t="shared" si="69"/>
        <v>257.44103918437537</v>
      </c>
      <c r="D157" s="961">
        <f t="shared" si="70"/>
        <v>0</v>
      </c>
      <c r="E157" s="961">
        <f t="shared" si="71"/>
        <v>15.60248787542562</v>
      </c>
      <c r="F157" s="961">
        <f t="shared" si="72"/>
        <v>13.25977741054789</v>
      </c>
      <c r="G157" s="962">
        <f t="shared" si="73"/>
        <v>5.3771825644531646</v>
      </c>
      <c r="H157" s="1023">
        <f t="shared" si="59"/>
        <v>1.4497090051542887</v>
      </c>
    </row>
    <row r="158" spans="1:8" ht="16.5" customHeight="1">
      <c r="A158" s="1014" t="s">
        <v>504</v>
      </c>
      <c r="B158" s="857">
        <f>geral!C374</f>
        <v>209582.75</v>
      </c>
      <c r="C158" s="857">
        <f t="shared" si="69"/>
        <v>257.44103918437537</v>
      </c>
      <c r="D158" s="961">
        <f t="shared" si="70"/>
        <v>0</v>
      </c>
      <c r="E158" s="961">
        <f t="shared" si="71"/>
        <v>15.60248787542562</v>
      </c>
      <c r="F158" s="961">
        <f t="shared" si="72"/>
        <v>15.602487875425641</v>
      </c>
      <c r="G158" s="962">
        <f t="shared" si="73"/>
        <v>5.3771825644531646</v>
      </c>
      <c r="H158" s="1023">
        <f t="shared" si="59"/>
        <v>1.4497090051542887</v>
      </c>
    </row>
    <row r="159" spans="1:8" ht="16.5" customHeight="1">
      <c r="A159" s="1014" t="s">
        <v>505</v>
      </c>
      <c r="B159" s="857">
        <f>geral!C375</f>
        <v>211207.75</v>
      </c>
      <c r="C159" s="857">
        <f t="shared" si="69"/>
        <v>259.43710846333374</v>
      </c>
      <c r="D159" s="961">
        <f t="shared" si="70"/>
        <v>0.77535007055684613</v>
      </c>
      <c r="E159" s="961">
        <f t="shared" si="71"/>
        <v>16.498811846733229</v>
      </c>
      <c r="F159" s="961">
        <f t="shared" si="72"/>
        <v>16.498811846733229</v>
      </c>
      <c r="G159" s="962">
        <f t="shared" si="73"/>
        <v>9.41019552676876</v>
      </c>
      <c r="H159" s="1023">
        <f t="shared" si="59"/>
        <v>1.4385551666546328</v>
      </c>
    </row>
    <row r="160" spans="1:8" ht="16.5" customHeight="1">
      <c r="A160" s="1014" t="s">
        <v>506</v>
      </c>
      <c r="B160" s="857">
        <f>geral!C376</f>
        <v>211207.75</v>
      </c>
      <c r="C160" s="857">
        <f t="shared" si="69"/>
        <v>259.43710846333374</v>
      </c>
      <c r="D160" s="961">
        <f t="shared" si="70"/>
        <v>0</v>
      </c>
      <c r="E160" s="961">
        <f t="shared" si="71"/>
        <v>16.498811846733229</v>
      </c>
      <c r="F160" s="961">
        <f t="shared" si="72"/>
        <v>16.498811846733229</v>
      </c>
      <c r="G160" s="962">
        <f t="shared" si="73"/>
        <v>9.006763667944039</v>
      </c>
      <c r="H160" s="1023">
        <f t="shared" si="59"/>
        <v>1.4385551666546328</v>
      </c>
    </row>
    <row r="161" spans="1:8" ht="16.5" customHeight="1">
      <c r="A161" s="1014" t="s">
        <v>507</v>
      </c>
      <c r="B161" s="857">
        <f>geral!E365</f>
        <v>211507.75</v>
      </c>
      <c r="C161" s="857">
        <f t="shared" ref="C161:C166" si="74">100*B161/$B$8</f>
        <v>259.80561356098758</v>
      </c>
      <c r="D161" s="961">
        <f t="shared" ref="D161:D166" si="75">100*((B161/B160)-1)</f>
        <v>0.14204024236799118</v>
      </c>
      <c r="E161" s="961">
        <f t="shared" ref="E161:E166" si="76">100*((C161/$C$160)-1)</f>
        <v>0.14204024236799118</v>
      </c>
      <c r="F161" s="961">
        <f t="shared" ref="F161:F166" si="77">100*((B161/B149)-1)</f>
        <v>13.411380203189815</v>
      </c>
      <c r="G161" s="962">
        <f t="shared" ref="G161:G166" si="78">100*(B161/B137-1)</f>
        <v>8.7348099116553168</v>
      </c>
      <c r="H161" s="1023">
        <f t="shared" si="59"/>
        <v>1.4365147376396372</v>
      </c>
    </row>
    <row r="162" spans="1:8" ht="16.5" customHeight="1">
      <c r="A162" s="1014" t="s">
        <v>508</v>
      </c>
      <c r="B162" s="857">
        <f>geral!E366</f>
        <v>209507.75</v>
      </c>
      <c r="C162" s="857">
        <f t="shared" si="74"/>
        <v>257.34891290996194</v>
      </c>
      <c r="D162" s="961">
        <f t="shared" si="75"/>
        <v>-0.94559182819542453</v>
      </c>
      <c r="E162" s="961">
        <f t="shared" si="76"/>
        <v>-0.80489470675199071</v>
      </c>
      <c r="F162" s="961">
        <f t="shared" si="77"/>
        <v>12.33897145974483</v>
      </c>
      <c r="G162" s="962">
        <f t="shared" si="78"/>
        <v>9.365229840799083</v>
      </c>
      <c r="H162" s="1023">
        <f t="shared" si="59"/>
        <v>1.4502279748601186</v>
      </c>
    </row>
    <row r="163" spans="1:8" ht="16.5" customHeight="1">
      <c r="A163" s="1014" t="s">
        <v>509</v>
      </c>
      <c r="B163" s="857">
        <f>geral!E367</f>
        <v>209507.75</v>
      </c>
      <c r="C163" s="857">
        <f t="shared" si="74"/>
        <v>257.34891290996194</v>
      </c>
      <c r="D163" s="961">
        <f t="shared" si="75"/>
        <v>0</v>
      </c>
      <c r="E163" s="961">
        <f t="shared" si="76"/>
        <v>-0.80489470675199071</v>
      </c>
      <c r="F163" s="961">
        <f t="shared" si="77"/>
        <v>2.5326336576001696</v>
      </c>
      <c r="G163" s="962">
        <f t="shared" si="78"/>
        <v>9.365229840799083</v>
      </c>
      <c r="H163" s="1023">
        <f t="shared" si="59"/>
        <v>1.4502279748601186</v>
      </c>
    </row>
    <row r="164" spans="1:8" ht="16.5" customHeight="1">
      <c r="A164" s="1014" t="s">
        <v>510</v>
      </c>
      <c r="B164" s="857">
        <f>geral!E368</f>
        <v>210282.75</v>
      </c>
      <c r="C164" s="857">
        <f t="shared" si="74"/>
        <v>258.30088441223438</v>
      </c>
      <c r="D164" s="961">
        <f t="shared" si="75"/>
        <v>0.36991471675869025</v>
      </c>
      <c r="E164" s="961">
        <f t="shared" si="76"/>
        <v>-0.43795741396799315</v>
      </c>
      <c r="F164" s="961">
        <f t="shared" si="77"/>
        <v>2.9119169589798988</v>
      </c>
      <c r="G164" s="962">
        <f t="shared" si="78"/>
        <v>9.7697879209971639</v>
      </c>
      <c r="H164" s="1023">
        <f t="shared" si="59"/>
        <v>1.4448831394871904</v>
      </c>
    </row>
    <row r="165" spans="1:8" ht="16.5" customHeight="1">
      <c r="A165" s="1014" t="s">
        <v>511</v>
      </c>
      <c r="B165" s="857">
        <f>geral!E369</f>
        <v>209507.75</v>
      </c>
      <c r="C165" s="857">
        <f t="shared" si="74"/>
        <v>257.34891290996194</v>
      </c>
      <c r="D165" s="961">
        <f t="shared" si="75"/>
        <v>-0.36855139092484279</v>
      </c>
      <c r="E165" s="961">
        <f t="shared" si="76"/>
        <v>-0.80489470675199071</v>
      </c>
      <c r="F165" s="961">
        <f t="shared" si="77"/>
        <v>2.5326336576001696</v>
      </c>
      <c r="G165" s="962">
        <f t="shared" si="78"/>
        <v>9.365229840799083</v>
      </c>
      <c r="H165" s="1023">
        <f t="shared" si="59"/>
        <v>1.4502279748601186</v>
      </c>
    </row>
    <row r="166" spans="1:8" ht="16.5" customHeight="1">
      <c r="A166" s="1014" t="s">
        <v>512</v>
      </c>
      <c r="B166" s="857">
        <f>geral!E370</f>
        <v>209507.75</v>
      </c>
      <c r="C166" s="857">
        <f t="shared" si="74"/>
        <v>257.34891290996194</v>
      </c>
      <c r="D166" s="961">
        <f t="shared" si="75"/>
        <v>0</v>
      </c>
      <c r="E166" s="961">
        <f t="shared" si="76"/>
        <v>-0.80489470675199071</v>
      </c>
      <c r="F166" s="961">
        <f t="shared" si="77"/>
        <v>2.5326336576001696</v>
      </c>
      <c r="G166" s="962">
        <f t="shared" si="78"/>
        <v>11.784532426199391</v>
      </c>
      <c r="H166" s="1023">
        <f t="shared" si="59"/>
        <v>1.4502279748601186</v>
      </c>
    </row>
    <row r="167" spans="1:8" ht="16.5" customHeight="1">
      <c r="A167" s="1014" t="s">
        <v>513</v>
      </c>
      <c r="B167" s="857">
        <f>geral!E371</f>
        <v>210625</v>
      </c>
      <c r="C167" s="857">
        <f t="shared" ref="C167:C172" si="79">100*B167/$B$8</f>
        <v>258.72128731114111</v>
      </c>
      <c r="D167" s="961">
        <f t="shared" ref="D167:D172" si="80">100*((B167/B166)-1)</f>
        <v>0.53327382877244034</v>
      </c>
      <c r="E167" s="961">
        <f t="shared" ref="E167:E172" si="81">100*((C167/$C$160)-1)</f>
        <v>-0.27591317079984634</v>
      </c>
      <c r="F167" s="961">
        <f t="shared" ref="F167:F172" si="82">100*((B167/B155)-1)</f>
        <v>0.49729760679253499</v>
      </c>
      <c r="G167" s="962">
        <f t="shared" ref="G167:G172" si="83">100*(B167/B143-1)</f>
        <v>12.38065008224396</v>
      </c>
      <c r="H167" s="1023">
        <f t="shared" si="59"/>
        <v>1.4425353115727002</v>
      </c>
    </row>
    <row r="168" spans="1:8" ht="16.5" customHeight="1">
      <c r="A168" s="1014" t="s">
        <v>514</v>
      </c>
      <c r="B168" s="857">
        <f>geral!E372</f>
        <v>211125</v>
      </c>
      <c r="C168" s="857">
        <f t="shared" si="79"/>
        <v>259.33546247389756</v>
      </c>
      <c r="D168" s="961">
        <f t="shared" si="80"/>
        <v>0.23738872403560318</v>
      </c>
      <c r="E168" s="961">
        <f t="shared" si="81"/>
        <v>-3.9179433519831441E-2</v>
      </c>
      <c r="F168" s="961">
        <f t="shared" si="82"/>
        <v>0.73586685927158335</v>
      </c>
      <c r="G168" s="962">
        <f t="shared" si="83"/>
        <v>14.093218577396849</v>
      </c>
      <c r="H168" s="1023">
        <f t="shared" si="59"/>
        <v>1.4391190053285967</v>
      </c>
    </row>
    <row r="169" spans="1:8" ht="16.5" customHeight="1">
      <c r="A169" s="1014" t="s">
        <v>515</v>
      </c>
      <c r="B169" s="857">
        <f>geral!E373</f>
        <v>211125</v>
      </c>
      <c r="C169" s="857">
        <f t="shared" si="79"/>
        <v>259.33546247389756</v>
      </c>
      <c r="D169" s="961">
        <f t="shared" si="80"/>
        <v>0</v>
      </c>
      <c r="E169" s="961">
        <f t="shared" si="81"/>
        <v>-3.9179433519831441E-2</v>
      </c>
      <c r="F169" s="961">
        <f t="shared" si="82"/>
        <v>0.73586685927158335</v>
      </c>
      <c r="G169" s="962">
        <f t="shared" si="83"/>
        <v>14.093218577396849</v>
      </c>
      <c r="H169" s="1023">
        <f t="shared" si="59"/>
        <v>1.4391190053285967</v>
      </c>
    </row>
    <row r="170" spans="1:8" ht="16.5" customHeight="1">
      <c r="A170" s="1014" t="s">
        <v>516</v>
      </c>
      <c r="B170" s="857">
        <f>geral!E374</f>
        <v>211125</v>
      </c>
      <c r="C170" s="857">
        <f t="shared" si="79"/>
        <v>259.33546247389756</v>
      </c>
      <c r="D170" s="961">
        <f t="shared" si="80"/>
        <v>0</v>
      </c>
      <c r="E170" s="961">
        <f t="shared" si="81"/>
        <v>-3.9179433519831441E-2</v>
      </c>
      <c r="F170" s="961">
        <f t="shared" si="82"/>
        <v>0.73586685927158335</v>
      </c>
      <c r="G170" s="962">
        <f t="shared" si="83"/>
        <v>16.45316827219434</v>
      </c>
      <c r="H170" s="1023">
        <f t="shared" si="59"/>
        <v>1.4391190053285967</v>
      </c>
    </row>
    <row r="171" spans="1:8" ht="16.5" customHeight="1">
      <c r="A171" s="1014" t="s">
        <v>517</v>
      </c>
      <c r="B171" s="857">
        <f>geral!E375</f>
        <v>211125</v>
      </c>
      <c r="C171" s="857">
        <f t="shared" si="79"/>
        <v>259.33546247389756</v>
      </c>
      <c r="D171" s="961">
        <f t="shared" si="80"/>
        <v>0</v>
      </c>
      <c r="E171" s="961">
        <f t="shared" si="81"/>
        <v>-3.9179433519831441E-2</v>
      </c>
      <c r="F171" s="961">
        <f t="shared" si="82"/>
        <v>-3.9179433519842544E-2</v>
      </c>
      <c r="G171" s="962">
        <f t="shared" si="83"/>
        <v>16.45316827219434</v>
      </c>
      <c r="H171" s="1023">
        <f t="shared" si="59"/>
        <v>1.4391190053285967</v>
      </c>
    </row>
    <row r="172" spans="1:8" ht="16.5" customHeight="1">
      <c r="A172" s="1014" t="s">
        <v>518</v>
      </c>
      <c r="B172" s="857">
        <f>geral!E376</f>
        <v>211125</v>
      </c>
      <c r="C172" s="857">
        <f t="shared" si="79"/>
        <v>259.33546247389756</v>
      </c>
      <c r="D172" s="961">
        <f t="shared" si="80"/>
        <v>0</v>
      </c>
      <c r="E172" s="961">
        <f t="shared" si="81"/>
        <v>-3.9179433519831441E-2</v>
      </c>
      <c r="F172" s="961">
        <f t="shared" si="82"/>
        <v>-3.9179433519842544E-2</v>
      </c>
      <c r="G172" s="962">
        <f t="shared" si="83"/>
        <v>16.45316827219434</v>
      </c>
      <c r="H172" s="1023">
        <f t="shared" si="59"/>
        <v>1.4391190053285967</v>
      </c>
    </row>
    <row r="173" spans="1:8" ht="16.5" customHeight="1">
      <c r="A173" s="1014" t="s">
        <v>519</v>
      </c>
      <c r="B173" s="857">
        <f>geral!G365</f>
        <v>210202.5</v>
      </c>
      <c r="C173" s="857">
        <f t="shared" ref="C173:C178" si="84">100*B173/$B$8</f>
        <v>258.20230929861197</v>
      </c>
      <c r="D173" s="961">
        <f t="shared" ref="D173:D178" si="85">100*((B173/B172)-1)</f>
        <v>-0.43694493783303923</v>
      </c>
      <c r="E173" s="961">
        <f t="shared" ref="E173:E178" si="86">100*((C173/$C$172)-1)</f>
        <v>-0.43694493783303923</v>
      </c>
      <c r="F173" s="961">
        <f t="shared" ref="F173:F178" si="87">100*((B173/B161)-1)</f>
        <v>-0.61711686687603295</v>
      </c>
      <c r="G173" s="962">
        <f t="shared" ref="G173:G178" si="88">100*(B173/B149-1)</f>
        <v>12.711499446999031</v>
      </c>
      <c r="H173" s="1023">
        <f t="shared" si="59"/>
        <v>1.4454347593392087</v>
      </c>
    </row>
    <row r="174" spans="1:8" ht="16.5" customHeight="1">
      <c r="A174" s="1014" t="s">
        <v>520</v>
      </c>
      <c r="B174" s="857">
        <f>geral!G366</f>
        <v>210202.5</v>
      </c>
      <c r="C174" s="857">
        <f t="shared" si="84"/>
        <v>258.20230929861197</v>
      </c>
      <c r="D174" s="961">
        <f t="shared" si="85"/>
        <v>0</v>
      </c>
      <c r="E174" s="961">
        <f t="shared" si="86"/>
        <v>-0.43694493783303923</v>
      </c>
      <c r="F174" s="961">
        <f t="shared" si="87"/>
        <v>0.33161064447495558</v>
      </c>
      <c r="G174" s="962">
        <f t="shared" si="88"/>
        <v>12.711499446999031</v>
      </c>
      <c r="H174" s="1023">
        <f t="shared" si="59"/>
        <v>1.4454347593392087</v>
      </c>
    </row>
    <row r="175" spans="1:8" ht="16.5" customHeight="1">
      <c r="A175" s="1014" t="s">
        <v>521</v>
      </c>
      <c r="B175" s="857">
        <f>geral!G367</f>
        <v>210202.5</v>
      </c>
      <c r="C175" s="857">
        <f t="shared" si="84"/>
        <v>258.20230929861197</v>
      </c>
      <c r="D175" s="961">
        <f t="shared" si="85"/>
        <v>0</v>
      </c>
      <c r="E175" s="961">
        <f t="shared" si="86"/>
        <v>-0.43694493783303923</v>
      </c>
      <c r="F175" s="961">
        <f t="shared" si="87"/>
        <v>0.33161064447495558</v>
      </c>
      <c r="G175" s="962">
        <f t="shared" si="88"/>
        <v>2.8726427848692948</v>
      </c>
      <c r="H175" s="1023">
        <f t="shared" si="59"/>
        <v>1.4454347593392087</v>
      </c>
    </row>
    <row r="176" spans="1:8" ht="16.5" customHeight="1">
      <c r="A176" s="1014" t="s">
        <v>522</v>
      </c>
      <c r="B176" s="857">
        <f>geral!G368</f>
        <v>206433</v>
      </c>
      <c r="C176" s="857">
        <f t="shared" si="84"/>
        <v>253.57204274659134</v>
      </c>
      <c r="D176" s="961">
        <f t="shared" si="85"/>
        <v>-1.7932707746102006</v>
      </c>
      <c r="E176" s="961">
        <f t="shared" si="86"/>
        <v>-2.2223801065719417</v>
      </c>
      <c r="F176" s="961">
        <f t="shared" si="87"/>
        <v>-1.8307493125327645</v>
      </c>
      <c r="G176" s="962">
        <f t="shared" si="88"/>
        <v>1.0278577467390804</v>
      </c>
      <c r="H176" s="1023">
        <f t="shared" si="59"/>
        <v>1.4718286320501082</v>
      </c>
    </row>
    <row r="177" spans="1:8" ht="16.5" customHeight="1">
      <c r="A177" s="1014" t="s">
        <v>523</v>
      </c>
      <c r="B177" s="857">
        <f>geral!G369</f>
        <v>203960</v>
      </c>
      <c r="C177" s="857">
        <f t="shared" si="84"/>
        <v>250.53433239159807</v>
      </c>
      <c r="D177" s="961">
        <f t="shared" si="85"/>
        <v>-1.197967379246534</v>
      </c>
      <c r="E177" s="961">
        <f t="shared" si="86"/>
        <v>-3.3937240970988825</v>
      </c>
      <c r="F177" s="961">
        <f t="shared" si="87"/>
        <v>-2.647992735352267</v>
      </c>
      <c r="G177" s="962">
        <f t="shared" si="88"/>
        <v>-0.18242303301844176</v>
      </c>
      <c r="H177" s="1023">
        <f t="shared" si="59"/>
        <v>1.4896744459697979</v>
      </c>
    </row>
    <row r="178" spans="1:8" ht="16.5" customHeight="1">
      <c r="A178" s="1014" t="s">
        <v>524</v>
      </c>
      <c r="B178" s="857">
        <f>geral!G370</f>
        <v>203200</v>
      </c>
      <c r="C178" s="857">
        <f t="shared" si="84"/>
        <v>249.60078614420831</v>
      </c>
      <c r="D178" s="961">
        <f t="shared" si="85"/>
        <v>-0.37262208276132025</v>
      </c>
      <c r="E178" s="961">
        <f t="shared" si="86"/>
        <v>-3.7537004144464259</v>
      </c>
      <c r="F178" s="961">
        <f t="shared" si="87"/>
        <v>-3.0107478124317577</v>
      </c>
      <c r="G178" s="962">
        <f t="shared" si="88"/>
        <v>-0.55436536727470065</v>
      </c>
      <c r="H178" s="1023">
        <f t="shared" si="59"/>
        <v>1.495246062992126</v>
      </c>
    </row>
    <row r="179" spans="1:8" ht="16.5" customHeight="1">
      <c r="A179" s="1014" t="s">
        <v>525</v>
      </c>
      <c r="B179" s="857">
        <f>geral!G371</f>
        <v>202025</v>
      </c>
      <c r="C179" s="857">
        <f t="shared" ref="C179:C184" si="89">100*B179/$B$8</f>
        <v>248.15747451173075</v>
      </c>
      <c r="D179" s="961">
        <f t="shared" ref="D179:D184" si="90">100*((B179/B178)-1)</f>
        <v>-0.57824803149606474</v>
      </c>
      <c r="E179" s="961">
        <f t="shared" ref="E179:E184" si="91">100*((C179/$C$172)-1)</f>
        <v>-4.3102427471876865</v>
      </c>
      <c r="F179" s="961">
        <f t="shared" ref="F179:F184" si="92">100*((B179/B167)-1)</f>
        <v>-4.0830860534124653</v>
      </c>
      <c r="G179" s="962">
        <f t="shared" ref="G179:G184" si="93">100*(B179/B155-1)</f>
        <v>-3.6060935358468216</v>
      </c>
      <c r="H179" s="1023">
        <f t="shared" si="59"/>
        <v>1.5039425813636926</v>
      </c>
    </row>
    <row r="180" spans="1:8" ht="16.5" customHeight="1">
      <c r="A180" s="1014" t="s">
        <v>526</v>
      </c>
      <c r="B180" s="857">
        <f>geral!G372</f>
        <v>200183</v>
      </c>
      <c r="C180" s="857">
        <f t="shared" si="89"/>
        <v>245.8948532121361</v>
      </c>
      <c r="D180" s="961">
        <f t="shared" si="90"/>
        <v>-0.91176834550179553</v>
      </c>
      <c r="E180" s="961">
        <f t="shared" si="91"/>
        <v>-5.1827116637063408</v>
      </c>
      <c r="F180" s="961">
        <f t="shared" si="92"/>
        <v>-5.1827116637063302</v>
      </c>
      <c r="G180" s="962">
        <f t="shared" si="93"/>
        <v>-4.4849826619795756</v>
      </c>
      <c r="H180" s="1023">
        <f t="shared" si="59"/>
        <v>1.5177812301743905</v>
      </c>
    </row>
    <row r="181" spans="1:8" ht="16.5" customHeight="1">
      <c r="A181" s="1014" t="s">
        <v>527</v>
      </c>
      <c r="B181" s="857">
        <f>geral!G373</f>
        <v>201845</v>
      </c>
      <c r="C181" s="857">
        <f t="shared" si="89"/>
        <v>247.93637145313843</v>
      </c>
      <c r="D181" s="961">
        <f t="shared" si="90"/>
        <v>0.83024033009795328</v>
      </c>
      <c r="E181" s="961">
        <f t="shared" si="91"/>
        <v>-4.3955002960331608</v>
      </c>
      <c r="F181" s="961">
        <f t="shared" si="92"/>
        <v>-4.3955002960331502</v>
      </c>
      <c r="G181" s="962">
        <f t="shared" si="93"/>
        <v>-3.6919784667392763</v>
      </c>
      <c r="H181" s="1023">
        <f t="shared" si="59"/>
        <v>1.5052837573385518</v>
      </c>
    </row>
    <row r="182" spans="1:8" ht="16.5" customHeight="1">
      <c r="A182" s="1014" t="s">
        <v>528</v>
      </c>
      <c r="B182" s="857">
        <f>geral!G374</f>
        <v>201150</v>
      </c>
      <c r="C182" s="857">
        <f t="shared" si="89"/>
        <v>247.082667976907</v>
      </c>
      <c r="D182" s="961">
        <f t="shared" si="90"/>
        <v>-0.34432361465480676</v>
      </c>
      <c r="E182" s="961">
        <f t="shared" si="91"/>
        <v>-4.7246891651865131</v>
      </c>
      <c r="F182" s="961">
        <f t="shared" si="92"/>
        <v>-4.7246891651865024</v>
      </c>
      <c r="G182" s="962">
        <f t="shared" si="93"/>
        <v>-4.0235897276851285</v>
      </c>
      <c r="H182" s="1023">
        <f t="shared" si="59"/>
        <v>1.5104847129008203</v>
      </c>
    </row>
    <row r="183" spans="1:8" ht="16.5" customHeight="1">
      <c r="A183" s="1014" t="s">
        <v>529</v>
      </c>
      <c r="B183" s="857">
        <f>geral!G375</f>
        <v>199300</v>
      </c>
      <c r="C183" s="857">
        <f t="shared" si="89"/>
        <v>244.81021987470828</v>
      </c>
      <c r="D183" s="961">
        <f t="shared" si="90"/>
        <v>-0.91971165796669307</v>
      </c>
      <c r="E183" s="961">
        <f t="shared" si="91"/>
        <v>-5.6009473060982806</v>
      </c>
      <c r="F183" s="961">
        <f t="shared" si="92"/>
        <v>-5.6009473060982806</v>
      </c>
      <c r="G183" s="962">
        <f t="shared" si="93"/>
        <v>-5.6379323201918519</v>
      </c>
      <c r="H183" s="1023">
        <f t="shared" si="59"/>
        <v>1.524505770195685</v>
      </c>
    </row>
    <row r="184" spans="1:8" ht="16.5" customHeight="1">
      <c r="A184" s="1014" t="s">
        <v>530</v>
      </c>
      <c r="B184" s="857">
        <f>geral!G376</f>
        <v>197266</v>
      </c>
      <c r="C184" s="857">
        <f t="shared" si="89"/>
        <v>242.31175531261516</v>
      </c>
      <c r="D184" s="961">
        <f t="shared" si="90"/>
        <v>-1.0205720020070252</v>
      </c>
      <c r="E184" s="961">
        <f t="shared" si="91"/>
        <v>-6.5643576080521076</v>
      </c>
      <c r="F184" s="961">
        <f t="shared" si="92"/>
        <v>-6.5643576080521076</v>
      </c>
      <c r="G184" s="962">
        <f t="shared" si="93"/>
        <v>-6.600965163446892</v>
      </c>
      <c r="H184" s="1023">
        <f t="shared" si="59"/>
        <v>1.5402248740279623</v>
      </c>
    </row>
    <row r="185" spans="1:8" ht="16.5" customHeight="1">
      <c r="A185" s="1014" t="s">
        <v>531</v>
      </c>
      <c r="B185" s="857">
        <f>geral!I365</f>
        <v>195600</v>
      </c>
      <c r="C185" s="857">
        <f t="shared" ref="C185:C190" si="94">100*B185/$B$8</f>
        <v>240.26532367031078</v>
      </c>
      <c r="D185" s="961">
        <f t="shared" ref="D185:D190" si="95">100*((B185/B184)-1)</f>
        <v>-0.84454492918191182</v>
      </c>
      <c r="E185" s="961">
        <f t="shared" ref="E185:E190" si="96">100*((C185/$C$184)-1)</f>
        <v>-0.84454492918191182</v>
      </c>
      <c r="F185" s="961">
        <f t="shared" ref="F185:F190" si="97">100*((B185/B173)-1)</f>
        <v>-6.9468726585078633</v>
      </c>
      <c r="G185" s="962">
        <f t="shared" ref="G185:G190" si="98">100*(B185/B161-1)</f>
        <v>-7.5211192024878475</v>
      </c>
      <c r="H185" s="1023">
        <f t="shared" si="59"/>
        <v>1.5533435582822086</v>
      </c>
    </row>
    <row r="186" spans="1:8" ht="16.5" customHeight="1">
      <c r="A186" s="1014" t="s">
        <v>649</v>
      </c>
      <c r="B186" s="857">
        <f>geral!I366</f>
        <v>200250</v>
      </c>
      <c r="C186" s="857">
        <f t="shared" si="94"/>
        <v>245.97715268394546</v>
      </c>
      <c r="D186" s="961">
        <f t="shared" si="95"/>
        <v>2.3773006134969243</v>
      </c>
      <c r="E186" s="961">
        <f t="shared" si="96"/>
        <v>1.5126783125323229</v>
      </c>
      <c r="F186" s="961">
        <f t="shared" si="97"/>
        <v>-4.7347200913404937</v>
      </c>
      <c r="G186" s="962">
        <f t="shared" si="98"/>
        <v>-4.4188102826745119</v>
      </c>
      <c r="H186" s="1023">
        <f t="shared" si="59"/>
        <v>1.5172734082397004</v>
      </c>
    </row>
    <row r="187" spans="1:8" ht="16.5" customHeight="1">
      <c r="A187" s="1014" t="s">
        <v>650</v>
      </c>
      <c r="B187" s="857">
        <f>geral!I367</f>
        <v>202463</v>
      </c>
      <c r="C187" s="857">
        <f t="shared" si="94"/>
        <v>248.69549195430537</v>
      </c>
      <c r="D187" s="961">
        <f t="shared" si="95"/>
        <v>1.1051186017478232</v>
      </c>
      <c r="E187" s="961">
        <f t="shared" si="96"/>
        <v>2.6345138036965254</v>
      </c>
      <c r="F187" s="961">
        <f t="shared" si="97"/>
        <v>-3.6819257620627766</v>
      </c>
      <c r="G187" s="962">
        <f t="shared" si="98"/>
        <v>-3.3625247753364729</v>
      </c>
      <c r="H187" s="1023">
        <f t="shared" si="59"/>
        <v>1.5006890147829479</v>
      </c>
    </row>
    <row r="188" spans="1:8" ht="16.5" customHeight="1">
      <c r="A188" s="1014" t="s">
        <v>652</v>
      </c>
      <c r="B188" s="857">
        <f>geral!I368</f>
        <v>203470</v>
      </c>
      <c r="C188" s="857">
        <f t="shared" si="94"/>
        <v>249.93244073209681</v>
      </c>
      <c r="D188" s="961">
        <f t="shared" si="95"/>
        <v>0.49737482898108976</v>
      </c>
      <c r="E188" s="961">
        <f t="shared" si="96"/>
        <v>3.1449920412032428</v>
      </c>
      <c r="F188" s="961">
        <f t="shared" si="97"/>
        <v>-1.435332529198341</v>
      </c>
      <c r="G188" s="962">
        <f t="shared" si="98"/>
        <v>-3.2398045013202426</v>
      </c>
      <c r="H188" s="1023">
        <f t="shared" si="59"/>
        <v>1.4932619059320784</v>
      </c>
    </row>
    <row r="189" spans="1:8" ht="16.5" customHeight="1">
      <c r="A189" s="1014" t="s">
        <v>653</v>
      </c>
      <c r="B189" s="857">
        <f>geral!I369</f>
        <v>199609</v>
      </c>
      <c r="C189" s="857">
        <f t="shared" si="94"/>
        <v>245.18978012529172</v>
      </c>
      <c r="D189" s="961">
        <f t="shared" si="95"/>
        <v>-1.8975770383840351</v>
      </c>
      <c r="E189" s="961">
        <f t="shared" si="96"/>
        <v>1.1877363559863241</v>
      </c>
      <c r="F189" s="961">
        <f t="shared" si="97"/>
        <v>-2.1332614238085856</v>
      </c>
      <c r="G189" s="962">
        <f t="shared" si="98"/>
        <v>-4.7247655516323377</v>
      </c>
      <c r="H189" s="1023">
        <f t="shared" si="59"/>
        <v>1.5221457950292823</v>
      </c>
    </row>
    <row r="190" spans="1:8" ht="15.75" customHeight="1">
      <c r="A190" s="1014" t="s">
        <v>654</v>
      </c>
      <c r="B190" s="857">
        <f>geral!I370</f>
        <v>203266</v>
      </c>
      <c r="C190" s="857">
        <f t="shared" si="94"/>
        <v>249.68185726569217</v>
      </c>
      <c r="D190" s="961">
        <f t="shared" si="95"/>
        <v>1.8320817197621242</v>
      </c>
      <c r="E190" s="961">
        <f t="shared" si="96"/>
        <v>3.0415783764054627</v>
      </c>
      <c r="F190" s="961">
        <f t="shared" si="97"/>
        <v>3.2480314960636747E-2</v>
      </c>
      <c r="G190" s="962">
        <f t="shared" si="98"/>
        <v>-2.9792453978432776</v>
      </c>
      <c r="H190" s="1023">
        <f t="shared" si="59"/>
        <v>1.494760560054313</v>
      </c>
    </row>
    <row r="191" spans="1:8" ht="16.5" customHeight="1">
      <c r="A191" s="1014" t="s">
        <v>657</v>
      </c>
      <c r="B191" s="857">
        <f>geral!I371</f>
        <v>201162</v>
      </c>
      <c r="C191" s="857">
        <f t="shared" ref="C191:C196" si="99">100*B191/$B$8</f>
        <v>247.09740818081318</v>
      </c>
      <c r="D191" s="961">
        <f t="shared" ref="D191:D196" si="100">100*((B191/B190)-1)</f>
        <v>-1.035096868143226</v>
      </c>
      <c r="E191" s="961">
        <f t="shared" ref="E191:E196" si="101">100*((C191/$C$184)-1)</f>
        <v>1.9749982257459386</v>
      </c>
      <c r="F191" s="961">
        <f t="shared" ref="F191:F196" si="102">100*((B191/B179)-1)</f>
        <v>-0.42717485459720095</v>
      </c>
      <c r="G191" s="962">
        <f t="shared" ref="G191:G196" si="103">100*(B191/B167-1)</f>
        <v>-4.4928189910979244</v>
      </c>
      <c r="H191" s="1023">
        <f t="shared" si="59"/>
        <v>1.5103946073314045</v>
      </c>
    </row>
    <row r="192" spans="1:8" ht="16.5" customHeight="1">
      <c r="A192" s="1014" t="str">
        <f>DAT!A262</f>
        <v>AGOSTO|15</v>
      </c>
      <c r="B192" s="857">
        <f>geral!I372</f>
        <v>199194</v>
      </c>
      <c r="C192" s="857">
        <f t="shared" si="99"/>
        <v>244.68001474020392</v>
      </c>
      <c r="D192" s="961">
        <f t="shared" si="100"/>
        <v>-0.97831598413219423</v>
      </c>
      <c r="E192" s="961">
        <f t="shared" si="101"/>
        <v>0.97736051828496429</v>
      </c>
      <c r="F192" s="961">
        <f t="shared" si="102"/>
        <v>-0.49404794612929459</v>
      </c>
      <c r="G192" s="962">
        <f t="shared" si="103"/>
        <v>-5.6511545293072789</v>
      </c>
      <c r="H192" s="1023">
        <f t="shared" si="59"/>
        <v>1.5253170276213139</v>
      </c>
    </row>
    <row r="193" spans="1:8" ht="16.5" customHeight="1">
      <c r="A193" s="1032" t="str">
        <f>DAT!A263</f>
        <v>SETEMBRO|15</v>
      </c>
      <c r="B193" s="918">
        <f>geral!I373</f>
        <v>197894</v>
      </c>
      <c r="C193" s="918">
        <f t="shared" si="99"/>
        <v>243.08315931703723</v>
      </c>
      <c r="D193" s="1036">
        <f t="shared" si="100"/>
        <v>-0.65263009930017768</v>
      </c>
      <c r="E193" s="1036">
        <f t="shared" si="101"/>
        <v>0.31835187006377108</v>
      </c>
      <c r="F193" s="1036">
        <f t="shared" si="102"/>
        <v>-1.9574425920879879</v>
      </c>
      <c r="G193" s="1077">
        <f t="shared" si="103"/>
        <v>-6.2669034931912337</v>
      </c>
      <c r="H193" s="1023">
        <f t="shared" si="59"/>
        <v>1.5353370996594136</v>
      </c>
    </row>
    <row r="194" spans="1:8" ht="16.5" customHeight="1">
      <c r="A194" s="1032" t="str">
        <f>DAT!A264</f>
        <v>OUTUBRO|15</v>
      </c>
      <c r="B194" s="918">
        <f>geral!I374</f>
        <v>197894</v>
      </c>
      <c r="C194" s="918">
        <f t="shared" si="99"/>
        <v>243.08315931703723</v>
      </c>
      <c r="D194" s="1036">
        <f t="shared" si="100"/>
        <v>0</v>
      </c>
      <c r="E194" s="1036">
        <f t="shared" si="101"/>
        <v>0.31835187006377108</v>
      </c>
      <c r="F194" s="1036">
        <f t="shared" si="102"/>
        <v>-1.6186925180213807</v>
      </c>
      <c r="G194" s="1077">
        <f t="shared" si="103"/>
        <v>-6.2669034931912337</v>
      </c>
      <c r="H194" s="1023">
        <f t="shared" si="59"/>
        <v>1.5353370996594136</v>
      </c>
    </row>
    <row r="195" spans="1:8" ht="16.5" customHeight="1">
      <c r="A195" s="1032" t="str">
        <f>DAT!A265</f>
        <v>NOVEMBRO|15</v>
      </c>
      <c r="B195" s="918">
        <f>geral!I375</f>
        <v>190000</v>
      </c>
      <c r="C195" s="918">
        <f t="shared" si="99"/>
        <v>233.38656184743888</v>
      </c>
      <c r="D195" s="1036">
        <f t="shared" si="100"/>
        <v>-3.9890042143773896</v>
      </c>
      <c r="E195" s="1036">
        <f t="shared" si="101"/>
        <v>-3.6833514138270185</v>
      </c>
      <c r="F195" s="1036">
        <f t="shared" si="102"/>
        <v>-4.6663321625689864</v>
      </c>
      <c r="G195" s="1077">
        <f t="shared" si="103"/>
        <v>-10.005920663114265</v>
      </c>
      <c r="H195" s="1023">
        <f t="shared" si="59"/>
        <v>1.5991263157894737</v>
      </c>
    </row>
    <row r="196" spans="1:8" ht="16.5" customHeight="1">
      <c r="A196" s="1032" t="str">
        <f>DAT!A266</f>
        <v>DEZEMBRO|15</v>
      </c>
      <c r="B196" s="918">
        <f>geral!I376</f>
        <v>190710</v>
      </c>
      <c r="C196" s="918">
        <f t="shared" si="99"/>
        <v>234.258690578553</v>
      </c>
      <c r="D196" s="1036">
        <f t="shared" si="100"/>
        <v>0.37368421052632605</v>
      </c>
      <c r="E196" s="1036">
        <f t="shared" si="101"/>
        <v>-3.3234313059523735</v>
      </c>
      <c r="F196" s="1036">
        <f t="shared" si="102"/>
        <v>-3.3234313059523735</v>
      </c>
      <c r="G196" s="1077">
        <f t="shared" si="103"/>
        <v>-9.6696269982238015</v>
      </c>
      <c r="H196" s="1023">
        <f t="shared" si="59"/>
        <v>1.5931728802894447</v>
      </c>
    </row>
    <row r="197" spans="1:8" ht="16.5" customHeight="1">
      <c r="A197" s="1032" t="str">
        <f>DAT!A267</f>
        <v>JANEIRO|16</v>
      </c>
      <c r="B197" s="918">
        <f>geral!K365</f>
        <v>194120</v>
      </c>
      <c r="C197" s="918">
        <f t="shared" ref="C197" si="104">100*B197/$B$8</f>
        <v>238.44736518855177</v>
      </c>
      <c r="D197" s="1036">
        <f t="shared" ref="D197" si="105">100*((B197/B196)-1)</f>
        <v>1.7880551622882823</v>
      </c>
      <c r="E197" s="1036">
        <f t="shared" ref="E197:E202" si="106">100*((C197/$C$196)-1)</f>
        <v>1.7880551622882823</v>
      </c>
      <c r="F197" s="1036">
        <f t="shared" ref="F197" si="107">100*((B197/B185)-1)</f>
        <v>-0.75664621676891919</v>
      </c>
      <c r="G197" s="1077">
        <f t="shared" ref="G197" si="108">100*(B197/B173-1)</f>
        <v>-7.6509556261224247</v>
      </c>
      <c r="H197" s="1023">
        <f t="shared" si="59"/>
        <v>1.5651864825880899</v>
      </c>
    </row>
    <row r="198" spans="1:8" ht="16.5" customHeight="1">
      <c r="A198" s="1032" t="str">
        <f>DAT!A268</f>
        <v>FEVEREIRO|16</v>
      </c>
      <c r="B198" s="918">
        <f>geral!K366</f>
        <v>192650</v>
      </c>
      <c r="C198" s="918">
        <f t="shared" ref="C198" si="109">100*B198/$B$8</f>
        <v>236.6416902100479</v>
      </c>
      <c r="D198" s="1036">
        <f t="shared" ref="D198" si="110">100*((B198/B197)-1)</f>
        <v>-0.75726354832063025</v>
      </c>
      <c r="E198" s="1036">
        <f t="shared" si="106"/>
        <v>1.0172513239997905</v>
      </c>
      <c r="F198" s="1036">
        <f t="shared" ref="F198" si="111">100*((B198/B186)-1)</f>
        <v>-3.7952559300873934</v>
      </c>
      <c r="G198" s="1077">
        <f t="shared" ref="G198" si="112">100*(B198/B174-1)</f>
        <v>-8.3502812763882499</v>
      </c>
      <c r="H198" s="1023">
        <f t="shared" si="59"/>
        <v>1.5771295094731379</v>
      </c>
    </row>
    <row r="199" spans="1:8" ht="16.5" customHeight="1">
      <c r="A199" s="1032" t="str">
        <f>DAT!A269</f>
        <v>MARÇO|16</v>
      </c>
      <c r="B199" s="918">
        <f>geral!K367</f>
        <v>194510</v>
      </c>
      <c r="C199" s="918">
        <f t="shared" ref="C199" si="113">100*B199/$B$8</f>
        <v>238.92642181550178</v>
      </c>
      <c r="D199" s="1036">
        <f t="shared" ref="D199" si="114">100*((B199/B198)-1)</f>
        <v>0.96548144303141292</v>
      </c>
      <c r="E199" s="1036">
        <f t="shared" si="106"/>
        <v>1.992554139793401</v>
      </c>
      <c r="F199" s="1036">
        <f t="shared" ref="F199" si="115">100*((B199/B187)-1)</f>
        <v>-3.9281251389142735</v>
      </c>
      <c r="G199" s="1077">
        <f t="shared" ref="G199" si="116">100*(B199/B175-1)</f>
        <v>-7.4654202495212925</v>
      </c>
      <c r="H199" s="1023">
        <f t="shared" si="59"/>
        <v>1.5620482237417099</v>
      </c>
    </row>
    <row r="200" spans="1:8" ht="16.5" customHeight="1">
      <c r="A200" s="1032" t="str">
        <f>DAT!A270</f>
        <v>ABRIL|16</v>
      </c>
      <c r="B200" s="918">
        <f>geral!K368</f>
        <v>196014</v>
      </c>
      <c r="C200" s="918">
        <f t="shared" ref="C200" si="117">100*B200/$B$8</f>
        <v>240.77386070507308</v>
      </c>
      <c r="D200" s="1036">
        <f t="shared" ref="D200" si="118">100*((B200/B199)-1)</f>
        <v>0.77322502699090911</v>
      </c>
      <c r="E200" s="1036">
        <f t="shared" si="106"/>
        <v>2.781186094069521</v>
      </c>
      <c r="F200" s="1036">
        <f t="shared" ref="F200" si="119">100*((B200/B188)-1)</f>
        <v>-3.6644222735538357</v>
      </c>
      <c r="G200" s="1077">
        <f t="shared" ref="G200" si="120">100*(B200/B176-1)</f>
        <v>-5.047158157852671</v>
      </c>
      <c r="H200" s="1023">
        <f t="shared" si="59"/>
        <v>1.5500627506198537</v>
      </c>
    </row>
    <row r="201" spans="1:8" ht="16.5" customHeight="1">
      <c r="A201" s="1032" t="str">
        <f>DAT!A271</f>
        <v>MAIO|16</v>
      </c>
      <c r="B201" s="918">
        <f>geral!K369</f>
        <v>198125</v>
      </c>
      <c r="C201" s="918">
        <f t="shared" ref="C201" si="121">100*B201/$B$8</f>
        <v>243.36690824223069</v>
      </c>
      <c r="D201" s="1036">
        <f t="shared" ref="D201" si="122">100*((B201/B200)-1)</f>
        <v>1.0769638903343592</v>
      </c>
      <c r="E201" s="1036">
        <f t="shared" si="106"/>
        <v>3.8881023543600346</v>
      </c>
      <c r="F201" s="1036">
        <f t="shared" ref="F201" si="123">100*((B201/B189)-1)</f>
        <v>-0.74345345149767761</v>
      </c>
      <c r="G201" s="1077">
        <f t="shared" ref="G201" si="124">100*(B201/B177-1)</f>
        <v>-2.8608550696214929</v>
      </c>
      <c r="H201" s="1023">
        <f t="shared" si="59"/>
        <v>1.5335470031545742</v>
      </c>
    </row>
    <row r="202" spans="1:8" ht="16.5" customHeight="1">
      <c r="A202" s="1032" t="str">
        <f>DAT!A272</f>
        <v>JUNHO|16</v>
      </c>
      <c r="B202" s="918">
        <f>geral!K370</f>
        <v>199133</v>
      </c>
      <c r="C202" s="918">
        <f t="shared" ref="C202" si="125">100*B202/$B$8</f>
        <v>244.60508537034761</v>
      </c>
      <c r="D202" s="1036">
        <f t="shared" ref="D202" si="126">100*((B202/B201)-1)</f>
        <v>0.50876971608833088</v>
      </c>
      <c r="E202" s="1036">
        <f t="shared" si="106"/>
        <v>4.4166535577578436</v>
      </c>
      <c r="F202" s="1036">
        <f t="shared" ref="F202" si="127">100*((B202/B190)-1)</f>
        <v>-2.0332962718801917</v>
      </c>
      <c r="G202" s="1077">
        <f t="shared" ref="G202" si="128">100*(B202/B178-1)</f>
        <v>-2.00147637795276</v>
      </c>
      <c r="H202" s="1023">
        <f t="shared" si="59"/>
        <v>1.5257842748313941</v>
      </c>
    </row>
    <row r="203" spans="1:8" ht="16.5" customHeight="1">
      <c r="A203" s="1032" t="str">
        <f>DAT!A273</f>
        <v>JULHO|16</v>
      </c>
      <c r="B203" s="918">
        <f>geral!K371</f>
        <v>200160</v>
      </c>
      <c r="C203" s="918">
        <f t="shared" ref="C203" si="129">100*B203/$B$8</f>
        <v>245.86660115464932</v>
      </c>
      <c r="D203" s="1036">
        <f t="shared" ref="D203" si="130">100*((B203/B202)-1)</f>
        <v>0.51573571432157461</v>
      </c>
      <c r="E203" s="1036">
        <f t="shared" ref="E203" si="131">100*((C203/$C$196)-1)</f>
        <v>4.955167531854654</v>
      </c>
      <c r="F203" s="1036">
        <f t="shared" ref="F203" si="132">100*((B203/B191)-1)</f>
        <v>-0.49810600411608341</v>
      </c>
      <c r="G203" s="1077">
        <f t="shared" ref="G203" si="133">100*(B203/B179-1)</f>
        <v>-0.92315307511446898</v>
      </c>
      <c r="H203" s="1023">
        <f t="shared" ref="H203:H253" si="134">$B$253/B203</f>
        <v>1.5179556354916066</v>
      </c>
    </row>
    <row r="204" spans="1:8" ht="16.5" customHeight="1">
      <c r="A204" s="1032" t="str">
        <f>DAT!A274</f>
        <v>AGOSTO|16</v>
      </c>
      <c r="B204" s="918">
        <f>geral!K372</f>
        <v>201180</v>
      </c>
      <c r="C204" s="918">
        <f t="shared" ref="C204" si="135">100*B204/$B$8</f>
        <v>247.1195184866724</v>
      </c>
      <c r="D204" s="1036">
        <f t="shared" ref="D204" si="136">100*((B204/B203)-1)</f>
        <v>0.50959232613909666</v>
      </c>
      <c r="E204" s="1036">
        <f t="shared" ref="E204" si="137">100*((C204/$C$196)-1)</f>
        <v>5.4900110114834089</v>
      </c>
      <c r="F204" s="1036">
        <f t="shared" ref="F204" si="138">100*((B204/B192)-1)</f>
        <v>0.99701798246936146</v>
      </c>
      <c r="G204" s="1077">
        <f t="shared" ref="G204" si="139">100*(B204/B180-1)</f>
        <v>0.49804428947513024</v>
      </c>
      <c r="H204" s="1023">
        <f t="shared" si="134"/>
        <v>1.5102594691321205</v>
      </c>
    </row>
    <row r="205" spans="1:8" ht="16.5" customHeight="1">
      <c r="A205" s="1032" t="str">
        <f>DAT!A275</f>
        <v>SETEMBRO|16</v>
      </c>
      <c r="B205" s="918">
        <f>geral!K373</f>
        <v>201020</v>
      </c>
      <c r="C205" s="918">
        <f t="shared" ref="C205" si="140">100*B205/$B$8</f>
        <v>246.92298243459035</v>
      </c>
      <c r="D205" s="1036">
        <f t="shared" ref="D205" si="141">100*((B205/B204)-1)</f>
        <v>-7.9530768466051782E-2</v>
      </c>
      <c r="E205" s="1036">
        <f t="shared" ref="E205" si="142">100*((C205/$C$196)-1)</f>
        <v>5.4061139950710491</v>
      </c>
      <c r="F205" s="1036">
        <f t="shared" ref="F205" si="143">100*((B205/B193)-1)</f>
        <v>1.5796335411887075</v>
      </c>
      <c r="G205" s="1077">
        <f t="shared" ref="G205" si="144">100*(B205/B181-1)</f>
        <v>-0.40872947063340659</v>
      </c>
      <c r="H205" s="1023">
        <f t="shared" si="134"/>
        <v>1.5114615461148144</v>
      </c>
    </row>
    <row r="206" spans="1:8" ht="16.5" customHeight="1">
      <c r="A206" s="1032" t="str">
        <f>DAT!A276</f>
        <v>OUTUBRO|16</v>
      </c>
      <c r="B206" s="918">
        <f>geral!K374</f>
        <v>202114</v>
      </c>
      <c r="C206" s="918">
        <f t="shared" ref="C206" si="145">100*B206/$B$8</f>
        <v>248.2667976907014</v>
      </c>
      <c r="D206" s="1036">
        <f t="shared" ref="D206" si="146">100*((B206/B205)-1)</f>
        <v>0.54422445527808616</v>
      </c>
      <c r="E206" s="1036">
        <f t="shared" ref="E206" si="147">100*((C206/$C$196)-1)</f>
        <v>5.9797598447905331</v>
      </c>
      <c r="F206" s="1036">
        <f t="shared" ref="F206" si="148">100*((B206/B194)-1)</f>
        <v>2.132454748501722</v>
      </c>
      <c r="G206" s="1077">
        <f t="shared" ref="G206" si="149">100*(B206/B182-1)</f>
        <v>0.47924434501616098</v>
      </c>
      <c r="H206" s="1023">
        <f t="shared" si="134"/>
        <v>1.5032803269441999</v>
      </c>
    </row>
    <row r="207" spans="1:8" ht="16.5" customHeight="1">
      <c r="A207" s="1032" t="str">
        <f>DAT!A277</f>
        <v>NOVEMBRO|16</v>
      </c>
      <c r="B207" s="918">
        <f>geral!K375</f>
        <v>202675</v>
      </c>
      <c r="C207" s="918">
        <f t="shared" ref="C207" si="150">100*B207/$B$8</f>
        <v>248.9559022233141</v>
      </c>
      <c r="D207" s="1036">
        <f t="shared" ref="D207" si="151">100*((B207/B206)-1)</f>
        <v>0.27756612604767916</v>
      </c>
      <c r="E207" s="1036">
        <f t="shared" ref="E207" si="152">100*((C207/$C$196)-1)</f>
        <v>6.2739237585863306</v>
      </c>
      <c r="F207" s="1036">
        <f t="shared" ref="F207" si="153">100*((B207/B195)-1)</f>
        <v>6.6710526315789442</v>
      </c>
      <c r="G207" s="1077">
        <f t="shared" ref="G207" si="154">100*(B207/B183-1)</f>
        <v>1.6934269944806735</v>
      </c>
      <c r="H207" s="1023">
        <f t="shared" si="134"/>
        <v>1.4991192796348833</v>
      </c>
    </row>
    <row r="208" spans="1:8" ht="16.5" customHeight="1">
      <c r="A208" s="1032" t="str">
        <f>DAT!A278</f>
        <v>DEZEMBRO|16</v>
      </c>
      <c r="B208" s="918">
        <f>geral!K376</f>
        <v>204399</v>
      </c>
      <c r="C208" s="918">
        <f t="shared" ref="C208" si="155">100*B208/$B$8</f>
        <v>251.07357818449822</v>
      </c>
      <c r="D208" s="1036">
        <f t="shared" ref="D208" si="156">100*((B208/B207)-1)</f>
        <v>0.85062291846551563</v>
      </c>
      <c r="E208" s="1036">
        <f t="shared" ref="E208" si="157">100*((C208/$C$196)-1)</f>
        <v>7.1779141104294508</v>
      </c>
      <c r="F208" s="1036">
        <f t="shared" ref="F208" si="158">100*((B208/B196)-1)</f>
        <v>7.1779141104294508</v>
      </c>
      <c r="G208" s="1077">
        <f t="shared" ref="G208" si="159">100*(B208/B184-1)</f>
        <v>3.6159297598167051</v>
      </c>
      <c r="H208" s="1023">
        <f t="shared" si="134"/>
        <v>1.4864749827543187</v>
      </c>
    </row>
    <row r="209" spans="1:8" ht="16.5" customHeight="1">
      <c r="A209" s="1032" t="str">
        <f>DAT!A279</f>
        <v>JANEIRO|17</v>
      </c>
      <c r="B209" s="918">
        <f>geral!M365</f>
        <v>203666</v>
      </c>
      <c r="C209" s="918">
        <f t="shared" ref="C209" si="160">100*B209/$B$8</f>
        <v>250.17319739589732</v>
      </c>
      <c r="D209" s="1036">
        <f t="shared" ref="D209" si="161">100*((B209/B208)-1)</f>
        <v>-0.35861232197809123</v>
      </c>
      <c r="E209" s="1036">
        <f t="shared" ref="E209:E214" si="162">100*((C209/$C$208)-1)</f>
        <v>-0.35861232197809123</v>
      </c>
      <c r="F209" s="1036">
        <f t="shared" ref="F209" si="163">100*((B209/B197)-1)</f>
        <v>4.9175767566453699</v>
      </c>
      <c r="G209" s="1077">
        <f t="shared" ref="G209" si="164">100*(B209/B185-1)</f>
        <v>4.1237218813905852</v>
      </c>
      <c r="H209" s="1023">
        <f t="shared" si="134"/>
        <v>1.4918248504905089</v>
      </c>
    </row>
    <row r="210" spans="1:8" ht="16.5" customHeight="1">
      <c r="A210" s="1032" t="str">
        <f>DAT!A280</f>
        <v>FEVEREIRO|17</v>
      </c>
      <c r="B210" s="918">
        <f>geral!M366</f>
        <v>204390</v>
      </c>
      <c r="C210" s="918">
        <f t="shared" ref="C210" si="165">100*B210/$B$8</f>
        <v>251.06252303156862</v>
      </c>
      <c r="D210" s="1036">
        <f t="shared" ref="D210" si="166">100*((B210/B209)-1)</f>
        <v>0.35548397867095627</v>
      </c>
      <c r="E210" s="1036">
        <f t="shared" si="162"/>
        <v>-4.403152657295184E-3</v>
      </c>
      <c r="F210" s="1036">
        <f t="shared" ref="F210" si="167">100*((B210/B198)-1)</f>
        <v>6.0939527640799351</v>
      </c>
      <c r="G210" s="1077">
        <f t="shared" ref="G210" si="168">100*(B210/B186-1)</f>
        <v>2.0674157303370855</v>
      </c>
      <c r="H210" s="1023">
        <f t="shared" si="134"/>
        <v>1.48654043739909</v>
      </c>
    </row>
    <row r="211" spans="1:8" ht="16.5" customHeight="1">
      <c r="A211" s="1032" t="str">
        <f>DAT!A281</f>
        <v>MARÇO|17</v>
      </c>
      <c r="B211" s="918">
        <f>geral!M367</f>
        <v>203666</v>
      </c>
      <c r="C211" s="918">
        <f t="shared" ref="C211" si="169">100*B211/$B$8</f>
        <v>250.17319739589732</v>
      </c>
      <c r="D211" s="1036">
        <f t="shared" ref="D211" si="170">100*((B211/B210)-1)</f>
        <v>-0.35422476637799738</v>
      </c>
      <c r="E211" s="1036">
        <f t="shared" si="162"/>
        <v>-0.35861232197809123</v>
      </c>
      <c r="F211" s="1036">
        <f t="shared" ref="F211" si="171">100*((B211/B199)-1)</f>
        <v>4.7072129967610898</v>
      </c>
      <c r="G211" s="1077">
        <f t="shared" ref="G211" si="172">100*(B211/B187-1)</f>
        <v>0.59418264077881755</v>
      </c>
      <c r="H211" s="1023">
        <f t="shared" si="134"/>
        <v>1.4918248504905089</v>
      </c>
    </row>
    <row r="212" spans="1:8" ht="16.5" customHeight="1">
      <c r="A212" s="1032" t="str">
        <f>DAT!A282</f>
        <v>ABRIL|17</v>
      </c>
      <c r="B212" s="918">
        <f>geral!M368</f>
        <v>202944</v>
      </c>
      <c r="C212" s="918">
        <f t="shared" ref="C212" si="173">100*B212/$B$8</f>
        <v>249.28632846087703</v>
      </c>
      <c r="D212" s="1036">
        <f t="shared" ref="D212" si="174">100*((B212/B211)-1)</f>
        <v>-0.35450197872988198</v>
      </c>
      <c r="E212" s="1036">
        <f t="shared" si="162"/>
        <v>-0.71184301293059082</v>
      </c>
      <c r="F212" s="1036">
        <f t="shared" ref="F212" si="175">100*((B212/B200)-1)</f>
        <v>3.5354617527319387</v>
      </c>
      <c r="G212" s="1077">
        <f t="shared" ref="G212" si="176">100*(B212/B188-1)</f>
        <v>-0.25851476876197488</v>
      </c>
      <c r="H212" s="1023">
        <f t="shared" si="134"/>
        <v>1.4971322138126775</v>
      </c>
    </row>
    <row r="213" spans="1:8" ht="16.5" customHeight="1">
      <c r="A213" s="1032" t="str">
        <f>DAT!A283</f>
        <v>MAIO|17</v>
      </c>
      <c r="B213" s="918">
        <f>geral!M369</f>
        <v>202705</v>
      </c>
      <c r="C213" s="918">
        <f t="shared" ref="C213" si="177">100*B213/$B$8</f>
        <v>248.99275273307947</v>
      </c>
      <c r="D213" s="1036">
        <f t="shared" ref="D213" si="178">100*((B213/B212)-1)</f>
        <v>-0.11776647745190827</v>
      </c>
      <c r="E213" s="1036">
        <f t="shared" si="162"/>
        <v>-0.82877117794118993</v>
      </c>
      <c r="F213" s="1036">
        <f t="shared" ref="F213" si="179">100*((B213/B201)-1)</f>
        <v>2.3116719242902262</v>
      </c>
      <c r="G213" s="1077">
        <f t="shared" ref="G213" si="180">100*(B213/B189-1)</f>
        <v>1.5510322680841071</v>
      </c>
      <c r="H213" s="1023">
        <f t="shared" si="134"/>
        <v>1.4988974124959917</v>
      </c>
    </row>
    <row r="214" spans="1:8" ht="16.5" customHeight="1">
      <c r="A214" s="1032" t="str">
        <f>DAT!A284</f>
        <v>JUNHO|17</v>
      </c>
      <c r="B214" s="918">
        <f>geral!M370</f>
        <v>202462</v>
      </c>
      <c r="C214" s="918">
        <f t="shared" ref="C214" si="181">100*B214/$B$8</f>
        <v>248.69426360397986</v>
      </c>
      <c r="D214" s="1036">
        <f t="shared" ref="D214" si="182">100*((B214/B213)-1)</f>
        <v>-0.11987864137539272</v>
      </c>
      <c r="E214" s="1036">
        <f t="shared" si="162"/>
        <v>-0.94765629968834864</v>
      </c>
      <c r="F214" s="1036">
        <f t="shared" ref="F214" si="183">100*((B214/B202)-1)</f>
        <v>1.671747023346204</v>
      </c>
      <c r="G214" s="1077">
        <f t="shared" ref="G214" si="184">100*(B214/B190-1)</f>
        <v>-0.39554081843495847</v>
      </c>
      <c r="H214" s="1023">
        <f t="shared" si="134"/>
        <v>1.500696426983829</v>
      </c>
    </row>
    <row r="215" spans="1:8" ht="16.5" customHeight="1">
      <c r="A215" s="1032" t="str">
        <f>DAT!A285</f>
        <v>JULHO|17</v>
      </c>
      <c r="B215" s="918">
        <f>geral!M371</f>
        <v>235642</v>
      </c>
      <c r="C215" s="918">
        <f t="shared" ref="C215" si="185">100*B215/$B$8</f>
        <v>289.45092740449576</v>
      </c>
      <c r="D215" s="1036">
        <f t="shared" ref="D215" si="186">100*((B215/B214)-1)</f>
        <v>16.388260513083928</v>
      </c>
      <c r="E215" s="1036">
        <f t="shared" ref="E215" si="187">100*((C215/$C$208)-1)</f>
        <v>15.285299830234012</v>
      </c>
      <c r="F215" s="1036">
        <f t="shared" ref="F215" si="188">100*((B215/B203)-1)</f>
        <v>17.726818545163869</v>
      </c>
      <c r="G215" s="1077">
        <f t="shared" ref="G215" si="189">100*(B215/B191-1)</f>
        <v>17.140414193535559</v>
      </c>
      <c r="H215" s="1023">
        <f t="shared" si="134"/>
        <v>1.2893881396355489</v>
      </c>
    </row>
    <row r="216" spans="1:8" ht="16.5" customHeight="1">
      <c r="A216" s="1032" t="str">
        <f>DAT!A286</f>
        <v>AGOSTO|17</v>
      </c>
      <c r="B216" s="918">
        <f>geral!M372</f>
        <v>237923</v>
      </c>
      <c r="C216" s="918">
        <f t="shared" ref="C216" si="190">100*B216/$B$8</f>
        <v>292.25279449699053</v>
      </c>
      <c r="D216" s="1036">
        <f t="shared" ref="D216" si="191">100*((B216/B215)-1)</f>
        <v>0.96799382113545995</v>
      </c>
      <c r="E216" s="1036">
        <f t="shared" ref="E216" si="192">100*((C216/$C$208)-1)</f>
        <v>16.401254409268141</v>
      </c>
      <c r="F216" s="1036">
        <f t="shared" ref="F216" si="193">100*((B216/B204)-1)</f>
        <v>18.263743910925534</v>
      </c>
      <c r="G216" s="1077">
        <f t="shared" ref="G216" si="194">100*(B216/B192-1)</f>
        <v>19.442854704458966</v>
      </c>
      <c r="H216" s="1023">
        <f t="shared" si="134"/>
        <v>1.2770266010431945</v>
      </c>
    </row>
    <row r="217" spans="1:8" ht="16.5" customHeight="1">
      <c r="A217" s="1032" t="str">
        <f>DAT!A287</f>
        <v>SETEMBRO|17</v>
      </c>
      <c r="B217" s="918">
        <f>geral!M373</f>
        <v>239536</v>
      </c>
      <c r="C217" s="918">
        <f t="shared" ref="C217" si="195">100*B217/$B$8</f>
        <v>294.23412357204273</v>
      </c>
      <c r="D217" s="1036">
        <f t="shared" ref="D217" si="196">100*((B217/B216)-1)</f>
        <v>0.67795042934057914</v>
      </c>
      <c r="E217" s="1036">
        <f t="shared" ref="E217" si="197">100*((C217/$C$208)-1)</f>
        <v>17.190397213293608</v>
      </c>
      <c r="F217" s="1036">
        <f t="shared" ref="F217" si="198">100*((B217/B205)-1)</f>
        <v>19.160282558949348</v>
      </c>
      <c r="G217" s="1077">
        <f t="shared" ref="G217" si="199">100*(B217/B193-1)</f>
        <v>21.042578350025764</v>
      </c>
      <c r="H217" s="1023">
        <f t="shared" si="134"/>
        <v>1.2684272927660143</v>
      </c>
    </row>
    <row r="218" spans="1:8" ht="16.5" customHeight="1">
      <c r="A218" s="1032" t="str">
        <f>DAT!A288</f>
        <v>OUTUBRO|17</v>
      </c>
      <c r="B218" s="918">
        <f>geral!M374</f>
        <v>239536</v>
      </c>
      <c r="C218" s="918">
        <f t="shared" ref="C218" si="200">100*B218/$B$8</f>
        <v>294.23412357204273</v>
      </c>
      <c r="D218" s="1036">
        <f t="shared" ref="D218" si="201">100*((B218/B217)-1)</f>
        <v>0</v>
      </c>
      <c r="E218" s="1036">
        <f t="shared" ref="E218" si="202">100*((C218/$C$208)-1)</f>
        <v>17.190397213293608</v>
      </c>
      <c r="F218" s="1036">
        <f t="shared" ref="F218" si="203">100*((B218/B206)-1)</f>
        <v>18.515293349297913</v>
      </c>
      <c r="G218" s="1077">
        <f t="shared" ref="G218" si="204">100*(B218/B194-1)</f>
        <v>21.042578350025764</v>
      </c>
      <c r="H218" s="1023">
        <f t="shared" si="134"/>
        <v>1.2684272927660143</v>
      </c>
    </row>
    <row r="219" spans="1:8" ht="16.5" customHeight="1">
      <c r="A219" s="1032" t="str">
        <f>DAT!A289</f>
        <v>NOVEMBRO|17</v>
      </c>
      <c r="B219" s="918">
        <f>geral!M375</f>
        <v>241260</v>
      </c>
      <c r="C219" s="918">
        <f t="shared" ref="C219" si="205">100*B219/$B$8</f>
        <v>296.35179953322688</v>
      </c>
      <c r="D219" s="1036">
        <f t="shared" ref="D219" si="206">100*((B219/B218)-1)</f>
        <v>0.71972480128248417</v>
      </c>
      <c r="E219" s="1036">
        <f t="shared" ref="E219" si="207">100*((C219/$C$208)-1)</f>
        <v>18.033845566759133</v>
      </c>
      <c r="F219" s="1036">
        <f t="shared" ref="F219" si="208">100*((B219/B207)-1)</f>
        <v>19.037868508696199</v>
      </c>
      <c r="G219" s="1077">
        <f t="shared" ref="G219" si="209">100*(B219/B195-1)</f>
        <v>26.978947368421057</v>
      </c>
      <c r="H219" s="1023">
        <f t="shared" si="134"/>
        <v>1.2593633424521264</v>
      </c>
    </row>
    <row r="220" spans="1:8" ht="16.5" customHeight="1">
      <c r="A220" s="1032" t="str">
        <f>DAT!A290</f>
        <v>DEZEMBRO|17</v>
      </c>
      <c r="B220" s="918">
        <f>geral!M376</f>
        <v>242360</v>
      </c>
      <c r="C220" s="918">
        <f t="shared" ref="C220" si="210">100*B220/$B$8</f>
        <v>297.70298489129101</v>
      </c>
      <c r="D220" s="1036">
        <f t="shared" ref="D220" si="211">100*((B220/B219)-1)</f>
        <v>0.45593965016994531</v>
      </c>
      <c r="E220" s="1036">
        <f t="shared" ref="E220" si="212">100*((C220/$C$208)-1)</f>
        <v>18.57200866931834</v>
      </c>
      <c r="F220" s="1036">
        <f t="shared" ref="F220" si="213">100*((B220/B208)-1)</f>
        <v>18.57200866931834</v>
      </c>
      <c r="G220" s="1077">
        <f t="shared" ref="G220" si="214">100*(B220/B196-1)</f>
        <v>27.083005610612965</v>
      </c>
      <c r="H220" s="1023">
        <f t="shared" si="134"/>
        <v>1.2536474665786432</v>
      </c>
    </row>
    <row r="221" spans="1:8" ht="16.5" customHeight="1">
      <c r="A221" s="1032" t="str">
        <f>DAT!A291</f>
        <v>JANEIRO|18</v>
      </c>
      <c r="B221" s="918">
        <f>geral!O365</f>
        <v>245168</v>
      </c>
      <c r="C221" s="918">
        <f t="shared" ref="C221" si="215">100*B221/$B$8</f>
        <v>301.15219260533104</v>
      </c>
      <c r="D221" s="1036">
        <f t="shared" ref="D221" si="216">100*((B221/B220)-1)</f>
        <v>1.158607030863168</v>
      </c>
      <c r="E221" s="1036">
        <f t="shared" ref="E221:E226" si="217">100*((C221/$C$220)-1)</f>
        <v>1.158607030863168</v>
      </c>
      <c r="F221" s="1036">
        <f t="shared" ref="F221" si="218">100*((B221/B209)-1)</f>
        <v>20.377480777351153</v>
      </c>
      <c r="G221" s="1077">
        <f t="shared" ref="G221" si="219">100*(B221/B197-1)</f>
        <v>26.297135792293425</v>
      </c>
      <c r="H221" s="1023">
        <f t="shared" si="134"/>
        <v>1.2392889773543039</v>
      </c>
    </row>
    <row r="222" spans="1:8" ht="16.5" customHeight="1">
      <c r="A222" s="1032" t="str">
        <f>DAT!A292</f>
        <v>FEVEREIRO|18</v>
      </c>
      <c r="B222" s="918">
        <f>geral!O366</f>
        <v>244260</v>
      </c>
      <c r="C222" s="918">
        <f t="shared" ref="C222" si="220">100*B222/$B$8</f>
        <v>300.03685050976537</v>
      </c>
      <c r="D222" s="1036">
        <f t="shared" ref="D222" si="221">100*((B222/B221)-1)</f>
        <v>-0.37035828493114931</v>
      </c>
      <c r="E222" s="1036">
        <f t="shared" si="217"/>
        <v>0.78395774880342106</v>
      </c>
      <c r="F222" s="1036">
        <f t="shared" ref="F222" si="222">100*((B222/B210)-1)</f>
        <v>19.506825187142219</v>
      </c>
      <c r="G222" s="1077">
        <f t="shared" ref="G222" si="223">100*(B222/B198-1)</f>
        <v>26.789514663898252</v>
      </c>
      <c r="H222" s="1023">
        <f t="shared" si="134"/>
        <v>1.2438958486858265</v>
      </c>
    </row>
    <row r="223" spans="1:8" ht="16.5" customHeight="1">
      <c r="A223" s="1032" t="str">
        <f>DAT!A293</f>
        <v>MARÇO|18</v>
      </c>
      <c r="B223" s="918">
        <f>geral!O367</f>
        <v>242384</v>
      </c>
      <c r="C223" s="918">
        <f t="shared" ref="C223" si="224">100*B223/$B$8</f>
        <v>297.7324652991033</v>
      </c>
      <c r="D223" s="1036">
        <f t="shared" ref="D223" si="225">100*((B223/B222)-1)</f>
        <v>-0.76803406206501501</v>
      </c>
      <c r="E223" s="1036">
        <f t="shared" si="217"/>
        <v>9.9026241954014438E-3</v>
      </c>
      <c r="F223" s="1036">
        <f t="shared" ref="F223" si="226">100*((B223/B211)-1)</f>
        <v>19.0105368593678</v>
      </c>
      <c r="G223" s="1077">
        <f t="shared" ref="G223" si="227">100*(B223/B199-1)</f>
        <v>24.612616317927106</v>
      </c>
      <c r="H223" s="1023">
        <f t="shared" si="134"/>
        <v>1.253523334873589</v>
      </c>
    </row>
    <row r="224" spans="1:8" ht="16.5" customHeight="1">
      <c r="A224" s="1032" t="str">
        <f>DAT!A294</f>
        <v>ABRIL|18</v>
      </c>
      <c r="B224" s="918">
        <f>geral!O368</f>
        <v>240599</v>
      </c>
      <c r="C224" s="918">
        <f t="shared" ref="C224" si="228">100*B224/$B$8</f>
        <v>295.5398599680629</v>
      </c>
      <c r="D224" s="1036">
        <f t="shared" ref="D224" si="229">100*((B224/B223)-1)</f>
        <v>-0.73643474816819099</v>
      </c>
      <c r="E224" s="1036">
        <f t="shared" si="217"/>
        <v>-0.72660505033834699</v>
      </c>
      <c r="F224" s="1036">
        <f t="shared" ref="F224" si="230">100*((B224/B212)-1)</f>
        <v>18.554379533270261</v>
      </c>
      <c r="G224" s="1077">
        <f t="shared" ref="G224" si="231">100*(B224/B200-1)</f>
        <v>22.745824277857697</v>
      </c>
      <c r="H224" s="1023">
        <f t="shared" si="134"/>
        <v>1.2628232037539642</v>
      </c>
    </row>
    <row r="225" spans="1:8" ht="16.5" customHeight="1">
      <c r="A225" s="1032" t="str">
        <f>DAT!A295</f>
        <v>MAIO|18</v>
      </c>
      <c r="B225" s="918">
        <f>geral!O369</f>
        <v>240878</v>
      </c>
      <c r="C225" s="918">
        <f t="shared" ref="C225" si="232">100*B225/$B$8</f>
        <v>295.88256970888096</v>
      </c>
      <c r="D225" s="1036">
        <f t="shared" ref="D225" si="233">100*((B225/B224)-1)</f>
        <v>0.11596058171481349</v>
      </c>
      <c r="E225" s="1036">
        <f t="shared" si="217"/>
        <v>-0.61148704406668308</v>
      </c>
      <c r="F225" s="1036">
        <f t="shared" ref="F225" si="234">100*((B225/B213)-1)</f>
        <v>18.831799906267733</v>
      </c>
      <c r="G225" s="1077">
        <f t="shared" ref="G225" si="235">100*(B225/B201-1)</f>
        <v>21.57880126182965</v>
      </c>
      <c r="H225" s="1023">
        <f t="shared" si="134"/>
        <v>1.2613605227542573</v>
      </c>
    </row>
    <row r="226" spans="1:8" ht="16.5" customHeight="1">
      <c r="A226" s="1032" t="str">
        <f>DAT!A296</f>
        <v>JUNHO|18</v>
      </c>
      <c r="B226" s="918">
        <f>geral!O370</f>
        <v>241009</v>
      </c>
      <c r="C226" s="918">
        <f t="shared" ref="C226" si="236">100*B226/$B$8</f>
        <v>296.04348360152318</v>
      </c>
      <c r="D226" s="1036">
        <f t="shared" ref="D226" si="237">100*((B226/B225)-1)</f>
        <v>5.4384377153571251E-2</v>
      </c>
      <c r="E226" s="1036">
        <f t="shared" si="217"/>
        <v>-0.55743522033337989</v>
      </c>
      <c r="F226" s="1036">
        <f t="shared" ref="F226" si="238">100*((B226/B214)-1)</f>
        <v>19.039128330254563</v>
      </c>
      <c r="G226" s="1077">
        <f t="shared" ref="G226" si="239">100*(B226/B202-1)</f>
        <v>21.029161414732876</v>
      </c>
      <c r="H226" s="1023">
        <f t="shared" si="134"/>
        <v>1.2606749125551329</v>
      </c>
    </row>
    <row r="227" spans="1:8" ht="16.5" customHeight="1">
      <c r="A227" s="1032" t="str">
        <f>DAT!A297</f>
        <v>JULHO|18</v>
      </c>
      <c r="B227" s="918">
        <f>geral!O371</f>
        <v>243375</v>
      </c>
      <c r="C227" s="918">
        <f t="shared" ref="C227" si="240">100*B227/$B$8</f>
        <v>298.94976047168655</v>
      </c>
      <c r="D227" s="1036">
        <f t="shared" ref="D227" si="241">100*((B227/B226)-1)</f>
        <v>0.98170607736640658</v>
      </c>
      <c r="E227" s="1036">
        <f t="shared" ref="E227" si="242">100*((C227/$C$220)-1)</f>
        <v>0.41879848159762645</v>
      </c>
      <c r="F227" s="1036">
        <f t="shared" ref="F227" si="243">100*((B227/B215)-1)</f>
        <v>3.2816730464009014</v>
      </c>
      <c r="G227" s="1077">
        <f t="shared" ref="G227" si="244">100*(B227/B203-1)</f>
        <v>21.590227817745799</v>
      </c>
      <c r="H227" s="1023">
        <f t="shared" si="134"/>
        <v>1.2484191063174115</v>
      </c>
    </row>
    <row r="228" spans="1:8" ht="16.5" customHeight="1">
      <c r="A228" s="1032" t="str">
        <f>DAT!A298</f>
        <v>AGOSTO|18</v>
      </c>
      <c r="B228" s="918">
        <f>geral!O372</f>
        <v>241892</v>
      </c>
      <c r="C228" s="918">
        <f t="shared" ref="C228" si="245">100*B228/$B$8</f>
        <v>297.128116938951</v>
      </c>
      <c r="D228" s="1036">
        <f t="shared" ref="D228" si="246">100*((B228/B227)-1)</f>
        <v>-0.60934771443246216</v>
      </c>
      <c r="E228" s="1036">
        <f t="shared" ref="E228" si="247">100*((C228/$C$220)-1)</f>
        <v>-0.19310117181052799</v>
      </c>
      <c r="F228" s="1036">
        <f t="shared" ref="F228" si="248">100*((B228/B216)-1)</f>
        <v>1.6681867663067562</v>
      </c>
      <c r="G228" s="1077">
        <f t="shared" ref="G228" si="249">100*(B228/B204-1)</f>
        <v>20.236604036186499</v>
      </c>
      <c r="H228" s="1023">
        <f t="shared" si="134"/>
        <v>1.2560729581796835</v>
      </c>
    </row>
    <row r="229" spans="1:8" ht="16.5" customHeight="1">
      <c r="A229" s="1032" t="str">
        <f>DAT!A299</f>
        <v>SETEMBRO|18</v>
      </c>
      <c r="B229" s="918">
        <f>geral!O373</f>
        <v>244232</v>
      </c>
      <c r="C229" s="918">
        <f t="shared" ref="C229" si="250">100*B229/$B$8</f>
        <v>300.00245670065101</v>
      </c>
      <c r="D229" s="1036">
        <f t="shared" ref="D229" si="251">100*((B229/B228)-1)</f>
        <v>0.9673738693301237</v>
      </c>
      <c r="E229" s="1036">
        <f t="shared" ref="E229" si="252">100*((C229/$C$220)-1)</f>
        <v>0.77240468724211198</v>
      </c>
      <c r="F229" s="1036">
        <f t="shared" ref="F229" si="253">100*((B229/B217)-1)</f>
        <v>1.9604568833077263</v>
      </c>
      <c r="G229" s="1077">
        <f t="shared" ref="G229" si="254">100*(B229/B205-1)</f>
        <v>21.496368520545218</v>
      </c>
      <c r="H229" s="1023">
        <f t="shared" si="134"/>
        <v>1.2440384552392807</v>
      </c>
    </row>
    <row r="230" spans="1:8" ht="16.5" customHeight="1">
      <c r="A230" s="1032" t="str">
        <f>DAT!A300</f>
        <v>OUTUBRO|18</v>
      </c>
      <c r="B230" s="918">
        <f>geral!O374</f>
        <v>246430</v>
      </c>
      <c r="C230" s="918">
        <f t="shared" ref="C230" si="255">100*B230/$B$8</f>
        <v>302.70237071612826</v>
      </c>
      <c r="D230" s="1036">
        <f t="shared" ref="D230" si="256">100*((B230/B229)-1)</f>
        <v>0.8999639686855021</v>
      </c>
      <c r="E230" s="1036">
        <f t="shared" ref="E230" si="257">100*((C230/$C$220)-1)</f>
        <v>1.6793200198052416</v>
      </c>
      <c r="F230" s="1036">
        <f t="shared" ref="F230" si="258">100*((B230/B218)-1)</f>
        <v>2.8780642575646276</v>
      </c>
      <c r="G230" s="1077">
        <f t="shared" ref="G230" si="259">100*(B230/B206-1)</f>
        <v>21.926239646931922</v>
      </c>
      <c r="H230" s="1023">
        <f t="shared" si="134"/>
        <v>1.2329424177251147</v>
      </c>
    </row>
    <row r="231" spans="1:8" ht="16.5" customHeight="1">
      <c r="A231" s="1032" t="str">
        <f>DAT!A301</f>
        <v>NOVEMBRO|18</v>
      </c>
      <c r="B231" s="918">
        <f>geral!O375</f>
        <v>246430</v>
      </c>
      <c r="C231" s="918">
        <f t="shared" ref="C231" si="260">100*B231/$B$8</f>
        <v>302.70237071612826</v>
      </c>
      <c r="D231" s="1036">
        <f t="shared" ref="D231" si="261">100*((B231/B230)-1)</f>
        <v>0</v>
      </c>
      <c r="E231" s="1036">
        <f t="shared" ref="E231" si="262">100*((C231/$C$220)-1)</f>
        <v>1.6793200198052416</v>
      </c>
      <c r="F231" s="1036">
        <f t="shared" ref="F231" si="263">100*((B231/B219)-1)</f>
        <v>2.1429163557987296</v>
      </c>
      <c r="G231" s="1077">
        <f t="shared" ref="G231" si="264">100*(B231/B207-1)</f>
        <v>21.588750462563212</v>
      </c>
      <c r="H231" s="1023">
        <f t="shared" si="134"/>
        <v>1.2329424177251147</v>
      </c>
    </row>
    <row r="232" spans="1:8" ht="16.5" customHeight="1">
      <c r="A232" s="1032" t="str">
        <f>DAT!A302</f>
        <v>DEZEMBRO|18</v>
      </c>
      <c r="B232" s="918">
        <f>geral!O376</f>
        <v>247456</v>
      </c>
      <c r="C232" s="918">
        <f t="shared" ref="C232" si="265">100*B232/$B$8</f>
        <v>303.9626581501044</v>
      </c>
      <c r="D232" s="1036">
        <f t="shared" ref="D232" si="266">100*((B232/B231)-1)</f>
        <v>0.41634541249035983</v>
      </c>
      <c r="E232" s="1036">
        <f t="shared" ref="E232" si="267">100*((C232/$C$220)-1)</f>
        <v>2.1026572041590974</v>
      </c>
      <c r="F232" s="1036">
        <f t="shared" ref="F232" si="268">100*((B232/B220)-1)</f>
        <v>2.1026572041590974</v>
      </c>
      <c r="G232" s="1077">
        <f t="shared" ref="G232" si="269">100*(B232/B208-1)</f>
        <v>21.065171551719921</v>
      </c>
      <c r="H232" s="1023">
        <f t="shared" si="134"/>
        <v>1.2278304021725075</v>
      </c>
    </row>
    <row r="233" spans="1:8" ht="16.5" customHeight="1">
      <c r="A233" s="1032" t="str">
        <f>DAT!A303</f>
        <v>JANEIRO|19</v>
      </c>
      <c r="B233" s="918">
        <f>geral!Q365</f>
        <v>252060</v>
      </c>
      <c r="C233" s="918">
        <f t="shared" ref="C233" si="270">100*B233/$B$8</f>
        <v>309.6179830487655</v>
      </c>
      <c r="D233" s="1036">
        <f t="shared" ref="D233" si="271">100*((B233/B232)-1)</f>
        <v>1.8605327815854222</v>
      </c>
      <c r="E233" s="1036">
        <f t="shared" ref="E233:E238" si="272">100*((C233/$C$232)-1)</f>
        <v>1.8605327815854222</v>
      </c>
      <c r="F233" s="1036">
        <f t="shared" ref="F233" si="273">100*((B233/B221)-1)</f>
        <v>2.8111335900280698</v>
      </c>
      <c r="G233" s="1077">
        <f t="shared" ref="G233" si="274">100*(B233/B209-1)</f>
        <v>23.761452574312834</v>
      </c>
      <c r="H233" s="1023">
        <f t="shared" si="134"/>
        <v>1.2054034753630087</v>
      </c>
    </row>
    <row r="234" spans="1:8" ht="16.5" customHeight="1">
      <c r="A234" s="1032" t="str">
        <f>DAT!A304</f>
        <v>FEVEREIRO|19</v>
      </c>
      <c r="B234" s="918">
        <f>geral!Q366</f>
        <v>255792</v>
      </c>
      <c r="C234" s="918">
        <f t="shared" ref="C234" si="275">100*B234/$B$8</f>
        <v>314.20218646357944</v>
      </c>
      <c r="D234" s="1036">
        <f t="shared" ref="D234" si="276">100*((B234/B233)-1)</f>
        <v>1.4805998571768564</v>
      </c>
      <c r="E234" s="1036">
        <f t="shared" si="272"/>
        <v>3.3686796844691669</v>
      </c>
      <c r="F234" s="1036">
        <f t="shared" ref="F234" si="277">100*((B234/B222)-1)</f>
        <v>4.7211987226725594</v>
      </c>
      <c r="G234" s="1077">
        <f t="shared" ref="G234" si="278">100*(B234/B210-1)</f>
        <v>25.148979891384116</v>
      </c>
      <c r="H234" s="1023">
        <f t="shared" si="134"/>
        <v>1.1878166635391256</v>
      </c>
    </row>
    <row r="235" spans="1:8" ht="16.5" customHeight="1">
      <c r="A235" s="1032" t="str">
        <f>DAT!A305</f>
        <v>MARÇO|19</v>
      </c>
      <c r="B235" s="918">
        <f>geral!Q367</f>
        <v>262368</v>
      </c>
      <c r="C235" s="918">
        <f t="shared" ref="C235" si="279">100*B235/$B$8</f>
        <v>322.27981820415181</v>
      </c>
      <c r="D235" s="1036">
        <f t="shared" ref="D235" si="280">100*((B235/B234)-1)</f>
        <v>2.5708388065303067</v>
      </c>
      <c r="E235" s="1036">
        <f t="shared" si="272"/>
        <v>6.0261218155954976</v>
      </c>
      <c r="F235" s="1036">
        <f t="shared" ref="F235" si="281">100*((B235/B223)-1)</f>
        <v>8.2447686315928479</v>
      </c>
      <c r="G235" s="1077">
        <f t="shared" ref="G235" si="282">100*(B235/B211-1)</f>
        <v>28.822680270639189</v>
      </c>
      <c r="H235" s="1023">
        <f t="shared" si="134"/>
        <v>1.1580451884376144</v>
      </c>
    </row>
    <row r="236" spans="1:8" ht="16.5" customHeight="1">
      <c r="A236" s="1032" t="str">
        <f>DAT!A306</f>
        <v>ABRIL|19</v>
      </c>
      <c r="B236" s="918">
        <f>geral!Q368</f>
        <v>261344</v>
      </c>
      <c r="C236" s="918">
        <f t="shared" ref="C236" si="283">100*B236/$B$8</f>
        <v>321.02198747082667</v>
      </c>
      <c r="D236" s="1036">
        <f t="shared" ref="D236" si="284">100*((B236/B235)-1)</f>
        <v>-0.39029149896329107</v>
      </c>
      <c r="E236" s="1036">
        <f t="shared" si="272"/>
        <v>5.6123108754687623</v>
      </c>
      <c r="F236" s="1036">
        <f t="shared" ref="F236" si="285">100*((B236/B224)-1)</f>
        <v>8.6222303500845818</v>
      </c>
      <c r="G236" s="1077">
        <f t="shared" ref="G236" si="286">100*(B236/B212-1)</f>
        <v>28.776411226742347</v>
      </c>
      <c r="H236" s="1023">
        <f t="shared" si="134"/>
        <v>1.1625826496877678</v>
      </c>
    </row>
    <row r="237" spans="1:8" ht="16.5" customHeight="1">
      <c r="A237" s="1032" t="str">
        <f>DAT!A307</f>
        <v>MAIO|19</v>
      </c>
      <c r="B237" s="918">
        <f>geral!Q369</f>
        <v>261376</v>
      </c>
      <c r="C237" s="918">
        <f t="shared" ref="C237" si="287">100*B237/$B$8</f>
        <v>321.06129468124311</v>
      </c>
      <c r="D237" s="1036">
        <f t="shared" ref="D237" si="288">100*((B237/B236)-1)</f>
        <v>1.224439818783285E-2</v>
      </c>
      <c r="E237" s="1036">
        <f t="shared" si="272"/>
        <v>5.6252424673477464</v>
      </c>
      <c r="F237" s="1036">
        <f t="shared" ref="F237" si="289">100*((B237/B225)-1)</f>
        <v>8.5097020068250373</v>
      </c>
      <c r="G237" s="1077">
        <f t="shared" ref="G237" si="290">100*(B237/B213-1)</f>
        <v>28.944031967637706</v>
      </c>
      <c r="H237" s="1023">
        <f t="shared" si="134"/>
        <v>1.1624403158667973</v>
      </c>
    </row>
    <row r="238" spans="1:8" ht="16.5" customHeight="1">
      <c r="A238" s="1032" t="str">
        <f>DAT!A308</f>
        <v>JUNHO|19</v>
      </c>
      <c r="B238" s="918">
        <f>geral!Q370</f>
        <v>263887</v>
      </c>
      <c r="C238" s="918">
        <f t="shared" ref="C238" si="291">100*B238/$B$8</f>
        <v>324.14568234860582</v>
      </c>
      <c r="D238" s="1036">
        <f t="shared" ref="D238" si="292">100*((B238/B237)-1)</f>
        <v>0.96068499020567355</v>
      </c>
      <c r="E238" s="1036">
        <f t="shared" si="272"/>
        <v>6.639968317599898</v>
      </c>
      <c r="F238" s="1036">
        <f t="shared" ref="F238" si="293">100*((B238/B226)-1)</f>
        <v>9.4925915629706878</v>
      </c>
      <c r="G238" s="1077">
        <f t="shared" ref="G238" si="294">100*(B238/B214-1)</f>
        <v>30.339026582766149</v>
      </c>
      <c r="H238" s="1023">
        <f t="shared" si="134"/>
        <v>1.1513791888194569</v>
      </c>
    </row>
    <row r="239" spans="1:8" ht="16.5" customHeight="1">
      <c r="A239" s="1032" t="str">
        <f>DAT!A309</f>
        <v>JULHO|19</v>
      </c>
      <c r="B239" s="918">
        <f>geral!Q371</f>
        <v>265006</v>
      </c>
      <c r="C239" s="918">
        <f t="shared" ref="C239" si="295">100*B239/$B$8</f>
        <v>325.52020636285471</v>
      </c>
      <c r="D239" s="1036">
        <f t="shared" ref="D239" si="296">100*((B239/B238)-1)</f>
        <v>0.4240451405336465</v>
      </c>
      <c r="E239" s="1036">
        <f t="shared" ref="E239" si="297">100*((C239/$C$232)-1)</f>
        <v>7.0921699211172973</v>
      </c>
      <c r="F239" s="1036">
        <f t="shared" ref="F239" si="298">100*((B239/B227)-1)</f>
        <v>8.8879301489470883</v>
      </c>
      <c r="G239" s="1077">
        <f t="shared" ref="G239" si="299">100*(B239/B215-1)</f>
        <v>12.461276003428923</v>
      </c>
      <c r="H239" s="1023">
        <f t="shared" si="134"/>
        <v>1.1465174373410414</v>
      </c>
    </row>
    <row r="240" spans="1:8" ht="16.5" customHeight="1">
      <c r="A240" s="1032" t="str">
        <f>DAT!A310</f>
        <v>AGOSTO|19</v>
      </c>
      <c r="B240" s="918">
        <f>geral!Q372</f>
        <v>271642</v>
      </c>
      <c r="C240" s="918">
        <f t="shared" ref="C240" si="300">100*B240/$B$8</f>
        <v>333.67153912295788</v>
      </c>
      <c r="D240" s="1036">
        <f t="shared" ref="D240" si="301">100*((B240/B239)-1)</f>
        <v>2.5040942469227057</v>
      </c>
      <c r="E240" s="1036">
        <f t="shared" ref="E240" si="302">100*((C240/$C$232)-1)</f>
        <v>9.7738587870166871</v>
      </c>
      <c r="F240" s="1036">
        <f t="shared" ref="F240" si="303">100*((B240/B228)-1)</f>
        <v>12.298877184859357</v>
      </c>
      <c r="G240" s="1077">
        <f t="shared" ref="G240" si="304">100*(B240/B216-1)</f>
        <v>14.172232192768242</v>
      </c>
      <c r="H240" s="1023">
        <f t="shared" si="134"/>
        <v>1.1185089198283034</v>
      </c>
    </row>
    <row r="241" spans="1:8" ht="16.5" customHeight="1">
      <c r="A241" s="1032" t="str">
        <f>DAT!A311</f>
        <v>SETEMBRO|19</v>
      </c>
      <c r="B241" s="918">
        <f>geral!Q373</f>
        <v>273550</v>
      </c>
      <c r="C241" s="918">
        <f t="shared" ref="C241" si="305">100*B241/$B$8</f>
        <v>336.01523154403634</v>
      </c>
      <c r="D241" s="1036">
        <f t="shared" ref="D241" si="306">100*((B241/B240)-1)</f>
        <v>0.70239506409170982</v>
      </c>
      <c r="E241" s="1036">
        <f t="shared" ref="E241" si="307">100*((C241/$C$232)-1)</f>
        <v>10.544904952799694</v>
      </c>
      <c r="F241" s="1036">
        <f t="shared" ref="F241" si="308">100*((B241/B229)-1)</f>
        <v>12.004159979036322</v>
      </c>
      <c r="G241" s="1077">
        <f t="shared" ref="G241" si="309">100*(B241/B217-1)</f>
        <v>14.199953242936347</v>
      </c>
      <c r="H241" s="1023">
        <f t="shared" si="134"/>
        <v>1.1107073661122282</v>
      </c>
    </row>
    <row r="242" spans="1:8" ht="16.5" customHeight="1">
      <c r="A242" s="1032" t="str">
        <f>DAT!A312</f>
        <v>OUTUBRO|19</v>
      </c>
      <c r="B242" s="918">
        <f>geral!Q374</f>
        <v>280196</v>
      </c>
      <c r="C242" s="918">
        <f t="shared" ref="C242" si="310">100*B242/$B$8</f>
        <v>344.17884780739467</v>
      </c>
      <c r="D242" s="1036">
        <f t="shared" ref="D242" si="311">100*((B242/B241)-1)</f>
        <v>2.4295375616889103</v>
      </c>
      <c r="E242" s="1036">
        <f t="shared" ref="E242" si="312">100*((C242/$C$232)-1)</f>
        <v>13.230634941161256</v>
      </c>
      <c r="F242" s="1036">
        <f t="shared" ref="F242" si="313">100*((B242/B230)-1)</f>
        <v>13.702065495272485</v>
      </c>
      <c r="G242" s="1077">
        <f t="shared" ref="G242" si="314">100*(B242/B218-1)</f>
        <v>16.974484002404644</v>
      </c>
      <c r="H242" s="1023">
        <f t="shared" si="134"/>
        <v>1.0843623749089923</v>
      </c>
    </row>
    <row r="243" spans="1:8" ht="16.5" customHeight="1">
      <c r="A243" s="1032" t="str">
        <f>DAT!A313</f>
        <v>NOVEMBRO|19</v>
      </c>
      <c r="B243" s="918">
        <f>geral!Q375</f>
        <v>285948</v>
      </c>
      <c r="C243" s="918">
        <f t="shared" ref="C243" si="315">100*B243/$B$8</f>
        <v>351.24431887974453</v>
      </c>
      <c r="D243" s="1036">
        <f t="shared" ref="D243" si="316">100*((B243/B242)-1)</f>
        <v>2.0528487201815881</v>
      </c>
      <c r="E243" s="1036">
        <f t="shared" ref="E243" si="317">100*((C243/$C$232)-1)</f>
        <v>15.555088581404375</v>
      </c>
      <c r="F243" s="1036">
        <f t="shared" ref="F243" si="318">100*((B243/B231)-1)</f>
        <v>16.036196891612221</v>
      </c>
      <c r="G243" s="1077">
        <f t="shared" ref="G243" si="319">100*(B243/B219-1)</f>
        <v>18.522755533449399</v>
      </c>
      <c r="H243" s="1023">
        <f t="shared" si="134"/>
        <v>1.0625498342355952</v>
      </c>
    </row>
    <row r="244" spans="1:8" ht="16.5" customHeight="1">
      <c r="A244" s="1032" t="str">
        <f>DAT!A314</f>
        <v>DEZEMBRO|19</v>
      </c>
      <c r="B244" s="918">
        <f>geral!Q376</f>
        <v>290121</v>
      </c>
      <c r="C244" s="918">
        <f t="shared" ref="C244" si="320">100*B244/$B$8</f>
        <v>356.37022478810957</v>
      </c>
      <c r="D244" s="1036">
        <f t="shared" ref="D244" si="321">100*((B244/B243)-1)</f>
        <v>1.4593562465902821</v>
      </c>
      <c r="E244" s="1036">
        <f t="shared" ref="E244" si="322">100*((C244/$C$232)-1)</f>
        <v>17.241448984870033</v>
      </c>
      <c r="F244" s="1036">
        <f t="shared" ref="F244" si="323">100*((B244/B232)-1)</f>
        <v>17.241448984870033</v>
      </c>
      <c r="G244" s="1077">
        <f t="shared" ref="G244" si="324">100*(B244/B220-1)</f>
        <v>19.706634758210928</v>
      </c>
      <c r="H244" s="1023">
        <f t="shared" si="134"/>
        <v>1.0472664853630038</v>
      </c>
    </row>
    <row r="245" spans="1:8" ht="16.5" customHeight="1">
      <c r="A245" s="1032" t="str">
        <f>DAT!A315</f>
        <v>JANEIRO|20</v>
      </c>
      <c r="B245" s="918">
        <f>geral!S365</f>
        <v>292609</v>
      </c>
      <c r="C245" s="918">
        <f t="shared" ref="C245" si="325">100*B245/$B$8</f>
        <v>359.42636039798549</v>
      </c>
      <c r="D245" s="1036">
        <f t="shared" ref="D245" si="326">100*((B245/B244)-1)</f>
        <v>0.85757321944981424</v>
      </c>
      <c r="E245" s="1036">
        <f t="shared" ref="E245:E250" si="327">100*((C245/$C$244)-1)</f>
        <v>0.85757321944981424</v>
      </c>
      <c r="F245" s="1036">
        <f t="shared" ref="F245" si="328">100*((B245/B233)-1)</f>
        <v>16.08704276759503</v>
      </c>
      <c r="G245" s="1077">
        <f t="shared" ref="G245" si="329">100*(B245/B221-1)</f>
        <v>19.350404620505124</v>
      </c>
      <c r="H245" s="1023">
        <f t="shared" si="134"/>
        <v>1.0383617728777994</v>
      </c>
    </row>
    <row r="246" spans="1:8" ht="16.5" customHeight="1">
      <c r="A246" s="1032" t="str">
        <f>DAT!A316</f>
        <v>FEVEREIRO|20</v>
      </c>
      <c r="B246" s="918">
        <f>geral!S366</f>
        <v>289856</v>
      </c>
      <c r="C246" s="918">
        <f t="shared" ref="C246" si="330">100*B246/$B$8</f>
        <v>356.04471195184868</v>
      </c>
      <c r="D246" s="1036">
        <f t="shared" ref="D246" si="331">100*((B246/B245)-1)</f>
        <v>-0.94084597534593861</v>
      </c>
      <c r="E246" s="1036">
        <f t="shared" si="327"/>
        <v>-9.1341199016958807E-2</v>
      </c>
      <c r="F246" s="1036">
        <f t="shared" ref="F246" si="332">100*((B246/B234)-1)</f>
        <v>13.317070119472074</v>
      </c>
      <c r="G246" s="1077">
        <f t="shared" ref="G246" si="333">100*(B246/B222-1)</f>
        <v>18.666994186522558</v>
      </c>
      <c r="H246" s="1023">
        <f t="shared" si="134"/>
        <v>1.0482239456833737</v>
      </c>
    </row>
    <row r="247" spans="1:8" ht="16.5" customHeight="1">
      <c r="A247" s="1032" t="str">
        <f>DAT!A317</f>
        <v>MARÇO|20</v>
      </c>
      <c r="B247" s="918">
        <f>geral!S367</f>
        <v>290481</v>
      </c>
      <c r="C247" s="918">
        <f t="shared" ref="C247" si="334">100*B247/$B$8</f>
        <v>356.81243090529421</v>
      </c>
      <c r="D247" s="1036">
        <f t="shared" ref="D247" si="335">100*((B247/B246)-1)</f>
        <v>0.21562431000221594</v>
      </c>
      <c r="E247" s="1036">
        <f t="shared" si="327"/>
        <v>0.12408615715511218</v>
      </c>
      <c r="F247" s="1036">
        <f t="shared" ref="F247" si="336">100*((B247/B235)-1)</f>
        <v>10.715102451518476</v>
      </c>
      <c r="G247" s="1077">
        <f t="shared" ref="G247" si="337">100*(B247/B223-1)</f>
        <v>19.843306488877154</v>
      </c>
      <c r="H247" s="1023">
        <f t="shared" si="134"/>
        <v>1.0459685831431316</v>
      </c>
    </row>
    <row r="248" spans="1:8" ht="16.5" customHeight="1">
      <c r="A248" s="1032" t="str">
        <f>DAT!A318</f>
        <v>ABRIL|20</v>
      </c>
      <c r="B248" s="918">
        <f>geral!S368</f>
        <v>292132</v>
      </c>
      <c r="C248" s="918">
        <f t="shared" ref="C248" si="338">100*B248/$B$8</f>
        <v>358.84043729271588</v>
      </c>
      <c r="D248" s="1036">
        <f t="shared" ref="D248" si="339">100*((B248/B247)-1)</f>
        <v>0.56836763850303118</v>
      </c>
      <c r="E248" s="1036">
        <f t="shared" si="327"/>
        <v>0.69315906121927284</v>
      </c>
      <c r="F248" s="1036">
        <f t="shared" ref="F248" si="340">100*((B248/B236)-1)</f>
        <v>11.780641606465036</v>
      </c>
      <c r="G248" s="1077">
        <f t="shared" ref="G248" si="341">100*(B248/B224-1)</f>
        <v>21.418626012576937</v>
      </c>
      <c r="H248" s="1023">
        <f t="shared" si="134"/>
        <v>1.0400572344008874</v>
      </c>
    </row>
    <row r="249" spans="1:8" ht="16.5" customHeight="1">
      <c r="A249" s="1032" t="str">
        <f>DAT!A319</f>
        <v>MAIO|20</v>
      </c>
      <c r="B249" s="918">
        <f>geral!S369</f>
        <v>298574</v>
      </c>
      <c r="C249" s="918">
        <f t="shared" ref="C249" si="342">100*B249/$B$8</f>
        <v>366.75347008966958</v>
      </c>
      <c r="D249" s="1036">
        <f t="shared" ref="D249" si="343">100*((B249/B248)-1)</f>
        <v>2.2051675270083448</v>
      </c>
      <c r="E249" s="1036">
        <f t="shared" si="327"/>
        <v>2.9136119067561417</v>
      </c>
      <c r="F249" s="1036">
        <f t="shared" ref="F249" si="344">100*((B249/B237)-1)</f>
        <v>14.231605044074435</v>
      </c>
      <c r="G249" s="1077">
        <f t="shared" ref="G249" si="345">100*(B249/B225-1)</f>
        <v>23.952374230938478</v>
      </c>
      <c r="H249" s="1023">
        <f t="shared" si="134"/>
        <v>1.0176170731543939</v>
      </c>
    </row>
    <row r="250" spans="1:8" ht="16.5" customHeight="1">
      <c r="A250" s="1032" t="str">
        <f>DAT!A320</f>
        <v>JUNHO|20</v>
      </c>
      <c r="B250" s="918">
        <f>geral!S370</f>
        <v>301902</v>
      </c>
      <c r="C250" s="918">
        <f t="shared" ref="C250" si="346">100*B250/$B$8</f>
        <v>370.84141997297627</v>
      </c>
      <c r="D250" s="1036">
        <f t="shared" ref="D250" si="347">100*((B250/B249)-1)</f>
        <v>1.1146315486278091</v>
      </c>
      <c r="E250" s="1036">
        <f t="shared" si="327"/>
        <v>4.0607194929012325</v>
      </c>
      <c r="F250" s="1036">
        <f t="shared" ref="F250" si="348">100*((B250/B238)-1)</f>
        <v>14.4057873256356</v>
      </c>
      <c r="G250" s="1077">
        <f t="shared" ref="G250" si="349">100*(B250/B226-1)</f>
        <v>25.265861440859048</v>
      </c>
      <c r="H250" s="1023">
        <f t="shared" si="134"/>
        <v>1.0063994276288333</v>
      </c>
    </row>
    <row r="251" spans="1:8" ht="16.5" customHeight="1">
      <c r="A251" s="1032" t="str">
        <f>DAT!A321</f>
        <v>JULHO|20</v>
      </c>
      <c r="B251" s="918">
        <f>geral!S371</f>
        <v>302130</v>
      </c>
      <c r="C251" s="918">
        <f t="shared" ref="C251" si="350">100*B251/$B$8</f>
        <v>371.12148384719325</v>
      </c>
      <c r="D251" s="1036">
        <f t="shared" ref="D251" si="351">100*((B251/B250)-1)</f>
        <v>7.5521195619776549E-2</v>
      </c>
      <c r="E251" s="1036">
        <f t="shared" ref="E251" si="352">100*((C251/$C$244)-1)</f>
        <v>4.1393073924328228</v>
      </c>
      <c r="F251" s="1036">
        <f t="shared" ref="F251" si="353">100*((B251/B239)-1)</f>
        <v>14.008739424767747</v>
      </c>
      <c r="G251" s="1077">
        <f t="shared" ref="G251" si="354">100*(B251/B227-1)</f>
        <v>24.141756548536208</v>
      </c>
      <c r="H251" s="1023">
        <f t="shared" si="134"/>
        <v>1.0056399563101976</v>
      </c>
    </row>
    <row r="252" spans="1:8" ht="16.5" customHeight="1">
      <c r="A252" s="1032" t="str">
        <f>DAT!A322</f>
        <v>AGOSTO|20</v>
      </c>
      <c r="B252" s="918">
        <f>geral!S372</f>
        <v>296114</v>
      </c>
      <c r="C252" s="918">
        <f t="shared" ref="C252" si="355">100*B252/$B$8</f>
        <v>363.73172828890802</v>
      </c>
      <c r="D252" s="1036">
        <f t="shared" ref="D252" si="356">100*((B252/B251)-1)</f>
        <v>-1.9911958428491028</v>
      </c>
      <c r="E252" s="1036">
        <f t="shared" ref="E252" si="357">100*((C252/$C$244)-1)</f>
        <v>2.0656898328628381</v>
      </c>
      <c r="F252" s="1036">
        <f t="shared" ref="F252" si="358">100*((B252/B240)-1)</f>
        <v>9.0089161469875769</v>
      </c>
      <c r="G252" s="1077">
        <f t="shared" ref="G252" si="359">100*(B252/B228-1)</f>
        <v>22.415788864451901</v>
      </c>
      <c r="H252" s="1035">
        <f t="shared" si="134"/>
        <v>1.0260710402074877</v>
      </c>
    </row>
    <row r="253" spans="1:8" ht="16.5" customHeight="1" thickBot="1">
      <c r="A253" s="1046" t="str">
        <f>DAT!A323</f>
        <v>SETEMBRO|20</v>
      </c>
      <c r="B253" s="1047">
        <f>geral!S373</f>
        <v>303834</v>
      </c>
      <c r="C253" s="1047">
        <f t="shared" ref="C253" si="360">100*B253/$B$8</f>
        <v>373.21459280186707</v>
      </c>
      <c r="D253" s="1048">
        <f t="shared" ref="D253" si="361">100*((B253/B252)-1)</f>
        <v>2.6071040207487739</v>
      </c>
      <c r="E253" s="1048">
        <f t="shared" ref="E253" si="362">100*((C253/$C$244)-1)</f>
        <v>4.7266485363003596</v>
      </c>
      <c r="F253" s="1048">
        <f t="shared" ref="F253" si="363">100*((B253/B241)-1)</f>
        <v>11.07073661122282</v>
      </c>
      <c r="G253" s="1049">
        <f t="shared" ref="G253" si="364">100*(B253/B229-1)</f>
        <v>24.403845523928069</v>
      </c>
      <c r="H253" s="1050">
        <f t="shared" si="134"/>
        <v>1</v>
      </c>
    </row>
    <row r="254" spans="1:8">
      <c r="A254" s="758" t="s">
        <v>238</v>
      </c>
    </row>
    <row r="255" spans="1:8">
      <c r="A255" s="1144" t="s">
        <v>688</v>
      </c>
    </row>
  </sheetData>
  <mergeCells count="7">
    <mergeCell ref="A7:B7"/>
    <mergeCell ref="C1:H3"/>
    <mergeCell ref="A4:C4"/>
    <mergeCell ref="D4:H4"/>
    <mergeCell ref="A5:C5"/>
    <mergeCell ref="D5:G5"/>
    <mergeCell ref="H5:H6"/>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7" orientation="portrait" r:id="rId1"/>
  <headerFooter>
    <oddFooter>&amp;L&amp;"Calibri,Regular"&amp;K184782&amp;F&amp;C&amp;"Calibri,Regular"&amp;K184782&amp;A&amp;R&amp;"Calibri,Regular"&amp;K184782&amp;P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8">
    <pageSetUpPr fitToPage="1"/>
  </sheetPr>
  <dimension ref="A1:K4445"/>
  <sheetViews>
    <sheetView showGridLines="0" zoomScaleNormal="100" workbookViewId="0">
      <pane ySplit="2595" topLeftCell="A241" activePane="bottomLeft"/>
      <selection activeCell="A216" sqref="A216"/>
      <selection pane="bottomLeft" activeCell="J253" sqref="J253"/>
    </sheetView>
  </sheetViews>
  <sheetFormatPr defaultColWidth="11.6640625" defaultRowHeight="12.75"/>
  <cols>
    <col min="1" max="1" width="10.6640625" style="816" customWidth="1"/>
    <col min="2" max="2" width="10.44140625" style="816" customWidth="1"/>
    <col min="3" max="3" width="7.6640625" style="816" customWidth="1"/>
    <col min="4" max="5" width="6.5546875" style="816" customWidth="1"/>
    <col min="6" max="6" width="8.109375" style="816" customWidth="1"/>
    <col min="7" max="7" width="7.21875" style="816" customWidth="1"/>
    <col min="8" max="8" width="11.6640625" style="816"/>
    <col min="9" max="16384" width="11.6640625" style="812"/>
  </cols>
  <sheetData>
    <row r="1" spans="1:8" s="707" customFormat="1" ht="21" customHeight="1">
      <c r="B1" s="708"/>
      <c r="C1" s="1417" t="s">
        <v>355</v>
      </c>
      <c r="D1" s="1417"/>
      <c r="E1" s="1417"/>
      <c r="F1" s="1417"/>
      <c r="G1" s="1417"/>
      <c r="H1" s="1417"/>
    </row>
    <row r="2" spans="1:8" s="707" customFormat="1" ht="15" customHeight="1">
      <c r="A2" s="708"/>
      <c r="B2" s="708"/>
      <c r="C2" s="1417"/>
      <c r="D2" s="1417"/>
      <c r="E2" s="1417"/>
      <c r="F2" s="1417"/>
      <c r="G2" s="1417"/>
      <c r="H2" s="1417"/>
    </row>
    <row r="3" spans="1:8" s="707" customFormat="1" ht="15" customHeight="1" thickBot="1">
      <c r="A3" s="708"/>
      <c r="B3" s="708"/>
      <c r="C3" s="1418"/>
      <c r="D3" s="1418"/>
      <c r="E3" s="1418"/>
      <c r="F3" s="1418"/>
      <c r="G3" s="1418"/>
      <c r="H3" s="1418"/>
    </row>
    <row r="4" spans="1:8" s="707" customFormat="1" ht="17.25" customHeight="1" thickBot="1">
      <c r="A4" s="1472" t="s">
        <v>356</v>
      </c>
      <c r="B4" s="1466"/>
      <c r="C4" s="1467"/>
      <c r="D4" s="1432" t="s">
        <v>365</v>
      </c>
      <c r="E4" s="1433"/>
      <c r="F4" s="1433"/>
      <c r="G4" s="1433"/>
      <c r="H4" s="1434"/>
    </row>
    <row r="5" spans="1:8" s="707" customFormat="1" ht="15" customHeight="1" thickBot="1">
      <c r="A5" s="1421" t="s">
        <v>274</v>
      </c>
      <c r="B5" s="1422"/>
      <c r="C5" s="1423"/>
      <c r="D5" s="1424" t="s">
        <v>275</v>
      </c>
      <c r="E5" s="1425"/>
      <c r="F5" s="1425"/>
      <c r="G5" s="1426"/>
      <c r="H5" s="1427" t="s">
        <v>186</v>
      </c>
    </row>
    <row r="6" spans="1:8" s="707" customFormat="1" ht="15.75" customHeight="1" thickBot="1">
      <c r="A6" s="831" t="s">
        <v>341</v>
      </c>
      <c r="B6" s="781" t="s">
        <v>76</v>
      </c>
      <c r="C6" s="781" t="s">
        <v>68</v>
      </c>
      <c r="D6" s="781" t="s">
        <v>342</v>
      </c>
      <c r="E6" s="781" t="s">
        <v>343</v>
      </c>
      <c r="F6" s="781" t="s">
        <v>344</v>
      </c>
      <c r="G6" s="781" t="s">
        <v>345</v>
      </c>
      <c r="H6" s="1428"/>
    </row>
    <row r="7" spans="1:8" s="707" customFormat="1" ht="15.75" customHeight="1" thickBot="1">
      <c r="A7" s="1419" t="s">
        <v>347</v>
      </c>
      <c r="B7" s="1420"/>
      <c r="C7" s="952"/>
      <c r="D7" s="952"/>
      <c r="E7" s="952"/>
      <c r="F7" s="952"/>
      <c r="G7" s="952"/>
      <c r="H7" s="953" t="str">
        <f>A4</f>
        <v>Accelo 815</v>
      </c>
    </row>
    <row r="8" spans="1:8" ht="15.75" hidden="1" thickBot="1">
      <c r="A8" s="972" t="s">
        <v>557</v>
      </c>
      <c r="B8" s="997">
        <f>geral!C1062</f>
        <v>40650</v>
      </c>
      <c r="C8" s="997">
        <v>100</v>
      </c>
      <c r="D8" s="997"/>
      <c r="E8" s="997"/>
      <c r="F8" s="997"/>
      <c r="G8" s="1002"/>
      <c r="H8" s="1003">
        <f>$B$253/B8</f>
        <v>4.5125707257072571</v>
      </c>
    </row>
    <row r="9" spans="1:8" ht="15.75" hidden="1" thickBot="1">
      <c r="A9" s="973" t="s">
        <v>558</v>
      </c>
      <c r="B9" s="748">
        <f>geral!C1063</f>
        <v>40860</v>
      </c>
      <c r="C9" s="748">
        <f>100*B9/$B$8</f>
        <v>100.51660516605166</v>
      </c>
      <c r="D9" s="748">
        <f>100*((B9/B8)-1)</f>
        <v>0.51660516605165352</v>
      </c>
      <c r="E9" s="748"/>
      <c r="F9" s="748"/>
      <c r="G9" s="839"/>
      <c r="H9" s="848">
        <f>$B$253/B9</f>
        <v>4.4893783651492907</v>
      </c>
    </row>
    <row r="10" spans="1:8" ht="15.75" hidden="1" thickBot="1">
      <c r="A10" s="973" t="s">
        <v>559</v>
      </c>
      <c r="B10" s="748">
        <f>geral!C1064</f>
        <v>41309.33</v>
      </c>
      <c r="C10" s="748">
        <f t="shared" ref="C10:C73" si="0">100*B10/$B$8</f>
        <v>101.6219680196802</v>
      </c>
      <c r="D10" s="748">
        <f t="shared" ref="D10:D73" si="1">100*((B10/B9)-1)</f>
        <v>1.099681840430744</v>
      </c>
      <c r="E10" s="748"/>
      <c r="F10" s="748"/>
      <c r="G10" s="839"/>
      <c r="H10" s="848">
        <f>$B$253/B10</f>
        <v>4.4405464818722544</v>
      </c>
    </row>
    <row r="11" spans="1:8" ht="15.75" hidden="1" thickBot="1">
      <c r="A11" s="973" t="s">
        <v>560</v>
      </c>
      <c r="B11" s="748">
        <f>geral!C1065</f>
        <v>42033.33</v>
      </c>
      <c r="C11" s="748">
        <f t="shared" si="0"/>
        <v>103.4030258302583</v>
      </c>
      <c r="D11" s="748">
        <f t="shared" si="1"/>
        <v>1.7526307011031195</v>
      </c>
      <c r="E11" s="748"/>
      <c r="F11" s="748"/>
      <c r="G11" s="839"/>
      <c r="H11" s="848">
        <f>$B$253/B11</f>
        <v>4.3640606157066308</v>
      </c>
    </row>
    <row r="12" spans="1:8" ht="15.75" hidden="1" thickBot="1">
      <c r="A12" s="973" t="s">
        <v>561</v>
      </c>
      <c r="B12" s="748">
        <f>geral!C1066</f>
        <v>41360</v>
      </c>
      <c r="C12" s="748">
        <f t="shared" si="0"/>
        <v>101.74661746617465</v>
      </c>
      <c r="D12" s="748">
        <f>100*((B12/B11)-1)</f>
        <v>-1.6018954482074133</v>
      </c>
      <c r="E12" s="748"/>
      <c r="F12" s="748"/>
      <c r="G12" s="839"/>
      <c r="H12" s="848">
        <f>$B$253/B12</f>
        <v>4.4351063829787236</v>
      </c>
    </row>
    <row r="13" spans="1:8" ht="15.75" hidden="1" thickBot="1">
      <c r="A13" s="973" t="s">
        <v>562</v>
      </c>
      <c r="B13" s="748">
        <f>geral!C1067</f>
        <v>40973.22</v>
      </c>
      <c r="C13" s="748">
        <f t="shared" si="0"/>
        <v>100.79512915129152</v>
      </c>
      <c r="D13" s="748">
        <f t="shared" si="1"/>
        <v>-0.93515473887814116</v>
      </c>
      <c r="E13" s="748"/>
      <c r="F13" s="748"/>
      <c r="G13" s="839"/>
      <c r="H13" s="848">
        <f>$B$253/B13</f>
        <v>4.4769730082234203</v>
      </c>
    </row>
    <row r="14" spans="1:8" ht="15.75" hidden="1" thickBot="1">
      <c r="A14" s="973" t="s">
        <v>534</v>
      </c>
      <c r="B14" s="748">
        <f>geral!C1068</f>
        <v>41350</v>
      </c>
      <c r="C14" s="748">
        <f t="shared" si="0"/>
        <v>101.72201722017221</v>
      </c>
      <c r="D14" s="748">
        <f t="shared" si="1"/>
        <v>0.91957625004819299</v>
      </c>
      <c r="E14" s="748"/>
      <c r="F14" s="748"/>
      <c r="G14" s="839"/>
      <c r="H14" s="848">
        <f>$B$253/B14</f>
        <v>4.4361789600967354</v>
      </c>
    </row>
    <row r="15" spans="1:8" ht="15.75" hidden="1" thickBot="1">
      <c r="A15" s="973" t="s">
        <v>563</v>
      </c>
      <c r="B15" s="748">
        <f>geral!C1069</f>
        <v>41500</v>
      </c>
      <c r="C15" s="748">
        <f t="shared" si="0"/>
        <v>102.0910209102091</v>
      </c>
      <c r="D15" s="748">
        <f t="shared" si="1"/>
        <v>0.36275695284160303</v>
      </c>
      <c r="E15" s="748"/>
      <c r="F15" s="748"/>
      <c r="G15" s="839"/>
      <c r="H15" s="848">
        <f>$B$253/B15</f>
        <v>4.4201445783132529</v>
      </c>
    </row>
    <row r="16" spans="1:8" ht="15.75" hidden="1" thickBot="1">
      <c r="A16" s="973" t="s">
        <v>564</v>
      </c>
      <c r="B16" s="748">
        <f>geral!C1070</f>
        <v>42100</v>
      </c>
      <c r="C16" s="748">
        <f t="shared" si="0"/>
        <v>103.5670356703567</v>
      </c>
      <c r="D16" s="748">
        <f t="shared" si="1"/>
        <v>1.4457831325301207</v>
      </c>
      <c r="E16" s="748"/>
      <c r="F16" s="748"/>
      <c r="G16" s="839"/>
      <c r="H16" s="848">
        <f>$B$253/B16</f>
        <v>4.3571496437054629</v>
      </c>
    </row>
    <row r="17" spans="1:8" ht="15.75" hidden="1" thickBot="1">
      <c r="A17" s="973" t="s">
        <v>546</v>
      </c>
      <c r="B17" s="748">
        <f>geral!E1059</f>
        <v>42650</v>
      </c>
      <c r="C17" s="748">
        <f t="shared" si="0"/>
        <v>104.920049200492</v>
      </c>
      <c r="D17" s="748">
        <f t="shared" si="1"/>
        <v>1.3064133016627011</v>
      </c>
      <c r="E17" s="748">
        <f t="shared" ref="E17:E28" si="2">100*((B17/$B$16)-1)</f>
        <v>1.3064133016627011</v>
      </c>
      <c r="F17" s="748"/>
      <c r="G17" s="839"/>
      <c r="H17" s="848">
        <f>$B$253/B17</f>
        <v>4.3009613130128956</v>
      </c>
    </row>
    <row r="18" spans="1:8" ht="15.75" hidden="1" thickBot="1">
      <c r="A18" s="973" t="s">
        <v>547</v>
      </c>
      <c r="B18" s="748">
        <f>geral!E1060</f>
        <v>43225</v>
      </c>
      <c r="C18" s="748">
        <f t="shared" si="0"/>
        <v>106.33456334563346</v>
      </c>
      <c r="D18" s="748">
        <f t="shared" si="1"/>
        <v>1.3481828839390309</v>
      </c>
      <c r="E18" s="748">
        <f t="shared" si="2"/>
        <v>2.6722090261282583</v>
      </c>
      <c r="F18" s="748"/>
      <c r="G18" s="839"/>
      <c r="H18" s="848">
        <f>$B$253/B18</f>
        <v>4.2437478311162522</v>
      </c>
    </row>
    <row r="19" spans="1:8" ht="15.75" hidden="1" thickBot="1">
      <c r="A19" s="973" t="s">
        <v>548</v>
      </c>
      <c r="B19" s="748">
        <f>geral!E1061</f>
        <v>43020</v>
      </c>
      <c r="C19" s="748">
        <f t="shared" si="0"/>
        <v>105.83025830258302</v>
      </c>
      <c r="D19" s="748">
        <f t="shared" si="1"/>
        <v>-0.47426257952574158</v>
      </c>
      <c r="E19" s="748">
        <f t="shared" si="2"/>
        <v>2.1852731591448959</v>
      </c>
      <c r="F19" s="748"/>
      <c r="G19" s="839"/>
      <c r="H19" s="848">
        <f>$B$253/B19</f>
        <v>4.263970246397025</v>
      </c>
    </row>
    <row r="20" spans="1:8" ht="15.75" hidden="1" thickBot="1">
      <c r="A20" s="973" t="s">
        <v>549</v>
      </c>
      <c r="B20" s="748">
        <f>geral!E1062</f>
        <v>44200</v>
      </c>
      <c r="C20" s="748">
        <f t="shared" si="0"/>
        <v>108.7330873308733</v>
      </c>
      <c r="D20" s="748">
        <f t="shared" si="1"/>
        <v>2.7429102742910327</v>
      </c>
      <c r="E20" s="748">
        <f t="shared" si="2"/>
        <v>4.9881235154394243</v>
      </c>
      <c r="F20" s="748">
        <f t="shared" ref="F20:F83" si="3">100*((B20/B8)-1)</f>
        <v>8.7330873308733015</v>
      </c>
      <c r="G20" s="839"/>
      <c r="H20" s="848">
        <f>$B$253/B20</f>
        <v>4.1501357466063347</v>
      </c>
    </row>
    <row r="21" spans="1:8" ht="15.75" hidden="1" thickBot="1">
      <c r="A21" s="973" t="s">
        <v>550</v>
      </c>
      <c r="B21" s="748">
        <f>geral!E1063</f>
        <v>44560</v>
      </c>
      <c r="C21" s="748">
        <f t="shared" si="0"/>
        <v>109.61869618696187</v>
      </c>
      <c r="D21" s="748">
        <f t="shared" si="1"/>
        <v>0.81447963800904688</v>
      </c>
      <c r="E21" s="748">
        <f t="shared" si="2"/>
        <v>5.8432304038004812</v>
      </c>
      <c r="F21" s="748">
        <f t="shared" si="3"/>
        <v>9.0553108174253438</v>
      </c>
      <c r="G21" s="839"/>
      <c r="H21" s="848">
        <f>$B$253/B21</f>
        <v>4.1166068222621188</v>
      </c>
    </row>
    <row r="22" spans="1:8" ht="15.75" hidden="1" thickBot="1">
      <c r="A22" s="973" t="s">
        <v>551</v>
      </c>
      <c r="B22" s="748">
        <f>geral!E1064</f>
        <v>45200</v>
      </c>
      <c r="C22" s="748">
        <f t="shared" si="0"/>
        <v>111.1931119311193</v>
      </c>
      <c r="D22" s="748">
        <f t="shared" si="1"/>
        <v>1.4362657091562037</v>
      </c>
      <c r="E22" s="748">
        <f t="shared" si="2"/>
        <v>7.3634204275534465</v>
      </c>
      <c r="F22" s="748">
        <f t="shared" si="3"/>
        <v>9.4183807871006451</v>
      </c>
      <c r="G22" s="839"/>
      <c r="H22" s="848">
        <f>$B$253/B22</f>
        <v>4.058318584070796</v>
      </c>
    </row>
    <row r="23" spans="1:8" ht="15.75" hidden="1" thickBot="1">
      <c r="A23" s="973" t="s">
        <v>552</v>
      </c>
      <c r="B23" s="748">
        <f>geral!E1065</f>
        <v>44600</v>
      </c>
      <c r="C23" s="748">
        <f t="shared" si="0"/>
        <v>109.71709717097171</v>
      </c>
      <c r="D23" s="748">
        <f t="shared" si="1"/>
        <v>-1.3274336283185861</v>
      </c>
      <c r="E23" s="748">
        <f t="shared" si="2"/>
        <v>5.9382422802850332</v>
      </c>
      <c r="F23" s="748">
        <f t="shared" si="3"/>
        <v>6.106273283606134</v>
      </c>
      <c r="G23" s="839"/>
      <c r="H23" s="848">
        <f>$B$253/B23</f>
        <v>4.1129147982062779</v>
      </c>
    </row>
    <row r="24" spans="1:8" ht="15.75" hidden="1" thickBot="1">
      <c r="A24" s="973" t="s">
        <v>553</v>
      </c>
      <c r="B24" s="748">
        <f>geral!E1066</f>
        <v>44500</v>
      </c>
      <c r="C24" s="748">
        <f t="shared" si="0"/>
        <v>109.47109471094711</v>
      </c>
      <c r="D24" s="748">
        <f t="shared" si="1"/>
        <v>-0.22421524663677195</v>
      </c>
      <c r="E24" s="748">
        <f t="shared" si="2"/>
        <v>5.700712589073631</v>
      </c>
      <c r="F24" s="748">
        <f t="shared" si="3"/>
        <v>7.5918762088974745</v>
      </c>
      <c r="G24" s="839"/>
      <c r="H24" s="848">
        <f>$B$253/B24</f>
        <v>4.1221573033707868</v>
      </c>
    </row>
    <row r="25" spans="1:8" ht="15.75" hidden="1" thickBot="1">
      <c r="A25" s="973" t="s">
        <v>554</v>
      </c>
      <c r="B25" s="748">
        <f>geral!E1067</f>
        <v>45000</v>
      </c>
      <c r="C25" s="748">
        <f t="shared" si="0"/>
        <v>110.70110701107011</v>
      </c>
      <c r="D25" s="748">
        <f t="shared" si="1"/>
        <v>1.1235955056179803</v>
      </c>
      <c r="E25" s="748">
        <f t="shared" si="2"/>
        <v>6.8883610451306421</v>
      </c>
      <c r="F25" s="748">
        <f t="shared" si="3"/>
        <v>9.8278338875978033</v>
      </c>
      <c r="G25" s="839"/>
      <c r="H25" s="848">
        <f>$B$253/B25</f>
        <v>4.0763555555555557</v>
      </c>
    </row>
    <row r="26" spans="1:8" ht="15.75" hidden="1" thickBot="1">
      <c r="A26" s="973" t="s">
        <v>533</v>
      </c>
      <c r="B26" s="748">
        <f>geral!E1068</f>
        <v>43900</v>
      </c>
      <c r="C26" s="748">
        <f t="shared" si="0"/>
        <v>107.99507995079951</v>
      </c>
      <c r="D26" s="748">
        <f t="shared" si="1"/>
        <v>-2.4444444444444491</v>
      </c>
      <c r="E26" s="748">
        <f t="shared" si="2"/>
        <v>4.2755344418052177</v>
      </c>
      <c r="F26" s="748">
        <f t="shared" si="3"/>
        <v>6.1668681983071405</v>
      </c>
      <c r="G26" s="839"/>
      <c r="H26" s="848">
        <f>$B$253/B26</f>
        <v>4.1784965831435077</v>
      </c>
    </row>
    <row r="27" spans="1:8" ht="15.75" hidden="1" thickBot="1">
      <c r="A27" s="973" t="s">
        <v>555</v>
      </c>
      <c r="B27" s="748">
        <f>geral!E1069</f>
        <v>43925.2</v>
      </c>
      <c r="C27" s="748">
        <f t="shared" si="0"/>
        <v>108.05707257072571</v>
      </c>
      <c r="D27" s="748">
        <f t="shared" si="1"/>
        <v>5.7403189066063121E-2</v>
      </c>
      <c r="E27" s="748">
        <f t="shared" si="2"/>
        <v>4.3353919239904837</v>
      </c>
      <c r="F27" s="748">
        <f t="shared" si="3"/>
        <v>5.84385542168675</v>
      </c>
      <c r="G27" s="839"/>
      <c r="H27" s="848">
        <f>$B$253/B27</f>
        <v>4.1760993689271766</v>
      </c>
    </row>
    <row r="28" spans="1:8" ht="15.75" hidden="1" thickBot="1">
      <c r="A28" s="973" t="s">
        <v>556</v>
      </c>
      <c r="B28" s="748">
        <f>geral!E1070</f>
        <v>43125</v>
      </c>
      <c r="C28" s="748">
        <f t="shared" si="0"/>
        <v>106.08856088560886</v>
      </c>
      <c r="D28" s="748">
        <f t="shared" si="1"/>
        <v>-1.8217333102638067</v>
      </c>
      <c r="E28" s="748">
        <f t="shared" si="2"/>
        <v>2.4346793349168561</v>
      </c>
      <c r="F28" s="748">
        <f t="shared" si="3"/>
        <v>2.4346793349168561</v>
      </c>
      <c r="G28" s="839"/>
      <c r="H28" s="848">
        <f>$B$253/B28</f>
        <v>4.2535884057971014</v>
      </c>
    </row>
    <row r="29" spans="1:8" ht="15.75" hidden="1" thickBot="1">
      <c r="A29" s="973" t="s">
        <v>535</v>
      </c>
      <c r="B29" s="748">
        <f>geral!G1059</f>
        <v>44260</v>
      </c>
      <c r="C29" s="748">
        <f t="shared" si="0"/>
        <v>108.88068880688807</v>
      </c>
      <c r="D29" s="748">
        <f t="shared" si="1"/>
        <v>2.6318840579710123</v>
      </c>
      <c r="E29" s="748">
        <f t="shared" ref="E29:E40" si="4">100*((B29/$B$28)-1)</f>
        <v>2.6318840579710123</v>
      </c>
      <c r="F29" s="748">
        <f t="shared" si="3"/>
        <v>3.774912075029313</v>
      </c>
      <c r="G29" s="839"/>
      <c r="H29" s="848">
        <f>$B$253/B29</f>
        <v>4.1445097153185717</v>
      </c>
    </row>
    <row r="30" spans="1:8" ht="15.75" hidden="1" thickBot="1">
      <c r="A30" s="973" t="s">
        <v>536</v>
      </c>
      <c r="B30" s="748">
        <f>geral!G1060</f>
        <v>45000</v>
      </c>
      <c r="C30" s="748">
        <f t="shared" si="0"/>
        <v>110.70110701107011</v>
      </c>
      <c r="D30" s="748">
        <f t="shared" si="1"/>
        <v>1.6719385449615931</v>
      </c>
      <c r="E30" s="748">
        <f t="shared" si="4"/>
        <v>4.3478260869565188</v>
      </c>
      <c r="F30" s="748">
        <f t="shared" si="3"/>
        <v>4.106419895893576</v>
      </c>
      <c r="G30" s="839"/>
      <c r="H30" s="848">
        <f>$B$253/B30</f>
        <v>4.0763555555555557</v>
      </c>
    </row>
    <row r="31" spans="1:8" ht="15.75" hidden="1" thickBot="1">
      <c r="A31" s="973" t="s">
        <v>537</v>
      </c>
      <c r="B31" s="748">
        <f>geral!G1061</f>
        <v>44740</v>
      </c>
      <c r="C31" s="748">
        <f t="shared" si="0"/>
        <v>110.06150061500615</v>
      </c>
      <c r="D31" s="748">
        <f t="shared" si="1"/>
        <v>-0.57777777777777706</v>
      </c>
      <c r="E31" s="748">
        <f t="shared" si="4"/>
        <v>3.744927536231879</v>
      </c>
      <c r="F31" s="748">
        <f t="shared" si="3"/>
        <v>3.9981403998140319</v>
      </c>
      <c r="G31" s="839"/>
      <c r="H31" s="848">
        <f>$B$253/B31</f>
        <v>4.1000447027268665</v>
      </c>
    </row>
    <row r="32" spans="1:8" ht="15.75" hidden="1" thickBot="1">
      <c r="A32" s="973" t="s">
        <v>538</v>
      </c>
      <c r="B32" s="748">
        <f>geral!G1062</f>
        <v>45000</v>
      </c>
      <c r="C32" s="748">
        <f t="shared" si="0"/>
        <v>110.70110701107011</v>
      </c>
      <c r="D32" s="748">
        <f t="shared" si="1"/>
        <v>0.58113544926241545</v>
      </c>
      <c r="E32" s="748">
        <f t="shared" si="4"/>
        <v>4.3478260869565188</v>
      </c>
      <c r="F32" s="748">
        <f t="shared" si="3"/>
        <v>1.8099547511312153</v>
      </c>
      <c r="G32" s="839">
        <f>100*(B32/B8-1)</f>
        <v>10.701107011070121</v>
      </c>
      <c r="H32" s="848">
        <f>$B$253/B32</f>
        <v>4.0763555555555557</v>
      </c>
    </row>
    <row r="33" spans="1:8" ht="15.75" hidden="1" thickBot="1">
      <c r="A33" s="973" t="s">
        <v>539</v>
      </c>
      <c r="B33" s="748">
        <f>geral!G1063</f>
        <v>45500</v>
      </c>
      <c r="C33" s="748">
        <f t="shared" si="0"/>
        <v>111.93111931119311</v>
      </c>
      <c r="D33" s="748">
        <f t="shared" si="1"/>
        <v>1.1111111111111072</v>
      </c>
      <c r="E33" s="748">
        <f t="shared" si="4"/>
        <v>5.507246376811592</v>
      </c>
      <c r="F33" s="748">
        <f t="shared" si="3"/>
        <v>2.1095152603231693</v>
      </c>
      <c r="G33" s="839">
        <f t="shared" ref="G33:G96" si="5">100*(B33/B9-1)</f>
        <v>11.355849241311788</v>
      </c>
      <c r="H33" s="848">
        <f>$B$253/B33</f>
        <v>4.0315604395604394</v>
      </c>
    </row>
    <row r="34" spans="1:8" ht="15.75" hidden="1" thickBot="1">
      <c r="A34" s="973" t="s">
        <v>540</v>
      </c>
      <c r="B34" s="748">
        <f>geral!G1064</f>
        <v>45600</v>
      </c>
      <c r="C34" s="748">
        <f t="shared" si="0"/>
        <v>112.17712177121771</v>
      </c>
      <c r="D34" s="748">
        <f t="shared" si="1"/>
        <v>0.219780219780219</v>
      </c>
      <c r="E34" s="748">
        <f t="shared" si="4"/>
        <v>5.7391304347826022</v>
      </c>
      <c r="F34" s="748">
        <f t="shared" si="3"/>
        <v>0.88495575221239076</v>
      </c>
      <c r="G34" s="839">
        <f t="shared" si="5"/>
        <v>10.386685041853738</v>
      </c>
      <c r="H34" s="848">
        <f>$B$253/B34</f>
        <v>4.0227192982456144</v>
      </c>
    </row>
    <row r="35" spans="1:8" ht="15.75" hidden="1" thickBot="1">
      <c r="A35" s="973" t="s">
        <v>541</v>
      </c>
      <c r="B35" s="748">
        <f>geral!G1065</f>
        <v>46100</v>
      </c>
      <c r="C35" s="748">
        <f t="shared" si="0"/>
        <v>113.40713407134071</v>
      </c>
      <c r="D35" s="748">
        <f t="shared" si="1"/>
        <v>1.0964912280701844</v>
      </c>
      <c r="E35" s="748">
        <f t="shared" si="4"/>
        <v>6.8985507246376754</v>
      </c>
      <c r="F35" s="748">
        <f t="shared" si="3"/>
        <v>3.3632286995515681</v>
      </c>
      <c r="G35" s="839">
        <f t="shared" si="5"/>
        <v>9.6748699187049869</v>
      </c>
      <c r="H35" s="848">
        <f>$B$253/B35</f>
        <v>3.9790889370932754</v>
      </c>
    </row>
    <row r="36" spans="1:8" ht="15.75" hidden="1" thickBot="1">
      <c r="A36" s="973" t="s">
        <v>542</v>
      </c>
      <c r="B36" s="748">
        <f>geral!G1066</f>
        <v>46400</v>
      </c>
      <c r="C36" s="748">
        <f t="shared" si="0"/>
        <v>114.14514145141452</v>
      </c>
      <c r="D36" s="748">
        <f t="shared" si="1"/>
        <v>0.65075921908894774</v>
      </c>
      <c r="E36" s="748">
        <f t="shared" si="4"/>
        <v>7.5942028985507282</v>
      </c>
      <c r="F36" s="748">
        <f t="shared" si="3"/>
        <v>4.2696629213483162</v>
      </c>
      <c r="G36" s="839">
        <f t="shared" si="5"/>
        <v>12.185686653771754</v>
      </c>
      <c r="H36" s="848">
        <f>$B$253/B36</f>
        <v>3.9533620689655171</v>
      </c>
    </row>
    <row r="37" spans="1:8" ht="15.75" hidden="1" thickBot="1">
      <c r="A37" s="973" t="s">
        <v>543</v>
      </c>
      <c r="B37" s="748">
        <f>geral!G1067</f>
        <v>46700</v>
      </c>
      <c r="C37" s="748">
        <f t="shared" si="0"/>
        <v>114.88314883148831</v>
      </c>
      <c r="D37" s="748">
        <f t="shared" si="1"/>
        <v>0.64655172413792261</v>
      </c>
      <c r="E37" s="748">
        <f t="shared" si="4"/>
        <v>8.2898550724637587</v>
      </c>
      <c r="F37" s="748">
        <f t="shared" si="3"/>
        <v>3.7777777777777688</v>
      </c>
      <c r="G37" s="839">
        <f t="shared" si="5"/>
        <v>13.976885390018158</v>
      </c>
      <c r="H37" s="848">
        <f>$B$253/B37</f>
        <v>3.9279657387580298</v>
      </c>
    </row>
    <row r="38" spans="1:8" ht="15.75" hidden="1" thickBot="1">
      <c r="A38" s="973" t="s">
        <v>532</v>
      </c>
      <c r="B38" s="748">
        <f>geral!G1068</f>
        <v>47540</v>
      </c>
      <c r="C38" s="748">
        <f t="shared" si="0"/>
        <v>116.94956949569496</v>
      </c>
      <c r="D38" s="748">
        <f t="shared" si="1"/>
        <v>1.7987152034261156</v>
      </c>
      <c r="E38" s="748">
        <f t="shared" si="4"/>
        <v>10.237681159420298</v>
      </c>
      <c r="F38" s="748">
        <f t="shared" si="3"/>
        <v>8.2915717539863376</v>
      </c>
      <c r="G38" s="839">
        <f t="shared" si="5"/>
        <v>14.96977025392987</v>
      </c>
      <c r="H38" s="848">
        <f>$B$253/B38</f>
        <v>3.8585612116112746</v>
      </c>
    </row>
    <row r="39" spans="1:8" ht="15.75" hidden="1" thickBot="1">
      <c r="A39" s="973" t="s">
        <v>544</v>
      </c>
      <c r="B39" s="748">
        <f>geral!G1069</f>
        <v>48220</v>
      </c>
      <c r="C39" s="748">
        <f t="shared" si="0"/>
        <v>118.62238622386224</v>
      </c>
      <c r="D39" s="748">
        <f t="shared" si="1"/>
        <v>1.4303744215397485</v>
      </c>
      <c r="E39" s="748">
        <f t="shared" si="4"/>
        <v>11.814492753623185</v>
      </c>
      <c r="F39" s="748">
        <f t="shared" si="3"/>
        <v>9.7775308934279224</v>
      </c>
      <c r="G39" s="839">
        <f t="shared" si="5"/>
        <v>16.192771084337345</v>
      </c>
      <c r="H39" s="848">
        <f>$B$253/B39</f>
        <v>3.8041476565740355</v>
      </c>
    </row>
    <row r="40" spans="1:8" ht="15.75" hidden="1" thickBot="1">
      <c r="A40" s="973" t="s">
        <v>545</v>
      </c>
      <c r="B40" s="748">
        <f>geral!G1070</f>
        <v>48400</v>
      </c>
      <c r="C40" s="748">
        <f t="shared" si="0"/>
        <v>119.06519065190652</v>
      </c>
      <c r="D40" s="748">
        <f t="shared" si="1"/>
        <v>0.37328909166320923</v>
      </c>
      <c r="E40" s="748">
        <f t="shared" si="4"/>
        <v>12.231884057971021</v>
      </c>
      <c r="F40" s="748">
        <f t="shared" si="3"/>
        <v>12.231884057971021</v>
      </c>
      <c r="G40" s="839">
        <f t="shared" si="5"/>
        <v>14.964370546318296</v>
      </c>
      <c r="H40" s="848">
        <f>$B$253/B40</f>
        <v>3.79</v>
      </c>
    </row>
    <row r="41" spans="1:8" ht="15.75" hidden="1" thickBot="1">
      <c r="A41" s="973" t="s">
        <v>565</v>
      </c>
      <c r="B41" s="748">
        <f>geral!I1059</f>
        <v>50080</v>
      </c>
      <c r="C41" s="748">
        <f t="shared" si="0"/>
        <v>123.1980319803198</v>
      </c>
      <c r="D41" s="748">
        <f t="shared" si="1"/>
        <v>3.4710743801652955</v>
      </c>
      <c r="E41" s="748">
        <f t="shared" ref="E41:E52" si="6">100*((B41/$B$40)-1)</f>
        <v>3.4710743801652955</v>
      </c>
      <c r="F41" s="748">
        <f t="shared" si="3"/>
        <v>13.149570718481707</v>
      </c>
      <c r="G41" s="839">
        <f t="shared" si="5"/>
        <v>17.420867526377481</v>
      </c>
      <c r="H41" s="848">
        <f>$B$253/B41</f>
        <v>3.6628594249201276</v>
      </c>
    </row>
    <row r="42" spans="1:8" ht="15.75" hidden="1" thickBot="1">
      <c r="A42" s="973" t="s">
        <v>566</v>
      </c>
      <c r="B42" s="748">
        <f>geral!I1060</f>
        <v>52498.6</v>
      </c>
      <c r="C42" s="748">
        <f t="shared" si="0"/>
        <v>129.14784747847477</v>
      </c>
      <c r="D42" s="748">
        <f t="shared" si="1"/>
        <v>4.8294728434504774</v>
      </c>
      <c r="E42" s="748">
        <f t="shared" si="6"/>
        <v>8.468181818181808</v>
      </c>
      <c r="F42" s="748">
        <f t="shared" si="3"/>
        <v>16.663555555555543</v>
      </c>
      <c r="G42" s="839">
        <f t="shared" si="5"/>
        <v>21.454251012145754</v>
      </c>
      <c r="H42" s="848">
        <f>$B$253/B42</f>
        <v>3.4941122239450197</v>
      </c>
    </row>
    <row r="43" spans="1:8" ht="15.75" hidden="1" thickBot="1">
      <c r="A43" s="973" t="s">
        <v>567</v>
      </c>
      <c r="B43" s="748">
        <f>geral!I1061</f>
        <v>53712.4</v>
      </c>
      <c r="C43" s="748">
        <f t="shared" si="0"/>
        <v>132.13382533825339</v>
      </c>
      <c r="D43" s="748">
        <f t="shared" si="1"/>
        <v>2.312061654977482</v>
      </c>
      <c r="E43" s="748">
        <f t="shared" si="6"/>
        <v>10.976033057851243</v>
      </c>
      <c r="F43" s="748">
        <f t="shared" si="3"/>
        <v>20.054537326776934</v>
      </c>
      <c r="G43" s="839">
        <f t="shared" si="5"/>
        <v>24.85448628544864</v>
      </c>
      <c r="H43" s="848">
        <f>$B$253/B43</f>
        <v>3.4151518085209371</v>
      </c>
    </row>
    <row r="44" spans="1:8" ht="15.75" hidden="1" thickBot="1">
      <c r="A44" s="973" t="s">
        <v>568</v>
      </c>
      <c r="B44" s="748">
        <f>geral!I1062</f>
        <v>53612.4</v>
      </c>
      <c r="C44" s="748">
        <f t="shared" si="0"/>
        <v>131.88782287822877</v>
      </c>
      <c r="D44" s="748">
        <f t="shared" si="1"/>
        <v>-0.18617674875820445</v>
      </c>
      <c r="E44" s="748">
        <f t="shared" si="6"/>
        <v>10.769421487603314</v>
      </c>
      <c r="F44" s="748">
        <f t="shared" si="3"/>
        <v>19.138666666666659</v>
      </c>
      <c r="G44" s="839">
        <f t="shared" si="5"/>
        <v>21.295022624434388</v>
      </c>
      <c r="H44" s="848">
        <f>$B$253/B44</f>
        <v>3.4215218867276973</v>
      </c>
    </row>
    <row r="45" spans="1:8" ht="15.75" hidden="1" thickBot="1">
      <c r="A45" s="973" t="s">
        <v>569</v>
      </c>
      <c r="B45" s="748">
        <f>geral!I1063</f>
        <v>53212.4</v>
      </c>
      <c r="C45" s="748">
        <f t="shared" si="0"/>
        <v>130.90381303813038</v>
      </c>
      <c r="D45" s="748">
        <f t="shared" si="1"/>
        <v>-0.74609605240578691</v>
      </c>
      <c r="E45" s="748">
        <f t="shared" si="6"/>
        <v>9.9429752066115817</v>
      </c>
      <c r="F45" s="748">
        <f t="shared" si="3"/>
        <v>16.95032967032968</v>
      </c>
      <c r="G45" s="839">
        <f t="shared" si="5"/>
        <v>19.417414721723514</v>
      </c>
      <c r="H45" s="848">
        <f>$B$253/B45</f>
        <v>3.4472416203741982</v>
      </c>
    </row>
    <row r="46" spans="1:8" ht="15.75" hidden="1" thickBot="1">
      <c r="A46" s="973" t="s">
        <v>570</v>
      </c>
      <c r="B46" s="748">
        <f>geral!I1064</f>
        <v>52968</v>
      </c>
      <c r="C46" s="748">
        <f t="shared" si="0"/>
        <v>130.30258302583024</v>
      </c>
      <c r="D46" s="748">
        <f t="shared" si="1"/>
        <v>-0.45929144334779792</v>
      </c>
      <c r="E46" s="748">
        <f t="shared" si="6"/>
        <v>9.438016528925619</v>
      </c>
      <c r="F46" s="748">
        <f t="shared" si="3"/>
        <v>16.157894736842103</v>
      </c>
      <c r="G46" s="839">
        <f t="shared" si="5"/>
        <v>17.185840707964605</v>
      </c>
      <c r="H46" s="848">
        <f>$B$253/B46</f>
        <v>3.4631475607914211</v>
      </c>
    </row>
    <row r="47" spans="1:8" ht="15.75" hidden="1" thickBot="1">
      <c r="A47" s="973" t="s">
        <v>571</v>
      </c>
      <c r="B47" s="748">
        <f>geral!I1065</f>
        <v>55000</v>
      </c>
      <c r="C47" s="748">
        <f t="shared" si="0"/>
        <v>135.30135301353013</v>
      </c>
      <c r="D47" s="748">
        <f t="shared" si="1"/>
        <v>3.8362785077782791</v>
      </c>
      <c r="E47" s="748">
        <f t="shared" si="6"/>
        <v>13.636363636363647</v>
      </c>
      <c r="F47" s="748">
        <f t="shared" si="3"/>
        <v>19.305856832971791</v>
      </c>
      <c r="G47" s="839">
        <f t="shared" si="5"/>
        <v>23.318385650224215</v>
      </c>
      <c r="H47" s="848">
        <f>$B$253/B47</f>
        <v>3.3351999999999999</v>
      </c>
    </row>
    <row r="48" spans="1:8" ht="15.75" hidden="1" thickBot="1">
      <c r="A48" s="973" t="s">
        <v>572</v>
      </c>
      <c r="B48" s="748">
        <f>geral!I1066</f>
        <v>57465.2</v>
      </c>
      <c r="C48" s="748">
        <f t="shared" si="0"/>
        <v>141.36580565805659</v>
      </c>
      <c r="D48" s="748">
        <f t="shared" si="1"/>
        <v>4.4821818181818074</v>
      </c>
      <c r="E48" s="748">
        <f t="shared" si="6"/>
        <v>18.72975206611569</v>
      </c>
      <c r="F48" s="748">
        <f t="shared" si="3"/>
        <v>23.847413793103446</v>
      </c>
      <c r="G48" s="839">
        <f t="shared" si="5"/>
        <v>29.135280898876402</v>
      </c>
      <c r="H48" s="848">
        <f>$B$253/B48</f>
        <v>3.1921232328435298</v>
      </c>
    </row>
    <row r="49" spans="1:8" ht="15.75" hidden="1" thickBot="1">
      <c r="A49" s="973" t="s">
        <v>573</v>
      </c>
      <c r="B49" s="748">
        <f>geral!I1067</f>
        <v>58465.2</v>
      </c>
      <c r="C49" s="748">
        <f t="shared" si="0"/>
        <v>143.82583025830257</v>
      </c>
      <c r="D49" s="748">
        <f t="shared" si="1"/>
        <v>1.7401836241760282</v>
      </c>
      <c r="E49" s="748">
        <f t="shared" si="6"/>
        <v>20.795867768595034</v>
      </c>
      <c r="F49" s="748">
        <f t="shared" si="3"/>
        <v>25.193147751605991</v>
      </c>
      <c r="G49" s="839">
        <f t="shared" si="5"/>
        <v>29.922666666666654</v>
      </c>
      <c r="H49" s="848">
        <f>$B$253/B49</f>
        <v>3.1375245445153701</v>
      </c>
    </row>
    <row r="50" spans="1:8" ht="15.75" hidden="1" thickBot="1">
      <c r="A50" s="973" t="s">
        <v>396</v>
      </c>
      <c r="B50" s="748">
        <f>geral!I1068</f>
        <v>61374.48</v>
      </c>
      <c r="C50" s="748">
        <f t="shared" si="0"/>
        <v>150.98273062730627</v>
      </c>
      <c r="D50" s="748">
        <f t="shared" si="1"/>
        <v>4.9760883397303113</v>
      </c>
      <c r="E50" s="748">
        <f t="shared" si="6"/>
        <v>26.806776859504144</v>
      </c>
      <c r="F50" s="748">
        <f t="shared" si="3"/>
        <v>29.100715187210781</v>
      </c>
      <c r="G50" s="839">
        <f t="shared" si="5"/>
        <v>39.805193621867893</v>
      </c>
      <c r="H50" s="848">
        <f>$B$253/B50</f>
        <v>2.9887992533704559</v>
      </c>
    </row>
    <row r="51" spans="1:8" ht="15.75" hidden="1" thickBot="1">
      <c r="A51" s="973" t="s">
        <v>397</v>
      </c>
      <c r="B51" s="748">
        <f>geral!I1069</f>
        <v>61870.879999999997</v>
      </c>
      <c r="C51" s="748">
        <f t="shared" si="0"/>
        <v>152.20388683886839</v>
      </c>
      <c r="D51" s="748">
        <f t="shared" si="1"/>
        <v>0.80880522327846371</v>
      </c>
      <c r="E51" s="748">
        <f t="shared" si="6"/>
        <v>27.832396694214868</v>
      </c>
      <c r="F51" s="748">
        <f t="shared" si="3"/>
        <v>28.30958108668602</v>
      </c>
      <c r="G51" s="839">
        <f t="shared" si="5"/>
        <v>40.855090016664697</v>
      </c>
      <c r="H51" s="848">
        <f>$B$253/B51</f>
        <v>2.9648196372833229</v>
      </c>
    </row>
    <row r="52" spans="1:8" ht="15.75" hidden="1" thickBot="1">
      <c r="A52" s="973" t="s">
        <v>398</v>
      </c>
      <c r="B52" s="748">
        <f>geral!I1070</f>
        <v>58640</v>
      </c>
      <c r="C52" s="748">
        <f t="shared" si="0"/>
        <v>144.25584255842557</v>
      </c>
      <c r="D52" s="748">
        <f t="shared" si="1"/>
        <v>-5.2219719519101648</v>
      </c>
      <c r="E52" s="748">
        <f t="shared" si="6"/>
        <v>21.157024793388434</v>
      </c>
      <c r="F52" s="748">
        <f t="shared" si="3"/>
        <v>21.157024793388434</v>
      </c>
      <c r="G52" s="839">
        <f t="shared" si="5"/>
        <v>35.976811594202893</v>
      </c>
      <c r="H52" s="848">
        <f>$B$253/B52</f>
        <v>3.1281718963165077</v>
      </c>
    </row>
    <row r="53" spans="1:8" ht="15.75" hidden="1" thickBot="1">
      <c r="A53" s="973" t="s">
        <v>399</v>
      </c>
      <c r="B53" s="748">
        <f>geral!K1059</f>
        <v>62200.6</v>
      </c>
      <c r="C53" s="748">
        <f t="shared" si="0"/>
        <v>153.01500615006151</v>
      </c>
      <c r="D53" s="748">
        <f t="shared" si="1"/>
        <v>6.0719645293315194</v>
      </c>
      <c r="E53" s="748">
        <f t="shared" ref="E53:E64" si="7">100*((B53/$B$52)-1)</f>
        <v>6.0719645293315194</v>
      </c>
      <c r="F53" s="748">
        <f t="shared" si="3"/>
        <v>24.202476038338649</v>
      </c>
      <c r="G53" s="839">
        <f t="shared" si="5"/>
        <v>40.53456845910528</v>
      </c>
      <c r="H53" s="848">
        <f>$B$253/B53</f>
        <v>2.9491033848548085</v>
      </c>
    </row>
    <row r="54" spans="1:8" ht="15.75" hidden="1" thickBot="1">
      <c r="A54" s="973" t="s">
        <v>400</v>
      </c>
      <c r="B54" s="748">
        <f>geral!K1060</f>
        <v>64260</v>
      </c>
      <c r="C54" s="748">
        <f t="shared" si="0"/>
        <v>158.08118081180811</v>
      </c>
      <c r="D54" s="748">
        <f t="shared" si="1"/>
        <v>3.3109005379369449</v>
      </c>
      <c r="E54" s="748">
        <f t="shared" si="7"/>
        <v>9.583901773533432</v>
      </c>
      <c r="F54" s="748">
        <f t="shared" si="3"/>
        <v>22.403264087042317</v>
      </c>
      <c r="G54" s="839">
        <f t="shared" si="5"/>
        <v>42.8</v>
      </c>
      <c r="H54" s="848">
        <f>$B$253/B54</f>
        <v>2.8545907251789604</v>
      </c>
    </row>
    <row r="55" spans="1:8" ht="15.75" hidden="1" thickBot="1">
      <c r="A55" s="973" t="s">
        <v>401</v>
      </c>
      <c r="B55" s="748">
        <f>geral!K1061</f>
        <v>65526</v>
      </c>
      <c r="C55" s="748">
        <f t="shared" si="0"/>
        <v>161.19557195571954</v>
      </c>
      <c r="D55" s="748">
        <f t="shared" si="1"/>
        <v>1.9701213818860808</v>
      </c>
      <c r="E55" s="748">
        <f t="shared" si="7"/>
        <v>11.742837653478855</v>
      </c>
      <c r="F55" s="748">
        <f t="shared" si="3"/>
        <v>21.994176391298836</v>
      </c>
      <c r="G55" s="839">
        <f t="shared" si="5"/>
        <v>46.459544032185974</v>
      </c>
      <c r="H55" s="848">
        <f>$B$253/B55</f>
        <v>2.7994383908677474</v>
      </c>
    </row>
    <row r="56" spans="1:8" ht="15.75" hidden="1" thickBot="1">
      <c r="A56" s="973" t="s">
        <v>402</v>
      </c>
      <c r="B56" s="748">
        <f>geral!K1062</f>
        <v>64084</v>
      </c>
      <c r="C56" s="748">
        <f t="shared" si="0"/>
        <v>157.64821648216483</v>
      </c>
      <c r="D56" s="748">
        <f t="shared" si="1"/>
        <v>-2.2006531758385961</v>
      </c>
      <c r="E56" s="748">
        <f t="shared" si="7"/>
        <v>9.2837653478853976</v>
      </c>
      <c r="F56" s="748">
        <f t="shared" si="3"/>
        <v>19.532048555931091</v>
      </c>
      <c r="G56" s="839">
        <f t="shared" si="5"/>
        <v>42.408888888888896</v>
      </c>
      <c r="H56" s="848">
        <f>$B$253/B56</f>
        <v>2.8624305598901443</v>
      </c>
    </row>
    <row r="57" spans="1:8" ht="15.75" hidden="1" thickBot="1">
      <c r="A57" s="973" t="s">
        <v>403</v>
      </c>
      <c r="B57" s="748">
        <f>geral!K1063</f>
        <v>64885.599999999999</v>
      </c>
      <c r="C57" s="748">
        <f t="shared" si="0"/>
        <v>159.62017220172203</v>
      </c>
      <c r="D57" s="748">
        <f t="shared" si="1"/>
        <v>1.2508582485487807</v>
      </c>
      <c r="E57" s="748">
        <f t="shared" si="7"/>
        <v>10.650750341064107</v>
      </c>
      <c r="F57" s="748">
        <f t="shared" si="3"/>
        <v>21.936992129653987</v>
      </c>
      <c r="G57" s="839">
        <f t="shared" si="5"/>
        <v>42.605714285714292</v>
      </c>
      <c r="H57" s="848">
        <f>$B$253/B57</f>
        <v>2.8270679472795197</v>
      </c>
    </row>
    <row r="58" spans="1:8" ht="15.75" hidden="1" thickBot="1">
      <c r="A58" s="973" t="s">
        <v>404</v>
      </c>
      <c r="B58" s="748">
        <f>geral!K1064</f>
        <v>66923.600000000006</v>
      </c>
      <c r="C58" s="748">
        <f t="shared" si="0"/>
        <v>164.63370233702338</v>
      </c>
      <c r="D58" s="748">
        <f t="shared" si="1"/>
        <v>3.1409126215986349</v>
      </c>
      <c r="E58" s="748">
        <f t="shared" si="7"/>
        <v>14.126193724420212</v>
      </c>
      <c r="F58" s="748">
        <f t="shared" si="3"/>
        <v>26.347228515330023</v>
      </c>
      <c r="G58" s="839">
        <f t="shared" si="5"/>
        <v>46.762280701754392</v>
      </c>
      <c r="H58" s="848">
        <f>$B$253/B58</f>
        <v>2.7409762774267969</v>
      </c>
    </row>
    <row r="59" spans="1:8" ht="15.75" hidden="1" thickBot="1">
      <c r="A59" s="973" t="s">
        <v>405</v>
      </c>
      <c r="B59" s="748">
        <f>geral!K1065</f>
        <v>67600</v>
      </c>
      <c r="C59" s="748">
        <f t="shared" si="0"/>
        <v>166.29766297662977</v>
      </c>
      <c r="D59" s="748">
        <f t="shared" si="1"/>
        <v>1.0107047439169348</v>
      </c>
      <c r="E59" s="748">
        <f t="shared" si="7"/>
        <v>15.279672578444758</v>
      </c>
      <c r="F59" s="748">
        <f t="shared" si="3"/>
        <v>22.909090909090899</v>
      </c>
      <c r="G59" s="839">
        <f t="shared" si="5"/>
        <v>46.637744034707154</v>
      </c>
      <c r="H59" s="848">
        <f>$B$253/B59</f>
        <v>2.713550295857988</v>
      </c>
    </row>
    <row r="60" spans="1:8" ht="15.75" hidden="1" thickBot="1">
      <c r="A60" s="973" t="s">
        <v>406</v>
      </c>
      <c r="B60" s="748">
        <f>geral!K1066</f>
        <v>67866</v>
      </c>
      <c r="C60" s="748">
        <f t="shared" si="0"/>
        <v>166.95202952029521</v>
      </c>
      <c r="D60" s="748">
        <f t="shared" si="1"/>
        <v>0.39349112426034782</v>
      </c>
      <c r="E60" s="748">
        <f t="shared" si="7"/>
        <v>15.733287858117318</v>
      </c>
      <c r="F60" s="748">
        <f t="shared" si="3"/>
        <v>18.099301838329996</v>
      </c>
      <c r="G60" s="839">
        <f t="shared" si="5"/>
        <v>46.262931034482754</v>
      </c>
      <c r="H60" s="848">
        <f>$B$253/B60</f>
        <v>2.702914566940736</v>
      </c>
    </row>
    <row r="61" spans="1:8" ht="15.75" hidden="1" thickBot="1">
      <c r="A61" s="973" t="s">
        <v>407</v>
      </c>
      <c r="B61" s="748">
        <f>geral!K1067</f>
        <v>67720</v>
      </c>
      <c r="C61" s="748">
        <f t="shared" si="0"/>
        <v>166.59286592865928</v>
      </c>
      <c r="D61" s="748">
        <f t="shared" si="1"/>
        <v>-0.21512981463471803</v>
      </c>
      <c r="E61" s="748">
        <f t="shared" si="7"/>
        <v>15.484311050477494</v>
      </c>
      <c r="F61" s="748">
        <f t="shared" si="3"/>
        <v>15.829587515308251</v>
      </c>
      <c r="G61" s="839">
        <f t="shared" si="5"/>
        <v>45.010706638115636</v>
      </c>
      <c r="H61" s="848">
        <f>$B$253/B61</f>
        <v>2.7087418783225043</v>
      </c>
    </row>
    <row r="62" spans="1:8" ht="15.75" hidden="1" thickBot="1">
      <c r="A62" s="973" t="s">
        <v>408</v>
      </c>
      <c r="B62" s="748">
        <f>geral!K1068</f>
        <v>69781</v>
      </c>
      <c r="C62" s="748">
        <f t="shared" si="0"/>
        <v>171.66297662976629</v>
      </c>
      <c r="D62" s="748">
        <f t="shared" si="1"/>
        <v>3.0434140578854185</v>
      </c>
      <c r="E62" s="748">
        <f t="shared" si="7"/>
        <v>18.998976807639846</v>
      </c>
      <c r="F62" s="748">
        <f t="shared" si="3"/>
        <v>13.697093645436986</v>
      </c>
      <c r="G62" s="839">
        <f t="shared" si="5"/>
        <v>46.783761043331928</v>
      </c>
      <c r="H62" s="848">
        <f>$B$253/B62</f>
        <v>2.6287384818216992</v>
      </c>
    </row>
    <row r="63" spans="1:8" ht="15.75" hidden="1" thickBot="1">
      <c r="A63" s="973" t="s">
        <v>409</v>
      </c>
      <c r="B63" s="748">
        <f>geral!K1069</f>
        <v>70820</v>
      </c>
      <c r="C63" s="748">
        <f t="shared" si="0"/>
        <v>174.21894218942188</v>
      </c>
      <c r="D63" s="748">
        <f t="shared" si="1"/>
        <v>1.4889439818861927</v>
      </c>
      <c r="E63" s="748">
        <f t="shared" si="7"/>
        <v>20.770804911323324</v>
      </c>
      <c r="F63" s="748">
        <f t="shared" si="3"/>
        <v>14.464187352757873</v>
      </c>
      <c r="G63" s="839">
        <f t="shared" si="5"/>
        <v>46.868519286603075</v>
      </c>
      <c r="H63" s="848">
        <f>$B$253/B63</f>
        <v>2.5901722677209826</v>
      </c>
    </row>
    <row r="64" spans="1:8" ht="15.75" hidden="1" thickBot="1">
      <c r="A64" s="973" t="s">
        <v>410</v>
      </c>
      <c r="B64" s="748">
        <f>geral!K1070</f>
        <v>69679.89</v>
      </c>
      <c r="C64" s="748">
        <f t="shared" si="0"/>
        <v>171.41424354243543</v>
      </c>
      <c r="D64" s="748">
        <f t="shared" si="1"/>
        <v>-1.6098700931940102</v>
      </c>
      <c r="E64" s="748">
        <f t="shared" si="7"/>
        <v>18.826551841746241</v>
      </c>
      <c r="F64" s="748">
        <f t="shared" si="3"/>
        <v>18.826551841746241</v>
      </c>
      <c r="G64" s="839">
        <f t="shared" si="5"/>
        <v>43.966714876033052</v>
      </c>
      <c r="H64" s="848">
        <f>$B$253/B64</f>
        <v>2.6325529503562648</v>
      </c>
    </row>
    <row r="65" spans="1:8" ht="15.75" hidden="1" thickBot="1">
      <c r="A65" s="973" t="s">
        <v>411</v>
      </c>
      <c r="B65" s="748">
        <f>geral!M1059</f>
        <v>70737.259999999995</v>
      </c>
      <c r="C65" s="748">
        <f t="shared" si="0"/>
        <v>174.01539975399751</v>
      </c>
      <c r="D65" s="748">
        <f t="shared" si="1"/>
        <v>1.5174679523747736</v>
      </c>
      <c r="E65" s="748">
        <f t="shared" ref="E65:E76" si="8">100*((B65/$B$64)-1)</f>
        <v>1.5174679523747736</v>
      </c>
      <c r="F65" s="748">
        <f t="shared" si="3"/>
        <v>13.724401372334016</v>
      </c>
      <c r="G65" s="839">
        <f t="shared" si="5"/>
        <v>41.24852236421723</v>
      </c>
      <c r="H65" s="848">
        <f>$B$253/B65</f>
        <v>2.593201941946861</v>
      </c>
    </row>
    <row r="66" spans="1:8" ht="15.75" hidden="1" thickBot="1">
      <c r="A66" s="973" t="s">
        <v>412</v>
      </c>
      <c r="B66" s="748">
        <f>geral!M1060</f>
        <v>71730.880000000005</v>
      </c>
      <c r="C66" s="748">
        <f t="shared" si="0"/>
        <v>176.45972939729398</v>
      </c>
      <c r="D66" s="748">
        <f t="shared" si="1"/>
        <v>1.4046628325722788</v>
      </c>
      <c r="E66" s="748">
        <f t="shared" si="8"/>
        <v>2.9434460932702411</v>
      </c>
      <c r="F66" s="748">
        <f t="shared" si="3"/>
        <v>11.626019296607538</v>
      </c>
      <c r="G66" s="839">
        <f t="shared" si="5"/>
        <v>36.63389118947935</v>
      </c>
      <c r="H66" s="848">
        <f>$B$253/B66</f>
        <v>2.5572807694538251</v>
      </c>
    </row>
    <row r="67" spans="1:8" ht="15.75" hidden="1" thickBot="1">
      <c r="A67" s="973" t="s">
        <v>413</v>
      </c>
      <c r="B67" s="748">
        <f>geral!M1061</f>
        <v>72457.14</v>
      </c>
      <c r="C67" s="748">
        <f t="shared" si="0"/>
        <v>178.24634686346863</v>
      </c>
      <c r="D67" s="748">
        <f t="shared" si="1"/>
        <v>1.0124788654481742</v>
      </c>
      <c r="E67" s="748">
        <f t="shared" si="8"/>
        <v>3.9857267283286424</v>
      </c>
      <c r="F67" s="748">
        <f t="shared" si="3"/>
        <v>10.577694350334221</v>
      </c>
      <c r="G67" s="839">
        <f t="shared" si="5"/>
        <v>34.898347495178015</v>
      </c>
      <c r="H67" s="848">
        <f>$B$253/B67</f>
        <v>2.5316483648126327</v>
      </c>
    </row>
    <row r="68" spans="1:8" ht="15.75" hidden="1" thickBot="1">
      <c r="A68" s="973" t="s">
        <v>414</v>
      </c>
      <c r="B68" s="748">
        <f>geral!M1062</f>
        <v>72917.67</v>
      </c>
      <c r="C68" s="748">
        <f t="shared" si="0"/>
        <v>179.37926199261992</v>
      </c>
      <c r="D68" s="748">
        <f t="shared" si="1"/>
        <v>0.63558953610367563</v>
      </c>
      <c r="E68" s="748">
        <f t="shared" si="8"/>
        <v>4.6466491264552712</v>
      </c>
      <c r="F68" s="748">
        <f t="shared" si="3"/>
        <v>13.784517196180012</v>
      </c>
      <c r="G68" s="839">
        <f t="shared" si="5"/>
        <v>36.008964344069639</v>
      </c>
      <c r="H68" s="848">
        <f>$B$253/B68</f>
        <v>2.5156590988165148</v>
      </c>
    </row>
    <row r="69" spans="1:8" ht="15.75" hidden="1" thickBot="1">
      <c r="A69" s="973" t="s">
        <v>415</v>
      </c>
      <c r="B69" s="748">
        <f>geral!M1063</f>
        <v>73785.710000000006</v>
      </c>
      <c r="C69" s="748">
        <f t="shared" si="0"/>
        <v>181.51466174661749</v>
      </c>
      <c r="D69" s="748">
        <f t="shared" si="1"/>
        <v>1.1904384767094323</v>
      </c>
      <c r="E69" s="748">
        <f t="shared" si="8"/>
        <v>5.892403102243704</v>
      </c>
      <c r="F69" s="748">
        <f t="shared" si="3"/>
        <v>13.716618171058004</v>
      </c>
      <c r="G69" s="839">
        <f t="shared" si="5"/>
        <v>38.662623749351653</v>
      </c>
      <c r="H69" s="848">
        <f>$B$253/B69</f>
        <v>2.4860640359766135</v>
      </c>
    </row>
    <row r="70" spans="1:8" ht="15.75" hidden="1" thickBot="1">
      <c r="A70" s="973" t="s">
        <v>416</v>
      </c>
      <c r="B70" s="748">
        <f>geral!M1064</f>
        <v>74583.33</v>
      </c>
      <c r="C70" s="748">
        <f t="shared" si="0"/>
        <v>183.47682656826569</v>
      </c>
      <c r="D70" s="748">
        <f t="shared" si="1"/>
        <v>1.0809952225166564</v>
      </c>
      <c r="E70" s="748">
        <f t="shared" si="8"/>
        <v>7.037094920787057</v>
      </c>
      <c r="F70" s="748">
        <f t="shared" si="3"/>
        <v>11.44548410426216</v>
      </c>
      <c r="G70" s="839">
        <f t="shared" si="5"/>
        <v>40.80828047122791</v>
      </c>
      <c r="H70" s="848">
        <f>$B$253/B70</f>
        <v>2.4594772048928357</v>
      </c>
    </row>
    <row r="71" spans="1:8" ht="15.75" hidden="1" thickBot="1">
      <c r="A71" s="973" t="s">
        <v>417</v>
      </c>
      <c r="B71" s="748">
        <f>geral!M1065</f>
        <v>75433.33</v>
      </c>
      <c r="C71" s="748">
        <f t="shared" si="0"/>
        <v>185.56784747847479</v>
      </c>
      <c r="D71" s="748">
        <f t="shared" si="1"/>
        <v>1.1396648554040212</v>
      </c>
      <c r="E71" s="748">
        <f t="shared" si="8"/>
        <v>8.2569590738446941</v>
      </c>
      <c r="F71" s="748">
        <f t="shared" si="3"/>
        <v>11.587766272189359</v>
      </c>
      <c r="G71" s="839">
        <f t="shared" si="5"/>
        <v>37.151509090909094</v>
      </c>
      <c r="H71" s="848">
        <f>$B$253/B71</f>
        <v>2.4317632537235196</v>
      </c>
    </row>
    <row r="72" spans="1:8" ht="15.75" hidden="1" thickBot="1">
      <c r="A72" s="973" t="s">
        <v>418</v>
      </c>
      <c r="B72" s="748">
        <f>geral!M1066</f>
        <v>78011.11</v>
      </c>
      <c r="C72" s="748">
        <f t="shared" si="0"/>
        <v>191.90924969249693</v>
      </c>
      <c r="D72" s="748">
        <f t="shared" si="1"/>
        <v>3.4172957762835132</v>
      </c>
      <c r="E72" s="748">
        <f t="shared" si="8"/>
        <v>11.956419563808151</v>
      </c>
      <c r="F72" s="748">
        <f t="shared" si="3"/>
        <v>14.94873721745793</v>
      </c>
      <c r="G72" s="839">
        <f t="shared" si="5"/>
        <v>35.7536561257944</v>
      </c>
      <c r="H72" s="848">
        <f>$B$253/B72</f>
        <v>2.3514086647401888</v>
      </c>
    </row>
    <row r="73" spans="1:8" ht="15.75" hidden="1" thickBot="1">
      <c r="A73" s="973" t="s">
        <v>419</v>
      </c>
      <c r="B73" s="748">
        <f>geral!M1067</f>
        <v>77830</v>
      </c>
      <c r="C73" s="748">
        <f t="shared" si="0"/>
        <v>191.46371463714638</v>
      </c>
      <c r="D73" s="748">
        <f t="shared" si="1"/>
        <v>-0.23215923988262333</v>
      </c>
      <c r="E73" s="748">
        <f t="shared" si="8"/>
        <v>11.696502391149011</v>
      </c>
      <c r="F73" s="748">
        <f t="shared" si="3"/>
        <v>14.929119905493216</v>
      </c>
      <c r="G73" s="839">
        <f t="shared" si="5"/>
        <v>33.12192552150681</v>
      </c>
      <c r="H73" s="848">
        <f>$B$253/B73</f>
        <v>2.3568803803160736</v>
      </c>
    </row>
    <row r="74" spans="1:8" ht="15.75" hidden="1" thickBot="1">
      <c r="A74" s="973" t="s">
        <v>420</v>
      </c>
      <c r="B74" s="748">
        <f>geral!M1068</f>
        <v>77750</v>
      </c>
      <c r="C74" s="748">
        <f t="shared" ref="C74:C147" si="9">100*B74/$B$8</f>
        <v>191.2669126691267</v>
      </c>
      <c r="D74" s="748">
        <f t="shared" ref="D74:D124" si="10">100*((B74/B73)-1)</f>
        <v>-0.10278812797122061</v>
      </c>
      <c r="E74" s="748">
        <f t="shared" si="8"/>
        <v>11.581691647331827</v>
      </c>
      <c r="F74" s="748">
        <f t="shared" si="3"/>
        <v>11.420014043937465</v>
      </c>
      <c r="G74" s="839">
        <f t="shared" si="5"/>
        <v>26.681317707294628</v>
      </c>
      <c r="H74" s="848">
        <f>$B$253/B74</f>
        <v>2.359305466237942</v>
      </c>
    </row>
    <row r="75" spans="1:8" ht="15.75" hidden="1" thickBot="1">
      <c r="A75" s="973" t="s">
        <v>421</v>
      </c>
      <c r="B75" s="748">
        <f>geral!M1069</f>
        <v>78616</v>
      </c>
      <c r="C75" s="748">
        <f t="shared" si="9"/>
        <v>193.39729397293974</v>
      </c>
      <c r="D75" s="748">
        <f t="shared" si="10"/>
        <v>1.1138263665594783</v>
      </c>
      <c r="E75" s="748">
        <f t="shared" si="8"/>
        <v>12.824517949152913</v>
      </c>
      <c r="F75" s="748">
        <f t="shared" si="3"/>
        <v>11.00818977689919</v>
      </c>
      <c r="G75" s="839">
        <f t="shared" si="5"/>
        <v>27.064622323134891</v>
      </c>
      <c r="H75" s="848">
        <f>$B$253/B75</f>
        <v>2.3333163732573521</v>
      </c>
    </row>
    <row r="76" spans="1:8" ht="15.75" hidden="1" thickBot="1">
      <c r="A76" s="973" t="s">
        <v>422</v>
      </c>
      <c r="B76" s="748">
        <f>geral!M1070</f>
        <v>79374.5</v>
      </c>
      <c r="C76" s="748">
        <f t="shared" si="9"/>
        <v>195.26322263222633</v>
      </c>
      <c r="D76" s="748">
        <f t="shared" si="10"/>
        <v>0.96481632237712667</v>
      </c>
      <c r="E76" s="748">
        <f t="shared" si="8"/>
        <v>13.913067313969641</v>
      </c>
      <c r="F76" s="748">
        <f t="shared" si="3"/>
        <v>13.913067313969641</v>
      </c>
      <c r="G76" s="839">
        <f t="shared" si="5"/>
        <v>35.358969986357437</v>
      </c>
      <c r="H76" s="848">
        <f>$B$253/B76</f>
        <v>2.3110192820112254</v>
      </c>
    </row>
    <row r="77" spans="1:8" ht="15.75" hidden="1" thickBot="1">
      <c r="A77" s="973" t="s">
        <v>423</v>
      </c>
      <c r="B77" s="748">
        <f>geral!C1074</f>
        <v>79521.34</v>
      </c>
      <c r="C77" s="748">
        <f t="shared" si="9"/>
        <v>195.62445264452646</v>
      </c>
      <c r="D77" s="748">
        <f t="shared" si="10"/>
        <v>0.18499644092246914</v>
      </c>
      <c r="E77" s="748">
        <f t="shared" ref="E77:E88" si="11">100*((B77/$B$76)-1)</f>
        <v>0.18499644092246914</v>
      </c>
      <c r="F77" s="748">
        <f t="shared" si="3"/>
        <v>12.417896876412794</v>
      </c>
      <c r="G77" s="839">
        <f t="shared" si="5"/>
        <v>27.846580258068254</v>
      </c>
      <c r="H77" s="848">
        <f>$B$253/B77</f>
        <v>2.3067518731449947</v>
      </c>
    </row>
    <row r="78" spans="1:8" ht="15.75" hidden="1" thickBot="1">
      <c r="A78" s="973" t="s">
        <v>424</v>
      </c>
      <c r="B78" s="748">
        <f>geral!C1075</f>
        <v>81577.38</v>
      </c>
      <c r="C78" s="748">
        <f t="shared" si="9"/>
        <v>200.68236162361623</v>
      </c>
      <c r="D78" s="748">
        <f t="shared" si="10"/>
        <v>2.5855198114116407</v>
      </c>
      <c r="E78" s="748">
        <f t="shared" si="11"/>
        <v>2.7752993719645458</v>
      </c>
      <c r="F78" s="748">
        <f t="shared" si="3"/>
        <v>13.727002930955257</v>
      </c>
      <c r="G78" s="839">
        <f t="shared" si="5"/>
        <v>26.94892623716154</v>
      </c>
      <c r="H78" s="848">
        <f>$B$253/B78</f>
        <v>2.2486135249746928</v>
      </c>
    </row>
    <row r="79" spans="1:8" ht="15.75" hidden="1" thickBot="1">
      <c r="A79" s="973" t="s">
        <v>425</v>
      </c>
      <c r="B79" s="748">
        <f>geral!C1076</f>
        <v>80025</v>
      </c>
      <c r="C79" s="748">
        <f t="shared" si="9"/>
        <v>196.86346863468634</v>
      </c>
      <c r="D79" s="748">
        <f t="shared" si="10"/>
        <v>-1.9029539806255213</v>
      </c>
      <c r="E79" s="748">
        <f t="shared" si="11"/>
        <v>0.81953272146595424</v>
      </c>
      <c r="F79" s="748">
        <f t="shared" si="3"/>
        <v>10.444602146869176</v>
      </c>
      <c r="G79" s="839">
        <f t="shared" si="5"/>
        <v>22.127094588407648</v>
      </c>
      <c r="H79" s="848">
        <f>$B$253/B79</f>
        <v>2.292233676975945</v>
      </c>
    </row>
    <row r="80" spans="1:8" ht="15.75" hidden="1" thickBot="1">
      <c r="A80" s="973" t="s">
        <v>426</v>
      </c>
      <c r="B80" s="748">
        <f>geral!C1077</f>
        <v>82387.960000000006</v>
      </c>
      <c r="C80" s="748">
        <f t="shared" si="9"/>
        <v>202.67640836408367</v>
      </c>
      <c r="D80" s="748">
        <f t="shared" si="10"/>
        <v>2.9527772571071642</v>
      </c>
      <c r="E80" s="748">
        <f t="shared" si="11"/>
        <v>3.7965089543871233</v>
      </c>
      <c r="F80" s="748">
        <f t="shared" si="3"/>
        <v>12.987647575683647</v>
      </c>
      <c r="G80" s="839">
        <f t="shared" si="5"/>
        <v>28.56244928531304</v>
      </c>
      <c r="H80" s="848">
        <f>$B$253/B80</f>
        <v>2.2264903755354544</v>
      </c>
    </row>
    <row r="81" spans="1:10" ht="15.75" hidden="1" thickBot="1">
      <c r="A81" s="973" t="s">
        <v>427</v>
      </c>
      <c r="B81" s="748">
        <f>geral!C1078</f>
        <v>82343</v>
      </c>
      <c r="C81" s="748">
        <f t="shared" si="9"/>
        <v>202.56580565805658</v>
      </c>
      <c r="D81" s="748">
        <f t="shared" si="10"/>
        <v>-5.4571080531673477E-2</v>
      </c>
      <c r="E81" s="748">
        <f t="shared" si="11"/>
        <v>3.7398660778965587</v>
      </c>
      <c r="F81" s="748">
        <f t="shared" si="3"/>
        <v>11.597489540996486</v>
      </c>
      <c r="G81" s="839">
        <f t="shared" si="5"/>
        <v>26.904891069821346</v>
      </c>
      <c r="H81" s="848">
        <f>$B$253/B81</f>
        <v>2.2277060588028128</v>
      </c>
    </row>
    <row r="82" spans="1:10" ht="15.75" hidden="1" thickBot="1">
      <c r="A82" s="973" t="s">
        <v>428</v>
      </c>
      <c r="B82" s="748">
        <f>geral!C1079</f>
        <v>82629.5</v>
      </c>
      <c r="C82" s="748">
        <f t="shared" si="9"/>
        <v>203.27060270602706</v>
      </c>
      <c r="D82" s="748">
        <f t="shared" si="10"/>
        <v>0.34793485785069578</v>
      </c>
      <c r="E82" s="748">
        <f t="shared" si="11"/>
        <v>4.1008132334691805</v>
      </c>
      <c r="F82" s="748">
        <f t="shared" si="3"/>
        <v>10.788161376007199</v>
      </c>
      <c r="G82" s="839">
        <f t="shared" si="5"/>
        <v>23.468402775702437</v>
      </c>
      <c r="H82" s="848">
        <f>$B$253/B82</f>
        <v>2.2199819676991872</v>
      </c>
    </row>
    <row r="83" spans="1:10" ht="15.75" hidden="1" thickBot="1">
      <c r="A83" s="973" t="s">
        <v>429</v>
      </c>
      <c r="B83" s="748">
        <f>geral!C1080</f>
        <v>82146.17</v>
      </c>
      <c r="C83" s="748">
        <f t="shared" si="9"/>
        <v>202.08159901599015</v>
      </c>
      <c r="D83" s="748">
        <f t="shared" si="10"/>
        <v>-0.58493637260300657</v>
      </c>
      <c r="E83" s="748">
        <f t="shared" si="11"/>
        <v>3.4918897126910986</v>
      </c>
      <c r="F83" s="748">
        <f t="shared" si="3"/>
        <v>8.8990370702181529</v>
      </c>
      <c r="G83" s="839">
        <f t="shared" si="5"/>
        <v>21.518002958579885</v>
      </c>
      <c r="H83" s="848">
        <f>$B$253/B83</f>
        <v>2.2330438534139816</v>
      </c>
    </row>
    <row r="84" spans="1:10" ht="15.75" hidden="1" thickBot="1">
      <c r="A84" s="973" t="s">
        <v>430</v>
      </c>
      <c r="B84" s="748">
        <f>geral!C1081</f>
        <v>82028.570000000007</v>
      </c>
      <c r="C84" s="748">
        <f t="shared" si="9"/>
        <v>201.79230012300124</v>
      </c>
      <c r="D84" s="748">
        <f t="shared" si="10"/>
        <v>-0.14315944370868472</v>
      </c>
      <c r="E84" s="748">
        <f t="shared" si="11"/>
        <v>3.3437312990947987</v>
      </c>
      <c r="F84" s="748">
        <f t="shared" ref="F84:F124" si="12">100*((B84/B72)-1)</f>
        <v>5.1498562191975017</v>
      </c>
      <c r="G84" s="839">
        <f t="shared" si="5"/>
        <v>20.868431909940188</v>
      </c>
      <c r="H84" s="848">
        <f>$B$253/B84</f>
        <v>2.236245249673376</v>
      </c>
    </row>
    <row r="85" spans="1:10" ht="15.75" hidden="1" thickBot="1">
      <c r="A85" s="973" t="s">
        <v>431</v>
      </c>
      <c r="B85" s="748">
        <f>geral!C1082</f>
        <v>84450</v>
      </c>
      <c r="C85" s="748">
        <f t="shared" si="9"/>
        <v>207.74907749077491</v>
      </c>
      <c r="D85" s="748">
        <f t="shared" si="10"/>
        <v>2.9519349173098952</v>
      </c>
      <c r="E85" s="748">
        <f t="shared" si="11"/>
        <v>6.3943709881637112</v>
      </c>
      <c r="F85" s="748">
        <f t="shared" si="12"/>
        <v>8.5057175896183992</v>
      </c>
      <c r="G85" s="839">
        <f t="shared" si="5"/>
        <v>24.704666272888364</v>
      </c>
      <c r="H85" s="848">
        <f>$B$253/B85</f>
        <v>2.1721255180580226</v>
      </c>
    </row>
    <row r="86" spans="1:10" ht="15.75" hidden="1" thickBot="1">
      <c r="A86" s="973" t="s">
        <v>432</v>
      </c>
      <c r="B86" s="748">
        <f>geral!C1083</f>
        <v>85116.67</v>
      </c>
      <c r="C86" s="748">
        <f t="shared" si="9"/>
        <v>209.3891020910209</v>
      </c>
      <c r="D86" s="748">
        <f t="shared" si="10"/>
        <v>0.78942569567790333</v>
      </c>
      <c r="E86" s="748">
        <f t="shared" si="11"/>
        <v>7.2342754914991536</v>
      </c>
      <c r="F86" s="748">
        <f t="shared" si="12"/>
        <v>9.4748167202572287</v>
      </c>
      <c r="G86" s="839">
        <f t="shared" si="5"/>
        <v>21.976856164285397</v>
      </c>
      <c r="H86" s="848">
        <f>$B$253/B86</f>
        <v>2.155112506163599</v>
      </c>
    </row>
    <row r="87" spans="1:10" ht="15.75" hidden="1" thickBot="1">
      <c r="A87" s="973" t="s">
        <v>433</v>
      </c>
      <c r="B87" s="748">
        <f>geral!C1084</f>
        <v>84069.57</v>
      </c>
      <c r="C87" s="748">
        <f t="shared" si="9"/>
        <v>206.81321033210332</v>
      </c>
      <c r="D87" s="748">
        <f t="shared" si="10"/>
        <v>-1.230193803399493</v>
      </c>
      <c r="E87" s="748">
        <f t="shared" si="11"/>
        <v>5.9150860792823945</v>
      </c>
      <c r="F87" s="748">
        <f t="shared" si="12"/>
        <v>6.9369721176350874</v>
      </c>
      <c r="G87" s="839">
        <f t="shared" si="5"/>
        <v>18.708796950014129</v>
      </c>
      <c r="H87" s="848">
        <f>$B$253/B87</f>
        <v>2.1819547786434494</v>
      </c>
    </row>
    <row r="88" spans="1:10" ht="15.75" hidden="1" thickBot="1">
      <c r="A88" s="973" t="s">
        <v>434</v>
      </c>
      <c r="B88" s="748">
        <f>geral!C1085</f>
        <v>84265.2</v>
      </c>
      <c r="C88" s="748">
        <f t="shared" si="9"/>
        <v>207.29446494464943</v>
      </c>
      <c r="D88" s="748">
        <f t="shared" si="10"/>
        <v>0.23270013156959646</v>
      </c>
      <c r="E88" s="748">
        <f t="shared" si="11"/>
        <v>6.1615506239409257</v>
      </c>
      <c r="F88" s="748">
        <f t="shared" si="12"/>
        <v>6.1615506239409257</v>
      </c>
      <c r="G88" s="839">
        <f t="shared" si="5"/>
        <v>20.93187862380379</v>
      </c>
      <c r="H88" s="848">
        <f>$B$253/B88</f>
        <v>2.1768891547163007</v>
      </c>
    </row>
    <row r="89" spans="1:10" ht="15.75" hidden="1" thickBot="1">
      <c r="A89" s="973" t="s">
        <v>435</v>
      </c>
      <c r="B89" s="748">
        <f>geral!E1074</f>
        <v>85062.5</v>
      </c>
      <c r="C89" s="748">
        <f t="shared" si="9"/>
        <v>209.25584255842557</v>
      </c>
      <c r="D89" s="748">
        <f t="shared" si="10"/>
        <v>0.94617944299664192</v>
      </c>
      <c r="E89" s="748">
        <f t="shared" ref="E89:E100" si="13">100*((B89/$B$88)-1)</f>
        <v>0.94617944299664192</v>
      </c>
      <c r="F89" s="748">
        <f t="shared" si="12"/>
        <v>6.9681421364378382</v>
      </c>
      <c r="G89" s="839">
        <f t="shared" si="5"/>
        <v>20.251335717555374</v>
      </c>
      <c r="H89" s="848">
        <f>$B$253/B89</f>
        <v>2.1564849375459221</v>
      </c>
    </row>
    <row r="90" spans="1:10" ht="15.75" hidden="1" thickBot="1">
      <c r="A90" s="973" t="s">
        <v>436</v>
      </c>
      <c r="B90" s="748">
        <f>geral!E1075</f>
        <v>87728.57</v>
      </c>
      <c r="C90" s="748">
        <f t="shared" si="9"/>
        <v>215.81444034440344</v>
      </c>
      <c r="D90" s="748">
        <f t="shared" si="10"/>
        <v>3.1342483468038251</v>
      </c>
      <c r="E90" s="748">
        <f t="shared" si="13"/>
        <v>4.1100834033503952</v>
      </c>
      <c r="F90" s="748">
        <f t="shared" si="12"/>
        <v>7.5403132584056953</v>
      </c>
      <c r="G90" s="839">
        <f t="shared" si="5"/>
        <v>22.302375211345527</v>
      </c>
      <c r="H90" s="848">
        <f>$B$253/B90</f>
        <v>2.0909493908312879</v>
      </c>
    </row>
    <row r="91" spans="1:10" ht="15.75" hidden="1" thickBot="1">
      <c r="A91" s="973" t="s">
        <v>437</v>
      </c>
      <c r="B91" s="748">
        <f>geral!E1076</f>
        <v>87300</v>
      </c>
      <c r="C91" s="748">
        <f t="shared" si="9"/>
        <v>214.76014760147601</v>
      </c>
      <c r="D91" s="748">
        <f t="shared" si="10"/>
        <v>-0.48851816460704356</v>
      </c>
      <c r="E91" s="748">
        <f t="shared" si="13"/>
        <v>3.6014867347374802</v>
      </c>
      <c r="F91" s="748">
        <f t="shared" si="12"/>
        <v>9.0909090909090828</v>
      </c>
      <c r="G91" s="839">
        <f t="shared" si="5"/>
        <v>20.48502052385728</v>
      </c>
      <c r="H91" s="848">
        <f>$B$253/B91</f>
        <v>2.1012142038946164</v>
      </c>
    </row>
    <row r="92" spans="1:10" ht="15.75" hidden="1" thickBot="1">
      <c r="A92" s="973" t="s">
        <v>438</v>
      </c>
      <c r="B92" s="748">
        <f>geral!E1077</f>
        <v>86671.43</v>
      </c>
      <c r="C92" s="748">
        <f t="shared" si="9"/>
        <v>213.21384993849938</v>
      </c>
      <c r="D92" s="748">
        <f t="shared" si="10"/>
        <v>-0.72001145475373285</v>
      </c>
      <c r="E92" s="748">
        <f t="shared" si="13"/>
        <v>2.8555441629521949</v>
      </c>
      <c r="F92" s="748">
        <f t="shared" si="12"/>
        <v>5.1991456033138705</v>
      </c>
      <c r="G92" s="839">
        <f t="shared" si="5"/>
        <v>18.862039886902583</v>
      </c>
      <c r="H92" s="848">
        <f>$B$253/B92</f>
        <v>2.1164529072613663</v>
      </c>
    </row>
    <row r="93" spans="1:10" ht="15.75" hidden="1" thickBot="1">
      <c r="A93" s="973" t="s">
        <v>439</v>
      </c>
      <c r="B93" s="748">
        <f>geral!E1078</f>
        <v>87916.67</v>
      </c>
      <c r="C93" s="748">
        <f t="shared" si="9"/>
        <v>216.27717097170972</v>
      </c>
      <c r="D93" s="748">
        <f t="shared" si="10"/>
        <v>1.4367364193714094</v>
      </c>
      <c r="E93" s="748">
        <f t="shared" si="13"/>
        <v>4.3333072252839777</v>
      </c>
      <c r="F93" s="748">
        <f t="shared" si="12"/>
        <v>6.7688449534265116</v>
      </c>
      <c r="G93" s="839">
        <f t="shared" si="5"/>
        <v>19.151350579942907</v>
      </c>
      <c r="H93" s="848">
        <f>$B$253/B93</f>
        <v>2.0864757502758011</v>
      </c>
    </row>
    <row r="94" spans="1:10" ht="15.75" hidden="1" thickBot="1">
      <c r="A94" s="973" t="s">
        <v>440</v>
      </c>
      <c r="B94" s="748">
        <f>geral!E1079</f>
        <v>88638.333333333328</v>
      </c>
      <c r="C94" s="748">
        <f t="shared" si="9"/>
        <v>218.05248052480522</v>
      </c>
      <c r="D94" s="748">
        <f t="shared" si="10"/>
        <v>0.82084925797727415</v>
      </c>
      <c r="E94" s="748">
        <f t="shared" si="13"/>
        <v>5.1897264034658885</v>
      </c>
      <c r="F94" s="748">
        <f t="shared" si="12"/>
        <v>7.2720194764984925</v>
      </c>
      <c r="G94" s="839">
        <f t="shared" si="5"/>
        <v>18.844698048925036</v>
      </c>
      <c r="H94" s="848">
        <f>$B$253/B94</f>
        <v>2.0694883703439069</v>
      </c>
    </row>
    <row r="95" spans="1:10" ht="15.75" hidden="1" thickBot="1">
      <c r="A95" s="973" t="s">
        <v>441</v>
      </c>
      <c r="B95" s="748">
        <f>geral!E1080</f>
        <v>88775</v>
      </c>
      <c r="C95" s="748">
        <f t="shared" si="9"/>
        <v>218.38868388683886</v>
      </c>
      <c r="D95" s="748">
        <f t="shared" si="10"/>
        <v>0.15418460786342791</v>
      </c>
      <c r="E95" s="748">
        <f t="shared" si="13"/>
        <v>5.3519127706336711</v>
      </c>
      <c r="F95" s="748">
        <f t="shared" si="12"/>
        <v>8.0695545513564504</v>
      </c>
      <c r="G95" s="839">
        <f t="shared" si="5"/>
        <v>17.686704272501295</v>
      </c>
      <c r="H95" s="848">
        <f>$B$253/B95</f>
        <v>2.0663024500140805</v>
      </c>
      <c r="I95" s="813" t="s">
        <v>241</v>
      </c>
      <c r="J95" s="814"/>
    </row>
    <row r="96" spans="1:10" ht="15.75" hidden="1" thickBot="1">
      <c r="A96" s="973" t="s">
        <v>442</v>
      </c>
      <c r="B96" s="748">
        <f>geral!E1081</f>
        <v>89296</v>
      </c>
      <c r="C96" s="748">
        <f t="shared" si="9"/>
        <v>219.67035670356702</v>
      </c>
      <c r="D96" s="748">
        <f t="shared" si="10"/>
        <v>0.58687693607435421</v>
      </c>
      <c r="E96" s="748">
        <f t="shared" si="13"/>
        <v>5.9701988483976898</v>
      </c>
      <c r="F96" s="748">
        <f t="shared" si="12"/>
        <v>8.8596326865139741</v>
      </c>
      <c r="G96" s="839">
        <f t="shared" si="5"/>
        <v>14.46574725061598</v>
      </c>
      <c r="H96" s="848">
        <f>$B$253/B96</f>
        <v>2.0542465507973482</v>
      </c>
    </row>
    <row r="97" spans="1:8" ht="15.75" hidden="1" thickBot="1">
      <c r="A97" s="973" t="s">
        <v>443</v>
      </c>
      <c r="B97" s="748">
        <f>geral!E1082</f>
        <v>89248.333333333328</v>
      </c>
      <c r="C97" s="748">
        <f t="shared" si="9"/>
        <v>219.55309553095529</v>
      </c>
      <c r="D97" s="748">
        <f t="shared" si="10"/>
        <v>-5.3380517231083058E-2</v>
      </c>
      <c r="E97" s="748">
        <f t="shared" si="13"/>
        <v>5.9136314081416064</v>
      </c>
      <c r="F97" s="748">
        <f t="shared" si="12"/>
        <v>5.6818630353266064</v>
      </c>
      <c r="G97" s="839">
        <f t="shared" ref="G97:G124" si="14">100*(B97/B73-1)</f>
        <v>14.670863848558824</v>
      </c>
      <c r="H97" s="848">
        <f>$B$253/B97</f>
        <v>2.055343703897365</v>
      </c>
    </row>
    <row r="98" spans="1:8" ht="15.75" hidden="1" thickBot="1">
      <c r="A98" s="973" t="s">
        <v>444</v>
      </c>
      <c r="B98" s="748">
        <f>geral!E1083</f>
        <v>89365</v>
      </c>
      <c r="C98" s="748">
        <f t="shared" si="9"/>
        <v>219.840098400984</v>
      </c>
      <c r="D98" s="748">
        <f t="shared" si="10"/>
        <v>0.13072139535752481</v>
      </c>
      <c r="E98" s="748">
        <f t="shared" si="13"/>
        <v>6.0520831849921519</v>
      </c>
      <c r="F98" s="748">
        <f t="shared" si="12"/>
        <v>4.9911844530571958</v>
      </c>
      <c r="G98" s="839">
        <f t="shared" si="14"/>
        <v>14.938906752411585</v>
      </c>
      <c r="H98" s="848">
        <f>$B$253/B98</f>
        <v>2.0526604375314719</v>
      </c>
    </row>
    <row r="99" spans="1:8" ht="15.75" hidden="1" thickBot="1">
      <c r="A99" s="973" t="s">
        <v>445</v>
      </c>
      <c r="B99" s="748">
        <f>geral!E1084</f>
        <v>89665</v>
      </c>
      <c r="C99" s="748">
        <f t="shared" si="9"/>
        <v>220.57810578105781</v>
      </c>
      <c r="D99" s="748">
        <f t="shared" si="10"/>
        <v>0.33570189671572326</v>
      </c>
      <c r="E99" s="748">
        <f t="shared" si="13"/>
        <v>6.4081020397506849</v>
      </c>
      <c r="F99" s="748">
        <f t="shared" si="12"/>
        <v>6.655713833197896</v>
      </c>
      <c r="G99" s="839">
        <f t="shared" si="14"/>
        <v>14.054390963671516</v>
      </c>
      <c r="H99" s="848">
        <f>$B$253/B99</f>
        <v>2.0457926727262588</v>
      </c>
    </row>
    <row r="100" spans="1:8" ht="15.75" hidden="1" thickBot="1">
      <c r="A100" s="973" t="s">
        <v>446</v>
      </c>
      <c r="B100" s="748">
        <f>geral!E1085</f>
        <v>89878</v>
      </c>
      <c r="C100" s="748">
        <f t="shared" si="9"/>
        <v>221.10209102091022</v>
      </c>
      <c r="D100" s="748">
        <f t="shared" si="10"/>
        <v>0.23755088384542766</v>
      </c>
      <c r="E100" s="748">
        <f t="shared" si="13"/>
        <v>6.6608754266292536</v>
      </c>
      <c r="F100" s="748">
        <f t="shared" si="12"/>
        <v>6.6608754266292536</v>
      </c>
      <c r="G100" s="839">
        <f t="shared" si="14"/>
        <v>13.232839261979601</v>
      </c>
      <c r="H100" s="848">
        <f>$B$253/B100</f>
        <v>2.0409443912859655</v>
      </c>
    </row>
    <row r="101" spans="1:8" ht="15.75" hidden="1" thickBot="1">
      <c r="A101" s="973" t="s">
        <v>447</v>
      </c>
      <c r="B101" s="748">
        <f>geral!G1074</f>
        <v>90683.333333333328</v>
      </c>
      <c r="C101" s="748">
        <f t="shared" si="9"/>
        <v>223.08323083230829</v>
      </c>
      <c r="D101" s="748">
        <f t="shared" si="10"/>
        <v>0.89602943248996425</v>
      </c>
      <c r="E101" s="748">
        <f t="shared" ref="E101:E112" si="15">100*((B101/$B$100)-1)</f>
        <v>0.89602943248996425</v>
      </c>
      <c r="F101" s="748">
        <f t="shared" si="12"/>
        <v>6.6078863580700364</v>
      </c>
      <c r="G101" s="839">
        <f t="shared" si="14"/>
        <v>14.036475408152494</v>
      </c>
      <c r="H101" s="848">
        <f>$B$253/B101</f>
        <v>2.0228193346811247</v>
      </c>
    </row>
    <row r="102" spans="1:8" ht="15.75" hidden="1" thickBot="1">
      <c r="A102" s="973" t="s">
        <v>448</v>
      </c>
      <c r="B102" s="748">
        <f>geral!G1075</f>
        <v>91166.666666666672</v>
      </c>
      <c r="C102" s="748">
        <f t="shared" si="9"/>
        <v>224.27224272242725</v>
      </c>
      <c r="D102" s="748">
        <f t="shared" si="10"/>
        <v>0.53299025914355092</v>
      </c>
      <c r="E102" s="748">
        <f t="shared" si="15"/>
        <v>1.4337954412277476</v>
      </c>
      <c r="F102" s="748">
        <f t="shared" si="12"/>
        <v>3.9190159678502257</v>
      </c>
      <c r="G102" s="839">
        <f t="shared" si="14"/>
        <v>11.754835306878775</v>
      </c>
      <c r="H102" s="848">
        <f>$B$253/B102</f>
        <v>2.0120950639853747</v>
      </c>
    </row>
    <row r="103" spans="1:8" ht="15.75" hidden="1" thickBot="1">
      <c r="A103" s="973" t="s">
        <v>449</v>
      </c>
      <c r="B103" s="748">
        <f>geral!G1076</f>
        <v>91573.333333333328</v>
      </c>
      <c r="C103" s="748">
        <f t="shared" si="9"/>
        <v>225.27265272652724</v>
      </c>
      <c r="D103" s="748">
        <f t="shared" si="10"/>
        <v>0.44606946983545281</v>
      </c>
      <c r="E103" s="748">
        <f t="shared" si="15"/>
        <v>1.8862606347864075</v>
      </c>
      <c r="F103" s="748">
        <f t="shared" si="12"/>
        <v>4.8949980908743695</v>
      </c>
      <c r="G103" s="839">
        <f t="shared" si="14"/>
        <v>14.43090700822658</v>
      </c>
      <c r="H103" s="848">
        <f>$B$253/B103</f>
        <v>2.0031595806639491</v>
      </c>
    </row>
    <row r="104" spans="1:8" ht="15.75" hidden="1" thickBot="1">
      <c r="A104" s="973" t="s">
        <v>450</v>
      </c>
      <c r="B104" s="748">
        <f>geral!G1077</f>
        <v>91848.333333333328</v>
      </c>
      <c r="C104" s="748">
        <f t="shared" si="9"/>
        <v>225.94915949159488</v>
      </c>
      <c r="D104" s="748">
        <f t="shared" si="10"/>
        <v>0.3003057658707009</v>
      </c>
      <c r="E104" s="748">
        <f t="shared" si="15"/>
        <v>2.1922309501027248</v>
      </c>
      <c r="F104" s="748">
        <f t="shared" si="12"/>
        <v>5.973021713537352</v>
      </c>
      <c r="G104" s="839">
        <f t="shared" si="14"/>
        <v>11.482713412655588</v>
      </c>
      <c r="H104" s="848">
        <f>$B$253/B104</f>
        <v>1.9971619880600266</v>
      </c>
    </row>
    <row r="105" spans="1:8" ht="15.75" hidden="1" thickBot="1">
      <c r="A105" s="973" t="s">
        <v>451</v>
      </c>
      <c r="B105" s="748">
        <f>geral!G1078</f>
        <v>92230</v>
      </c>
      <c r="C105" s="748">
        <f t="shared" si="9"/>
        <v>226.88806888068882</v>
      </c>
      <c r="D105" s="748">
        <f t="shared" si="10"/>
        <v>0.41554011141555769</v>
      </c>
      <c r="E105" s="748">
        <f t="shared" si="15"/>
        <v>2.6168806604508266</v>
      </c>
      <c r="F105" s="748">
        <f t="shared" si="12"/>
        <v>4.906157159956126</v>
      </c>
      <c r="G105" s="839">
        <f t="shared" si="14"/>
        <v>12.007092284711508</v>
      </c>
      <c r="H105" s="848">
        <f>$B$253/B105</f>
        <v>1.9888973219126098</v>
      </c>
    </row>
    <row r="106" spans="1:8" ht="15.75" hidden="1" thickBot="1">
      <c r="A106" s="973" t="s">
        <v>452</v>
      </c>
      <c r="B106" s="748">
        <f>geral!G1079</f>
        <v>92730</v>
      </c>
      <c r="C106" s="748">
        <f t="shared" si="9"/>
        <v>228.1180811808118</v>
      </c>
      <c r="D106" s="748">
        <f t="shared" si="10"/>
        <v>0.54212295348585737</v>
      </c>
      <c r="E106" s="748">
        <f t="shared" si="15"/>
        <v>3.1731903246623228</v>
      </c>
      <c r="F106" s="748">
        <f t="shared" si="12"/>
        <v>4.6161367354229821</v>
      </c>
      <c r="G106" s="839">
        <f t="shared" si="14"/>
        <v>12.223842574383248</v>
      </c>
      <c r="H106" s="848">
        <f>$B$253/B106</f>
        <v>1.9781731909845788</v>
      </c>
    </row>
    <row r="107" spans="1:8" ht="15.75" hidden="1" thickBot="1">
      <c r="A107" s="973" t="s">
        <v>453</v>
      </c>
      <c r="B107" s="748">
        <f>geral!G1080</f>
        <v>93055</v>
      </c>
      <c r="C107" s="748">
        <f t="shared" si="9"/>
        <v>228.91758917589175</v>
      </c>
      <c r="D107" s="748">
        <f t="shared" si="10"/>
        <v>0.35047988784644435</v>
      </c>
      <c r="E107" s="748">
        <f t="shared" si="15"/>
        <v>3.5347916063997786</v>
      </c>
      <c r="F107" s="748">
        <f t="shared" si="12"/>
        <v>4.8211771332019149</v>
      </c>
      <c r="G107" s="839">
        <f t="shared" si="14"/>
        <v>13.279779203339604</v>
      </c>
      <c r="H107" s="848">
        <f>$B$253/B107</f>
        <v>1.9712643060555586</v>
      </c>
    </row>
    <row r="108" spans="1:8" ht="15.75" hidden="1" thickBot="1">
      <c r="A108" s="973" t="s">
        <v>454</v>
      </c>
      <c r="B108" s="748">
        <f>geral!G1081</f>
        <v>93725</v>
      </c>
      <c r="C108" s="748">
        <f t="shared" si="9"/>
        <v>230.56580565805658</v>
      </c>
      <c r="D108" s="748">
        <f t="shared" si="10"/>
        <v>0.72000429853311676</v>
      </c>
      <c r="E108" s="748">
        <f t="shared" si="15"/>
        <v>4.280246556443168</v>
      </c>
      <c r="F108" s="748">
        <f t="shared" si="12"/>
        <v>4.9599086185271535</v>
      </c>
      <c r="G108" s="839">
        <f t="shared" si="14"/>
        <v>14.258970990229368</v>
      </c>
      <c r="H108" s="848">
        <f>$B$253/B108</f>
        <v>1.9571725793544945</v>
      </c>
    </row>
    <row r="109" spans="1:8" ht="15.75" hidden="1" thickBot="1">
      <c r="A109" s="973" t="s">
        <v>455</v>
      </c>
      <c r="B109" s="748">
        <f>geral!G1082</f>
        <v>94100</v>
      </c>
      <c r="C109" s="748">
        <f t="shared" si="9"/>
        <v>231.48831488314883</v>
      </c>
      <c r="D109" s="748">
        <f t="shared" si="10"/>
        <v>0.40010669511869601</v>
      </c>
      <c r="E109" s="748">
        <f t="shared" si="15"/>
        <v>4.6974788046017846</v>
      </c>
      <c r="F109" s="748">
        <f t="shared" si="12"/>
        <v>5.4361425983678657</v>
      </c>
      <c r="G109" s="839">
        <f t="shared" si="14"/>
        <v>11.426879810538782</v>
      </c>
      <c r="H109" s="848">
        <f>$B$253/B109</f>
        <v>1.9493730074388949</v>
      </c>
    </row>
    <row r="110" spans="1:8" ht="15.75" hidden="1" thickBot="1">
      <c r="A110" s="973" t="s">
        <v>456</v>
      </c>
      <c r="B110" s="748">
        <f>geral!G1083</f>
        <v>95025</v>
      </c>
      <c r="C110" s="748">
        <f t="shared" si="9"/>
        <v>233.76383763837637</v>
      </c>
      <c r="D110" s="748">
        <f t="shared" si="10"/>
        <v>0.98299681190223698</v>
      </c>
      <c r="E110" s="748">
        <f t="shared" si="15"/>
        <v>5.7266516833930359</v>
      </c>
      <c r="F110" s="748">
        <f t="shared" si="12"/>
        <v>6.3335757847031937</v>
      </c>
      <c r="G110" s="839">
        <f t="shared" si="14"/>
        <v>11.64088068764908</v>
      </c>
      <c r="H110" s="848">
        <f>$B$253/B110</f>
        <v>1.9303972638779268</v>
      </c>
    </row>
    <row r="111" spans="1:8" ht="15.75" hidden="1" thickBot="1">
      <c r="A111" s="973" t="s">
        <v>457</v>
      </c>
      <c r="B111" s="748">
        <f>geral!G1084</f>
        <v>95300</v>
      </c>
      <c r="C111" s="748">
        <f t="shared" si="9"/>
        <v>234.44034440344404</v>
      </c>
      <c r="D111" s="748">
        <f t="shared" si="10"/>
        <v>0.28939752696659493</v>
      </c>
      <c r="E111" s="748">
        <f t="shared" si="15"/>
        <v>6.0326219987093532</v>
      </c>
      <c r="F111" s="748">
        <f t="shared" si="12"/>
        <v>6.2845034294317648</v>
      </c>
      <c r="G111" s="839">
        <f t="shared" si="14"/>
        <v>13.358495826730167</v>
      </c>
      <c r="H111" s="848">
        <f>$B$253/B111</f>
        <v>1.9248268625393494</v>
      </c>
    </row>
    <row r="112" spans="1:8" ht="15.75" hidden="1" thickBot="1">
      <c r="A112" s="973" t="s">
        <v>458</v>
      </c>
      <c r="B112" s="748">
        <f>geral!G1085</f>
        <v>95125</v>
      </c>
      <c r="C112" s="748">
        <f t="shared" si="9"/>
        <v>234.00984009840099</v>
      </c>
      <c r="D112" s="748">
        <f t="shared" si="10"/>
        <v>-0.1836306400839427</v>
      </c>
      <c r="E112" s="748">
        <f t="shared" si="15"/>
        <v>5.8379136162353351</v>
      </c>
      <c r="F112" s="748">
        <f t="shared" si="12"/>
        <v>5.8379136162353351</v>
      </c>
      <c r="G112" s="839">
        <f t="shared" si="14"/>
        <v>12.887645196356278</v>
      </c>
      <c r="H112" s="848">
        <f>$B$253/B112</f>
        <v>1.9283679369250986</v>
      </c>
    </row>
    <row r="113" spans="1:8" ht="15.75" hidden="1" thickBot="1">
      <c r="A113" s="973" t="s">
        <v>459</v>
      </c>
      <c r="B113" s="748">
        <f>geral!I1074</f>
        <v>94450</v>
      </c>
      <c r="C113" s="748">
        <f t="shared" si="9"/>
        <v>232.34932349323492</v>
      </c>
      <c r="D113" s="748">
        <f t="shared" si="10"/>
        <v>-0.70959264126150279</v>
      </c>
      <c r="E113" s="748">
        <f t="shared" ref="E113:E124" si="16">100*((B113/$B$112)-1)</f>
        <v>-0.70959264126150279</v>
      </c>
      <c r="F113" s="748">
        <f t="shared" si="12"/>
        <v>4.1536482264289631</v>
      </c>
      <c r="G113" s="839">
        <f t="shared" si="14"/>
        <v>11.036002939015432</v>
      </c>
      <c r="H113" s="848">
        <f>$B$253/B113</f>
        <v>1.9421492853361566</v>
      </c>
    </row>
    <row r="114" spans="1:8" ht="15.75" hidden="1" thickBot="1">
      <c r="A114" s="973" t="s">
        <v>460</v>
      </c>
      <c r="B114" s="748">
        <f>geral!I1075</f>
        <v>94366.666666666672</v>
      </c>
      <c r="C114" s="748">
        <f t="shared" si="9"/>
        <v>232.14432144321447</v>
      </c>
      <c r="D114" s="748">
        <f t="shared" si="10"/>
        <v>-8.8230104111519658E-2</v>
      </c>
      <c r="E114" s="748">
        <f t="shared" si="16"/>
        <v>-0.79719667104686254</v>
      </c>
      <c r="F114" s="748">
        <f t="shared" si="12"/>
        <v>3.5100548446069357</v>
      </c>
      <c r="G114" s="839">
        <f t="shared" si="14"/>
        <v>7.5666304222976155</v>
      </c>
      <c r="H114" s="848">
        <f>$B$253/B114</f>
        <v>1.9438643588837865</v>
      </c>
    </row>
    <row r="115" spans="1:8" ht="15.75" hidden="1" thickBot="1">
      <c r="A115" s="973" t="s">
        <v>461</v>
      </c>
      <c r="B115" s="748">
        <f>geral!I1076</f>
        <v>94225</v>
      </c>
      <c r="C115" s="748">
        <f t="shared" si="9"/>
        <v>231.79581795817958</v>
      </c>
      <c r="D115" s="748">
        <f t="shared" si="10"/>
        <v>-0.15012363122571815</v>
      </c>
      <c r="E115" s="748">
        <f t="shared" si="16"/>
        <v>-0.94612352168199632</v>
      </c>
      <c r="F115" s="748">
        <f t="shared" si="12"/>
        <v>2.8956755969714587</v>
      </c>
      <c r="G115" s="839">
        <f t="shared" si="14"/>
        <v>7.9324169530355038</v>
      </c>
      <c r="H115" s="848">
        <f>$B$253/B115</f>
        <v>1.9467869461395595</v>
      </c>
    </row>
    <row r="116" spans="1:8" ht="15.75" hidden="1" thickBot="1">
      <c r="A116" s="973" t="s">
        <v>462</v>
      </c>
      <c r="B116" s="748">
        <f>geral!I1077</f>
        <v>94475</v>
      </c>
      <c r="C116" s="748">
        <f t="shared" si="9"/>
        <v>232.41082410824109</v>
      </c>
      <c r="D116" s="748">
        <f t="shared" si="10"/>
        <v>0.26532236667551334</v>
      </c>
      <c r="E116" s="748">
        <f t="shared" si="16"/>
        <v>-0.68331143232588376</v>
      </c>
      <c r="F116" s="748">
        <f t="shared" si="12"/>
        <v>2.8597869676459498</v>
      </c>
      <c r="G116" s="839">
        <f t="shared" si="14"/>
        <v>9.0036243777217084</v>
      </c>
      <c r="H116" s="848">
        <f>$B$253/B116</f>
        <v>1.9416353532680604</v>
      </c>
    </row>
    <row r="117" spans="1:8" ht="15.75" hidden="1" thickBot="1">
      <c r="A117" s="973" t="s">
        <v>463</v>
      </c>
      <c r="B117" s="748">
        <f>geral!I1078</f>
        <v>94666.666666666672</v>
      </c>
      <c r="C117" s="748">
        <f t="shared" si="9"/>
        <v>232.88232882328828</v>
      </c>
      <c r="D117" s="748">
        <f t="shared" si="10"/>
        <v>0.20287554026638954</v>
      </c>
      <c r="E117" s="748">
        <f t="shared" si="16"/>
        <v>-0.48182216381953413</v>
      </c>
      <c r="F117" s="748">
        <f t="shared" si="12"/>
        <v>2.6419458599877155</v>
      </c>
      <c r="G117" s="839">
        <f t="shared" si="14"/>
        <v>7.6777210359157966</v>
      </c>
      <c r="H117" s="848">
        <f>$B$253/B117</f>
        <v>1.9377042253521126</v>
      </c>
    </row>
    <row r="118" spans="1:8" ht="15.75" hidden="1" thickBot="1">
      <c r="A118" s="973" t="s">
        <v>464</v>
      </c>
      <c r="B118" s="748">
        <f>geral!I1079</f>
        <v>94458.333333333328</v>
      </c>
      <c r="C118" s="748">
        <f t="shared" si="9"/>
        <v>232.36982369823696</v>
      </c>
      <c r="D118" s="748">
        <f t="shared" si="10"/>
        <v>-0.22007042253522346</v>
      </c>
      <c r="E118" s="748">
        <f t="shared" si="16"/>
        <v>-0.70083223828296681</v>
      </c>
      <c r="F118" s="748">
        <f t="shared" si="12"/>
        <v>1.863834070239756</v>
      </c>
      <c r="G118" s="839">
        <f t="shared" si="14"/>
        <v>6.5660079348664135</v>
      </c>
      <c r="H118" s="848">
        <f>$B$253/B118</f>
        <v>1.9419779444199383</v>
      </c>
    </row>
    <row r="119" spans="1:8" ht="15.75" hidden="1" thickBot="1">
      <c r="A119" s="973" t="s">
        <v>465</v>
      </c>
      <c r="B119" s="748">
        <f>geral!I1080</f>
        <v>94391.666666666672</v>
      </c>
      <c r="C119" s="748">
        <f t="shared" si="9"/>
        <v>232.2058220582206</v>
      </c>
      <c r="D119" s="748">
        <f t="shared" si="10"/>
        <v>-7.0577856197606703E-2</v>
      </c>
      <c r="E119" s="748">
        <f t="shared" si="16"/>
        <v>-0.77091546211125461</v>
      </c>
      <c r="F119" s="748">
        <f t="shared" si="12"/>
        <v>1.4364264861282727</v>
      </c>
      <c r="G119" s="839">
        <f t="shared" si="14"/>
        <v>6.3268562846146681</v>
      </c>
      <c r="H119" s="848">
        <f>$B$253/B119</f>
        <v>1.9433495188487684</v>
      </c>
    </row>
    <row r="120" spans="1:8" ht="15.75" hidden="1" thickBot="1">
      <c r="A120" s="973" t="s">
        <v>466</v>
      </c>
      <c r="B120" s="748">
        <f>geral!I1081</f>
        <v>94550</v>
      </c>
      <c r="C120" s="748">
        <f t="shared" si="9"/>
        <v>232.59532595325953</v>
      </c>
      <c r="D120" s="748">
        <f t="shared" si="10"/>
        <v>0.16774079632735361</v>
      </c>
      <c r="E120" s="748">
        <f t="shared" si="16"/>
        <v>-0.60446780551904888</v>
      </c>
      <c r="F120" s="748">
        <f t="shared" si="12"/>
        <v>0.88023472926113122</v>
      </c>
      <c r="G120" s="839">
        <f t="shared" si="14"/>
        <v>5.8838021859881851</v>
      </c>
      <c r="H120" s="848">
        <f>$B$253/B120</f>
        <v>1.940095187731359</v>
      </c>
    </row>
    <row r="121" spans="1:8" ht="15.75" hidden="1" thickBot="1">
      <c r="A121" s="973" t="s">
        <v>467</v>
      </c>
      <c r="B121" s="748">
        <f>geral!I1082</f>
        <v>94775</v>
      </c>
      <c r="C121" s="748">
        <f t="shared" si="9"/>
        <v>233.1488314883149</v>
      </c>
      <c r="D121" s="748">
        <f t="shared" si="10"/>
        <v>0.23796932839768026</v>
      </c>
      <c r="E121" s="748">
        <f t="shared" si="16"/>
        <v>-0.36793692509855536</v>
      </c>
      <c r="F121" s="748">
        <f t="shared" si="12"/>
        <v>0.71732199787459816</v>
      </c>
      <c r="G121" s="839">
        <f t="shared" si="14"/>
        <v>6.1924592429363878</v>
      </c>
      <c r="H121" s="848">
        <f>$B$253/B121</f>
        <v>1.9354893168029543</v>
      </c>
    </row>
    <row r="122" spans="1:8" ht="15.75" hidden="1" thickBot="1">
      <c r="A122" s="973" t="s">
        <v>468</v>
      </c>
      <c r="B122" s="748">
        <f>geral!I1083</f>
        <v>95291.666666666672</v>
      </c>
      <c r="C122" s="748">
        <f t="shared" si="9"/>
        <v>234.41984419844201</v>
      </c>
      <c r="D122" s="748">
        <f t="shared" si="10"/>
        <v>0.54515079574430914</v>
      </c>
      <c r="E122" s="748">
        <f t="shared" si="16"/>
        <v>0.1752080595707417</v>
      </c>
      <c r="F122" s="748">
        <f t="shared" si="12"/>
        <v>0.28062790493730283</v>
      </c>
      <c r="G122" s="839">
        <f t="shared" si="14"/>
        <v>6.631977470672723</v>
      </c>
      <c r="H122" s="848">
        <f>$B$253/B122</f>
        <v>1.9249951902055094</v>
      </c>
    </row>
    <row r="123" spans="1:8" ht="15.75" hidden="1" thickBot="1">
      <c r="A123" s="973" t="s">
        <v>469</v>
      </c>
      <c r="B123" s="748">
        <f>geral!I1084</f>
        <v>95581.666666666672</v>
      </c>
      <c r="C123" s="748">
        <f t="shared" si="9"/>
        <v>235.13325133251337</v>
      </c>
      <c r="D123" s="748">
        <f t="shared" si="10"/>
        <v>0.30432881504154352</v>
      </c>
      <c r="E123" s="748">
        <f t="shared" si="16"/>
        <v>0.48007008322383804</v>
      </c>
      <c r="F123" s="748">
        <f t="shared" si="12"/>
        <v>0.29555788737321009</v>
      </c>
      <c r="G123" s="839">
        <f t="shared" si="14"/>
        <v>6.5986356623729092</v>
      </c>
      <c r="H123" s="848">
        <f>$B$253/B123</f>
        <v>1.9191546496015623</v>
      </c>
    </row>
    <row r="124" spans="1:8" ht="15.75" hidden="1" thickBot="1">
      <c r="A124" s="973" t="s">
        <v>470</v>
      </c>
      <c r="B124" s="748">
        <f>geral!I1085</f>
        <v>95748.333333333328</v>
      </c>
      <c r="C124" s="748">
        <f t="shared" si="9"/>
        <v>235.5432554325543</v>
      </c>
      <c r="D124" s="748">
        <f t="shared" si="10"/>
        <v>0.17437095677343972</v>
      </c>
      <c r="E124" s="748">
        <f t="shared" si="16"/>
        <v>0.65527814279455754</v>
      </c>
      <c r="F124" s="748">
        <f t="shared" si="12"/>
        <v>0.65527814279455754</v>
      </c>
      <c r="G124" s="839">
        <f t="shared" si="14"/>
        <v>6.5314463309523285</v>
      </c>
      <c r="H124" s="848">
        <f>$B$253/B124</f>
        <v>1.9158140263538095</v>
      </c>
    </row>
    <row r="125" spans="1:8" ht="15.75" hidden="1" thickBot="1">
      <c r="A125" s="973" t="s">
        <v>471</v>
      </c>
      <c r="B125" s="748">
        <f>geral!K1074</f>
        <v>95703.281666666662</v>
      </c>
      <c r="C125" s="748">
        <f t="shared" si="9"/>
        <v>235.43242722427223</v>
      </c>
      <c r="D125" s="748">
        <f t="shared" ref="D125:D130" si="17">100*((B125/B124)-1)</f>
        <v>-4.7052168009886763E-2</v>
      </c>
      <c r="E125" s="748">
        <f t="shared" ref="E125:E130" si="18">100*((B125/$B$124)-1)</f>
        <v>-4.7052168009886763E-2</v>
      </c>
      <c r="F125" s="748">
        <f t="shared" ref="F125:F130" si="19">100*((B125/B113)-1)</f>
        <v>1.3269260631727509</v>
      </c>
      <c r="G125" s="839">
        <f t="shared" ref="G125:G130" si="20">100*(B125/B101-1)</f>
        <v>5.5356901304907113</v>
      </c>
      <c r="H125" s="848">
        <f>$B$253/B125</f>
        <v>1.9167158827312245</v>
      </c>
    </row>
    <row r="126" spans="1:8" ht="15.75" hidden="1" thickBot="1">
      <c r="A126" s="973" t="s">
        <v>472</v>
      </c>
      <c r="B126" s="748">
        <f>geral!K1075</f>
        <v>96896.614999999991</v>
      </c>
      <c r="C126" s="748">
        <f t="shared" si="9"/>
        <v>238.36805658056579</v>
      </c>
      <c r="D126" s="748">
        <f t="shared" si="17"/>
        <v>1.246909523426476</v>
      </c>
      <c r="E126" s="748">
        <f t="shared" si="18"/>
        <v>1.199270657452689</v>
      </c>
      <c r="F126" s="748">
        <f t="shared" si="19"/>
        <v>2.6809766866831453</v>
      </c>
      <c r="G126" s="839">
        <f t="shared" si="20"/>
        <v>6.2851352833637852</v>
      </c>
      <c r="H126" s="848">
        <f>$B$253/B126</f>
        <v>1.8931105075239214</v>
      </c>
    </row>
    <row r="127" spans="1:8" ht="15.75" hidden="1" thickBot="1">
      <c r="A127" s="973" t="s">
        <v>473</v>
      </c>
      <c r="B127" s="748">
        <f>geral!K1076</f>
        <v>92425</v>
      </c>
      <c r="C127" s="748">
        <f t="shared" si="9"/>
        <v>227.36777367773678</v>
      </c>
      <c r="D127" s="748">
        <f t="shared" si="17"/>
        <v>-4.614830972165529</v>
      </c>
      <c r="E127" s="748">
        <f t="shared" si="18"/>
        <v>-3.4709046284530531</v>
      </c>
      <c r="F127" s="748">
        <f t="shared" si="19"/>
        <v>-1.9103210400636783</v>
      </c>
      <c r="G127" s="839">
        <f t="shared" si="20"/>
        <v>0.9300378567268508</v>
      </c>
      <c r="H127" s="848">
        <f>$B$253/B127</f>
        <v>1.9847011090073032</v>
      </c>
    </row>
    <row r="128" spans="1:8" ht="15.75" hidden="1" thickBot="1">
      <c r="A128" s="973" t="s">
        <v>474</v>
      </c>
      <c r="B128" s="748">
        <f>geral!K1077</f>
        <v>92575</v>
      </c>
      <c r="C128" s="748">
        <f t="shared" si="9"/>
        <v>227.73677736777367</v>
      </c>
      <c r="D128" s="748">
        <f t="shared" si="17"/>
        <v>0.16229375169056759</v>
      </c>
      <c r="E128" s="748">
        <f t="shared" si="18"/>
        <v>-3.3142439381016131</v>
      </c>
      <c r="F128" s="748">
        <f t="shared" si="19"/>
        <v>-2.0111140513363379</v>
      </c>
      <c r="G128" s="839">
        <f t="shared" si="20"/>
        <v>0.79115933876499067</v>
      </c>
      <c r="H128" s="848">
        <f>$B$253/B128</f>
        <v>1.9814852822036186</v>
      </c>
    </row>
    <row r="129" spans="1:11" ht="15.75" hidden="1" thickBot="1">
      <c r="A129" s="973" t="s">
        <v>475</v>
      </c>
      <c r="B129" s="748">
        <f>geral!K1078</f>
        <v>93075</v>
      </c>
      <c r="C129" s="748">
        <f t="shared" si="9"/>
        <v>228.96678966789668</v>
      </c>
      <c r="D129" s="748">
        <f t="shared" si="17"/>
        <v>0.54010261949770655</v>
      </c>
      <c r="E129" s="748">
        <f t="shared" si="18"/>
        <v>-2.7920416369301426</v>
      </c>
      <c r="F129" s="748">
        <f t="shared" si="19"/>
        <v>-1.6813380281690216</v>
      </c>
      <c r="G129" s="839">
        <f t="shared" si="20"/>
        <v>0.91618779139108764</v>
      </c>
      <c r="H129" s="848">
        <f>$B$253/B129</f>
        <v>1.9708407198495836</v>
      </c>
    </row>
    <row r="130" spans="1:11" ht="15.75" hidden="1" thickBot="1">
      <c r="A130" s="973" t="s">
        <v>476</v>
      </c>
      <c r="B130" s="748">
        <f>geral!K1079</f>
        <v>93258.333333333328</v>
      </c>
      <c r="C130" s="748">
        <f t="shared" si="9"/>
        <v>229.41779417794174</v>
      </c>
      <c r="D130" s="748">
        <f t="shared" si="17"/>
        <v>0.19697376667562327</v>
      </c>
      <c r="E130" s="748">
        <f t="shared" si="18"/>
        <v>-2.6005674598339357</v>
      </c>
      <c r="F130" s="748">
        <f t="shared" si="19"/>
        <v>-1.2704014115571205</v>
      </c>
      <c r="G130" s="839">
        <f t="shared" si="20"/>
        <v>0.56975448434521958</v>
      </c>
      <c r="H130" s="848">
        <f>$B$253/B130</f>
        <v>1.966966312215173</v>
      </c>
    </row>
    <row r="131" spans="1:11" ht="15.75" hidden="1" thickBot="1">
      <c r="A131" s="973" t="s">
        <v>477</v>
      </c>
      <c r="B131" s="748">
        <f>geral!K1080</f>
        <v>93730</v>
      </c>
      <c r="C131" s="748">
        <f t="shared" si="9"/>
        <v>230.57810578105781</v>
      </c>
      <c r="D131" s="748">
        <f t="shared" ref="D131:D136" si="21">100*((B131/B130)-1)</f>
        <v>0.50576356000358036</v>
      </c>
      <c r="E131" s="748">
        <f t="shared" ref="E131:E136" si="22">100*((B131/$B$124)-1)</f>
        <v>-2.1079566223955126</v>
      </c>
      <c r="F131" s="748">
        <f t="shared" ref="F131:F136" si="23">100*((B131/B119)-1)</f>
        <v>-0.70097995938908086</v>
      </c>
      <c r="G131" s="839">
        <f t="shared" ref="G131:G136" si="24">100*(B131/B107-1)</f>
        <v>0.72537746494008015</v>
      </c>
      <c r="H131" s="848">
        <f>$B$253/B131</f>
        <v>1.9570681745439027</v>
      </c>
      <c r="I131" s="815"/>
      <c r="J131" s="815"/>
      <c r="K131" s="815"/>
    </row>
    <row r="132" spans="1:11" ht="15.75" hidden="1" thickBot="1">
      <c r="A132" s="973" t="s">
        <v>478</v>
      </c>
      <c r="B132" s="748">
        <f>geral!K1081</f>
        <v>94730</v>
      </c>
      <c r="C132" s="748">
        <f t="shared" si="9"/>
        <v>233.0381303813038</v>
      </c>
      <c r="D132" s="748">
        <f t="shared" si="21"/>
        <v>1.066894270777774</v>
      </c>
      <c r="E132" s="748">
        <f t="shared" si="22"/>
        <v>-1.0635520200525606</v>
      </c>
      <c r="F132" s="748">
        <f t="shared" si="23"/>
        <v>0.19037546271813977</v>
      </c>
      <c r="G132" s="839">
        <f t="shared" si="24"/>
        <v>1.0722859429181053</v>
      </c>
      <c r="H132" s="848">
        <f>$B$253/B132</f>
        <v>1.9364087406312678</v>
      </c>
    </row>
    <row r="133" spans="1:11" ht="15.75" hidden="1" thickBot="1">
      <c r="A133" s="973" t="s">
        <v>479</v>
      </c>
      <c r="B133" s="748">
        <f>geral!K1082</f>
        <v>94730</v>
      </c>
      <c r="C133" s="748">
        <f t="shared" si="9"/>
        <v>233.0381303813038</v>
      </c>
      <c r="D133" s="748">
        <f t="shared" si="21"/>
        <v>0</v>
      </c>
      <c r="E133" s="748">
        <f t="shared" si="22"/>
        <v>-1.0635520200525606</v>
      </c>
      <c r="F133" s="748">
        <f t="shared" si="23"/>
        <v>-4.7480875758376673E-2</v>
      </c>
      <c r="G133" s="839">
        <f t="shared" si="24"/>
        <v>0.66950053134962051</v>
      </c>
      <c r="H133" s="848">
        <f>$B$253/B133</f>
        <v>1.9364087406312678</v>
      </c>
    </row>
    <row r="134" spans="1:11" ht="15.75" hidden="1" thickBot="1">
      <c r="A134" s="973" t="s">
        <v>480</v>
      </c>
      <c r="B134" s="748">
        <f>geral!K1083</f>
        <v>94730</v>
      </c>
      <c r="C134" s="748">
        <f t="shared" si="9"/>
        <v>233.0381303813038</v>
      </c>
      <c r="D134" s="748">
        <f t="shared" si="21"/>
        <v>0</v>
      </c>
      <c r="E134" s="748">
        <f t="shared" si="22"/>
        <v>-1.0635520200525606</v>
      </c>
      <c r="F134" s="748">
        <f t="shared" si="23"/>
        <v>-0.58941845212068245</v>
      </c>
      <c r="G134" s="839">
        <f t="shared" si="24"/>
        <v>-0.31044461983688043</v>
      </c>
      <c r="H134" s="848">
        <f>$B$253/B134</f>
        <v>1.9364087406312678</v>
      </c>
    </row>
    <row r="135" spans="1:11" ht="15.75" hidden="1" thickBot="1">
      <c r="A135" s="973" t="s">
        <v>481</v>
      </c>
      <c r="B135" s="748">
        <f>geral!K1084</f>
        <v>96081.25</v>
      </c>
      <c r="C135" s="748">
        <f t="shared" si="9"/>
        <v>236.36223862238623</v>
      </c>
      <c r="D135" s="748">
        <f t="shared" si="21"/>
        <v>1.4264224638446121</v>
      </c>
      <c r="E135" s="748">
        <f t="shared" si="22"/>
        <v>0.34769969886334628</v>
      </c>
      <c r="F135" s="748">
        <f t="shared" si="23"/>
        <v>0.52267694292837952</v>
      </c>
      <c r="G135" s="839">
        <f t="shared" si="24"/>
        <v>0.81977964323189934</v>
      </c>
      <c r="H135" s="848">
        <f>$B$253/B135</f>
        <v>1.9091758277499513</v>
      </c>
    </row>
    <row r="136" spans="1:11" ht="15.75" hidden="1" thickBot="1">
      <c r="A136" s="1015" t="s">
        <v>482</v>
      </c>
      <c r="B136" s="755">
        <f>geral!K1085</f>
        <v>96420.833333333328</v>
      </c>
      <c r="C136" s="755">
        <f t="shared" si="9"/>
        <v>237.19762197621972</v>
      </c>
      <c r="D136" s="755">
        <f t="shared" si="21"/>
        <v>0.35343350896592796</v>
      </c>
      <c r="E136" s="755">
        <f t="shared" si="22"/>
        <v>0.70236209507563707</v>
      </c>
      <c r="F136" s="755">
        <f t="shared" si="23"/>
        <v>0.70236209507563707</v>
      </c>
      <c r="G136" s="932">
        <f t="shared" si="24"/>
        <v>1.362242663162494</v>
      </c>
      <c r="H136" s="924">
        <f>$B$253/B136</f>
        <v>1.9024519251544878</v>
      </c>
    </row>
    <row r="137" spans="1:11" ht="16.5" customHeight="1">
      <c r="A137" s="1013" t="s">
        <v>483</v>
      </c>
      <c r="B137" s="852">
        <f>geral!M1074</f>
        <v>97470.833333333328</v>
      </c>
      <c r="C137" s="852">
        <f t="shared" si="9"/>
        <v>239.78064780647804</v>
      </c>
      <c r="D137" s="1027">
        <f t="shared" ref="D137:D142" si="25">100*((B137/B136)-1)</f>
        <v>1.0889762758739874</v>
      </c>
      <c r="E137" s="1027">
        <f t="shared" ref="E137:E142" si="26">100*((B137/$B$136)-1)</f>
        <v>1.0889762758739874</v>
      </c>
      <c r="F137" s="1027">
        <f t="shared" ref="F137:F142" si="27">100*((B137/B125)-1)</f>
        <v>1.8469081058505754</v>
      </c>
      <c r="G137" s="1028">
        <f t="shared" ref="G137:G142" si="28">100*(B137/B113-1)</f>
        <v>3.1983412740427042</v>
      </c>
      <c r="H137" s="1022">
        <f>$B$253/B137</f>
        <v>1.8819578506390802</v>
      </c>
    </row>
    <row r="138" spans="1:11" ht="16.5" customHeight="1">
      <c r="A138" s="1014" t="s">
        <v>484</v>
      </c>
      <c r="B138" s="857">
        <f>geral!M1075</f>
        <v>98741.666666666672</v>
      </c>
      <c r="C138" s="857">
        <f t="shared" si="9"/>
        <v>242.90692906929073</v>
      </c>
      <c r="D138" s="963">
        <f t="shared" si="25"/>
        <v>1.3038088317018026</v>
      </c>
      <c r="E138" s="963">
        <f t="shared" si="26"/>
        <v>2.4069832764357812</v>
      </c>
      <c r="F138" s="963">
        <f t="shared" si="27"/>
        <v>1.9041446047074917</v>
      </c>
      <c r="G138" s="964">
        <f t="shared" si="28"/>
        <v>4.6361709643235605</v>
      </c>
      <c r="H138" s="1023">
        <f>$B$253/B138</f>
        <v>1.8577365178496075</v>
      </c>
    </row>
    <row r="139" spans="1:11" ht="16.5" customHeight="1">
      <c r="A139" s="1014" t="s">
        <v>485</v>
      </c>
      <c r="B139" s="857">
        <f>geral!M1076</f>
        <v>98741.666666666672</v>
      </c>
      <c r="C139" s="857">
        <f t="shared" si="9"/>
        <v>242.90692906929073</v>
      </c>
      <c r="D139" s="963">
        <f t="shared" si="25"/>
        <v>0</v>
      </c>
      <c r="E139" s="963">
        <f t="shared" si="26"/>
        <v>2.4069832764357812</v>
      </c>
      <c r="F139" s="963">
        <f t="shared" si="27"/>
        <v>6.8343702100802428</v>
      </c>
      <c r="G139" s="964">
        <f t="shared" si="28"/>
        <v>4.7934907579375574</v>
      </c>
      <c r="H139" s="1023">
        <f t="shared" ref="H139:H202" si="29">$B$253/B139</f>
        <v>1.8577365178496075</v>
      </c>
    </row>
    <row r="140" spans="1:11" ht="16.5" customHeight="1">
      <c r="A140" s="1014" t="s">
        <v>486</v>
      </c>
      <c r="B140" s="857">
        <f>geral!M1077</f>
        <v>98741.666666666672</v>
      </c>
      <c r="C140" s="857">
        <f t="shared" si="9"/>
        <v>242.90692906929073</v>
      </c>
      <c r="D140" s="963">
        <f t="shared" si="25"/>
        <v>0</v>
      </c>
      <c r="E140" s="963">
        <f t="shared" si="26"/>
        <v>2.4069832764357812</v>
      </c>
      <c r="F140" s="963">
        <f t="shared" si="27"/>
        <v>6.6612656404716919</v>
      </c>
      <c r="G140" s="964">
        <f t="shared" si="28"/>
        <v>4.5161859398429982</v>
      </c>
      <c r="H140" s="1023">
        <f t="shared" si="29"/>
        <v>1.8577365178496075</v>
      </c>
    </row>
    <row r="141" spans="1:11" ht="16.5" customHeight="1">
      <c r="A141" s="1014" t="s">
        <v>487</v>
      </c>
      <c r="B141" s="857">
        <f>geral!M1078</f>
        <v>98741.666666666672</v>
      </c>
      <c r="C141" s="857">
        <f t="shared" si="9"/>
        <v>242.90692906929073</v>
      </c>
      <c r="D141" s="963">
        <f t="shared" si="25"/>
        <v>0</v>
      </c>
      <c r="E141" s="963">
        <f t="shared" si="26"/>
        <v>2.4069832764357812</v>
      </c>
      <c r="F141" s="963">
        <f t="shared" si="27"/>
        <v>6.0882800608828003</v>
      </c>
      <c r="G141" s="964">
        <f t="shared" si="28"/>
        <v>4.3045774647887391</v>
      </c>
      <c r="H141" s="1023">
        <f t="shared" si="29"/>
        <v>1.8577365178496075</v>
      </c>
    </row>
    <row r="142" spans="1:11" ht="16.5" customHeight="1">
      <c r="A142" s="1014" t="s">
        <v>488</v>
      </c>
      <c r="B142" s="857">
        <f>geral!M1079</f>
        <v>99108.333333333328</v>
      </c>
      <c r="C142" s="857">
        <f t="shared" si="9"/>
        <v>243.80893808938086</v>
      </c>
      <c r="D142" s="963">
        <f t="shared" si="25"/>
        <v>0.37133935353192982</v>
      </c>
      <c r="E142" s="963">
        <f t="shared" si="26"/>
        <v>2.7872607061060428</v>
      </c>
      <c r="F142" s="963">
        <f t="shared" si="27"/>
        <v>6.2728978643552757</v>
      </c>
      <c r="G142" s="964">
        <f t="shared" si="28"/>
        <v>4.922805469783853</v>
      </c>
      <c r="H142" s="1023">
        <f t="shared" si="29"/>
        <v>1.8508635331707728</v>
      </c>
    </row>
    <row r="143" spans="1:11" ht="16.5" customHeight="1">
      <c r="A143" s="1014" t="s">
        <v>489</v>
      </c>
      <c r="B143" s="857">
        <f>geral!M1080</f>
        <v>99108.333333333328</v>
      </c>
      <c r="C143" s="857">
        <f t="shared" si="9"/>
        <v>243.80893808938086</v>
      </c>
      <c r="D143" s="963">
        <f t="shared" ref="D143:D149" si="30">100*((B143/B142)-1)</f>
        <v>0</v>
      </c>
      <c r="E143" s="963">
        <f t="shared" ref="E143:E148" si="31">100*((B143/$B$136)-1)</f>
        <v>2.7872607061060428</v>
      </c>
      <c r="F143" s="963">
        <f t="shared" ref="F143:F149" si="32">100*((B143/B131)-1)</f>
        <v>5.7381130196664021</v>
      </c>
      <c r="G143" s="964">
        <f t="shared" ref="G143:G149" si="33">100*(B143/B119-1)</f>
        <v>4.9969100379623876</v>
      </c>
      <c r="H143" s="1023">
        <f t="shared" si="29"/>
        <v>1.8508635331707728</v>
      </c>
    </row>
    <row r="144" spans="1:11" ht="16.5" customHeight="1">
      <c r="A144" s="1014" t="s">
        <v>490</v>
      </c>
      <c r="B144" s="857">
        <f>geral!M1081</f>
        <v>99108.33</v>
      </c>
      <c r="C144" s="857">
        <f t="shared" si="9"/>
        <v>243.80892988929889</v>
      </c>
      <c r="D144" s="963">
        <f t="shared" si="30"/>
        <v>-3.3633229534757447E-6</v>
      </c>
      <c r="E144" s="963">
        <f t="shared" si="31"/>
        <v>2.7872572490384995</v>
      </c>
      <c r="F144" s="963">
        <f t="shared" si="32"/>
        <v>4.6219043597593101</v>
      </c>
      <c r="G144" s="964">
        <f t="shared" si="33"/>
        <v>4.8210787942887467</v>
      </c>
      <c r="H144" s="1023">
        <f t="shared" si="29"/>
        <v>1.8508635954212931</v>
      </c>
    </row>
    <row r="145" spans="1:8" ht="16.5" customHeight="1">
      <c r="A145" s="1014" t="s">
        <v>491</v>
      </c>
      <c r="B145" s="857">
        <f>geral!M1082</f>
        <v>99108.33</v>
      </c>
      <c r="C145" s="857">
        <f t="shared" si="9"/>
        <v>243.80892988929889</v>
      </c>
      <c r="D145" s="963">
        <f t="shared" si="30"/>
        <v>0</v>
      </c>
      <c r="E145" s="963">
        <f t="shared" si="31"/>
        <v>2.7872572490384995</v>
      </c>
      <c r="F145" s="963">
        <f t="shared" si="32"/>
        <v>4.6219043597593101</v>
      </c>
      <c r="G145" s="964">
        <f t="shared" si="33"/>
        <v>4.5722289633342239</v>
      </c>
      <c r="H145" s="1023">
        <f t="shared" si="29"/>
        <v>1.8508635954212931</v>
      </c>
    </row>
    <row r="146" spans="1:8" ht="16.5" customHeight="1">
      <c r="A146" s="1014" t="s">
        <v>492</v>
      </c>
      <c r="B146" s="857">
        <f>geral!M1083</f>
        <v>99108.333333333328</v>
      </c>
      <c r="C146" s="857">
        <f t="shared" si="9"/>
        <v>243.80893808938086</v>
      </c>
      <c r="D146" s="963">
        <f t="shared" si="30"/>
        <v>3.3633230644980472E-6</v>
      </c>
      <c r="E146" s="963">
        <f t="shared" si="31"/>
        <v>2.7872607061060428</v>
      </c>
      <c r="F146" s="963">
        <f t="shared" si="32"/>
        <v>4.6219078785319612</v>
      </c>
      <c r="G146" s="964">
        <f t="shared" si="33"/>
        <v>4.0052470485351988</v>
      </c>
      <c r="H146" s="1023">
        <f t="shared" si="29"/>
        <v>1.8508635331707728</v>
      </c>
    </row>
    <row r="147" spans="1:8" ht="16.5" customHeight="1">
      <c r="A147" s="1014" t="s">
        <v>493</v>
      </c>
      <c r="B147" s="857">
        <f>geral!M1084</f>
        <v>99108.333333333328</v>
      </c>
      <c r="C147" s="857">
        <f t="shared" si="9"/>
        <v>243.80893808938086</v>
      </c>
      <c r="D147" s="963">
        <f t="shared" si="30"/>
        <v>0</v>
      </c>
      <c r="E147" s="963">
        <f t="shared" si="31"/>
        <v>2.7872607061060428</v>
      </c>
      <c r="F147" s="963">
        <f t="shared" si="32"/>
        <v>3.1505453283895868</v>
      </c>
      <c r="G147" s="964">
        <f t="shared" si="33"/>
        <v>3.6896894453259721</v>
      </c>
      <c r="H147" s="1023">
        <f t="shared" si="29"/>
        <v>1.8508635331707728</v>
      </c>
    </row>
    <row r="148" spans="1:8" ht="16.5" customHeight="1">
      <c r="A148" s="1014" t="s">
        <v>494</v>
      </c>
      <c r="B148" s="857">
        <f>geral!M1085</f>
        <v>99108.333333333328</v>
      </c>
      <c r="C148" s="857">
        <f t="shared" ref="C148:C153" si="34">100*B148/$B$8</f>
        <v>243.80893808938086</v>
      </c>
      <c r="D148" s="963">
        <f t="shared" si="30"/>
        <v>0</v>
      </c>
      <c r="E148" s="963">
        <f t="shared" si="31"/>
        <v>2.7872607061060428</v>
      </c>
      <c r="F148" s="963">
        <f t="shared" si="32"/>
        <v>2.7872607061060428</v>
      </c>
      <c r="G148" s="964">
        <f t="shared" si="33"/>
        <v>3.5091994638723145</v>
      </c>
      <c r="H148" s="1023">
        <f t="shared" si="29"/>
        <v>1.8508635331707728</v>
      </c>
    </row>
    <row r="149" spans="1:8" ht="16.5" customHeight="1">
      <c r="A149" s="1014" t="s">
        <v>495</v>
      </c>
      <c r="B149" s="857">
        <f>geral!C1089</f>
        <v>99761</v>
      </c>
      <c r="C149" s="857">
        <f t="shared" si="34"/>
        <v>245.41451414514145</v>
      </c>
      <c r="D149" s="963">
        <f t="shared" si="30"/>
        <v>0.65853863617253428</v>
      </c>
      <c r="E149" s="963">
        <f t="shared" ref="E149:E154" si="35">100*((B149/$B$148)-1)</f>
        <v>0.65853863617253428</v>
      </c>
      <c r="F149" s="963">
        <f t="shared" si="32"/>
        <v>2.3495917582182724</v>
      </c>
      <c r="G149" s="964">
        <f t="shared" si="33"/>
        <v>4.2398946647057789</v>
      </c>
      <c r="H149" s="1023">
        <f t="shared" si="29"/>
        <v>1.8387546235502852</v>
      </c>
    </row>
    <row r="150" spans="1:8" ht="16.5" customHeight="1">
      <c r="A150" s="1014" t="s">
        <v>496</v>
      </c>
      <c r="B150" s="857">
        <f>geral!C1090</f>
        <v>99761</v>
      </c>
      <c r="C150" s="857">
        <f t="shared" si="34"/>
        <v>245.41451414514145</v>
      </c>
      <c r="D150" s="963">
        <f t="shared" ref="D150:D155" si="36">100*((B150/B149)-1)</f>
        <v>0</v>
      </c>
      <c r="E150" s="963">
        <f t="shared" si="35"/>
        <v>0.65853863617253428</v>
      </c>
      <c r="F150" s="963">
        <f t="shared" ref="F150:F155" si="37">100*((B150/B138)-1)</f>
        <v>1.0323234028188022</v>
      </c>
      <c r="G150" s="964">
        <f t="shared" ref="G150:G155" si="38">100*(B150/B126-1)</f>
        <v>2.956124937904181</v>
      </c>
      <c r="H150" s="1023">
        <f t="shared" si="29"/>
        <v>1.8387546235502852</v>
      </c>
    </row>
    <row r="151" spans="1:8" ht="16.5" customHeight="1">
      <c r="A151" s="1014" t="s">
        <v>497</v>
      </c>
      <c r="B151" s="857">
        <f>geral!C1091</f>
        <v>108553.2</v>
      </c>
      <c r="C151" s="857">
        <f t="shared" si="34"/>
        <v>267.04354243542434</v>
      </c>
      <c r="D151" s="963">
        <f t="shared" si="36"/>
        <v>8.8132637002435779</v>
      </c>
      <c r="E151" s="963">
        <f t="shared" si="35"/>
        <v>9.5298410829899982</v>
      </c>
      <c r="F151" s="963">
        <f t="shared" si="37"/>
        <v>9.9365684867921189</v>
      </c>
      <c r="G151" s="964">
        <f t="shared" si="38"/>
        <v>17.450040573437931</v>
      </c>
      <c r="H151" s="1023">
        <f t="shared" si="29"/>
        <v>1.689825818124201</v>
      </c>
    </row>
    <row r="152" spans="1:8" ht="16.5" customHeight="1">
      <c r="A152" s="1014" t="s">
        <v>498</v>
      </c>
      <c r="B152" s="857">
        <f>geral!C1092</f>
        <v>108553.2</v>
      </c>
      <c r="C152" s="857">
        <f t="shared" si="34"/>
        <v>267.04354243542434</v>
      </c>
      <c r="D152" s="963">
        <f t="shared" si="36"/>
        <v>0</v>
      </c>
      <c r="E152" s="963">
        <f t="shared" si="35"/>
        <v>9.5298410829899982</v>
      </c>
      <c r="F152" s="963">
        <f t="shared" si="37"/>
        <v>9.9365684867921189</v>
      </c>
      <c r="G152" s="964">
        <f t="shared" si="38"/>
        <v>17.259735349716454</v>
      </c>
      <c r="H152" s="1023">
        <f t="shared" si="29"/>
        <v>1.689825818124201</v>
      </c>
    </row>
    <row r="153" spans="1:8" ht="16.5" customHeight="1">
      <c r="A153" s="1014" t="s">
        <v>499</v>
      </c>
      <c r="B153" s="857">
        <f>geral!C1093</f>
        <v>108553.2</v>
      </c>
      <c r="C153" s="857">
        <f t="shared" si="34"/>
        <v>267.04354243542434</v>
      </c>
      <c r="D153" s="963">
        <f t="shared" si="36"/>
        <v>0</v>
      </c>
      <c r="E153" s="963">
        <f t="shared" si="35"/>
        <v>9.5298410829899982</v>
      </c>
      <c r="F153" s="963">
        <f t="shared" si="37"/>
        <v>9.9365684867921189</v>
      </c>
      <c r="G153" s="964">
        <f t="shared" si="38"/>
        <v>16.629814665592257</v>
      </c>
      <c r="H153" s="1023">
        <f t="shared" si="29"/>
        <v>1.689825818124201</v>
      </c>
    </row>
    <row r="154" spans="1:8" ht="16.5" customHeight="1">
      <c r="A154" s="1014" t="s">
        <v>500</v>
      </c>
      <c r="B154" s="857">
        <f>geral!C1094</f>
        <v>108553.2</v>
      </c>
      <c r="C154" s="857">
        <f t="shared" ref="C154:C159" si="39">100*B154/$B$8</f>
        <v>267.04354243542434</v>
      </c>
      <c r="D154" s="963">
        <f t="shared" si="36"/>
        <v>0</v>
      </c>
      <c r="E154" s="963">
        <f t="shared" si="35"/>
        <v>9.5298410829899982</v>
      </c>
      <c r="F154" s="963">
        <f t="shared" si="37"/>
        <v>9.5298410829899982</v>
      </c>
      <c r="G154" s="964">
        <f t="shared" si="38"/>
        <v>16.400536145116607</v>
      </c>
      <c r="H154" s="1023">
        <f t="shared" si="29"/>
        <v>1.689825818124201</v>
      </c>
    </row>
    <row r="155" spans="1:8" ht="16.5" customHeight="1">
      <c r="A155" s="1014" t="s">
        <v>501</v>
      </c>
      <c r="B155" s="857">
        <f>geral!C1095</f>
        <v>110553.2</v>
      </c>
      <c r="C155" s="857">
        <f t="shared" si="39"/>
        <v>271.96359163591637</v>
      </c>
      <c r="D155" s="963">
        <f t="shared" si="36"/>
        <v>1.8424145948714443</v>
      </c>
      <c r="E155" s="963">
        <f t="shared" ref="E155:E160" si="40">100*((B155/$B$148)-1)</f>
        <v>11.547834860842521</v>
      </c>
      <c r="F155" s="963">
        <f t="shared" si="37"/>
        <v>11.547834860842521</v>
      </c>
      <c r="G155" s="964">
        <f t="shared" si="38"/>
        <v>17.948575696148517</v>
      </c>
      <c r="H155" s="1023">
        <f t="shared" si="29"/>
        <v>1.6592554534830291</v>
      </c>
    </row>
    <row r="156" spans="1:8" ht="16.5" customHeight="1">
      <c r="A156" s="1014" t="s">
        <v>502</v>
      </c>
      <c r="B156" s="857">
        <f>geral!C1096</f>
        <v>110553.2</v>
      </c>
      <c r="C156" s="857">
        <f t="shared" si="39"/>
        <v>271.96359163591637</v>
      </c>
      <c r="D156" s="963">
        <f t="shared" ref="D156:D161" si="41">100*((B156/B155)-1)</f>
        <v>0</v>
      </c>
      <c r="E156" s="963">
        <f t="shared" si="40"/>
        <v>11.547834860842521</v>
      </c>
      <c r="F156" s="963">
        <f t="shared" ref="F156:F161" si="42">100*((B156/B144)-1)</f>
        <v>11.547838612556571</v>
      </c>
      <c r="G156" s="964">
        <f t="shared" ref="G156:G161" si="43">100*(B156/B132-1)</f>
        <v>16.703473028607618</v>
      </c>
      <c r="H156" s="1023">
        <f t="shared" si="29"/>
        <v>1.6592554534830291</v>
      </c>
    </row>
    <row r="157" spans="1:8" ht="16.5" customHeight="1">
      <c r="A157" s="1014" t="s">
        <v>503</v>
      </c>
      <c r="B157" s="857">
        <f>geral!C1097</f>
        <v>110553.2</v>
      </c>
      <c r="C157" s="857">
        <f t="shared" si="39"/>
        <v>271.96359163591637</v>
      </c>
      <c r="D157" s="963">
        <f t="shared" si="41"/>
        <v>0</v>
      </c>
      <c r="E157" s="963">
        <f t="shared" si="40"/>
        <v>11.547834860842521</v>
      </c>
      <c r="F157" s="963">
        <f t="shared" si="42"/>
        <v>11.547838612556571</v>
      </c>
      <c r="G157" s="964">
        <f t="shared" si="43"/>
        <v>16.703473028607618</v>
      </c>
      <c r="H157" s="1023">
        <f t="shared" si="29"/>
        <v>1.6592554534830291</v>
      </c>
    </row>
    <row r="158" spans="1:8" ht="16.5" customHeight="1">
      <c r="A158" s="1014" t="s">
        <v>504</v>
      </c>
      <c r="B158" s="857">
        <f>geral!C1098</f>
        <v>110553.2</v>
      </c>
      <c r="C158" s="857">
        <f t="shared" si="39"/>
        <v>271.96359163591637</v>
      </c>
      <c r="D158" s="963">
        <f t="shared" si="41"/>
        <v>0</v>
      </c>
      <c r="E158" s="963">
        <f t="shared" si="40"/>
        <v>11.547834860842521</v>
      </c>
      <c r="F158" s="963">
        <f t="shared" si="42"/>
        <v>11.547834860842521</v>
      </c>
      <c r="G158" s="964">
        <f t="shared" si="43"/>
        <v>16.703473028607618</v>
      </c>
      <c r="H158" s="1023">
        <f t="shared" si="29"/>
        <v>1.6592554534830291</v>
      </c>
    </row>
    <row r="159" spans="1:8" ht="16.5" customHeight="1">
      <c r="A159" s="1014" t="s">
        <v>505</v>
      </c>
      <c r="B159" s="857">
        <f>geral!C1099</f>
        <v>111993.2</v>
      </c>
      <c r="C159" s="857">
        <f t="shared" si="39"/>
        <v>275.50602706027058</v>
      </c>
      <c r="D159" s="963">
        <f t="shared" si="41"/>
        <v>1.3025403154318438</v>
      </c>
      <c r="E159" s="963">
        <f t="shared" si="40"/>
        <v>13.000790380896321</v>
      </c>
      <c r="F159" s="963">
        <f t="shared" si="42"/>
        <v>13.000790380896321</v>
      </c>
      <c r="G159" s="964">
        <f t="shared" si="43"/>
        <v>16.560931503284969</v>
      </c>
      <c r="H159" s="1023">
        <f t="shared" si="29"/>
        <v>1.6379208737673359</v>
      </c>
    </row>
    <row r="160" spans="1:8" ht="16.5" customHeight="1">
      <c r="A160" s="1014" t="s">
        <v>506</v>
      </c>
      <c r="B160" s="857">
        <f>geral!C1100</f>
        <v>111993.2</v>
      </c>
      <c r="C160" s="857">
        <f t="shared" ref="C160:C165" si="44">100*B160/$B$8</f>
        <v>275.50602706027058</v>
      </c>
      <c r="D160" s="963">
        <f t="shared" si="41"/>
        <v>0</v>
      </c>
      <c r="E160" s="963">
        <f t="shared" si="40"/>
        <v>13.000790380896321</v>
      </c>
      <c r="F160" s="963">
        <f t="shared" si="42"/>
        <v>13.000790380896321</v>
      </c>
      <c r="G160" s="964">
        <f t="shared" si="43"/>
        <v>16.150417008772312</v>
      </c>
      <c r="H160" s="1023">
        <f t="shared" si="29"/>
        <v>1.6379208737673359</v>
      </c>
    </row>
    <row r="161" spans="1:8" ht="16.5" customHeight="1">
      <c r="A161" s="1014" t="s">
        <v>507</v>
      </c>
      <c r="B161" s="857">
        <f>geral!E1089</f>
        <v>112053.2</v>
      </c>
      <c r="C161" s="857">
        <f t="shared" si="44"/>
        <v>275.65362853628534</v>
      </c>
      <c r="D161" s="963">
        <f t="shared" si="41"/>
        <v>5.3574681319945583E-2</v>
      </c>
      <c r="E161" s="963">
        <f t="shared" ref="E161:E166" si="45">100*((B161/$B$160)-1)</f>
        <v>5.3574681319945583E-2</v>
      </c>
      <c r="F161" s="963">
        <f t="shared" si="42"/>
        <v>12.321648740489778</v>
      </c>
      <c r="G161" s="964">
        <f t="shared" si="43"/>
        <v>14.960748941991199</v>
      </c>
      <c r="H161" s="1023">
        <f t="shared" si="29"/>
        <v>1.6370438327508718</v>
      </c>
    </row>
    <row r="162" spans="1:8" ht="16.5" customHeight="1">
      <c r="A162" s="1014" t="s">
        <v>508</v>
      </c>
      <c r="B162" s="857">
        <f>geral!E1090</f>
        <v>113453.2</v>
      </c>
      <c r="C162" s="857">
        <f t="shared" si="44"/>
        <v>279.09766297662975</v>
      </c>
      <c r="D162" s="963">
        <f t="shared" ref="D162:D167" si="46">100*((B162/B161)-1)</f>
        <v>1.2494065318973568</v>
      </c>
      <c r="E162" s="963">
        <f t="shared" si="45"/>
        <v>1.3036505787851427</v>
      </c>
      <c r="F162" s="963">
        <f t="shared" ref="F162:F167" si="47">100*((B162/B150)-1)</f>
        <v>13.725002756588234</v>
      </c>
      <c r="G162" s="964">
        <f t="shared" ref="G162:G167" si="48">100*(B162/B138-1)</f>
        <v>14.899012574900826</v>
      </c>
      <c r="H162" s="1023">
        <f t="shared" si="29"/>
        <v>1.6168428920471172</v>
      </c>
    </row>
    <row r="163" spans="1:8" ht="16.5" customHeight="1">
      <c r="A163" s="1014" t="s">
        <v>509</v>
      </c>
      <c r="B163" s="857">
        <f>geral!E1091</f>
        <v>114691.5</v>
      </c>
      <c r="C163" s="857">
        <f t="shared" si="44"/>
        <v>282.14391143911439</v>
      </c>
      <c r="D163" s="963">
        <f t="shared" si="46"/>
        <v>1.0914632641476851</v>
      </c>
      <c r="E163" s="963">
        <f t="shared" si="45"/>
        <v>2.4093427100931208</v>
      </c>
      <c r="F163" s="963">
        <f t="shared" si="47"/>
        <v>5.6546467538497236</v>
      </c>
      <c r="G163" s="964">
        <f t="shared" si="48"/>
        <v>16.153093088024306</v>
      </c>
      <c r="H163" s="1023">
        <f t="shared" si="29"/>
        <v>1.5993861794466024</v>
      </c>
    </row>
    <row r="164" spans="1:8" ht="16.5" customHeight="1">
      <c r="A164" s="1014" t="s">
        <v>510</v>
      </c>
      <c r="B164" s="857">
        <f>geral!E1092</f>
        <v>114753.2</v>
      </c>
      <c r="C164" s="857">
        <f t="shared" si="44"/>
        <v>282.29569495694955</v>
      </c>
      <c r="D164" s="963">
        <f t="shared" si="46"/>
        <v>5.3796488841806323E-2</v>
      </c>
      <c r="E164" s="963">
        <f t="shared" si="45"/>
        <v>2.4644353407171193</v>
      </c>
      <c r="F164" s="963">
        <f t="shared" si="47"/>
        <v>5.7114852441014996</v>
      </c>
      <c r="G164" s="964">
        <f t="shared" si="48"/>
        <v>16.215579373786817</v>
      </c>
      <c r="H164" s="1023">
        <f t="shared" si="29"/>
        <v>1.5985262284624744</v>
      </c>
    </row>
    <row r="165" spans="1:8" ht="16.5" customHeight="1">
      <c r="A165" s="1014" t="s">
        <v>511</v>
      </c>
      <c r="B165" s="857">
        <f>geral!E1093</f>
        <v>114753.2</v>
      </c>
      <c r="C165" s="857">
        <f t="shared" si="44"/>
        <v>282.29569495694955</v>
      </c>
      <c r="D165" s="963">
        <f t="shared" si="46"/>
        <v>0</v>
      </c>
      <c r="E165" s="963">
        <f t="shared" si="45"/>
        <v>2.4644353407171193</v>
      </c>
      <c r="F165" s="963">
        <f t="shared" si="47"/>
        <v>5.7114852441014996</v>
      </c>
      <c r="G165" s="964">
        <f t="shared" si="48"/>
        <v>16.215579373786817</v>
      </c>
      <c r="H165" s="1023">
        <f t="shared" si="29"/>
        <v>1.5985262284624744</v>
      </c>
    </row>
    <row r="166" spans="1:8" ht="16.5" customHeight="1">
      <c r="A166" s="1014" t="s">
        <v>512</v>
      </c>
      <c r="B166" s="857">
        <f>geral!E1094</f>
        <v>114753.2</v>
      </c>
      <c r="C166" s="857">
        <f t="shared" ref="C166:C171" si="49">100*B166/$B$8</f>
        <v>282.29569495694955</v>
      </c>
      <c r="D166" s="963">
        <f t="shared" si="46"/>
        <v>0</v>
      </c>
      <c r="E166" s="963">
        <f t="shared" si="45"/>
        <v>2.4644353407171193</v>
      </c>
      <c r="F166" s="963">
        <f t="shared" si="47"/>
        <v>5.7114852441014996</v>
      </c>
      <c r="G166" s="964">
        <f t="shared" si="48"/>
        <v>15.785621794332805</v>
      </c>
      <c r="H166" s="1023">
        <f t="shared" si="29"/>
        <v>1.5985262284624744</v>
      </c>
    </row>
    <row r="167" spans="1:8" ht="16.5" customHeight="1">
      <c r="A167" s="1014" t="s">
        <v>513</v>
      </c>
      <c r="B167" s="857">
        <f>geral!E1095</f>
        <v>116333.2</v>
      </c>
      <c r="C167" s="857">
        <f t="shared" si="49"/>
        <v>286.18253382533823</v>
      </c>
      <c r="D167" s="963">
        <f t="shared" si="46"/>
        <v>1.3768679217660118</v>
      </c>
      <c r="E167" s="963">
        <f t="shared" ref="E167:E172" si="50">100*((B167/$B$160)-1)</f>
        <v>3.875235282142131</v>
      </c>
      <c r="F167" s="963">
        <f t="shared" si="47"/>
        <v>5.2282520994417103</v>
      </c>
      <c r="G167" s="964">
        <f t="shared" si="48"/>
        <v>17.379836878836286</v>
      </c>
      <c r="H167" s="1023">
        <f t="shared" si="29"/>
        <v>1.5768155608201271</v>
      </c>
    </row>
    <row r="168" spans="1:8" ht="16.5" customHeight="1">
      <c r="A168" s="1014" t="s">
        <v>514</v>
      </c>
      <c r="B168" s="857">
        <f>geral!E1096</f>
        <v>117500</v>
      </c>
      <c r="C168" s="857">
        <f t="shared" si="49"/>
        <v>289.05289052890527</v>
      </c>
      <c r="D168" s="963">
        <f t="shared" ref="D168:D173" si="51">100*((B168/B167)-1)</f>
        <v>1.0029810922419502</v>
      </c>
      <c r="E168" s="963">
        <f t="shared" si="50"/>
        <v>4.9170842515438462</v>
      </c>
      <c r="F168" s="963">
        <f t="shared" ref="F168:F173" si="52">100*((B168/B156)-1)</f>
        <v>6.2836715716958036</v>
      </c>
      <c r="G168" s="964">
        <f t="shared" ref="G168:G173" si="53">100*(B168/B144-1)</f>
        <v>18.557138436294917</v>
      </c>
      <c r="H168" s="1023">
        <f t="shared" si="29"/>
        <v>1.5611574468085105</v>
      </c>
    </row>
    <row r="169" spans="1:8" ht="16.5" customHeight="1">
      <c r="A169" s="1014" t="s">
        <v>515</v>
      </c>
      <c r="B169" s="857">
        <f>geral!E1097</f>
        <v>119037.5</v>
      </c>
      <c r="C169" s="857">
        <f t="shared" si="49"/>
        <v>292.8351783517835</v>
      </c>
      <c r="D169" s="963">
        <f t="shared" si="51"/>
        <v>1.3085106382978662</v>
      </c>
      <c r="E169" s="963">
        <f t="shared" si="50"/>
        <v>6.2899354603672464</v>
      </c>
      <c r="F169" s="963">
        <f t="shared" si="52"/>
        <v>7.6744047209850175</v>
      </c>
      <c r="G169" s="964">
        <f t="shared" si="53"/>
        <v>20.108471205195364</v>
      </c>
      <c r="H169" s="1023">
        <f t="shared" si="29"/>
        <v>1.5409933844376773</v>
      </c>
    </row>
    <row r="170" spans="1:8" ht="16.5" customHeight="1">
      <c r="A170" s="1014" t="s">
        <v>516</v>
      </c>
      <c r="B170" s="857">
        <f>geral!E1098</f>
        <v>119037.5</v>
      </c>
      <c r="C170" s="857">
        <f t="shared" si="49"/>
        <v>292.8351783517835</v>
      </c>
      <c r="D170" s="963">
        <f t="shared" si="51"/>
        <v>0</v>
      </c>
      <c r="E170" s="963">
        <f t="shared" si="50"/>
        <v>6.2899354603672464</v>
      </c>
      <c r="F170" s="963">
        <f t="shared" si="52"/>
        <v>7.6744047209850175</v>
      </c>
      <c r="G170" s="964">
        <f t="shared" si="53"/>
        <v>20.108467165559585</v>
      </c>
      <c r="H170" s="1023">
        <f t="shared" si="29"/>
        <v>1.5409933844376773</v>
      </c>
    </row>
    <row r="171" spans="1:8" ht="16.5" customHeight="1">
      <c r="A171" s="1014" t="s">
        <v>517</v>
      </c>
      <c r="B171" s="857">
        <f>geral!E1099</f>
        <v>119687.5</v>
      </c>
      <c r="C171" s="857">
        <f t="shared" si="49"/>
        <v>294.4341943419434</v>
      </c>
      <c r="D171" s="963">
        <f t="shared" si="51"/>
        <v>0.54604641394517817</v>
      </c>
      <c r="E171" s="963">
        <f t="shared" si="50"/>
        <v>6.8703278413332347</v>
      </c>
      <c r="F171" s="963">
        <f t="shared" si="52"/>
        <v>6.8703278413332347</v>
      </c>
      <c r="G171" s="964">
        <f t="shared" si="53"/>
        <v>20.764315143361657</v>
      </c>
      <c r="H171" s="1023">
        <f t="shared" si="29"/>
        <v>1.53262454308094</v>
      </c>
    </row>
    <row r="172" spans="1:8" ht="16.5" customHeight="1">
      <c r="A172" s="1014" t="s">
        <v>518</v>
      </c>
      <c r="B172" s="857">
        <f>geral!E1100</f>
        <v>119687.5</v>
      </c>
      <c r="C172" s="857">
        <f t="shared" ref="C172:C177" si="54">100*B172/$B$8</f>
        <v>294.4341943419434</v>
      </c>
      <c r="D172" s="963">
        <f t="shared" si="51"/>
        <v>0</v>
      </c>
      <c r="E172" s="963">
        <f t="shared" si="50"/>
        <v>6.8703278413332347</v>
      </c>
      <c r="F172" s="963">
        <f t="shared" si="52"/>
        <v>6.8703278413332347</v>
      </c>
      <c r="G172" s="964">
        <f t="shared" si="53"/>
        <v>20.764315143361657</v>
      </c>
      <c r="H172" s="1023">
        <f t="shared" si="29"/>
        <v>1.53262454308094</v>
      </c>
    </row>
    <row r="173" spans="1:8" ht="16.5" customHeight="1">
      <c r="A173" s="1014" t="s">
        <v>519</v>
      </c>
      <c r="B173" s="857">
        <f>geral!G1089</f>
        <v>122235.07666666666</v>
      </c>
      <c r="C173" s="857">
        <f t="shared" si="54"/>
        <v>300.70129561295613</v>
      </c>
      <c r="D173" s="963">
        <f t="shared" si="51"/>
        <v>2.1285235857267049</v>
      </c>
      <c r="E173" s="963">
        <f t="shared" ref="E173:E178" si="55">100*((B173/$B$172)-1)</f>
        <v>2.1285235857267049</v>
      </c>
      <c r="F173" s="963">
        <f t="shared" si="52"/>
        <v>9.0866451530760894</v>
      </c>
      <c r="G173" s="964">
        <f t="shared" si="53"/>
        <v>22.527918391622649</v>
      </c>
      <c r="H173" s="1023">
        <f t="shared" si="29"/>
        <v>1.5006821691634995</v>
      </c>
    </row>
    <row r="174" spans="1:8" ht="16.5" customHeight="1">
      <c r="A174" s="1014" t="s">
        <v>520</v>
      </c>
      <c r="B174" s="857">
        <f>geral!G1090</f>
        <v>123200</v>
      </c>
      <c r="C174" s="857">
        <f t="shared" si="54"/>
        <v>303.07503075030752</v>
      </c>
      <c r="D174" s="963">
        <f t="shared" ref="D174:D179" si="56">100*((B174/B173)-1)</f>
        <v>0.78939970395295322</v>
      </c>
      <c r="E174" s="963">
        <f t="shared" si="55"/>
        <v>2.9347258485639793</v>
      </c>
      <c r="F174" s="963">
        <f t="shared" ref="F174:F179" si="57">100*((B174/B162)-1)</f>
        <v>8.5910313680001913</v>
      </c>
      <c r="G174" s="964">
        <f t="shared" ref="G174:G179" si="58">100*(B174/B150-1)</f>
        <v>23.495153416665836</v>
      </c>
      <c r="H174" s="1023">
        <f t="shared" si="29"/>
        <v>1.4889285714285714</v>
      </c>
    </row>
    <row r="175" spans="1:8" ht="16.5" customHeight="1">
      <c r="A175" s="1014" t="s">
        <v>521</v>
      </c>
      <c r="B175" s="857">
        <f>geral!G1091</f>
        <v>125536</v>
      </c>
      <c r="C175" s="857">
        <f t="shared" si="54"/>
        <v>308.82164821648217</v>
      </c>
      <c r="D175" s="963">
        <f t="shared" si="56"/>
        <v>1.8961038961039067</v>
      </c>
      <c r="E175" s="963">
        <f t="shared" si="55"/>
        <v>4.8864751958224595</v>
      </c>
      <c r="F175" s="963">
        <f t="shared" si="57"/>
        <v>9.4553650444889179</v>
      </c>
      <c r="G175" s="964">
        <f t="shared" si="58"/>
        <v>15.644679290891483</v>
      </c>
      <c r="H175" s="1023">
        <f t="shared" si="29"/>
        <v>1.4612222788682132</v>
      </c>
    </row>
    <row r="176" spans="1:8" ht="16.5" customHeight="1">
      <c r="A176" s="1014" t="s">
        <v>522</v>
      </c>
      <c r="B176" s="857">
        <f>geral!G1092</f>
        <v>126682</v>
      </c>
      <c r="C176" s="857">
        <f t="shared" si="54"/>
        <v>311.64083640836407</v>
      </c>
      <c r="D176" s="963">
        <f t="shared" si="56"/>
        <v>0.91288554677542155</v>
      </c>
      <c r="E176" s="963">
        <f t="shared" si="55"/>
        <v>5.8439686684073067</v>
      </c>
      <c r="F176" s="963">
        <f t="shared" si="57"/>
        <v>10.39517852225471</v>
      </c>
      <c r="G176" s="964">
        <f t="shared" si="58"/>
        <v>16.700382853752814</v>
      </c>
      <c r="H176" s="1023">
        <f t="shared" si="29"/>
        <v>1.4480036627145134</v>
      </c>
    </row>
    <row r="177" spans="1:8" ht="16.5" customHeight="1">
      <c r="A177" s="1014" t="s">
        <v>523</v>
      </c>
      <c r="B177" s="857">
        <f>geral!G1093</f>
        <v>125250</v>
      </c>
      <c r="C177" s="857">
        <f t="shared" si="54"/>
        <v>308.11808118081183</v>
      </c>
      <c r="D177" s="963">
        <f t="shared" si="56"/>
        <v>-1.1303894791683144</v>
      </c>
      <c r="E177" s="963">
        <f t="shared" si="55"/>
        <v>4.6475195822454296</v>
      </c>
      <c r="F177" s="963">
        <f t="shared" si="57"/>
        <v>9.1472830387300696</v>
      </c>
      <c r="G177" s="964">
        <f t="shared" si="58"/>
        <v>15.381214003824862</v>
      </c>
      <c r="H177" s="1023">
        <f t="shared" si="29"/>
        <v>1.4645588822355289</v>
      </c>
    </row>
    <row r="178" spans="1:8" ht="16.5" customHeight="1">
      <c r="A178" s="1014" t="s">
        <v>524</v>
      </c>
      <c r="B178" s="857">
        <f>geral!G1094</f>
        <v>124029</v>
      </c>
      <c r="C178" s="857">
        <f t="shared" ref="C178:C183" si="59">100*B178/$B$8</f>
        <v>305.11439114391146</v>
      </c>
      <c r="D178" s="963">
        <f t="shared" si="56"/>
        <v>-0.97485029940119761</v>
      </c>
      <c r="E178" s="963">
        <f t="shared" si="55"/>
        <v>3.6273629242819849</v>
      </c>
      <c r="F178" s="963">
        <f t="shared" si="57"/>
        <v>8.0832604232387482</v>
      </c>
      <c r="G178" s="964">
        <f t="shared" si="58"/>
        <v>14.256419893655824</v>
      </c>
      <c r="H178" s="1023">
        <f t="shared" si="29"/>
        <v>1.4789766909351845</v>
      </c>
    </row>
    <row r="179" spans="1:8" ht="16.5" customHeight="1">
      <c r="A179" s="1014" t="s">
        <v>525</v>
      </c>
      <c r="B179" s="857">
        <f>geral!G1095</f>
        <v>125200</v>
      </c>
      <c r="C179" s="857">
        <f t="shared" si="59"/>
        <v>307.99507995079949</v>
      </c>
      <c r="D179" s="963">
        <f t="shared" si="56"/>
        <v>0.94413403316966349</v>
      </c>
      <c r="E179" s="963">
        <f t="shared" ref="E179:E184" si="60">100*((B179/$B$172)-1)</f>
        <v>4.605744125326372</v>
      </c>
      <c r="F179" s="963">
        <f t="shared" si="57"/>
        <v>7.6218998531803583</v>
      </c>
      <c r="G179" s="964">
        <f t="shared" si="58"/>
        <v>13.248644091713313</v>
      </c>
      <c r="H179" s="1023">
        <f t="shared" si="29"/>
        <v>1.4651437699680512</v>
      </c>
    </row>
    <row r="180" spans="1:8" ht="16.5" customHeight="1">
      <c r="A180" s="1014" t="s">
        <v>526</v>
      </c>
      <c r="B180" s="857">
        <f>geral!G1096</f>
        <v>125200</v>
      </c>
      <c r="C180" s="857">
        <f t="shared" si="59"/>
        <v>307.99507995079949</v>
      </c>
      <c r="D180" s="963">
        <f t="shared" ref="D180:D185" si="61">100*((B180/B179)-1)</f>
        <v>0</v>
      </c>
      <c r="E180" s="963">
        <f t="shared" si="60"/>
        <v>4.605744125326372</v>
      </c>
      <c r="F180" s="963">
        <f t="shared" ref="F180:F185" si="62">100*((B180/B168)-1)</f>
        <v>6.5531914893617094</v>
      </c>
      <c r="G180" s="964">
        <f t="shared" ref="G180:G185" si="63">100*(B180/B156-1)</f>
        <v>13.248644091713313</v>
      </c>
      <c r="H180" s="1023">
        <f t="shared" si="29"/>
        <v>1.4651437699680512</v>
      </c>
    </row>
    <row r="181" spans="1:8" ht="16.5" customHeight="1">
      <c r="A181" s="1014" t="s">
        <v>527</v>
      </c>
      <c r="B181" s="857">
        <f>geral!G1097</f>
        <v>124640</v>
      </c>
      <c r="C181" s="857">
        <f t="shared" si="59"/>
        <v>306.61746617466173</v>
      </c>
      <c r="D181" s="963">
        <f t="shared" si="61"/>
        <v>-0.44728434504792691</v>
      </c>
      <c r="E181" s="963">
        <f t="shared" si="60"/>
        <v>4.1378590078329003</v>
      </c>
      <c r="F181" s="963">
        <f t="shared" si="62"/>
        <v>4.7065000525044587</v>
      </c>
      <c r="G181" s="964">
        <f t="shared" si="63"/>
        <v>12.742100635712038</v>
      </c>
      <c r="H181" s="1023">
        <f t="shared" si="29"/>
        <v>1.4717265725288833</v>
      </c>
    </row>
    <row r="182" spans="1:8" ht="16.5" customHeight="1">
      <c r="A182" s="1014" t="s">
        <v>528</v>
      </c>
      <c r="B182" s="857">
        <f>geral!G1098</f>
        <v>124570</v>
      </c>
      <c r="C182" s="857">
        <f t="shared" si="59"/>
        <v>306.44526445264455</v>
      </c>
      <c r="D182" s="963">
        <f t="shared" si="61"/>
        <v>-5.6161745827987275E-2</v>
      </c>
      <c r="E182" s="963">
        <f t="shared" si="60"/>
        <v>4.0793733681462108</v>
      </c>
      <c r="F182" s="963">
        <f t="shared" si="62"/>
        <v>4.6476950540796036</v>
      </c>
      <c r="G182" s="964">
        <f t="shared" si="63"/>
        <v>12.678782703711878</v>
      </c>
      <c r="H182" s="1023">
        <f t="shared" si="29"/>
        <v>1.4725535843300954</v>
      </c>
    </row>
    <row r="183" spans="1:8" ht="16.5" customHeight="1">
      <c r="A183" s="1014" t="s">
        <v>529</v>
      </c>
      <c r="B183" s="857">
        <f>geral!G1099</f>
        <v>125164</v>
      </c>
      <c r="C183" s="857">
        <f t="shared" si="59"/>
        <v>307.90651906519065</v>
      </c>
      <c r="D183" s="963">
        <f t="shared" si="61"/>
        <v>0.47684033073773779</v>
      </c>
      <c r="E183" s="963">
        <f t="shared" si="60"/>
        <v>4.5756657963446523</v>
      </c>
      <c r="F183" s="963">
        <f t="shared" si="62"/>
        <v>4.5756657963446523</v>
      </c>
      <c r="G183" s="964">
        <f t="shared" si="63"/>
        <v>11.760356878810496</v>
      </c>
      <c r="H183" s="1023">
        <f t="shared" si="29"/>
        <v>1.4655651784858266</v>
      </c>
    </row>
    <row r="184" spans="1:8" ht="16.5" customHeight="1">
      <c r="A184" s="1014" t="s">
        <v>530</v>
      </c>
      <c r="B184" s="857">
        <f>geral!G1100</f>
        <v>125663</v>
      </c>
      <c r="C184" s="857">
        <f t="shared" ref="C184:C189" si="64">100*B184/$B$8</f>
        <v>309.13407134071343</v>
      </c>
      <c r="D184" s="963">
        <f t="shared" si="61"/>
        <v>0.39867693586015385</v>
      </c>
      <c r="E184" s="963">
        <f t="shared" si="60"/>
        <v>4.9925848563968644</v>
      </c>
      <c r="F184" s="963">
        <f t="shared" si="62"/>
        <v>4.9925848563968644</v>
      </c>
      <c r="G184" s="964">
        <f t="shared" si="63"/>
        <v>12.205919645121321</v>
      </c>
      <c r="H184" s="1023">
        <f t="shared" si="29"/>
        <v>1.4597455098159362</v>
      </c>
    </row>
    <row r="185" spans="1:8" ht="16.5" customHeight="1">
      <c r="A185" s="1014" t="s">
        <v>531</v>
      </c>
      <c r="B185" s="857">
        <f>geral!I1089</f>
        <v>125867</v>
      </c>
      <c r="C185" s="857">
        <f t="shared" si="64"/>
        <v>309.63591635916362</v>
      </c>
      <c r="D185" s="963">
        <f t="shared" si="61"/>
        <v>0.16233895418700239</v>
      </c>
      <c r="E185" s="963">
        <f t="shared" ref="E185:E190" si="65">100*((B185/$B$184)-1)</f>
        <v>0.16233895418700239</v>
      </c>
      <c r="F185" s="963">
        <f t="shared" si="62"/>
        <v>2.9712611407260336</v>
      </c>
      <c r="G185" s="964">
        <f t="shared" si="63"/>
        <v>12.327894250231154</v>
      </c>
      <c r="H185" s="1023">
        <f t="shared" si="29"/>
        <v>1.4573796149904263</v>
      </c>
    </row>
    <row r="186" spans="1:8" ht="16.5" customHeight="1">
      <c r="A186" s="1014" t="s">
        <v>649</v>
      </c>
      <c r="B186" s="857">
        <f>geral!I1090</f>
        <v>130940</v>
      </c>
      <c r="C186" s="857">
        <f t="shared" si="64"/>
        <v>322.11562115621155</v>
      </c>
      <c r="D186" s="963">
        <f t="shared" ref="D186:D191" si="66">100*((B186/B185)-1)</f>
        <v>4.0304448346270227</v>
      </c>
      <c r="E186" s="963">
        <f t="shared" si="65"/>
        <v>4.1993267708076321</v>
      </c>
      <c r="F186" s="963">
        <f t="shared" ref="F186:F191" si="67">100*((B186/B174)-1)</f>
        <v>6.2824675324675283</v>
      </c>
      <c r="G186" s="964">
        <f t="shared" ref="G186:G191" si="68">100*(B186/B162-1)</f>
        <v>15.413227656866457</v>
      </c>
      <c r="H186" s="1023">
        <f t="shared" si="29"/>
        <v>1.4009164502825722</v>
      </c>
    </row>
    <row r="187" spans="1:8" ht="16.5" customHeight="1">
      <c r="A187" s="1014" t="s">
        <v>650</v>
      </c>
      <c r="B187" s="857">
        <f>geral!I1091</f>
        <v>133151</v>
      </c>
      <c r="C187" s="857">
        <f t="shared" si="64"/>
        <v>327.55473554735545</v>
      </c>
      <c r="D187" s="963">
        <f t="shared" si="66"/>
        <v>1.6885596456392316</v>
      </c>
      <c r="E187" s="963">
        <f t="shared" si="65"/>
        <v>5.9587945536872411</v>
      </c>
      <c r="F187" s="963">
        <f t="shared" si="67"/>
        <v>6.0659890390007742</v>
      </c>
      <c r="G187" s="964">
        <f t="shared" si="68"/>
        <v>16.094915490685892</v>
      </c>
      <c r="H187" s="1023">
        <f t="shared" si="29"/>
        <v>1.3776539417653642</v>
      </c>
    </row>
    <row r="188" spans="1:8" ht="16.5" customHeight="1">
      <c r="A188" s="1014" t="s">
        <v>652</v>
      </c>
      <c r="B188" s="857">
        <f>geral!I1092</f>
        <v>129592</v>
      </c>
      <c r="C188" s="857">
        <f t="shared" si="64"/>
        <v>318.79950799507998</v>
      </c>
      <c r="D188" s="963">
        <f t="shared" si="66"/>
        <v>-2.6729051978580665</v>
      </c>
      <c r="E188" s="963">
        <f t="shared" si="65"/>
        <v>3.1266164264739826</v>
      </c>
      <c r="F188" s="963">
        <f t="shared" si="67"/>
        <v>2.297090352220521</v>
      </c>
      <c r="G188" s="964">
        <f t="shared" si="68"/>
        <v>12.931055517406055</v>
      </c>
      <c r="H188" s="1023">
        <f t="shared" si="29"/>
        <v>1.41548861040805</v>
      </c>
    </row>
    <row r="189" spans="1:8" ht="16.5" customHeight="1">
      <c r="A189" s="1014" t="s">
        <v>653</v>
      </c>
      <c r="B189" s="857">
        <f>geral!I1093</f>
        <v>130150</v>
      </c>
      <c r="C189" s="857">
        <f t="shared" si="64"/>
        <v>320.17220172201723</v>
      </c>
      <c r="D189" s="963">
        <f t="shared" si="66"/>
        <v>0.43058213469966411</v>
      </c>
      <c r="E189" s="963">
        <f t="shared" si="65"/>
        <v>3.5706612129266402</v>
      </c>
      <c r="F189" s="963">
        <f t="shared" si="67"/>
        <v>3.9121756487025872</v>
      </c>
      <c r="G189" s="964">
        <f t="shared" si="68"/>
        <v>13.41731646699178</v>
      </c>
      <c r="H189" s="1023">
        <f t="shared" si="29"/>
        <v>1.4094199001152516</v>
      </c>
    </row>
    <row r="190" spans="1:8" ht="16.5" customHeight="1">
      <c r="A190" s="1014" t="s">
        <v>654</v>
      </c>
      <c r="B190" s="857">
        <f>geral!I1094</f>
        <v>130150</v>
      </c>
      <c r="C190" s="857">
        <f t="shared" ref="C190:C195" si="69">100*B190/$B$8</f>
        <v>320.17220172201723</v>
      </c>
      <c r="D190" s="963">
        <f t="shared" si="66"/>
        <v>0</v>
      </c>
      <c r="E190" s="963">
        <f t="shared" si="65"/>
        <v>3.5706612129266402</v>
      </c>
      <c r="F190" s="963">
        <f t="shared" si="67"/>
        <v>4.9351361375162162</v>
      </c>
      <c r="G190" s="964">
        <f t="shared" si="68"/>
        <v>13.41731646699178</v>
      </c>
      <c r="H190" s="1023">
        <f t="shared" si="29"/>
        <v>1.4094199001152516</v>
      </c>
    </row>
    <row r="191" spans="1:8" ht="16.5" customHeight="1">
      <c r="A191" s="1014" t="s">
        <v>657</v>
      </c>
      <c r="B191" s="857">
        <f>geral!I1095</f>
        <v>131562</v>
      </c>
      <c r="C191" s="857">
        <f t="shared" si="69"/>
        <v>323.64575645756457</v>
      </c>
      <c r="D191" s="963">
        <f t="shared" si="66"/>
        <v>1.0849020361121786</v>
      </c>
      <c r="E191" s="963">
        <f t="shared" ref="E191:E196" si="70">100*((B191/$B$184)-1)</f>
        <v>4.6943014252405213</v>
      </c>
      <c r="F191" s="963">
        <f t="shared" si="67"/>
        <v>5.081469648562309</v>
      </c>
      <c r="G191" s="964">
        <f t="shared" si="68"/>
        <v>13.090674029425831</v>
      </c>
      <c r="H191" s="1023">
        <f t="shared" si="29"/>
        <v>1.3942931849622231</v>
      </c>
    </row>
    <row r="192" spans="1:8" ht="16.5" customHeight="1">
      <c r="A192" s="1032" t="str">
        <f>'MB ATEGO 2426'!A192</f>
        <v>AGOSTO|15</v>
      </c>
      <c r="B192" s="918">
        <f>geral!I1096</f>
        <v>131289</v>
      </c>
      <c r="C192" s="918">
        <f t="shared" si="69"/>
        <v>322.97416974169744</v>
      </c>
      <c r="D192" s="1059">
        <f t="shared" ref="D192:D197" si="71">100*((B192/B191)-1)</f>
        <v>-0.20750672686642435</v>
      </c>
      <c r="E192" s="1059">
        <f t="shared" si="70"/>
        <v>4.4770537071373351</v>
      </c>
      <c r="F192" s="1059">
        <f t="shared" ref="F192:F197" si="72">100*((B192/B180)-1)</f>
        <v>4.8634185303514377</v>
      </c>
      <c r="G192" s="1060">
        <f t="shared" ref="G192:G197" si="73">100*(B192/B168-1)</f>
        <v>11.735319148936174</v>
      </c>
      <c r="H192" s="1023">
        <f t="shared" si="29"/>
        <v>1.3971924532900699</v>
      </c>
    </row>
    <row r="193" spans="1:8" ht="16.5" customHeight="1">
      <c r="A193" s="1032" t="str">
        <f>'MB ATEGO 2426'!A193</f>
        <v>SETEMBRO|15</v>
      </c>
      <c r="B193" s="918">
        <f>geral!I1097</f>
        <v>129511</v>
      </c>
      <c r="C193" s="918">
        <f t="shared" si="69"/>
        <v>318.60024600246004</v>
      </c>
      <c r="D193" s="1059">
        <f t="shared" si="71"/>
        <v>-1.3542642567160978</v>
      </c>
      <c r="E193" s="1059">
        <f t="shared" si="70"/>
        <v>3.0621583123114915</v>
      </c>
      <c r="F193" s="1059">
        <f t="shared" si="72"/>
        <v>3.9080551989730372</v>
      </c>
      <c r="G193" s="1060">
        <f t="shared" si="73"/>
        <v>8.7984878714690851</v>
      </c>
      <c r="H193" s="1023">
        <f t="shared" si="29"/>
        <v>1.4163738987421919</v>
      </c>
    </row>
    <row r="194" spans="1:8" ht="16.5" customHeight="1">
      <c r="A194" s="1032" t="str">
        <f>'MB ATEGO 2426'!A194</f>
        <v>OUTUBRO|15</v>
      </c>
      <c r="B194" s="918">
        <f>geral!I1098</f>
        <v>127563</v>
      </c>
      <c r="C194" s="918">
        <f t="shared" si="69"/>
        <v>313.80811808118079</v>
      </c>
      <c r="D194" s="1059">
        <f t="shared" si="71"/>
        <v>-1.5041193412142606</v>
      </c>
      <c r="E194" s="1059">
        <f t="shared" si="70"/>
        <v>1.5119804556631644</v>
      </c>
      <c r="F194" s="1059">
        <f t="shared" si="72"/>
        <v>2.4026651681785305</v>
      </c>
      <c r="G194" s="1060">
        <f t="shared" si="73"/>
        <v>7.1620287724456499</v>
      </c>
      <c r="H194" s="1023">
        <f t="shared" si="29"/>
        <v>1.4380031827410769</v>
      </c>
    </row>
    <row r="195" spans="1:8" ht="16.5" customHeight="1">
      <c r="A195" s="1032" t="str">
        <f>'MB ATEGO 2426'!A195</f>
        <v>NOVEMBRO|15</v>
      </c>
      <c r="B195" s="918">
        <f>geral!I1099</f>
        <v>126621</v>
      </c>
      <c r="C195" s="918">
        <f t="shared" si="69"/>
        <v>311.49077490774908</v>
      </c>
      <c r="D195" s="1059">
        <f t="shared" si="71"/>
        <v>-0.73845864396415717</v>
      </c>
      <c r="E195" s="1059">
        <f t="shared" si="70"/>
        <v>0.76235646132911672</v>
      </c>
      <c r="F195" s="1059">
        <f t="shared" si="72"/>
        <v>1.1640727365696213</v>
      </c>
      <c r="G195" s="1060">
        <f t="shared" si="73"/>
        <v>5.7930026109660471</v>
      </c>
      <c r="H195" s="1023">
        <f t="shared" si="29"/>
        <v>1.4487012422899834</v>
      </c>
    </row>
    <row r="196" spans="1:8" ht="16.5" customHeight="1">
      <c r="A196" s="1032" t="str">
        <f>'MB ATEGO 2426'!A196</f>
        <v>DEZEMBRO|15</v>
      </c>
      <c r="B196" s="918">
        <f>geral!I1100</f>
        <v>126159</v>
      </c>
      <c r="C196" s="918">
        <f t="shared" ref="C196" si="74">100*B196/$B$8</f>
        <v>310.35424354243543</v>
      </c>
      <c r="D196" s="1059">
        <f t="shared" si="71"/>
        <v>-0.36486838676048627</v>
      </c>
      <c r="E196" s="1059">
        <f t="shared" si="70"/>
        <v>0.39470647684680671</v>
      </c>
      <c r="F196" s="1059">
        <f t="shared" si="72"/>
        <v>0.39470647684680671</v>
      </c>
      <c r="G196" s="1060">
        <f t="shared" si="73"/>
        <v>5.4069973890339407</v>
      </c>
      <c r="H196" s="1023">
        <f t="shared" si="29"/>
        <v>1.4540064521754295</v>
      </c>
    </row>
    <row r="197" spans="1:8" ht="16.5" customHeight="1">
      <c r="A197" s="1032" t="str">
        <f>'MB ATEGO 2426'!A197</f>
        <v>JANEIRO|16</v>
      </c>
      <c r="B197" s="918">
        <f>geral!K1089</f>
        <v>125916</v>
      </c>
      <c r="C197" s="918">
        <f t="shared" ref="C197" si="75">100*B197/$B$8</f>
        <v>309.75645756457567</v>
      </c>
      <c r="D197" s="1059">
        <f t="shared" si="71"/>
        <v>-0.19261408222956966</v>
      </c>
      <c r="E197" s="1059">
        <f t="shared" ref="E197:E202" si="76">100*((B197/$B$196)-1)</f>
        <v>-0.19261408222956966</v>
      </c>
      <c r="F197" s="1059">
        <f t="shared" si="72"/>
        <v>3.8929981647295442E-2</v>
      </c>
      <c r="G197" s="1060">
        <f t="shared" si="73"/>
        <v>3.0113478337901123</v>
      </c>
      <c r="H197" s="1023">
        <f t="shared" si="29"/>
        <v>1.4568124781600431</v>
      </c>
    </row>
    <row r="198" spans="1:8" ht="16.5" customHeight="1">
      <c r="A198" s="1032" t="str">
        <f>'MB ATEGO 2426'!A198</f>
        <v>FEVEREIRO|16</v>
      </c>
      <c r="B198" s="918">
        <f>geral!K1090</f>
        <v>128322</v>
      </c>
      <c r="C198" s="918">
        <f t="shared" ref="C198" si="77">100*B198/$B$8</f>
        <v>315.6752767527675</v>
      </c>
      <c r="D198" s="1059">
        <f t="shared" ref="D198" si="78">100*((B198/B197)-1)</f>
        <v>1.9107976746402411</v>
      </c>
      <c r="E198" s="1059">
        <f t="shared" si="76"/>
        <v>1.7145031270064059</v>
      </c>
      <c r="F198" s="1059">
        <f t="shared" ref="F198" si="79">100*((B198/B186)-1)</f>
        <v>-1.9993890331449493</v>
      </c>
      <c r="G198" s="1060">
        <f t="shared" ref="G198" si="80">100*(B198/B174-1)</f>
        <v>4.1574675324675292</v>
      </c>
      <c r="H198" s="1023">
        <f t="shared" si="29"/>
        <v>1.4294976699240971</v>
      </c>
    </row>
    <row r="199" spans="1:8" ht="16.5" customHeight="1">
      <c r="A199" s="1032" t="str">
        <f>'MB ATEGO 2426'!A199</f>
        <v>MARÇO|16</v>
      </c>
      <c r="B199" s="918">
        <f>geral!K1091</f>
        <v>131335</v>
      </c>
      <c r="C199" s="918">
        <f t="shared" ref="C199" si="81">100*B199/$B$8</f>
        <v>323.08733087330876</v>
      </c>
      <c r="D199" s="1059">
        <f t="shared" ref="D199" si="82">100*((B199/B198)-1)</f>
        <v>2.3479995635978135</v>
      </c>
      <c r="E199" s="1059">
        <f t="shared" si="76"/>
        <v>4.102759216544194</v>
      </c>
      <c r="F199" s="1059">
        <f t="shared" ref="F199" si="83">100*((B199/B187)-1)</f>
        <v>-1.3638650855044232</v>
      </c>
      <c r="G199" s="1060">
        <f t="shared" ref="G199" si="84">100*(B199/B175-1)</f>
        <v>4.6193920469028704</v>
      </c>
      <c r="H199" s="1023">
        <f t="shared" si="29"/>
        <v>1.3967030875242701</v>
      </c>
    </row>
    <row r="200" spans="1:8" ht="16.5" customHeight="1">
      <c r="A200" s="1032" t="str">
        <f>'MB ATEGO 2426'!A200</f>
        <v>ABRIL|16</v>
      </c>
      <c r="B200" s="918">
        <f>geral!K1092</f>
        <v>132455</v>
      </c>
      <c r="C200" s="918">
        <f t="shared" ref="C200" si="85">100*B200/$B$8</f>
        <v>325.84255842558423</v>
      </c>
      <c r="D200" s="1059">
        <f t="shared" ref="D200" si="86">100*((B200/B199)-1)</f>
        <v>0.85278105607797805</v>
      </c>
      <c r="E200" s="1059">
        <f t="shared" si="76"/>
        <v>4.9905278259973596</v>
      </c>
      <c r="F200" s="1059">
        <f t="shared" ref="F200" si="87">100*((B200/B188)-1)</f>
        <v>2.209241311192045</v>
      </c>
      <c r="G200" s="1060">
        <f t="shared" ref="G200" si="88">100*(B200/B176-1)</f>
        <v>4.5570799324292421</v>
      </c>
      <c r="H200" s="1023">
        <f t="shared" si="29"/>
        <v>1.3848929825223661</v>
      </c>
    </row>
    <row r="201" spans="1:8" ht="16.5" customHeight="1">
      <c r="A201" s="1032" t="str">
        <f>'MB ATEGO 2426'!A201</f>
        <v>MAIO|16</v>
      </c>
      <c r="B201" s="918">
        <f>geral!K1093</f>
        <v>132455</v>
      </c>
      <c r="C201" s="918">
        <f t="shared" ref="C201" si="89">100*B201/$B$8</f>
        <v>325.84255842558423</v>
      </c>
      <c r="D201" s="1059">
        <f t="shared" ref="D201" si="90">100*((B201/B200)-1)</f>
        <v>0</v>
      </c>
      <c r="E201" s="1059">
        <f t="shared" si="76"/>
        <v>4.9905278259973596</v>
      </c>
      <c r="F201" s="1059">
        <f t="shared" ref="F201" si="91">100*((B201/B189)-1)</f>
        <v>1.7710334229734892</v>
      </c>
      <c r="G201" s="1060">
        <f t="shared" ref="G201" si="92">100*(B201/B177-1)</f>
        <v>5.7524950099800298</v>
      </c>
      <c r="H201" s="1023">
        <f t="shared" si="29"/>
        <v>1.3848929825223661</v>
      </c>
    </row>
    <row r="202" spans="1:8" ht="16.5" customHeight="1">
      <c r="A202" s="1032" t="str">
        <f>'MB ATEGO 2426'!A202</f>
        <v>JUNHO|16</v>
      </c>
      <c r="B202" s="918">
        <f>geral!K1094</f>
        <v>134035</v>
      </c>
      <c r="C202" s="918">
        <f t="shared" ref="C202" si="93">100*B202/$B$8</f>
        <v>329.72939729397297</v>
      </c>
      <c r="D202" s="1059">
        <f t="shared" ref="D202" si="94">100*((B202/B201)-1)</f>
        <v>1.1928579517572091</v>
      </c>
      <c r="E202" s="1059">
        <f t="shared" si="76"/>
        <v>6.2429156857616075</v>
      </c>
      <c r="F202" s="1059">
        <f t="shared" ref="F202" si="95">100*((B202/B190)-1)</f>
        <v>2.9850172877449177</v>
      </c>
      <c r="G202" s="1060">
        <f t="shared" ref="G202" si="96">100*(B202/B178-1)</f>
        <v>8.067468092139741</v>
      </c>
      <c r="H202" s="1023">
        <f t="shared" si="29"/>
        <v>1.3685679113664342</v>
      </c>
    </row>
    <row r="203" spans="1:8" ht="16.5" customHeight="1">
      <c r="A203" s="1032" t="str">
        <f>'MB ATEGO 2426'!A203</f>
        <v>JULHO|16</v>
      </c>
      <c r="B203" s="918">
        <f>geral!K1095</f>
        <v>135217</v>
      </c>
      <c r="C203" s="918">
        <f t="shared" ref="C203" si="97">100*B203/$B$8</f>
        <v>332.6371463714637</v>
      </c>
      <c r="D203" s="1059">
        <f t="shared" ref="D203" si="98">100*((B203/B202)-1)</f>
        <v>0.881859215876446</v>
      </c>
      <c r="E203" s="1059">
        <f t="shared" ref="E203" si="99">100*((B203/$B$196)-1)</f>
        <v>7.179828628952345</v>
      </c>
      <c r="F203" s="1059">
        <f t="shared" ref="F203" si="100">100*((B203/B191)-1)</f>
        <v>2.7781578267280782</v>
      </c>
      <c r="G203" s="1060">
        <f t="shared" ref="G203" si="101">100*(B203/B179-1)</f>
        <v>8.000798722044733</v>
      </c>
      <c r="H203" s="1023">
        <f t="shared" ref="H203:H253" si="102">$B$253/B203</f>
        <v>1.3566045689521289</v>
      </c>
    </row>
    <row r="204" spans="1:8" ht="16.5" customHeight="1">
      <c r="A204" s="1032" t="str">
        <f>'MB ATEGO 2426'!A204</f>
        <v>AGOSTO|16</v>
      </c>
      <c r="B204" s="918">
        <f>geral!K1096</f>
        <v>135711</v>
      </c>
      <c r="C204" s="918">
        <f t="shared" ref="C204" si="103">100*B204/$B$8</f>
        <v>333.85239852398524</v>
      </c>
      <c r="D204" s="1059">
        <f t="shared" ref="D204" si="104">100*((B204/B203)-1)</f>
        <v>0.36533867782897467</v>
      </c>
      <c r="E204" s="1059">
        <f t="shared" ref="E204" si="105">100*((B204/$B$196)-1)</f>
        <v>7.5713979977647172</v>
      </c>
      <c r="F204" s="1059">
        <f t="shared" ref="F204" si="106">100*((B204/B192)-1)</f>
        <v>3.3681420377944749</v>
      </c>
      <c r="G204" s="1060">
        <f t="shared" ref="G204" si="107">100*(B204/B180-1)</f>
        <v>8.3953674121405761</v>
      </c>
      <c r="H204" s="1023">
        <f t="shared" si="102"/>
        <v>1.351666408765686</v>
      </c>
    </row>
    <row r="205" spans="1:8" ht="16.5" customHeight="1">
      <c r="A205" s="1014" t="str">
        <f>'MB ATEGO 2426'!A205</f>
        <v>SETEMBRO|16</v>
      </c>
      <c r="B205" s="857">
        <f>geral!K1097</f>
        <v>135702</v>
      </c>
      <c r="C205" s="857">
        <f t="shared" ref="C205" si="108">100*B205/$B$8</f>
        <v>333.83025830258305</v>
      </c>
      <c r="D205" s="963">
        <f t="shared" ref="D205" si="109">100*((B205/B204)-1)</f>
        <v>-6.6317395052695183E-3</v>
      </c>
      <c r="E205" s="963">
        <f t="shared" ref="E205" si="110">100*((B205/$B$196)-1)</f>
        <v>7.5642641428673274</v>
      </c>
      <c r="F205" s="963">
        <f t="shared" ref="F205" si="111">100*((B205/B193)-1)</f>
        <v>4.7802889329863874</v>
      </c>
      <c r="G205" s="964">
        <f t="shared" ref="G205" si="112">100*(B205/B181-1)</f>
        <v>8.8751604621309266</v>
      </c>
      <c r="H205" s="1023">
        <f t="shared" si="102"/>
        <v>1.3517560537059143</v>
      </c>
    </row>
    <row r="206" spans="1:8" ht="16.5" customHeight="1">
      <c r="A206" s="1032" t="str">
        <f>'MB ATEGO 2426'!A206</f>
        <v>OUTUBRO|16</v>
      </c>
      <c r="B206" s="918">
        <f>geral!K1098</f>
        <v>135531</v>
      </c>
      <c r="C206" s="918">
        <f t="shared" ref="C206" si="113">100*B206/$B$8</f>
        <v>333.40959409594097</v>
      </c>
      <c r="D206" s="1059">
        <f t="shared" ref="D206" si="114">100*((B206/B205)-1)</f>
        <v>-0.12601140734845862</v>
      </c>
      <c r="E206" s="1059">
        <f t="shared" ref="E206" si="115">100*((B206/$B$196)-1)</f>
        <v>7.4287208998168985</v>
      </c>
      <c r="F206" s="1059">
        <f t="shared" ref="F206" si="116">100*((B206/B194)-1)</f>
        <v>6.2463253451235934</v>
      </c>
      <c r="G206" s="1060">
        <f t="shared" ref="G206" si="117">100*(B206/B182-1)</f>
        <v>8.799068796660503</v>
      </c>
      <c r="H206" s="1023">
        <f t="shared" si="102"/>
        <v>1.3534615696777859</v>
      </c>
    </row>
    <row r="207" spans="1:8" ht="16.5" customHeight="1">
      <c r="A207" s="1032" t="str">
        <f>'MB ATEGO 2426'!A207</f>
        <v>NOVEMBRO|16</v>
      </c>
      <c r="B207" s="918">
        <f>geral!K1099</f>
        <v>136293</v>
      </c>
      <c r="C207" s="918">
        <f t="shared" ref="C207" si="118">100*B207/$B$8</f>
        <v>335.28413284132841</v>
      </c>
      <c r="D207" s="1059">
        <f t="shared" ref="D207" si="119">100*((B207/B206)-1)</f>
        <v>0.56223299466542365</v>
      </c>
      <c r="E207" s="1059">
        <f t="shared" ref="E207" si="120">100*((B207/$B$196)-1)</f>
        <v>8.032720614462697</v>
      </c>
      <c r="F207" s="1059">
        <f t="shared" ref="F207" si="121">100*((B207/B195)-1)</f>
        <v>7.6385433695832505</v>
      </c>
      <c r="G207" s="1060">
        <f t="shared" ref="G207" si="122">100*(B207/B183-1)</f>
        <v>8.8915343069892359</v>
      </c>
      <c r="H207" s="1023">
        <f t="shared" si="102"/>
        <v>1.3458945066877976</v>
      </c>
    </row>
    <row r="208" spans="1:8" ht="16.5" customHeight="1">
      <c r="A208" s="1032" t="str">
        <f>'MB ATEGO 2426'!A208</f>
        <v>DEZEMBRO|16</v>
      </c>
      <c r="B208" s="918">
        <f>geral!K1100</f>
        <v>138751</v>
      </c>
      <c r="C208" s="918">
        <f t="shared" ref="C208" si="123">100*B208/$B$8</f>
        <v>341.33087330873309</v>
      </c>
      <c r="D208" s="1059">
        <f t="shared" ref="D208" si="124">100*((B208/B207)-1)</f>
        <v>1.8034675295136138</v>
      </c>
      <c r="E208" s="1059">
        <f t="shared" ref="E208" si="125">100*((B208/$B$196)-1)</f>
        <v>9.9810556519946978</v>
      </c>
      <c r="F208" s="1059">
        <f t="shared" ref="F208" si="126">100*((B208/B196)-1)</f>
        <v>9.9810556519946978</v>
      </c>
      <c r="G208" s="1060">
        <f t="shared" ref="G208" si="127">100*(B208/B184-1)</f>
        <v>10.415158001957625</v>
      </c>
      <c r="H208" s="1023">
        <f t="shared" si="102"/>
        <v>1.3220517329604831</v>
      </c>
    </row>
    <row r="209" spans="1:8" ht="16.5" customHeight="1">
      <c r="A209" s="1032" t="str">
        <f>'MB ATEGO 2426'!A209</f>
        <v>JANEIRO|17</v>
      </c>
      <c r="B209" s="918">
        <f>geral!M1089</f>
        <v>139426</v>
      </c>
      <c r="C209" s="918">
        <f t="shared" ref="C209" si="128">100*B209/$B$8</f>
        <v>342.99138991389913</v>
      </c>
      <c r="D209" s="1059">
        <f t="shared" ref="D209" si="129">100*((B209/B208)-1)</f>
        <v>0.4864829803028492</v>
      </c>
      <c r="E209" s="1059">
        <f t="shared" ref="E209:E214" si="130">100*((B209/$B$208)-1)</f>
        <v>0.4864829803028492</v>
      </c>
      <c r="F209" s="1059">
        <f t="shared" ref="F209" si="131">100*((B209/B197)-1)</f>
        <v>10.729375138981535</v>
      </c>
      <c r="G209" s="1060">
        <f t="shared" ref="G209" si="132">100*(B209/B185-1)</f>
        <v>10.772482064401313</v>
      </c>
      <c r="H209" s="1023">
        <f t="shared" si="102"/>
        <v>1.3156513132414327</v>
      </c>
    </row>
    <row r="210" spans="1:8" ht="16.5" customHeight="1">
      <c r="A210" s="1032" t="str">
        <f>'MB ATEGO 2426'!A210</f>
        <v>FEVEREIRO|17</v>
      </c>
      <c r="B210" s="918">
        <f>geral!M1090</f>
        <v>140631</v>
      </c>
      <c r="C210" s="918">
        <f t="shared" ref="C210" si="133">100*B210/$B$8</f>
        <v>345.95571955719555</v>
      </c>
      <c r="D210" s="1059">
        <f t="shared" ref="D210" si="134">100*((B210/B209)-1)</f>
        <v>0.86425774245837417</v>
      </c>
      <c r="E210" s="1059">
        <f t="shared" si="130"/>
        <v>1.3549451895842113</v>
      </c>
      <c r="F210" s="1059">
        <f t="shared" ref="F210" si="135">100*((B210/B198)-1)</f>
        <v>9.5922756814887489</v>
      </c>
      <c r="G210" s="1060">
        <f t="shared" ref="G210" si="136">100*(B210/B186-1)</f>
        <v>7.4010997403390899</v>
      </c>
      <c r="H210" s="1023">
        <f t="shared" si="102"/>
        <v>1.3043781243111405</v>
      </c>
    </row>
    <row r="211" spans="1:8" ht="16.5" customHeight="1">
      <c r="A211" s="1032" t="str">
        <f>'MB ATEGO 2426'!A211</f>
        <v>MARÇO|17</v>
      </c>
      <c r="B211" s="918">
        <f>geral!M1091</f>
        <v>142776</v>
      </c>
      <c r="C211" s="918">
        <f t="shared" ref="C211" si="137">100*B211/$B$8</f>
        <v>351.23247232472323</v>
      </c>
      <c r="D211" s="1059">
        <f t="shared" ref="D211" si="138">100*((B211/B210)-1)</f>
        <v>1.5252682552211017</v>
      </c>
      <c r="E211" s="1059">
        <f t="shared" si="130"/>
        <v>2.9008799936577123</v>
      </c>
      <c r="F211" s="1059">
        <f t="shared" ref="F211" si="139">100*((B211/B199)-1)</f>
        <v>8.7113107701678913</v>
      </c>
      <c r="G211" s="1060">
        <f t="shared" ref="G211" si="140">100*(B211/B187-1)</f>
        <v>7.2286351585793662</v>
      </c>
      <c r="H211" s="1023">
        <f t="shared" si="102"/>
        <v>1.2847817560374293</v>
      </c>
    </row>
    <row r="212" spans="1:8" ht="16.5" customHeight="1">
      <c r="A212" s="1032" t="str">
        <f>'MB ATEGO 2426'!A212</f>
        <v>ABRIL|17</v>
      </c>
      <c r="B212" s="918">
        <f>geral!M1092</f>
        <v>142747</v>
      </c>
      <c r="C212" s="918">
        <f t="shared" ref="C212" si="141">100*B212/$B$8</f>
        <v>351.16113161131614</v>
      </c>
      <c r="D212" s="1059">
        <f t="shared" ref="D212" si="142">100*((B212/B211)-1)</f>
        <v>-2.0311536952988263E-2</v>
      </c>
      <c r="E212" s="1059">
        <f t="shared" si="130"/>
        <v>2.8799792433928495</v>
      </c>
      <c r="F212" s="1059">
        <f t="shared" ref="F212" si="143">100*((B212/B200)-1)</f>
        <v>7.7701861009399353</v>
      </c>
      <c r="G212" s="1060">
        <f t="shared" ref="G212" si="144">100*(B212/B188-1)</f>
        <v>10.15108957343045</v>
      </c>
      <c r="H212" s="1023">
        <f t="shared" si="102"/>
        <v>1.2850427679741081</v>
      </c>
    </row>
    <row r="213" spans="1:8" ht="16.5" customHeight="1">
      <c r="A213" s="1032" t="str">
        <f>'MB ATEGO 2426'!A213</f>
        <v>MAIO|17</v>
      </c>
      <c r="B213" s="918">
        <f>geral!M1093</f>
        <v>142062</v>
      </c>
      <c r="C213" s="918">
        <f t="shared" ref="C213" si="145">100*B213/$B$8</f>
        <v>349.47601476014762</v>
      </c>
      <c r="D213" s="1059">
        <f t="shared" ref="D213" si="146">100*((B213/B212)-1)</f>
        <v>-0.47986997975438817</v>
      </c>
      <c r="E213" s="1059">
        <f t="shared" si="130"/>
        <v>2.386289107826256</v>
      </c>
      <c r="F213" s="1059">
        <f t="shared" ref="F213" si="147">100*((B213/B201)-1)</f>
        <v>7.2530293307160987</v>
      </c>
      <c r="G213" s="1060">
        <f t="shared" ref="G213" si="148">100*(B213/B189-1)</f>
        <v>9.1525163273146415</v>
      </c>
      <c r="H213" s="1023">
        <f t="shared" si="102"/>
        <v>1.2912390364770312</v>
      </c>
    </row>
    <row r="214" spans="1:8" ht="16.5" customHeight="1">
      <c r="A214" s="1032" t="str">
        <f>'MB ATEGO 2426'!A214</f>
        <v>JUNHO|17</v>
      </c>
      <c r="B214" s="918">
        <f>geral!M1094</f>
        <v>145870</v>
      </c>
      <c r="C214" s="918">
        <f t="shared" ref="C214" si="149">100*B214/$B$8</f>
        <v>358.84378843788437</v>
      </c>
      <c r="D214" s="1059">
        <f t="shared" ref="D214" si="150">100*((B214/B213)-1)</f>
        <v>2.6805197730568331</v>
      </c>
      <c r="E214" s="1059">
        <f t="shared" si="130"/>
        <v>5.13077383226066</v>
      </c>
      <c r="F214" s="1059">
        <f t="shared" ref="F214" si="151">100*((B214/B202)-1)</f>
        <v>8.8297832655649611</v>
      </c>
      <c r="G214" s="1060">
        <f t="shared" ref="G214" si="152">100*(B214/B190-1)</f>
        <v>12.078371110257402</v>
      </c>
      <c r="H214" s="1023">
        <f t="shared" si="102"/>
        <v>1.2575306780009599</v>
      </c>
    </row>
    <row r="215" spans="1:8" ht="16.5" customHeight="1">
      <c r="A215" s="1032" t="str">
        <f>'MB ATEGO 2426'!A215</f>
        <v>JULHO|17</v>
      </c>
      <c r="B215" s="918">
        <f>geral!M1095</f>
        <v>148251</v>
      </c>
      <c r="C215" s="918">
        <f t="shared" ref="C215" si="153">100*B215/$B$8</f>
        <v>364.70110701107012</v>
      </c>
      <c r="D215" s="1059">
        <f t="shared" ref="D215" si="154">100*((B215/B214)-1)</f>
        <v>1.632275313635434</v>
      </c>
      <c r="E215" s="1059">
        <f t="shared" ref="E215" si="155">100*((B215/$B$208)-1)</f>
        <v>6.8467975005585435</v>
      </c>
      <c r="F215" s="1059">
        <f t="shared" ref="F215" si="156">100*((B215/B203)-1)</f>
        <v>9.6393204996413129</v>
      </c>
      <c r="G215" s="1060">
        <f t="shared" ref="G215" si="157">100*(B215/B191-1)</f>
        <v>12.685273863273583</v>
      </c>
      <c r="H215" s="1023">
        <f t="shared" si="102"/>
        <v>1.2373339808837713</v>
      </c>
    </row>
    <row r="216" spans="1:8" ht="16.5" customHeight="1">
      <c r="A216" s="1032" t="str">
        <f>'MB ATEGO 2426'!A216</f>
        <v>AGOSTO|17</v>
      </c>
      <c r="B216" s="918">
        <f>geral!M1096</f>
        <v>149302</v>
      </c>
      <c r="C216" s="918">
        <f t="shared" ref="C216" si="158">100*B216/$B$8</f>
        <v>367.28659286592864</v>
      </c>
      <c r="D216" s="1059">
        <f t="shared" ref="D216" si="159">100*((B216/B215)-1)</f>
        <v>0.70893282338735375</v>
      </c>
      <c r="E216" s="1059">
        <f t="shared" ref="E216" si="160">100*((B216/$B$208)-1)</f>
        <v>7.6042695187782394</v>
      </c>
      <c r="F216" s="1059">
        <f t="shared" ref="F216" si="161">100*((B216/B204)-1)</f>
        <v>10.014663512906097</v>
      </c>
      <c r="G216" s="1060">
        <f t="shared" ref="G216" si="162">100*(B216/B192-1)</f>
        <v>13.720113642422449</v>
      </c>
      <c r="H216" s="1023">
        <f t="shared" si="102"/>
        <v>1.228623863042692</v>
      </c>
    </row>
    <row r="217" spans="1:8" ht="16.5" customHeight="1">
      <c r="A217" s="1032" t="str">
        <f>'MB ATEGO 2426'!A217</f>
        <v>SETEMBRO|17</v>
      </c>
      <c r="B217" s="918">
        <f>geral!M1097</f>
        <v>149038</v>
      </c>
      <c r="C217" s="918">
        <f t="shared" ref="C217" si="163">100*B217/$B$8</f>
        <v>366.6371463714637</v>
      </c>
      <c r="D217" s="1059">
        <f t="shared" ref="D217" si="164">100*((B217/B216)-1)</f>
        <v>-0.17682281550146506</v>
      </c>
      <c r="E217" s="1059">
        <f t="shared" ref="E217" si="165">100*((B217/$B$208)-1)</f>
        <v>7.4140006198153419</v>
      </c>
      <c r="F217" s="1059">
        <f t="shared" ref="F217" si="166">100*((B217/B205)-1)</f>
        <v>9.8274159555496574</v>
      </c>
      <c r="G217" s="1060">
        <f t="shared" ref="G217" si="167">100*(B217/B193-1)</f>
        <v>15.077483765857735</v>
      </c>
      <c r="H217" s="1023">
        <f t="shared" si="102"/>
        <v>1.2308001986070667</v>
      </c>
    </row>
    <row r="218" spans="1:8" ht="16.5" customHeight="1">
      <c r="A218" s="1032" t="str">
        <f>'MB ATEGO 2426'!A218</f>
        <v>OUTUBRO|17</v>
      </c>
      <c r="B218" s="918">
        <f>geral!M1098</f>
        <v>149010</v>
      </c>
      <c r="C218" s="918">
        <f t="shared" ref="C218" si="168">100*B218/$B$8</f>
        <v>366.56826568265683</v>
      </c>
      <c r="D218" s="1059">
        <f t="shared" ref="D218" si="169">100*((B218/B217)-1)</f>
        <v>-1.8787154953769925E-2</v>
      </c>
      <c r="E218" s="1059">
        <f t="shared" ref="E218" si="170">100*((B218/$B$208)-1)</f>
        <v>7.3938205850768712</v>
      </c>
      <c r="F218" s="1059">
        <f t="shared" ref="F218" si="171">100*((B218/B206)-1)</f>
        <v>9.9453261615423791</v>
      </c>
      <c r="G218" s="1060">
        <f t="shared" ref="G218" si="172">100*(B218/B194-1)</f>
        <v>16.812868935349591</v>
      </c>
      <c r="H218" s="1023">
        <f t="shared" si="102"/>
        <v>1.2310314743976913</v>
      </c>
    </row>
    <row r="219" spans="1:8" ht="16.5" customHeight="1">
      <c r="A219" s="1032" t="str">
        <f>'MB ATEGO 2426'!A219</f>
        <v>NOVEMBRO|17</v>
      </c>
      <c r="B219" s="918">
        <f>geral!M1099</f>
        <v>148094</v>
      </c>
      <c r="C219" s="918">
        <f t="shared" ref="C219" si="173">100*B219/$B$8</f>
        <v>364.31488314883148</v>
      </c>
      <c r="D219" s="1059">
        <f t="shared" ref="D219" si="174">100*((B219/B218)-1)</f>
        <v>-0.61472384403731262</v>
      </c>
      <c r="E219" s="1059">
        <f t="shared" ref="E219" si="175">100*((B219/$B$208)-1)</f>
        <v>6.7336451629177452</v>
      </c>
      <c r="F219" s="1059">
        <f t="shared" ref="F219" si="176">100*((B219/B207)-1)</f>
        <v>8.6585517964972603</v>
      </c>
      <c r="G219" s="1060">
        <f t="shared" ref="G219" si="177">100*(B219/B195-1)</f>
        <v>16.958482400233766</v>
      </c>
      <c r="H219" s="1023">
        <f t="shared" si="102"/>
        <v>1.238645725012492</v>
      </c>
    </row>
    <row r="220" spans="1:8" ht="16.5" customHeight="1">
      <c r="A220" s="1032" t="str">
        <f>'MB ATEGO 2426'!A220</f>
        <v>DEZEMBRO|17</v>
      </c>
      <c r="B220" s="918">
        <f>geral!M1100</f>
        <v>146411</v>
      </c>
      <c r="C220" s="918">
        <f t="shared" ref="C220" si="178">100*B220/$B$8</f>
        <v>360.17466174661746</v>
      </c>
      <c r="D220" s="1059">
        <f t="shared" ref="D220" si="179">100*((B220/B219)-1)</f>
        <v>-1.1364403689548497</v>
      </c>
      <c r="E220" s="1059">
        <f t="shared" ref="E220" si="180">100*((B220/$B$208)-1)</f>
        <v>5.5206809320293093</v>
      </c>
      <c r="F220" s="1059">
        <f t="shared" ref="F220" si="181">100*((B220/B208)-1)</f>
        <v>5.5206809320293093</v>
      </c>
      <c r="G220" s="1060">
        <f t="shared" ref="G220" si="182">100*(B220/B196-1)</f>
        <v>16.052758820218926</v>
      </c>
      <c r="H220" s="1023">
        <f t="shared" si="102"/>
        <v>1.2528840046171394</v>
      </c>
    </row>
    <row r="221" spans="1:8" ht="16.5" customHeight="1">
      <c r="A221" s="1032" t="str">
        <f>'MB ATEGO 2426'!A221</f>
        <v>JANEIRO|18</v>
      </c>
      <c r="B221" s="918">
        <f>geral!O1089</f>
        <v>145993</v>
      </c>
      <c r="C221" s="918">
        <f t="shared" ref="C221" si="183">100*B221/$B$8</f>
        <v>359.14637146371462</v>
      </c>
      <c r="D221" s="1059">
        <f t="shared" ref="D221" si="184">100*((B221/B220)-1)</f>
        <v>-0.28549767435507301</v>
      </c>
      <c r="E221" s="1059">
        <f t="shared" ref="E221:E226" si="185">100*((B221/$B$220)-1)</f>
        <v>-0.28549767435507301</v>
      </c>
      <c r="F221" s="1059">
        <f t="shared" ref="F221" si="186">100*((B221/B209)-1)</f>
        <v>4.7100253898125111</v>
      </c>
      <c r="G221" s="1060">
        <f t="shared" ref="G221" si="187">100*(B221/B197-1)</f>
        <v>15.944756822008333</v>
      </c>
      <c r="H221" s="1023">
        <f t="shared" si="102"/>
        <v>1.2564712006740049</v>
      </c>
    </row>
    <row r="222" spans="1:8" ht="16.5" customHeight="1">
      <c r="A222" s="1032" t="str">
        <f>'MB ATEGO 2426'!A222</f>
        <v>FEVEREIRO|18</v>
      </c>
      <c r="B222" s="918">
        <f>geral!O1090</f>
        <v>147366</v>
      </c>
      <c r="C222" s="918">
        <f t="shared" ref="C222" si="188">100*B222/$B$8</f>
        <v>362.52398523985238</v>
      </c>
      <c r="D222" s="1059">
        <f t="shared" ref="D222" si="189">100*((B222/B221)-1)</f>
        <v>0.94045604926262794</v>
      </c>
      <c r="E222" s="1059">
        <f t="shared" si="185"/>
        <v>0.65227339475859569</v>
      </c>
      <c r="F222" s="1059">
        <f t="shared" ref="F222" si="190">100*((B222/B210)-1)</f>
        <v>4.7891289971627948</v>
      </c>
      <c r="G222" s="1060">
        <f t="shared" ref="G222" si="191">100*(B222/B198-1)</f>
        <v>14.840791134801524</v>
      </c>
      <c r="H222" s="1023">
        <f t="shared" si="102"/>
        <v>1.2447647354206532</v>
      </c>
    </row>
    <row r="223" spans="1:8" ht="16.5" customHeight="1">
      <c r="A223" s="1032" t="str">
        <f>'MB ATEGO 2426'!A223</f>
        <v>MARÇO|18</v>
      </c>
      <c r="B223" s="918">
        <f>geral!O1091</f>
        <v>146459</v>
      </c>
      <c r="C223" s="918">
        <f t="shared" ref="C223" si="192">100*B223/$B$8</f>
        <v>360.29274292742929</v>
      </c>
      <c r="D223" s="1059">
        <f t="shared" ref="D223" si="193">100*((B223/B222)-1)</f>
        <v>-0.61547439707938523</v>
      </c>
      <c r="E223" s="1059">
        <f t="shared" si="185"/>
        <v>3.278442193550557E-2</v>
      </c>
      <c r="F223" s="1059">
        <f t="shared" ref="F223" si="194">100*((B223/B211)-1)</f>
        <v>2.5795651930296426</v>
      </c>
      <c r="G223" s="1060">
        <f t="shared" ref="G223" si="195">100*(B223/B199-1)</f>
        <v>11.515589903681423</v>
      </c>
      <c r="H223" s="1023">
        <f t="shared" si="102"/>
        <v>1.2524733884568378</v>
      </c>
    </row>
    <row r="224" spans="1:8" ht="16.5" customHeight="1">
      <c r="A224" s="1032" t="str">
        <f>'MB ATEGO 2426'!A224</f>
        <v>ABRIL|18</v>
      </c>
      <c r="B224" s="918">
        <f>geral!O1092</f>
        <v>147294</v>
      </c>
      <c r="C224" s="918">
        <f t="shared" ref="C224" si="196">100*B224/$B$8</f>
        <v>362.34686346863469</v>
      </c>
      <c r="D224" s="1059">
        <f t="shared" ref="D224" si="197">100*((B224/B223)-1)</f>
        <v>0.57012542759407037</v>
      </c>
      <c r="E224" s="1059">
        <f t="shared" si="185"/>
        <v>0.60309676185532624</v>
      </c>
      <c r="F224" s="1059">
        <f t="shared" ref="F224" si="198">100*((B224/B212)-1)</f>
        <v>3.1853559094061623</v>
      </c>
      <c r="G224" s="1060">
        <f t="shared" ref="G224" si="199">100*(B224/B200-1)</f>
        <v>11.203050092484235</v>
      </c>
      <c r="H224" s="1023">
        <f t="shared" si="102"/>
        <v>1.2453731991798715</v>
      </c>
    </row>
    <row r="225" spans="1:8" ht="16.5" customHeight="1">
      <c r="A225" s="1032" t="str">
        <f>'MB ATEGO 2426'!A225</f>
        <v>MAIO|18</v>
      </c>
      <c r="B225" s="918">
        <f>geral!O1093</f>
        <v>146848</v>
      </c>
      <c r="C225" s="918">
        <f t="shared" ref="C225" si="200">100*B225/$B$8</f>
        <v>361.24969249692498</v>
      </c>
      <c r="D225" s="1059">
        <f t="shared" ref="D225" si="201">100*((B225/B224)-1)</f>
        <v>-0.30279576900620331</v>
      </c>
      <c r="E225" s="1059">
        <f t="shared" si="185"/>
        <v>0.29847484137119906</v>
      </c>
      <c r="F225" s="1059">
        <f t="shared" ref="F225" si="202">100*((B225/B213)-1)</f>
        <v>3.3689515845194418</v>
      </c>
      <c r="G225" s="1060">
        <f t="shared" ref="G225" si="203">100*(B225/B201-1)</f>
        <v>10.866331961798338</v>
      </c>
      <c r="H225" s="1023">
        <f t="shared" si="102"/>
        <v>1.2491555894530399</v>
      </c>
    </row>
    <row r="226" spans="1:8" ht="16.5" customHeight="1">
      <c r="A226" s="1032" t="str">
        <f>'MB ATEGO 2426'!A226</f>
        <v>JUNHO|18</v>
      </c>
      <c r="B226" s="918">
        <f>geral!O1094</f>
        <v>148262</v>
      </c>
      <c r="C226" s="918">
        <f t="shared" ref="C226" si="204">100*B226/$B$8</f>
        <v>364.72816728167282</v>
      </c>
      <c r="D226" s="1059">
        <f t="shared" ref="D226" si="205">100*((B226/B225)-1)</f>
        <v>0.96290041403355175</v>
      </c>
      <c r="E226" s="1059">
        <f t="shared" si="185"/>
        <v>1.264249270888107</v>
      </c>
      <c r="F226" s="1059">
        <f t="shared" ref="F226" si="206">100*((B226/B214)-1)</f>
        <v>1.6398162747651934</v>
      </c>
      <c r="G226" s="1060">
        <f t="shared" ref="G226" si="207">100*(B226/B202-1)</f>
        <v>10.614391763345399</v>
      </c>
      <c r="H226" s="1023">
        <f t="shared" si="102"/>
        <v>1.2372421793851425</v>
      </c>
    </row>
    <row r="227" spans="1:8" ht="16.5" customHeight="1">
      <c r="A227" s="1032" t="str">
        <f>'MB ATEGO 2426'!A227</f>
        <v>JULHO|18</v>
      </c>
      <c r="B227" s="918">
        <f>geral!O1095</f>
        <v>146516</v>
      </c>
      <c r="C227" s="918">
        <f t="shared" ref="C227" si="208">100*B227/$B$8</f>
        <v>360.43296432964331</v>
      </c>
      <c r="D227" s="1059">
        <f t="shared" ref="D227" si="209">100*((B227/B226)-1)</f>
        <v>-1.1776449798330035</v>
      </c>
      <c r="E227" s="1059">
        <f t="shared" ref="E227" si="210">100*((B227/$B$220)-1)</f>
        <v>7.1715922983939251E-2</v>
      </c>
      <c r="F227" s="1059">
        <f t="shared" ref="F227" si="211">100*((B227/B215)-1)</f>
        <v>-1.1703125105395618</v>
      </c>
      <c r="G227" s="1060">
        <f t="shared" ref="G227" si="212">100*(B227/B203-1)</f>
        <v>8.3561978153634531</v>
      </c>
      <c r="H227" s="1023">
        <f t="shared" si="102"/>
        <v>1.2519861312075131</v>
      </c>
    </row>
    <row r="228" spans="1:8" ht="16.5" customHeight="1">
      <c r="A228" s="1032" t="str">
        <f>'MB ATEGO 2426'!A228</f>
        <v>AGOSTO|18</v>
      </c>
      <c r="B228" s="918">
        <f>geral!O1096</f>
        <v>147304</v>
      </c>
      <c r="C228" s="918">
        <f t="shared" ref="C228" si="213">100*B228/$B$8</f>
        <v>362.37146371463717</v>
      </c>
      <c r="D228" s="1059">
        <f t="shared" ref="D228" si="214">100*((B228/B227)-1)</f>
        <v>0.53782522045373593</v>
      </c>
      <c r="E228" s="1059">
        <f t="shared" ref="E228" si="215">100*((B228/$B$220)-1)</f>
        <v>0.60992684975855749</v>
      </c>
      <c r="F228" s="1059">
        <f t="shared" ref="F228" si="216">100*((B228/B216)-1)</f>
        <v>-1.3382272173179222</v>
      </c>
      <c r="G228" s="1060">
        <f t="shared" ref="G228" si="217">100*(B228/B204-1)</f>
        <v>8.5424173427356642</v>
      </c>
      <c r="H228" s="1023">
        <f t="shared" si="102"/>
        <v>1.2452886547547928</v>
      </c>
    </row>
    <row r="229" spans="1:8" ht="16.5" customHeight="1">
      <c r="A229" s="1032" t="str">
        <f>'MB ATEGO 2426'!A229</f>
        <v>SETEMBRO|18</v>
      </c>
      <c r="B229" s="918">
        <f>geral!O1097</f>
        <v>149510</v>
      </c>
      <c r="C229" s="918">
        <f t="shared" ref="C229" si="218">100*B229/$B$8</f>
        <v>367.79827798277984</v>
      </c>
      <c r="D229" s="1059">
        <f t="shared" ref="D229" si="219">100*((B229/B228)-1)</f>
        <v>1.4975832292402069</v>
      </c>
      <c r="E229" s="1059">
        <f t="shared" ref="E229" si="220">100*((B229/$B$220)-1)</f>
        <v>2.1166442412113851</v>
      </c>
      <c r="F229" s="1059">
        <f t="shared" ref="F229" si="221">100*((B229/B217)-1)</f>
        <v>0.31669775493499142</v>
      </c>
      <c r="G229" s="1060">
        <f t="shared" ref="G229" si="222">100*(B229/B205-1)</f>
        <v>10.175236916183984</v>
      </c>
      <c r="H229" s="1023">
        <f t="shared" si="102"/>
        <v>1.2269145876529999</v>
      </c>
    </row>
    <row r="230" spans="1:8" ht="16.5" customHeight="1">
      <c r="A230" s="1032" t="str">
        <f>'MB ATEGO 2426'!A230</f>
        <v>OUTUBRO|18</v>
      </c>
      <c r="B230" s="918">
        <f>geral!O1098</f>
        <v>152787</v>
      </c>
      <c r="C230" s="918">
        <f t="shared" ref="C230" si="223">100*B230/$B$8</f>
        <v>375.85977859778598</v>
      </c>
      <c r="D230" s="1059">
        <f t="shared" ref="D230" si="224">100*((B230/B229)-1)</f>
        <v>2.191826633669991</v>
      </c>
      <c r="E230" s="1059">
        <f t="shared" ref="E230" si="225">100*((B230/$B$220)-1)</f>
        <v>4.354864047100282</v>
      </c>
      <c r="F230" s="1059">
        <f t="shared" ref="F230" si="226">100*((B230/B218)-1)</f>
        <v>2.5347292128045096</v>
      </c>
      <c r="G230" s="1060">
        <f t="shared" ref="G230" si="227">100*(B230/B206-1)</f>
        <v>12.732142461872197</v>
      </c>
      <c r="H230" s="1023">
        <f t="shared" si="102"/>
        <v>1.2005995274467069</v>
      </c>
    </row>
    <row r="231" spans="1:8" ht="16.5" customHeight="1">
      <c r="A231" s="1032" t="str">
        <f>'MB ATEGO 2426'!A231</f>
        <v>NOVEMBRO|18</v>
      </c>
      <c r="B231" s="918">
        <f>geral!O1099</f>
        <v>152787</v>
      </c>
      <c r="C231" s="918">
        <f t="shared" ref="C231" si="228">100*B231/$B$8</f>
        <v>375.85977859778598</v>
      </c>
      <c r="D231" s="1059">
        <f t="shared" ref="D231" si="229">100*((B231/B230)-1)</f>
        <v>0</v>
      </c>
      <c r="E231" s="1059">
        <f t="shared" ref="E231" si="230">100*((B231/$B$220)-1)</f>
        <v>4.354864047100282</v>
      </c>
      <c r="F231" s="1059">
        <f t="shared" ref="F231" si="231">100*((B231/B219)-1)</f>
        <v>3.1689332451010799</v>
      </c>
      <c r="G231" s="1060">
        <f t="shared" ref="G231" si="232">100*(B231/B207-1)</f>
        <v>12.10186876802184</v>
      </c>
      <c r="H231" s="1023">
        <f t="shared" si="102"/>
        <v>1.2005995274467069</v>
      </c>
    </row>
    <row r="232" spans="1:8" ht="16.5" customHeight="1">
      <c r="A232" s="1032" t="str">
        <f>'MB ATEGO 2426'!A232</f>
        <v>DEZEMBRO|18</v>
      </c>
      <c r="B232" s="918">
        <f>geral!O1100</f>
        <v>154556</v>
      </c>
      <c r="C232" s="918">
        <f t="shared" ref="C232" si="233">100*B232/$B$8</f>
        <v>380.21156211562118</v>
      </c>
      <c r="D232" s="1059">
        <f t="shared" ref="D232" si="234">100*((B232/B231)-1)</f>
        <v>1.1578210188039506</v>
      </c>
      <c r="E232" s="1059">
        <f t="shared" ref="E232" si="235">100*((B232/$B$220)-1)</f>
        <v>5.5631065971819105</v>
      </c>
      <c r="F232" s="1059">
        <f t="shared" ref="F232" si="236">100*((B232/B220)-1)</f>
        <v>5.5631065971819105</v>
      </c>
      <c r="G232" s="1060">
        <f t="shared" ref="G232" si="237">100*(B232/B208-1)</f>
        <v>11.390908894350304</v>
      </c>
      <c r="H232" s="1023">
        <f t="shared" si="102"/>
        <v>1.1868578379357644</v>
      </c>
    </row>
    <row r="233" spans="1:8" ht="16.5" customHeight="1">
      <c r="A233" s="1032" t="str">
        <f>'MB ATEGO 2426'!A233</f>
        <v>JANEIRO|19</v>
      </c>
      <c r="B233" s="918">
        <f>geral!Q1089</f>
        <v>155948</v>
      </c>
      <c r="C233" s="918">
        <f t="shared" ref="C233" si="238">100*B233/$B$8</f>
        <v>383.63591635916362</v>
      </c>
      <c r="D233" s="1059">
        <f t="shared" ref="D233" si="239">100*((B233/B232)-1)</f>
        <v>0.9006444266155933</v>
      </c>
      <c r="E233" s="1059">
        <f t="shared" ref="E233:E238" si="240">100*((B233/$B$232)-1)</f>
        <v>0.9006444266155933</v>
      </c>
      <c r="F233" s="1059">
        <f t="shared" ref="F233" si="241">100*((B233/B221)-1)</f>
        <v>6.8188200804148114</v>
      </c>
      <c r="G233" s="1060">
        <f t="shared" ref="G233" si="242">100*(B233/B209-1)</f>
        <v>11.850013627300493</v>
      </c>
      <c r="H233" s="1023">
        <f t="shared" si="102"/>
        <v>1.1762638828327392</v>
      </c>
    </row>
    <row r="234" spans="1:8" ht="16.5" customHeight="1">
      <c r="A234" s="1032" t="str">
        <f>'MB ATEGO 2426'!A234</f>
        <v>FEVEREIRO|19</v>
      </c>
      <c r="B234" s="918">
        <f>geral!Q1090</f>
        <v>158026</v>
      </c>
      <c r="C234" s="918">
        <f t="shared" ref="C234" si="243">100*B234/$B$8</f>
        <v>388.7478474784748</v>
      </c>
      <c r="D234" s="1059">
        <f t="shared" ref="D234" si="244">100*((B234/B233)-1)</f>
        <v>1.3324954472003547</v>
      </c>
      <c r="E234" s="1059">
        <f t="shared" si="240"/>
        <v>2.2451409197960626</v>
      </c>
      <c r="F234" s="1059">
        <f t="shared" ref="F234" si="245">100*((B234/B222)-1)</f>
        <v>7.2336902677686776</v>
      </c>
      <c r="G234" s="1060">
        <f t="shared" ref="G234" si="246">100*(B234/B210-1)</f>
        <v>12.369250023110133</v>
      </c>
      <c r="H234" s="1023">
        <f t="shared" si="102"/>
        <v>1.1607963246554365</v>
      </c>
    </row>
    <row r="235" spans="1:8" ht="16.5" customHeight="1">
      <c r="A235" s="1032" t="str">
        <f>'MB ATEGO 2426'!A235</f>
        <v>MARÇO|19</v>
      </c>
      <c r="B235" s="918">
        <f>geral!Q1091</f>
        <v>161420</v>
      </c>
      <c r="C235" s="918">
        <f t="shared" ref="C235" si="247">100*B235/$B$8</f>
        <v>397.09717097170972</v>
      </c>
      <c r="D235" s="1059">
        <f t="shared" ref="D235" si="248">100*((B235/B234)-1)</f>
        <v>2.1477478389632099</v>
      </c>
      <c r="E235" s="1059">
        <f t="shared" si="240"/>
        <v>4.4411087243458658</v>
      </c>
      <c r="F235" s="1059">
        <f t="shared" ref="F235" si="249">100*((B235/B223)-1)</f>
        <v>10.215145535610649</v>
      </c>
      <c r="G235" s="1060">
        <f t="shared" ref="G235" si="250">100*(B235/B211-1)</f>
        <v>13.058217067294219</v>
      </c>
      <c r="H235" s="1023">
        <f t="shared" si="102"/>
        <v>1.1363895428075828</v>
      </c>
    </row>
    <row r="236" spans="1:8" ht="16.5" customHeight="1">
      <c r="A236" s="1032" t="str">
        <f>'MB ATEGO 2426'!A236</f>
        <v>ABRIL|19</v>
      </c>
      <c r="B236" s="918">
        <f>geral!Q1092</f>
        <v>158502</v>
      </c>
      <c r="C236" s="918">
        <f t="shared" ref="C236" si="251">100*B236/$B$8</f>
        <v>389.91881918819189</v>
      </c>
      <c r="D236" s="1059">
        <f t="shared" ref="D236" si="252">100*((B236/B235)-1)</f>
        <v>-1.8077066038904688</v>
      </c>
      <c r="E236" s="1059">
        <f t="shared" si="240"/>
        <v>2.5531199047594377</v>
      </c>
      <c r="F236" s="1059">
        <f t="shared" ref="F236" si="253">100*((B236/B224)-1)</f>
        <v>7.6092712534115536</v>
      </c>
      <c r="G236" s="1060">
        <f t="shared" ref="G236" si="254">100*(B236/B212-1)</f>
        <v>11.037009534350982</v>
      </c>
      <c r="H236" s="1023">
        <f t="shared" si="102"/>
        <v>1.1573103178508788</v>
      </c>
    </row>
    <row r="237" spans="1:8" ht="16.5" customHeight="1">
      <c r="A237" s="1032" t="str">
        <f>'MB ATEGO 2426'!A237</f>
        <v>MAIO|19</v>
      </c>
      <c r="B237" s="918">
        <f>geral!Q1093</f>
        <v>159454</v>
      </c>
      <c r="C237" s="918">
        <f t="shared" ref="C237" si="255">100*B237/$B$8</f>
        <v>392.26076260762608</v>
      </c>
      <c r="D237" s="1059">
        <f t="shared" ref="D237" si="256">100*((B237/B236)-1)</f>
        <v>0.60062333598314144</v>
      </c>
      <c r="E237" s="1059">
        <f t="shared" si="240"/>
        <v>3.1690778746861881</v>
      </c>
      <c r="F237" s="1059">
        <f t="shared" ref="F237" si="257">100*((B237/B225)-1)</f>
        <v>8.5843865765962146</v>
      </c>
      <c r="G237" s="1060">
        <f t="shared" ref="G237" si="258">100*(B237/B213-1)</f>
        <v>12.242541988709155</v>
      </c>
      <c r="H237" s="1023">
        <f t="shared" si="102"/>
        <v>1.1504007425338969</v>
      </c>
    </row>
    <row r="238" spans="1:8" ht="16.5" customHeight="1">
      <c r="A238" s="1032" t="str">
        <f>'MB ATEGO 2426'!A238</f>
        <v>JUNHO|19</v>
      </c>
      <c r="B238" s="918">
        <f>geral!Q1094</f>
        <v>159456</v>
      </c>
      <c r="C238" s="918">
        <f t="shared" ref="C238" si="259">100*B238/$B$8</f>
        <v>392.26568265682658</v>
      </c>
      <c r="D238" s="1059">
        <f t="shared" ref="D238" si="260">100*((B238/B237)-1)</f>
        <v>1.2542802312998091E-3</v>
      </c>
      <c r="E238" s="1059">
        <f t="shared" si="240"/>
        <v>3.1703719040347744</v>
      </c>
      <c r="F238" s="1059">
        <f t="shared" ref="F238" si="261">100*((B238/B226)-1)</f>
        <v>7.5501477114837234</v>
      </c>
      <c r="G238" s="1060">
        <f t="shared" ref="G238" si="262">100*(B238/B214-1)</f>
        <v>9.3137725371906566</v>
      </c>
      <c r="H238" s="1023">
        <f t="shared" si="102"/>
        <v>1.1503863134657837</v>
      </c>
    </row>
    <row r="239" spans="1:8" ht="16.5" customHeight="1">
      <c r="A239" s="1032" t="str">
        <f>'MB ATEGO 2426'!A239</f>
        <v>JULHO|19</v>
      </c>
      <c r="B239" s="918">
        <f>geral!Q1095</f>
        <v>161923</v>
      </c>
      <c r="C239" s="918">
        <f t="shared" ref="C239" si="263">100*B239/$B$8</f>
        <v>398.33456334563346</v>
      </c>
      <c r="D239" s="1059">
        <f t="shared" ref="D239" si="264">100*((B239/B238)-1)</f>
        <v>1.5471352598836141</v>
      </c>
      <c r="E239" s="1059">
        <f t="shared" ref="E239" si="265">100*((B239/$B$232)-1)</f>
        <v>4.7665571055151457</v>
      </c>
      <c r="F239" s="1059">
        <f t="shared" ref="F239" si="266">100*((B239/B227)-1)</f>
        <v>10.515575090775076</v>
      </c>
      <c r="G239" s="1060">
        <f t="shared" ref="G239" si="267">100*(B239/B215-1)</f>
        <v>9.2221974893929914</v>
      </c>
      <c r="H239" s="1023">
        <f t="shared" si="102"/>
        <v>1.1328594455389289</v>
      </c>
    </row>
    <row r="240" spans="1:8" ht="16.5" customHeight="1">
      <c r="A240" s="1032" t="str">
        <f>'MB ATEGO 2426'!A240</f>
        <v>AGOSTO|19</v>
      </c>
      <c r="B240" s="918">
        <f>geral!Q1096</f>
        <v>163880</v>
      </c>
      <c r="C240" s="918">
        <f t="shared" ref="C240" si="268">100*B240/$B$8</f>
        <v>403.1488314883149</v>
      </c>
      <c r="D240" s="1059">
        <f t="shared" ref="D240" si="269">100*((B240/B239)-1)</f>
        <v>1.2085991489782177</v>
      </c>
      <c r="E240" s="1059">
        <f t="shared" ref="E240" si="270">100*((B240/$B$232)-1)</f>
        <v>6.0327648231061959</v>
      </c>
      <c r="F240" s="1059">
        <f t="shared" ref="F240" si="271">100*((B240/B228)-1)</f>
        <v>11.252919133221084</v>
      </c>
      <c r="G240" s="1060">
        <f t="shared" ref="G240" si="272">100*(B240/B216-1)</f>
        <v>9.7641022893196308</v>
      </c>
      <c r="H240" s="1023">
        <f t="shared" si="102"/>
        <v>1.1193312179643642</v>
      </c>
    </row>
    <row r="241" spans="1:8" ht="16.5" customHeight="1">
      <c r="A241" s="1032" t="str">
        <f>'MB ATEGO 2426'!A241</f>
        <v>SETEMBRO|19</v>
      </c>
      <c r="B241" s="918">
        <f>geral!Q1097</f>
        <v>165541</v>
      </c>
      <c r="C241" s="918">
        <f t="shared" ref="C241" si="273">100*B241/$B$8</f>
        <v>407.23493234932351</v>
      </c>
      <c r="D241" s="1059">
        <f t="shared" ref="D241" si="274">100*((B241/B240)-1)</f>
        <v>1.0135464974371455</v>
      </c>
      <c r="E241" s="1059">
        <f t="shared" ref="E241" si="275">100*((B241/$B$232)-1)</f>
        <v>7.1074561971065542</v>
      </c>
      <c r="F241" s="1059">
        <f t="shared" ref="F241" si="276">100*((B241/B229)-1)</f>
        <v>10.722359708380713</v>
      </c>
      <c r="G241" s="1060">
        <f t="shared" ref="G241" si="277">100*(B241/B217-1)</f>
        <v>11.073014935788184</v>
      </c>
      <c r="H241" s="1023">
        <f t="shared" si="102"/>
        <v>1.1081001081303121</v>
      </c>
    </row>
    <row r="242" spans="1:8" ht="16.5" customHeight="1">
      <c r="A242" s="1032" t="str">
        <f>'MB ATEGO 2426'!A242</f>
        <v>OUTUBRO|19</v>
      </c>
      <c r="B242" s="918">
        <f>geral!Q1098</f>
        <v>165800</v>
      </c>
      <c r="C242" s="918">
        <f t="shared" ref="C242" si="278">100*B242/$B$8</f>
        <v>407.87207872078721</v>
      </c>
      <c r="D242" s="1059">
        <f t="shared" ref="D242" si="279">100*((B242/B241)-1)</f>
        <v>0.15645670860995331</v>
      </c>
      <c r="E242" s="1059">
        <f t="shared" ref="E242" si="280">100*((B242/$B$232)-1)</f>
        <v>7.2750329977483874</v>
      </c>
      <c r="F242" s="1059">
        <f t="shared" ref="F242" si="281">100*((B242/B230)-1)</f>
        <v>8.5170858777251937</v>
      </c>
      <c r="G242" s="1060">
        <f t="shared" ref="G242" si="282">100*(B242/B218-1)</f>
        <v>11.267700154352056</v>
      </c>
      <c r="H242" s="1023">
        <f t="shared" si="102"/>
        <v>1.106369119420989</v>
      </c>
    </row>
    <row r="243" spans="1:8" ht="16.5" customHeight="1">
      <c r="A243" s="1032" t="str">
        <f>'MB ATEGO 2426'!A243</f>
        <v>NOVEMBRO|19</v>
      </c>
      <c r="B243" s="918">
        <f>geral!Q1099</f>
        <v>163773</v>
      </c>
      <c r="C243" s="918">
        <f t="shared" ref="C243" si="283">100*B243/$B$8</f>
        <v>402.88560885608854</v>
      </c>
      <c r="D243" s="1059">
        <f t="shared" ref="D243" si="284">100*((B243/B242)-1)</f>
        <v>-1.2225572979493338</v>
      </c>
      <c r="E243" s="1059">
        <f t="shared" ref="E243" si="285">100*((B243/$B$232)-1)</f>
        <v>5.9635342529568591</v>
      </c>
      <c r="F243" s="1059">
        <f t="shared" ref="F243" si="286">100*((B243/B231)-1)</f>
        <v>7.190402324805123</v>
      </c>
      <c r="G243" s="1060">
        <f t="shared" ref="G243" si="287">100*(B243/B219-1)</f>
        <v>10.587194619633467</v>
      </c>
      <c r="H243" s="1023">
        <f t="shared" si="102"/>
        <v>1.1200625255689278</v>
      </c>
    </row>
    <row r="244" spans="1:8" ht="16.5" customHeight="1">
      <c r="A244" s="1032" t="str">
        <f>'MB ATEGO 2426'!A244</f>
        <v>DEZEMBRO|19</v>
      </c>
      <c r="B244" s="918">
        <f>geral!Q1100</f>
        <v>167102</v>
      </c>
      <c r="C244" s="918">
        <f t="shared" ref="C244" si="288">100*B244/$B$8</f>
        <v>411.07503075030752</v>
      </c>
      <c r="D244" s="1059">
        <f t="shared" ref="D244" si="289">100*((B244/B243)-1)</f>
        <v>2.0326915914100629</v>
      </c>
      <c r="E244" s="1059">
        <f t="shared" ref="E244" si="290">100*((B244/$B$232)-1)</f>
        <v>8.11744610367764</v>
      </c>
      <c r="F244" s="1059">
        <f t="shared" ref="F244" si="291">100*((B244/B232)-1)</f>
        <v>8.11744610367764</v>
      </c>
      <c r="G244" s="1060">
        <f t="shared" ref="G244" si="292">100*(B244/B220-1)</f>
        <v>14.132134880575919</v>
      </c>
      <c r="H244" s="1023">
        <f t="shared" si="102"/>
        <v>1.0977486804466734</v>
      </c>
    </row>
    <row r="245" spans="1:8" ht="16.5" customHeight="1">
      <c r="A245" s="1032" t="str">
        <f>'MB ATEGO 2426'!A245</f>
        <v>JANEIRO|20</v>
      </c>
      <c r="B245" s="918">
        <f>geral!S1089</f>
        <v>164006</v>
      </c>
      <c r="C245" s="918">
        <f t="shared" ref="C245" si="293">100*B245/$B$8</f>
        <v>403.45879458794587</v>
      </c>
      <c r="D245" s="1059">
        <f t="shared" ref="D245" si="294">100*((B245/B244)-1)</f>
        <v>-1.8527605893406407</v>
      </c>
      <c r="E245" s="1059">
        <f t="shared" ref="E245:E250" si="295">100*((B245/$B$244)-1)</f>
        <v>-1.8527605893406407</v>
      </c>
      <c r="F245" s="1059">
        <f t="shared" ref="F245" si="296">100*((B245/B233)-1)</f>
        <v>5.1671069843794104</v>
      </c>
      <c r="G245" s="1060">
        <f t="shared" ref="G245" si="297">100*(B245/B221-1)</f>
        <v>12.338262793421606</v>
      </c>
      <c r="H245" s="1023">
        <f t="shared" si="102"/>
        <v>1.1184712754411423</v>
      </c>
    </row>
    <row r="246" spans="1:8" ht="16.5" customHeight="1">
      <c r="A246" s="1032" t="str">
        <f>'MB ATEGO 2426'!A246</f>
        <v>FEVEREIRO|20</v>
      </c>
      <c r="B246" s="918">
        <f>geral!S1090</f>
        <v>166792</v>
      </c>
      <c r="C246" s="918">
        <f t="shared" ref="C246" si="298">100*B246/$B$8</f>
        <v>410.31242312423126</v>
      </c>
      <c r="D246" s="1059">
        <f t="shared" ref="D246" si="299">100*((B246/B245)-1)</f>
        <v>1.6987183395729355</v>
      </c>
      <c r="E246" s="1059">
        <f t="shared" si="295"/>
        <v>-0.18551543368721113</v>
      </c>
      <c r="F246" s="1059">
        <f t="shared" ref="F246" si="300">100*((B246/B234)-1)</f>
        <v>5.5471884373457625</v>
      </c>
      <c r="G246" s="1060">
        <f t="shared" ref="G246" si="301">100*(B246/B222-1)</f>
        <v>13.182145135241496</v>
      </c>
      <c r="H246" s="1023">
        <f t="shared" si="102"/>
        <v>1.0997889587030554</v>
      </c>
    </row>
    <row r="247" spans="1:8" ht="16.5" customHeight="1">
      <c r="A247" s="1032" t="str">
        <f>'MB ATEGO 2426'!A247</f>
        <v>MARÇO|20</v>
      </c>
      <c r="B247" s="918">
        <f>geral!S1091</f>
        <v>169490</v>
      </c>
      <c r="C247" s="918">
        <f t="shared" ref="C247" si="302">100*B247/$B$8</f>
        <v>416.94956949569496</v>
      </c>
      <c r="D247" s="1059">
        <f t="shared" ref="D247" si="303">100*((B247/B246)-1)</f>
        <v>1.6175835771499836</v>
      </c>
      <c r="E247" s="1059">
        <f t="shared" si="295"/>
        <v>1.429067276274365</v>
      </c>
      <c r="F247" s="1059">
        <f t="shared" ref="F247" si="304">100*((B247/B235)-1)</f>
        <v>4.9993804980795531</v>
      </c>
      <c r="G247" s="1060">
        <f t="shared" ref="G247" si="305">100*(B247/B223-1)</f>
        <v>15.725220027447961</v>
      </c>
      <c r="H247" s="1023">
        <f t="shared" si="102"/>
        <v>1.0822821405392649</v>
      </c>
    </row>
    <row r="248" spans="1:8" ht="16.5" customHeight="1">
      <c r="A248" s="1032" t="str">
        <f>'MB ATEGO 2426'!A248</f>
        <v>ABRIL|20</v>
      </c>
      <c r="B248" s="918">
        <f>geral!S1092</f>
        <v>170781</v>
      </c>
      <c r="C248" s="918">
        <f t="shared" ref="C248" si="306">100*B248/$B$8</f>
        <v>420.12546125461256</v>
      </c>
      <c r="D248" s="1059">
        <f t="shared" ref="D248" si="307">100*((B248/B247)-1)</f>
        <v>0.7616968552716985</v>
      </c>
      <c r="E248" s="1059">
        <f t="shared" si="295"/>
        <v>2.201649292049157</v>
      </c>
      <c r="F248" s="1059">
        <f t="shared" ref="F248" si="308">100*((B248/B236)-1)</f>
        <v>7.7469054018245886</v>
      </c>
      <c r="G248" s="1060">
        <f t="shared" ref="G248" si="309">100*(B248/B224-1)</f>
        <v>15.945659701006143</v>
      </c>
      <c r="H248" s="1023">
        <f t="shared" si="102"/>
        <v>1.0741007489123497</v>
      </c>
    </row>
    <row r="249" spans="1:8" ht="16.5" customHeight="1">
      <c r="A249" s="1032" t="str">
        <f>'MB ATEGO 2426'!A249</f>
        <v>MAIO|20</v>
      </c>
      <c r="B249" s="918">
        <f>geral!S1093</f>
        <v>172084</v>
      </c>
      <c r="C249" s="918">
        <f t="shared" ref="C249" si="310">100*B249/$B$8</f>
        <v>423.33087330873309</v>
      </c>
      <c r="D249" s="1059">
        <f t="shared" ref="D249" si="311">100*((B249/B248)-1)</f>
        <v>0.76296543526503946</v>
      </c>
      <c r="E249" s="1059">
        <f t="shared" si="295"/>
        <v>2.9814125504183053</v>
      </c>
      <c r="F249" s="1059">
        <f t="shared" ref="F249" si="312">100*((B249/B237)-1)</f>
        <v>7.9207796605917702</v>
      </c>
      <c r="G249" s="1060">
        <f t="shared" ref="G249" si="313">100*(B249/B225-1)</f>
        <v>17.185116583133574</v>
      </c>
      <c r="H249" s="1023">
        <f t="shared" si="102"/>
        <v>1.0659677831756584</v>
      </c>
    </row>
    <row r="250" spans="1:8" ht="16.5" customHeight="1">
      <c r="A250" s="1032" t="str">
        <f>'MB ATEGO 2426'!A250</f>
        <v>JUNHO|20</v>
      </c>
      <c r="B250" s="918">
        <f>geral!S1094</f>
        <v>171938</v>
      </c>
      <c r="C250" s="918">
        <f t="shared" ref="C250" si="314">100*B250/$B$8</f>
        <v>422.97170971709716</v>
      </c>
      <c r="D250" s="1059">
        <f t="shared" ref="D250" si="315">100*((B250/B249)-1)</f>
        <v>-8.484228632528179E-2</v>
      </c>
      <c r="E250" s="1059">
        <f t="shared" si="295"/>
        <v>2.894040765520467</v>
      </c>
      <c r="F250" s="1059">
        <f t="shared" ref="F250" si="316">100*((B250/B238)-1)</f>
        <v>7.8278647401163859</v>
      </c>
      <c r="G250" s="1060">
        <f t="shared" ref="G250" si="317">100*(B250/B226-1)</f>
        <v>15.96902780213405</v>
      </c>
      <c r="H250" s="1023">
        <f t="shared" si="102"/>
        <v>1.0668729425723227</v>
      </c>
    </row>
    <row r="251" spans="1:8" ht="16.5" customHeight="1">
      <c r="A251" s="1032" t="str">
        <f>'MB ATEGO 2426'!A251</f>
        <v>JULHO|20</v>
      </c>
      <c r="B251" s="918">
        <f>geral!S1095</f>
        <v>172063</v>
      </c>
      <c r="C251" s="918">
        <f t="shared" ref="C251" si="318">100*B251/$B$8</f>
        <v>423.27921279212791</v>
      </c>
      <c r="D251" s="1059">
        <f t="shared" ref="D251" si="319">100*((B251/B250)-1)</f>
        <v>7.2700624643773359E-2</v>
      </c>
      <c r="E251" s="1059">
        <f t="shared" ref="E251" si="320">100*((B251/$B$244)-1)</f>
        <v>2.9688453758782041</v>
      </c>
      <c r="F251" s="1059">
        <f t="shared" ref="F251" si="321">100*((B251/B239)-1)</f>
        <v>6.2622357540312423</v>
      </c>
      <c r="G251" s="1060">
        <f t="shared" ref="G251" si="322">100*(B251/B227-1)</f>
        <v>17.436320947882834</v>
      </c>
      <c r="H251" s="1023">
        <f t="shared" si="102"/>
        <v>1.0660978827522478</v>
      </c>
    </row>
    <row r="252" spans="1:8" ht="16.5" customHeight="1">
      <c r="A252" s="1032" t="str">
        <f>'MB ATEGO 2426'!A252</f>
        <v>AGOSTO|20</v>
      </c>
      <c r="B252" s="918">
        <f>geral!S1096</f>
        <v>179177</v>
      </c>
      <c r="C252" s="918">
        <f t="shared" ref="C252" si="323">100*B252/$B$8</f>
        <v>440.77982779827801</v>
      </c>
      <c r="D252" s="1059">
        <f t="shared" ref="D252" si="324">100*((B252/B251)-1)</f>
        <v>4.1345321190494166</v>
      </c>
      <c r="E252" s="1059">
        <f t="shared" ref="E252" si="325">100*((B252/$B$244)-1)</f>
        <v>7.2261253605582221</v>
      </c>
      <c r="F252" s="1059">
        <f t="shared" ref="F252" si="326">100*((B252/B240)-1)</f>
        <v>9.3342689773004537</v>
      </c>
      <c r="G252" s="1060">
        <f t="shared" ref="G252" si="327">100*(B252/B228-1)</f>
        <v>21.637565850214525</v>
      </c>
      <c r="H252" s="1035">
        <f t="shared" si="102"/>
        <v>1.0237697918817705</v>
      </c>
    </row>
    <row r="253" spans="1:8" ht="16.5" customHeight="1" thickBot="1">
      <c r="A253" s="1046" t="str">
        <f>'MB ATEGO 2426'!A253</f>
        <v>SETEMBRO|20</v>
      </c>
      <c r="B253" s="1047">
        <f>geral!S1097</f>
        <v>183436</v>
      </c>
      <c r="C253" s="1047">
        <f t="shared" ref="C253" si="328">100*B253/$B$8</f>
        <v>451.25707257072571</v>
      </c>
      <c r="D253" s="1116">
        <f t="shared" ref="D253" si="329">100*((B253/B252)-1)</f>
        <v>2.376979188177053</v>
      </c>
      <c r="E253" s="1116">
        <f t="shared" ref="E253" si="330">100*((B253/$B$244)-1)</f>
        <v>9.7748680446673397</v>
      </c>
      <c r="F253" s="1116">
        <f t="shared" ref="F253" si="331">100*((B253/B241)-1)</f>
        <v>10.810010813031212</v>
      </c>
      <c r="G253" s="1117">
        <f t="shared" ref="G253" si="332">100*(B253/B229-1)</f>
        <v>22.691458765299988</v>
      </c>
      <c r="H253" s="1050">
        <f t="shared" si="102"/>
        <v>1</v>
      </c>
    </row>
    <row r="254" spans="1:8" s="707" customFormat="1" ht="15.75">
      <c r="A254" s="758" t="s">
        <v>238</v>
      </c>
      <c r="B254" s="734"/>
    </row>
    <row r="255" spans="1:8">
      <c r="B255" s="812"/>
      <c r="C255" s="812"/>
      <c r="D255" s="812"/>
      <c r="E255" s="812"/>
      <c r="F255" s="812"/>
      <c r="G255" s="812"/>
      <c r="H255" s="812"/>
    </row>
    <row r="256" spans="1:8">
      <c r="A256" s="812"/>
      <c r="B256" s="812"/>
      <c r="C256" s="812"/>
      <c r="D256" s="812"/>
      <c r="E256" s="812"/>
      <c r="F256" s="812"/>
      <c r="G256" s="812"/>
      <c r="H256" s="812"/>
    </row>
    <row r="257" spans="1:8">
      <c r="A257" s="812"/>
      <c r="B257" s="812"/>
      <c r="C257" s="812"/>
      <c r="D257" s="812"/>
      <c r="E257" s="812"/>
      <c r="F257" s="812"/>
      <c r="G257" s="812"/>
      <c r="H257" s="812"/>
    </row>
    <row r="258" spans="1:8">
      <c r="A258" s="812"/>
      <c r="B258" s="812"/>
      <c r="C258" s="812"/>
      <c r="D258" s="812"/>
      <c r="E258" s="812"/>
      <c r="F258" s="812"/>
      <c r="G258" s="812"/>
      <c r="H258" s="817"/>
    </row>
    <row r="259" spans="1:8">
      <c r="A259" s="812"/>
      <c r="B259" s="812"/>
      <c r="C259" s="812"/>
      <c r="D259" s="812"/>
      <c r="E259" s="812"/>
      <c r="F259" s="812"/>
      <c r="G259" s="812"/>
      <c r="H259" s="812"/>
    </row>
    <row r="260" spans="1:8">
      <c r="A260" s="812"/>
      <c r="B260" s="812"/>
      <c r="C260" s="812"/>
      <c r="D260" s="812"/>
      <c r="E260" s="812"/>
      <c r="F260" s="812"/>
      <c r="G260" s="812"/>
      <c r="H260" s="812"/>
    </row>
    <row r="261" spans="1:8">
      <c r="A261" s="812"/>
      <c r="B261" s="812"/>
      <c r="C261" s="812"/>
      <c r="D261" s="812"/>
      <c r="E261" s="812"/>
      <c r="F261" s="812"/>
      <c r="G261" s="812"/>
      <c r="H261" s="812"/>
    </row>
    <row r="262" spans="1:8">
      <c r="A262" s="812"/>
      <c r="B262" s="812"/>
      <c r="C262" s="812"/>
      <c r="D262" s="812"/>
      <c r="E262" s="812"/>
      <c r="F262" s="812"/>
      <c r="G262" s="812"/>
      <c r="H262" s="812"/>
    </row>
    <row r="263" spans="1:8">
      <c r="A263" s="812"/>
      <c r="B263" s="812"/>
      <c r="C263" s="812"/>
      <c r="D263" s="812"/>
      <c r="E263" s="812"/>
      <c r="F263" s="812"/>
      <c r="G263" s="812"/>
      <c r="H263" s="812"/>
    </row>
    <row r="264" spans="1:8">
      <c r="A264" s="812"/>
      <c r="B264" s="812"/>
      <c r="C264" s="812"/>
      <c r="D264" s="812"/>
      <c r="E264" s="812"/>
      <c r="F264" s="812"/>
      <c r="G264" s="812"/>
      <c r="H264" s="812"/>
    </row>
    <row r="265" spans="1:8">
      <c r="A265" s="812"/>
      <c r="B265" s="812"/>
      <c r="C265" s="812"/>
      <c r="D265" s="812"/>
      <c r="E265" s="812"/>
      <c r="F265" s="812"/>
      <c r="G265" s="812"/>
      <c r="H265" s="812"/>
    </row>
    <row r="266" spans="1:8">
      <c r="A266" s="812"/>
      <c r="B266" s="812"/>
      <c r="C266" s="812"/>
      <c r="D266" s="812"/>
      <c r="E266" s="812"/>
      <c r="F266" s="812"/>
      <c r="G266" s="812"/>
      <c r="H266" s="812"/>
    </row>
    <row r="267" spans="1:8">
      <c r="A267" s="812"/>
      <c r="B267" s="812"/>
      <c r="C267" s="812"/>
      <c r="D267" s="812"/>
      <c r="E267" s="812"/>
      <c r="F267" s="812"/>
      <c r="G267" s="812"/>
      <c r="H267" s="812"/>
    </row>
    <row r="268" spans="1:8">
      <c r="A268" s="812"/>
      <c r="B268" s="812"/>
      <c r="C268" s="812"/>
      <c r="D268" s="812"/>
      <c r="E268" s="812"/>
      <c r="F268" s="812"/>
      <c r="G268" s="812"/>
      <c r="H268" s="812"/>
    </row>
    <row r="269" spans="1:8">
      <c r="A269" s="812"/>
      <c r="B269" s="812"/>
      <c r="C269" s="812"/>
      <c r="D269" s="812"/>
      <c r="E269" s="812"/>
      <c r="F269" s="812"/>
      <c r="G269" s="812"/>
      <c r="H269" s="812"/>
    </row>
    <row r="270" spans="1:8">
      <c r="A270" s="812"/>
      <c r="B270" s="812"/>
      <c r="C270" s="812"/>
      <c r="D270" s="812"/>
      <c r="E270" s="812"/>
      <c r="F270" s="812"/>
      <c r="G270" s="812"/>
      <c r="H270" s="812"/>
    </row>
    <row r="271" spans="1:8">
      <c r="A271" s="812"/>
      <c r="B271" s="812"/>
      <c r="C271" s="812"/>
      <c r="D271" s="812"/>
      <c r="E271" s="812"/>
      <c r="F271" s="812"/>
      <c r="G271" s="812"/>
      <c r="H271" s="812"/>
    </row>
    <row r="272" spans="1:8">
      <c r="A272" s="812"/>
      <c r="B272" s="812"/>
      <c r="C272" s="812"/>
      <c r="D272" s="812"/>
      <c r="E272" s="812"/>
      <c r="F272" s="812"/>
      <c r="G272" s="812"/>
      <c r="H272" s="812"/>
    </row>
    <row r="273" spans="1:8">
      <c r="A273" s="812"/>
      <c r="B273" s="812"/>
      <c r="C273" s="812"/>
      <c r="D273" s="812"/>
      <c r="E273" s="812"/>
      <c r="F273" s="812"/>
      <c r="G273" s="812"/>
      <c r="H273" s="812"/>
    </row>
    <row r="274" spans="1:8">
      <c r="A274" s="812"/>
      <c r="B274" s="812"/>
      <c r="C274" s="812"/>
      <c r="D274" s="812"/>
      <c r="E274" s="812"/>
      <c r="F274" s="812"/>
      <c r="G274" s="812"/>
      <c r="H274" s="812"/>
    </row>
    <row r="275" spans="1:8">
      <c r="A275" s="812"/>
      <c r="B275" s="812"/>
      <c r="C275" s="812"/>
      <c r="D275" s="812"/>
      <c r="E275" s="812"/>
      <c r="F275" s="812"/>
      <c r="G275" s="812"/>
      <c r="H275" s="812"/>
    </row>
    <row r="276" spans="1:8">
      <c r="A276" s="812"/>
      <c r="B276" s="812"/>
      <c r="C276" s="812"/>
      <c r="D276" s="812"/>
      <c r="E276" s="812"/>
      <c r="F276" s="812"/>
      <c r="G276" s="812"/>
      <c r="H276" s="812"/>
    </row>
    <row r="277" spans="1:8">
      <c r="A277" s="812"/>
      <c r="B277" s="812"/>
      <c r="C277" s="812"/>
      <c r="D277" s="812"/>
      <c r="E277" s="812"/>
      <c r="F277" s="812"/>
      <c r="G277" s="812"/>
      <c r="H277" s="812"/>
    </row>
    <row r="278" spans="1:8">
      <c r="A278" s="812"/>
      <c r="B278" s="812"/>
      <c r="C278" s="812"/>
      <c r="D278" s="812"/>
      <c r="E278" s="812"/>
      <c r="F278" s="812"/>
      <c r="G278" s="812"/>
      <c r="H278" s="812"/>
    </row>
    <row r="279" spans="1:8">
      <c r="A279" s="812"/>
      <c r="B279" s="812"/>
      <c r="C279" s="812"/>
      <c r="D279" s="812"/>
      <c r="E279" s="812"/>
      <c r="F279" s="812"/>
      <c r="G279" s="812"/>
      <c r="H279" s="812"/>
    </row>
    <row r="280" spans="1:8">
      <c r="A280" s="812"/>
      <c r="B280" s="812"/>
      <c r="C280" s="812"/>
      <c r="D280" s="812"/>
      <c r="E280" s="812"/>
      <c r="F280" s="812"/>
      <c r="G280" s="812"/>
      <c r="H280" s="812"/>
    </row>
    <row r="281" spans="1:8">
      <c r="A281" s="812"/>
      <c r="B281" s="812"/>
      <c r="C281" s="812"/>
      <c r="D281" s="812"/>
      <c r="E281" s="812"/>
      <c r="F281" s="812"/>
      <c r="G281" s="812"/>
      <c r="H281" s="812"/>
    </row>
    <row r="282" spans="1:8">
      <c r="A282" s="812"/>
      <c r="B282" s="812"/>
      <c r="C282" s="812"/>
      <c r="D282" s="812"/>
      <c r="E282" s="812"/>
      <c r="F282" s="812"/>
      <c r="G282" s="812"/>
      <c r="H282" s="812"/>
    </row>
    <row r="283" spans="1:8">
      <c r="A283" s="812"/>
      <c r="B283" s="812"/>
      <c r="C283" s="812"/>
      <c r="D283" s="812"/>
      <c r="E283" s="812"/>
      <c r="F283" s="812"/>
      <c r="G283" s="812"/>
      <c r="H283" s="812"/>
    </row>
    <row r="284" spans="1:8">
      <c r="A284" s="812"/>
      <c r="B284" s="812"/>
      <c r="C284" s="812"/>
      <c r="D284" s="812"/>
      <c r="E284" s="812"/>
      <c r="F284" s="812"/>
      <c r="G284" s="812"/>
      <c r="H284" s="812"/>
    </row>
    <row r="285" spans="1:8">
      <c r="A285" s="812"/>
      <c r="B285" s="812"/>
      <c r="C285" s="812"/>
      <c r="D285" s="812"/>
      <c r="E285" s="812"/>
      <c r="F285" s="812"/>
      <c r="G285" s="812"/>
      <c r="H285" s="812"/>
    </row>
    <row r="286" spans="1:8">
      <c r="A286" s="812"/>
      <c r="B286" s="812"/>
      <c r="C286" s="812"/>
      <c r="D286" s="812"/>
      <c r="E286" s="812"/>
      <c r="F286" s="812"/>
      <c r="G286" s="812"/>
      <c r="H286" s="812"/>
    </row>
    <row r="287" spans="1:8">
      <c r="A287" s="812"/>
      <c r="B287" s="812"/>
      <c r="C287" s="812"/>
      <c r="D287" s="812"/>
      <c r="E287" s="812"/>
      <c r="F287" s="812"/>
      <c r="G287" s="812"/>
      <c r="H287" s="812"/>
    </row>
    <row r="288" spans="1:8">
      <c r="A288" s="812"/>
      <c r="B288" s="812"/>
      <c r="C288" s="812"/>
      <c r="D288" s="812"/>
      <c r="E288" s="812"/>
      <c r="F288" s="812"/>
      <c r="G288" s="812"/>
      <c r="H288" s="812"/>
    </row>
    <row r="289" spans="1:8">
      <c r="A289" s="812"/>
      <c r="B289" s="812"/>
      <c r="C289" s="812"/>
      <c r="D289" s="812"/>
      <c r="E289" s="812"/>
      <c r="F289" s="812"/>
      <c r="G289" s="812"/>
      <c r="H289" s="812"/>
    </row>
    <row r="290" spans="1:8">
      <c r="A290" s="812"/>
      <c r="B290" s="812"/>
      <c r="C290" s="812"/>
      <c r="D290" s="812"/>
      <c r="E290" s="812"/>
      <c r="F290" s="812"/>
      <c r="G290" s="812"/>
      <c r="H290" s="812"/>
    </row>
    <row r="291" spans="1:8">
      <c r="A291" s="812"/>
      <c r="B291" s="812"/>
      <c r="C291" s="812"/>
      <c r="D291" s="812"/>
      <c r="E291" s="812"/>
      <c r="F291" s="812"/>
      <c r="G291" s="812"/>
      <c r="H291" s="812"/>
    </row>
    <row r="292" spans="1:8">
      <c r="A292" s="812"/>
      <c r="B292" s="812"/>
      <c r="C292" s="812"/>
      <c r="D292" s="812"/>
      <c r="E292" s="812"/>
      <c r="F292" s="812"/>
      <c r="G292" s="812"/>
      <c r="H292" s="812"/>
    </row>
    <row r="293" spans="1:8">
      <c r="A293" s="812"/>
      <c r="B293" s="812"/>
      <c r="C293" s="812"/>
      <c r="D293" s="812"/>
      <c r="E293" s="812"/>
      <c r="F293" s="812"/>
      <c r="G293" s="812"/>
      <c r="H293" s="812"/>
    </row>
    <row r="294" spans="1:8">
      <c r="A294" s="812"/>
      <c r="B294" s="812"/>
      <c r="C294" s="812"/>
      <c r="D294" s="812"/>
      <c r="E294" s="812"/>
      <c r="F294" s="812"/>
      <c r="G294" s="812"/>
      <c r="H294" s="812"/>
    </row>
    <row r="295" spans="1:8">
      <c r="A295" s="812"/>
      <c r="B295" s="812"/>
      <c r="C295" s="812"/>
      <c r="D295" s="812"/>
      <c r="E295" s="812"/>
      <c r="F295" s="812"/>
      <c r="G295" s="812"/>
      <c r="H295" s="812"/>
    </row>
    <row r="296" spans="1:8">
      <c r="A296" s="812"/>
      <c r="B296" s="812"/>
      <c r="C296" s="812"/>
      <c r="D296" s="812"/>
      <c r="E296" s="812"/>
      <c r="F296" s="812"/>
      <c r="G296" s="812"/>
      <c r="H296" s="812"/>
    </row>
    <row r="297" spans="1:8">
      <c r="A297" s="812"/>
      <c r="B297" s="812"/>
      <c r="C297" s="812"/>
      <c r="D297" s="812"/>
      <c r="E297" s="812"/>
      <c r="F297" s="812"/>
      <c r="G297" s="812"/>
      <c r="H297" s="812"/>
    </row>
    <row r="298" spans="1:8">
      <c r="A298" s="812"/>
      <c r="B298" s="812"/>
      <c r="C298" s="812"/>
      <c r="D298" s="812"/>
      <c r="E298" s="812"/>
      <c r="F298" s="812"/>
      <c r="G298" s="812"/>
      <c r="H298" s="812"/>
    </row>
    <row r="299" spans="1:8">
      <c r="A299" s="812"/>
      <c r="B299" s="812"/>
      <c r="C299" s="812"/>
      <c r="D299" s="812"/>
      <c r="E299" s="812"/>
      <c r="F299" s="812"/>
      <c r="G299" s="812"/>
      <c r="H299" s="812"/>
    </row>
    <row r="300" spans="1:8">
      <c r="A300" s="812"/>
      <c r="B300" s="812"/>
      <c r="C300" s="812"/>
      <c r="D300" s="812"/>
      <c r="E300" s="812"/>
      <c r="F300" s="812"/>
      <c r="G300" s="812"/>
      <c r="H300" s="812"/>
    </row>
    <row r="301" spans="1:8">
      <c r="A301" s="812"/>
      <c r="B301" s="812"/>
      <c r="C301" s="812"/>
      <c r="D301" s="812"/>
      <c r="E301" s="812"/>
      <c r="F301" s="812"/>
      <c r="G301" s="812"/>
      <c r="H301" s="812"/>
    </row>
    <row r="302" spans="1:8">
      <c r="A302" s="812"/>
      <c r="B302" s="812"/>
      <c r="C302" s="812"/>
      <c r="D302" s="812"/>
      <c r="E302" s="812"/>
      <c r="F302" s="812"/>
      <c r="G302" s="812"/>
      <c r="H302" s="812"/>
    </row>
    <row r="303" spans="1:8">
      <c r="A303" s="812"/>
      <c r="B303" s="812"/>
      <c r="C303" s="812"/>
      <c r="D303" s="812"/>
      <c r="E303" s="812"/>
      <c r="F303" s="812"/>
      <c r="G303" s="812"/>
      <c r="H303" s="812"/>
    </row>
    <row r="304" spans="1:8">
      <c r="A304" s="812"/>
      <c r="B304" s="812"/>
      <c r="C304" s="812"/>
      <c r="D304" s="812"/>
      <c r="E304" s="812"/>
      <c r="F304" s="812"/>
      <c r="G304" s="812"/>
      <c r="H304" s="812"/>
    </row>
    <row r="305" spans="1:8">
      <c r="A305" s="812"/>
      <c r="B305" s="812"/>
      <c r="C305" s="812"/>
      <c r="D305" s="812"/>
      <c r="E305" s="812"/>
      <c r="F305" s="812"/>
      <c r="G305" s="812"/>
      <c r="H305" s="812"/>
    </row>
    <row r="306" spans="1:8">
      <c r="A306" s="812"/>
      <c r="B306" s="812"/>
      <c r="C306" s="812"/>
      <c r="D306" s="812"/>
      <c r="E306" s="812"/>
      <c r="F306" s="812"/>
      <c r="G306" s="812"/>
      <c r="H306" s="812"/>
    </row>
    <row r="307" spans="1:8">
      <c r="A307" s="812"/>
      <c r="B307" s="812"/>
      <c r="C307" s="812"/>
      <c r="D307" s="812"/>
      <c r="E307" s="812"/>
      <c r="F307" s="812"/>
      <c r="G307" s="812"/>
      <c r="H307" s="812"/>
    </row>
    <row r="308" spans="1:8">
      <c r="A308" s="812"/>
      <c r="B308" s="812"/>
      <c r="C308" s="812"/>
      <c r="D308" s="812"/>
      <c r="E308" s="812"/>
      <c r="F308" s="812"/>
      <c r="G308" s="812"/>
      <c r="H308" s="812"/>
    </row>
    <row r="309" spans="1:8">
      <c r="A309" s="812"/>
      <c r="B309" s="812"/>
      <c r="C309" s="812"/>
      <c r="D309" s="812"/>
      <c r="E309" s="812"/>
      <c r="F309" s="812"/>
      <c r="G309" s="812"/>
      <c r="H309" s="812"/>
    </row>
    <row r="310" spans="1:8">
      <c r="A310" s="812"/>
      <c r="B310" s="812"/>
      <c r="C310" s="812"/>
      <c r="D310" s="812"/>
      <c r="E310" s="812"/>
      <c r="F310" s="812"/>
      <c r="G310" s="812"/>
      <c r="H310" s="812"/>
    </row>
    <row r="311" spans="1:8">
      <c r="A311" s="812"/>
      <c r="B311" s="812"/>
      <c r="C311" s="812"/>
      <c r="D311" s="812"/>
      <c r="E311" s="812"/>
      <c r="F311" s="812"/>
      <c r="G311" s="812"/>
      <c r="H311" s="812"/>
    </row>
    <row r="312" spans="1:8">
      <c r="A312" s="812"/>
      <c r="B312" s="812"/>
      <c r="C312" s="812"/>
      <c r="D312" s="812"/>
      <c r="E312" s="812"/>
      <c r="F312" s="812"/>
      <c r="G312" s="812"/>
      <c r="H312" s="812"/>
    </row>
    <row r="313" spans="1:8">
      <c r="A313" s="812"/>
      <c r="B313" s="812"/>
      <c r="C313" s="812"/>
      <c r="D313" s="812"/>
      <c r="E313" s="812"/>
      <c r="F313" s="812"/>
      <c r="G313" s="812"/>
      <c r="H313" s="812"/>
    </row>
    <row r="314" spans="1:8">
      <c r="A314" s="812"/>
      <c r="B314" s="812"/>
      <c r="C314" s="812"/>
      <c r="D314" s="812"/>
      <c r="E314" s="812"/>
      <c r="F314" s="812"/>
      <c r="G314" s="812"/>
      <c r="H314" s="812"/>
    </row>
    <row r="315" spans="1:8">
      <c r="A315" s="812"/>
      <c r="B315" s="812"/>
      <c r="C315" s="812"/>
      <c r="D315" s="812"/>
      <c r="E315" s="812"/>
      <c r="F315" s="812"/>
      <c r="G315" s="812"/>
      <c r="H315" s="812"/>
    </row>
    <row r="316" spans="1:8">
      <c r="A316" s="812"/>
      <c r="B316" s="812"/>
      <c r="C316" s="812"/>
      <c r="D316" s="812"/>
      <c r="E316" s="812"/>
      <c r="F316" s="812"/>
      <c r="G316" s="812"/>
      <c r="H316" s="812"/>
    </row>
    <row r="317" spans="1:8">
      <c r="A317" s="812"/>
      <c r="B317" s="812"/>
      <c r="C317" s="812"/>
      <c r="D317" s="812"/>
      <c r="E317" s="812"/>
      <c r="F317" s="812"/>
      <c r="G317" s="812"/>
      <c r="H317" s="812"/>
    </row>
    <row r="318" spans="1:8">
      <c r="A318" s="812"/>
      <c r="B318" s="812"/>
      <c r="C318" s="812"/>
      <c r="D318" s="812"/>
      <c r="E318" s="812"/>
      <c r="F318" s="812"/>
      <c r="G318" s="812"/>
      <c r="H318" s="812"/>
    </row>
    <row r="319" spans="1:8">
      <c r="A319" s="812"/>
      <c r="B319" s="812"/>
      <c r="C319" s="812"/>
      <c r="D319" s="812"/>
      <c r="E319" s="812"/>
      <c r="F319" s="812"/>
      <c r="G319" s="812"/>
      <c r="H319" s="812"/>
    </row>
    <row r="320" spans="1:8">
      <c r="A320" s="812"/>
      <c r="B320" s="812"/>
      <c r="C320" s="812"/>
      <c r="D320" s="812"/>
      <c r="E320" s="812"/>
      <c r="F320" s="812"/>
      <c r="G320" s="812"/>
      <c r="H320" s="812"/>
    </row>
    <row r="321" spans="1:8">
      <c r="A321" s="812"/>
      <c r="B321" s="812"/>
      <c r="C321" s="812"/>
      <c r="D321" s="812"/>
      <c r="E321" s="812"/>
      <c r="F321" s="812"/>
      <c r="G321" s="812"/>
      <c r="H321" s="812"/>
    </row>
    <row r="322" spans="1:8">
      <c r="A322" s="812"/>
      <c r="B322" s="812"/>
      <c r="C322" s="812"/>
      <c r="D322" s="812"/>
      <c r="E322" s="812"/>
      <c r="F322" s="812"/>
      <c r="G322" s="812"/>
      <c r="H322" s="812"/>
    </row>
    <row r="323" spans="1:8">
      <c r="A323" s="812"/>
      <c r="B323" s="812"/>
      <c r="C323" s="812"/>
      <c r="D323" s="812"/>
      <c r="E323" s="812"/>
      <c r="F323" s="812"/>
      <c r="G323" s="812"/>
      <c r="H323" s="812"/>
    </row>
    <row r="324" spans="1:8">
      <c r="A324" s="812"/>
      <c r="B324" s="812"/>
      <c r="C324" s="812"/>
      <c r="D324" s="812"/>
      <c r="E324" s="812"/>
      <c r="F324" s="812"/>
      <c r="G324" s="812"/>
      <c r="H324" s="812"/>
    </row>
    <row r="325" spans="1:8">
      <c r="A325" s="812"/>
      <c r="B325" s="812"/>
      <c r="C325" s="812"/>
      <c r="D325" s="812"/>
      <c r="E325" s="812"/>
      <c r="F325" s="812"/>
      <c r="G325" s="812"/>
      <c r="H325" s="812"/>
    </row>
    <row r="326" spans="1:8">
      <c r="A326" s="812"/>
      <c r="B326" s="812"/>
      <c r="C326" s="812"/>
      <c r="D326" s="812"/>
      <c r="E326" s="812"/>
      <c r="F326" s="812"/>
      <c r="G326" s="812"/>
      <c r="H326" s="812"/>
    </row>
    <row r="327" spans="1:8">
      <c r="A327" s="812"/>
      <c r="B327" s="812"/>
      <c r="C327" s="812"/>
      <c r="D327" s="812"/>
      <c r="E327" s="812"/>
      <c r="F327" s="812"/>
      <c r="G327" s="812"/>
      <c r="H327" s="812"/>
    </row>
    <row r="328" spans="1:8">
      <c r="A328" s="812"/>
      <c r="B328" s="812"/>
      <c r="C328" s="812"/>
      <c r="D328" s="812"/>
      <c r="E328" s="812"/>
      <c r="F328" s="812"/>
      <c r="G328" s="812"/>
      <c r="H328" s="812"/>
    </row>
    <row r="329" spans="1:8">
      <c r="A329" s="812"/>
      <c r="B329" s="812"/>
      <c r="C329" s="812"/>
      <c r="D329" s="812"/>
      <c r="E329" s="812"/>
      <c r="F329" s="812"/>
      <c r="G329" s="812"/>
      <c r="H329" s="812"/>
    </row>
    <row r="330" spans="1:8">
      <c r="A330" s="812"/>
      <c r="B330" s="812"/>
      <c r="C330" s="812"/>
      <c r="D330" s="812"/>
      <c r="E330" s="812"/>
      <c r="F330" s="812"/>
      <c r="G330" s="812"/>
      <c r="H330" s="812"/>
    </row>
    <row r="331" spans="1:8">
      <c r="A331" s="812"/>
      <c r="B331" s="812"/>
      <c r="C331" s="812"/>
      <c r="D331" s="812"/>
      <c r="E331" s="812"/>
      <c r="F331" s="812"/>
      <c r="G331" s="812"/>
      <c r="H331" s="812"/>
    </row>
    <row r="332" spans="1:8">
      <c r="A332" s="812"/>
      <c r="B332" s="812"/>
      <c r="C332" s="812"/>
      <c r="D332" s="812"/>
      <c r="E332" s="812"/>
      <c r="F332" s="812"/>
      <c r="G332" s="812"/>
      <c r="H332" s="812"/>
    </row>
    <row r="333" spans="1:8">
      <c r="A333" s="812"/>
      <c r="B333" s="812"/>
      <c r="C333" s="812"/>
      <c r="D333" s="812"/>
      <c r="E333" s="812"/>
      <c r="F333" s="812"/>
      <c r="G333" s="812"/>
      <c r="H333" s="812"/>
    </row>
    <row r="334" spans="1:8">
      <c r="A334" s="812"/>
      <c r="B334" s="812"/>
      <c r="C334" s="812"/>
      <c r="D334" s="812"/>
      <c r="E334" s="812"/>
      <c r="F334" s="812"/>
      <c r="G334" s="812"/>
      <c r="H334" s="812"/>
    </row>
    <row r="335" spans="1:8">
      <c r="A335" s="812"/>
      <c r="B335" s="812"/>
      <c r="C335" s="812"/>
      <c r="D335" s="812"/>
      <c r="E335" s="812"/>
      <c r="F335" s="812"/>
      <c r="G335" s="812"/>
      <c r="H335" s="812"/>
    </row>
    <row r="336" spans="1:8">
      <c r="A336" s="812"/>
      <c r="B336" s="812"/>
      <c r="C336" s="812"/>
      <c r="D336" s="812"/>
      <c r="E336" s="812"/>
      <c r="F336" s="812"/>
      <c r="G336" s="812"/>
      <c r="H336" s="812"/>
    </row>
    <row r="337" spans="1:8">
      <c r="A337" s="812"/>
      <c r="B337" s="812"/>
      <c r="C337" s="812"/>
      <c r="D337" s="812"/>
      <c r="E337" s="812"/>
      <c r="F337" s="812"/>
      <c r="G337" s="812"/>
      <c r="H337" s="812"/>
    </row>
    <row r="338" spans="1:8">
      <c r="A338" s="812"/>
      <c r="B338" s="812"/>
      <c r="C338" s="812"/>
      <c r="D338" s="812"/>
      <c r="E338" s="812"/>
      <c r="F338" s="812"/>
      <c r="G338" s="812"/>
      <c r="H338" s="812"/>
    </row>
    <row r="339" spans="1:8">
      <c r="A339" s="812"/>
      <c r="B339" s="812"/>
      <c r="C339" s="812"/>
      <c r="D339" s="812"/>
      <c r="E339" s="812"/>
      <c r="F339" s="812"/>
      <c r="G339" s="812"/>
      <c r="H339" s="812"/>
    </row>
    <row r="340" spans="1:8">
      <c r="A340" s="812"/>
      <c r="B340" s="812"/>
      <c r="C340" s="812"/>
      <c r="D340" s="812"/>
      <c r="E340" s="812"/>
      <c r="F340" s="812"/>
      <c r="G340" s="812"/>
      <c r="H340" s="812"/>
    </row>
    <row r="341" spans="1:8">
      <c r="A341" s="812"/>
      <c r="B341" s="812"/>
      <c r="C341" s="812"/>
      <c r="D341" s="812"/>
      <c r="E341" s="812"/>
      <c r="F341" s="812"/>
      <c r="G341" s="812"/>
      <c r="H341" s="812"/>
    </row>
    <row r="342" spans="1:8">
      <c r="A342" s="812"/>
      <c r="B342" s="812"/>
      <c r="C342" s="812"/>
      <c r="D342" s="812"/>
      <c r="E342" s="812"/>
      <c r="F342" s="812"/>
      <c r="G342" s="812"/>
      <c r="H342" s="812"/>
    </row>
    <row r="343" spans="1:8">
      <c r="A343" s="812"/>
      <c r="B343" s="812"/>
      <c r="C343" s="812"/>
      <c r="D343" s="812"/>
      <c r="E343" s="812"/>
      <c r="F343" s="812"/>
      <c r="G343" s="812"/>
      <c r="H343" s="812"/>
    </row>
    <row r="344" spans="1:8">
      <c r="A344" s="812"/>
      <c r="B344" s="812"/>
      <c r="C344" s="812"/>
      <c r="D344" s="812"/>
      <c r="E344" s="812"/>
      <c r="F344" s="812"/>
      <c r="G344" s="812"/>
      <c r="H344" s="812"/>
    </row>
    <row r="345" spans="1:8">
      <c r="A345" s="812"/>
      <c r="B345" s="812"/>
      <c r="C345" s="812"/>
      <c r="D345" s="812"/>
      <c r="E345" s="812"/>
      <c r="F345" s="812"/>
      <c r="G345" s="812"/>
      <c r="H345" s="812"/>
    </row>
    <row r="346" spans="1:8">
      <c r="A346" s="812"/>
      <c r="B346" s="812"/>
      <c r="C346" s="812"/>
      <c r="D346" s="812"/>
      <c r="E346" s="812"/>
      <c r="F346" s="812"/>
      <c r="G346" s="812"/>
      <c r="H346" s="812"/>
    </row>
    <row r="347" spans="1:8">
      <c r="A347" s="812"/>
      <c r="B347" s="812"/>
      <c r="C347" s="812"/>
      <c r="D347" s="812"/>
      <c r="E347" s="812"/>
      <c r="F347" s="812"/>
      <c r="G347" s="812"/>
      <c r="H347" s="812"/>
    </row>
    <row r="348" spans="1:8">
      <c r="A348" s="812"/>
      <c r="B348" s="812"/>
      <c r="C348" s="812"/>
      <c r="D348" s="812"/>
      <c r="E348" s="812"/>
      <c r="F348" s="812"/>
      <c r="G348" s="812"/>
      <c r="H348" s="812"/>
    </row>
    <row r="349" spans="1:8">
      <c r="A349" s="812"/>
      <c r="B349" s="812"/>
      <c r="C349" s="812"/>
      <c r="D349" s="812"/>
      <c r="E349" s="812"/>
      <c r="F349" s="812"/>
      <c r="G349" s="812"/>
      <c r="H349" s="812"/>
    </row>
    <row r="350" spans="1:8">
      <c r="A350" s="812"/>
      <c r="B350" s="812"/>
      <c r="C350" s="812"/>
      <c r="D350" s="812"/>
      <c r="E350" s="812"/>
      <c r="F350" s="812"/>
      <c r="G350" s="812"/>
      <c r="H350" s="812"/>
    </row>
    <row r="351" spans="1:8">
      <c r="A351" s="812"/>
      <c r="B351" s="812"/>
      <c r="C351" s="812"/>
      <c r="D351" s="812"/>
      <c r="E351" s="812"/>
      <c r="F351" s="812"/>
      <c r="G351" s="812"/>
      <c r="H351" s="812"/>
    </row>
    <row r="352" spans="1:8">
      <c r="A352" s="812"/>
      <c r="B352" s="812"/>
      <c r="C352" s="812"/>
      <c r="D352" s="812"/>
      <c r="E352" s="812"/>
      <c r="F352" s="812"/>
      <c r="G352" s="812"/>
      <c r="H352" s="812"/>
    </row>
    <row r="353" spans="1:8">
      <c r="A353" s="812"/>
      <c r="B353" s="812"/>
      <c r="C353" s="812"/>
      <c r="D353" s="812"/>
      <c r="E353" s="812"/>
      <c r="F353" s="812"/>
      <c r="G353" s="812"/>
      <c r="H353" s="812"/>
    </row>
    <row r="354" spans="1:8">
      <c r="A354" s="812"/>
      <c r="B354" s="812"/>
      <c r="C354" s="812"/>
      <c r="D354" s="812"/>
      <c r="E354" s="812"/>
      <c r="F354" s="812"/>
      <c r="G354" s="812"/>
      <c r="H354" s="812"/>
    </row>
    <row r="355" spans="1:8">
      <c r="A355" s="812"/>
      <c r="B355" s="812"/>
      <c r="C355" s="812"/>
      <c r="D355" s="812"/>
      <c r="E355" s="812"/>
      <c r="F355" s="812"/>
      <c r="G355" s="812"/>
      <c r="H355" s="812"/>
    </row>
    <row r="356" spans="1:8">
      <c r="A356" s="812"/>
      <c r="B356" s="812"/>
      <c r="C356" s="812"/>
      <c r="D356" s="812"/>
      <c r="E356" s="812"/>
      <c r="F356" s="812"/>
      <c r="G356" s="812"/>
      <c r="H356" s="812"/>
    </row>
    <row r="357" spans="1:8">
      <c r="A357" s="812"/>
      <c r="B357" s="812"/>
      <c r="C357" s="812"/>
      <c r="D357" s="812"/>
      <c r="E357" s="812"/>
      <c r="F357" s="812"/>
      <c r="G357" s="812"/>
      <c r="H357" s="812"/>
    </row>
    <row r="358" spans="1:8">
      <c r="A358" s="812"/>
      <c r="B358" s="812"/>
      <c r="C358" s="812"/>
      <c r="D358" s="812"/>
      <c r="E358" s="812"/>
      <c r="F358" s="812"/>
      <c r="G358" s="812"/>
      <c r="H358" s="812"/>
    </row>
    <row r="359" spans="1:8">
      <c r="A359" s="812"/>
      <c r="B359" s="812"/>
      <c r="C359" s="812"/>
      <c r="D359" s="812"/>
      <c r="E359" s="812"/>
      <c r="F359" s="812"/>
      <c r="G359" s="812"/>
      <c r="H359" s="812"/>
    </row>
    <row r="360" spans="1:8">
      <c r="A360" s="812"/>
      <c r="B360" s="812"/>
      <c r="C360" s="812"/>
      <c r="D360" s="812"/>
      <c r="E360" s="812"/>
      <c r="F360" s="812"/>
      <c r="G360" s="812"/>
      <c r="H360" s="812"/>
    </row>
    <row r="361" spans="1:8">
      <c r="A361" s="812"/>
      <c r="B361" s="812"/>
      <c r="C361" s="812"/>
      <c r="D361" s="812"/>
      <c r="E361" s="812"/>
      <c r="F361" s="812"/>
      <c r="G361" s="812"/>
      <c r="H361" s="812"/>
    </row>
    <row r="362" spans="1:8">
      <c r="A362" s="812"/>
      <c r="B362" s="812"/>
      <c r="C362" s="812"/>
      <c r="D362" s="812"/>
      <c r="E362" s="812"/>
      <c r="F362" s="812"/>
      <c r="G362" s="812"/>
      <c r="H362" s="812"/>
    </row>
    <row r="363" spans="1:8">
      <c r="A363" s="812"/>
      <c r="B363" s="812"/>
      <c r="C363" s="812"/>
      <c r="D363" s="812"/>
      <c r="E363" s="812"/>
      <c r="F363" s="812"/>
      <c r="G363" s="812"/>
      <c r="H363" s="812"/>
    </row>
    <row r="364" spans="1:8">
      <c r="A364" s="812"/>
      <c r="B364" s="812"/>
      <c r="C364" s="812"/>
      <c r="D364" s="812"/>
      <c r="E364" s="812"/>
      <c r="F364" s="812"/>
      <c r="G364" s="812"/>
      <c r="H364" s="812"/>
    </row>
    <row r="365" spans="1:8">
      <c r="A365" s="812"/>
      <c r="B365" s="812"/>
      <c r="C365" s="812"/>
      <c r="D365" s="812"/>
      <c r="E365" s="812"/>
      <c r="F365" s="812"/>
      <c r="G365" s="812"/>
      <c r="H365" s="812"/>
    </row>
    <row r="366" spans="1:8">
      <c r="A366" s="812"/>
      <c r="B366" s="812"/>
      <c r="C366" s="812"/>
      <c r="D366" s="812"/>
      <c r="E366" s="812"/>
      <c r="F366" s="812"/>
      <c r="G366" s="812"/>
      <c r="H366" s="812"/>
    </row>
    <row r="367" spans="1:8">
      <c r="A367" s="812"/>
      <c r="B367" s="812"/>
      <c r="C367" s="812"/>
      <c r="D367" s="812"/>
      <c r="E367" s="812"/>
      <c r="F367" s="812"/>
      <c r="G367" s="812"/>
      <c r="H367" s="812"/>
    </row>
    <row r="368" spans="1:8">
      <c r="A368" s="812"/>
      <c r="B368" s="812"/>
      <c r="C368" s="812"/>
      <c r="D368" s="812"/>
      <c r="E368" s="812"/>
      <c r="F368" s="812"/>
      <c r="G368" s="812"/>
      <c r="H368" s="812"/>
    </row>
    <row r="369" spans="1:8">
      <c r="A369" s="812"/>
      <c r="B369" s="812"/>
      <c r="C369" s="812"/>
      <c r="D369" s="812"/>
      <c r="E369" s="812"/>
      <c r="F369" s="812"/>
      <c r="G369" s="812"/>
      <c r="H369" s="812"/>
    </row>
    <row r="370" spans="1:8">
      <c r="A370" s="812"/>
      <c r="B370" s="812"/>
      <c r="C370" s="812"/>
      <c r="D370" s="812"/>
      <c r="E370" s="812"/>
      <c r="F370" s="812"/>
      <c r="G370" s="812"/>
      <c r="H370" s="812"/>
    </row>
    <row r="371" spans="1:8">
      <c r="A371" s="812"/>
      <c r="B371" s="812"/>
      <c r="C371" s="812"/>
      <c r="D371" s="812"/>
      <c r="E371" s="812"/>
      <c r="F371" s="812"/>
      <c r="G371" s="812"/>
      <c r="H371" s="812"/>
    </row>
    <row r="372" spans="1:8">
      <c r="A372" s="812"/>
      <c r="B372" s="812"/>
      <c r="C372" s="812"/>
      <c r="D372" s="812"/>
      <c r="E372" s="812"/>
      <c r="F372" s="812"/>
      <c r="G372" s="812"/>
      <c r="H372" s="812"/>
    </row>
    <row r="373" spans="1:8">
      <c r="A373" s="812"/>
      <c r="B373" s="812"/>
      <c r="C373" s="812"/>
      <c r="D373" s="812"/>
      <c r="E373" s="812"/>
      <c r="F373" s="812"/>
      <c r="G373" s="812"/>
      <c r="H373" s="812"/>
    </row>
    <row r="374" spans="1:8">
      <c r="A374" s="812"/>
      <c r="B374" s="812"/>
      <c r="C374" s="812"/>
      <c r="D374" s="812"/>
      <c r="E374" s="812"/>
      <c r="F374" s="812"/>
      <c r="G374" s="812"/>
      <c r="H374" s="812"/>
    </row>
    <row r="375" spans="1:8">
      <c r="A375" s="812"/>
      <c r="B375" s="812"/>
      <c r="C375" s="812"/>
      <c r="D375" s="812"/>
      <c r="E375" s="812"/>
      <c r="F375" s="812"/>
      <c r="G375" s="812"/>
      <c r="H375" s="812"/>
    </row>
    <row r="376" spans="1:8">
      <c r="A376" s="812"/>
      <c r="B376" s="812"/>
      <c r="C376" s="812"/>
      <c r="D376" s="812"/>
      <c r="E376" s="812"/>
      <c r="F376" s="812"/>
      <c r="G376" s="812"/>
      <c r="H376" s="812"/>
    </row>
    <row r="377" spans="1:8">
      <c r="A377" s="812"/>
      <c r="B377" s="812"/>
      <c r="C377" s="812"/>
      <c r="D377" s="812"/>
      <c r="E377" s="812"/>
      <c r="F377" s="812"/>
      <c r="G377" s="812"/>
      <c r="H377" s="812"/>
    </row>
    <row r="378" spans="1:8">
      <c r="A378" s="812"/>
      <c r="B378" s="812"/>
      <c r="C378" s="812"/>
      <c r="D378" s="812"/>
      <c r="E378" s="812"/>
      <c r="F378" s="812"/>
      <c r="G378" s="812"/>
      <c r="H378" s="812"/>
    </row>
    <row r="379" spans="1:8">
      <c r="A379" s="812"/>
      <c r="B379" s="812"/>
      <c r="C379" s="812"/>
      <c r="D379" s="812"/>
      <c r="E379" s="812"/>
      <c r="F379" s="812"/>
      <c r="G379" s="812"/>
      <c r="H379" s="812"/>
    </row>
    <row r="380" spans="1:8">
      <c r="A380" s="812"/>
      <c r="B380" s="812"/>
      <c r="C380" s="812"/>
      <c r="D380" s="812"/>
      <c r="E380" s="812"/>
      <c r="F380" s="812"/>
      <c r="G380" s="812"/>
      <c r="H380" s="812"/>
    </row>
    <row r="381" spans="1:8">
      <c r="A381" s="812"/>
      <c r="B381" s="812"/>
      <c r="C381" s="812"/>
      <c r="D381" s="812"/>
      <c r="E381" s="812"/>
      <c r="F381" s="812"/>
      <c r="G381" s="812"/>
      <c r="H381" s="812"/>
    </row>
    <row r="382" spans="1:8">
      <c r="A382" s="812"/>
      <c r="B382" s="812"/>
      <c r="C382" s="812"/>
      <c r="D382" s="812"/>
      <c r="E382" s="812"/>
      <c r="F382" s="812"/>
      <c r="G382" s="812"/>
      <c r="H382" s="812"/>
    </row>
    <row r="383" spans="1:8">
      <c r="A383" s="812"/>
      <c r="B383" s="812"/>
      <c r="C383" s="812"/>
      <c r="D383" s="812"/>
      <c r="E383" s="812"/>
      <c r="F383" s="812"/>
      <c r="G383" s="812"/>
      <c r="H383" s="812"/>
    </row>
    <row r="384" spans="1:8">
      <c r="A384" s="812"/>
      <c r="B384" s="812"/>
      <c r="C384" s="812"/>
      <c r="D384" s="812"/>
      <c r="E384" s="812"/>
      <c r="F384" s="812"/>
      <c r="G384" s="812"/>
      <c r="H384" s="812"/>
    </row>
    <row r="385" spans="1:8">
      <c r="A385" s="812"/>
      <c r="B385" s="812"/>
      <c r="C385" s="812"/>
      <c r="D385" s="812"/>
      <c r="E385" s="812"/>
      <c r="F385" s="812"/>
      <c r="G385" s="812"/>
      <c r="H385" s="812"/>
    </row>
    <row r="386" spans="1:8">
      <c r="A386" s="812"/>
      <c r="B386" s="812"/>
      <c r="C386" s="812"/>
      <c r="D386" s="812"/>
      <c r="E386" s="812"/>
      <c r="F386" s="812"/>
      <c r="G386" s="812"/>
      <c r="H386" s="812"/>
    </row>
    <row r="387" spans="1:8">
      <c r="A387" s="812"/>
      <c r="B387" s="812"/>
      <c r="C387" s="812"/>
      <c r="D387" s="812"/>
      <c r="E387" s="812"/>
      <c r="F387" s="812"/>
      <c r="G387" s="812"/>
      <c r="H387" s="812"/>
    </row>
    <row r="388" spans="1:8">
      <c r="A388" s="812"/>
      <c r="B388" s="812"/>
      <c r="C388" s="812"/>
      <c r="D388" s="812"/>
      <c r="E388" s="812"/>
      <c r="F388" s="812"/>
      <c r="G388" s="812"/>
      <c r="H388" s="812"/>
    </row>
    <row r="389" spans="1:8">
      <c r="A389" s="812"/>
      <c r="B389" s="812"/>
      <c r="C389" s="812"/>
      <c r="D389" s="812"/>
      <c r="E389" s="812"/>
      <c r="F389" s="812"/>
      <c r="G389" s="812"/>
      <c r="H389" s="812"/>
    </row>
    <row r="390" spans="1:8">
      <c r="A390" s="812"/>
      <c r="B390" s="812"/>
      <c r="C390" s="812"/>
      <c r="D390" s="812"/>
      <c r="E390" s="812"/>
      <c r="F390" s="812"/>
      <c r="G390" s="812"/>
      <c r="H390" s="812"/>
    </row>
    <row r="391" spans="1:8">
      <c r="A391" s="812"/>
      <c r="B391" s="812"/>
      <c r="C391" s="812"/>
      <c r="D391" s="812"/>
      <c r="E391" s="812"/>
      <c r="F391" s="812"/>
      <c r="G391" s="812"/>
      <c r="H391" s="812"/>
    </row>
    <row r="392" spans="1:8">
      <c r="A392" s="812"/>
      <c r="B392" s="812"/>
      <c r="C392" s="812"/>
      <c r="D392" s="812"/>
      <c r="E392" s="812"/>
      <c r="F392" s="812"/>
      <c r="G392" s="812"/>
      <c r="H392" s="812"/>
    </row>
    <row r="393" spans="1:8">
      <c r="A393" s="812"/>
      <c r="B393" s="812"/>
      <c r="C393" s="812"/>
      <c r="D393" s="812"/>
      <c r="E393" s="812"/>
      <c r="F393" s="812"/>
      <c r="G393" s="812"/>
      <c r="H393" s="812"/>
    </row>
    <row r="394" spans="1:8">
      <c r="A394" s="812"/>
      <c r="B394" s="812"/>
      <c r="C394" s="812"/>
      <c r="D394" s="812"/>
      <c r="E394" s="812"/>
      <c r="F394" s="812"/>
      <c r="G394" s="812"/>
      <c r="H394" s="812"/>
    </row>
    <row r="395" spans="1:8">
      <c r="A395" s="812"/>
      <c r="B395" s="812"/>
      <c r="C395" s="812"/>
      <c r="D395" s="812"/>
      <c r="E395" s="812"/>
      <c r="F395" s="812"/>
      <c r="G395" s="812"/>
      <c r="H395" s="812"/>
    </row>
    <row r="396" spans="1:8">
      <c r="A396" s="812"/>
      <c r="B396" s="812"/>
      <c r="C396" s="812"/>
      <c r="D396" s="812"/>
      <c r="E396" s="812"/>
      <c r="F396" s="812"/>
      <c r="G396" s="812"/>
      <c r="H396" s="812"/>
    </row>
    <row r="397" spans="1:8">
      <c r="A397" s="812"/>
      <c r="B397" s="812"/>
      <c r="C397" s="812"/>
      <c r="D397" s="812"/>
      <c r="E397" s="812"/>
      <c r="F397" s="812"/>
      <c r="G397" s="812"/>
      <c r="H397" s="812"/>
    </row>
    <row r="398" spans="1:8">
      <c r="A398" s="812"/>
      <c r="B398" s="812"/>
      <c r="C398" s="812"/>
      <c r="D398" s="812"/>
      <c r="E398" s="812"/>
      <c r="F398" s="812"/>
      <c r="G398" s="812"/>
      <c r="H398" s="812"/>
    </row>
    <row r="399" spans="1:8">
      <c r="A399" s="812"/>
      <c r="B399" s="812"/>
      <c r="C399" s="812"/>
      <c r="D399" s="812"/>
      <c r="E399" s="812"/>
      <c r="F399" s="812"/>
      <c r="G399" s="812"/>
      <c r="H399" s="812"/>
    </row>
    <row r="400" spans="1:8">
      <c r="A400" s="812"/>
      <c r="B400" s="812"/>
      <c r="C400" s="812"/>
      <c r="D400" s="812"/>
      <c r="E400" s="812"/>
      <c r="F400" s="812"/>
      <c r="G400" s="812"/>
      <c r="H400" s="812"/>
    </row>
    <row r="401" spans="1:8">
      <c r="A401" s="812"/>
      <c r="B401" s="812"/>
      <c r="C401" s="812"/>
      <c r="D401" s="812"/>
      <c r="E401" s="812"/>
      <c r="F401" s="812"/>
      <c r="G401" s="812"/>
      <c r="H401" s="812"/>
    </row>
    <row r="402" spans="1:8">
      <c r="A402" s="812"/>
      <c r="B402" s="812"/>
      <c r="C402" s="812"/>
      <c r="D402" s="812"/>
      <c r="E402" s="812"/>
      <c r="F402" s="812"/>
      <c r="G402" s="812"/>
      <c r="H402" s="812"/>
    </row>
    <row r="403" spans="1:8">
      <c r="A403" s="812"/>
      <c r="B403" s="812"/>
      <c r="C403" s="812"/>
      <c r="D403" s="812"/>
      <c r="E403" s="812"/>
      <c r="F403" s="812"/>
      <c r="G403" s="812"/>
      <c r="H403" s="812"/>
    </row>
    <row r="404" spans="1:8">
      <c r="A404" s="812"/>
      <c r="B404" s="812"/>
      <c r="C404" s="812"/>
      <c r="D404" s="812"/>
      <c r="E404" s="812"/>
      <c r="F404" s="812"/>
      <c r="G404" s="812"/>
      <c r="H404" s="812"/>
    </row>
    <row r="405" spans="1:8">
      <c r="A405" s="812"/>
      <c r="B405" s="812"/>
      <c r="C405" s="812"/>
      <c r="D405" s="812"/>
      <c r="E405" s="812"/>
      <c r="F405" s="812"/>
      <c r="G405" s="812"/>
      <c r="H405" s="812"/>
    </row>
    <row r="406" spans="1:8">
      <c r="A406" s="812"/>
      <c r="B406" s="812"/>
      <c r="C406" s="812"/>
      <c r="D406" s="812"/>
      <c r="E406" s="812"/>
      <c r="F406" s="812"/>
      <c r="G406" s="812"/>
      <c r="H406" s="812"/>
    </row>
    <row r="407" spans="1:8">
      <c r="A407" s="812"/>
      <c r="B407" s="812"/>
      <c r="C407" s="812"/>
      <c r="D407" s="812"/>
      <c r="E407" s="812"/>
      <c r="F407" s="812"/>
      <c r="G407" s="812"/>
      <c r="H407" s="812"/>
    </row>
    <row r="408" spans="1:8">
      <c r="A408" s="812"/>
      <c r="B408" s="812"/>
      <c r="C408" s="812"/>
      <c r="D408" s="812"/>
      <c r="E408" s="812"/>
      <c r="F408" s="812"/>
      <c r="G408" s="812"/>
      <c r="H408" s="812"/>
    </row>
    <row r="409" spans="1:8">
      <c r="A409" s="812"/>
      <c r="B409" s="812"/>
      <c r="C409" s="812"/>
      <c r="D409" s="812"/>
      <c r="E409" s="812"/>
      <c r="F409" s="812"/>
      <c r="G409" s="812"/>
      <c r="H409" s="812"/>
    </row>
    <row r="410" spans="1:8">
      <c r="A410" s="812"/>
      <c r="B410" s="812"/>
      <c r="C410" s="812"/>
      <c r="D410" s="812"/>
      <c r="E410" s="812"/>
      <c r="F410" s="812"/>
      <c r="G410" s="812"/>
      <c r="H410" s="812"/>
    </row>
    <row r="411" spans="1:8">
      <c r="A411" s="812"/>
      <c r="B411" s="812"/>
      <c r="C411" s="812"/>
      <c r="D411" s="812"/>
      <c r="E411" s="812"/>
      <c r="F411" s="812"/>
      <c r="G411" s="812"/>
      <c r="H411" s="812"/>
    </row>
    <row r="412" spans="1:8">
      <c r="A412" s="812"/>
      <c r="B412" s="812"/>
      <c r="C412" s="812"/>
      <c r="D412" s="812"/>
      <c r="E412" s="812"/>
      <c r="F412" s="812"/>
      <c r="G412" s="812"/>
      <c r="H412" s="812"/>
    </row>
    <row r="413" spans="1:8">
      <c r="A413" s="812"/>
      <c r="B413" s="812"/>
      <c r="C413" s="812"/>
      <c r="D413" s="812"/>
      <c r="E413" s="812"/>
      <c r="F413" s="812"/>
      <c r="G413" s="812"/>
      <c r="H413" s="812"/>
    </row>
    <row r="414" spans="1:8">
      <c r="A414" s="812"/>
      <c r="B414" s="812"/>
      <c r="C414" s="812"/>
      <c r="D414" s="812"/>
      <c r="E414" s="812"/>
      <c r="F414" s="812"/>
      <c r="G414" s="812"/>
      <c r="H414" s="812"/>
    </row>
    <row r="415" spans="1:8">
      <c r="A415" s="812"/>
      <c r="B415" s="812"/>
      <c r="C415" s="812"/>
      <c r="D415" s="812"/>
      <c r="E415" s="812"/>
      <c r="F415" s="812"/>
      <c r="G415" s="812"/>
      <c r="H415" s="812"/>
    </row>
    <row r="416" spans="1:8">
      <c r="A416" s="812"/>
      <c r="B416" s="812"/>
      <c r="C416" s="812"/>
      <c r="D416" s="812"/>
      <c r="E416" s="812"/>
      <c r="F416" s="812"/>
      <c r="G416" s="812"/>
      <c r="H416" s="812"/>
    </row>
    <row r="417" spans="1:8">
      <c r="A417" s="812"/>
      <c r="B417" s="812"/>
      <c r="C417" s="812"/>
      <c r="D417" s="812"/>
      <c r="E417" s="812"/>
      <c r="F417" s="812"/>
      <c r="G417" s="812"/>
      <c r="H417" s="812"/>
    </row>
    <row r="418" spans="1:8">
      <c r="A418" s="812"/>
      <c r="B418" s="812"/>
      <c r="C418" s="812"/>
      <c r="D418" s="812"/>
      <c r="E418" s="812"/>
      <c r="F418" s="812"/>
      <c r="G418" s="812"/>
      <c r="H418" s="812"/>
    </row>
    <row r="419" spans="1:8">
      <c r="A419" s="812"/>
      <c r="B419" s="812"/>
      <c r="C419" s="812"/>
      <c r="D419" s="812"/>
      <c r="E419" s="812"/>
      <c r="F419" s="812"/>
      <c r="G419" s="812"/>
      <c r="H419" s="812"/>
    </row>
    <row r="420" spans="1:8">
      <c r="A420" s="812"/>
      <c r="B420" s="812"/>
      <c r="C420" s="812"/>
      <c r="D420" s="812"/>
      <c r="E420" s="812"/>
      <c r="F420" s="812"/>
      <c r="G420" s="812"/>
      <c r="H420" s="812"/>
    </row>
    <row r="421" spans="1:8">
      <c r="A421" s="812"/>
      <c r="B421" s="812"/>
      <c r="C421" s="812"/>
      <c r="D421" s="812"/>
      <c r="E421" s="812"/>
      <c r="F421" s="812"/>
      <c r="G421" s="812"/>
      <c r="H421" s="812"/>
    </row>
    <row r="422" spans="1:8">
      <c r="A422" s="812"/>
      <c r="B422" s="812"/>
      <c r="C422" s="812"/>
      <c r="D422" s="812"/>
      <c r="E422" s="812"/>
      <c r="F422" s="812"/>
      <c r="G422" s="812"/>
      <c r="H422" s="812"/>
    </row>
    <row r="423" spans="1:8">
      <c r="A423" s="812"/>
      <c r="B423" s="812"/>
      <c r="C423" s="812"/>
      <c r="D423" s="812"/>
      <c r="E423" s="812"/>
      <c r="F423" s="812"/>
      <c r="G423" s="812"/>
      <c r="H423" s="812"/>
    </row>
    <row r="424" spans="1:8">
      <c r="A424" s="812"/>
      <c r="B424" s="812"/>
      <c r="C424" s="812"/>
      <c r="D424" s="812"/>
      <c r="E424" s="812"/>
      <c r="F424" s="812"/>
      <c r="G424" s="812"/>
      <c r="H424" s="812"/>
    </row>
    <row r="425" spans="1:8">
      <c r="A425" s="812"/>
      <c r="B425" s="812"/>
      <c r="C425" s="812"/>
      <c r="D425" s="812"/>
      <c r="E425" s="812"/>
      <c r="F425" s="812"/>
      <c r="G425" s="812"/>
      <c r="H425" s="812"/>
    </row>
    <row r="426" spans="1:8">
      <c r="A426" s="812"/>
      <c r="B426" s="812"/>
      <c r="C426" s="812"/>
      <c r="D426" s="812"/>
      <c r="E426" s="812"/>
      <c r="F426" s="812"/>
      <c r="G426" s="812"/>
      <c r="H426" s="812"/>
    </row>
    <row r="427" spans="1:8">
      <c r="A427" s="812"/>
      <c r="B427" s="812"/>
      <c r="C427" s="812"/>
      <c r="D427" s="812"/>
      <c r="E427" s="812"/>
      <c r="F427" s="812"/>
      <c r="G427" s="812"/>
      <c r="H427" s="812"/>
    </row>
    <row r="428" spans="1:8">
      <c r="A428" s="812"/>
      <c r="B428" s="812"/>
      <c r="C428" s="812"/>
      <c r="D428" s="812"/>
      <c r="E428" s="812"/>
      <c r="F428" s="812"/>
      <c r="G428" s="812"/>
      <c r="H428" s="812"/>
    </row>
    <row r="429" spans="1:8">
      <c r="A429" s="812"/>
      <c r="B429" s="812"/>
      <c r="C429" s="812"/>
      <c r="D429" s="812"/>
      <c r="E429" s="812"/>
      <c r="F429" s="812"/>
      <c r="G429" s="812"/>
      <c r="H429" s="812"/>
    </row>
    <row r="430" spans="1:8">
      <c r="A430" s="812"/>
      <c r="B430" s="812"/>
      <c r="C430" s="812"/>
      <c r="D430" s="812"/>
      <c r="E430" s="812"/>
      <c r="F430" s="812"/>
      <c r="G430" s="812"/>
      <c r="H430" s="812"/>
    </row>
    <row r="431" spans="1:8">
      <c r="A431" s="812"/>
      <c r="B431" s="812"/>
      <c r="C431" s="812"/>
      <c r="D431" s="812"/>
      <c r="E431" s="812"/>
      <c r="F431" s="812"/>
      <c r="G431" s="812"/>
      <c r="H431" s="812"/>
    </row>
    <row r="432" spans="1:8">
      <c r="A432" s="812"/>
      <c r="B432" s="812"/>
      <c r="C432" s="812"/>
      <c r="D432" s="812"/>
      <c r="E432" s="812"/>
      <c r="F432" s="812"/>
      <c r="G432" s="812"/>
      <c r="H432" s="812"/>
    </row>
    <row r="433" spans="1:8">
      <c r="A433" s="812"/>
      <c r="B433" s="812"/>
      <c r="C433" s="812"/>
      <c r="D433" s="812"/>
      <c r="E433" s="812"/>
      <c r="F433" s="812"/>
      <c r="G433" s="812"/>
      <c r="H433" s="812"/>
    </row>
    <row r="434" spans="1:8">
      <c r="A434" s="812"/>
      <c r="B434" s="812"/>
      <c r="C434" s="812"/>
      <c r="D434" s="812"/>
      <c r="E434" s="812"/>
      <c r="F434" s="812"/>
      <c r="G434" s="812"/>
      <c r="H434" s="812"/>
    </row>
    <row r="435" spans="1:8">
      <c r="A435" s="812"/>
      <c r="B435" s="812"/>
      <c r="C435" s="812"/>
      <c r="D435" s="812"/>
      <c r="E435" s="812"/>
      <c r="F435" s="812"/>
      <c r="G435" s="812"/>
      <c r="H435" s="812"/>
    </row>
    <row r="436" spans="1:8">
      <c r="A436" s="812"/>
      <c r="B436" s="812"/>
      <c r="C436" s="812"/>
      <c r="D436" s="812"/>
      <c r="E436" s="812"/>
      <c r="F436" s="812"/>
      <c r="G436" s="812"/>
      <c r="H436" s="812"/>
    </row>
    <row r="437" spans="1:8">
      <c r="A437" s="812"/>
      <c r="B437" s="812"/>
      <c r="C437" s="812"/>
      <c r="D437" s="812"/>
      <c r="E437" s="812"/>
      <c r="F437" s="812"/>
      <c r="G437" s="812"/>
      <c r="H437" s="812"/>
    </row>
    <row r="438" spans="1:8">
      <c r="A438" s="812"/>
      <c r="B438" s="812"/>
      <c r="C438" s="812"/>
      <c r="D438" s="812"/>
      <c r="E438" s="812"/>
      <c r="F438" s="812"/>
      <c r="G438" s="812"/>
      <c r="H438" s="812"/>
    </row>
    <row r="439" spans="1:8">
      <c r="A439" s="812"/>
      <c r="B439" s="812"/>
      <c r="C439" s="812"/>
      <c r="D439" s="812"/>
      <c r="E439" s="812"/>
      <c r="F439" s="812"/>
      <c r="G439" s="812"/>
      <c r="H439" s="812"/>
    </row>
    <row r="440" spans="1:8">
      <c r="A440" s="812"/>
      <c r="B440" s="812"/>
      <c r="C440" s="812"/>
      <c r="D440" s="812"/>
      <c r="E440" s="812"/>
      <c r="F440" s="812"/>
      <c r="G440" s="812"/>
      <c r="H440" s="812"/>
    </row>
    <row r="441" spans="1:8">
      <c r="A441" s="812"/>
      <c r="B441" s="812"/>
      <c r="C441" s="812"/>
      <c r="D441" s="812"/>
      <c r="E441" s="812"/>
      <c r="F441" s="812"/>
      <c r="G441" s="812"/>
      <c r="H441" s="812"/>
    </row>
    <row r="442" spans="1:8">
      <c r="A442" s="812"/>
      <c r="B442" s="812"/>
      <c r="C442" s="812"/>
      <c r="D442" s="812"/>
      <c r="E442" s="812"/>
      <c r="F442" s="812"/>
      <c r="G442" s="812"/>
      <c r="H442" s="812"/>
    </row>
    <row r="443" spans="1:8">
      <c r="A443" s="812"/>
      <c r="B443" s="812"/>
      <c r="C443" s="812"/>
      <c r="D443" s="812"/>
      <c r="E443" s="812"/>
      <c r="F443" s="812"/>
      <c r="G443" s="812"/>
      <c r="H443" s="812"/>
    </row>
    <row r="444" spans="1:8">
      <c r="A444" s="812"/>
      <c r="B444" s="812"/>
      <c r="C444" s="812"/>
      <c r="D444" s="812"/>
      <c r="E444" s="812"/>
      <c r="F444" s="812"/>
      <c r="G444" s="812"/>
      <c r="H444" s="812"/>
    </row>
    <row r="445" spans="1:8">
      <c r="A445" s="812"/>
      <c r="B445" s="812"/>
      <c r="C445" s="812"/>
      <c r="D445" s="812"/>
      <c r="E445" s="812"/>
      <c r="F445" s="812"/>
      <c r="G445" s="812"/>
      <c r="H445" s="812"/>
    </row>
    <row r="446" spans="1:8">
      <c r="A446" s="812"/>
      <c r="B446" s="812"/>
      <c r="C446" s="812"/>
      <c r="D446" s="812"/>
      <c r="E446" s="812"/>
      <c r="F446" s="812"/>
      <c r="G446" s="812"/>
      <c r="H446" s="812"/>
    </row>
    <row r="447" spans="1:8">
      <c r="A447" s="812"/>
      <c r="B447" s="812"/>
      <c r="C447" s="812"/>
      <c r="D447" s="812"/>
      <c r="E447" s="812"/>
      <c r="F447" s="812"/>
      <c r="G447" s="812"/>
      <c r="H447" s="812"/>
    </row>
    <row r="448" spans="1:8">
      <c r="A448" s="812"/>
      <c r="B448" s="812"/>
      <c r="C448" s="812"/>
      <c r="D448" s="812"/>
      <c r="E448" s="812"/>
      <c r="F448" s="812"/>
      <c r="G448" s="812"/>
      <c r="H448" s="812"/>
    </row>
    <row r="449" spans="1:8">
      <c r="A449" s="812"/>
      <c r="B449" s="812"/>
      <c r="C449" s="812"/>
      <c r="D449" s="812"/>
      <c r="E449" s="812"/>
      <c r="F449" s="812"/>
      <c r="G449" s="812"/>
      <c r="H449" s="812"/>
    </row>
    <row r="450" spans="1:8">
      <c r="A450" s="812"/>
      <c r="B450" s="812"/>
      <c r="C450" s="812"/>
      <c r="D450" s="812"/>
      <c r="E450" s="812"/>
      <c r="F450" s="812"/>
      <c r="G450" s="812"/>
      <c r="H450" s="812"/>
    </row>
    <row r="451" spans="1:8">
      <c r="A451" s="812"/>
      <c r="B451" s="812"/>
      <c r="C451" s="812"/>
      <c r="D451" s="812"/>
      <c r="E451" s="812"/>
      <c r="F451" s="812"/>
      <c r="G451" s="812"/>
      <c r="H451" s="812"/>
    </row>
    <row r="452" spans="1:8">
      <c r="A452" s="812"/>
      <c r="B452" s="812"/>
      <c r="C452" s="812"/>
      <c r="D452" s="812"/>
      <c r="E452" s="812"/>
      <c r="F452" s="812"/>
      <c r="G452" s="812"/>
      <c r="H452" s="812"/>
    </row>
    <row r="453" spans="1:8">
      <c r="A453" s="812"/>
      <c r="B453" s="812"/>
      <c r="C453" s="812"/>
      <c r="D453" s="812"/>
      <c r="E453" s="812"/>
      <c r="F453" s="812"/>
      <c r="G453" s="812"/>
      <c r="H453" s="812"/>
    </row>
    <row r="454" spans="1:8">
      <c r="A454" s="812"/>
      <c r="B454" s="812"/>
      <c r="C454" s="812"/>
      <c r="D454" s="812"/>
      <c r="E454" s="812"/>
      <c r="F454" s="812"/>
      <c r="G454" s="812"/>
      <c r="H454" s="812"/>
    </row>
    <row r="455" spans="1:8">
      <c r="A455" s="812"/>
      <c r="B455" s="812"/>
      <c r="C455" s="812"/>
      <c r="D455" s="812"/>
      <c r="E455" s="812"/>
      <c r="F455" s="812"/>
      <c r="G455" s="812"/>
      <c r="H455" s="812"/>
    </row>
    <row r="456" spans="1:8">
      <c r="A456" s="812"/>
      <c r="B456" s="812"/>
      <c r="C456" s="812"/>
      <c r="D456" s="812"/>
      <c r="E456" s="812"/>
      <c r="F456" s="812"/>
      <c r="G456" s="812"/>
      <c r="H456" s="812"/>
    </row>
    <row r="457" spans="1:8">
      <c r="A457" s="812"/>
      <c r="B457" s="812"/>
      <c r="C457" s="812"/>
      <c r="D457" s="812"/>
      <c r="E457" s="812"/>
      <c r="F457" s="812"/>
      <c r="G457" s="812"/>
      <c r="H457" s="812"/>
    </row>
    <row r="458" spans="1:8">
      <c r="A458" s="812"/>
      <c r="B458" s="812"/>
      <c r="C458" s="812"/>
      <c r="D458" s="812"/>
      <c r="E458" s="812"/>
      <c r="F458" s="812"/>
      <c r="G458" s="812"/>
      <c r="H458" s="812"/>
    </row>
    <row r="459" spans="1:8">
      <c r="A459" s="812"/>
      <c r="B459" s="812"/>
      <c r="C459" s="812"/>
      <c r="D459" s="812"/>
      <c r="E459" s="812"/>
      <c r="F459" s="812"/>
      <c r="G459" s="812"/>
      <c r="H459" s="812"/>
    </row>
    <row r="460" spans="1:8">
      <c r="A460" s="812"/>
      <c r="B460" s="812"/>
      <c r="C460" s="812"/>
      <c r="D460" s="812"/>
      <c r="E460" s="812"/>
      <c r="F460" s="812"/>
      <c r="G460" s="812"/>
      <c r="H460" s="812"/>
    </row>
    <row r="461" spans="1:8">
      <c r="A461" s="812"/>
      <c r="B461" s="812"/>
      <c r="C461" s="812"/>
      <c r="D461" s="812"/>
      <c r="E461" s="812"/>
      <c r="F461" s="812"/>
      <c r="G461" s="812"/>
      <c r="H461" s="812"/>
    </row>
    <row r="462" spans="1:8">
      <c r="A462" s="812"/>
      <c r="B462" s="812"/>
      <c r="C462" s="812"/>
      <c r="D462" s="812"/>
      <c r="E462" s="812"/>
      <c r="F462" s="812"/>
      <c r="G462" s="812"/>
      <c r="H462" s="812"/>
    </row>
    <row r="463" spans="1:8">
      <c r="A463" s="812"/>
      <c r="B463" s="812"/>
      <c r="C463" s="812"/>
      <c r="D463" s="812"/>
      <c r="E463" s="812"/>
      <c r="F463" s="812"/>
      <c r="G463" s="812"/>
      <c r="H463" s="812"/>
    </row>
    <row r="464" spans="1:8">
      <c r="A464" s="812"/>
      <c r="B464" s="812"/>
      <c r="C464" s="812"/>
      <c r="D464" s="812"/>
      <c r="E464" s="812"/>
      <c r="F464" s="812"/>
      <c r="G464" s="812"/>
      <c r="H464" s="812"/>
    </row>
    <row r="465" spans="1:8">
      <c r="A465" s="812"/>
      <c r="B465" s="812"/>
      <c r="C465" s="812"/>
      <c r="D465" s="812"/>
      <c r="E465" s="812"/>
      <c r="F465" s="812"/>
      <c r="G465" s="812"/>
      <c r="H465" s="812"/>
    </row>
    <row r="466" spans="1:8">
      <c r="A466" s="812"/>
      <c r="B466" s="812"/>
      <c r="C466" s="812"/>
      <c r="D466" s="812"/>
      <c r="E466" s="812"/>
      <c r="F466" s="812"/>
      <c r="G466" s="812"/>
      <c r="H466" s="812"/>
    </row>
    <row r="467" spans="1:8">
      <c r="A467" s="812"/>
      <c r="B467" s="812"/>
      <c r="C467" s="812"/>
      <c r="D467" s="812"/>
      <c r="E467" s="812"/>
      <c r="F467" s="812"/>
      <c r="G467" s="812"/>
      <c r="H467" s="812"/>
    </row>
    <row r="468" spans="1:8">
      <c r="A468" s="812"/>
      <c r="B468" s="812"/>
      <c r="C468" s="812"/>
      <c r="D468" s="812"/>
      <c r="E468" s="812"/>
      <c r="F468" s="812"/>
      <c r="G468" s="812"/>
      <c r="H468" s="812"/>
    </row>
    <row r="469" spans="1:8">
      <c r="A469" s="812"/>
      <c r="B469" s="812"/>
      <c r="C469" s="812"/>
      <c r="D469" s="812"/>
      <c r="E469" s="812"/>
      <c r="F469" s="812"/>
      <c r="G469" s="812"/>
      <c r="H469" s="812"/>
    </row>
    <row r="470" spans="1:8">
      <c r="A470" s="812"/>
      <c r="B470" s="812"/>
      <c r="C470" s="812"/>
      <c r="D470" s="812"/>
      <c r="E470" s="812"/>
      <c r="F470" s="812"/>
      <c r="G470" s="812"/>
      <c r="H470" s="812"/>
    </row>
    <row r="471" spans="1:8">
      <c r="A471" s="812"/>
      <c r="B471" s="812"/>
      <c r="C471" s="812"/>
      <c r="D471" s="812"/>
      <c r="E471" s="812"/>
      <c r="F471" s="812"/>
      <c r="G471" s="812"/>
      <c r="H471" s="812"/>
    </row>
    <row r="472" spans="1:8">
      <c r="A472" s="812"/>
      <c r="B472" s="812"/>
      <c r="C472" s="812"/>
      <c r="D472" s="812"/>
      <c r="E472" s="812"/>
      <c r="F472" s="812"/>
      <c r="G472" s="812"/>
      <c r="H472" s="812"/>
    </row>
    <row r="473" spans="1:8">
      <c r="A473" s="812"/>
      <c r="B473" s="812"/>
      <c r="C473" s="812"/>
      <c r="D473" s="812"/>
      <c r="E473" s="812"/>
      <c r="F473" s="812"/>
      <c r="G473" s="812"/>
      <c r="H473" s="812"/>
    </row>
    <row r="474" spans="1:8">
      <c r="A474" s="812"/>
      <c r="B474" s="812"/>
      <c r="C474" s="812"/>
      <c r="D474" s="812"/>
      <c r="E474" s="812"/>
      <c r="F474" s="812"/>
      <c r="G474" s="812"/>
      <c r="H474" s="812"/>
    </row>
    <row r="475" spans="1:8">
      <c r="A475" s="812"/>
      <c r="B475" s="812"/>
      <c r="C475" s="812"/>
      <c r="D475" s="812"/>
      <c r="E475" s="812"/>
      <c r="F475" s="812"/>
      <c r="G475" s="812"/>
      <c r="H475" s="812"/>
    </row>
    <row r="476" spans="1:8">
      <c r="A476" s="812"/>
      <c r="B476" s="812"/>
      <c r="C476" s="812"/>
      <c r="D476" s="812"/>
      <c r="E476" s="812"/>
      <c r="F476" s="812"/>
      <c r="G476" s="812"/>
      <c r="H476" s="812"/>
    </row>
    <row r="477" spans="1:8">
      <c r="A477" s="812"/>
      <c r="B477" s="812"/>
      <c r="C477" s="812"/>
      <c r="D477" s="812"/>
      <c r="E477" s="812"/>
      <c r="F477" s="812"/>
      <c r="G477" s="812"/>
      <c r="H477" s="812"/>
    </row>
    <row r="478" spans="1:8">
      <c r="A478" s="812"/>
      <c r="B478" s="812"/>
      <c r="C478" s="812"/>
      <c r="D478" s="812"/>
      <c r="E478" s="812"/>
      <c r="F478" s="812"/>
      <c r="G478" s="812"/>
      <c r="H478" s="812"/>
    </row>
    <row r="479" spans="1:8">
      <c r="A479" s="812"/>
      <c r="B479" s="812"/>
      <c r="C479" s="812"/>
      <c r="D479" s="812"/>
      <c r="E479" s="812"/>
      <c r="F479" s="812"/>
      <c r="G479" s="812"/>
      <c r="H479" s="812"/>
    </row>
    <row r="480" spans="1:8">
      <c r="A480" s="812"/>
      <c r="B480" s="812"/>
      <c r="C480" s="812"/>
      <c r="D480" s="812"/>
      <c r="E480" s="812"/>
      <c r="F480" s="812"/>
      <c r="G480" s="812"/>
      <c r="H480" s="812"/>
    </row>
    <row r="481" spans="1:8">
      <c r="A481" s="812"/>
      <c r="B481" s="812"/>
      <c r="C481" s="812"/>
      <c r="D481" s="812"/>
      <c r="E481" s="812"/>
      <c r="F481" s="812"/>
      <c r="G481" s="812"/>
      <c r="H481" s="812"/>
    </row>
    <row r="482" spans="1:8">
      <c r="A482" s="812"/>
      <c r="B482" s="812"/>
      <c r="C482" s="812"/>
      <c r="D482" s="812"/>
      <c r="E482" s="812"/>
      <c r="F482" s="812"/>
      <c r="G482" s="812"/>
      <c r="H482" s="812"/>
    </row>
    <row r="483" spans="1:8">
      <c r="A483" s="812"/>
      <c r="B483" s="812"/>
      <c r="C483" s="812"/>
      <c r="D483" s="812"/>
      <c r="E483" s="812"/>
      <c r="F483" s="812"/>
      <c r="G483" s="812"/>
      <c r="H483" s="812"/>
    </row>
    <row r="484" spans="1:8">
      <c r="A484" s="812"/>
      <c r="B484" s="812"/>
      <c r="C484" s="812"/>
      <c r="D484" s="812"/>
      <c r="E484" s="812"/>
      <c r="F484" s="812"/>
      <c r="G484" s="812"/>
      <c r="H484" s="812"/>
    </row>
    <row r="485" spans="1:8">
      <c r="A485" s="812"/>
      <c r="B485" s="812"/>
      <c r="C485" s="812"/>
      <c r="D485" s="812"/>
      <c r="E485" s="812"/>
      <c r="F485" s="812"/>
      <c r="G485" s="812"/>
      <c r="H485" s="812"/>
    </row>
    <row r="486" spans="1:8">
      <c r="A486" s="812"/>
      <c r="B486" s="812"/>
      <c r="C486" s="812"/>
      <c r="D486" s="812"/>
      <c r="E486" s="812"/>
      <c r="F486" s="812"/>
      <c r="G486" s="812"/>
      <c r="H486" s="812"/>
    </row>
    <row r="487" spans="1:8">
      <c r="A487" s="812"/>
      <c r="B487" s="812"/>
      <c r="C487" s="812"/>
      <c r="D487" s="812"/>
      <c r="E487" s="812"/>
      <c r="F487" s="812"/>
      <c r="G487" s="812"/>
      <c r="H487" s="812"/>
    </row>
    <row r="488" spans="1:8">
      <c r="A488" s="812"/>
      <c r="B488" s="812"/>
      <c r="C488" s="812"/>
      <c r="D488" s="812"/>
      <c r="E488" s="812"/>
      <c r="F488" s="812"/>
      <c r="G488" s="812"/>
      <c r="H488" s="812"/>
    </row>
    <row r="489" spans="1:8">
      <c r="A489" s="812"/>
      <c r="B489" s="812"/>
      <c r="C489" s="812"/>
      <c r="D489" s="812"/>
      <c r="E489" s="812"/>
      <c r="F489" s="812"/>
      <c r="G489" s="812"/>
      <c r="H489" s="812"/>
    </row>
    <row r="490" spans="1:8">
      <c r="A490" s="812"/>
      <c r="B490" s="812"/>
      <c r="C490" s="812"/>
      <c r="D490" s="812"/>
      <c r="E490" s="812"/>
      <c r="F490" s="812"/>
      <c r="G490" s="812"/>
      <c r="H490" s="812"/>
    </row>
    <row r="491" spans="1:8">
      <c r="A491" s="812"/>
      <c r="B491" s="812"/>
      <c r="C491" s="812"/>
      <c r="D491" s="812"/>
      <c r="E491" s="812"/>
      <c r="F491" s="812"/>
      <c r="G491" s="812"/>
      <c r="H491" s="812"/>
    </row>
    <row r="492" spans="1:8">
      <c r="A492" s="812"/>
      <c r="B492" s="812"/>
      <c r="C492" s="812"/>
      <c r="D492" s="812"/>
      <c r="E492" s="812"/>
      <c r="F492" s="812"/>
      <c r="G492" s="812"/>
      <c r="H492" s="812"/>
    </row>
    <row r="493" spans="1:8">
      <c r="A493" s="812"/>
      <c r="B493" s="812"/>
      <c r="C493" s="812"/>
      <c r="D493" s="812"/>
      <c r="E493" s="812"/>
      <c r="F493" s="812"/>
      <c r="G493" s="812"/>
      <c r="H493" s="812"/>
    </row>
    <row r="494" spans="1:8">
      <c r="A494" s="812"/>
      <c r="B494" s="812"/>
      <c r="C494" s="812"/>
      <c r="D494" s="812"/>
      <c r="E494" s="812"/>
      <c r="F494" s="812"/>
      <c r="G494" s="812"/>
      <c r="H494" s="812"/>
    </row>
    <row r="495" spans="1:8">
      <c r="A495" s="812"/>
      <c r="B495" s="812"/>
      <c r="C495" s="812"/>
      <c r="D495" s="812"/>
      <c r="E495" s="812"/>
      <c r="F495" s="812"/>
      <c r="G495" s="812"/>
      <c r="H495" s="812"/>
    </row>
    <row r="496" spans="1:8">
      <c r="A496" s="812"/>
      <c r="B496" s="812"/>
      <c r="C496" s="812"/>
      <c r="D496" s="812"/>
      <c r="E496" s="812"/>
      <c r="F496" s="812"/>
      <c r="G496" s="812"/>
      <c r="H496" s="812"/>
    </row>
    <row r="497" spans="1:8">
      <c r="A497" s="812"/>
      <c r="B497" s="812"/>
      <c r="C497" s="812"/>
      <c r="D497" s="812"/>
      <c r="E497" s="812"/>
      <c r="F497" s="812"/>
      <c r="G497" s="812"/>
      <c r="H497" s="812"/>
    </row>
    <row r="498" spans="1:8">
      <c r="A498" s="812"/>
      <c r="B498" s="812"/>
      <c r="C498" s="812"/>
      <c r="D498" s="812"/>
      <c r="E498" s="812"/>
      <c r="F498" s="812"/>
      <c r="G498" s="812"/>
      <c r="H498" s="812"/>
    </row>
    <row r="499" spans="1:8">
      <c r="A499" s="812"/>
      <c r="B499" s="812"/>
      <c r="C499" s="812"/>
      <c r="D499" s="812"/>
      <c r="E499" s="812"/>
      <c r="F499" s="812"/>
      <c r="G499" s="812"/>
      <c r="H499" s="812"/>
    </row>
    <row r="500" spans="1:8">
      <c r="A500" s="812"/>
      <c r="B500" s="812"/>
      <c r="C500" s="812"/>
      <c r="D500" s="812"/>
      <c r="E500" s="812"/>
      <c r="F500" s="812"/>
      <c r="G500" s="812"/>
      <c r="H500" s="812"/>
    </row>
    <row r="501" spans="1:8">
      <c r="A501" s="812"/>
      <c r="B501" s="812"/>
      <c r="C501" s="812"/>
      <c r="D501" s="812"/>
      <c r="E501" s="812"/>
      <c r="F501" s="812"/>
      <c r="G501" s="812"/>
      <c r="H501" s="812"/>
    </row>
    <row r="502" spans="1:8">
      <c r="A502" s="812"/>
      <c r="B502" s="812"/>
      <c r="C502" s="812"/>
      <c r="D502" s="812"/>
      <c r="E502" s="812"/>
      <c r="F502" s="812"/>
      <c r="G502" s="812"/>
      <c r="H502" s="812"/>
    </row>
    <row r="503" spans="1:8">
      <c r="A503" s="812"/>
      <c r="B503" s="812"/>
      <c r="C503" s="812"/>
      <c r="D503" s="812"/>
      <c r="E503" s="812"/>
      <c r="F503" s="812"/>
      <c r="G503" s="812"/>
      <c r="H503" s="812"/>
    </row>
    <row r="504" spans="1:8">
      <c r="A504" s="812"/>
      <c r="B504" s="812"/>
      <c r="C504" s="812"/>
      <c r="D504" s="812"/>
      <c r="E504" s="812"/>
      <c r="F504" s="812"/>
      <c r="G504" s="812"/>
      <c r="H504" s="812"/>
    </row>
    <row r="505" spans="1:8">
      <c r="A505" s="812"/>
      <c r="B505" s="812"/>
      <c r="C505" s="812"/>
      <c r="D505" s="812"/>
      <c r="E505" s="812"/>
      <c r="F505" s="812"/>
      <c r="G505" s="812"/>
      <c r="H505" s="812"/>
    </row>
    <row r="506" spans="1:8">
      <c r="A506" s="812"/>
      <c r="B506" s="812"/>
      <c r="C506" s="812"/>
      <c r="D506" s="812"/>
      <c r="E506" s="812"/>
      <c r="F506" s="812"/>
      <c r="G506" s="812"/>
      <c r="H506" s="812"/>
    </row>
    <row r="507" spans="1:8">
      <c r="A507" s="812"/>
      <c r="B507" s="812"/>
      <c r="C507" s="812"/>
      <c r="D507" s="812"/>
      <c r="E507" s="812"/>
      <c r="F507" s="812"/>
      <c r="G507" s="812"/>
      <c r="H507" s="812"/>
    </row>
    <row r="508" spans="1:8">
      <c r="A508" s="812"/>
      <c r="B508" s="812"/>
      <c r="C508" s="812"/>
      <c r="D508" s="812"/>
      <c r="E508" s="812"/>
      <c r="F508" s="812"/>
      <c r="G508" s="812"/>
      <c r="H508" s="812"/>
    </row>
    <row r="509" spans="1:8">
      <c r="A509" s="812"/>
      <c r="B509" s="812"/>
      <c r="C509" s="812"/>
      <c r="D509" s="812"/>
      <c r="E509" s="812"/>
      <c r="F509" s="812"/>
      <c r="G509" s="812"/>
      <c r="H509" s="812"/>
    </row>
    <row r="510" spans="1:8">
      <c r="A510" s="812"/>
      <c r="B510" s="812"/>
      <c r="C510" s="812"/>
      <c r="D510" s="812"/>
      <c r="E510" s="812"/>
      <c r="F510" s="812"/>
      <c r="G510" s="812"/>
      <c r="H510" s="812"/>
    </row>
    <row r="511" spans="1:8">
      <c r="A511" s="812"/>
      <c r="B511" s="812"/>
      <c r="C511" s="812"/>
      <c r="D511" s="812"/>
      <c r="E511" s="812"/>
      <c r="F511" s="812"/>
      <c r="G511" s="812"/>
      <c r="H511" s="812"/>
    </row>
    <row r="512" spans="1:8">
      <c r="A512" s="812"/>
      <c r="B512" s="812"/>
      <c r="C512" s="812"/>
      <c r="D512" s="812"/>
      <c r="E512" s="812"/>
      <c r="F512" s="812"/>
      <c r="G512" s="812"/>
      <c r="H512" s="812"/>
    </row>
    <row r="513" spans="1:8">
      <c r="A513" s="812"/>
      <c r="B513" s="812"/>
      <c r="C513" s="812"/>
      <c r="D513" s="812"/>
      <c r="E513" s="812"/>
      <c r="F513" s="812"/>
      <c r="G513" s="812"/>
      <c r="H513" s="812"/>
    </row>
    <row r="514" spans="1:8">
      <c r="A514" s="812"/>
      <c r="B514" s="812"/>
      <c r="C514" s="812"/>
      <c r="D514" s="812"/>
      <c r="E514" s="812"/>
      <c r="F514" s="812"/>
      <c r="G514" s="812"/>
      <c r="H514" s="812"/>
    </row>
    <row r="515" spans="1:8">
      <c r="A515" s="812"/>
      <c r="B515" s="812"/>
      <c r="C515" s="812"/>
      <c r="D515" s="812"/>
      <c r="E515" s="812"/>
      <c r="F515" s="812"/>
      <c r="G515" s="812"/>
      <c r="H515" s="812"/>
    </row>
    <row r="516" spans="1:8">
      <c r="A516" s="812"/>
      <c r="B516" s="812"/>
      <c r="C516" s="812"/>
      <c r="D516" s="812"/>
      <c r="E516" s="812"/>
      <c r="F516" s="812"/>
      <c r="G516" s="812"/>
      <c r="H516" s="812"/>
    </row>
    <row r="517" spans="1:8">
      <c r="A517" s="812"/>
      <c r="B517" s="812"/>
      <c r="C517" s="812"/>
      <c r="D517" s="812"/>
      <c r="E517" s="812"/>
      <c r="F517" s="812"/>
      <c r="G517" s="812"/>
      <c r="H517" s="812"/>
    </row>
    <row r="518" spans="1:8">
      <c r="A518" s="812"/>
      <c r="B518" s="812"/>
      <c r="C518" s="812"/>
      <c r="D518" s="812"/>
      <c r="E518" s="812"/>
      <c r="F518" s="812"/>
      <c r="G518" s="812"/>
      <c r="H518" s="812"/>
    </row>
    <row r="519" spans="1:8">
      <c r="A519" s="812"/>
      <c r="B519" s="812"/>
      <c r="C519" s="812"/>
      <c r="D519" s="812"/>
      <c r="E519" s="812"/>
      <c r="F519" s="812"/>
      <c r="G519" s="812"/>
      <c r="H519" s="812"/>
    </row>
    <row r="520" spans="1:8">
      <c r="A520" s="812"/>
      <c r="B520" s="812"/>
      <c r="C520" s="812"/>
      <c r="D520" s="812"/>
      <c r="E520" s="812"/>
      <c r="F520" s="812"/>
      <c r="G520" s="812"/>
      <c r="H520" s="812"/>
    </row>
    <row r="521" spans="1:8">
      <c r="A521" s="812"/>
      <c r="B521" s="812"/>
      <c r="C521" s="812"/>
      <c r="D521" s="812"/>
      <c r="E521" s="812"/>
      <c r="F521" s="812"/>
      <c r="G521" s="812"/>
      <c r="H521" s="812"/>
    </row>
    <row r="522" spans="1:8">
      <c r="A522" s="812"/>
      <c r="B522" s="812"/>
      <c r="C522" s="812"/>
      <c r="D522" s="812"/>
      <c r="E522" s="812"/>
      <c r="F522" s="812"/>
      <c r="G522" s="812"/>
      <c r="H522" s="812"/>
    </row>
    <row r="523" spans="1:8">
      <c r="A523" s="812"/>
      <c r="B523" s="812"/>
      <c r="C523" s="812"/>
      <c r="D523" s="812"/>
      <c r="E523" s="812"/>
      <c r="F523" s="812"/>
      <c r="G523" s="812"/>
      <c r="H523" s="812"/>
    </row>
    <row r="524" spans="1:8">
      <c r="A524" s="812"/>
      <c r="B524" s="812"/>
      <c r="C524" s="812"/>
      <c r="D524" s="812"/>
      <c r="E524" s="812"/>
      <c r="F524" s="812"/>
      <c r="G524" s="812"/>
      <c r="H524" s="812"/>
    </row>
    <row r="525" spans="1:8">
      <c r="A525" s="812"/>
      <c r="B525" s="812"/>
      <c r="C525" s="812"/>
      <c r="D525" s="812"/>
      <c r="E525" s="812"/>
      <c r="F525" s="812"/>
      <c r="G525" s="812"/>
      <c r="H525" s="812"/>
    </row>
    <row r="526" spans="1:8">
      <c r="A526" s="812"/>
      <c r="B526" s="812"/>
      <c r="C526" s="812"/>
      <c r="D526" s="812"/>
      <c r="E526" s="812"/>
      <c r="F526" s="812"/>
      <c r="G526" s="812"/>
      <c r="H526" s="812"/>
    </row>
    <row r="527" spans="1:8">
      <c r="A527" s="812"/>
      <c r="B527" s="812"/>
      <c r="C527" s="812"/>
      <c r="D527" s="812"/>
      <c r="E527" s="812"/>
      <c r="F527" s="812"/>
      <c r="G527" s="812"/>
      <c r="H527" s="812"/>
    </row>
    <row r="528" spans="1:8">
      <c r="A528" s="812"/>
      <c r="B528" s="812"/>
      <c r="C528" s="812"/>
      <c r="D528" s="812"/>
      <c r="E528" s="812"/>
      <c r="F528" s="812"/>
      <c r="G528" s="812"/>
      <c r="H528" s="812"/>
    </row>
    <row r="529" spans="1:8">
      <c r="A529" s="812"/>
      <c r="B529" s="812"/>
      <c r="C529" s="812"/>
      <c r="D529" s="812"/>
      <c r="E529" s="812"/>
      <c r="F529" s="812"/>
      <c r="G529" s="812"/>
      <c r="H529" s="812"/>
    </row>
    <row r="530" spans="1:8">
      <c r="A530" s="812"/>
      <c r="B530" s="812"/>
      <c r="C530" s="812"/>
      <c r="D530" s="812"/>
      <c r="E530" s="812"/>
      <c r="F530" s="812"/>
      <c r="G530" s="812"/>
      <c r="H530" s="812"/>
    </row>
    <row r="531" spans="1:8">
      <c r="A531" s="812"/>
      <c r="B531" s="812"/>
      <c r="C531" s="812"/>
      <c r="D531" s="812"/>
      <c r="E531" s="812"/>
      <c r="F531" s="812"/>
      <c r="G531" s="812"/>
      <c r="H531" s="812"/>
    </row>
    <row r="532" spans="1:8">
      <c r="A532" s="812"/>
      <c r="B532" s="812"/>
      <c r="C532" s="812"/>
      <c r="D532" s="812"/>
      <c r="E532" s="812"/>
      <c r="F532" s="812"/>
      <c r="G532" s="812"/>
      <c r="H532" s="812"/>
    </row>
    <row r="533" spans="1:8">
      <c r="A533" s="812"/>
      <c r="B533" s="812"/>
      <c r="C533" s="812"/>
      <c r="D533" s="812"/>
      <c r="E533" s="812"/>
      <c r="F533" s="812"/>
      <c r="G533" s="812"/>
      <c r="H533" s="812"/>
    </row>
    <row r="534" spans="1:8">
      <c r="A534" s="812"/>
      <c r="B534" s="812"/>
      <c r="C534" s="812"/>
      <c r="D534" s="812"/>
      <c r="E534" s="812"/>
      <c r="F534" s="812"/>
      <c r="G534" s="812"/>
      <c r="H534" s="812"/>
    </row>
    <row r="535" spans="1:8">
      <c r="A535" s="812"/>
      <c r="B535" s="812"/>
      <c r="C535" s="812"/>
      <c r="D535" s="812"/>
      <c r="E535" s="812"/>
      <c r="F535" s="812"/>
      <c r="G535" s="812"/>
      <c r="H535" s="812"/>
    </row>
    <row r="536" spans="1:8">
      <c r="A536" s="812"/>
      <c r="B536" s="812"/>
      <c r="C536" s="812"/>
      <c r="D536" s="812"/>
      <c r="E536" s="812"/>
      <c r="F536" s="812"/>
      <c r="G536" s="812"/>
      <c r="H536" s="812"/>
    </row>
    <row r="537" spans="1:8">
      <c r="A537" s="812"/>
      <c r="B537" s="812"/>
      <c r="C537" s="812"/>
      <c r="D537" s="812"/>
      <c r="E537" s="812"/>
      <c r="F537" s="812"/>
      <c r="G537" s="812"/>
      <c r="H537" s="812"/>
    </row>
    <row r="538" spans="1:8">
      <c r="A538" s="812"/>
      <c r="B538" s="812"/>
      <c r="C538" s="812"/>
      <c r="D538" s="812"/>
      <c r="E538" s="812"/>
      <c r="F538" s="812"/>
      <c r="G538" s="812"/>
      <c r="H538" s="812"/>
    </row>
    <row r="539" spans="1:8">
      <c r="A539" s="812"/>
      <c r="B539" s="812"/>
      <c r="C539" s="812"/>
      <c r="D539" s="812"/>
      <c r="E539" s="812"/>
      <c r="F539" s="812"/>
      <c r="G539" s="812"/>
      <c r="H539" s="812"/>
    </row>
    <row r="540" spans="1:8">
      <c r="A540" s="812"/>
      <c r="B540" s="812"/>
      <c r="C540" s="812"/>
      <c r="D540" s="812"/>
      <c r="E540" s="812"/>
      <c r="F540" s="812"/>
      <c r="G540" s="812"/>
      <c r="H540" s="812"/>
    </row>
    <row r="541" spans="1:8">
      <c r="A541" s="812"/>
      <c r="B541" s="812"/>
      <c r="C541" s="812"/>
      <c r="D541" s="812"/>
      <c r="E541" s="812"/>
      <c r="F541" s="812"/>
      <c r="G541" s="812"/>
      <c r="H541" s="812"/>
    </row>
    <row r="542" spans="1:8">
      <c r="A542" s="812"/>
      <c r="B542" s="812"/>
      <c r="C542" s="812"/>
      <c r="D542" s="812"/>
      <c r="E542" s="812"/>
      <c r="F542" s="812"/>
      <c r="G542" s="812"/>
      <c r="H542" s="812"/>
    </row>
    <row r="543" spans="1:8">
      <c r="A543" s="812"/>
      <c r="B543" s="812"/>
      <c r="C543" s="812"/>
      <c r="D543" s="812"/>
      <c r="E543" s="812"/>
      <c r="F543" s="812"/>
      <c r="G543" s="812"/>
      <c r="H543" s="812"/>
    </row>
    <row r="544" spans="1:8">
      <c r="A544" s="812"/>
      <c r="B544" s="812"/>
      <c r="C544" s="812"/>
      <c r="D544" s="812"/>
      <c r="E544" s="812"/>
      <c r="F544" s="812"/>
      <c r="G544" s="812"/>
      <c r="H544" s="812"/>
    </row>
    <row r="545" spans="1:8">
      <c r="A545" s="812"/>
      <c r="B545" s="812"/>
      <c r="C545" s="812"/>
      <c r="D545" s="812"/>
      <c r="E545" s="812"/>
      <c r="F545" s="812"/>
      <c r="G545" s="812"/>
      <c r="H545" s="812"/>
    </row>
    <row r="546" spans="1:8">
      <c r="A546" s="812"/>
      <c r="B546" s="812"/>
      <c r="C546" s="812"/>
      <c r="D546" s="812"/>
      <c r="E546" s="812"/>
      <c r="F546" s="812"/>
      <c r="G546" s="812"/>
      <c r="H546" s="812"/>
    </row>
    <row r="547" spans="1:8">
      <c r="A547" s="812"/>
      <c r="B547" s="812"/>
      <c r="C547" s="812"/>
      <c r="D547" s="812"/>
      <c r="E547" s="812"/>
      <c r="F547" s="812"/>
      <c r="G547" s="812"/>
      <c r="H547" s="812"/>
    </row>
    <row r="548" spans="1:8">
      <c r="A548" s="812"/>
      <c r="B548" s="812"/>
      <c r="C548" s="812"/>
      <c r="D548" s="812"/>
      <c r="E548" s="812"/>
      <c r="F548" s="812"/>
      <c r="G548" s="812"/>
      <c r="H548" s="812"/>
    </row>
    <row r="549" spans="1:8">
      <c r="A549" s="812"/>
      <c r="B549" s="812"/>
      <c r="C549" s="812"/>
      <c r="D549" s="812"/>
      <c r="E549" s="812"/>
      <c r="F549" s="812"/>
      <c r="G549" s="812"/>
      <c r="H549" s="812"/>
    </row>
    <row r="550" spans="1:8">
      <c r="A550" s="812"/>
      <c r="B550" s="812"/>
      <c r="C550" s="812"/>
      <c r="D550" s="812"/>
      <c r="E550" s="812"/>
      <c r="F550" s="812"/>
      <c r="G550" s="812"/>
      <c r="H550" s="812"/>
    </row>
    <row r="551" spans="1:8">
      <c r="A551" s="812"/>
      <c r="B551" s="812"/>
      <c r="C551" s="812"/>
      <c r="D551" s="812"/>
      <c r="E551" s="812"/>
      <c r="F551" s="812"/>
      <c r="G551" s="812"/>
      <c r="H551" s="812"/>
    </row>
    <row r="552" spans="1:8">
      <c r="A552" s="812"/>
      <c r="B552" s="812"/>
      <c r="C552" s="812"/>
      <c r="D552" s="812"/>
      <c r="E552" s="812"/>
      <c r="F552" s="812"/>
      <c r="G552" s="812"/>
      <c r="H552" s="812"/>
    </row>
    <row r="553" spans="1:8">
      <c r="A553" s="812"/>
      <c r="B553" s="812"/>
      <c r="C553" s="812"/>
      <c r="D553" s="812"/>
      <c r="E553" s="812"/>
      <c r="F553" s="812"/>
      <c r="G553" s="812"/>
      <c r="H553" s="812"/>
    </row>
    <row r="554" spans="1:8">
      <c r="A554" s="812"/>
      <c r="B554" s="812"/>
      <c r="C554" s="812"/>
      <c r="D554" s="812"/>
      <c r="E554" s="812"/>
      <c r="F554" s="812"/>
      <c r="G554" s="812"/>
      <c r="H554" s="812"/>
    </row>
    <row r="555" spans="1:8">
      <c r="A555" s="812"/>
      <c r="B555" s="812"/>
      <c r="C555" s="812"/>
      <c r="D555" s="812"/>
      <c r="E555" s="812"/>
      <c r="F555" s="812"/>
      <c r="G555" s="812"/>
      <c r="H555" s="812"/>
    </row>
    <row r="556" spans="1:8">
      <c r="A556" s="812"/>
      <c r="B556" s="812"/>
      <c r="C556" s="812"/>
      <c r="D556" s="812"/>
      <c r="E556" s="812"/>
      <c r="F556" s="812"/>
      <c r="G556" s="812"/>
      <c r="H556" s="812"/>
    </row>
    <row r="557" spans="1:8">
      <c r="A557" s="812"/>
      <c r="B557" s="812"/>
      <c r="C557" s="812"/>
      <c r="D557" s="812"/>
      <c r="E557" s="812"/>
      <c r="F557" s="812"/>
      <c r="G557" s="812"/>
      <c r="H557" s="812"/>
    </row>
    <row r="558" spans="1:8">
      <c r="A558" s="812"/>
      <c r="B558" s="812"/>
      <c r="C558" s="812"/>
      <c r="D558" s="812"/>
      <c r="E558" s="812"/>
      <c r="F558" s="812"/>
      <c r="G558" s="812"/>
      <c r="H558" s="812"/>
    </row>
    <row r="559" spans="1:8">
      <c r="A559" s="812"/>
      <c r="B559" s="812"/>
      <c r="C559" s="812"/>
      <c r="D559" s="812"/>
      <c r="E559" s="812"/>
      <c r="F559" s="812"/>
      <c r="G559" s="812"/>
      <c r="H559" s="812"/>
    </row>
    <row r="560" spans="1:8">
      <c r="A560" s="812"/>
      <c r="B560" s="812"/>
      <c r="C560" s="812"/>
      <c r="D560" s="812"/>
      <c r="E560" s="812"/>
      <c r="F560" s="812"/>
      <c r="G560" s="812"/>
      <c r="H560" s="812"/>
    </row>
    <row r="561" spans="1:8">
      <c r="A561" s="812"/>
      <c r="B561" s="812"/>
      <c r="C561" s="812"/>
      <c r="D561" s="812"/>
      <c r="E561" s="812"/>
      <c r="F561" s="812"/>
      <c r="G561" s="812"/>
      <c r="H561" s="812"/>
    </row>
    <row r="562" spans="1:8">
      <c r="A562" s="812"/>
      <c r="B562" s="812"/>
      <c r="C562" s="812"/>
      <c r="D562" s="812"/>
      <c r="E562" s="812"/>
      <c r="F562" s="812"/>
      <c r="G562" s="812"/>
      <c r="H562" s="812"/>
    </row>
    <row r="563" spans="1:8">
      <c r="A563" s="812"/>
      <c r="B563" s="812"/>
      <c r="C563" s="812"/>
      <c r="D563" s="812"/>
      <c r="E563" s="812"/>
      <c r="F563" s="812"/>
      <c r="G563" s="812"/>
      <c r="H563" s="812"/>
    </row>
    <row r="564" spans="1:8">
      <c r="A564" s="812"/>
      <c r="B564" s="812"/>
      <c r="C564" s="812"/>
      <c r="D564" s="812"/>
      <c r="E564" s="812"/>
      <c r="F564" s="812"/>
      <c r="G564" s="812"/>
      <c r="H564" s="812"/>
    </row>
    <row r="565" spans="1:8">
      <c r="A565" s="812"/>
      <c r="B565" s="812"/>
      <c r="C565" s="812"/>
      <c r="D565" s="812"/>
      <c r="E565" s="812"/>
      <c r="F565" s="812"/>
      <c r="G565" s="812"/>
      <c r="H565" s="812"/>
    </row>
    <row r="566" spans="1:8">
      <c r="A566" s="812"/>
      <c r="B566" s="812"/>
      <c r="C566" s="812"/>
      <c r="D566" s="812"/>
      <c r="E566" s="812"/>
      <c r="F566" s="812"/>
      <c r="G566" s="812"/>
      <c r="H566" s="812"/>
    </row>
    <row r="567" spans="1:8">
      <c r="A567" s="812"/>
      <c r="B567" s="812"/>
      <c r="C567" s="812"/>
      <c r="D567" s="812"/>
      <c r="E567" s="812"/>
      <c r="F567" s="812"/>
      <c r="G567" s="812"/>
      <c r="H567" s="812"/>
    </row>
    <row r="568" spans="1:8">
      <c r="A568" s="812"/>
      <c r="B568" s="812"/>
      <c r="C568" s="812"/>
      <c r="D568" s="812"/>
      <c r="E568" s="812"/>
      <c r="F568" s="812"/>
      <c r="G568" s="812"/>
      <c r="H568" s="812"/>
    </row>
    <row r="569" spans="1:8">
      <c r="A569" s="812"/>
      <c r="B569" s="812"/>
      <c r="C569" s="812"/>
      <c r="D569" s="812"/>
      <c r="E569" s="812"/>
      <c r="F569" s="812"/>
      <c r="G569" s="812"/>
      <c r="H569" s="812"/>
    </row>
    <row r="570" spans="1:8">
      <c r="A570" s="812"/>
      <c r="B570" s="812"/>
      <c r="C570" s="812"/>
      <c r="D570" s="812"/>
      <c r="E570" s="812"/>
      <c r="F570" s="812"/>
      <c r="G570" s="812"/>
      <c r="H570" s="812"/>
    </row>
    <row r="571" spans="1:8">
      <c r="A571" s="812"/>
      <c r="B571" s="812"/>
      <c r="C571" s="812"/>
      <c r="D571" s="812"/>
      <c r="E571" s="812"/>
      <c r="F571" s="812"/>
      <c r="G571" s="812"/>
      <c r="H571" s="812"/>
    </row>
    <row r="572" spans="1:8">
      <c r="A572" s="812"/>
      <c r="B572" s="812"/>
      <c r="C572" s="812"/>
      <c r="D572" s="812"/>
      <c r="E572" s="812"/>
      <c r="F572" s="812"/>
      <c r="G572" s="812"/>
      <c r="H572" s="812"/>
    </row>
    <row r="573" spans="1:8">
      <c r="A573" s="812"/>
      <c r="B573" s="812"/>
      <c r="C573" s="812"/>
      <c r="D573" s="812"/>
      <c r="E573" s="812"/>
      <c r="F573" s="812"/>
      <c r="G573" s="812"/>
      <c r="H573" s="812"/>
    </row>
    <row r="574" spans="1:8">
      <c r="A574" s="812"/>
      <c r="B574" s="812"/>
      <c r="C574" s="812"/>
      <c r="D574" s="812"/>
      <c r="E574" s="812"/>
      <c r="F574" s="812"/>
      <c r="G574" s="812"/>
      <c r="H574" s="812"/>
    </row>
    <row r="575" spans="1:8">
      <c r="A575" s="812"/>
      <c r="B575" s="812"/>
      <c r="C575" s="812"/>
      <c r="D575" s="812"/>
      <c r="E575" s="812"/>
      <c r="F575" s="812"/>
      <c r="G575" s="812"/>
      <c r="H575" s="812"/>
    </row>
    <row r="576" spans="1:8">
      <c r="A576" s="812"/>
      <c r="B576" s="812"/>
      <c r="C576" s="812"/>
      <c r="D576" s="812"/>
      <c r="E576" s="812"/>
      <c r="F576" s="812"/>
      <c r="G576" s="812"/>
      <c r="H576" s="812"/>
    </row>
    <row r="577" spans="1:8">
      <c r="A577" s="812"/>
      <c r="B577" s="812"/>
      <c r="C577" s="812"/>
      <c r="D577" s="812"/>
      <c r="E577" s="812"/>
      <c r="F577" s="812"/>
      <c r="G577" s="812"/>
      <c r="H577" s="812"/>
    </row>
    <row r="578" spans="1:8">
      <c r="A578" s="812"/>
      <c r="B578" s="812"/>
      <c r="C578" s="812"/>
      <c r="D578" s="812"/>
      <c r="E578" s="812"/>
      <c r="F578" s="812"/>
      <c r="G578" s="812"/>
      <c r="H578" s="812"/>
    </row>
    <row r="579" spans="1:8">
      <c r="A579" s="812"/>
      <c r="B579" s="812"/>
      <c r="C579" s="812"/>
      <c r="D579" s="812"/>
      <c r="E579" s="812"/>
      <c r="F579" s="812"/>
      <c r="G579" s="812"/>
      <c r="H579" s="812"/>
    </row>
    <row r="580" spans="1:8">
      <c r="A580" s="812"/>
      <c r="B580" s="812"/>
      <c r="C580" s="812"/>
      <c r="D580" s="812"/>
      <c r="E580" s="812"/>
      <c r="F580" s="812"/>
      <c r="G580" s="812"/>
      <c r="H580" s="812"/>
    </row>
    <row r="581" spans="1:8">
      <c r="A581" s="812"/>
      <c r="B581" s="812"/>
      <c r="C581" s="812"/>
      <c r="D581" s="812"/>
      <c r="E581" s="812"/>
      <c r="F581" s="812"/>
      <c r="G581" s="812"/>
      <c r="H581" s="812"/>
    </row>
    <row r="582" spans="1:8">
      <c r="A582" s="812"/>
      <c r="B582" s="812"/>
      <c r="C582" s="812"/>
      <c r="D582" s="812"/>
      <c r="E582" s="812"/>
      <c r="F582" s="812"/>
      <c r="G582" s="812"/>
      <c r="H582" s="812"/>
    </row>
    <row r="583" spans="1:8">
      <c r="A583" s="812"/>
      <c r="B583" s="812"/>
      <c r="C583" s="812"/>
      <c r="D583" s="812"/>
      <c r="E583" s="812"/>
      <c r="F583" s="812"/>
      <c r="G583" s="812"/>
      <c r="H583" s="812"/>
    </row>
    <row r="584" spans="1:8">
      <c r="A584" s="812"/>
      <c r="B584" s="812"/>
      <c r="C584" s="812"/>
      <c r="D584" s="812"/>
      <c r="E584" s="812"/>
      <c r="F584" s="812"/>
      <c r="G584" s="812"/>
      <c r="H584" s="812"/>
    </row>
    <row r="585" spans="1:8">
      <c r="A585" s="812"/>
      <c r="B585" s="812"/>
      <c r="C585" s="812"/>
      <c r="D585" s="812"/>
      <c r="E585" s="812"/>
      <c r="F585" s="812"/>
      <c r="G585" s="812"/>
      <c r="H585" s="812"/>
    </row>
    <row r="586" spans="1:8">
      <c r="A586" s="812"/>
      <c r="B586" s="812"/>
      <c r="C586" s="812"/>
      <c r="D586" s="812"/>
      <c r="E586" s="812"/>
      <c r="F586" s="812"/>
      <c r="G586" s="812"/>
      <c r="H586" s="812"/>
    </row>
    <row r="587" spans="1:8">
      <c r="A587" s="812"/>
      <c r="B587" s="812"/>
      <c r="C587" s="812"/>
      <c r="D587" s="812"/>
      <c r="E587" s="812"/>
      <c r="F587" s="812"/>
      <c r="G587" s="812"/>
      <c r="H587" s="812"/>
    </row>
    <row r="588" spans="1:8">
      <c r="A588" s="812"/>
      <c r="B588" s="812"/>
      <c r="C588" s="812"/>
      <c r="D588" s="812"/>
      <c r="E588" s="812"/>
      <c r="F588" s="812"/>
      <c r="G588" s="812"/>
      <c r="H588" s="812"/>
    </row>
    <row r="589" spans="1:8">
      <c r="A589" s="812"/>
      <c r="B589" s="812"/>
      <c r="C589" s="812"/>
      <c r="D589" s="812"/>
      <c r="E589" s="812"/>
      <c r="F589" s="812"/>
      <c r="G589" s="812"/>
      <c r="H589" s="812"/>
    </row>
    <row r="590" spans="1:8">
      <c r="A590" s="812"/>
      <c r="B590" s="812"/>
      <c r="C590" s="812"/>
      <c r="D590" s="812"/>
      <c r="E590" s="812"/>
      <c r="F590" s="812"/>
      <c r="G590" s="812"/>
      <c r="H590" s="812"/>
    </row>
    <row r="591" spans="1:8">
      <c r="A591" s="812"/>
      <c r="B591" s="812"/>
      <c r="C591" s="812"/>
      <c r="D591" s="812"/>
      <c r="E591" s="812"/>
      <c r="F591" s="812"/>
      <c r="G591" s="812"/>
      <c r="H591" s="812"/>
    </row>
    <row r="592" spans="1:8">
      <c r="A592" s="812"/>
      <c r="B592" s="812"/>
      <c r="C592" s="812"/>
      <c r="D592" s="812"/>
      <c r="E592" s="812"/>
      <c r="F592" s="812"/>
      <c r="G592" s="812"/>
      <c r="H592" s="812"/>
    </row>
    <row r="593" spans="1:8">
      <c r="A593" s="812"/>
      <c r="B593" s="812"/>
      <c r="C593" s="812"/>
      <c r="D593" s="812"/>
      <c r="E593" s="812"/>
      <c r="F593" s="812"/>
      <c r="G593" s="812"/>
      <c r="H593" s="812"/>
    </row>
    <row r="594" spans="1:8">
      <c r="A594" s="812"/>
      <c r="B594" s="812"/>
      <c r="C594" s="812"/>
      <c r="D594" s="812"/>
      <c r="E594" s="812"/>
      <c r="F594" s="812"/>
      <c r="G594" s="812"/>
      <c r="H594" s="812"/>
    </row>
    <row r="595" spans="1:8">
      <c r="A595" s="812"/>
      <c r="B595" s="812"/>
      <c r="C595" s="812"/>
      <c r="D595" s="812"/>
      <c r="E595" s="812"/>
      <c r="F595" s="812"/>
      <c r="G595" s="812"/>
      <c r="H595" s="812"/>
    </row>
    <row r="596" spans="1:8">
      <c r="A596" s="812"/>
      <c r="B596" s="812"/>
      <c r="C596" s="812"/>
      <c r="D596" s="812"/>
      <c r="E596" s="812"/>
      <c r="F596" s="812"/>
      <c r="G596" s="812"/>
      <c r="H596" s="812"/>
    </row>
    <row r="597" spans="1:8">
      <c r="A597" s="812"/>
      <c r="B597" s="812"/>
      <c r="C597" s="812"/>
      <c r="D597" s="812"/>
      <c r="E597" s="812"/>
      <c r="F597" s="812"/>
      <c r="G597" s="812"/>
      <c r="H597" s="812"/>
    </row>
    <row r="598" spans="1:8">
      <c r="A598" s="812"/>
      <c r="B598" s="812"/>
      <c r="C598" s="812"/>
      <c r="D598" s="812"/>
      <c r="E598" s="812"/>
      <c r="F598" s="812"/>
      <c r="G598" s="812"/>
      <c r="H598" s="812"/>
    </row>
    <row r="599" spans="1:8">
      <c r="A599" s="812"/>
      <c r="B599" s="812"/>
      <c r="C599" s="812"/>
      <c r="D599" s="812"/>
      <c r="E599" s="812"/>
      <c r="F599" s="812"/>
      <c r="G599" s="812"/>
      <c r="H599" s="812"/>
    </row>
    <row r="600" spans="1:8">
      <c r="A600" s="812"/>
      <c r="B600" s="812"/>
      <c r="C600" s="812"/>
      <c r="D600" s="812"/>
      <c r="E600" s="812"/>
      <c r="F600" s="812"/>
      <c r="G600" s="812"/>
      <c r="H600" s="812"/>
    </row>
    <row r="601" spans="1:8">
      <c r="A601" s="812"/>
      <c r="B601" s="812"/>
      <c r="C601" s="812"/>
      <c r="D601" s="812"/>
      <c r="E601" s="812"/>
      <c r="F601" s="812"/>
      <c r="G601" s="812"/>
      <c r="H601" s="812"/>
    </row>
    <row r="602" spans="1:8">
      <c r="A602" s="812"/>
      <c r="B602" s="812"/>
      <c r="C602" s="812"/>
      <c r="D602" s="812"/>
      <c r="E602" s="812"/>
      <c r="F602" s="812"/>
      <c r="G602" s="812"/>
      <c r="H602" s="812"/>
    </row>
    <row r="603" spans="1:8">
      <c r="A603" s="812"/>
      <c r="B603" s="812"/>
      <c r="C603" s="812"/>
      <c r="D603" s="812"/>
      <c r="E603" s="812"/>
      <c r="F603" s="812"/>
      <c r="G603" s="812"/>
      <c r="H603" s="812"/>
    </row>
    <row r="604" spans="1:8">
      <c r="A604" s="812"/>
      <c r="B604" s="812"/>
      <c r="C604" s="812"/>
      <c r="D604" s="812"/>
      <c r="E604" s="812"/>
      <c r="F604" s="812"/>
      <c r="G604" s="812"/>
      <c r="H604" s="812"/>
    </row>
    <row r="605" spans="1:8">
      <c r="A605" s="812"/>
      <c r="B605" s="812"/>
      <c r="C605" s="812"/>
      <c r="D605" s="812"/>
      <c r="E605" s="812"/>
      <c r="F605" s="812"/>
      <c r="G605" s="812"/>
      <c r="H605" s="812"/>
    </row>
    <row r="606" spans="1:8">
      <c r="A606" s="812"/>
      <c r="B606" s="812"/>
      <c r="C606" s="812"/>
      <c r="D606" s="812"/>
      <c r="E606" s="812"/>
      <c r="F606" s="812"/>
      <c r="G606" s="812"/>
      <c r="H606" s="812"/>
    </row>
    <row r="607" spans="1:8">
      <c r="A607" s="812"/>
      <c r="B607" s="812"/>
      <c r="C607" s="812"/>
      <c r="D607" s="812"/>
      <c r="E607" s="812"/>
      <c r="F607" s="812"/>
      <c r="G607" s="812"/>
      <c r="H607" s="812"/>
    </row>
    <row r="608" spans="1:8">
      <c r="A608" s="812"/>
      <c r="B608" s="812"/>
      <c r="C608" s="812"/>
      <c r="D608" s="812"/>
      <c r="E608" s="812"/>
      <c r="F608" s="812"/>
      <c r="G608" s="812"/>
      <c r="H608" s="812"/>
    </row>
    <row r="609" spans="1:8">
      <c r="A609" s="812"/>
      <c r="B609" s="812"/>
      <c r="C609" s="812"/>
      <c r="D609" s="812"/>
      <c r="E609" s="812"/>
      <c r="F609" s="812"/>
      <c r="G609" s="812"/>
      <c r="H609" s="812"/>
    </row>
    <row r="610" spans="1:8">
      <c r="A610" s="812"/>
      <c r="B610" s="812"/>
      <c r="C610" s="812"/>
      <c r="D610" s="812"/>
      <c r="E610" s="812"/>
      <c r="F610" s="812"/>
      <c r="G610" s="812"/>
      <c r="H610" s="812"/>
    </row>
    <row r="611" spans="1:8">
      <c r="A611" s="812"/>
      <c r="B611" s="812"/>
      <c r="C611" s="812"/>
      <c r="D611" s="812"/>
      <c r="E611" s="812"/>
      <c r="F611" s="812"/>
      <c r="G611" s="812"/>
      <c r="H611" s="812"/>
    </row>
    <row r="612" spans="1:8">
      <c r="A612" s="812"/>
      <c r="B612" s="812"/>
      <c r="C612" s="812"/>
      <c r="D612" s="812"/>
      <c r="E612" s="812"/>
      <c r="F612" s="812"/>
      <c r="G612" s="812"/>
      <c r="H612" s="812"/>
    </row>
    <row r="613" spans="1:8">
      <c r="A613" s="812"/>
      <c r="B613" s="812"/>
      <c r="C613" s="812"/>
      <c r="D613" s="812"/>
      <c r="E613" s="812"/>
      <c r="F613" s="812"/>
      <c r="G613" s="812"/>
      <c r="H613" s="812"/>
    </row>
    <row r="614" spans="1:8">
      <c r="A614" s="812"/>
      <c r="B614" s="812"/>
      <c r="C614" s="812"/>
      <c r="D614" s="812"/>
      <c r="E614" s="812"/>
      <c r="F614" s="812"/>
      <c r="G614" s="812"/>
      <c r="H614" s="812"/>
    </row>
    <row r="615" spans="1:8">
      <c r="A615" s="812"/>
      <c r="B615" s="812"/>
      <c r="C615" s="812"/>
      <c r="D615" s="812"/>
      <c r="E615" s="812"/>
      <c r="F615" s="812"/>
      <c r="G615" s="812"/>
      <c r="H615" s="812"/>
    </row>
    <row r="616" spans="1:8">
      <c r="A616" s="812"/>
      <c r="B616" s="812"/>
      <c r="C616" s="812"/>
      <c r="D616" s="812"/>
      <c r="E616" s="812"/>
      <c r="F616" s="812"/>
      <c r="G616" s="812"/>
      <c r="H616" s="812"/>
    </row>
    <row r="617" spans="1:8">
      <c r="A617" s="812"/>
      <c r="B617" s="812"/>
      <c r="C617" s="812"/>
      <c r="D617" s="812"/>
      <c r="E617" s="812"/>
      <c r="F617" s="812"/>
      <c r="G617" s="812"/>
      <c r="H617" s="812"/>
    </row>
    <row r="618" spans="1:8">
      <c r="A618" s="812"/>
      <c r="B618" s="812"/>
      <c r="C618" s="812"/>
      <c r="D618" s="812"/>
      <c r="E618" s="812"/>
      <c r="F618" s="812"/>
      <c r="G618" s="812"/>
      <c r="H618" s="812"/>
    </row>
    <row r="619" spans="1:8">
      <c r="A619" s="812"/>
      <c r="B619" s="812"/>
      <c r="C619" s="812"/>
      <c r="D619" s="812"/>
      <c r="E619" s="812"/>
      <c r="F619" s="812"/>
      <c r="G619" s="812"/>
      <c r="H619" s="812"/>
    </row>
    <row r="620" spans="1:8">
      <c r="A620" s="812"/>
      <c r="B620" s="812"/>
      <c r="C620" s="812"/>
      <c r="D620" s="812"/>
      <c r="E620" s="812"/>
      <c r="F620" s="812"/>
      <c r="G620" s="812"/>
      <c r="H620" s="812"/>
    </row>
    <row r="621" spans="1:8">
      <c r="A621" s="812"/>
      <c r="B621" s="812"/>
      <c r="C621" s="812"/>
      <c r="D621" s="812"/>
      <c r="E621" s="812"/>
      <c r="F621" s="812"/>
      <c r="G621" s="812"/>
      <c r="H621" s="812"/>
    </row>
    <row r="622" spans="1:8">
      <c r="A622" s="812"/>
      <c r="B622" s="812"/>
      <c r="C622" s="812"/>
      <c r="D622" s="812"/>
      <c r="E622" s="812"/>
      <c r="F622" s="812"/>
      <c r="G622" s="812"/>
      <c r="H622" s="812"/>
    </row>
    <row r="623" spans="1:8">
      <c r="A623" s="812"/>
      <c r="B623" s="812"/>
      <c r="C623" s="812"/>
      <c r="D623" s="812"/>
      <c r="E623" s="812"/>
      <c r="F623" s="812"/>
      <c r="G623" s="812"/>
      <c r="H623" s="812"/>
    </row>
    <row r="624" spans="1:8">
      <c r="A624" s="812"/>
      <c r="B624" s="812"/>
      <c r="C624" s="812"/>
      <c r="D624" s="812"/>
      <c r="E624" s="812"/>
      <c r="F624" s="812"/>
      <c r="G624" s="812"/>
      <c r="H624" s="812"/>
    </row>
    <row r="625" spans="1:8">
      <c r="A625" s="812"/>
      <c r="B625" s="812"/>
      <c r="C625" s="812"/>
      <c r="D625" s="812"/>
      <c r="E625" s="812"/>
      <c r="F625" s="812"/>
      <c r="G625" s="812"/>
      <c r="H625" s="812"/>
    </row>
    <row r="626" spans="1:8">
      <c r="A626" s="812"/>
      <c r="B626" s="812"/>
      <c r="C626" s="812"/>
      <c r="D626" s="812"/>
      <c r="E626" s="812"/>
      <c r="F626" s="812"/>
      <c r="G626" s="812"/>
      <c r="H626" s="812"/>
    </row>
    <row r="627" spans="1:8">
      <c r="A627" s="812"/>
      <c r="B627" s="812"/>
      <c r="C627" s="812"/>
      <c r="D627" s="812"/>
      <c r="E627" s="812"/>
      <c r="F627" s="812"/>
      <c r="G627" s="812"/>
      <c r="H627" s="812"/>
    </row>
    <row r="628" spans="1:8">
      <c r="A628" s="812"/>
      <c r="B628" s="812"/>
      <c r="C628" s="812"/>
      <c r="D628" s="812"/>
      <c r="E628" s="812"/>
      <c r="F628" s="812"/>
      <c r="G628" s="812"/>
      <c r="H628" s="812"/>
    </row>
    <row r="629" spans="1:8">
      <c r="A629" s="812"/>
      <c r="B629" s="812"/>
      <c r="C629" s="812"/>
      <c r="D629" s="812"/>
      <c r="E629" s="812"/>
      <c r="F629" s="812"/>
      <c r="G629" s="812"/>
      <c r="H629" s="812"/>
    </row>
    <row r="630" spans="1:8">
      <c r="A630" s="812"/>
      <c r="B630" s="812"/>
      <c r="C630" s="812"/>
      <c r="D630" s="812"/>
      <c r="E630" s="812"/>
      <c r="F630" s="812"/>
      <c r="G630" s="812"/>
      <c r="H630" s="812"/>
    </row>
    <row r="631" spans="1:8">
      <c r="A631" s="812"/>
      <c r="B631" s="812"/>
      <c r="C631" s="812"/>
      <c r="D631" s="812"/>
      <c r="E631" s="812"/>
      <c r="F631" s="812"/>
      <c r="G631" s="812"/>
      <c r="H631" s="812"/>
    </row>
    <row r="632" spans="1:8">
      <c r="A632" s="812"/>
      <c r="B632" s="812"/>
      <c r="C632" s="812"/>
      <c r="D632" s="812"/>
      <c r="E632" s="812"/>
      <c r="F632" s="812"/>
      <c r="G632" s="812"/>
      <c r="H632" s="812"/>
    </row>
    <row r="633" spans="1:8">
      <c r="A633" s="812"/>
      <c r="B633" s="812"/>
      <c r="C633" s="812"/>
      <c r="D633" s="812"/>
      <c r="E633" s="812"/>
      <c r="F633" s="812"/>
      <c r="G633" s="812"/>
      <c r="H633" s="812"/>
    </row>
    <row r="634" spans="1:8">
      <c r="A634" s="812"/>
      <c r="B634" s="812"/>
      <c r="C634" s="812"/>
      <c r="D634" s="812"/>
      <c r="E634" s="812"/>
      <c r="F634" s="812"/>
      <c r="G634" s="812"/>
      <c r="H634" s="812"/>
    </row>
    <row r="635" spans="1:8">
      <c r="A635" s="812"/>
      <c r="B635" s="812"/>
      <c r="C635" s="812"/>
      <c r="D635" s="812"/>
      <c r="E635" s="812"/>
      <c r="F635" s="812"/>
      <c r="G635" s="812"/>
      <c r="H635" s="812"/>
    </row>
    <row r="636" spans="1:8">
      <c r="A636" s="812"/>
      <c r="B636" s="812"/>
      <c r="C636" s="812"/>
      <c r="D636" s="812"/>
      <c r="E636" s="812"/>
      <c r="F636" s="812"/>
      <c r="G636" s="812"/>
      <c r="H636" s="812"/>
    </row>
    <row r="637" spans="1:8">
      <c r="A637" s="812"/>
      <c r="B637" s="812"/>
      <c r="C637" s="812"/>
      <c r="D637" s="812"/>
      <c r="E637" s="812"/>
      <c r="F637" s="812"/>
      <c r="G637" s="812"/>
      <c r="H637" s="812"/>
    </row>
    <row r="638" spans="1:8">
      <c r="A638" s="812"/>
      <c r="B638" s="812"/>
      <c r="C638" s="812"/>
      <c r="D638" s="812"/>
      <c r="E638" s="812"/>
      <c r="F638" s="812"/>
      <c r="G638" s="812"/>
      <c r="H638" s="812"/>
    </row>
    <row r="639" spans="1:8">
      <c r="A639" s="812"/>
      <c r="B639" s="812"/>
      <c r="C639" s="812"/>
      <c r="D639" s="812"/>
      <c r="E639" s="812"/>
      <c r="F639" s="812"/>
      <c r="G639" s="812"/>
      <c r="H639" s="812"/>
    </row>
    <row r="640" spans="1:8">
      <c r="A640" s="812"/>
      <c r="B640" s="812"/>
      <c r="C640" s="812"/>
      <c r="D640" s="812"/>
      <c r="E640" s="812"/>
      <c r="F640" s="812"/>
      <c r="G640" s="812"/>
      <c r="H640" s="812"/>
    </row>
    <row r="641" spans="1:8">
      <c r="A641" s="812"/>
      <c r="B641" s="812"/>
      <c r="C641" s="812"/>
      <c r="D641" s="812"/>
      <c r="E641" s="812"/>
      <c r="F641" s="812"/>
      <c r="G641" s="812"/>
      <c r="H641" s="812"/>
    </row>
    <row r="642" spans="1:8">
      <c r="A642" s="812"/>
      <c r="B642" s="812"/>
      <c r="C642" s="812"/>
      <c r="D642" s="812"/>
      <c r="E642" s="812"/>
      <c r="F642" s="812"/>
      <c r="G642" s="812"/>
      <c r="H642" s="812"/>
    </row>
    <row r="643" spans="1:8">
      <c r="A643" s="812"/>
      <c r="B643" s="812"/>
      <c r="C643" s="812"/>
      <c r="D643" s="812"/>
      <c r="E643" s="812"/>
      <c r="F643" s="812"/>
      <c r="G643" s="812"/>
      <c r="H643" s="812"/>
    </row>
    <row r="644" spans="1:8">
      <c r="A644" s="812"/>
      <c r="B644" s="812"/>
      <c r="C644" s="812"/>
      <c r="D644" s="812"/>
      <c r="E644" s="812"/>
      <c r="F644" s="812"/>
      <c r="G644" s="812"/>
      <c r="H644" s="812"/>
    </row>
    <row r="645" spans="1:8">
      <c r="A645" s="812"/>
      <c r="B645" s="812"/>
      <c r="C645" s="812"/>
      <c r="D645" s="812"/>
      <c r="E645" s="812"/>
      <c r="F645" s="812"/>
      <c r="G645" s="812"/>
      <c r="H645" s="812"/>
    </row>
    <row r="646" spans="1:8">
      <c r="A646" s="812"/>
      <c r="B646" s="812"/>
      <c r="C646" s="812"/>
      <c r="D646" s="812"/>
      <c r="E646" s="812"/>
      <c r="F646" s="812"/>
      <c r="G646" s="812"/>
      <c r="H646" s="812"/>
    </row>
    <row r="647" spans="1:8">
      <c r="A647" s="812"/>
      <c r="B647" s="812"/>
      <c r="C647" s="812"/>
      <c r="D647" s="812"/>
      <c r="E647" s="812"/>
      <c r="F647" s="812"/>
      <c r="G647" s="812"/>
      <c r="H647" s="812"/>
    </row>
    <row r="648" spans="1:8">
      <c r="A648" s="812"/>
      <c r="B648" s="812"/>
      <c r="C648" s="812"/>
      <c r="D648" s="812"/>
      <c r="E648" s="812"/>
      <c r="F648" s="812"/>
      <c r="G648" s="812"/>
      <c r="H648" s="812"/>
    </row>
    <row r="649" spans="1:8">
      <c r="A649" s="812"/>
      <c r="B649" s="812"/>
      <c r="C649" s="812"/>
      <c r="D649" s="812"/>
      <c r="E649" s="812"/>
      <c r="F649" s="812"/>
      <c r="G649" s="812"/>
      <c r="H649" s="812"/>
    </row>
    <row r="650" spans="1:8">
      <c r="A650" s="812"/>
      <c r="B650" s="812"/>
      <c r="C650" s="812"/>
      <c r="D650" s="812"/>
      <c r="E650" s="812"/>
      <c r="F650" s="812"/>
      <c r="G650" s="812"/>
      <c r="H650" s="812"/>
    </row>
    <row r="651" spans="1:8">
      <c r="A651" s="812"/>
      <c r="B651" s="812"/>
      <c r="C651" s="812"/>
      <c r="D651" s="812"/>
      <c r="E651" s="812"/>
      <c r="F651" s="812"/>
      <c r="G651" s="812"/>
      <c r="H651" s="812"/>
    </row>
    <row r="652" spans="1:8">
      <c r="A652" s="812"/>
      <c r="B652" s="812"/>
      <c r="C652" s="812"/>
      <c r="D652" s="812"/>
      <c r="E652" s="812"/>
      <c r="F652" s="812"/>
      <c r="G652" s="812"/>
      <c r="H652" s="812"/>
    </row>
    <row r="653" spans="1:8">
      <c r="A653" s="812"/>
      <c r="B653" s="812"/>
      <c r="C653" s="812"/>
      <c r="D653" s="812"/>
      <c r="E653" s="812"/>
      <c r="F653" s="812"/>
      <c r="G653" s="812"/>
      <c r="H653" s="812"/>
    </row>
    <row r="654" spans="1:8">
      <c r="A654" s="812"/>
      <c r="B654" s="812"/>
      <c r="C654" s="812"/>
      <c r="D654" s="812"/>
      <c r="E654" s="812"/>
      <c r="F654" s="812"/>
      <c r="G654" s="812"/>
      <c r="H654" s="812"/>
    </row>
    <row r="655" spans="1:8">
      <c r="A655" s="812"/>
      <c r="B655" s="812"/>
      <c r="C655" s="812"/>
      <c r="D655" s="812"/>
      <c r="E655" s="812"/>
      <c r="F655" s="812"/>
      <c r="G655" s="812"/>
      <c r="H655" s="812"/>
    </row>
    <row r="656" spans="1:8">
      <c r="A656" s="812"/>
      <c r="B656" s="812"/>
      <c r="C656" s="812"/>
      <c r="D656" s="812"/>
      <c r="E656" s="812"/>
      <c r="F656" s="812"/>
      <c r="G656" s="812"/>
      <c r="H656" s="812"/>
    </row>
    <row r="657" spans="1:8">
      <c r="A657" s="812"/>
      <c r="B657" s="812"/>
      <c r="C657" s="812"/>
      <c r="D657" s="812"/>
      <c r="E657" s="812"/>
      <c r="F657" s="812"/>
      <c r="G657" s="812"/>
      <c r="H657" s="812"/>
    </row>
    <row r="658" spans="1:8">
      <c r="A658" s="812"/>
      <c r="B658" s="812"/>
      <c r="C658" s="812"/>
      <c r="D658" s="812"/>
      <c r="E658" s="812"/>
      <c r="F658" s="812"/>
      <c r="G658" s="812"/>
      <c r="H658" s="812"/>
    </row>
    <row r="659" spans="1:8">
      <c r="A659" s="812"/>
      <c r="B659" s="812"/>
      <c r="C659" s="812"/>
      <c r="D659" s="812"/>
      <c r="E659" s="812"/>
      <c r="F659" s="812"/>
      <c r="G659" s="812"/>
      <c r="H659" s="812"/>
    </row>
    <row r="660" spans="1:8">
      <c r="A660" s="812"/>
      <c r="B660" s="812"/>
      <c r="C660" s="812"/>
      <c r="D660" s="812"/>
      <c r="E660" s="812"/>
      <c r="F660" s="812"/>
      <c r="G660" s="812"/>
      <c r="H660" s="812"/>
    </row>
    <row r="661" spans="1:8">
      <c r="A661" s="812"/>
      <c r="B661" s="812"/>
      <c r="C661" s="812"/>
      <c r="D661" s="812"/>
      <c r="E661" s="812"/>
      <c r="F661" s="812"/>
      <c r="G661" s="812"/>
      <c r="H661" s="812"/>
    </row>
    <row r="662" spans="1:8">
      <c r="A662" s="812"/>
      <c r="B662" s="812"/>
      <c r="C662" s="812"/>
      <c r="D662" s="812"/>
      <c r="E662" s="812"/>
      <c r="F662" s="812"/>
      <c r="G662" s="812"/>
      <c r="H662" s="812"/>
    </row>
    <row r="663" spans="1:8">
      <c r="A663" s="812"/>
      <c r="B663" s="812"/>
      <c r="C663" s="812"/>
      <c r="D663" s="812"/>
      <c r="E663" s="812"/>
      <c r="F663" s="812"/>
      <c r="G663" s="812"/>
      <c r="H663" s="812"/>
    </row>
    <row r="664" spans="1:8">
      <c r="A664" s="812"/>
      <c r="B664" s="812"/>
      <c r="C664" s="812"/>
      <c r="D664" s="812"/>
      <c r="E664" s="812"/>
      <c r="F664" s="812"/>
      <c r="G664" s="812"/>
      <c r="H664" s="812"/>
    </row>
    <row r="665" spans="1:8">
      <c r="A665" s="812"/>
      <c r="B665" s="812"/>
      <c r="C665" s="812"/>
      <c r="D665" s="812"/>
      <c r="E665" s="812"/>
      <c r="F665" s="812"/>
      <c r="G665" s="812"/>
      <c r="H665" s="812"/>
    </row>
    <row r="666" spans="1:8">
      <c r="A666" s="812"/>
      <c r="B666" s="812"/>
      <c r="C666" s="812"/>
      <c r="D666" s="812"/>
      <c r="E666" s="812"/>
      <c r="F666" s="812"/>
      <c r="G666" s="812"/>
      <c r="H666" s="812"/>
    </row>
    <row r="667" spans="1:8">
      <c r="A667" s="812"/>
      <c r="B667" s="812"/>
      <c r="C667" s="812"/>
      <c r="D667" s="812"/>
      <c r="E667" s="812"/>
      <c r="F667" s="812"/>
      <c r="G667" s="812"/>
      <c r="H667" s="812"/>
    </row>
    <row r="668" spans="1:8">
      <c r="A668" s="812"/>
      <c r="B668" s="812"/>
      <c r="C668" s="812"/>
      <c r="D668" s="812"/>
      <c r="E668" s="812"/>
      <c r="F668" s="812"/>
      <c r="G668" s="812"/>
      <c r="H668" s="812"/>
    </row>
    <row r="669" spans="1:8">
      <c r="A669" s="812"/>
      <c r="B669" s="812"/>
      <c r="C669" s="812"/>
      <c r="D669" s="812"/>
      <c r="E669" s="812"/>
      <c r="F669" s="812"/>
      <c r="G669" s="812"/>
      <c r="H669" s="812"/>
    </row>
    <row r="670" spans="1:8">
      <c r="A670" s="812"/>
      <c r="B670" s="812"/>
      <c r="C670" s="812"/>
      <c r="D670" s="812"/>
      <c r="E670" s="812"/>
      <c r="F670" s="812"/>
      <c r="G670" s="812"/>
      <c r="H670" s="812"/>
    </row>
    <row r="671" spans="1:8">
      <c r="A671" s="812"/>
      <c r="B671" s="812"/>
      <c r="C671" s="812"/>
      <c r="D671" s="812"/>
      <c r="E671" s="812"/>
      <c r="F671" s="812"/>
      <c r="G671" s="812"/>
      <c r="H671" s="812"/>
    </row>
    <row r="672" spans="1:8">
      <c r="A672" s="812"/>
      <c r="B672" s="812"/>
      <c r="C672" s="812"/>
      <c r="D672" s="812"/>
      <c r="E672" s="812"/>
      <c r="F672" s="812"/>
      <c r="G672" s="812"/>
      <c r="H672" s="812"/>
    </row>
    <row r="673" spans="1:8">
      <c r="A673" s="812"/>
      <c r="B673" s="812"/>
      <c r="C673" s="812"/>
      <c r="D673" s="812"/>
      <c r="E673" s="812"/>
      <c r="F673" s="812"/>
      <c r="G673" s="812"/>
      <c r="H673" s="812"/>
    </row>
    <row r="674" spans="1:8">
      <c r="A674" s="812"/>
      <c r="B674" s="812"/>
      <c r="C674" s="812"/>
      <c r="D674" s="812"/>
      <c r="E674" s="812"/>
      <c r="F674" s="812"/>
      <c r="G674" s="812"/>
      <c r="H674" s="812"/>
    </row>
    <row r="675" spans="1:8">
      <c r="A675" s="812"/>
      <c r="B675" s="812"/>
      <c r="C675" s="812"/>
      <c r="D675" s="812"/>
      <c r="E675" s="812"/>
      <c r="F675" s="812"/>
      <c r="G675" s="812"/>
      <c r="H675" s="812"/>
    </row>
    <row r="676" spans="1:8">
      <c r="A676" s="812"/>
      <c r="B676" s="812"/>
      <c r="C676" s="812"/>
      <c r="D676" s="812"/>
      <c r="E676" s="812"/>
      <c r="F676" s="812"/>
      <c r="G676" s="812"/>
      <c r="H676" s="812"/>
    </row>
    <row r="677" spans="1:8">
      <c r="A677" s="812"/>
      <c r="B677" s="812"/>
      <c r="C677" s="812"/>
      <c r="D677" s="812"/>
      <c r="E677" s="812"/>
      <c r="F677" s="812"/>
      <c r="G677" s="812"/>
      <c r="H677" s="812"/>
    </row>
    <row r="678" spans="1:8">
      <c r="A678" s="812"/>
      <c r="B678" s="812"/>
      <c r="C678" s="812"/>
      <c r="D678" s="812"/>
      <c r="E678" s="812"/>
      <c r="F678" s="812"/>
      <c r="G678" s="812"/>
      <c r="H678" s="812"/>
    </row>
    <row r="679" spans="1:8">
      <c r="A679" s="812"/>
      <c r="B679" s="812"/>
      <c r="C679" s="812"/>
      <c r="D679" s="812"/>
      <c r="E679" s="812"/>
      <c r="F679" s="812"/>
      <c r="G679" s="812"/>
      <c r="H679" s="812"/>
    </row>
    <row r="680" spans="1:8">
      <c r="A680" s="812"/>
      <c r="B680" s="812"/>
      <c r="C680" s="812"/>
      <c r="D680" s="812"/>
      <c r="E680" s="812"/>
      <c r="F680" s="812"/>
      <c r="G680" s="812"/>
      <c r="H680" s="812"/>
    </row>
    <row r="681" spans="1:8">
      <c r="A681" s="812"/>
      <c r="B681" s="812"/>
      <c r="C681" s="812"/>
      <c r="D681" s="812"/>
      <c r="E681" s="812"/>
      <c r="F681" s="812"/>
      <c r="G681" s="812"/>
      <c r="H681" s="812"/>
    </row>
    <row r="682" spans="1:8">
      <c r="A682" s="812"/>
      <c r="B682" s="812"/>
      <c r="C682" s="812"/>
      <c r="D682" s="812"/>
      <c r="E682" s="812"/>
      <c r="F682" s="812"/>
      <c r="G682" s="812"/>
      <c r="H682" s="812"/>
    </row>
    <row r="683" spans="1:8">
      <c r="A683" s="812"/>
      <c r="B683" s="812"/>
      <c r="C683" s="812"/>
      <c r="D683" s="812"/>
      <c r="E683" s="812"/>
      <c r="F683" s="812"/>
      <c r="G683" s="812"/>
      <c r="H683" s="812"/>
    </row>
    <row r="684" spans="1:8">
      <c r="A684" s="812"/>
      <c r="B684" s="812"/>
      <c r="C684" s="812"/>
      <c r="D684" s="812"/>
      <c r="E684" s="812"/>
      <c r="F684" s="812"/>
      <c r="G684" s="812"/>
      <c r="H684" s="812"/>
    </row>
    <row r="685" spans="1:8">
      <c r="A685" s="812"/>
      <c r="B685" s="812"/>
      <c r="C685" s="812"/>
      <c r="D685" s="812"/>
      <c r="E685" s="812"/>
      <c r="F685" s="812"/>
      <c r="G685" s="812"/>
      <c r="H685" s="812"/>
    </row>
    <row r="686" spans="1:8">
      <c r="A686" s="812"/>
      <c r="B686" s="812"/>
      <c r="C686" s="812"/>
      <c r="D686" s="812"/>
      <c r="E686" s="812"/>
      <c r="F686" s="812"/>
      <c r="G686" s="812"/>
      <c r="H686" s="812"/>
    </row>
    <row r="687" spans="1:8">
      <c r="A687" s="812"/>
      <c r="B687" s="812"/>
      <c r="C687" s="812"/>
      <c r="D687" s="812"/>
      <c r="E687" s="812"/>
      <c r="F687" s="812"/>
      <c r="G687" s="812"/>
      <c r="H687" s="812"/>
    </row>
    <row r="688" spans="1:8">
      <c r="A688" s="812"/>
      <c r="B688" s="812"/>
      <c r="C688" s="812"/>
      <c r="D688" s="812"/>
      <c r="E688" s="812"/>
      <c r="F688" s="812"/>
      <c r="G688" s="812"/>
      <c r="H688" s="812"/>
    </row>
    <row r="689" spans="1:8">
      <c r="A689" s="812"/>
      <c r="B689" s="812"/>
      <c r="C689" s="812"/>
      <c r="D689" s="812"/>
      <c r="E689" s="812"/>
      <c r="F689" s="812"/>
      <c r="G689" s="812"/>
      <c r="H689" s="812"/>
    </row>
    <row r="690" spans="1:8">
      <c r="A690" s="812"/>
      <c r="B690" s="812"/>
      <c r="C690" s="812"/>
      <c r="D690" s="812"/>
      <c r="E690" s="812"/>
      <c r="F690" s="812"/>
      <c r="G690" s="812"/>
      <c r="H690" s="812"/>
    </row>
    <row r="691" spans="1:8">
      <c r="A691" s="812"/>
      <c r="B691" s="812"/>
      <c r="C691" s="812"/>
      <c r="D691" s="812"/>
      <c r="E691" s="812"/>
      <c r="F691" s="812"/>
      <c r="G691" s="812"/>
      <c r="H691" s="812"/>
    </row>
    <row r="692" spans="1:8">
      <c r="A692" s="812"/>
      <c r="B692" s="812"/>
      <c r="C692" s="812"/>
      <c r="D692" s="812"/>
      <c r="E692" s="812"/>
      <c r="F692" s="812"/>
      <c r="G692" s="812"/>
      <c r="H692" s="812"/>
    </row>
    <row r="693" spans="1:8">
      <c r="A693" s="812"/>
      <c r="B693" s="812"/>
      <c r="C693" s="812"/>
      <c r="D693" s="812"/>
      <c r="E693" s="812"/>
      <c r="F693" s="812"/>
      <c r="G693" s="812"/>
      <c r="H693" s="812"/>
    </row>
    <row r="694" spans="1:8">
      <c r="A694" s="812"/>
      <c r="B694" s="812"/>
      <c r="C694" s="812"/>
      <c r="D694" s="812"/>
      <c r="E694" s="812"/>
      <c r="F694" s="812"/>
      <c r="G694" s="812"/>
      <c r="H694" s="812"/>
    </row>
    <row r="695" spans="1:8">
      <c r="A695" s="812"/>
      <c r="B695" s="812"/>
      <c r="C695" s="812"/>
      <c r="D695" s="812"/>
      <c r="E695" s="812"/>
      <c r="F695" s="812"/>
      <c r="G695" s="812"/>
      <c r="H695" s="812"/>
    </row>
    <row r="696" spans="1:8">
      <c r="A696" s="812"/>
      <c r="B696" s="812"/>
      <c r="C696" s="812"/>
      <c r="D696" s="812"/>
      <c r="E696" s="812"/>
      <c r="F696" s="812"/>
      <c r="G696" s="812"/>
      <c r="H696" s="812"/>
    </row>
    <row r="697" spans="1:8">
      <c r="A697" s="812"/>
      <c r="B697" s="812"/>
      <c r="C697" s="812"/>
      <c r="D697" s="812"/>
      <c r="E697" s="812"/>
      <c r="F697" s="812"/>
      <c r="G697" s="812"/>
      <c r="H697" s="812"/>
    </row>
    <row r="698" spans="1:8">
      <c r="A698" s="812"/>
      <c r="B698" s="812"/>
      <c r="C698" s="812"/>
      <c r="D698" s="812"/>
      <c r="E698" s="812"/>
      <c r="F698" s="812"/>
      <c r="G698" s="812"/>
      <c r="H698" s="812"/>
    </row>
    <row r="699" spans="1:8">
      <c r="A699" s="812"/>
      <c r="B699" s="812"/>
      <c r="C699" s="812"/>
      <c r="D699" s="812"/>
      <c r="E699" s="812"/>
      <c r="F699" s="812"/>
      <c r="G699" s="812"/>
      <c r="H699" s="812"/>
    </row>
    <row r="700" spans="1:8">
      <c r="A700" s="812"/>
      <c r="B700" s="812"/>
      <c r="C700" s="812"/>
      <c r="D700" s="812"/>
      <c r="E700" s="812"/>
      <c r="F700" s="812"/>
      <c r="G700" s="812"/>
      <c r="H700" s="812"/>
    </row>
    <row r="701" spans="1:8">
      <c r="A701" s="812"/>
      <c r="B701" s="812"/>
      <c r="C701" s="812"/>
      <c r="D701" s="812"/>
      <c r="E701" s="812"/>
      <c r="F701" s="812"/>
      <c r="G701" s="812"/>
      <c r="H701" s="812"/>
    </row>
    <row r="702" spans="1:8">
      <c r="A702" s="812"/>
      <c r="B702" s="812"/>
      <c r="C702" s="812"/>
      <c r="D702" s="812"/>
      <c r="E702" s="812"/>
      <c r="F702" s="812"/>
      <c r="G702" s="812"/>
      <c r="H702" s="812"/>
    </row>
    <row r="703" spans="1:8">
      <c r="A703" s="812"/>
      <c r="B703" s="812"/>
      <c r="C703" s="812"/>
      <c r="D703" s="812"/>
      <c r="E703" s="812"/>
      <c r="F703" s="812"/>
      <c r="G703" s="812"/>
      <c r="H703" s="812"/>
    </row>
    <row r="704" spans="1:8">
      <c r="A704" s="812"/>
      <c r="B704" s="812"/>
      <c r="C704" s="812"/>
      <c r="D704" s="812"/>
      <c r="E704" s="812"/>
      <c r="F704" s="812"/>
      <c r="G704" s="812"/>
      <c r="H704" s="812"/>
    </row>
    <row r="705" spans="1:8">
      <c r="A705" s="812"/>
      <c r="B705" s="812"/>
      <c r="C705" s="812"/>
      <c r="D705" s="812"/>
      <c r="E705" s="812"/>
      <c r="F705" s="812"/>
      <c r="G705" s="812"/>
      <c r="H705" s="812"/>
    </row>
    <row r="706" spans="1:8">
      <c r="A706" s="812"/>
      <c r="B706" s="812"/>
      <c r="C706" s="812"/>
      <c r="D706" s="812"/>
      <c r="E706" s="812"/>
      <c r="F706" s="812"/>
      <c r="G706" s="812"/>
      <c r="H706" s="812"/>
    </row>
    <row r="707" spans="1:8">
      <c r="A707" s="812"/>
      <c r="B707" s="812"/>
      <c r="C707" s="812"/>
      <c r="D707" s="812"/>
      <c r="E707" s="812"/>
      <c r="F707" s="812"/>
      <c r="G707" s="812"/>
      <c r="H707" s="812"/>
    </row>
    <row r="708" spans="1:8">
      <c r="A708" s="812"/>
      <c r="B708" s="812"/>
      <c r="C708" s="812"/>
      <c r="D708" s="812"/>
      <c r="E708" s="812"/>
      <c r="F708" s="812"/>
      <c r="G708" s="812"/>
      <c r="H708" s="812"/>
    </row>
    <row r="709" spans="1:8">
      <c r="A709" s="812"/>
      <c r="B709" s="812"/>
      <c r="C709" s="812"/>
      <c r="D709" s="812"/>
      <c r="E709" s="812"/>
      <c r="F709" s="812"/>
      <c r="G709" s="812"/>
      <c r="H709" s="812"/>
    </row>
    <row r="710" spans="1:8">
      <c r="A710" s="812"/>
      <c r="B710" s="812"/>
      <c r="C710" s="812"/>
      <c r="D710" s="812"/>
      <c r="E710" s="812"/>
      <c r="F710" s="812"/>
      <c r="G710" s="812"/>
      <c r="H710" s="812"/>
    </row>
    <row r="711" spans="1:8">
      <c r="A711" s="812"/>
      <c r="B711" s="812"/>
      <c r="C711" s="812"/>
      <c r="D711" s="812"/>
      <c r="E711" s="812"/>
      <c r="F711" s="812"/>
      <c r="G711" s="812"/>
      <c r="H711" s="812"/>
    </row>
    <row r="712" spans="1:8">
      <c r="A712" s="812"/>
      <c r="B712" s="812"/>
      <c r="C712" s="812"/>
      <c r="D712" s="812"/>
      <c r="E712" s="812"/>
      <c r="F712" s="812"/>
      <c r="G712" s="812"/>
      <c r="H712" s="812"/>
    </row>
    <row r="713" spans="1:8">
      <c r="A713" s="812"/>
      <c r="B713" s="812"/>
      <c r="C713" s="812"/>
      <c r="D713" s="812"/>
      <c r="E713" s="812"/>
      <c r="F713" s="812"/>
      <c r="G713" s="812"/>
      <c r="H713" s="812"/>
    </row>
    <row r="714" spans="1:8">
      <c r="A714" s="812"/>
      <c r="B714" s="812"/>
      <c r="C714" s="812"/>
      <c r="D714" s="812"/>
      <c r="E714" s="812"/>
      <c r="F714" s="812"/>
      <c r="G714" s="812"/>
      <c r="H714" s="812"/>
    </row>
    <row r="715" spans="1:8">
      <c r="A715" s="812"/>
      <c r="B715" s="812"/>
      <c r="C715" s="812"/>
      <c r="D715" s="812"/>
      <c r="E715" s="812"/>
      <c r="F715" s="812"/>
      <c r="G715" s="812"/>
      <c r="H715" s="812"/>
    </row>
    <row r="716" spans="1:8">
      <c r="A716" s="812"/>
      <c r="B716" s="812"/>
      <c r="C716" s="812"/>
      <c r="D716" s="812"/>
      <c r="E716" s="812"/>
      <c r="F716" s="812"/>
      <c r="G716" s="812"/>
      <c r="H716" s="812"/>
    </row>
    <row r="717" spans="1:8">
      <c r="A717" s="812"/>
      <c r="B717" s="812"/>
      <c r="C717" s="812"/>
      <c r="D717" s="812"/>
      <c r="E717" s="812"/>
      <c r="F717" s="812"/>
      <c r="G717" s="812"/>
      <c r="H717" s="812"/>
    </row>
    <row r="718" spans="1:8">
      <c r="A718" s="812"/>
      <c r="B718" s="812"/>
      <c r="C718" s="812"/>
      <c r="D718" s="812"/>
      <c r="E718" s="812"/>
      <c r="F718" s="812"/>
      <c r="G718" s="812"/>
      <c r="H718" s="812"/>
    </row>
    <row r="719" spans="1:8">
      <c r="A719" s="812"/>
      <c r="B719" s="812"/>
      <c r="C719" s="812"/>
      <c r="D719" s="812"/>
      <c r="E719" s="812"/>
      <c r="F719" s="812"/>
      <c r="G719" s="812"/>
      <c r="H719" s="812"/>
    </row>
    <row r="720" spans="1:8">
      <c r="A720" s="812"/>
      <c r="B720" s="812"/>
      <c r="C720" s="812"/>
      <c r="D720" s="812"/>
      <c r="E720" s="812"/>
      <c r="F720" s="812"/>
      <c r="G720" s="812"/>
      <c r="H720" s="812"/>
    </row>
    <row r="721" spans="1:8">
      <c r="A721" s="812"/>
      <c r="B721" s="812"/>
      <c r="C721" s="812"/>
      <c r="D721" s="812"/>
      <c r="E721" s="812"/>
      <c r="F721" s="812"/>
      <c r="G721" s="812"/>
      <c r="H721" s="812"/>
    </row>
    <row r="722" spans="1:8">
      <c r="A722" s="812"/>
      <c r="B722" s="812"/>
      <c r="C722" s="812"/>
      <c r="D722" s="812"/>
      <c r="E722" s="812"/>
      <c r="F722" s="812"/>
      <c r="G722" s="812"/>
      <c r="H722" s="812"/>
    </row>
    <row r="723" spans="1:8">
      <c r="A723" s="812"/>
      <c r="B723" s="812"/>
      <c r="C723" s="812"/>
      <c r="D723" s="812"/>
      <c r="E723" s="812"/>
      <c r="F723" s="812"/>
      <c r="G723" s="812"/>
      <c r="H723" s="812"/>
    </row>
    <row r="724" spans="1:8">
      <c r="A724" s="812"/>
      <c r="B724" s="812"/>
      <c r="C724" s="812"/>
      <c r="D724" s="812"/>
      <c r="E724" s="812"/>
      <c r="F724" s="812"/>
      <c r="G724" s="812"/>
      <c r="H724" s="812"/>
    </row>
    <row r="725" spans="1:8">
      <c r="A725" s="812"/>
      <c r="B725" s="812"/>
      <c r="C725" s="812"/>
      <c r="D725" s="812"/>
      <c r="E725" s="812"/>
      <c r="F725" s="812"/>
      <c r="G725" s="812"/>
      <c r="H725" s="812"/>
    </row>
    <row r="726" spans="1:8">
      <c r="A726" s="812"/>
      <c r="B726" s="812"/>
      <c r="C726" s="812"/>
      <c r="D726" s="812"/>
      <c r="E726" s="812"/>
      <c r="F726" s="812"/>
      <c r="G726" s="812"/>
      <c r="H726" s="812"/>
    </row>
    <row r="727" spans="1:8">
      <c r="A727" s="812"/>
      <c r="B727" s="812"/>
      <c r="C727" s="812"/>
      <c r="D727" s="812"/>
      <c r="E727" s="812"/>
      <c r="F727" s="812"/>
      <c r="G727" s="812"/>
      <c r="H727" s="812"/>
    </row>
    <row r="728" spans="1:8">
      <c r="A728" s="812"/>
      <c r="B728" s="812"/>
      <c r="C728" s="812"/>
      <c r="D728" s="812"/>
      <c r="E728" s="812"/>
      <c r="F728" s="812"/>
      <c r="G728" s="812"/>
      <c r="H728" s="812"/>
    </row>
    <row r="729" spans="1:8">
      <c r="A729" s="812"/>
      <c r="B729" s="812"/>
      <c r="C729" s="812"/>
      <c r="D729" s="812"/>
      <c r="E729" s="812"/>
      <c r="F729" s="812"/>
      <c r="G729" s="812"/>
      <c r="H729" s="812"/>
    </row>
    <row r="730" spans="1:8">
      <c r="A730" s="812"/>
      <c r="B730" s="812"/>
      <c r="C730" s="812"/>
      <c r="D730" s="812"/>
      <c r="E730" s="812"/>
      <c r="F730" s="812"/>
      <c r="G730" s="812"/>
      <c r="H730" s="812"/>
    </row>
    <row r="731" spans="1:8">
      <c r="A731" s="812"/>
      <c r="B731" s="812"/>
      <c r="C731" s="812"/>
      <c r="D731" s="812"/>
      <c r="E731" s="812"/>
      <c r="F731" s="812"/>
      <c r="G731" s="812"/>
      <c r="H731" s="812"/>
    </row>
    <row r="732" spans="1:8">
      <c r="A732" s="812"/>
      <c r="B732" s="812"/>
      <c r="C732" s="812"/>
      <c r="D732" s="812"/>
      <c r="E732" s="812"/>
      <c r="F732" s="812"/>
      <c r="G732" s="812"/>
      <c r="H732" s="812"/>
    </row>
    <row r="733" spans="1:8">
      <c r="A733" s="812"/>
      <c r="B733" s="812"/>
      <c r="C733" s="812"/>
      <c r="D733" s="812"/>
      <c r="E733" s="812"/>
      <c r="F733" s="812"/>
      <c r="G733" s="812"/>
      <c r="H733" s="812"/>
    </row>
    <row r="734" spans="1:8">
      <c r="A734" s="812"/>
      <c r="B734" s="812"/>
      <c r="C734" s="812"/>
      <c r="D734" s="812"/>
      <c r="E734" s="812"/>
      <c r="F734" s="812"/>
      <c r="G734" s="812"/>
      <c r="H734" s="812"/>
    </row>
    <row r="735" spans="1:8">
      <c r="A735" s="812"/>
      <c r="B735" s="812"/>
      <c r="C735" s="812"/>
      <c r="D735" s="812"/>
      <c r="E735" s="812"/>
      <c r="F735" s="812"/>
      <c r="G735" s="812"/>
      <c r="H735" s="812"/>
    </row>
    <row r="736" spans="1:8">
      <c r="A736" s="812"/>
      <c r="B736" s="812"/>
      <c r="C736" s="812"/>
      <c r="D736" s="812"/>
      <c r="E736" s="812"/>
      <c r="F736" s="812"/>
      <c r="G736" s="812"/>
      <c r="H736" s="812"/>
    </row>
    <row r="737" spans="1:8">
      <c r="A737" s="812"/>
      <c r="B737" s="812"/>
      <c r="C737" s="812"/>
      <c r="D737" s="812"/>
      <c r="E737" s="812"/>
      <c r="F737" s="812"/>
      <c r="G737" s="812"/>
      <c r="H737" s="812"/>
    </row>
    <row r="738" spans="1:8">
      <c r="A738" s="812"/>
      <c r="B738" s="812"/>
      <c r="C738" s="812"/>
      <c r="D738" s="812"/>
      <c r="E738" s="812"/>
      <c r="F738" s="812"/>
      <c r="G738" s="812"/>
      <c r="H738" s="812"/>
    </row>
    <row r="739" spans="1:8">
      <c r="A739" s="812"/>
      <c r="B739" s="812"/>
      <c r="C739" s="812"/>
      <c r="D739" s="812"/>
      <c r="E739" s="812"/>
      <c r="F739" s="812"/>
      <c r="G739" s="812"/>
      <c r="H739" s="812"/>
    </row>
    <row r="740" spans="1:8">
      <c r="A740" s="812"/>
      <c r="B740" s="812"/>
      <c r="C740" s="812"/>
      <c r="D740" s="812"/>
      <c r="E740" s="812"/>
      <c r="F740" s="812"/>
      <c r="G740" s="812"/>
      <c r="H740" s="812"/>
    </row>
    <row r="741" spans="1:8">
      <c r="A741" s="812"/>
      <c r="B741" s="812"/>
      <c r="C741" s="812"/>
      <c r="D741" s="812"/>
      <c r="E741" s="812"/>
      <c r="F741" s="812"/>
      <c r="G741" s="812"/>
      <c r="H741" s="812"/>
    </row>
    <row r="742" spans="1:8">
      <c r="A742" s="812"/>
      <c r="B742" s="812"/>
      <c r="C742" s="812"/>
      <c r="D742" s="812"/>
      <c r="E742" s="812"/>
      <c r="F742" s="812"/>
      <c r="G742" s="812"/>
      <c r="H742" s="812"/>
    </row>
    <row r="743" spans="1:8">
      <c r="A743" s="812"/>
      <c r="B743" s="812"/>
      <c r="C743" s="812"/>
      <c r="D743" s="812"/>
      <c r="E743" s="812"/>
      <c r="F743" s="812"/>
      <c r="G743" s="812"/>
      <c r="H743" s="812"/>
    </row>
    <row r="744" spans="1:8">
      <c r="A744" s="812"/>
      <c r="B744" s="812"/>
      <c r="C744" s="812"/>
      <c r="D744" s="812"/>
      <c r="E744" s="812"/>
      <c r="F744" s="812"/>
      <c r="G744" s="812"/>
      <c r="H744" s="812"/>
    </row>
    <row r="745" spans="1:8">
      <c r="A745" s="812"/>
      <c r="B745" s="812"/>
      <c r="C745" s="812"/>
      <c r="D745" s="812"/>
      <c r="E745" s="812"/>
      <c r="F745" s="812"/>
      <c r="G745" s="812"/>
      <c r="H745" s="812"/>
    </row>
    <row r="746" spans="1:8">
      <c r="A746" s="812"/>
      <c r="B746" s="812"/>
      <c r="C746" s="812"/>
      <c r="D746" s="812"/>
      <c r="E746" s="812"/>
      <c r="F746" s="812"/>
      <c r="G746" s="812"/>
      <c r="H746" s="812"/>
    </row>
    <row r="747" spans="1:8">
      <c r="A747" s="812"/>
      <c r="B747" s="812"/>
      <c r="C747" s="812"/>
      <c r="D747" s="812"/>
      <c r="E747" s="812"/>
      <c r="F747" s="812"/>
      <c r="G747" s="812"/>
      <c r="H747" s="812"/>
    </row>
    <row r="748" spans="1:8">
      <c r="A748" s="812"/>
      <c r="B748" s="812"/>
      <c r="C748" s="812"/>
      <c r="D748" s="812"/>
      <c r="E748" s="812"/>
      <c r="F748" s="812"/>
      <c r="G748" s="812"/>
      <c r="H748" s="812"/>
    </row>
    <row r="749" spans="1:8">
      <c r="A749" s="812"/>
      <c r="B749" s="812"/>
      <c r="C749" s="812"/>
      <c r="D749" s="812"/>
      <c r="E749" s="812"/>
      <c r="F749" s="812"/>
      <c r="G749" s="812"/>
      <c r="H749" s="812"/>
    </row>
    <row r="750" spans="1:8">
      <c r="A750" s="812"/>
      <c r="B750" s="812"/>
      <c r="C750" s="812"/>
      <c r="D750" s="812"/>
      <c r="E750" s="812"/>
      <c r="F750" s="812"/>
      <c r="G750" s="812"/>
      <c r="H750" s="812"/>
    </row>
    <row r="751" spans="1:8">
      <c r="A751" s="812"/>
      <c r="B751" s="812"/>
      <c r="C751" s="812"/>
      <c r="D751" s="812"/>
      <c r="E751" s="812"/>
      <c r="F751" s="812"/>
      <c r="G751" s="812"/>
      <c r="H751" s="812"/>
    </row>
    <row r="752" spans="1:8">
      <c r="A752" s="812"/>
      <c r="B752" s="812"/>
      <c r="C752" s="812"/>
      <c r="D752" s="812"/>
      <c r="E752" s="812"/>
      <c r="F752" s="812"/>
      <c r="G752" s="812"/>
      <c r="H752" s="812"/>
    </row>
    <row r="753" spans="1:8">
      <c r="A753" s="812"/>
      <c r="B753" s="812"/>
      <c r="C753" s="812"/>
      <c r="D753" s="812"/>
      <c r="E753" s="812"/>
      <c r="F753" s="812"/>
      <c r="G753" s="812"/>
      <c r="H753" s="812"/>
    </row>
    <row r="754" spans="1:8">
      <c r="A754" s="812"/>
      <c r="B754" s="812"/>
      <c r="C754" s="812"/>
      <c r="D754" s="812"/>
      <c r="E754" s="812"/>
      <c r="F754" s="812"/>
      <c r="G754" s="812"/>
      <c r="H754" s="812"/>
    </row>
    <row r="755" spans="1:8">
      <c r="A755" s="812"/>
      <c r="B755" s="812"/>
      <c r="C755" s="812"/>
      <c r="D755" s="812"/>
      <c r="E755" s="812"/>
      <c r="F755" s="812"/>
      <c r="G755" s="812"/>
      <c r="H755" s="812"/>
    </row>
    <row r="756" spans="1:8">
      <c r="A756" s="812"/>
      <c r="B756" s="812"/>
      <c r="C756" s="812"/>
      <c r="D756" s="812"/>
      <c r="E756" s="812"/>
      <c r="F756" s="812"/>
      <c r="G756" s="812"/>
      <c r="H756" s="812"/>
    </row>
    <row r="757" spans="1:8">
      <c r="A757" s="812"/>
      <c r="B757" s="812"/>
      <c r="C757" s="812"/>
      <c r="D757" s="812"/>
      <c r="E757" s="812"/>
      <c r="F757" s="812"/>
      <c r="G757" s="812"/>
      <c r="H757" s="812"/>
    </row>
    <row r="758" spans="1:8">
      <c r="A758" s="812"/>
      <c r="B758" s="812"/>
      <c r="C758" s="812"/>
      <c r="D758" s="812"/>
      <c r="E758" s="812"/>
      <c r="F758" s="812"/>
      <c r="G758" s="812"/>
      <c r="H758" s="812"/>
    </row>
    <row r="759" spans="1:8">
      <c r="A759" s="812"/>
      <c r="B759" s="812"/>
      <c r="C759" s="812"/>
      <c r="D759" s="812"/>
      <c r="E759" s="812"/>
      <c r="F759" s="812"/>
      <c r="G759" s="812"/>
      <c r="H759" s="812"/>
    </row>
    <row r="760" spans="1:8">
      <c r="A760" s="812"/>
      <c r="B760" s="812"/>
      <c r="C760" s="812"/>
      <c r="D760" s="812"/>
      <c r="E760" s="812"/>
      <c r="F760" s="812"/>
      <c r="G760" s="812"/>
      <c r="H760" s="812"/>
    </row>
    <row r="761" spans="1:8">
      <c r="A761" s="812"/>
      <c r="B761" s="812"/>
      <c r="C761" s="812"/>
      <c r="D761" s="812"/>
      <c r="E761" s="812"/>
      <c r="F761" s="812"/>
      <c r="G761" s="812"/>
      <c r="H761" s="812"/>
    </row>
    <row r="762" spans="1:8">
      <c r="A762" s="812"/>
      <c r="B762" s="812"/>
      <c r="C762" s="812"/>
      <c r="D762" s="812"/>
      <c r="E762" s="812"/>
      <c r="F762" s="812"/>
      <c r="G762" s="812"/>
      <c r="H762" s="812"/>
    </row>
    <row r="763" spans="1:8">
      <c r="A763" s="812"/>
      <c r="B763" s="812"/>
      <c r="C763" s="812"/>
      <c r="D763" s="812"/>
      <c r="E763" s="812"/>
      <c r="F763" s="812"/>
      <c r="G763" s="812"/>
      <c r="H763" s="812"/>
    </row>
    <row r="764" spans="1:8">
      <c r="A764" s="812"/>
      <c r="B764" s="812"/>
      <c r="C764" s="812"/>
      <c r="D764" s="812"/>
      <c r="E764" s="812"/>
      <c r="F764" s="812"/>
      <c r="G764" s="812"/>
      <c r="H764" s="812"/>
    </row>
    <row r="765" spans="1:8">
      <c r="A765" s="812"/>
      <c r="B765" s="812"/>
      <c r="C765" s="812"/>
      <c r="D765" s="812"/>
      <c r="E765" s="812"/>
      <c r="F765" s="812"/>
      <c r="G765" s="812"/>
      <c r="H765" s="812"/>
    </row>
    <row r="766" spans="1:8">
      <c r="A766" s="812"/>
      <c r="B766" s="812"/>
      <c r="C766" s="812"/>
      <c r="D766" s="812"/>
      <c r="E766" s="812"/>
      <c r="F766" s="812"/>
      <c r="G766" s="812"/>
      <c r="H766" s="812"/>
    </row>
    <row r="767" spans="1:8">
      <c r="A767" s="812"/>
      <c r="B767" s="812"/>
      <c r="C767" s="812"/>
      <c r="D767" s="812"/>
      <c r="E767" s="812"/>
      <c r="F767" s="812"/>
      <c r="G767" s="812"/>
      <c r="H767" s="812"/>
    </row>
    <row r="768" spans="1:8">
      <c r="A768" s="812"/>
      <c r="B768" s="812"/>
      <c r="C768" s="812"/>
      <c r="D768" s="812"/>
      <c r="E768" s="812"/>
      <c r="F768" s="812"/>
      <c r="G768" s="812"/>
      <c r="H768" s="812"/>
    </row>
    <row r="769" spans="1:8">
      <c r="A769" s="812"/>
      <c r="B769" s="812"/>
      <c r="C769" s="812"/>
      <c r="D769" s="812"/>
      <c r="E769" s="812"/>
      <c r="F769" s="812"/>
      <c r="G769" s="812"/>
      <c r="H769" s="812"/>
    </row>
    <row r="770" spans="1:8">
      <c r="A770" s="812"/>
      <c r="B770" s="812"/>
      <c r="C770" s="812"/>
      <c r="D770" s="812"/>
      <c r="E770" s="812"/>
      <c r="F770" s="812"/>
      <c r="G770" s="812"/>
      <c r="H770" s="812"/>
    </row>
    <row r="771" spans="1:8">
      <c r="A771" s="812"/>
      <c r="B771" s="812"/>
      <c r="C771" s="812"/>
      <c r="D771" s="812"/>
      <c r="E771" s="812"/>
      <c r="F771" s="812"/>
      <c r="G771" s="812"/>
      <c r="H771" s="812"/>
    </row>
    <row r="772" spans="1:8">
      <c r="A772" s="812"/>
      <c r="B772" s="812"/>
      <c r="C772" s="812"/>
      <c r="D772" s="812"/>
      <c r="E772" s="812"/>
      <c r="F772" s="812"/>
      <c r="G772" s="812"/>
      <c r="H772" s="812"/>
    </row>
    <row r="773" spans="1:8">
      <c r="A773" s="812"/>
      <c r="B773" s="812"/>
      <c r="C773" s="812"/>
      <c r="D773" s="812"/>
      <c r="E773" s="812"/>
      <c r="F773" s="812"/>
      <c r="G773" s="812"/>
      <c r="H773" s="812"/>
    </row>
    <row r="774" spans="1:8">
      <c r="A774" s="812"/>
      <c r="B774" s="812"/>
      <c r="C774" s="812"/>
      <c r="D774" s="812"/>
      <c r="E774" s="812"/>
      <c r="F774" s="812"/>
      <c r="G774" s="812"/>
      <c r="H774" s="812"/>
    </row>
    <row r="775" spans="1:8">
      <c r="A775" s="812"/>
      <c r="B775" s="812"/>
      <c r="C775" s="812"/>
      <c r="D775" s="812"/>
      <c r="E775" s="812"/>
      <c r="F775" s="812"/>
      <c r="G775" s="812"/>
      <c r="H775" s="812"/>
    </row>
    <row r="776" spans="1:8">
      <c r="A776" s="812"/>
      <c r="B776" s="812"/>
      <c r="C776" s="812"/>
      <c r="D776" s="812"/>
      <c r="E776" s="812"/>
      <c r="F776" s="812"/>
      <c r="G776" s="812"/>
      <c r="H776" s="812"/>
    </row>
    <row r="777" spans="1:8">
      <c r="A777" s="812"/>
      <c r="B777" s="812"/>
      <c r="C777" s="812"/>
      <c r="D777" s="812"/>
      <c r="E777" s="812"/>
      <c r="F777" s="812"/>
      <c r="G777" s="812"/>
      <c r="H777" s="812"/>
    </row>
    <row r="778" spans="1:8">
      <c r="A778" s="812"/>
      <c r="B778" s="812"/>
      <c r="C778" s="812"/>
      <c r="D778" s="812"/>
      <c r="E778" s="812"/>
      <c r="F778" s="812"/>
      <c r="G778" s="812"/>
      <c r="H778" s="812"/>
    </row>
    <row r="779" spans="1:8">
      <c r="A779" s="812"/>
      <c r="B779" s="812"/>
      <c r="C779" s="812"/>
      <c r="D779" s="812"/>
      <c r="E779" s="812"/>
      <c r="F779" s="812"/>
      <c r="G779" s="812"/>
      <c r="H779" s="812"/>
    </row>
    <row r="780" spans="1:8">
      <c r="A780" s="812"/>
      <c r="B780" s="812"/>
      <c r="C780" s="812"/>
      <c r="D780" s="812"/>
      <c r="E780" s="812"/>
      <c r="F780" s="812"/>
      <c r="G780" s="812"/>
      <c r="H780" s="812"/>
    </row>
    <row r="781" spans="1:8">
      <c r="A781" s="812"/>
      <c r="B781" s="812"/>
      <c r="C781" s="812"/>
      <c r="D781" s="812"/>
      <c r="E781" s="812"/>
      <c r="F781" s="812"/>
      <c r="G781" s="812"/>
      <c r="H781" s="812"/>
    </row>
    <row r="782" spans="1:8">
      <c r="A782" s="812"/>
      <c r="B782" s="812"/>
      <c r="C782" s="812"/>
      <c r="D782" s="812"/>
      <c r="E782" s="812"/>
      <c r="F782" s="812"/>
      <c r="G782" s="812"/>
      <c r="H782" s="812"/>
    </row>
    <row r="783" spans="1:8">
      <c r="A783" s="812"/>
      <c r="B783" s="812"/>
      <c r="C783" s="812"/>
      <c r="D783" s="812"/>
      <c r="E783" s="812"/>
      <c r="F783" s="812"/>
      <c r="G783" s="812"/>
      <c r="H783" s="812"/>
    </row>
    <row r="784" spans="1:8">
      <c r="A784" s="812"/>
      <c r="B784" s="812"/>
      <c r="C784" s="812"/>
      <c r="D784" s="812"/>
      <c r="E784" s="812"/>
      <c r="F784" s="812"/>
      <c r="G784" s="812"/>
      <c r="H784" s="812"/>
    </row>
    <row r="785" spans="1:8">
      <c r="A785" s="812"/>
      <c r="B785" s="812"/>
      <c r="C785" s="812"/>
      <c r="D785" s="812"/>
      <c r="E785" s="812"/>
      <c r="F785" s="812"/>
      <c r="G785" s="812"/>
      <c r="H785" s="812"/>
    </row>
    <row r="786" spans="1:8">
      <c r="A786" s="812"/>
      <c r="B786" s="812"/>
      <c r="C786" s="812"/>
      <c r="D786" s="812"/>
      <c r="E786" s="812"/>
      <c r="F786" s="812"/>
      <c r="G786" s="812"/>
      <c r="H786" s="812"/>
    </row>
    <row r="787" spans="1:8">
      <c r="A787" s="812"/>
      <c r="B787" s="812"/>
      <c r="C787" s="812"/>
      <c r="D787" s="812"/>
      <c r="E787" s="812"/>
      <c r="F787" s="812"/>
      <c r="G787" s="812"/>
      <c r="H787" s="812"/>
    </row>
    <row r="788" spans="1:8">
      <c r="A788" s="812"/>
      <c r="B788" s="812"/>
      <c r="C788" s="812"/>
      <c r="D788" s="812"/>
      <c r="E788" s="812"/>
      <c r="F788" s="812"/>
      <c r="G788" s="812"/>
      <c r="H788" s="812"/>
    </row>
    <row r="789" spans="1:8">
      <c r="A789" s="812"/>
      <c r="B789" s="812"/>
      <c r="C789" s="812"/>
      <c r="D789" s="812"/>
      <c r="E789" s="812"/>
      <c r="F789" s="812"/>
      <c r="G789" s="812"/>
      <c r="H789" s="812"/>
    </row>
    <row r="790" spans="1:8">
      <c r="A790" s="812"/>
      <c r="B790" s="812"/>
      <c r="C790" s="812"/>
      <c r="D790" s="812"/>
      <c r="E790" s="812"/>
      <c r="F790" s="812"/>
      <c r="G790" s="812"/>
      <c r="H790" s="812"/>
    </row>
    <row r="791" spans="1:8">
      <c r="A791" s="812"/>
      <c r="B791" s="812"/>
      <c r="C791" s="812"/>
      <c r="D791" s="812"/>
      <c r="E791" s="812"/>
      <c r="F791" s="812"/>
      <c r="G791" s="812"/>
      <c r="H791" s="812"/>
    </row>
    <row r="792" spans="1:8">
      <c r="A792" s="812"/>
      <c r="B792" s="812"/>
      <c r="C792" s="812"/>
      <c r="D792" s="812"/>
      <c r="E792" s="812"/>
      <c r="F792" s="812"/>
      <c r="G792" s="812"/>
      <c r="H792" s="812"/>
    </row>
    <row r="793" spans="1:8">
      <c r="A793" s="812"/>
      <c r="B793" s="812"/>
      <c r="C793" s="812"/>
      <c r="D793" s="812"/>
      <c r="E793" s="812"/>
      <c r="F793" s="812"/>
      <c r="G793" s="812"/>
      <c r="H793" s="812"/>
    </row>
    <row r="794" spans="1:8">
      <c r="A794" s="812"/>
      <c r="B794" s="812"/>
      <c r="C794" s="812"/>
      <c r="D794" s="812"/>
      <c r="E794" s="812"/>
      <c r="F794" s="812"/>
      <c r="G794" s="812"/>
      <c r="H794" s="812"/>
    </row>
    <row r="795" spans="1:8">
      <c r="A795" s="812"/>
      <c r="B795" s="812"/>
      <c r="C795" s="812"/>
      <c r="D795" s="812"/>
      <c r="E795" s="812"/>
      <c r="F795" s="812"/>
      <c r="G795" s="812"/>
      <c r="H795" s="812"/>
    </row>
    <row r="796" spans="1:8">
      <c r="A796" s="812"/>
      <c r="B796" s="812"/>
      <c r="C796" s="812"/>
      <c r="D796" s="812"/>
      <c r="E796" s="812"/>
      <c r="F796" s="812"/>
      <c r="G796" s="812"/>
      <c r="H796" s="812"/>
    </row>
    <row r="797" spans="1:8">
      <c r="A797" s="812"/>
      <c r="B797" s="812"/>
      <c r="C797" s="812"/>
      <c r="D797" s="812"/>
      <c r="E797" s="812"/>
      <c r="F797" s="812"/>
      <c r="G797" s="812"/>
      <c r="H797" s="812"/>
    </row>
    <row r="798" spans="1:8">
      <c r="A798" s="812"/>
      <c r="B798" s="812"/>
      <c r="C798" s="812"/>
      <c r="D798" s="812"/>
      <c r="E798" s="812"/>
      <c r="F798" s="812"/>
      <c r="G798" s="812"/>
      <c r="H798" s="812"/>
    </row>
    <row r="799" spans="1:8">
      <c r="A799" s="812"/>
      <c r="B799" s="812"/>
      <c r="C799" s="812"/>
      <c r="D799" s="812"/>
      <c r="E799" s="812"/>
      <c r="F799" s="812"/>
      <c r="G799" s="812"/>
      <c r="H799" s="812"/>
    </row>
    <row r="800" spans="1:8">
      <c r="A800" s="812"/>
      <c r="B800" s="812"/>
      <c r="C800" s="812"/>
      <c r="D800" s="812"/>
      <c r="E800" s="812"/>
      <c r="F800" s="812"/>
      <c r="G800" s="812"/>
      <c r="H800" s="812"/>
    </row>
    <row r="801" spans="1:8">
      <c r="A801" s="812"/>
      <c r="B801" s="812"/>
      <c r="C801" s="812"/>
      <c r="D801" s="812"/>
      <c r="E801" s="812"/>
      <c r="F801" s="812"/>
      <c r="G801" s="812"/>
      <c r="H801" s="812"/>
    </row>
    <row r="802" spans="1:8">
      <c r="A802" s="812"/>
      <c r="B802" s="812"/>
      <c r="C802" s="812"/>
      <c r="D802" s="812"/>
      <c r="E802" s="812"/>
      <c r="F802" s="812"/>
      <c r="G802" s="812"/>
      <c r="H802" s="812"/>
    </row>
    <row r="803" spans="1:8">
      <c r="A803" s="812"/>
      <c r="B803" s="812"/>
      <c r="C803" s="812"/>
      <c r="D803" s="812"/>
      <c r="E803" s="812"/>
      <c r="F803" s="812"/>
      <c r="G803" s="812"/>
      <c r="H803" s="812"/>
    </row>
    <row r="804" spans="1:8">
      <c r="A804" s="812"/>
      <c r="B804" s="812"/>
      <c r="C804" s="812"/>
      <c r="D804" s="812"/>
      <c r="E804" s="812"/>
      <c r="F804" s="812"/>
      <c r="G804" s="812"/>
      <c r="H804" s="812"/>
    </row>
    <row r="805" spans="1:8">
      <c r="A805" s="812"/>
      <c r="B805" s="812"/>
      <c r="C805" s="812"/>
      <c r="D805" s="812"/>
      <c r="E805" s="812"/>
      <c r="F805" s="812"/>
      <c r="G805" s="812"/>
      <c r="H805" s="812"/>
    </row>
    <row r="806" spans="1:8">
      <c r="A806" s="812"/>
      <c r="B806" s="812"/>
      <c r="C806" s="812"/>
      <c r="D806" s="812"/>
      <c r="E806" s="812"/>
      <c r="F806" s="812"/>
      <c r="G806" s="812"/>
      <c r="H806" s="812"/>
    </row>
    <row r="807" spans="1:8">
      <c r="A807" s="812"/>
      <c r="B807" s="812"/>
      <c r="C807" s="812"/>
      <c r="D807" s="812"/>
      <c r="E807" s="812"/>
      <c r="F807" s="812"/>
      <c r="G807" s="812"/>
      <c r="H807" s="812"/>
    </row>
    <row r="808" spans="1:8">
      <c r="A808" s="812"/>
      <c r="B808" s="812"/>
      <c r="C808" s="812"/>
      <c r="D808" s="812"/>
      <c r="E808" s="812"/>
      <c r="F808" s="812"/>
      <c r="G808" s="812"/>
      <c r="H808" s="812"/>
    </row>
    <row r="809" spans="1:8">
      <c r="A809" s="812"/>
      <c r="B809" s="812"/>
      <c r="C809" s="812"/>
      <c r="D809" s="812"/>
      <c r="E809" s="812"/>
      <c r="F809" s="812"/>
      <c r="G809" s="812"/>
      <c r="H809" s="812"/>
    </row>
    <row r="810" spans="1:8">
      <c r="A810" s="812"/>
      <c r="B810" s="812"/>
      <c r="C810" s="812"/>
      <c r="D810" s="812"/>
      <c r="E810" s="812"/>
      <c r="F810" s="812"/>
      <c r="G810" s="812"/>
      <c r="H810" s="812"/>
    </row>
    <row r="811" spans="1:8">
      <c r="A811" s="812"/>
      <c r="B811" s="812"/>
      <c r="C811" s="812"/>
      <c r="D811" s="812"/>
      <c r="E811" s="812"/>
      <c r="F811" s="812"/>
      <c r="G811" s="812"/>
      <c r="H811" s="812"/>
    </row>
    <row r="812" spans="1:8">
      <c r="A812" s="812"/>
      <c r="B812" s="812"/>
      <c r="C812" s="812"/>
      <c r="D812" s="812"/>
      <c r="E812" s="812"/>
      <c r="F812" s="812"/>
      <c r="G812" s="812"/>
      <c r="H812" s="812"/>
    </row>
    <row r="813" spans="1:8">
      <c r="A813" s="812"/>
      <c r="B813" s="812"/>
      <c r="C813" s="812"/>
      <c r="D813" s="812"/>
      <c r="E813" s="812"/>
      <c r="F813" s="812"/>
      <c r="G813" s="812"/>
      <c r="H813" s="812"/>
    </row>
    <row r="814" spans="1:8">
      <c r="A814" s="812"/>
      <c r="B814" s="812"/>
      <c r="C814" s="812"/>
      <c r="D814" s="812"/>
      <c r="E814" s="812"/>
      <c r="F814" s="812"/>
      <c r="G814" s="812"/>
      <c r="H814" s="812"/>
    </row>
    <row r="815" spans="1:8">
      <c r="A815" s="812"/>
      <c r="B815" s="812"/>
      <c r="C815" s="812"/>
      <c r="D815" s="812"/>
      <c r="E815" s="812"/>
      <c r="F815" s="812"/>
      <c r="G815" s="812"/>
      <c r="H815" s="812"/>
    </row>
    <row r="816" spans="1:8">
      <c r="A816" s="812"/>
      <c r="B816" s="812"/>
      <c r="C816" s="812"/>
      <c r="D816" s="812"/>
      <c r="E816" s="812"/>
      <c r="F816" s="812"/>
      <c r="G816" s="812"/>
      <c r="H816" s="812"/>
    </row>
    <row r="817" spans="1:8">
      <c r="A817" s="812"/>
      <c r="B817" s="812"/>
      <c r="C817" s="812"/>
      <c r="D817" s="812"/>
      <c r="E817" s="812"/>
      <c r="F817" s="812"/>
      <c r="G817" s="812"/>
      <c r="H817" s="812"/>
    </row>
    <row r="818" spans="1:8">
      <c r="A818" s="812"/>
      <c r="B818" s="812"/>
      <c r="C818" s="812"/>
      <c r="D818" s="812"/>
      <c r="E818" s="812"/>
      <c r="F818" s="812"/>
      <c r="G818" s="812"/>
      <c r="H818" s="812"/>
    </row>
    <row r="819" spans="1:8">
      <c r="A819" s="812"/>
      <c r="B819" s="812"/>
      <c r="C819" s="812"/>
      <c r="D819" s="812"/>
      <c r="E819" s="812"/>
      <c r="F819" s="812"/>
      <c r="G819" s="812"/>
      <c r="H819" s="812"/>
    </row>
    <row r="820" spans="1:8">
      <c r="A820" s="812"/>
      <c r="B820" s="812"/>
      <c r="C820" s="812"/>
      <c r="D820" s="812"/>
      <c r="E820" s="812"/>
      <c r="F820" s="812"/>
      <c r="G820" s="812"/>
      <c r="H820" s="812"/>
    </row>
    <row r="821" spans="1:8">
      <c r="A821" s="812"/>
      <c r="B821" s="812"/>
      <c r="C821" s="812"/>
      <c r="D821" s="812"/>
      <c r="E821" s="812"/>
      <c r="F821" s="812"/>
      <c r="G821" s="812"/>
      <c r="H821" s="812"/>
    </row>
    <row r="822" spans="1:8">
      <c r="A822" s="812"/>
      <c r="B822" s="812"/>
      <c r="C822" s="812"/>
      <c r="D822" s="812"/>
      <c r="E822" s="812"/>
      <c r="F822" s="812"/>
      <c r="G822" s="812"/>
      <c r="H822" s="812"/>
    </row>
    <row r="823" spans="1:8">
      <c r="A823" s="812"/>
      <c r="B823" s="812"/>
      <c r="C823" s="812"/>
      <c r="D823" s="812"/>
      <c r="E823" s="812"/>
      <c r="F823" s="812"/>
      <c r="G823" s="812"/>
      <c r="H823" s="812"/>
    </row>
    <row r="824" spans="1:8">
      <c r="A824" s="812"/>
      <c r="B824" s="812"/>
      <c r="C824" s="812"/>
      <c r="D824" s="812"/>
      <c r="E824" s="812"/>
      <c r="F824" s="812"/>
      <c r="G824" s="812"/>
      <c r="H824" s="812"/>
    </row>
    <row r="825" spans="1:8">
      <c r="A825" s="812"/>
      <c r="B825" s="812"/>
      <c r="C825" s="812"/>
      <c r="D825" s="812"/>
      <c r="E825" s="812"/>
      <c r="F825" s="812"/>
      <c r="G825" s="812"/>
      <c r="H825" s="812"/>
    </row>
    <row r="826" spans="1:8">
      <c r="A826" s="812"/>
      <c r="B826" s="812"/>
      <c r="C826" s="812"/>
      <c r="D826" s="812"/>
      <c r="E826" s="812"/>
      <c r="F826" s="812"/>
      <c r="G826" s="812"/>
      <c r="H826" s="812"/>
    </row>
    <row r="827" spans="1:8">
      <c r="A827" s="812"/>
      <c r="B827" s="812"/>
      <c r="C827" s="812"/>
      <c r="D827" s="812"/>
      <c r="E827" s="812"/>
      <c r="F827" s="812"/>
      <c r="G827" s="812"/>
      <c r="H827" s="812"/>
    </row>
    <row r="828" spans="1:8">
      <c r="A828" s="812"/>
      <c r="B828" s="812"/>
      <c r="C828" s="812"/>
      <c r="D828" s="812"/>
      <c r="E828" s="812"/>
      <c r="F828" s="812"/>
      <c r="G828" s="812"/>
      <c r="H828" s="812"/>
    </row>
    <row r="829" spans="1:8">
      <c r="A829" s="812"/>
      <c r="B829" s="812"/>
      <c r="C829" s="812"/>
      <c r="D829" s="812"/>
      <c r="E829" s="812"/>
      <c r="F829" s="812"/>
      <c r="G829" s="812"/>
      <c r="H829" s="812"/>
    </row>
    <row r="830" spans="1:8">
      <c r="A830" s="812"/>
      <c r="B830" s="812"/>
      <c r="C830" s="812"/>
      <c r="D830" s="812"/>
      <c r="E830" s="812"/>
      <c r="F830" s="812"/>
      <c r="G830" s="812"/>
      <c r="H830" s="812"/>
    </row>
    <row r="831" spans="1:8">
      <c r="A831" s="812"/>
      <c r="B831" s="812"/>
      <c r="C831" s="812"/>
      <c r="D831" s="812"/>
      <c r="E831" s="812"/>
      <c r="F831" s="812"/>
      <c r="G831" s="812"/>
      <c r="H831" s="812"/>
    </row>
    <row r="832" spans="1:8">
      <c r="A832" s="812"/>
      <c r="B832" s="812"/>
      <c r="C832" s="812"/>
      <c r="D832" s="812"/>
      <c r="E832" s="812"/>
      <c r="F832" s="812"/>
      <c r="G832" s="812"/>
      <c r="H832" s="812"/>
    </row>
    <row r="833" spans="1:8">
      <c r="A833" s="812"/>
      <c r="B833" s="812"/>
      <c r="C833" s="812"/>
      <c r="D833" s="812"/>
      <c r="E833" s="812"/>
      <c r="F833" s="812"/>
      <c r="G833" s="812"/>
      <c r="H833" s="812"/>
    </row>
    <row r="834" spans="1:8">
      <c r="A834" s="812"/>
      <c r="B834" s="812"/>
      <c r="C834" s="812"/>
      <c r="D834" s="812"/>
      <c r="E834" s="812"/>
      <c r="F834" s="812"/>
      <c r="G834" s="812"/>
      <c r="H834" s="812"/>
    </row>
    <row r="835" spans="1:8">
      <c r="A835" s="812"/>
      <c r="B835" s="812"/>
      <c r="C835" s="812"/>
      <c r="D835" s="812"/>
      <c r="E835" s="812"/>
      <c r="F835" s="812"/>
      <c r="G835" s="812"/>
      <c r="H835" s="812"/>
    </row>
    <row r="836" spans="1:8">
      <c r="A836" s="812"/>
      <c r="B836" s="812"/>
      <c r="C836" s="812"/>
      <c r="D836" s="812"/>
      <c r="E836" s="812"/>
      <c r="F836" s="812"/>
      <c r="G836" s="812"/>
      <c r="H836" s="812"/>
    </row>
    <row r="837" spans="1:8">
      <c r="A837" s="812"/>
      <c r="B837" s="812"/>
      <c r="C837" s="812"/>
      <c r="D837" s="812"/>
      <c r="E837" s="812"/>
      <c r="F837" s="812"/>
      <c r="G837" s="812"/>
      <c r="H837" s="812"/>
    </row>
    <row r="838" spans="1:8">
      <c r="A838" s="812"/>
      <c r="B838" s="812"/>
      <c r="C838" s="812"/>
      <c r="D838" s="812"/>
      <c r="E838" s="812"/>
      <c r="F838" s="812"/>
      <c r="G838" s="812"/>
      <c r="H838" s="812"/>
    </row>
    <row r="839" spans="1:8">
      <c r="A839" s="812"/>
      <c r="B839" s="812"/>
      <c r="C839" s="812"/>
      <c r="D839" s="812"/>
      <c r="E839" s="812"/>
      <c r="F839" s="812"/>
      <c r="G839" s="812"/>
      <c r="H839" s="812"/>
    </row>
    <row r="840" spans="1:8">
      <c r="A840" s="812"/>
      <c r="B840" s="812"/>
      <c r="C840" s="812"/>
      <c r="D840" s="812"/>
      <c r="E840" s="812"/>
      <c r="F840" s="812"/>
      <c r="G840" s="812"/>
      <c r="H840" s="812"/>
    </row>
    <row r="841" spans="1:8">
      <c r="A841" s="812"/>
      <c r="B841" s="812"/>
      <c r="C841" s="812"/>
      <c r="D841" s="812"/>
      <c r="E841" s="812"/>
      <c r="F841" s="812"/>
      <c r="G841" s="812"/>
      <c r="H841" s="812"/>
    </row>
    <row r="842" spans="1:8">
      <c r="A842" s="812"/>
      <c r="B842" s="812"/>
      <c r="C842" s="812"/>
      <c r="D842" s="812"/>
      <c r="E842" s="812"/>
      <c r="F842" s="812"/>
      <c r="G842" s="812"/>
      <c r="H842" s="812"/>
    </row>
    <row r="843" spans="1:8">
      <c r="A843" s="812"/>
      <c r="B843" s="812"/>
      <c r="C843" s="812"/>
      <c r="D843" s="812"/>
      <c r="E843" s="812"/>
      <c r="F843" s="812"/>
      <c r="G843" s="812"/>
      <c r="H843" s="812"/>
    </row>
    <row r="844" spans="1:8">
      <c r="A844" s="812"/>
      <c r="B844" s="812"/>
      <c r="C844" s="812"/>
      <c r="D844" s="812"/>
      <c r="E844" s="812"/>
      <c r="F844" s="812"/>
      <c r="G844" s="812"/>
      <c r="H844" s="812"/>
    </row>
    <row r="845" spans="1:8">
      <c r="A845" s="812"/>
      <c r="B845" s="812"/>
      <c r="C845" s="812"/>
      <c r="D845" s="812"/>
      <c r="E845" s="812"/>
      <c r="F845" s="812"/>
      <c r="G845" s="812"/>
      <c r="H845" s="812"/>
    </row>
    <row r="846" spans="1:8">
      <c r="A846" s="812"/>
      <c r="B846" s="812"/>
      <c r="C846" s="812"/>
      <c r="D846" s="812"/>
      <c r="E846" s="812"/>
      <c r="F846" s="812"/>
      <c r="G846" s="812"/>
      <c r="H846" s="812"/>
    </row>
    <row r="847" spans="1:8">
      <c r="A847" s="812"/>
      <c r="B847" s="812"/>
      <c r="C847" s="812"/>
      <c r="D847" s="812"/>
      <c r="E847" s="812"/>
      <c r="F847" s="812"/>
      <c r="G847" s="812"/>
      <c r="H847" s="812"/>
    </row>
    <row r="848" spans="1:8">
      <c r="A848" s="812"/>
      <c r="B848" s="812"/>
      <c r="C848" s="812"/>
      <c r="D848" s="812"/>
      <c r="E848" s="812"/>
      <c r="F848" s="812"/>
      <c r="G848" s="812"/>
      <c r="H848" s="812"/>
    </row>
    <row r="849" spans="1:8">
      <c r="A849" s="812"/>
      <c r="B849" s="812"/>
      <c r="C849" s="812"/>
      <c r="D849" s="812"/>
      <c r="E849" s="812"/>
      <c r="F849" s="812"/>
      <c r="G849" s="812"/>
      <c r="H849" s="812"/>
    </row>
    <row r="850" spans="1:8">
      <c r="A850" s="812"/>
      <c r="B850" s="812"/>
      <c r="C850" s="812"/>
      <c r="D850" s="812"/>
      <c r="E850" s="812"/>
      <c r="F850" s="812"/>
      <c r="G850" s="812"/>
      <c r="H850" s="812"/>
    </row>
    <row r="851" spans="1:8">
      <c r="A851" s="812"/>
      <c r="B851" s="812"/>
      <c r="C851" s="812"/>
      <c r="D851" s="812"/>
      <c r="E851" s="812"/>
      <c r="F851" s="812"/>
      <c r="G851" s="812"/>
      <c r="H851" s="812"/>
    </row>
    <row r="852" spans="1:8">
      <c r="A852" s="812"/>
      <c r="B852" s="812"/>
      <c r="C852" s="812"/>
      <c r="D852" s="812"/>
      <c r="E852" s="812"/>
      <c r="F852" s="812"/>
      <c r="G852" s="812"/>
      <c r="H852" s="812"/>
    </row>
    <row r="853" spans="1:8">
      <c r="A853" s="812"/>
      <c r="B853" s="812"/>
      <c r="C853" s="812"/>
      <c r="D853" s="812"/>
      <c r="E853" s="812"/>
      <c r="F853" s="812"/>
      <c r="G853" s="812"/>
      <c r="H853" s="812"/>
    </row>
    <row r="854" spans="1:8">
      <c r="A854" s="812"/>
      <c r="B854" s="812"/>
      <c r="C854" s="812"/>
      <c r="D854" s="812"/>
      <c r="E854" s="812"/>
      <c r="F854" s="812"/>
      <c r="G854" s="812"/>
      <c r="H854" s="812"/>
    </row>
    <row r="855" spans="1:8">
      <c r="A855" s="812"/>
      <c r="B855" s="812"/>
      <c r="C855" s="812"/>
      <c r="D855" s="812"/>
      <c r="E855" s="812"/>
      <c r="F855" s="812"/>
      <c r="G855" s="812"/>
      <c r="H855" s="812"/>
    </row>
    <row r="856" spans="1:8">
      <c r="A856" s="812"/>
      <c r="B856" s="812"/>
      <c r="C856" s="812"/>
      <c r="D856" s="812"/>
      <c r="E856" s="812"/>
      <c r="F856" s="812"/>
      <c r="G856" s="812"/>
      <c r="H856" s="812"/>
    </row>
    <row r="857" spans="1:8">
      <c r="A857" s="812"/>
      <c r="B857" s="812"/>
      <c r="C857" s="812"/>
      <c r="D857" s="812"/>
      <c r="E857" s="812"/>
      <c r="F857" s="812"/>
      <c r="G857" s="812"/>
      <c r="H857" s="812"/>
    </row>
    <row r="858" spans="1:8">
      <c r="A858" s="812"/>
      <c r="B858" s="812"/>
      <c r="C858" s="812"/>
      <c r="D858" s="812"/>
      <c r="E858" s="812"/>
      <c r="F858" s="812"/>
      <c r="G858" s="812"/>
      <c r="H858" s="812"/>
    </row>
    <row r="859" spans="1:8">
      <c r="A859" s="812"/>
      <c r="B859" s="812"/>
      <c r="C859" s="812"/>
      <c r="D859" s="812"/>
      <c r="E859" s="812"/>
      <c r="F859" s="812"/>
      <c r="G859" s="812"/>
      <c r="H859" s="812"/>
    </row>
    <row r="860" spans="1:8">
      <c r="A860" s="812"/>
      <c r="B860" s="812"/>
      <c r="C860" s="812"/>
      <c r="D860" s="812"/>
      <c r="E860" s="812"/>
      <c r="F860" s="812"/>
      <c r="G860" s="812"/>
      <c r="H860" s="812"/>
    </row>
    <row r="861" spans="1:8">
      <c r="A861" s="812"/>
      <c r="B861" s="812"/>
      <c r="C861" s="812"/>
      <c r="D861" s="812"/>
      <c r="E861" s="812"/>
      <c r="F861" s="812"/>
      <c r="G861" s="812"/>
      <c r="H861" s="812"/>
    </row>
    <row r="862" spans="1:8">
      <c r="A862" s="812"/>
      <c r="B862" s="812"/>
      <c r="C862" s="812"/>
      <c r="D862" s="812"/>
      <c r="E862" s="812"/>
      <c r="F862" s="812"/>
      <c r="G862" s="812"/>
      <c r="H862" s="812"/>
    </row>
    <row r="863" spans="1:8">
      <c r="A863" s="812"/>
      <c r="B863" s="812"/>
      <c r="C863" s="812"/>
      <c r="D863" s="812"/>
      <c r="E863" s="812"/>
      <c r="F863" s="812"/>
      <c r="G863" s="812"/>
      <c r="H863" s="812"/>
    </row>
    <row r="864" spans="1:8">
      <c r="A864" s="812"/>
      <c r="B864" s="812"/>
      <c r="C864" s="812"/>
      <c r="D864" s="812"/>
      <c r="E864" s="812"/>
      <c r="F864" s="812"/>
      <c r="G864" s="812"/>
      <c r="H864" s="812"/>
    </row>
    <row r="865" spans="1:8">
      <c r="A865" s="812"/>
      <c r="B865" s="812"/>
      <c r="C865" s="812"/>
      <c r="D865" s="812"/>
      <c r="E865" s="812"/>
      <c r="F865" s="812"/>
      <c r="G865" s="812"/>
      <c r="H865" s="812"/>
    </row>
    <row r="866" spans="1:8">
      <c r="A866" s="812"/>
      <c r="B866" s="812"/>
      <c r="C866" s="812"/>
      <c r="D866" s="812"/>
      <c r="E866" s="812"/>
      <c r="F866" s="812"/>
      <c r="G866" s="812"/>
      <c r="H866" s="812"/>
    </row>
    <row r="867" spans="1:8">
      <c r="A867" s="812"/>
      <c r="B867" s="812"/>
      <c r="C867" s="812"/>
      <c r="D867" s="812"/>
      <c r="E867" s="812"/>
      <c r="F867" s="812"/>
      <c r="G867" s="812"/>
      <c r="H867" s="812"/>
    </row>
    <row r="868" spans="1:8">
      <c r="A868" s="812"/>
      <c r="B868" s="812"/>
      <c r="C868" s="812"/>
      <c r="D868" s="812"/>
      <c r="E868" s="812"/>
      <c r="F868" s="812"/>
      <c r="G868" s="812"/>
      <c r="H868" s="812"/>
    </row>
    <row r="869" spans="1:8">
      <c r="A869" s="812"/>
      <c r="B869" s="812"/>
      <c r="C869" s="812"/>
      <c r="D869" s="812"/>
      <c r="E869" s="812"/>
      <c r="F869" s="812"/>
      <c r="G869" s="812"/>
      <c r="H869" s="812"/>
    </row>
    <row r="870" spans="1:8">
      <c r="A870" s="812"/>
      <c r="B870" s="812"/>
      <c r="C870" s="812"/>
      <c r="D870" s="812"/>
      <c r="E870" s="812"/>
      <c r="F870" s="812"/>
      <c r="G870" s="812"/>
      <c r="H870" s="812"/>
    </row>
    <row r="871" spans="1:8">
      <c r="A871" s="812"/>
      <c r="B871" s="812"/>
      <c r="C871" s="812"/>
      <c r="D871" s="812"/>
      <c r="E871" s="812"/>
      <c r="F871" s="812"/>
      <c r="G871" s="812"/>
      <c r="H871" s="812"/>
    </row>
    <row r="872" spans="1:8">
      <c r="A872" s="812"/>
      <c r="B872" s="812"/>
      <c r="C872" s="812"/>
      <c r="D872" s="812"/>
      <c r="E872" s="812"/>
      <c r="F872" s="812"/>
      <c r="G872" s="812"/>
      <c r="H872" s="812"/>
    </row>
    <row r="873" spans="1:8">
      <c r="A873" s="812"/>
      <c r="B873" s="812"/>
      <c r="C873" s="812"/>
      <c r="D873" s="812"/>
      <c r="E873" s="812"/>
      <c r="F873" s="812"/>
      <c r="G873" s="812"/>
      <c r="H873" s="812"/>
    </row>
    <row r="874" spans="1:8">
      <c r="A874" s="812"/>
      <c r="B874" s="812"/>
      <c r="C874" s="812"/>
      <c r="D874" s="812"/>
      <c r="E874" s="812"/>
      <c r="F874" s="812"/>
      <c r="G874" s="812"/>
      <c r="H874" s="812"/>
    </row>
    <row r="875" spans="1:8">
      <c r="A875" s="812"/>
      <c r="B875" s="812"/>
      <c r="C875" s="812"/>
      <c r="D875" s="812"/>
      <c r="E875" s="812"/>
      <c r="F875" s="812"/>
      <c r="G875" s="812"/>
      <c r="H875" s="812"/>
    </row>
    <row r="876" spans="1:8">
      <c r="A876" s="812"/>
      <c r="B876" s="812"/>
      <c r="C876" s="812"/>
      <c r="D876" s="812"/>
      <c r="E876" s="812"/>
      <c r="F876" s="812"/>
      <c r="G876" s="812"/>
      <c r="H876" s="812"/>
    </row>
    <row r="877" spans="1:8">
      <c r="A877" s="812"/>
      <c r="B877" s="812"/>
      <c r="C877" s="812"/>
      <c r="D877" s="812"/>
      <c r="E877" s="812"/>
      <c r="F877" s="812"/>
      <c r="G877" s="812"/>
      <c r="H877" s="812"/>
    </row>
    <row r="878" spans="1:8">
      <c r="A878" s="812"/>
      <c r="B878" s="812"/>
      <c r="C878" s="812"/>
      <c r="D878" s="812"/>
      <c r="E878" s="812"/>
      <c r="F878" s="812"/>
      <c r="G878" s="812"/>
      <c r="H878" s="812"/>
    </row>
    <row r="879" spans="1:8">
      <c r="A879" s="812"/>
      <c r="B879" s="812"/>
      <c r="C879" s="812"/>
      <c r="D879" s="812"/>
      <c r="E879" s="812"/>
      <c r="F879" s="812"/>
      <c r="G879" s="812"/>
      <c r="H879" s="812"/>
    </row>
    <row r="880" spans="1:8">
      <c r="A880" s="812"/>
      <c r="B880" s="812"/>
      <c r="C880" s="812"/>
      <c r="D880" s="812"/>
      <c r="E880" s="812"/>
      <c r="F880" s="812"/>
      <c r="G880" s="812"/>
      <c r="H880" s="812"/>
    </row>
    <row r="881" spans="1:8">
      <c r="A881" s="812"/>
      <c r="B881" s="812"/>
      <c r="C881" s="812"/>
      <c r="D881" s="812"/>
      <c r="E881" s="812"/>
      <c r="F881" s="812"/>
      <c r="G881" s="812"/>
      <c r="H881" s="812"/>
    </row>
    <row r="882" spans="1:8">
      <c r="A882" s="812"/>
      <c r="B882" s="812"/>
      <c r="C882" s="812"/>
      <c r="D882" s="812"/>
      <c r="E882" s="812"/>
      <c r="F882" s="812"/>
      <c r="G882" s="812"/>
      <c r="H882" s="812"/>
    </row>
    <row r="883" spans="1:8">
      <c r="A883" s="812"/>
      <c r="B883" s="812"/>
      <c r="C883" s="812"/>
      <c r="D883" s="812"/>
      <c r="E883" s="812"/>
      <c r="F883" s="812"/>
      <c r="G883" s="812"/>
      <c r="H883" s="812"/>
    </row>
    <row r="884" spans="1:8">
      <c r="A884" s="812"/>
      <c r="B884" s="812"/>
      <c r="C884" s="812"/>
      <c r="D884" s="812"/>
      <c r="E884" s="812"/>
      <c r="F884" s="812"/>
      <c r="G884" s="812"/>
      <c r="H884" s="812"/>
    </row>
    <row r="885" spans="1:8">
      <c r="A885" s="812"/>
      <c r="B885" s="812"/>
      <c r="C885" s="812"/>
      <c r="D885" s="812"/>
      <c r="E885" s="812"/>
      <c r="F885" s="812"/>
      <c r="G885" s="812"/>
      <c r="H885" s="812"/>
    </row>
    <row r="886" spans="1:8">
      <c r="A886" s="812"/>
      <c r="B886" s="812"/>
      <c r="C886" s="812"/>
      <c r="D886" s="812"/>
      <c r="E886" s="812"/>
      <c r="F886" s="812"/>
      <c r="G886" s="812"/>
      <c r="H886" s="812"/>
    </row>
    <row r="887" spans="1:8">
      <c r="A887" s="812"/>
      <c r="B887" s="812"/>
      <c r="C887" s="812"/>
      <c r="D887" s="812"/>
      <c r="E887" s="812"/>
      <c r="F887" s="812"/>
      <c r="G887" s="812"/>
      <c r="H887" s="812"/>
    </row>
    <row r="888" spans="1:8">
      <c r="A888" s="812"/>
      <c r="B888" s="812"/>
      <c r="C888" s="812"/>
      <c r="D888" s="812"/>
      <c r="E888" s="812"/>
      <c r="F888" s="812"/>
      <c r="G888" s="812"/>
      <c r="H888" s="812"/>
    </row>
    <row r="889" spans="1:8">
      <c r="A889" s="812"/>
      <c r="B889" s="812"/>
      <c r="C889" s="812"/>
      <c r="D889" s="812"/>
      <c r="E889" s="812"/>
      <c r="F889" s="812"/>
      <c r="G889" s="812"/>
      <c r="H889" s="812"/>
    </row>
    <row r="890" spans="1:8">
      <c r="A890" s="812"/>
      <c r="B890" s="812"/>
      <c r="C890" s="812"/>
      <c r="D890" s="812"/>
      <c r="E890" s="812"/>
      <c r="F890" s="812"/>
      <c r="G890" s="812"/>
      <c r="H890" s="812"/>
    </row>
    <row r="891" spans="1:8">
      <c r="A891" s="812"/>
      <c r="B891" s="812"/>
      <c r="C891" s="812"/>
      <c r="D891" s="812"/>
      <c r="E891" s="812"/>
      <c r="F891" s="812"/>
      <c r="G891" s="812"/>
      <c r="H891" s="812"/>
    </row>
    <row r="892" spans="1:8">
      <c r="A892" s="812"/>
      <c r="B892" s="812"/>
      <c r="C892" s="812"/>
      <c r="D892" s="812"/>
      <c r="E892" s="812"/>
      <c r="F892" s="812"/>
      <c r="G892" s="812"/>
      <c r="H892" s="812"/>
    </row>
    <row r="893" spans="1:8">
      <c r="A893" s="812"/>
      <c r="B893" s="812"/>
      <c r="C893" s="812"/>
      <c r="D893" s="812"/>
      <c r="E893" s="812"/>
      <c r="F893" s="812"/>
      <c r="G893" s="812"/>
      <c r="H893" s="812"/>
    </row>
    <row r="894" spans="1:8">
      <c r="A894" s="812"/>
      <c r="B894" s="812"/>
      <c r="C894" s="812"/>
      <c r="D894" s="812"/>
      <c r="E894" s="812"/>
      <c r="F894" s="812"/>
      <c r="G894" s="812"/>
      <c r="H894" s="812"/>
    </row>
    <row r="895" spans="1:8">
      <c r="A895" s="812"/>
      <c r="B895" s="812"/>
      <c r="C895" s="812"/>
      <c r="D895" s="812"/>
      <c r="E895" s="812"/>
      <c r="F895" s="812"/>
      <c r="G895" s="812"/>
      <c r="H895" s="812"/>
    </row>
    <row r="896" spans="1:8">
      <c r="A896" s="812"/>
      <c r="B896" s="812"/>
      <c r="C896" s="812"/>
      <c r="D896" s="812"/>
      <c r="E896" s="812"/>
      <c r="F896" s="812"/>
      <c r="G896" s="812"/>
      <c r="H896" s="812"/>
    </row>
    <row r="897" spans="1:8">
      <c r="A897" s="812"/>
      <c r="B897" s="812"/>
      <c r="C897" s="812"/>
      <c r="D897" s="812"/>
      <c r="E897" s="812"/>
      <c r="F897" s="812"/>
      <c r="G897" s="812"/>
      <c r="H897" s="812"/>
    </row>
    <row r="898" spans="1:8">
      <c r="A898" s="812"/>
      <c r="B898" s="812"/>
      <c r="C898" s="812"/>
      <c r="D898" s="812"/>
      <c r="E898" s="812"/>
      <c r="F898" s="812"/>
      <c r="G898" s="812"/>
      <c r="H898" s="812"/>
    </row>
    <row r="899" spans="1:8">
      <c r="A899" s="812"/>
      <c r="B899" s="812"/>
      <c r="C899" s="812"/>
      <c r="D899" s="812"/>
      <c r="E899" s="812"/>
      <c r="F899" s="812"/>
      <c r="G899" s="812"/>
      <c r="H899" s="812"/>
    </row>
    <row r="900" spans="1:8">
      <c r="A900" s="812"/>
      <c r="B900" s="812"/>
      <c r="C900" s="812"/>
      <c r="D900" s="812"/>
      <c r="E900" s="812"/>
      <c r="F900" s="812"/>
      <c r="G900" s="812"/>
      <c r="H900" s="812"/>
    </row>
    <row r="901" spans="1:8">
      <c r="A901" s="812"/>
      <c r="B901" s="812"/>
      <c r="C901" s="812"/>
      <c r="D901" s="812"/>
      <c r="E901" s="812"/>
      <c r="F901" s="812"/>
      <c r="G901" s="812"/>
      <c r="H901" s="812"/>
    </row>
    <row r="902" spans="1:8">
      <c r="A902" s="812"/>
      <c r="B902" s="812"/>
      <c r="C902" s="812"/>
      <c r="D902" s="812"/>
      <c r="E902" s="812"/>
      <c r="F902" s="812"/>
      <c r="G902" s="812"/>
      <c r="H902" s="812"/>
    </row>
    <row r="903" spans="1:8">
      <c r="A903" s="812"/>
      <c r="B903" s="812"/>
      <c r="C903" s="812"/>
      <c r="D903" s="812"/>
      <c r="E903" s="812"/>
      <c r="F903" s="812"/>
      <c r="G903" s="812"/>
      <c r="H903" s="812"/>
    </row>
    <row r="904" spans="1:8">
      <c r="A904" s="812"/>
      <c r="B904" s="812"/>
      <c r="C904" s="812"/>
      <c r="D904" s="812"/>
      <c r="E904" s="812"/>
      <c r="F904" s="812"/>
      <c r="G904" s="812"/>
      <c r="H904" s="812"/>
    </row>
    <row r="905" spans="1:8">
      <c r="A905" s="812"/>
      <c r="B905" s="812"/>
      <c r="C905" s="812"/>
      <c r="D905" s="812"/>
      <c r="E905" s="812"/>
      <c r="F905" s="812"/>
      <c r="G905" s="812"/>
      <c r="H905" s="812"/>
    </row>
    <row r="906" spans="1:8">
      <c r="A906" s="812"/>
      <c r="B906" s="812"/>
      <c r="C906" s="812"/>
      <c r="D906" s="812"/>
      <c r="E906" s="812"/>
      <c r="F906" s="812"/>
      <c r="G906" s="812"/>
      <c r="H906" s="812"/>
    </row>
    <row r="907" spans="1:8">
      <c r="A907" s="812"/>
      <c r="B907" s="812"/>
      <c r="C907" s="812"/>
      <c r="D907" s="812"/>
      <c r="E907" s="812"/>
      <c r="F907" s="812"/>
      <c r="G907" s="812"/>
      <c r="H907" s="812"/>
    </row>
    <row r="908" spans="1:8">
      <c r="A908" s="812"/>
      <c r="B908" s="812"/>
      <c r="C908" s="812"/>
      <c r="D908" s="812"/>
      <c r="E908" s="812"/>
      <c r="F908" s="812"/>
      <c r="G908" s="812"/>
      <c r="H908" s="812"/>
    </row>
    <row r="909" spans="1:8">
      <c r="A909" s="812"/>
      <c r="B909" s="812"/>
      <c r="C909" s="812"/>
      <c r="D909" s="812"/>
      <c r="E909" s="812"/>
      <c r="F909" s="812"/>
      <c r="G909" s="812"/>
      <c r="H909" s="812"/>
    </row>
    <row r="910" spans="1:8">
      <c r="A910" s="812"/>
      <c r="B910" s="812"/>
      <c r="C910" s="812"/>
      <c r="D910" s="812"/>
      <c r="E910" s="812"/>
      <c r="F910" s="812"/>
      <c r="G910" s="812"/>
      <c r="H910" s="812"/>
    </row>
    <row r="911" spans="1:8">
      <c r="A911" s="812"/>
      <c r="B911" s="812"/>
      <c r="C911" s="812"/>
      <c r="D911" s="812"/>
      <c r="E911" s="812"/>
      <c r="F911" s="812"/>
      <c r="G911" s="812"/>
      <c r="H911" s="812"/>
    </row>
    <row r="912" spans="1:8">
      <c r="A912" s="812"/>
      <c r="B912" s="812"/>
      <c r="C912" s="812"/>
      <c r="D912" s="812"/>
      <c r="E912" s="812"/>
      <c r="F912" s="812"/>
      <c r="G912" s="812"/>
      <c r="H912" s="812"/>
    </row>
    <row r="913" spans="1:8">
      <c r="A913" s="812"/>
      <c r="B913" s="812"/>
      <c r="C913" s="812"/>
      <c r="D913" s="812"/>
      <c r="E913" s="812"/>
      <c r="F913" s="812"/>
      <c r="G913" s="812"/>
      <c r="H913" s="812"/>
    </row>
    <row r="914" spans="1:8">
      <c r="A914" s="812"/>
      <c r="B914" s="812"/>
      <c r="C914" s="812"/>
      <c r="D914" s="812"/>
      <c r="E914" s="812"/>
      <c r="F914" s="812"/>
      <c r="G914" s="812"/>
      <c r="H914" s="812"/>
    </row>
    <row r="915" spans="1:8">
      <c r="A915" s="812"/>
      <c r="B915" s="812"/>
      <c r="C915" s="812"/>
      <c r="D915" s="812"/>
      <c r="E915" s="812"/>
      <c r="F915" s="812"/>
      <c r="G915" s="812"/>
      <c r="H915" s="812"/>
    </row>
    <row r="916" spans="1:8">
      <c r="A916" s="812"/>
      <c r="B916" s="812"/>
      <c r="C916" s="812"/>
      <c r="D916" s="812"/>
      <c r="E916" s="812"/>
      <c r="F916" s="812"/>
      <c r="G916" s="812"/>
      <c r="H916" s="812"/>
    </row>
    <row r="917" spans="1:8">
      <c r="A917" s="812"/>
      <c r="B917" s="812"/>
      <c r="C917" s="812"/>
      <c r="D917" s="812"/>
      <c r="E917" s="812"/>
      <c r="F917" s="812"/>
      <c r="G917" s="812"/>
      <c r="H917" s="812"/>
    </row>
    <row r="918" spans="1:8">
      <c r="A918" s="812"/>
      <c r="B918" s="812"/>
      <c r="C918" s="812"/>
      <c r="D918" s="812"/>
      <c r="E918" s="812"/>
      <c r="F918" s="812"/>
      <c r="G918" s="812"/>
      <c r="H918" s="812"/>
    </row>
    <row r="919" spans="1:8">
      <c r="A919" s="812"/>
      <c r="B919" s="812"/>
      <c r="C919" s="812"/>
      <c r="D919" s="812"/>
      <c r="E919" s="812"/>
      <c r="F919" s="812"/>
      <c r="G919" s="812"/>
      <c r="H919" s="812"/>
    </row>
    <row r="920" spans="1:8">
      <c r="A920" s="812"/>
      <c r="B920" s="812"/>
      <c r="C920" s="812"/>
      <c r="D920" s="812"/>
      <c r="E920" s="812"/>
      <c r="F920" s="812"/>
      <c r="G920" s="812"/>
      <c r="H920" s="812"/>
    </row>
    <row r="921" spans="1:8">
      <c r="A921" s="812"/>
      <c r="B921" s="812"/>
      <c r="C921" s="812"/>
      <c r="D921" s="812"/>
      <c r="E921" s="812"/>
      <c r="F921" s="812"/>
      <c r="G921" s="812"/>
      <c r="H921" s="812"/>
    </row>
    <row r="922" spans="1:8">
      <c r="A922" s="812"/>
      <c r="B922" s="812"/>
      <c r="C922" s="812"/>
      <c r="D922" s="812"/>
      <c r="E922" s="812"/>
      <c r="F922" s="812"/>
      <c r="G922" s="812"/>
      <c r="H922" s="812"/>
    </row>
    <row r="923" spans="1:8">
      <c r="A923" s="812"/>
      <c r="B923" s="812"/>
      <c r="C923" s="812"/>
      <c r="D923" s="812"/>
      <c r="E923" s="812"/>
      <c r="F923" s="812"/>
      <c r="G923" s="812"/>
      <c r="H923" s="812"/>
    </row>
    <row r="924" spans="1:8">
      <c r="A924" s="812"/>
      <c r="B924" s="812"/>
      <c r="C924" s="812"/>
      <c r="D924" s="812"/>
      <c r="E924" s="812"/>
      <c r="F924" s="812"/>
      <c r="G924" s="812"/>
      <c r="H924" s="812"/>
    </row>
    <row r="925" spans="1:8">
      <c r="A925" s="812"/>
      <c r="B925" s="812"/>
      <c r="C925" s="812"/>
      <c r="D925" s="812"/>
      <c r="E925" s="812"/>
      <c r="F925" s="812"/>
      <c r="G925" s="812"/>
      <c r="H925" s="812"/>
    </row>
    <row r="926" spans="1:8">
      <c r="A926" s="812"/>
      <c r="B926" s="812"/>
      <c r="C926" s="812"/>
      <c r="D926" s="812"/>
      <c r="E926" s="812"/>
      <c r="F926" s="812"/>
      <c r="G926" s="812"/>
      <c r="H926" s="812"/>
    </row>
    <row r="927" spans="1:8">
      <c r="A927" s="812"/>
      <c r="B927" s="812"/>
      <c r="C927" s="812"/>
      <c r="D927" s="812"/>
      <c r="E927" s="812"/>
      <c r="F927" s="812"/>
      <c r="G927" s="812"/>
      <c r="H927" s="812"/>
    </row>
    <row r="928" spans="1:8">
      <c r="A928" s="812"/>
      <c r="B928" s="812"/>
      <c r="C928" s="812"/>
      <c r="D928" s="812"/>
      <c r="E928" s="812"/>
      <c r="F928" s="812"/>
      <c r="G928" s="812"/>
      <c r="H928" s="812"/>
    </row>
    <row r="929" spans="1:8">
      <c r="A929" s="812"/>
      <c r="B929" s="812"/>
      <c r="C929" s="812"/>
      <c r="D929" s="812"/>
      <c r="E929" s="812"/>
      <c r="F929" s="812"/>
      <c r="G929" s="812"/>
      <c r="H929" s="812"/>
    </row>
    <row r="930" spans="1:8">
      <c r="A930" s="812"/>
      <c r="B930" s="812"/>
      <c r="C930" s="812"/>
      <c r="D930" s="812"/>
      <c r="E930" s="812"/>
      <c r="F930" s="812"/>
      <c r="G930" s="812"/>
      <c r="H930" s="812"/>
    </row>
    <row r="931" spans="1:8">
      <c r="A931" s="812"/>
      <c r="B931" s="812"/>
      <c r="C931" s="812"/>
      <c r="D931" s="812"/>
      <c r="E931" s="812"/>
      <c r="F931" s="812"/>
      <c r="G931" s="812"/>
      <c r="H931" s="812"/>
    </row>
    <row r="932" spans="1:8">
      <c r="A932" s="812"/>
      <c r="B932" s="812"/>
      <c r="C932" s="812"/>
      <c r="D932" s="812"/>
      <c r="E932" s="812"/>
      <c r="F932" s="812"/>
      <c r="G932" s="812"/>
      <c r="H932" s="812"/>
    </row>
    <row r="933" spans="1:8">
      <c r="A933" s="812"/>
      <c r="B933" s="812"/>
      <c r="C933" s="812"/>
      <c r="D933" s="812"/>
      <c r="E933" s="812"/>
      <c r="F933" s="812"/>
      <c r="G933" s="812"/>
      <c r="H933" s="812"/>
    </row>
    <row r="934" spans="1:8">
      <c r="A934" s="812"/>
      <c r="B934" s="812"/>
      <c r="C934" s="812"/>
      <c r="D934" s="812"/>
      <c r="E934" s="812"/>
      <c r="F934" s="812"/>
      <c r="G934" s="812"/>
      <c r="H934" s="812"/>
    </row>
    <row r="935" spans="1:8">
      <c r="A935" s="812"/>
      <c r="B935" s="812"/>
      <c r="C935" s="812"/>
      <c r="D935" s="812"/>
      <c r="E935" s="812"/>
      <c r="F935" s="812"/>
      <c r="G935" s="812"/>
      <c r="H935" s="812"/>
    </row>
    <row r="936" spans="1:8">
      <c r="A936" s="812"/>
      <c r="B936" s="812"/>
      <c r="C936" s="812"/>
      <c r="D936" s="812"/>
      <c r="E936" s="812"/>
      <c r="F936" s="812"/>
      <c r="G936" s="812"/>
      <c r="H936" s="812"/>
    </row>
    <row r="937" spans="1:8">
      <c r="A937" s="812"/>
      <c r="B937" s="812"/>
      <c r="C937" s="812"/>
      <c r="D937" s="812"/>
      <c r="E937" s="812"/>
      <c r="F937" s="812"/>
      <c r="G937" s="812"/>
      <c r="H937" s="812"/>
    </row>
    <row r="938" spans="1:8">
      <c r="A938" s="812"/>
      <c r="B938" s="812"/>
      <c r="C938" s="812"/>
      <c r="D938" s="812"/>
      <c r="E938" s="812"/>
      <c r="F938" s="812"/>
      <c r="G938" s="812"/>
      <c r="H938" s="812"/>
    </row>
    <row r="939" spans="1:8">
      <c r="A939" s="812"/>
      <c r="B939" s="812"/>
      <c r="C939" s="812"/>
      <c r="D939" s="812"/>
      <c r="E939" s="812"/>
      <c r="F939" s="812"/>
      <c r="G939" s="812"/>
      <c r="H939" s="812"/>
    </row>
    <row r="940" spans="1:8">
      <c r="A940" s="812"/>
      <c r="B940" s="812"/>
      <c r="C940" s="812"/>
      <c r="D940" s="812"/>
      <c r="E940" s="812"/>
      <c r="F940" s="812"/>
      <c r="G940" s="812"/>
      <c r="H940" s="812"/>
    </row>
    <row r="941" spans="1:8">
      <c r="A941" s="812"/>
      <c r="B941" s="812"/>
      <c r="C941" s="812"/>
      <c r="D941" s="812"/>
      <c r="E941" s="812"/>
      <c r="F941" s="812"/>
      <c r="G941" s="812"/>
      <c r="H941" s="812"/>
    </row>
    <row r="942" spans="1:8">
      <c r="A942" s="812"/>
      <c r="B942" s="812"/>
      <c r="C942" s="812"/>
      <c r="D942" s="812"/>
      <c r="E942" s="812"/>
      <c r="F942" s="812"/>
      <c r="G942" s="812"/>
      <c r="H942" s="812"/>
    </row>
    <row r="943" spans="1:8">
      <c r="A943" s="812"/>
      <c r="B943" s="812"/>
      <c r="C943" s="812"/>
      <c r="D943" s="812"/>
      <c r="E943" s="812"/>
      <c r="F943" s="812"/>
      <c r="G943" s="812"/>
      <c r="H943" s="812"/>
    </row>
    <row r="944" spans="1:8">
      <c r="A944" s="812"/>
      <c r="B944" s="812"/>
      <c r="C944" s="812"/>
      <c r="D944" s="812"/>
      <c r="E944" s="812"/>
      <c r="F944" s="812"/>
      <c r="G944" s="812"/>
      <c r="H944" s="812"/>
    </row>
    <row r="945" spans="1:8">
      <c r="A945" s="812"/>
      <c r="B945" s="812"/>
      <c r="C945" s="812"/>
      <c r="D945" s="812"/>
      <c r="E945" s="812"/>
      <c r="F945" s="812"/>
      <c r="G945" s="812"/>
      <c r="H945" s="812"/>
    </row>
    <row r="946" spans="1:8">
      <c r="A946" s="812"/>
      <c r="B946" s="812"/>
      <c r="C946" s="812"/>
      <c r="D946" s="812"/>
      <c r="E946" s="812"/>
      <c r="F946" s="812"/>
      <c r="G946" s="812"/>
      <c r="H946" s="812"/>
    </row>
    <row r="947" spans="1:8">
      <c r="A947" s="812"/>
      <c r="B947" s="812"/>
      <c r="C947" s="812"/>
      <c r="D947" s="812"/>
      <c r="E947" s="812"/>
      <c r="F947" s="812"/>
      <c r="G947" s="812"/>
      <c r="H947" s="812"/>
    </row>
    <row r="948" spans="1:8">
      <c r="A948" s="812"/>
      <c r="B948" s="812"/>
      <c r="C948" s="812"/>
      <c r="D948" s="812"/>
      <c r="E948" s="812"/>
      <c r="F948" s="812"/>
      <c r="G948" s="812"/>
      <c r="H948" s="812"/>
    </row>
    <row r="949" spans="1:8">
      <c r="A949" s="812"/>
      <c r="B949" s="812"/>
      <c r="C949" s="812"/>
      <c r="D949" s="812"/>
      <c r="E949" s="812"/>
      <c r="F949" s="812"/>
      <c r="G949" s="812"/>
      <c r="H949" s="812"/>
    </row>
    <row r="950" spans="1:8">
      <c r="A950" s="812"/>
      <c r="B950" s="812"/>
      <c r="C950" s="812"/>
      <c r="D950" s="812"/>
      <c r="E950" s="812"/>
      <c r="F950" s="812"/>
      <c r="G950" s="812"/>
      <c r="H950" s="812"/>
    </row>
    <row r="951" spans="1:8">
      <c r="A951" s="812"/>
      <c r="B951" s="812"/>
      <c r="C951" s="812"/>
      <c r="D951" s="812"/>
      <c r="E951" s="812"/>
      <c r="F951" s="812"/>
      <c r="G951" s="812"/>
      <c r="H951" s="812"/>
    </row>
    <row r="952" spans="1:8">
      <c r="A952" s="812"/>
      <c r="B952" s="812"/>
      <c r="C952" s="812"/>
      <c r="D952" s="812"/>
      <c r="E952" s="812"/>
      <c r="F952" s="812"/>
      <c r="G952" s="812"/>
      <c r="H952" s="812"/>
    </row>
    <row r="953" spans="1:8">
      <c r="A953" s="812"/>
      <c r="B953" s="812"/>
      <c r="C953" s="812"/>
      <c r="D953" s="812"/>
      <c r="E953" s="812"/>
      <c r="F953" s="812"/>
      <c r="G953" s="812"/>
      <c r="H953" s="812"/>
    </row>
    <row r="954" spans="1:8">
      <c r="A954" s="812"/>
      <c r="B954" s="812"/>
      <c r="C954" s="812"/>
      <c r="D954" s="812"/>
      <c r="E954" s="812"/>
      <c r="F954" s="812"/>
      <c r="G954" s="812"/>
      <c r="H954" s="812"/>
    </row>
    <row r="955" spans="1:8">
      <c r="A955" s="812"/>
      <c r="B955" s="812"/>
      <c r="C955" s="812"/>
      <c r="D955" s="812"/>
      <c r="E955" s="812"/>
      <c r="F955" s="812"/>
      <c r="G955" s="812"/>
      <c r="H955" s="812"/>
    </row>
    <row r="956" spans="1:8">
      <c r="A956" s="812"/>
      <c r="B956" s="812"/>
      <c r="C956" s="812"/>
      <c r="D956" s="812"/>
      <c r="E956" s="812"/>
      <c r="F956" s="812"/>
      <c r="G956" s="812"/>
      <c r="H956" s="812"/>
    </row>
    <row r="957" spans="1:8">
      <c r="A957" s="812"/>
      <c r="B957" s="812"/>
      <c r="C957" s="812"/>
      <c r="D957" s="812"/>
      <c r="E957" s="812"/>
      <c r="F957" s="812"/>
      <c r="G957" s="812"/>
      <c r="H957" s="812"/>
    </row>
    <row r="958" spans="1:8">
      <c r="A958" s="812"/>
      <c r="B958" s="812"/>
      <c r="C958" s="812"/>
      <c r="D958" s="812"/>
      <c r="E958" s="812"/>
      <c r="F958" s="812"/>
      <c r="G958" s="812"/>
      <c r="H958" s="812"/>
    </row>
    <row r="959" spans="1:8">
      <c r="A959" s="812"/>
      <c r="B959" s="812"/>
      <c r="C959" s="812"/>
      <c r="D959" s="812"/>
      <c r="E959" s="812"/>
      <c r="F959" s="812"/>
      <c r="G959" s="812"/>
      <c r="H959" s="812"/>
    </row>
    <row r="960" spans="1:8">
      <c r="A960" s="812"/>
      <c r="B960" s="812"/>
      <c r="C960" s="812"/>
      <c r="D960" s="812"/>
      <c r="E960" s="812"/>
      <c r="F960" s="812"/>
      <c r="G960" s="812"/>
      <c r="H960" s="812"/>
    </row>
    <row r="961" spans="1:8">
      <c r="A961" s="812"/>
      <c r="B961" s="812"/>
      <c r="C961" s="812"/>
      <c r="D961" s="812"/>
      <c r="E961" s="812"/>
      <c r="F961" s="812"/>
      <c r="G961" s="812"/>
      <c r="H961" s="812"/>
    </row>
    <row r="962" spans="1:8">
      <c r="A962" s="812"/>
      <c r="B962" s="812"/>
      <c r="C962" s="812"/>
      <c r="D962" s="812"/>
      <c r="E962" s="812"/>
      <c r="F962" s="812"/>
      <c r="G962" s="812"/>
      <c r="H962" s="812"/>
    </row>
    <row r="963" spans="1:8">
      <c r="A963" s="812"/>
      <c r="B963" s="812"/>
      <c r="C963" s="812"/>
      <c r="D963" s="812"/>
      <c r="E963" s="812"/>
      <c r="F963" s="812"/>
      <c r="G963" s="812"/>
      <c r="H963" s="812"/>
    </row>
    <row r="964" spans="1:8">
      <c r="A964" s="812"/>
      <c r="B964" s="812"/>
      <c r="C964" s="812"/>
      <c r="D964" s="812"/>
      <c r="E964" s="812"/>
      <c r="F964" s="812"/>
      <c r="G964" s="812"/>
      <c r="H964" s="812"/>
    </row>
    <row r="965" spans="1:8">
      <c r="A965" s="812"/>
      <c r="B965" s="812"/>
      <c r="C965" s="812"/>
      <c r="D965" s="812"/>
      <c r="E965" s="812"/>
      <c r="F965" s="812"/>
      <c r="G965" s="812"/>
      <c r="H965" s="812"/>
    </row>
    <row r="966" spans="1:8">
      <c r="A966" s="812"/>
      <c r="B966" s="812"/>
      <c r="C966" s="812"/>
      <c r="D966" s="812"/>
      <c r="E966" s="812"/>
      <c r="F966" s="812"/>
      <c r="G966" s="812"/>
      <c r="H966" s="812"/>
    </row>
    <row r="967" spans="1:8">
      <c r="A967" s="812"/>
      <c r="B967" s="812"/>
      <c r="C967" s="812"/>
      <c r="D967" s="812"/>
      <c r="E967" s="812"/>
      <c r="F967" s="812"/>
      <c r="G967" s="812"/>
      <c r="H967" s="812"/>
    </row>
    <row r="968" spans="1:8">
      <c r="A968" s="812"/>
      <c r="B968" s="812"/>
      <c r="C968" s="812"/>
      <c r="D968" s="812"/>
      <c r="E968" s="812"/>
      <c r="F968" s="812"/>
      <c r="G968" s="812"/>
      <c r="H968" s="812"/>
    </row>
    <row r="969" spans="1:8">
      <c r="A969" s="812"/>
      <c r="B969" s="812"/>
      <c r="C969" s="812"/>
      <c r="D969" s="812"/>
      <c r="E969" s="812"/>
      <c r="F969" s="812"/>
      <c r="G969" s="812"/>
      <c r="H969" s="812"/>
    </row>
    <row r="970" spans="1:8">
      <c r="A970" s="812"/>
      <c r="B970" s="812"/>
      <c r="C970" s="812"/>
      <c r="D970" s="812"/>
      <c r="E970" s="812"/>
      <c r="F970" s="812"/>
      <c r="G970" s="812"/>
      <c r="H970" s="812"/>
    </row>
    <row r="971" spans="1:8">
      <c r="A971" s="812"/>
      <c r="B971" s="812"/>
      <c r="C971" s="812"/>
      <c r="D971" s="812"/>
      <c r="E971" s="812"/>
      <c r="F971" s="812"/>
      <c r="G971" s="812"/>
      <c r="H971" s="812"/>
    </row>
    <row r="972" spans="1:8">
      <c r="A972" s="812"/>
      <c r="B972" s="812"/>
      <c r="C972" s="812"/>
      <c r="D972" s="812"/>
      <c r="E972" s="812"/>
      <c r="F972" s="812"/>
      <c r="G972" s="812"/>
      <c r="H972" s="812"/>
    </row>
    <row r="973" spans="1:8">
      <c r="A973" s="812"/>
      <c r="B973" s="812"/>
      <c r="C973" s="812"/>
      <c r="D973" s="812"/>
      <c r="E973" s="812"/>
      <c r="F973" s="812"/>
      <c r="G973" s="812"/>
      <c r="H973" s="812"/>
    </row>
    <row r="974" spans="1:8">
      <c r="A974" s="812"/>
      <c r="B974" s="812"/>
      <c r="C974" s="812"/>
      <c r="D974" s="812"/>
      <c r="E974" s="812"/>
      <c r="F974" s="812"/>
      <c r="G974" s="812"/>
      <c r="H974" s="812"/>
    </row>
    <row r="975" spans="1:8">
      <c r="A975" s="812"/>
      <c r="B975" s="812"/>
      <c r="C975" s="812"/>
      <c r="D975" s="812"/>
      <c r="E975" s="812"/>
      <c r="F975" s="812"/>
      <c r="G975" s="812"/>
      <c r="H975" s="812"/>
    </row>
    <row r="976" spans="1:8">
      <c r="A976" s="812"/>
      <c r="B976" s="812"/>
      <c r="C976" s="812"/>
      <c r="D976" s="812"/>
      <c r="E976" s="812"/>
      <c r="F976" s="812"/>
      <c r="G976" s="812"/>
      <c r="H976" s="812"/>
    </row>
    <row r="977" spans="1:8">
      <c r="A977" s="812"/>
      <c r="B977" s="812"/>
      <c r="C977" s="812"/>
      <c r="D977" s="812"/>
      <c r="E977" s="812"/>
      <c r="F977" s="812"/>
      <c r="G977" s="812"/>
      <c r="H977" s="812"/>
    </row>
    <row r="978" spans="1:8">
      <c r="A978" s="812"/>
      <c r="B978" s="812"/>
      <c r="C978" s="812"/>
      <c r="D978" s="812"/>
      <c r="E978" s="812"/>
      <c r="F978" s="812"/>
      <c r="G978" s="812"/>
      <c r="H978" s="812"/>
    </row>
    <row r="979" spans="1:8">
      <c r="A979" s="812"/>
      <c r="B979" s="812"/>
      <c r="C979" s="812"/>
      <c r="D979" s="812"/>
      <c r="E979" s="812"/>
      <c r="F979" s="812"/>
      <c r="G979" s="812"/>
      <c r="H979" s="812"/>
    </row>
    <row r="980" spans="1:8">
      <c r="A980" s="812"/>
      <c r="B980" s="812"/>
      <c r="C980" s="812"/>
      <c r="D980" s="812"/>
      <c r="E980" s="812"/>
      <c r="F980" s="812"/>
      <c r="G980" s="812"/>
      <c r="H980" s="812"/>
    </row>
    <row r="981" spans="1:8">
      <c r="A981" s="812"/>
      <c r="B981" s="812"/>
      <c r="C981" s="812"/>
      <c r="D981" s="812"/>
      <c r="E981" s="812"/>
      <c r="F981" s="812"/>
      <c r="G981" s="812"/>
      <c r="H981" s="812"/>
    </row>
    <row r="982" spans="1:8">
      <c r="A982" s="812"/>
      <c r="B982" s="812"/>
      <c r="C982" s="812"/>
      <c r="D982" s="812"/>
      <c r="E982" s="812"/>
      <c r="F982" s="812"/>
      <c r="G982" s="812"/>
      <c r="H982" s="812"/>
    </row>
    <row r="983" spans="1:8">
      <c r="A983" s="812"/>
      <c r="B983" s="812"/>
      <c r="C983" s="812"/>
      <c r="D983" s="812"/>
      <c r="E983" s="812"/>
      <c r="F983" s="812"/>
      <c r="G983" s="812"/>
      <c r="H983" s="812"/>
    </row>
    <row r="984" spans="1:8">
      <c r="A984" s="812"/>
      <c r="B984" s="812"/>
      <c r="C984" s="812"/>
      <c r="D984" s="812"/>
      <c r="E984" s="812"/>
      <c r="F984" s="812"/>
      <c r="G984" s="812"/>
      <c r="H984" s="812"/>
    </row>
    <row r="985" spans="1:8">
      <c r="A985" s="812"/>
      <c r="B985" s="812"/>
      <c r="C985" s="812"/>
      <c r="D985" s="812"/>
      <c r="E985" s="812"/>
      <c r="F985" s="812"/>
      <c r="G985" s="812"/>
      <c r="H985" s="812"/>
    </row>
    <row r="986" spans="1:8">
      <c r="A986" s="812"/>
      <c r="B986" s="812"/>
      <c r="C986" s="812"/>
      <c r="D986" s="812"/>
      <c r="E986" s="812"/>
      <c r="F986" s="812"/>
      <c r="G986" s="812"/>
      <c r="H986" s="812"/>
    </row>
    <row r="987" spans="1:8">
      <c r="A987" s="812"/>
      <c r="B987" s="812"/>
      <c r="C987" s="812"/>
      <c r="D987" s="812"/>
      <c r="E987" s="812"/>
      <c r="F987" s="812"/>
      <c r="G987" s="812"/>
      <c r="H987" s="812"/>
    </row>
    <row r="988" spans="1:8">
      <c r="A988" s="812"/>
      <c r="B988" s="812"/>
      <c r="C988" s="812"/>
      <c r="D988" s="812"/>
      <c r="E988" s="812"/>
      <c r="F988" s="812"/>
      <c r="G988" s="812"/>
      <c r="H988" s="812"/>
    </row>
    <row r="989" spans="1:8">
      <c r="A989" s="812"/>
      <c r="B989" s="812"/>
      <c r="C989" s="812"/>
      <c r="D989" s="812"/>
      <c r="E989" s="812"/>
      <c r="F989" s="812"/>
      <c r="G989" s="812"/>
      <c r="H989" s="812"/>
    </row>
    <row r="990" spans="1:8">
      <c r="A990" s="812"/>
      <c r="B990" s="812"/>
      <c r="C990" s="812"/>
      <c r="D990" s="812"/>
      <c r="E990" s="812"/>
      <c r="F990" s="812"/>
      <c r="G990" s="812"/>
      <c r="H990" s="812"/>
    </row>
    <row r="991" spans="1:8">
      <c r="A991" s="812"/>
      <c r="B991" s="812"/>
      <c r="C991" s="812"/>
      <c r="D991" s="812"/>
      <c r="E991" s="812"/>
      <c r="F991" s="812"/>
      <c r="G991" s="812"/>
      <c r="H991" s="812"/>
    </row>
    <row r="992" spans="1:8">
      <c r="A992" s="812"/>
      <c r="B992" s="812"/>
      <c r="C992" s="812"/>
      <c r="D992" s="812"/>
      <c r="E992" s="812"/>
      <c r="F992" s="812"/>
      <c r="G992" s="812"/>
      <c r="H992" s="812"/>
    </row>
    <row r="993" spans="1:8">
      <c r="A993" s="812"/>
      <c r="B993" s="812"/>
      <c r="C993" s="812"/>
      <c r="D993" s="812"/>
      <c r="E993" s="812"/>
      <c r="F993" s="812"/>
      <c r="G993" s="812"/>
      <c r="H993" s="812"/>
    </row>
    <row r="994" spans="1:8">
      <c r="A994" s="812"/>
      <c r="B994" s="812"/>
      <c r="C994" s="812"/>
      <c r="D994" s="812"/>
      <c r="E994" s="812"/>
      <c r="F994" s="812"/>
      <c r="G994" s="812"/>
      <c r="H994" s="812"/>
    </row>
    <row r="995" spans="1:8">
      <c r="A995" s="812"/>
      <c r="B995" s="812"/>
      <c r="C995" s="812"/>
      <c r="D995" s="812"/>
      <c r="E995" s="812"/>
      <c r="F995" s="812"/>
      <c r="G995" s="812"/>
      <c r="H995" s="812"/>
    </row>
    <row r="996" spans="1:8">
      <c r="A996" s="812"/>
      <c r="B996" s="812"/>
      <c r="C996" s="812"/>
      <c r="D996" s="812"/>
      <c r="E996" s="812"/>
      <c r="F996" s="812"/>
      <c r="G996" s="812"/>
      <c r="H996" s="812"/>
    </row>
    <row r="997" spans="1:8">
      <c r="A997" s="812"/>
      <c r="B997" s="812"/>
      <c r="C997" s="812"/>
      <c r="D997" s="812"/>
      <c r="E997" s="812"/>
      <c r="F997" s="812"/>
      <c r="G997" s="812"/>
      <c r="H997" s="812"/>
    </row>
    <row r="998" spans="1:8">
      <c r="A998" s="812"/>
      <c r="B998" s="812"/>
      <c r="C998" s="812"/>
      <c r="D998" s="812"/>
      <c r="E998" s="812"/>
      <c r="F998" s="812"/>
      <c r="G998" s="812"/>
      <c r="H998" s="812"/>
    </row>
    <row r="999" spans="1:8">
      <c r="A999" s="812"/>
      <c r="B999" s="812"/>
      <c r="C999" s="812"/>
      <c r="D999" s="812"/>
      <c r="E999" s="812"/>
      <c r="F999" s="812"/>
      <c r="G999" s="812"/>
      <c r="H999" s="812"/>
    </row>
    <row r="1000" spans="1:8">
      <c r="A1000" s="812"/>
      <c r="B1000" s="812"/>
      <c r="C1000" s="812"/>
      <c r="D1000" s="812"/>
      <c r="E1000" s="812"/>
      <c r="F1000" s="812"/>
      <c r="G1000" s="812"/>
      <c r="H1000" s="812"/>
    </row>
    <row r="1001" spans="1:8">
      <c r="A1001" s="812"/>
      <c r="B1001" s="812"/>
      <c r="C1001" s="812"/>
      <c r="D1001" s="812"/>
      <c r="E1001" s="812"/>
      <c r="F1001" s="812"/>
      <c r="G1001" s="812"/>
      <c r="H1001" s="812"/>
    </row>
    <row r="1002" spans="1:8">
      <c r="A1002" s="812"/>
      <c r="B1002" s="812"/>
      <c r="C1002" s="812"/>
      <c r="D1002" s="812"/>
      <c r="E1002" s="812"/>
      <c r="F1002" s="812"/>
      <c r="G1002" s="812"/>
      <c r="H1002" s="812"/>
    </row>
    <row r="1003" spans="1:8">
      <c r="A1003" s="812"/>
      <c r="B1003" s="812"/>
      <c r="C1003" s="812"/>
      <c r="D1003" s="812"/>
      <c r="E1003" s="812"/>
      <c r="F1003" s="812"/>
      <c r="G1003" s="812"/>
      <c r="H1003" s="812"/>
    </row>
    <row r="1004" spans="1:8">
      <c r="A1004" s="812"/>
      <c r="B1004" s="812"/>
      <c r="C1004" s="812"/>
      <c r="D1004" s="812"/>
      <c r="E1004" s="812"/>
      <c r="F1004" s="812"/>
      <c r="G1004" s="812"/>
      <c r="H1004" s="812"/>
    </row>
    <row r="1005" spans="1:8">
      <c r="A1005" s="812"/>
      <c r="B1005" s="812"/>
      <c r="C1005" s="812"/>
      <c r="D1005" s="812"/>
      <c r="E1005" s="812"/>
      <c r="F1005" s="812"/>
      <c r="G1005" s="812"/>
      <c r="H1005" s="812"/>
    </row>
    <row r="1006" spans="1:8">
      <c r="A1006" s="812"/>
      <c r="B1006" s="812"/>
      <c r="C1006" s="812"/>
      <c r="D1006" s="812"/>
      <c r="E1006" s="812"/>
      <c r="F1006" s="812"/>
      <c r="G1006" s="812"/>
      <c r="H1006" s="812"/>
    </row>
    <row r="1007" spans="1:8">
      <c r="A1007" s="812"/>
      <c r="B1007" s="812"/>
      <c r="C1007" s="812"/>
      <c r="D1007" s="812"/>
      <c r="E1007" s="812"/>
      <c r="F1007" s="812"/>
      <c r="G1007" s="812"/>
      <c r="H1007" s="812"/>
    </row>
    <row r="1008" spans="1:8">
      <c r="A1008" s="812"/>
      <c r="B1008" s="812"/>
      <c r="C1008" s="812"/>
      <c r="D1008" s="812"/>
      <c r="E1008" s="812"/>
      <c r="F1008" s="812"/>
      <c r="G1008" s="812"/>
      <c r="H1008" s="812"/>
    </row>
    <row r="1009" spans="1:8">
      <c r="A1009" s="812"/>
      <c r="B1009" s="812"/>
      <c r="C1009" s="812"/>
      <c r="D1009" s="812"/>
      <c r="E1009" s="812"/>
      <c r="F1009" s="812"/>
      <c r="G1009" s="812"/>
      <c r="H1009" s="812"/>
    </row>
    <row r="1010" spans="1:8">
      <c r="A1010" s="812"/>
      <c r="B1010" s="812"/>
      <c r="C1010" s="812"/>
      <c r="D1010" s="812"/>
      <c r="E1010" s="812"/>
      <c r="F1010" s="812"/>
      <c r="G1010" s="812"/>
      <c r="H1010" s="812"/>
    </row>
    <row r="1011" spans="1:8">
      <c r="A1011" s="812"/>
      <c r="B1011" s="812"/>
      <c r="C1011" s="812"/>
      <c r="D1011" s="812"/>
      <c r="E1011" s="812"/>
      <c r="F1011" s="812"/>
      <c r="G1011" s="812"/>
      <c r="H1011" s="812"/>
    </row>
    <row r="1012" spans="1:8">
      <c r="A1012" s="812"/>
      <c r="B1012" s="812"/>
      <c r="C1012" s="812"/>
      <c r="D1012" s="812"/>
      <c r="E1012" s="812"/>
      <c r="F1012" s="812"/>
      <c r="G1012" s="812"/>
      <c r="H1012" s="812"/>
    </row>
    <row r="1013" spans="1:8">
      <c r="A1013" s="812"/>
      <c r="B1013" s="812"/>
      <c r="C1013" s="812"/>
      <c r="D1013" s="812"/>
      <c r="E1013" s="812"/>
      <c r="F1013" s="812"/>
      <c r="G1013" s="812"/>
      <c r="H1013" s="812"/>
    </row>
    <row r="1014" spans="1:8">
      <c r="A1014" s="812"/>
      <c r="B1014" s="812"/>
      <c r="C1014" s="812"/>
      <c r="D1014" s="812"/>
      <c r="E1014" s="812"/>
      <c r="F1014" s="812"/>
      <c r="G1014" s="812"/>
      <c r="H1014" s="812"/>
    </row>
    <row r="1015" spans="1:8">
      <c r="A1015" s="812"/>
      <c r="B1015" s="812"/>
      <c r="C1015" s="812"/>
      <c r="D1015" s="812"/>
      <c r="E1015" s="812"/>
      <c r="F1015" s="812"/>
      <c r="G1015" s="812"/>
      <c r="H1015" s="812"/>
    </row>
    <row r="1016" spans="1:8">
      <c r="A1016" s="812"/>
      <c r="B1016" s="812"/>
      <c r="C1016" s="812"/>
      <c r="D1016" s="812"/>
      <c r="E1016" s="812"/>
      <c r="F1016" s="812"/>
      <c r="G1016" s="812"/>
      <c r="H1016" s="812"/>
    </row>
    <row r="1017" spans="1:8">
      <c r="A1017" s="812"/>
      <c r="B1017" s="812"/>
      <c r="C1017" s="812"/>
      <c r="D1017" s="812"/>
      <c r="E1017" s="812"/>
      <c r="F1017" s="812"/>
      <c r="G1017" s="812"/>
      <c r="H1017" s="812"/>
    </row>
    <row r="1018" spans="1:8">
      <c r="A1018" s="812"/>
      <c r="B1018" s="812"/>
      <c r="C1018" s="812"/>
      <c r="D1018" s="812"/>
      <c r="E1018" s="812"/>
      <c r="F1018" s="812"/>
      <c r="G1018" s="812"/>
      <c r="H1018" s="812"/>
    </row>
    <row r="1019" spans="1:8">
      <c r="A1019" s="812"/>
      <c r="B1019" s="812"/>
      <c r="C1019" s="812"/>
      <c r="D1019" s="812"/>
      <c r="E1019" s="812"/>
      <c r="F1019" s="812"/>
      <c r="G1019" s="812"/>
      <c r="H1019" s="812"/>
    </row>
    <row r="1020" spans="1:8">
      <c r="A1020" s="812"/>
      <c r="B1020" s="812"/>
      <c r="C1020" s="812"/>
      <c r="D1020" s="812"/>
      <c r="E1020" s="812"/>
      <c r="F1020" s="812"/>
      <c r="G1020" s="812"/>
      <c r="H1020" s="812"/>
    </row>
    <row r="1021" spans="1:8">
      <c r="A1021" s="812"/>
      <c r="B1021" s="812"/>
      <c r="C1021" s="812"/>
      <c r="D1021" s="812"/>
      <c r="E1021" s="812"/>
      <c r="F1021" s="812"/>
      <c r="G1021" s="812"/>
      <c r="H1021" s="812"/>
    </row>
    <row r="1022" spans="1:8">
      <c r="A1022" s="812"/>
      <c r="B1022" s="812"/>
      <c r="C1022" s="812"/>
      <c r="D1022" s="812"/>
      <c r="E1022" s="812"/>
      <c r="F1022" s="812"/>
      <c r="G1022" s="812"/>
      <c r="H1022" s="812"/>
    </row>
    <row r="1023" spans="1:8">
      <c r="A1023" s="812"/>
      <c r="B1023" s="812"/>
      <c r="C1023" s="812"/>
      <c r="D1023" s="812"/>
      <c r="E1023" s="812"/>
      <c r="F1023" s="812"/>
      <c r="G1023" s="812"/>
      <c r="H1023" s="812"/>
    </row>
    <row r="1024" spans="1:8">
      <c r="A1024" s="812"/>
      <c r="B1024" s="812"/>
      <c r="C1024" s="812"/>
      <c r="D1024" s="812"/>
      <c r="E1024" s="812"/>
      <c r="F1024" s="812"/>
      <c r="G1024" s="812"/>
      <c r="H1024" s="812"/>
    </row>
    <row r="1025" spans="1:8">
      <c r="A1025" s="812"/>
      <c r="B1025" s="812"/>
      <c r="C1025" s="812"/>
      <c r="D1025" s="812"/>
      <c r="E1025" s="812"/>
      <c r="F1025" s="812"/>
      <c r="G1025" s="812"/>
      <c r="H1025" s="812"/>
    </row>
    <row r="1026" spans="1:8">
      <c r="A1026" s="812"/>
      <c r="B1026" s="812"/>
      <c r="C1026" s="812"/>
      <c r="D1026" s="812"/>
      <c r="E1026" s="812"/>
      <c r="F1026" s="812"/>
      <c r="G1026" s="812"/>
      <c r="H1026" s="812"/>
    </row>
    <row r="1027" spans="1:8">
      <c r="A1027" s="812"/>
      <c r="B1027" s="812"/>
      <c r="C1027" s="812"/>
      <c r="D1027" s="812"/>
      <c r="E1027" s="812"/>
      <c r="F1027" s="812"/>
      <c r="G1027" s="812"/>
      <c r="H1027" s="812"/>
    </row>
    <row r="1028" spans="1:8">
      <c r="A1028" s="812"/>
      <c r="B1028" s="812"/>
      <c r="C1028" s="812"/>
      <c r="D1028" s="812"/>
      <c r="E1028" s="812"/>
      <c r="F1028" s="812"/>
      <c r="G1028" s="812"/>
      <c r="H1028" s="812"/>
    </row>
    <row r="1029" spans="1:8">
      <c r="A1029" s="812"/>
      <c r="B1029" s="812"/>
      <c r="C1029" s="812"/>
      <c r="D1029" s="812"/>
      <c r="E1029" s="812"/>
      <c r="F1029" s="812"/>
      <c r="G1029" s="812"/>
      <c r="H1029" s="812"/>
    </row>
    <row r="1030" spans="1:8">
      <c r="A1030" s="812"/>
      <c r="B1030" s="812"/>
      <c r="C1030" s="812"/>
      <c r="D1030" s="812"/>
      <c r="E1030" s="812"/>
      <c r="F1030" s="812"/>
      <c r="G1030" s="812"/>
      <c r="H1030" s="812"/>
    </row>
    <row r="1031" spans="1:8">
      <c r="A1031" s="812"/>
      <c r="B1031" s="812"/>
      <c r="C1031" s="812"/>
      <c r="D1031" s="812"/>
      <c r="E1031" s="812"/>
      <c r="F1031" s="812"/>
      <c r="G1031" s="812"/>
      <c r="H1031" s="812"/>
    </row>
    <row r="1032" spans="1:8">
      <c r="A1032" s="812"/>
      <c r="B1032" s="812"/>
      <c r="C1032" s="812"/>
      <c r="D1032" s="812"/>
      <c r="E1032" s="812"/>
      <c r="F1032" s="812"/>
      <c r="G1032" s="812"/>
      <c r="H1032" s="812"/>
    </row>
    <row r="1033" spans="1:8">
      <c r="A1033" s="812"/>
      <c r="B1033" s="812"/>
      <c r="C1033" s="812"/>
      <c r="D1033" s="812"/>
      <c r="E1033" s="812"/>
      <c r="F1033" s="812"/>
      <c r="G1033" s="812"/>
      <c r="H1033" s="812"/>
    </row>
    <row r="1034" spans="1:8">
      <c r="A1034" s="812"/>
      <c r="B1034" s="812"/>
      <c r="C1034" s="812"/>
      <c r="D1034" s="812"/>
      <c r="E1034" s="812"/>
      <c r="F1034" s="812"/>
      <c r="G1034" s="812"/>
      <c r="H1034" s="812"/>
    </row>
    <row r="1035" spans="1:8">
      <c r="A1035" s="812"/>
      <c r="B1035" s="812"/>
      <c r="C1035" s="812"/>
      <c r="D1035" s="812"/>
      <c r="E1035" s="812"/>
      <c r="F1035" s="812"/>
      <c r="G1035" s="812"/>
      <c r="H1035" s="812"/>
    </row>
    <row r="1036" spans="1:8">
      <c r="A1036" s="812"/>
      <c r="B1036" s="812"/>
      <c r="C1036" s="812"/>
      <c r="D1036" s="812"/>
      <c r="E1036" s="812"/>
      <c r="F1036" s="812"/>
      <c r="G1036" s="812"/>
      <c r="H1036" s="812"/>
    </row>
    <row r="1037" spans="1:8">
      <c r="A1037" s="812"/>
      <c r="B1037" s="812"/>
      <c r="C1037" s="812"/>
      <c r="D1037" s="812"/>
      <c r="E1037" s="812"/>
      <c r="F1037" s="812"/>
      <c r="G1037" s="812"/>
      <c r="H1037" s="812"/>
    </row>
    <row r="1038" spans="1:8">
      <c r="A1038" s="812"/>
      <c r="B1038" s="812"/>
      <c r="C1038" s="812"/>
      <c r="D1038" s="812"/>
      <c r="E1038" s="812"/>
      <c r="F1038" s="812"/>
      <c r="G1038" s="812"/>
      <c r="H1038" s="812"/>
    </row>
    <row r="1039" spans="1:8">
      <c r="A1039" s="812"/>
      <c r="B1039" s="812"/>
      <c r="C1039" s="812"/>
      <c r="D1039" s="812"/>
      <c r="E1039" s="812"/>
      <c r="F1039" s="812"/>
      <c r="G1039" s="812"/>
      <c r="H1039" s="812"/>
    </row>
    <row r="1040" spans="1:8">
      <c r="A1040" s="812"/>
      <c r="B1040" s="812"/>
      <c r="C1040" s="812"/>
      <c r="D1040" s="812"/>
      <c r="E1040" s="812"/>
      <c r="F1040" s="812"/>
      <c r="G1040" s="812"/>
      <c r="H1040" s="812"/>
    </row>
    <row r="1041" spans="1:8">
      <c r="A1041" s="812"/>
      <c r="B1041" s="812"/>
      <c r="C1041" s="812"/>
      <c r="D1041" s="812"/>
      <c r="E1041" s="812"/>
      <c r="F1041" s="812"/>
      <c r="G1041" s="812"/>
      <c r="H1041" s="812"/>
    </row>
    <row r="1042" spans="1:8">
      <c r="A1042" s="812"/>
      <c r="B1042" s="812"/>
      <c r="C1042" s="812"/>
      <c r="D1042" s="812"/>
      <c r="E1042" s="812"/>
      <c r="F1042" s="812"/>
      <c r="G1042" s="812"/>
      <c r="H1042" s="812"/>
    </row>
    <row r="1043" spans="1:8">
      <c r="A1043" s="812"/>
      <c r="B1043" s="812"/>
      <c r="C1043" s="812"/>
      <c r="D1043" s="812"/>
      <c r="E1043" s="812"/>
      <c r="F1043" s="812"/>
      <c r="G1043" s="812"/>
      <c r="H1043" s="812"/>
    </row>
    <row r="1044" spans="1:8">
      <c r="A1044" s="812"/>
      <c r="B1044" s="812"/>
      <c r="C1044" s="812"/>
      <c r="D1044" s="812"/>
      <c r="E1044" s="812"/>
      <c r="F1044" s="812"/>
      <c r="G1044" s="812"/>
      <c r="H1044" s="812"/>
    </row>
    <row r="1045" spans="1:8">
      <c r="A1045" s="812"/>
      <c r="B1045" s="812"/>
      <c r="C1045" s="812"/>
      <c r="D1045" s="812"/>
      <c r="E1045" s="812"/>
      <c r="F1045" s="812"/>
      <c r="G1045" s="812"/>
      <c r="H1045" s="812"/>
    </row>
    <row r="1046" spans="1:8">
      <c r="A1046" s="812"/>
      <c r="B1046" s="812"/>
      <c r="C1046" s="812"/>
      <c r="D1046" s="812"/>
      <c r="E1046" s="812"/>
      <c r="F1046" s="812"/>
      <c r="G1046" s="812"/>
      <c r="H1046" s="812"/>
    </row>
    <row r="1047" spans="1:8">
      <c r="A1047" s="812"/>
      <c r="B1047" s="812"/>
      <c r="C1047" s="812"/>
      <c r="D1047" s="812"/>
      <c r="E1047" s="812"/>
      <c r="F1047" s="812"/>
      <c r="G1047" s="812"/>
      <c r="H1047" s="812"/>
    </row>
    <row r="1048" spans="1:8">
      <c r="A1048" s="812"/>
      <c r="B1048" s="812"/>
      <c r="C1048" s="812"/>
      <c r="D1048" s="812"/>
      <c r="E1048" s="812"/>
      <c r="F1048" s="812"/>
      <c r="G1048" s="812"/>
      <c r="H1048" s="812"/>
    </row>
    <row r="1049" spans="1:8">
      <c r="A1049" s="812"/>
      <c r="B1049" s="812"/>
      <c r="C1049" s="812"/>
      <c r="D1049" s="812"/>
      <c r="E1049" s="812"/>
      <c r="F1049" s="812"/>
      <c r="G1049" s="812"/>
      <c r="H1049" s="812"/>
    </row>
    <row r="1050" spans="1:8">
      <c r="A1050" s="812"/>
      <c r="B1050" s="812"/>
      <c r="C1050" s="812"/>
      <c r="D1050" s="812"/>
      <c r="E1050" s="812"/>
      <c r="F1050" s="812"/>
      <c r="G1050" s="812"/>
      <c r="H1050" s="812"/>
    </row>
    <row r="1051" spans="1:8">
      <c r="A1051" s="812"/>
      <c r="B1051" s="812"/>
      <c r="C1051" s="812"/>
      <c r="D1051" s="812"/>
      <c r="E1051" s="812"/>
      <c r="F1051" s="812"/>
      <c r="G1051" s="812"/>
      <c r="H1051" s="812"/>
    </row>
    <row r="1052" spans="1:8">
      <c r="A1052" s="812"/>
      <c r="B1052" s="812"/>
      <c r="C1052" s="812"/>
      <c r="D1052" s="812"/>
      <c r="E1052" s="812"/>
      <c r="F1052" s="812"/>
      <c r="G1052" s="812"/>
      <c r="H1052" s="812"/>
    </row>
    <row r="1053" spans="1:8">
      <c r="A1053" s="812"/>
      <c r="B1053" s="812"/>
      <c r="C1053" s="812"/>
      <c r="D1053" s="812"/>
      <c r="E1053" s="812"/>
      <c r="F1053" s="812"/>
      <c r="G1053" s="812"/>
      <c r="H1053" s="812"/>
    </row>
    <row r="1054" spans="1:8">
      <c r="A1054" s="812"/>
      <c r="B1054" s="812"/>
      <c r="C1054" s="812"/>
      <c r="D1054" s="812"/>
      <c r="E1054" s="812"/>
      <c r="F1054" s="812"/>
      <c r="G1054" s="812"/>
      <c r="H1054" s="812"/>
    </row>
    <row r="1055" spans="1:8">
      <c r="A1055" s="812"/>
      <c r="B1055" s="812"/>
      <c r="C1055" s="812"/>
      <c r="D1055" s="812"/>
      <c r="E1055" s="812"/>
      <c r="F1055" s="812"/>
      <c r="G1055" s="812"/>
      <c r="H1055" s="812"/>
    </row>
    <row r="1056" spans="1:8">
      <c r="A1056" s="812"/>
      <c r="B1056" s="812"/>
      <c r="C1056" s="812"/>
      <c r="D1056" s="812"/>
      <c r="E1056" s="812"/>
      <c r="F1056" s="812"/>
      <c r="G1056" s="812"/>
      <c r="H1056" s="812"/>
    </row>
    <row r="1057" spans="1:8">
      <c r="A1057" s="812"/>
      <c r="B1057" s="812"/>
      <c r="C1057" s="812"/>
      <c r="D1057" s="812"/>
      <c r="E1057" s="812"/>
      <c r="F1057" s="812"/>
      <c r="G1057" s="812"/>
      <c r="H1057" s="812"/>
    </row>
    <row r="1058" spans="1:8">
      <c r="A1058" s="812"/>
      <c r="B1058" s="812"/>
      <c r="C1058" s="812"/>
      <c r="D1058" s="812"/>
      <c r="E1058" s="812"/>
      <c r="F1058" s="812"/>
      <c r="G1058" s="812"/>
      <c r="H1058" s="812"/>
    </row>
    <row r="1059" spans="1:8">
      <c r="A1059" s="812"/>
      <c r="B1059" s="812"/>
      <c r="C1059" s="812"/>
      <c r="D1059" s="812"/>
      <c r="E1059" s="812"/>
      <c r="F1059" s="812"/>
      <c r="G1059" s="812"/>
      <c r="H1059" s="812"/>
    </row>
    <row r="1060" spans="1:8">
      <c r="A1060" s="812"/>
      <c r="B1060" s="812"/>
      <c r="C1060" s="812"/>
      <c r="D1060" s="812"/>
      <c r="E1060" s="812"/>
      <c r="F1060" s="812"/>
      <c r="G1060" s="812"/>
      <c r="H1060" s="812"/>
    </row>
    <row r="1061" spans="1:8">
      <c r="A1061" s="812"/>
      <c r="B1061" s="812"/>
      <c r="C1061" s="812"/>
      <c r="D1061" s="812"/>
      <c r="E1061" s="812"/>
      <c r="F1061" s="812"/>
      <c r="G1061" s="812"/>
      <c r="H1061" s="812"/>
    </row>
    <row r="1062" spans="1:8">
      <c r="A1062" s="812"/>
      <c r="B1062" s="812"/>
      <c r="C1062" s="812"/>
      <c r="D1062" s="812"/>
      <c r="E1062" s="812"/>
      <c r="F1062" s="812"/>
      <c r="G1062" s="812"/>
      <c r="H1062" s="812"/>
    </row>
    <row r="1063" spans="1:8">
      <c r="A1063" s="812"/>
      <c r="B1063" s="812"/>
      <c r="C1063" s="812"/>
      <c r="D1063" s="812"/>
      <c r="E1063" s="812"/>
      <c r="F1063" s="812"/>
      <c r="G1063" s="812"/>
      <c r="H1063" s="812"/>
    </row>
    <row r="1064" spans="1:8">
      <c r="A1064" s="812"/>
      <c r="B1064" s="812"/>
      <c r="C1064" s="812"/>
      <c r="D1064" s="812"/>
      <c r="E1064" s="812"/>
      <c r="F1064" s="812"/>
      <c r="G1064" s="812"/>
      <c r="H1064" s="812"/>
    </row>
    <row r="1065" spans="1:8">
      <c r="A1065" s="812"/>
      <c r="B1065" s="812"/>
      <c r="C1065" s="812"/>
      <c r="D1065" s="812"/>
      <c r="E1065" s="812"/>
      <c r="F1065" s="812"/>
      <c r="G1065" s="812"/>
      <c r="H1065" s="812"/>
    </row>
    <row r="1066" spans="1:8">
      <c r="A1066" s="812"/>
      <c r="B1066" s="812"/>
      <c r="C1066" s="812"/>
      <c r="D1066" s="812"/>
      <c r="E1066" s="812"/>
      <c r="F1066" s="812"/>
      <c r="G1066" s="812"/>
      <c r="H1066" s="812"/>
    </row>
    <row r="1067" spans="1:8">
      <c r="A1067" s="812"/>
      <c r="B1067" s="812"/>
      <c r="C1067" s="812"/>
      <c r="D1067" s="812"/>
      <c r="E1067" s="812"/>
      <c r="F1067" s="812"/>
      <c r="G1067" s="812"/>
      <c r="H1067" s="812"/>
    </row>
    <row r="1068" spans="1:8">
      <c r="A1068" s="812"/>
      <c r="B1068" s="812"/>
      <c r="C1068" s="812"/>
      <c r="D1068" s="812"/>
      <c r="E1068" s="812"/>
      <c r="F1068" s="812"/>
      <c r="G1068" s="812"/>
      <c r="H1068" s="812"/>
    </row>
    <row r="1069" spans="1:8">
      <c r="A1069" s="812"/>
      <c r="B1069" s="812"/>
      <c r="C1069" s="812"/>
      <c r="D1069" s="812"/>
      <c r="E1069" s="812"/>
      <c r="F1069" s="812"/>
      <c r="G1069" s="812"/>
      <c r="H1069" s="812"/>
    </row>
    <row r="1070" spans="1:8">
      <c r="A1070" s="812"/>
      <c r="B1070" s="812"/>
      <c r="C1070" s="812"/>
      <c r="D1070" s="812"/>
      <c r="E1070" s="812"/>
      <c r="F1070" s="812"/>
      <c r="G1070" s="812"/>
      <c r="H1070" s="812"/>
    </row>
    <row r="1071" spans="1:8">
      <c r="A1071" s="812"/>
      <c r="B1071" s="812"/>
      <c r="C1071" s="812"/>
      <c r="D1071" s="812"/>
      <c r="E1071" s="812"/>
      <c r="F1071" s="812"/>
      <c r="G1071" s="812"/>
      <c r="H1071" s="812"/>
    </row>
    <row r="1072" spans="1:8">
      <c r="A1072" s="812"/>
      <c r="B1072" s="812"/>
      <c r="C1072" s="812"/>
      <c r="D1072" s="812"/>
      <c r="E1072" s="812"/>
      <c r="F1072" s="812"/>
      <c r="G1072" s="812"/>
      <c r="H1072" s="812"/>
    </row>
    <row r="1073" spans="1:8">
      <c r="A1073" s="812"/>
      <c r="B1073" s="812"/>
      <c r="C1073" s="812"/>
      <c r="D1073" s="812"/>
      <c r="E1073" s="812"/>
      <c r="F1073" s="812"/>
      <c r="G1073" s="812"/>
      <c r="H1073" s="812"/>
    </row>
    <row r="1074" spans="1:8">
      <c r="A1074" s="812"/>
      <c r="B1074" s="812"/>
      <c r="C1074" s="812"/>
      <c r="D1074" s="812"/>
      <c r="E1074" s="812"/>
      <c r="F1074" s="812"/>
      <c r="G1074" s="812"/>
      <c r="H1074" s="812"/>
    </row>
    <row r="1075" spans="1:8">
      <c r="A1075" s="812"/>
      <c r="B1075" s="812"/>
      <c r="C1075" s="812"/>
      <c r="D1075" s="812"/>
      <c r="E1075" s="812"/>
      <c r="F1075" s="812"/>
      <c r="G1075" s="812"/>
      <c r="H1075" s="812"/>
    </row>
    <row r="1076" spans="1:8">
      <c r="A1076" s="812"/>
      <c r="B1076" s="812"/>
      <c r="C1076" s="812"/>
      <c r="D1076" s="812"/>
      <c r="E1076" s="812"/>
      <c r="F1076" s="812"/>
      <c r="G1076" s="812"/>
      <c r="H1076" s="812"/>
    </row>
    <row r="1077" spans="1:8">
      <c r="A1077" s="812"/>
      <c r="B1077" s="812"/>
      <c r="C1077" s="812"/>
      <c r="D1077" s="812"/>
      <c r="E1077" s="812"/>
      <c r="F1077" s="812"/>
      <c r="G1077" s="812"/>
      <c r="H1077" s="812"/>
    </row>
    <row r="1078" spans="1:8">
      <c r="A1078" s="812"/>
      <c r="B1078" s="812"/>
      <c r="C1078" s="812"/>
      <c r="D1078" s="812"/>
      <c r="E1078" s="812"/>
      <c r="F1078" s="812"/>
      <c r="G1078" s="812"/>
      <c r="H1078" s="812"/>
    </row>
    <row r="1079" spans="1:8">
      <c r="A1079" s="812"/>
      <c r="B1079" s="812"/>
      <c r="C1079" s="812"/>
      <c r="D1079" s="812"/>
      <c r="E1079" s="812"/>
      <c r="F1079" s="812"/>
      <c r="G1079" s="812"/>
      <c r="H1079" s="812"/>
    </row>
    <row r="1080" spans="1:8">
      <c r="A1080" s="812"/>
      <c r="B1080" s="812"/>
      <c r="C1080" s="812"/>
      <c r="D1080" s="812"/>
      <c r="E1080" s="812"/>
      <c r="F1080" s="812"/>
      <c r="G1080" s="812"/>
      <c r="H1080" s="812"/>
    </row>
    <row r="1081" spans="1:8">
      <c r="A1081" s="812"/>
      <c r="B1081" s="812"/>
      <c r="C1081" s="812"/>
      <c r="D1081" s="812"/>
      <c r="E1081" s="812"/>
      <c r="F1081" s="812"/>
      <c r="G1081" s="812"/>
      <c r="H1081" s="812"/>
    </row>
    <row r="1082" spans="1:8">
      <c r="A1082" s="812"/>
      <c r="B1082" s="812"/>
      <c r="C1082" s="812"/>
      <c r="D1082" s="812"/>
      <c r="E1082" s="812"/>
      <c r="F1082" s="812"/>
      <c r="G1082" s="812"/>
      <c r="H1082" s="812"/>
    </row>
    <row r="1083" spans="1:8">
      <c r="A1083" s="812"/>
      <c r="B1083" s="812"/>
      <c r="C1083" s="812"/>
      <c r="D1083" s="812"/>
      <c r="E1083" s="812"/>
      <c r="F1083" s="812"/>
      <c r="G1083" s="812"/>
      <c r="H1083" s="812"/>
    </row>
    <row r="1084" spans="1:8">
      <c r="A1084" s="812"/>
      <c r="B1084" s="812"/>
      <c r="C1084" s="812"/>
      <c r="D1084" s="812"/>
      <c r="E1084" s="812"/>
      <c r="F1084" s="812"/>
      <c r="G1084" s="812"/>
      <c r="H1084" s="812"/>
    </row>
    <row r="1085" spans="1:8">
      <c r="A1085" s="812"/>
      <c r="B1085" s="812"/>
      <c r="C1085" s="812"/>
      <c r="D1085" s="812"/>
      <c r="E1085" s="812"/>
      <c r="F1085" s="812"/>
      <c r="G1085" s="812"/>
      <c r="H1085" s="812"/>
    </row>
    <row r="1086" spans="1:8">
      <c r="A1086" s="812"/>
      <c r="B1086" s="812"/>
      <c r="C1086" s="812"/>
      <c r="D1086" s="812"/>
      <c r="E1086" s="812"/>
      <c r="F1086" s="812"/>
      <c r="G1086" s="812"/>
      <c r="H1086" s="812"/>
    </row>
    <row r="1087" spans="1:8">
      <c r="A1087" s="812"/>
      <c r="B1087" s="812"/>
      <c r="C1087" s="812"/>
      <c r="D1087" s="812"/>
      <c r="E1087" s="812"/>
      <c r="F1087" s="812"/>
      <c r="G1087" s="812"/>
      <c r="H1087" s="812"/>
    </row>
    <row r="1088" spans="1:8">
      <c r="A1088" s="812"/>
      <c r="B1088" s="812"/>
      <c r="C1088" s="812"/>
      <c r="D1088" s="812"/>
      <c r="E1088" s="812"/>
      <c r="F1088" s="812"/>
      <c r="G1088" s="812"/>
      <c r="H1088" s="812"/>
    </row>
    <row r="1089" spans="1:8">
      <c r="A1089" s="812"/>
      <c r="B1089" s="812"/>
      <c r="C1089" s="812"/>
      <c r="D1089" s="812"/>
      <c r="E1089" s="812"/>
      <c r="F1089" s="812"/>
      <c r="G1089" s="812"/>
      <c r="H1089" s="812"/>
    </row>
    <row r="1090" spans="1:8">
      <c r="A1090" s="812"/>
      <c r="B1090" s="812"/>
      <c r="C1090" s="812"/>
      <c r="D1090" s="812"/>
      <c r="E1090" s="812"/>
      <c r="F1090" s="812"/>
      <c r="G1090" s="812"/>
      <c r="H1090" s="812"/>
    </row>
    <row r="1091" spans="1:8">
      <c r="A1091" s="812"/>
      <c r="B1091" s="812"/>
      <c r="C1091" s="812"/>
      <c r="D1091" s="812"/>
      <c r="E1091" s="812"/>
      <c r="F1091" s="812"/>
      <c r="G1091" s="812"/>
      <c r="H1091" s="812"/>
    </row>
    <row r="1092" spans="1:8">
      <c r="A1092" s="812"/>
      <c r="B1092" s="812"/>
      <c r="C1092" s="812"/>
      <c r="D1092" s="812"/>
      <c r="E1092" s="812"/>
      <c r="F1092" s="812"/>
      <c r="G1092" s="812"/>
      <c r="H1092" s="812"/>
    </row>
    <row r="1093" spans="1:8">
      <c r="A1093" s="812"/>
      <c r="B1093" s="812"/>
      <c r="C1093" s="812"/>
      <c r="D1093" s="812"/>
      <c r="E1093" s="812"/>
      <c r="F1093" s="812"/>
      <c r="G1093" s="812"/>
      <c r="H1093" s="812"/>
    </row>
    <row r="1094" spans="1:8">
      <c r="A1094" s="812"/>
      <c r="B1094" s="812"/>
      <c r="C1094" s="812"/>
      <c r="D1094" s="812"/>
      <c r="E1094" s="812"/>
      <c r="F1094" s="812"/>
      <c r="G1094" s="812"/>
      <c r="H1094" s="812"/>
    </row>
    <row r="1095" spans="1:8">
      <c r="A1095" s="812"/>
      <c r="B1095" s="812"/>
      <c r="C1095" s="812"/>
      <c r="D1095" s="812"/>
      <c r="E1095" s="812"/>
      <c r="F1095" s="812"/>
      <c r="G1095" s="812"/>
      <c r="H1095" s="812"/>
    </row>
    <row r="1096" spans="1:8">
      <c r="A1096" s="812"/>
      <c r="B1096" s="812"/>
      <c r="C1096" s="812"/>
      <c r="D1096" s="812"/>
      <c r="E1096" s="812"/>
      <c r="F1096" s="812"/>
      <c r="G1096" s="812"/>
      <c r="H1096" s="812"/>
    </row>
    <row r="1097" spans="1:8">
      <c r="A1097" s="812"/>
      <c r="B1097" s="812"/>
      <c r="C1097" s="812"/>
      <c r="D1097" s="812"/>
      <c r="E1097" s="812"/>
      <c r="F1097" s="812"/>
      <c r="G1097" s="812"/>
      <c r="H1097" s="812"/>
    </row>
    <row r="1098" spans="1:8">
      <c r="A1098" s="812"/>
      <c r="B1098" s="812"/>
      <c r="C1098" s="812"/>
      <c r="D1098" s="812"/>
      <c r="E1098" s="812"/>
      <c r="F1098" s="812"/>
      <c r="G1098" s="812"/>
      <c r="H1098" s="812"/>
    </row>
    <row r="1099" spans="1:8">
      <c r="A1099" s="812"/>
      <c r="B1099" s="812"/>
      <c r="C1099" s="812"/>
      <c r="D1099" s="812"/>
      <c r="E1099" s="812"/>
      <c r="F1099" s="812"/>
      <c r="G1099" s="812"/>
      <c r="H1099" s="812"/>
    </row>
    <row r="1100" spans="1:8">
      <c r="A1100" s="812"/>
      <c r="B1100" s="812"/>
      <c r="C1100" s="812"/>
      <c r="D1100" s="812"/>
      <c r="E1100" s="812"/>
      <c r="F1100" s="812"/>
      <c r="G1100" s="812"/>
      <c r="H1100" s="812"/>
    </row>
    <row r="1101" spans="1:8">
      <c r="A1101" s="812"/>
      <c r="B1101" s="812"/>
      <c r="C1101" s="812"/>
      <c r="D1101" s="812"/>
      <c r="E1101" s="812"/>
      <c r="F1101" s="812"/>
      <c r="G1101" s="812"/>
      <c r="H1101" s="812"/>
    </row>
    <row r="1102" spans="1:8">
      <c r="A1102" s="812"/>
      <c r="B1102" s="812"/>
      <c r="C1102" s="812"/>
      <c r="D1102" s="812"/>
      <c r="E1102" s="812"/>
      <c r="F1102" s="812"/>
      <c r="G1102" s="812"/>
      <c r="H1102" s="812"/>
    </row>
    <row r="1103" spans="1:8">
      <c r="A1103" s="812"/>
      <c r="B1103" s="812"/>
      <c r="C1103" s="812"/>
      <c r="D1103" s="812"/>
      <c r="E1103" s="812"/>
      <c r="F1103" s="812"/>
      <c r="G1103" s="812"/>
      <c r="H1103" s="812"/>
    </row>
    <row r="1104" spans="1:8">
      <c r="A1104" s="812"/>
      <c r="B1104" s="812"/>
      <c r="C1104" s="812"/>
      <c r="D1104" s="812"/>
      <c r="E1104" s="812"/>
      <c r="F1104" s="812"/>
      <c r="G1104" s="812"/>
      <c r="H1104" s="812"/>
    </row>
    <row r="1105" spans="1:8">
      <c r="A1105" s="812"/>
      <c r="B1105" s="812"/>
      <c r="C1105" s="812"/>
      <c r="D1105" s="812"/>
      <c r="E1105" s="812"/>
      <c r="F1105" s="812"/>
      <c r="G1105" s="812"/>
      <c r="H1105" s="812"/>
    </row>
    <row r="1106" spans="1:8">
      <c r="A1106" s="812"/>
      <c r="B1106" s="812"/>
      <c r="C1106" s="812"/>
      <c r="D1106" s="812"/>
      <c r="E1106" s="812"/>
      <c r="F1106" s="812"/>
      <c r="G1106" s="812"/>
      <c r="H1106" s="812"/>
    </row>
    <row r="1107" spans="1:8">
      <c r="A1107" s="812"/>
      <c r="B1107" s="812"/>
      <c r="C1107" s="812"/>
      <c r="D1107" s="812"/>
      <c r="E1107" s="812"/>
      <c r="F1107" s="812"/>
      <c r="G1107" s="812"/>
      <c r="H1107" s="812"/>
    </row>
    <row r="1108" spans="1:8">
      <c r="A1108" s="812"/>
      <c r="B1108" s="812"/>
      <c r="C1108" s="812"/>
      <c r="D1108" s="812"/>
      <c r="E1108" s="812"/>
      <c r="F1108" s="812"/>
      <c r="G1108" s="812"/>
      <c r="H1108" s="812"/>
    </row>
    <row r="1109" spans="1:8">
      <c r="A1109" s="812"/>
      <c r="B1109" s="812"/>
      <c r="C1109" s="812"/>
      <c r="D1109" s="812"/>
      <c r="E1109" s="812"/>
      <c r="F1109" s="812"/>
      <c r="G1109" s="812"/>
      <c r="H1109" s="812"/>
    </row>
    <row r="1110" spans="1:8">
      <c r="A1110" s="812"/>
      <c r="B1110" s="812"/>
      <c r="C1110" s="812"/>
      <c r="D1110" s="812"/>
      <c r="E1110" s="812"/>
      <c r="F1110" s="812"/>
      <c r="G1110" s="812"/>
      <c r="H1110" s="812"/>
    </row>
    <row r="1111" spans="1:8">
      <c r="A1111" s="812"/>
      <c r="B1111" s="812"/>
      <c r="C1111" s="812"/>
      <c r="D1111" s="812"/>
      <c r="E1111" s="812"/>
      <c r="F1111" s="812"/>
      <c r="G1111" s="812"/>
      <c r="H1111" s="812"/>
    </row>
    <row r="1112" spans="1:8">
      <c r="A1112" s="812"/>
      <c r="B1112" s="812"/>
      <c r="C1112" s="812"/>
      <c r="D1112" s="812"/>
      <c r="E1112" s="812"/>
      <c r="F1112" s="812"/>
      <c r="G1112" s="812"/>
      <c r="H1112" s="812"/>
    </row>
    <row r="1113" spans="1:8">
      <c r="A1113" s="812"/>
      <c r="B1113" s="812"/>
      <c r="C1113" s="812"/>
      <c r="D1113" s="812"/>
      <c r="E1113" s="812"/>
      <c r="F1113" s="812"/>
      <c r="G1113" s="812"/>
      <c r="H1113" s="812"/>
    </row>
    <row r="1114" spans="1:8">
      <c r="A1114" s="812"/>
      <c r="B1114" s="812"/>
      <c r="C1114" s="812"/>
      <c r="D1114" s="812"/>
      <c r="E1114" s="812"/>
      <c r="F1114" s="812"/>
      <c r="G1114" s="812"/>
      <c r="H1114" s="812"/>
    </row>
    <row r="1115" spans="1:8">
      <c r="A1115" s="812"/>
      <c r="B1115" s="812"/>
      <c r="C1115" s="812"/>
      <c r="D1115" s="812"/>
      <c r="E1115" s="812"/>
      <c r="F1115" s="812"/>
      <c r="G1115" s="812"/>
      <c r="H1115" s="812"/>
    </row>
    <row r="1116" spans="1:8">
      <c r="A1116" s="812"/>
      <c r="B1116" s="812"/>
      <c r="C1116" s="812"/>
      <c r="D1116" s="812"/>
      <c r="E1116" s="812"/>
      <c r="F1116" s="812"/>
      <c r="G1116" s="812"/>
      <c r="H1116" s="812"/>
    </row>
    <row r="1117" spans="1:8">
      <c r="A1117" s="812"/>
      <c r="B1117" s="812"/>
      <c r="C1117" s="812"/>
      <c r="D1117" s="812"/>
      <c r="E1117" s="812"/>
      <c r="F1117" s="812"/>
      <c r="G1117" s="812"/>
      <c r="H1117" s="812"/>
    </row>
    <row r="1118" spans="1:8">
      <c r="A1118" s="812"/>
      <c r="B1118" s="812"/>
      <c r="C1118" s="812"/>
      <c r="D1118" s="812"/>
      <c r="E1118" s="812"/>
      <c r="F1118" s="812"/>
      <c r="G1118" s="812"/>
      <c r="H1118" s="812"/>
    </row>
    <row r="1119" spans="1:8">
      <c r="A1119" s="812"/>
      <c r="B1119" s="812"/>
      <c r="C1119" s="812"/>
      <c r="D1119" s="812"/>
      <c r="E1119" s="812"/>
      <c r="F1119" s="812"/>
      <c r="G1119" s="812"/>
      <c r="H1119" s="812"/>
    </row>
    <row r="1120" spans="1:8">
      <c r="A1120" s="812"/>
      <c r="B1120" s="812"/>
      <c r="C1120" s="812"/>
      <c r="D1120" s="812"/>
      <c r="E1120" s="812"/>
      <c r="F1120" s="812"/>
      <c r="G1120" s="812"/>
      <c r="H1120" s="812"/>
    </row>
    <row r="1121" spans="1:8">
      <c r="A1121" s="812"/>
      <c r="B1121" s="812"/>
      <c r="C1121" s="812"/>
      <c r="D1121" s="812"/>
      <c r="E1121" s="812"/>
      <c r="F1121" s="812"/>
      <c r="G1121" s="812"/>
      <c r="H1121" s="812"/>
    </row>
    <row r="1122" spans="1:8">
      <c r="A1122" s="812"/>
      <c r="B1122" s="812"/>
      <c r="C1122" s="812"/>
      <c r="D1122" s="812"/>
      <c r="E1122" s="812"/>
      <c r="F1122" s="812"/>
      <c r="G1122" s="812"/>
      <c r="H1122" s="812"/>
    </row>
    <row r="1123" spans="1:8">
      <c r="A1123" s="812"/>
      <c r="B1123" s="812"/>
      <c r="C1123" s="812"/>
      <c r="D1123" s="812"/>
      <c r="E1123" s="812"/>
      <c r="F1123" s="812"/>
      <c r="G1123" s="812"/>
      <c r="H1123" s="812"/>
    </row>
    <row r="1124" spans="1:8">
      <c r="A1124" s="812"/>
      <c r="B1124" s="812"/>
      <c r="C1124" s="812"/>
      <c r="D1124" s="812"/>
      <c r="E1124" s="812"/>
      <c r="F1124" s="812"/>
      <c r="G1124" s="812"/>
      <c r="H1124" s="812"/>
    </row>
    <row r="1125" spans="1:8">
      <c r="A1125" s="812"/>
      <c r="B1125" s="812"/>
      <c r="C1125" s="812"/>
      <c r="D1125" s="812"/>
      <c r="E1125" s="812"/>
      <c r="F1125" s="812"/>
      <c r="G1125" s="812"/>
      <c r="H1125" s="812"/>
    </row>
    <row r="1126" spans="1:8">
      <c r="A1126" s="812"/>
      <c r="B1126" s="812"/>
      <c r="C1126" s="812"/>
      <c r="D1126" s="812"/>
      <c r="E1126" s="812"/>
      <c r="F1126" s="812"/>
      <c r="G1126" s="812"/>
      <c r="H1126" s="812"/>
    </row>
    <row r="1127" spans="1:8">
      <c r="A1127" s="812"/>
      <c r="B1127" s="812"/>
      <c r="C1127" s="812"/>
      <c r="D1127" s="812"/>
      <c r="E1127" s="812"/>
      <c r="F1127" s="812"/>
      <c r="G1127" s="812"/>
      <c r="H1127" s="812"/>
    </row>
    <row r="1128" spans="1:8">
      <c r="A1128" s="812"/>
      <c r="B1128" s="812"/>
      <c r="C1128" s="812"/>
      <c r="D1128" s="812"/>
      <c r="E1128" s="812"/>
      <c r="F1128" s="812"/>
      <c r="G1128" s="812"/>
      <c r="H1128" s="812"/>
    </row>
    <row r="1129" spans="1:8">
      <c r="A1129" s="812"/>
      <c r="B1129" s="812"/>
      <c r="C1129" s="812"/>
      <c r="D1129" s="812"/>
      <c r="E1129" s="812"/>
      <c r="F1129" s="812"/>
      <c r="G1129" s="812"/>
      <c r="H1129" s="812"/>
    </row>
    <row r="1130" spans="1:8">
      <c r="A1130" s="812"/>
      <c r="B1130" s="812"/>
      <c r="C1130" s="812"/>
      <c r="D1130" s="812"/>
      <c r="E1130" s="812"/>
      <c r="F1130" s="812"/>
      <c r="G1130" s="812"/>
      <c r="H1130" s="812"/>
    </row>
    <row r="1131" spans="1:8">
      <c r="A1131" s="812"/>
      <c r="B1131" s="812"/>
      <c r="C1131" s="812"/>
      <c r="D1131" s="812"/>
      <c r="E1131" s="812"/>
      <c r="F1131" s="812"/>
      <c r="G1131" s="812"/>
      <c r="H1131" s="812"/>
    </row>
    <row r="1132" spans="1:8">
      <c r="A1132" s="812"/>
      <c r="B1132" s="812"/>
      <c r="C1132" s="812"/>
      <c r="D1132" s="812"/>
      <c r="E1132" s="812"/>
      <c r="F1132" s="812"/>
      <c r="G1132" s="812"/>
      <c r="H1132" s="812"/>
    </row>
    <row r="1133" spans="1:8">
      <c r="A1133" s="812"/>
      <c r="B1133" s="812"/>
      <c r="C1133" s="812"/>
      <c r="D1133" s="812"/>
      <c r="E1133" s="812"/>
      <c r="F1133" s="812"/>
      <c r="G1133" s="812"/>
      <c r="H1133" s="812"/>
    </row>
    <row r="1134" spans="1:8">
      <c r="A1134" s="812"/>
      <c r="B1134" s="812"/>
      <c r="C1134" s="812"/>
      <c r="D1134" s="812"/>
      <c r="E1134" s="812"/>
      <c r="F1134" s="812"/>
      <c r="G1134" s="812"/>
      <c r="H1134" s="812"/>
    </row>
    <row r="1135" spans="1:8">
      <c r="A1135" s="812"/>
      <c r="B1135" s="812"/>
      <c r="C1135" s="812"/>
      <c r="D1135" s="812"/>
      <c r="E1135" s="812"/>
      <c r="F1135" s="812"/>
      <c r="G1135" s="812"/>
      <c r="H1135" s="812"/>
    </row>
    <row r="1136" spans="1:8">
      <c r="A1136" s="812"/>
      <c r="B1136" s="812"/>
      <c r="C1136" s="812"/>
      <c r="D1136" s="812"/>
      <c r="E1136" s="812"/>
      <c r="F1136" s="812"/>
      <c r="G1136" s="812"/>
      <c r="H1136" s="812"/>
    </row>
    <row r="1137" spans="1:8">
      <c r="A1137" s="812"/>
      <c r="B1137" s="812"/>
      <c r="C1137" s="812"/>
      <c r="D1137" s="812"/>
      <c r="E1137" s="812"/>
      <c r="F1137" s="812"/>
      <c r="G1137" s="812"/>
      <c r="H1137" s="812"/>
    </row>
    <row r="1138" spans="1:8">
      <c r="A1138" s="812"/>
      <c r="B1138" s="812"/>
      <c r="C1138" s="812"/>
      <c r="D1138" s="812"/>
      <c r="E1138" s="812"/>
      <c r="F1138" s="812"/>
      <c r="G1138" s="812"/>
      <c r="H1138" s="812"/>
    </row>
    <row r="1139" spans="1:8">
      <c r="A1139" s="812"/>
      <c r="B1139" s="812"/>
      <c r="C1139" s="812"/>
      <c r="D1139" s="812"/>
      <c r="E1139" s="812"/>
      <c r="F1139" s="812"/>
      <c r="G1139" s="812"/>
      <c r="H1139" s="812"/>
    </row>
    <row r="1140" spans="1:8">
      <c r="A1140" s="812"/>
      <c r="B1140" s="812"/>
      <c r="C1140" s="812"/>
      <c r="D1140" s="812"/>
      <c r="E1140" s="812"/>
      <c r="F1140" s="812"/>
      <c r="G1140" s="812"/>
      <c r="H1140" s="812"/>
    </row>
    <row r="1141" spans="1:8">
      <c r="A1141" s="812"/>
      <c r="B1141" s="812"/>
      <c r="C1141" s="812"/>
      <c r="D1141" s="812"/>
      <c r="E1141" s="812"/>
      <c r="F1141" s="812"/>
      <c r="G1141" s="812"/>
      <c r="H1141" s="812"/>
    </row>
    <row r="1142" spans="1:8">
      <c r="A1142" s="812"/>
      <c r="B1142" s="812"/>
      <c r="C1142" s="812"/>
      <c r="D1142" s="812"/>
      <c r="E1142" s="812"/>
      <c r="F1142" s="812"/>
      <c r="G1142" s="812"/>
      <c r="H1142" s="812"/>
    </row>
    <row r="1143" spans="1:8">
      <c r="A1143" s="812"/>
      <c r="B1143" s="812"/>
      <c r="C1143" s="812"/>
      <c r="D1143" s="812"/>
      <c r="E1143" s="812"/>
      <c r="F1143" s="812"/>
      <c r="G1143" s="812"/>
      <c r="H1143" s="812"/>
    </row>
    <row r="1144" spans="1:8">
      <c r="A1144" s="812"/>
      <c r="B1144" s="812"/>
      <c r="C1144" s="812"/>
      <c r="D1144" s="812"/>
      <c r="E1144" s="812"/>
      <c r="F1144" s="812"/>
      <c r="G1144" s="812"/>
      <c r="H1144" s="812"/>
    </row>
    <row r="1145" spans="1:8">
      <c r="A1145" s="812"/>
      <c r="B1145" s="812"/>
      <c r="C1145" s="812"/>
      <c r="D1145" s="812"/>
      <c r="E1145" s="812"/>
      <c r="F1145" s="812"/>
      <c r="G1145" s="812"/>
      <c r="H1145" s="812"/>
    </row>
    <row r="1146" spans="1:8">
      <c r="A1146" s="812"/>
      <c r="B1146" s="812"/>
      <c r="C1146" s="812"/>
      <c r="D1146" s="812"/>
      <c r="E1146" s="812"/>
      <c r="F1146" s="812"/>
      <c r="G1146" s="812"/>
      <c r="H1146" s="812"/>
    </row>
    <row r="1147" spans="1:8">
      <c r="A1147" s="812"/>
      <c r="B1147" s="812"/>
      <c r="C1147" s="812"/>
      <c r="D1147" s="812"/>
      <c r="E1147" s="812"/>
      <c r="F1147" s="812"/>
      <c r="G1147" s="812"/>
      <c r="H1147" s="812"/>
    </row>
    <row r="1148" spans="1:8">
      <c r="A1148" s="812"/>
      <c r="B1148" s="812"/>
      <c r="C1148" s="812"/>
      <c r="D1148" s="812"/>
      <c r="E1148" s="812"/>
      <c r="F1148" s="812"/>
      <c r="G1148" s="812"/>
      <c r="H1148" s="812"/>
    </row>
    <row r="1149" spans="1:8">
      <c r="A1149" s="812"/>
      <c r="B1149" s="812"/>
      <c r="C1149" s="812"/>
      <c r="D1149" s="812"/>
      <c r="E1149" s="812"/>
      <c r="F1149" s="812"/>
      <c r="G1149" s="812"/>
      <c r="H1149" s="812"/>
    </row>
    <row r="1150" spans="1:8">
      <c r="A1150" s="812"/>
      <c r="B1150" s="812"/>
      <c r="C1150" s="812"/>
      <c r="D1150" s="812"/>
      <c r="E1150" s="812"/>
      <c r="F1150" s="812"/>
      <c r="G1150" s="812"/>
      <c r="H1150" s="812"/>
    </row>
    <row r="1151" spans="1:8">
      <c r="A1151" s="812"/>
      <c r="B1151" s="812"/>
      <c r="C1151" s="812"/>
      <c r="D1151" s="812"/>
      <c r="E1151" s="812"/>
      <c r="F1151" s="812"/>
      <c r="G1151" s="812"/>
      <c r="H1151" s="812"/>
    </row>
    <row r="1152" spans="1:8">
      <c r="A1152" s="812"/>
      <c r="B1152" s="812"/>
      <c r="C1152" s="812"/>
      <c r="D1152" s="812"/>
      <c r="E1152" s="812"/>
      <c r="F1152" s="812"/>
      <c r="G1152" s="812"/>
      <c r="H1152" s="812"/>
    </row>
    <row r="1153" spans="1:8">
      <c r="A1153" s="812"/>
      <c r="B1153" s="812"/>
      <c r="C1153" s="812"/>
      <c r="D1153" s="812"/>
      <c r="E1153" s="812"/>
      <c r="F1153" s="812"/>
      <c r="G1153" s="812"/>
      <c r="H1153" s="812"/>
    </row>
    <row r="1154" spans="1:8">
      <c r="A1154" s="812"/>
      <c r="B1154" s="812"/>
      <c r="C1154" s="812"/>
      <c r="D1154" s="812"/>
      <c r="E1154" s="812"/>
      <c r="F1154" s="812"/>
      <c r="G1154" s="812"/>
      <c r="H1154" s="812"/>
    </row>
    <row r="1155" spans="1:8">
      <c r="A1155" s="812"/>
      <c r="B1155" s="812"/>
      <c r="C1155" s="812"/>
      <c r="D1155" s="812"/>
      <c r="E1155" s="812"/>
      <c r="F1155" s="812"/>
      <c r="G1155" s="812"/>
      <c r="H1155" s="812"/>
    </row>
    <row r="1156" spans="1:8">
      <c r="A1156" s="812"/>
      <c r="B1156" s="812"/>
      <c r="C1156" s="812"/>
      <c r="D1156" s="812"/>
      <c r="E1156" s="812"/>
      <c r="F1156" s="812"/>
      <c r="G1156" s="812"/>
      <c r="H1156" s="812"/>
    </row>
    <row r="1157" spans="1:8">
      <c r="A1157" s="812"/>
      <c r="B1157" s="812"/>
      <c r="C1157" s="812"/>
      <c r="D1157" s="812"/>
      <c r="E1157" s="812"/>
      <c r="F1157" s="812"/>
      <c r="G1157" s="812"/>
      <c r="H1157" s="812"/>
    </row>
    <row r="1158" spans="1:8">
      <c r="A1158" s="812"/>
      <c r="B1158" s="812"/>
      <c r="C1158" s="812"/>
      <c r="D1158" s="812"/>
      <c r="E1158" s="812"/>
      <c r="F1158" s="812"/>
      <c r="G1158" s="812"/>
      <c r="H1158" s="812"/>
    </row>
    <row r="1159" spans="1:8">
      <c r="A1159" s="812"/>
      <c r="B1159" s="812"/>
      <c r="C1159" s="812"/>
      <c r="D1159" s="812"/>
      <c r="E1159" s="812"/>
      <c r="F1159" s="812"/>
      <c r="G1159" s="812"/>
      <c r="H1159" s="812"/>
    </row>
    <row r="1160" spans="1:8">
      <c r="A1160" s="812"/>
      <c r="B1160" s="812"/>
      <c r="C1160" s="812"/>
      <c r="D1160" s="812"/>
      <c r="E1160" s="812"/>
      <c r="F1160" s="812"/>
      <c r="G1160" s="812"/>
      <c r="H1160" s="812"/>
    </row>
    <row r="1161" spans="1:8">
      <c r="A1161" s="812"/>
      <c r="B1161" s="812"/>
      <c r="C1161" s="812"/>
      <c r="D1161" s="812"/>
      <c r="E1161" s="812"/>
      <c r="F1161" s="812"/>
      <c r="G1161" s="812"/>
      <c r="H1161" s="812"/>
    </row>
    <row r="1162" spans="1:8">
      <c r="A1162" s="812"/>
      <c r="B1162" s="812"/>
      <c r="C1162" s="812"/>
      <c r="D1162" s="812"/>
      <c r="E1162" s="812"/>
      <c r="F1162" s="812"/>
      <c r="G1162" s="812"/>
      <c r="H1162" s="812"/>
    </row>
    <row r="1163" spans="1:8">
      <c r="A1163" s="812"/>
      <c r="B1163" s="812"/>
      <c r="C1163" s="812"/>
      <c r="D1163" s="812"/>
      <c r="E1163" s="812"/>
      <c r="F1163" s="812"/>
      <c r="G1163" s="812"/>
      <c r="H1163" s="812"/>
    </row>
    <row r="1164" spans="1:8">
      <c r="A1164" s="812"/>
      <c r="B1164" s="812"/>
      <c r="C1164" s="812"/>
      <c r="D1164" s="812"/>
      <c r="E1164" s="812"/>
      <c r="F1164" s="812"/>
      <c r="G1164" s="812"/>
      <c r="H1164" s="812"/>
    </row>
    <row r="1165" spans="1:8">
      <c r="A1165" s="812"/>
      <c r="B1165" s="812"/>
      <c r="C1165" s="812"/>
      <c r="D1165" s="812"/>
      <c r="E1165" s="812"/>
      <c r="F1165" s="812"/>
      <c r="G1165" s="812"/>
      <c r="H1165" s="812"/>
    </row>
    <row r="1166" spans="1:8">
      <c r="A1166" s="812"/>
      <c r="B1166" s="812"/>
      <c r="C1166" s="812"/>
      <c r="D1166" s="812"/>
      <c r="E1166" s="812"/>
      <c r="F1166" s="812"/>
      <c r="G1166" s="812"/>
      <c r="H1166" s="812"/>
    </row>
    <row r="1167" spans="1:8">
      <c r="A1167" s="812"/>
      <c r="B1167" s="812"/>
      <c r="C1167" s="812"/>
      <c r="D1167" s="812"/>
      <c r="E1167" s="812"/>
      <c r="F1167" s="812"/>
      <c r="G1167" s="812"/>
      <c r="H1167" s="812"/>
    </row>
    <row r="1168" spans="1:8">
      <c r="A1168" s="812"/>
      <c r="B1168" s="812"/>
      <c r="C1168" s="812"/>
      <c r="D1168" s="812"/>
      <c r="E1168" s="812"/>
      <c r="F1168" s="812"/>
      <c r="G1168" s="812"/>
      <c r="H1168" s="812"/>
    </row>
    <row r="1169" spans="1:8">
      <c r="A1169" s="812"/>
      <c r="B1169" s="812"/>
      <c r="C1169" s="812"/>
      <c r="D1169" s="812"/>
      <c r="E1169" s="812"/>
      <c r="F1169" s="812"/>
      <c r="G1169" s="812"/>
      <c r="H1169" s="812"/>
    </row>
    <row r="1170" spans="1:8">
      <c r="A1170" s="812"/>
      <c r="B1170" s="812"/>
      <c r="C1170" s="812"/>
      <c r="D1170" s="812"/>
      <c r="E1170" s="812"/>
      <c r="F1170" s="812"/>
      <c r="G1170" s="812"/>
      <c r="H1170" s="812"/>
    </row>
    <row r="1171" spans="1:8">
      <c r="A1171" s="812"/>
      <c r="B1171" s="812"/>
      <c r="C1171" s="812"/>
      <c r="D1171" s="812"/>
      <c r="E1171" s="812"/>
      <c r="F1171" s="812"/>
      <c r="G1171" s="812"/>
      <c r="H1171" s="812"/>
    </row>
    <row r="1172" spans="1:8">
      <c r="A1172" s="812"/>
      <c r="B1172" s="812"/>
      <c r="C1172" s="812"/>
      <c r="D1172" s="812"/>
      <c r="E1172" s="812"/>
      <c r="F1172" s="812"/>
      <c r="G1172" s="812"/>
      <c r="H1172" s="812"/>
    </row>
    <row r="1173" spans="1:8">
      <c r="A1173" s="812"/>
      <c r="B1173" s="812"/>
      <c r="C1173" s="812"/>
      <c r="D1173" s="812"/>
      <c r="E1173" s="812"/>
      <c r="F1173" s="812"/>
      <c r="G1173" s="812"/>
      <c r="H1173" s="812"/>
    </row>
    <row r="1174" spans="1:8">
      <c r="A1174" s="812"/>
      <c r="B1174" s="812"/>
      <c r="C1174" s="812"/>
      <c r="D1174" s="812"/>
      <c r="E1174" s="812"/>
      <c r="F1174" s="812"/>
      <c r="G1174" s="812"/>
      <c r="H1174" s="812"/>
    </row>
    <row r="1175" spans="1:8">
      <c r="A1175" s="812"/>
      <c r="B1175" s="812"/>
      <c r="C1175" s="812"/>
      <c r="D1175" s="812"/>
      <c r="E1175" s="812"/>
      <c r="F1175" s="812"/>
      <c r="G1175" s="812"/>
      <c r="H1175" s="812"/>
    </row>
    <row r="1176" spans="1:8">
      <c r="A1176" s="812"/>
      <c r="B1176" s="812"/>
      <c r="C1176" s="812"/>
      <c r="D1176" s="812"/>
      <c r="E1176" s="812"/>
      <c r="F1176" s="812"/>
      <c r="G1176" s="812"/>
      <c r="H1176" s="812"/>
    </row>
    <row r="1177" spans="1:8">
      <c r="A1177" s="812"/>
      <c r="B1177" s="812"/>
      <c r="C1177" s="812"/>
      <c r="D1177" s="812"/>
      <c r="E1177" s="812"/>
      <c r="F1177" s="812"/>
      <c r="G1177" s="812"/>
      <c r="H1177" s="812"/>
    </row>
    <row r="1178" spans="1:8">
      <c r="A1178" s="812"/>
      <c r="B1178" s="812"/>
      <c r="C1178" s="812"/>
      <c r="D1178" s="812"/>
      <c r="E1178" s="812"/>
      <c r="F1178" s="812"/>
      <c r="G1178" s="812"/>
      <c r="H1178" s="812"/>
    </row>
    <row r="1179" spans="1:8">
      <c r="A1179" s="812"/>
      <c r="B1179" s="812"/>
      <c r="C1179" s="812"/>
      <c r="D1179" s="812"/>
      <c r="E1179" s="812"/>
      <c r="F1179" s="812"/>
      <c r="G1179" s="812"/>
      <c r="H1179" s="812"/>
    </row>
    <row r="1180" spans="1:8">
      <c r="A1180" s="812"/>
      <c r="B1180" s="812"/>
      <c r="C1180" s="812"/>
      <c r="D1180" s="812"/>
      <c r="E1180" s="812"/>
      <c r="F1180" s="812"/>
      <c r="G1180" s="812"/>
      <c r="H1180" s="812"/>
    </row>
    <row r="1181" spans="1:8">
      <c r="A1181" s="812"/>
      <c r="B1181" s="812"/>
      <c r="C1181" s="812"/>
      <c r="D1181" s="812"/>
      <c r="E1181" s="812"/>
      <c r="F1181" s="812"/>
      <c r="G1181" s="812"/>
      <c r="H1181" s="812"/>
    </row>
    <row r="1182" spans="1:8">
      <c r="A1182" s="812"/>
      <c r="B1182" s="812"/>
      <c r="C1182" s="812"/>
      <c r="D1182" s="812"/>
      <c r="E1182" s="812"/>
      <c r="F1182" s="812"/>
      <c r="G1182" s="812"/>
      <c r="H1182" s="812"/>
    </row>
    <row r="1183" spans="1:8">
      <c r="A1183" s="812"/>
      <c r="B1183" s="812"/>
      <c r="C1183" s="812"/>
      <c r="D1183" s="812"/>
      <c r="E1183" s="812"/>
      <c r="F1183" s="812"/>
      <c r="G1183" s="812"/>
      <c r="H1183" s="812"/>
    </row>
    <row r="1184" spans="1:8">
      <c r="A1184" s="812"/>
      <c r="B1184" s="812"/>
      <c r="C1184" s="812"/>
      <c r="D1184" s="812"/>
      <c r="E1184" s="812"/>
      <c r="F1184" s="812"/>
      <c r="G1184" s="812"/>
      <c r="H1184" s="812"/>
    </row>
    <row r="1185" spans="1:8">
      <c r="A1185" s="812"/>
      <c r="B1185" s="812"/>
      <c r="C1185" s="812"/>
      <c r="D1185" s="812"/>
      <c r="E1185" s="812"/>
      <c r="F1185" s="812"/>
      <c r="G1185" s="812"/>
      <c r="H1185" s="812"/>
    </row>
    <row r="1186" spans="1:8">
      <c r="A1186" s="812"/>
      <c r="B1186" s="812"/>
      <c r="C1186" s="812"/>
      <c r="D1186" s="812"/>
      <c r="E1186" s="812"/>
      <c r="F1186" s="812"/>
      <c r="G1186" s="812"/>
      <c r="H1186" s="812"/>
    </row>
    <row r="1187" spans="1:8">
      <c r="A1187" s="812"/>
      <c r="B1187" s="812"/>
      <c r="C1187" s="812"/>
      <c r="D1187" s="812"/>
      <c r="E1187" s="812"/>
      <c r="F1187" s="812"/>
      <c r="G1187" s="812"/>
      <c r="H1187" s="812"/>
    </row>
    <row r="1188" spans="1:8">
      <c r="A1188" s="812"/>
      <c r="B1188" s="812"/>
      <c r="C1188" s="812"/>
      <c r="D1188" s="812"/>
      <c r="E1188" s="812"/>
      <c r="F1188" s="812"/>
      <c r="G1188" s="812"/>
      <c r="H1188" s="812"/>
    </row>
    <row r="1189" spans="1:8">
      <c r="A1189" s="812"/>
      <c r="B1189" s="812"/>
      <c r="C1189" s="812"/>
      <c r="D1189" s="812"/>
      <c r="E1189" s="812"/>
      <c r="F1189" s="812"/>
      <c r="G1189" s="812"/>
      <c r="H1189" s="812"/>
    </row>
    <row r="1190" spans="1:8">
      <c r="A1190" s="812"/>
      <c r="B1190" s="812"/>
      <c r="C1190" s="812"/>
      <c r="D1190" s="812"/>
      <c r="E1190" s="812"/>
      <c r="F1190" s="812"/>
      <c r="G1190" s="812"/>
      <c r="H1190" s="812"/>
    </row>
    <row r="1191" spans="1:8">
      <c r="A1191" s="812"/>
      <c r="B1191" s="812"/>
      <c r="C1191" s="812"/>
      <c r="D1191" s="812"/>
      <c r="E1191" s="812"/>
      <c r="F1191" s="812"/>
      <c r="G1191" s="812"/>
      <c r="H1191" s="812"/>
    </row>
    <row r="1192" spans="1:8">
      <c r="A1192" s="812"/>
      <c r="B1192" s="812"/>
      <c r="C1192" s="812"/>
      <c r="D1192" s="812"/>
      <c r="E1192" s="812"/>
      <c r="F1192" s="812"/>
      <c r="G1192" s="812"/>
      <c r="H1192" s="812"/>
    </row>
    <row r="1193" spans="1:8">
      <c r="A1193" s="812"/>
      <c r="B1193" s="812"/>
      <c r="C1193" s="812"/>
      <c r="D1193" s="812"/>
      <c r="E1193" s="812"/>
      <c r="F1193" s="812"/>
      <c r="G1193" s="812"/>
      <c r="H1193" s="812"/>
    </row>
    <row r="1194" spans="1:8">
      <c r="A1194" s="812"/>
      <c r="B1194" s="812"/>
      <c r="C1194" s="812"/>
      <c r="D1194" s="812"/>
      <c r="E1194" s="812"/>
      <c r="F1194" s="812"/>
      <c r="G1194" s="812"/>
      <c r="H1194" s="812"/>
    </row>
    <row r="1195" spans="1:8">
      <c r="A1195" s="812"/>
      <c r="B1195" s="812"/>
      <c r="C1195" s="812"/>
      <c r="D1195" s="812"/>
      <c r="E1195" s="812"/>
      <c r="F1195" s="812"/>
      <c r="G1195" s="812"/>
      <c r="H1195" s="812"/>
    </row>
    <row r="1196" spans="1:8">
      <c r="A1196" s="812"/>
      <c r="B1196" s="812"/>
      <c r="C1196" s="812"/>
      <c r="D1196" s="812"/>
      <c r="E1196" s="812"/>
      <c r="F1196" s="812"/>
      <c r="G1196" s="812"/>
      <c r="H1196" s="812"/>
    </row>
    <row r="1197" spans="1:8">
      <c r="A1197" s="812"/>
      <c r="B1197" s="812"/>
      <c r="C1197" s="812"/>
      <c r="D1197" s="812"/>
      <c r="E1197" s="812"/>
      <c r="F1197" s="812"/>
      <c r="G1197" s="812"/>
      <c r="H1197" s="812"/>
    </row>
    <row r="1198" spans="1:8">
      <c r="A1198" s="812"/>
      <c r="B1198" s="812"/>
      <c r="C1198" s="812"/>
      <c r="D1198" s="812"/>
      <c r="E1198" s="812"/>
      <c r="F1198" s="812"/>
      <c r="G1198" s="812"/>
      <c r="H1198" s="812"/>
    </row>
    <row r="1199" spans="1:8">
      <c r="A1199" s="812"/>
      <c r="B1199" s="812"/>
      <c r="C1199" s="812"/>
      <c r="D1199" s="812"/>
      <c r="E1199" s="812"/>
      <c r="F1199" s="812"/>
      <c r="G1199" s="812"/>
      <c r="H1199" s="812"/>
    </row>
    <row r="1200" spans="1:8">
      <c r="A1200" s="812"/>
      <c r="B1200" s="812"/>
      <c r="C1200" s="812"/>
      <c r="D1200" s="812"/>
      <c r="E1200" s="812"/>
      <c r="F1200" s="812"/>
      <c r="G1200" s="812"/>
      <c r="H1200" s="812"/>
    </row>
    <row r="1201" spans="1:8">
      <c r="A1201" s="812"/>
      <c r="B1201" s="812"/>
      <c r="C1201" s="812"/>
      <c r="D1201" s="812"/>
      <c r="E1201" s="812"/>
      <c r="F1201" s="812"/>
      <c r="G1201" s="812"/>
      <c r="H1201" s="812"/>
    </row>
    <row r="1202" spans="1:8">
      <c r="A1202" s="812"/>
      <c r="B1202" s="812"/>
      <c r="C1202" s="812"/>
      <c r="D1202" s="812"/>
      <c r="E1202" s="812"/>
      <c r="F1202" s="812"/>
      <c r="G1202" s="812"/>
      <c r="H1202" s="812"/>
    </row>
    <row r="1203" spans="1:8">
      <c r="A1203" s="812"/>
      <c r="B1203" s="812"/>
      <c r="C1203" s="812"/>
      <c r="D1203" s="812"/>
      <c r="E1203" s="812"/>
      <c r="F1203" s="812"/>
      <c r="G1203" s="812"/>
      <c r="H1203" s="812"/>
    </row>
    <row r="1204" spans="1:8">
      <c r="A1204" s="812"/>
      <c r="B1204" s="812"/>
      <c r="C1204" s="812"/>
      <c r="D1204" s="812"/>
      <c r="E1204" s="812"/>
      <c r="F1204" s="812"/>
      <c r="G1204" s="812"/>
      <c r="H1204" s="812"/>
    </row>
    <row r="1205" spans="1:8">
      <c r="A1205" s="812"/>
      <c r="B1205" s="812"/>
      <c r="C1205" s="812"/>
      <c r="D1205" s="812"/>
      <c r="E1205" s="812"/>
      <c r="F1205" s="812"/>
      <c r="G1205" s="812"/>
      <c r="H1205" s="812"/>
    </row>
    <row r="1206" spans="1:8">
      <c r="A1206" s="812"/>
      <c r="B1206" s="812"/>
      <c r="C1206" s="812"/>
      <c r="D1206" s="812"/>
      <c r="E1206" s="812"/>
      <c r="F1206" s="812"/>
      <c r="G1206" s="812"/>
      <c r="H1206" s="812"/>
    </row>
    <row r="1207" spans="1:8">
      <c r="A1207" s="812"/>
      <c r="B1207" s="812"/>
      <c r="C1207" s="812"/>
      <c r="D1207" s="812"/>
      <c r="E1207" s="812"/>
      <c r="F1207" s="812"/>
      <c r="G1207" s="812"/>
      <c r="H1207" s="812"/>
    </row>
    <row r="1208" spans="1:8">
      <c r="A1208" s="812"/>
      <c r="B1208" s="812"/>
      <c r="C1208" s="812"/>
      <c r="D1208" s="812"/>
      <c r="E1208" s="812"/>
      <c r="F1208" s="812"/>
      <c r="G1208" s="812"/>
      <c r="H1208" s="812"/>
    </row>
    <row r="1209" spans="1:8">
      <c r="A1209" s="812"/>
      <c r="B1209" s="812"/>
      <c r="C1209" s="812"/>
      <c r="D1209" s="812"/>
      <c r="E1209" s="812"/>
      <c r="F1209" s="812"/>
      <c r="G1209" s="812"/>
      <c r="H1209" s="812"/>
    </row>
    <row r="1210" spans="1:8">
      <c r="A1210" s="812"/>
      <c r="B1210" s="812"/>
      <c r="C1210" s="812"/>
      <c r="D1210" s="812"/>
      <c r="E1210" s="812"/>
      <c r="F1210" s="812"/>
      <c r="G1210" s="812"/>
      <c r="H1210" s="812"/>
    </row>
    <row r="1211" spans="1:8">
      <c r="A1211" s="812"/>
      <c r="B1211" s="812"/>
      <c r="C1211" s="812"/>
      <c r="D1211" s="812"/>
      <c r="E1211" s="812"/>
      <c r="F1211" s="812"/>
      <c r="G1211" s="812"/>
      <c r="H1211" s="812"/>
    </row>
    <row r="1212" spans="1:8">
      <c r="A1212" s="812"/>
      <c r="B1212" s="812"/>
      <c r="C1212" s="812"/>
      <c r="D1212" s="812"/>
      <c r="E1212" s="812"/>
      <c r="F1212" s="812"/>
      <c r="G1212" s="812"/>
      <c r="H1212" s="812"/>
    </row>
    <row r="1213" spans="1:8">
      <c r="A1213" s="812"/>
      <c r="B1213" s="812"/>
      <c r="C1213" s="812"/>
      <c r="D1213" s="812"/>
      <c r="E1213" s="812"/>
      <c r="F1213" s="812"/>
      <c r="G1213" s="812"/>
      <c r="H1213" s="812"/>
    </row>
    <row r="1214" spans="1:8">
      <c r="A1214" s="812"/>
      <c r="B1214" s="812"/>
      <c r="C1214" s="812"/>
      <c r="D1214" s="812"/>
      <c r="E1214" s="812"/>
      <c r="F1214" s="812"/>
      <c r="G1214" s="812"/>
      <c r="H1214" s="812"/>
    </row>
    <row r="1215" spans="1:8">
      <c r="A1215" s="812"/>
      <c r="B1215" s="812"/>
      <c r="C1215" s="812"/>
      <c r="D1215" s="812"/>
      <c r="E1215" s="812"/>
      <c r="F1215" s="812"/>
      <c r="G1215" s="812"/>
      <c r="H1215" s="812"/>
    </row>
    <row r="1216" spans="1:8">
      <c r="A1216" s="812"/>
      <c r="B1216" s="812"/>
      <c r="C1216" s="812"/>
      <c r="D1216" s="812"/>
      <c r="E1216" s="812"/>
      <c r="F1216" s="812"/>
      <c r="G1216" s="812"/>
      <c r="H1216" s="812"/>
    </row>
    <row r="1217" spans="1:8">
      <c r="A1217" s="812"/>
      <c r="B1217" s="812"/>
      <c r="C1217" s="812"/>
      <c r="D1217" s="812"/>
      <c r="E1217" s="812"/>
      <c r="F1217" s="812"/>
      <c r="G1217" s="812"/>
      <c r="H1217" s="812"/>
    </row>
    <row r="1218" spans="1:8">
      <c r="A1218" s="812"/>
      <c r="B1218" s="812"/>
      <c r="C1218" s="812"/>
      <c r="D1218" s="812"/>
      <c r="E1218" s="812"/>
      <c r="F1218" s="812"/>
      <c r="G1218" s="812"/>
      <c r="H1218" s="812"/>
    </row>
    <row r="1219" spans="1:8">
      <c r="A1219" s="812"/>
      <c r="B1219" s="812"/>
      <c r="C1219" s="812"/>
      <c r="D1219" s="812"/>
      <c r="E1219" s="812"/>
      <c r="F1219" s="812"/>
      <c r="G1219" s="812"/>
      <c r="H1219" s="812"/>
    </row>
    <row r="1220" spans="1:8">
      <c r="A1220" s="812"/>
      <c r="B1220" s="812"/>
      <c r="C1220" s="812"/>
      <c r="D1220" s="812"/>
      <c r="E1220" s="812"/>
      <c r="F1220" s="812"/>
      <c r="G1220" s="812"/>
      <c r="H1220" s="812"/>
    </row>
    <row r="1221" spans="1:8">
      <c r="A1221" s="812"/>
      <c r="B1221" s="812"/>
      <c r="C1221" s="812"/>
      <c r="D1221" s="812"/>
      <c r="E1221" s="812"/>
      <c r="F1221" s="812"/>
      <c r="G1221" s="812"/>
      <c r="H1221" s="812"/>
    </row>
    <row r="1222" spans="1:8">
      <c r="A1222" s="812"/>
      <c r="B1222" s="812"/>
      <c r="C1222" s="812"/>
      <c r="D1222" s="812"/>
      <c r="E1222" s="812"/>
      <c r="F1222" s="812"/>
      <c r="G1222" s="812"/>
      <c r="H1222" s="812"/>
    </row>
    <row r="1223" spans="1:8">
      <c r="A1223" s="812"/>
      <c r="B1223" s="812"/>
      <c r="C1223" s="812"/>
      <c r="D1223" s="812"/>
      <c r="E1223" s="812"/>
      <c r="F1223" s="812"/>
      <c r="G1223" s="812"/>
      <c r="H1223" s="812"/>
    </row>
    <row r="1224" spans="1:8">
      <c r="A1224" s="812"/>
      <c r="B1224" s="812"/>
      <c r="C1224" s="812"/>
      <c r="D1224" s="812"/>
      <c r="E1224" s="812"/>
      <c r="F1224" s="812"/>
      <c r="G1224" s="812"/>
      <c r="H1224" s="812"/>
    </row>
    <row r="1225" spans="1:8">
      <c r="A1225" s="812"/>
      <c r="B1225" s="812"/>
      <c r="C1225" s="812"/>
      <c r="D1225" s="812"/>
      <c r="E1225" s="812"/>
      <c r="F1225" s="812"/>
      <c r="G1225" s="812"/>
      <c r="H1225" s="812"/>
    </row>
    <row r="1226" spans="1:8">
      <c r="A1226" s="812"/>
      <c r="B1226" s="812"/>
      <c r="C1226" s="812"/>
      <c r="D1226" s="812"/>
      <c r="E1226" s="812"/>
      <c r="F1226" s="812"/>
      <c r="G1226" s="812"/>
      <c r="H1226" s="812"/>
    </row>
    <row r="1227" spans="1:8">
      <c r="A1227" s="812"/>
      <c r="B1227" s="812"/>
      <c r="C1227" s="812"/>
      <c r="D1227" s="812"/>
      <c r="E1227" s="812"/>
      <c r="F1227" s="812"/>
      <c r="G1227" s="812"/>
      <c r="H1227" s="812"/>
    </row>
    <row r="1228" spans="1:8">
      <c r="A1228" s="812"/>
      <c r="B1228" s="812"/>
      <c r="C1228" s="812"/>
      <c r="D1228" s="812"/>
      <c r="E1228" s="812"/>
      <c r="F1228" s="812"/>
      <c r="G1228" s="812"/>
      <c r="H1228" s="812"/>
    </row>
    <row r="1229" spans="1:8">
      <c r="A1229" s="812"/>
      <c r="B1229" s="812"/>
      <c r="C1229" s="812"/>
      <c r="D1229" s="812"/>
      <c r="E1229" s="812"/>
      <c r="F1229" s="812"/>
      <c r="G1229" s="812"/>
      <c r="H1229" s="812"/>
    </row>
    <row r="1230" spans="1:8">
      <c r="A1230" s="812"/>
      <c r="B1230" s="812"/>
      <c r="C1230" s="812"/>
      <c r="D1230" s="812"/>
      <c r="E1230" s="812"/>
      <c r="F1230" s="812"/>
      <c r="G1230" s="812"/>
      <c r="H1230" s="812"/>
    </row>
    <row r="1231" spans="1:8">
      <c r="A1231" s="812"/>
      <c r="B1231" s="812"/>
      <c r="C1231" s="812"/>
      <c r="D1231" s="812"/>
      <c r="E1231" s="812"/>
      <c r="F1231" s="812"/>
      <c r="G1231" s="812"/>
      <c r="H1231" s="812"/>
    </row>
    <row r="1232" spans="1:8">
      <c r="A1232" s="812"/>
      <c r="B1232" s="812"/>
      <c r="C1232" s="812"/>
      <c r="D1232" s="812"/>
      <c r="E1232" s="812"/>
      <c r="F1232" s="812"/>
      <c r="G1232" s="812"/>
      <c r="H1232" s="812"/>
    </row>
    <row r="1233" spans="1:8">
      <c r="A1233" s="812"/>
      <c r="B1233" s="812"/>
      <c r="C1233" s="812"/>
      <c r="D1233" s="812"/>
      <c r="E1233" s="812"/>
      <c r="F1233" s="812"/>
      <c r="G1233" s="812"/>
      <c r="H1233" s="812"/>
    </row>
    <row r="1234" spans="1:8">
      <c r="A1234" s="812"/>
      <c r="B1234" s="812"/>
      <c r="C1234" s="812"/>
      <c r="D1234" s="812"/>
      <c r="E1234" s="812"/>
      <c r="F1234" s="812"/>
      <c r="G1234" s="812"/>
      <c r="H1234" s="812"/>
    </row>
    <row r="1235" spans="1:8">
      <c r="A1235" s="812"/>
      <c r="B1235" s="812"/>
      <c r="C1235" s="812"/>
      <c r="D1235" s="812"/>
      <c r="E1235" s="812"/>
      <c r="F1235" s="812"/>
      <c r="G1235" s="812"/>
      <c r="H1235" s="812"/>
    </row>
    <row r="1236" spans="1:8">
      <c r="A1236" s="812"/>
      <c r="B1236" s="812"/>
      <c r="C1236" s="812"/>
      <c r="D1236" s="812"/>
      <c r="E1236" s="812"/>
      <c r="F1236" s="812"/>
      <c r="G1236" s="812"/>
      <c r="H1236" s="812"/>
    </row>
    <row r="1237" spans="1:8">
      <c r="A1237" s="812"/>
      <c r="B1237" s="812"/>
      <c r="C1237" s="812"/>
      <c r="D1237" s="812"/>
      <c r="E1237" s="812"/>
      <c r="F1237" s="812"/>
      <c r="G1237" s="812"/>
      <c r="H1237" s="812"/>
    </row>
    <row r="1238" spans="1:8">
      <c r="A1238" s="812"/>
      <c r="B1238" s="812"/>
      <c r="C1238" s="812"/>
      <c r="D1238" s="812"/>
      <c r="E1238" s="812"/>
      <c r="F1238" s="812"/>
      <c r="G1238" s="812"/>
      <c r="H1238" s="812"/>
    </row>
    <row r="1239" spans="1:8">
      <c r="A1239" s="812"/>
      <c r="B1239" s="812"/>
      <c r="C1239" s="812"/>
      <c r="D1239" s="812"/>
      <c r="E1239" s="812"/>
      <c r="F1239" s="812"/>
      <c r="G1239" s="812"/>
      <c r="H1239" s="812"/>
    </row>
    <row r="1240" spans="1:8">
      <c r="A1240" s="812"/>
      <c r="B1240" s="812"/>
      <c r="C1240" s="812"/>
      <c r="D1240" s="812"/>
      <c r="E1240" s="812"/>
      <c r="F1240" s="812"/>
      <c r="G1240" s="812"/>
      <c r="H1240" s="812"/>
    </row>
    <row r="1241" spans="1:8">
      <c r="A1241" s="812"/>
      <c r="B1241" s="812"/>
      <c r="C1241" s="812"/>
      <c r="D1241" s="812"/>
      <c r="E1241" s="812"/>
      <c r="F1241" s="812"/>
      <c r="G1241" s="812"/>
      <c r="H1241" s="812"/>
    </row>
    <row r="1242" spans="1:8">
      <c r="A1242" s="812"/>
      <c r="B1242" s="812"/>
      <c r="C1242" s="812"/>
      <c r="D1242" s="812"/>
      <c r="E1242" s="812"/>
      <c r="F1242" s="812"/>
      <c r="G1242" s="812"/>
      <c r="H1242" s="812"/>
    </row>
    <row r="1243" spans="1:8">
      <c r="A1243" s="812"/>
      <c r="B1243" s="812"/>
      <c r="C1243" s="812"/>
      <c r="D1243" s="812"/>
      <c r="E1243" s="812"/>
      <c r="F1243" s="812"/>
      <c r="G1243" s="812"/>
      <c r="H1243" s="812"/>
    </row>
    <row r="1244" spans="1:8">
      <c r="A1244" s="812"/>
      <c r="B1244" s="812"/>
      <c r="C1244" s="812"/>
      <c r="D1244" s="812"/>
      <c r="E1244" s="812"/>
      <c r="F1244" s="812"/>
      <c r="G1244" s="812"/>
      <c r="H1244" s="812"/>
    </row>
    <row r="1245" spans="1:8">
      <c r="A1245" s="812"/>
      <c r="B1245" s="812"/>
      <c r="C1245" s="812"/>
      <c r="D1245" s="812"/>
      <c r="E1245" s="812"/>
      <c r="F1245" s="812"/>
      <c r="G1245" s="812"/>
      <c r="H1245" s="812"/>
    </row>
    <row r="1246" spans="1:8">
      <c r="A1246" s="812"/>
      <c r="B1246" s="812"/>
      <c r="C1246" s="812"/>
      <c r="D1246" s="812"/>
      <c r="E1246" s="812"/>
      <c r="F1246" s="812"/>
      <c r="G1246" s="812"/>
      <c r="H1246" s="812"/>
    </row>
    <row r="1247" spans="1:8">
      <c r="A1247" s="812"/>
      <c r="B1247" s="812"/>
      <c r="C1247" s="812"/>
      <c r="D1247" s="812"/>
      <c r="E1247" s="812"/>
      <c r="F1247" s="812"/>
      <c r="G1247" s="812"/>
      <c r="H1247" s="812"/>
    </row>
    <row r="1248" spans="1:8">
      <c r="A1248" s="812"/>
      <c r="B1248" s="812"/>
      <c r="C1248" s="812"/>
      <c r="D1248" s="812"/>
      <c r="E1248" s="812"/>
      <c r="F1248" s="812"/>
      <c r="G1248" s="812"/>
      <c r="H1248" s="812"/>
    </row>
    <row r="1249" spans="1:8">
      <c r="A1249" s="812"/>
      <c r="B1249" s="812"/>
      <c r="C1249" s="812"/>
      <c r="D1249" s="812"/>
      <c r="E1249" s="812"/>
      <c r="F1249" s="812"/>
      <c r="G1249" s="812"/>
      <c r="H1249" s="812"/>
    </row>
    <row r="1250" spans="1:8">
      <c r="A1250" s="812"/>
      <c r="B1250" s="812"/>
      <c r="C1250" s="812"/>
      <c r="D1250" s="812"/>
      <c r="E1250" s="812"/>
      <c r="F1250" s="812"/>
      <c r="G1250" s="812"/>
      <c r="H1250" s="812"/>
    </row>
    <row r="1251" spans="1:8">
      <c r="A1251" s="812"/>
      <c r="B1251" s="812"/>
      <c r="C1251" s="812"/>
      <c r="D1251" s="812"/>
      <c r="E1251" s="812"/>
      <c r="F1251" s="812"/>
      <c r="G1251" s="812"/>
      <c r="H1251" s="812"/>
    </row>
    <row r="1252" spans="1:8">
      <c r="A1252" s="812"/>
      <c r="B1252" s="812"/>
      <c r="C1252" s="812"/>
      <c r="D1252" s="812"/>
      <c r="E1252" s="812"/>
      <c r="F1252" s="812"/>
      <c r="G1252" s="812"/>
      <c r="H1252" s="812"/>
    </row>
    <row r="1253" spans="1:8">
      <c r="A1253" s="812"/>
      <c r="B1253" s="812"/>
      <c r="C1253" s="812"/>
      <c r="D1253" s="812"/>
      <c r="E1253" s="812"/>
      <c r="F1253" s="812"/>
      <c r="G1253" s="812"/>
      <c r="H1253" s="812"/>
    </row>
    <row r="1254" spans="1:8">
      <c r="A1254" s="812"/>
      <c r="B1254" s="812"/>
      <c r="C1254" s="812"/>
      <c r="D1254" s="812"/>
      <c r="E1254" s="812"/>
      <c r="F1254" s="812"/>
      <c r="G1254" s="812"/>
      <c r="H1254" s="812"/>
    </row>
    <row r="1255" spans="1:8">
      <c r="A1255" s="812"/>
      <c r="B1255" s="812"/>
      <c r="C1255" s="812"/>
      <c r="D1255" s="812"/>
      <c r="E1255" s="812"/>
      <c r="F1255" s="812"/>
      <c r="G1255" s="812"/>
      <c r="H1255" s="812"/>
    </row>
    <row r="1256" spans="1:8">
      <c r="A1256" s="812"/>
      <c r="B1256" s="812"/>
      <c r="C1256" s="812"/>
      <c r="D1256" s="812"/>
      <c r="E1256" s="812"/>
      <c r="F1256" s="812"/>
      <c r="G1256" s="812"/>
      <c r="H1256" s="812"/>
    </row>
    <row r="1257" spans="1:8">
      <c r="A1257" s="812"/>
      <c r="B1257" s="812"/>
      <c r="C1257" s="812"/>
      <c r="D1257" s="812"/>
      <c r="E1257" s="812"/>
      <c r="F1257" s="812"/>
      <c r="G1257" s="812"/>
      <c r="H1257" s="812"/>
    </row>
    <row r="1258" spans="1:8">
      <c r="A1258" s="812"/>
      <c r="B1258" s="812"/>
      <c r="C1258" s="812"/>
      <c r="D1258" s="812"/>
      <c r="E1258" s="812"/>
      <c r="F1258" s="812"/>
      <c r="G1258" s="812"/>
      <c r="H1258" s="812"/>
    </row>
    <row r="1259" spans="1:8">
      <c r="A1259" s="812"/>
      <c r="B1259" s="812"/>
      <c r="C1259" s="812"/>
      <c r="D1259" s="812"/>
      <c r="E1259" s="812"/>
      <c r="F1259" s="812"/>
      <c r="G1259" s="812"/>
      <c r="H1259" s="812"/>
    </row>
    <row r="1260" spans="1:8">
      <c r="A1260" s="812"/>
      <c r="B1260" s="812"/>
      <c r="C1260" s="812"/>
      <c r="D1260" s="812"/>
      <c r="E1260" s="812"/>
      <c r="F1260" s="812"/>
      <c r="G1260" s="812"/>
      <c r="H1260" s="812"/>
    </row>
    <row r="1261" spans="1:8">
      <c r="A1261" s="812"/>
      <c r="B1261" s="812"/>
      <c r="C1261" s="812"/>
      <c r="D1261" s="812"/>
      <c r="E1261" s="812"/>
      <c r="F1261" s="812"/>
      <c r="G1261" s="812"/>
      <c r="H1261" s="812"/>
    </row>
    <row r="1262" spans="1:8">
      <c r="A1262" s="812"/>
      <c r="B1262" s="812"/>
      <c r="C1262" s="812"/>
      <c r="D1262" s="812"/>
      <c r="E1262" s="812"/>
      <c r="F1262" s="812"/>
      <c r="G1262" s="812"/>
      <c r="H1262" s="812"/>
    </row>
    <row r="1263" spans="1:8">
      <c r="A1263" s="812"/>
      <c r="B1263" s="812"/>
      <c r="C1263" s="812"/>
      <c r="D1263" s="812"/>
      <c r="E1263" s="812"/>
      <c r="F1263" s="812"/>
      <c r="G1263" s="812"/>
      <c r="H1263" s="812"/>
    </row>
    <row r="1264" spans="1:8">
      <c r="A1264" s="812"/>
      <c r="B1264" s="812"/>
      <c r="C1264" s="812"/>
      <c r="D1264" s="812"/>
      <c r="E1264" s="812"/>
      <c r="F1264" s="812"/>
      <c r="G1264" s="812"/>
      <c r="H1264" s="812"/>
    </row>
    <row r="1265" spans="1:8">
      <c r="A1265" s="812"/>
      <c r="B1265" s="812"/>
      <c r="C1265" s="812"/>
      <c r="D1265" s="812"/>
      <c r="E1265" s="812"/>
      <c r="F1265" s="812"/>
      <c r="G1265" s="812"/>
      <c r="H1265" s="812"/>
    </row>
    <row r="1266" spans="1:8">
      <c r="A1266" s="812"/>
      <c r="B1266" s="812"/>
      <c r="C1266" s="812"/>
      <c r="D1266" s="812"/>
      <c r="E1266" s="812"/>
      <c r="F1266" s="812"/>
      <c r="G1266" s="812"/>
      <c r="H1266" s="812"/>
    </row>
    <row r="1267" spans="1:8">
      <c r="A1267" s="812"/>
      <c r="B1267" s="812"/>
      <c r="C1267" s="812"/>
      <c r="D1267" s="812"/>
      <c r="E1267" s="812"/>
      <c r="F1267" s="812"/>
      <c r="G1267" s="812"/>
      <c r="H1267" s="812"/>
    </row>
    <row r="1268" spans="1:8">
      <c r="A1268" s="812"/>
      <c r="B1268" s="812"/>
      <c r="C1268" s="812"/>
      <c r="D1268" s="812"/>
      <c r="E1268" s="812"/>
      <c r="F1268" s="812"/>
      <c r="G1268" s="812"/>
      <c r="H1268" s="812"/>
    </row>
    <row r="1269" spans="1:8">
      <c r="A1269" s="812"/>
      <c r="B1269" s="812"/>
      <c r="C1269" s="812"/>
      <c r="D1269" s="812"/>
      <c r="E1269" s="812"/>
      <c r="F1269" s="812"/>
      <c r="G1269" s="812"/>
      <c r="H1269" s="812"/>
    </row>
    <row r="1270" spans="1:8">
      <c r="A1270" s="812"/>
      <c r="B1270" s="812"/>
      <c r="C1270" s="812"/>
      <c r="D1270" s="812"/>
      <c r="E1270" s="812"/>
      <c r="F1270" s="812"/>
      <c r="G1270" s="812"/>
      <c r="H1270" s="812"/>
    </row>
    <row r="1271" spans="1:8">
      <c r="A1271" s="812"/>
      <c r="B1271" s="812"/>
      <c r="C1271" s="812"/>
      <c r="D1271" s="812"/>
      <c r="E1271" s="812"/>
      <c r="F1271" s="812"/>
      <c r="G1271" s="812"/>
      <c r="H1271" s="812"/>
    </row>
    <row r="1272" spans="1:8">
      <c r="A1272" s="812"/>
      <c r="B1272" s="812"/>
      <c r="C1272" s="812"/>
      <c r="D1272" s="812"/>
      <c r="E1272" s="812"/>
      <c r="F1272" s="812"/>
      <c r="G1272" s="812"/>
      <c r="H1272" s="812"/>
    </row>
    <row r="1273" spans="1:8">
      <c r="A1273" s="812"/>
      <c r="B1273" s="812"/>
      <c r="C1273" s="812"/>
      <c r="D1273" s="812"/>
      <c r="E1273" s="812"/>
      <c r="F1273" s="812"/>
      <c r="G1273" s="812"/>
      <c r="H1273" s="812"/>
    </row>
    <row r="1274" spans="1:8">
      <c r="A1274" s="812"/>
      <c r="B1274" s="812"/>
      <c r="C1274" s="812"/>
      <c r="D1274" s="812"/>
      <c r="E1274" s="812"/>
      <c r="F1274" s="812"/>
      <c r="G1274" s="812"/>
      <c r="H1274" s="812"/>
    </row>
    <row r="1275" spans="1:8">
      <c r="A1275" s="812"/>
      <c r="B1275" s="812"/>
      <c r="C1275" s="812"/>
      <c r="D1275" s="812"/>
      <c r="E1275" s="812"/>
      <c r="F1275" s="812"/>
      <c r="G1275" s="812"/>
      <c r="H1275" s="812"/>
    </row>
    <row r="1276" spans="1:8">
      <c r="A1276" s="812"/>
      <c r="B1276" s="812"/>
      <c r="C1276" s="812"/>
      <c r="D1276" s="812"/>
      <c r="E1276" s="812"/>
      <c r="F1276" s="812"/>
      <c r="G1276" s="812"/>
      <c r="H1276" s="812"/>
    </row>
    <row r="1277" spans="1:8">
      <c r="A1277" s="812"/>
      <c r="B1277" s="812"/>
      <c r="C1277" s="812"/>
      <c r="D1277" s="812"/>
      <c r="E1277" s="812"/>
      <c r="F1277" s="812"/>
      <c r="G1277" s="812"/>
      <c r="H1277" s="812"/>
    </row>
    <row r="1278" spans="1:8">
      <c r="A1278" s="812"/>
      <c r="B1278" s="812"/>
      <c r="C1278" s="812"/>
      <c r="D1278" s="812"/>
      <c r="E1278" s="812"/>
      <c r="F1278" s="812"/>
      <c r="G1278" s="812"/>
      <c r="H1278" s="812"/>
    </row>
    <row r="1279" spans="1:8">
      <c r="A1279" s="812"/>
      <c r="B1279" s="812"/>
      <c r="C1279" s="812"/>
      <c r="D1279" s="812"/>
      <c r="E1279" s="812"/>
      <c r="F1279" s="812"/>
      <c r="G1279" s="812"/>
      <c r="H1279" s="812"/>
    </row>
    <row r="1280" spans="1:8">
      <c r="A1280" s="812"/>
      <c r="B1280" s="812"/>
      <c r="C1280" s="812"/>
      <c r="D1280" s="812"/>
      <c r="E1280" s="812"/>
      <c r="F1280" s="812"/>
      <c r="G1280" s="812"/>
      <c r="H1280" s="812"/>
    </row>
    <row r="1281" spans="1:8">
      <c r="A1281" s="812"/>
      <c r="B1281" s="812"/>
      <c r="C1281" s="812"/>
      <c r="D1281" s="812"/>
      <c r="E1281" s="812"/>
      <c r="F1281" s="812"/>
      <c r="G1281" s="812"/>
      <c r="H1281" s="812"/>
    </row>
    <row r="1282" spans="1:8">
      <c r="A1282" s="812"/>
      <c r="B1282" s="812"/>
      <c r="C1282" s="812"/>
      <c r="D1282" s="812"/>
      <c r="E1282" s="812"/>
      <c r="F1282" s="812"/>
      <c r="G1282" s="812"/>
      <c r="H1282" s="812"/>
    </row>
    <row r="1283" spans="1:8">
      <c r="A1283" s="812"/>
      <c r="B1283" s="812"/>
      <c r="C1283" s="812"/>
      <c r="D1283" s="812"/>
      <c r="E1283" s="812"/>
      <c r="F1283" s="812"/>
      <c r="G1283" s="812"/>
      <c r="H1283" s="812"/>
    </row>
    <row r="1284" spans="1:8">
      <c r="A1284" s="812"/>
      <c r="B1284" s="812"/>
      <c r="C1284" s="812"/>
      <c r="D1284" s="812"/>
      <c r="E1284" s="812"/>
      <c r="F1284" s="812"/>
      <c r="G1284" s="812"/>
      <c r="H1284" s="812"/>
    </row>
    <row r="1285" spans="1:8">
      <c r="A1285" s="812"/>
      <c r="B1285" s="812"/>
      <c r="C1285" s="812"/>
      <c r="D1285" s="812"/>
      <c r="E1285" s="812"/>
      <c r="F1285" s="812"/>
      <c r="G1285" s="812"/>
      <c r="H1285" s="812"/>
    </row>
    <row r="1286" spans="1:8">
      <c r="A1286" s="812"/>
      <c r="B1286" s="812"/>
      <c r="C1286" s="812"/>
      <c r="D1286" s="812"/>
      <c r="E1286" s="812"/>
      <c r="F1286" s="812"/>
      <c r="G1286" s="812"/>
      <c r="H1286" s="812"/>
    </row>
    <row r="1287" spans="1:8">
      <c r="A1287" s="812"/>
      <c r="B1287" s="812"/>
      <c r="C1287" s="812"/>
      <c r="D1287" s="812"/>
      <c r="E1287" s="812"/>
      <c r="F1287" s="812"/>
      <c r="G1287" s="812"/>
      <c r="H1287" s="812"/>
    </row>
    <row r="1288" spans="1:8">
      <c r="A1288" s="812"/>
      <c r="B1288" s="812"/>
      <c r="C1288" s="812"/>
      <c r="D1288" s="812"/>
      <c r="E1288" s="812"/>
      <c r="F1288" s="812"/>
      <c r="G1288" s="812"/>
      <c r="H1288" s="812"/>
    </row>
    <row r="1289" spans="1:8">
      <c r="A1289" s="812"/>
      <c r="B1289" s="812"/>
      <c r="C1289" s="812"/>
      <c r="D1289" s="812"/>
      <c r="E1289" s="812"/>
      <c r="F1289" s="812"/>
      <c r="G1289" s="812"/>
      <c r="H1289" s="812"/>
    </row>
    <row r="1290" spans="1:8">
      <c r="A1290" s="812"/>
      <c r="B1290" s="812"/>
      <c r="C1290" s="812"/>
      <c r="D1290" s="812"/>
      <c r="E1290" s="812"/>
      <c r="F1290" s="812"/>
      <c r="G1290" s="812"/>
      <c r="H1290" s="812"/>
    </row>
    <row r="1291" spans="1:8">
      <c r="A1291" s="812"/>
      <c r="B1291" s="812"/>
      <c r="C1291" s="812"/>
      <c r="D1291" s="812"/>
      <c r="E1291" s="812"/>
      <c r="F1291" s="812"/>
      <c r="G1291" s="812"/>
      <c r="H1291" s="812"/>
    </row>
    <row r="1292" spans="1:8">
      <c r="A1292" s="812"/>
      <c r="B1292" s="812"/>
      <c r="C1292" s="812"/>
      <c r="D1292" s="812"/>
      <c r="E1292" s="812"/>
      <c r="F1292" s="812"/>
      <c r="G1292" s="812"/>
      <c r="H1292" s="812"/>
    </row>
    <row r="1293" spans="1:8">
      <c r="A1293" s="812"/>
      <c r="B1293" s="812"/>
      <c r="C1293" s="812"/>
      <c r="D1293" s="812"/>
      <c r="E1293" s="812"/>
      <c r="F1293" s="812"/>
      <c r="G1293" s="812"/>
      <c r="H1293" s="812"/>
    </row>
    <row r="1294" spans="1:8">
      <c r="A1294" s="812"/>
      <c r="B1294" s="812"/>
      <c r="C1294" s="812"/>
      <c r="D1294" s="812"/>
      <c r="E1294" s="812"/>
      <c r="F1294" s="812"/>
      <c r="G1294" s="812"/>
      <c r="H1294" s="812"/>
    </row>
    <row r="1295" spans="1:8">
      <c r="A1295" s="812"/>
      <c r="B1295" s="812"/>
      <c r="C1295" s="812"/>
      <c r="D1295" s="812"/>
      <c r="E1295" s="812"/>
      <c r="F1295" s="812"/>
      <c r="G1295" s="812"/>
      <c r="H1295" s="812"/>
    </row>
    <row r="1296" spans="1:8">
      <c r="A1296" s="812"/>
      <c r="B1296" s="812"/>
      <c r="C1296" s="812"/>
      <c r="D1296" s="812"/>
      <c r="E1296" s="812"/>
      <c r="F1296" s="812"/>
      <c r="G1296" s="812"/>
      <c r="H1296" s="812"/>
    </row>
    <row r="1297" spans="1:8">
      <c r="A1297" s="812"/>
      <c r="B1297" s="812"/>
      <c r="C1297" s="812"/>
      <c r="D1297" s="812"/>
      <c r="E1297" s="812"/>
      <c r="F1297" s="812"/>
      <c r="G1297" s="812"/>
      <c r="H1297" s="812"/>
    </row>
    <row r="1298" spans="1:8">
      <c r="A1298" s="812"/>
      <c r="B1298" s="812"/>
      <c r="C1298" s="812"/>
      <c r="D1298" s="812"/>
      <c r="E1298" s="812"/>
      <c r="F1298" s="812"/>
      <c r="G1298" s="812"/>
      <c r="H1298" s="812"/>
    </row>
    <row r="1299" spans="1:8">
      <c r="A1299" s="812"/>
      <c r="B1299" s="812"/>
      <c r="C1299" s="812"/>
      <c r="D1299" s="812"/>
      <c r="E1299" s="812"/>
      <c r="F1299" s="812"/>
      <c r="G1299" s="812"/>
      <c r="H1299" s="812"/>
    </row>
    <row r="1300" spans="1:8">
      <c r="A1300" s="812"/>
      <c r="B1300" s="812"/>
      <c r="C1300" s="812"/>
      <c r="D1300" s="812"/>
      <c r="E1300" s="812"/>
      <c r="F1300" s="812"/>
      <c r="G1300" s="812"/>
      <c r="H1300" s="812"/>
    </row>
    <row r="1301" spans="1:8">
      <c r="A1301" s="812"/>
      <c r="B1301" s="812"/>
      <c r="C1301" s="812"/>
      <c r="D1301" s="812"/>
      <c r="E1301" s="812"/>
      <c r="F1301" s="812"/>
      <c r="G1301" s="812"/>
      <c r="H1301" s="812"/>
    </row>
    <row r="1302" spans="1:8">
      <c r="A1302" s="812"/>
      <c r="B1302" s="812"/>
      <c r="C1302" s="812"/>
      <c r="D1302" s="812"/>
      <c r="E1302" s="812"/>
      <c r="F1302" s="812"/>
      <c r="G1302" s="812"/>
      <c r="H1302" s="812"/>
    </row>
    <row r="1303" spans="1:8">
      <c r="A1303" s="812"/>
      <c r="B1303" s="812"/>
      <c r="C1303" s="812"/>
      <c r="D1303" s="812"/>
      <c r="E1303" s="812"/>
      <c r="F1303" s="812"/>
      <c r="G1303" s="812"/>
      <c r="H1303" s="812"/>
    </row>
    <row r="1304" spans="1:8">
      <c r="A1304" s="812"/>
      <c r="B1304" s="812"/>
      <c r="C1304" s="812"/>
      <c r="D1304" s="812"/>
      <c r="E1304" s="812"/>
      <c r="F1304" s="812"/>
      <c r="G1304" s="812"/>
      <c r="H1304" s="812"/>
    </row>
    <row r="1305" spans="1:8">
      <c r="A1305" s="812"/>
      <c r="B1305" s="812"/>
      <c r="C1305" s="812"/>
      <c r="D1305" s="812"/>
      <c r="E1305" s="812"/>
      <c r="F1305" s="812"/>
      <c r="G1305" s="812"/>
      <c r="H1305" s="812"/>
    </row>
    <row r="1306" spans="1:8">
      <c r="A1306" s="812"/>
      <c r="B1306" s="812"/>
      <c r="C1306" s="812"/>
      <c r="D1306" s="812"/>
      <c r="E1306" s="812"/>
      <c r="F1306" s="812"/>
      <c r="G1306" s="812"/>
      <c r="H1306" s="812"/>
    </row>
    <row r="1307" spans="1:8">
      <c r="A1307" s="812"/>
      <c r="B1307" s="812"/>
      <c r="C1307" s="812"/>
      <c r="D1307" s="812"/>
      <c r="E1307" s="812"/>
      <c r="F1307" s="812"/>
      <c r="G1307" s="812"/>
      <c r="H1307" s="812"/>
    </row>
    <row r="1308" spans="1:8">
      <c r="A1308" s="812"/>
      <c r="B1308" s="812"/>
      <c r="C1308" s="812"/>
      <c r="D1308" s="812"/>
      <c r="E1308" s="812"/>
      <c r="F1308" s="812"/>
      <c r="G1308" s="812"/>
      <c r="H1308" s="812"/>
    </row>
    <row r="1309" spans="1:8">
      <c r="A1309" s="812"/>
      <c r="B1309" s="812"/>
      <c r="C1309" s="812"/>
      <c r="D1309" s="812"/>
      <c r="E1309" s="812"/>
      <c r="F1309" s="812"/>
      <c r="G1309" s="812"/>
      <c r="H1309" s="812"/>
    </row>
    <row r="1310" spans="1:8">
      <c r="A1310" s="812"/>
      <c r="B1310" s="812"/>
      <c r="C1310" s="812"/>
      <c r="D1310" s="812"/>
      <c r="E1310" s="812"/>
      <c r="F1310" s="812"/>
      <c r="G1310" s="812"/>
      <c r="H1310" s="812"/>
    </row>
    <row r="1311" spans="1:8">
      <c r="A1311" s="812"/>
      <c r="B1311" s="812"/>
      <c r="C1311" s="812"/>
      <c r="D1311" s="812"/>
      <c r="E1311" s="812"/>
      <c r="F1311" s="812"/>
      <c r="G1311" s="812"/>
      <c r="H1311" s="812"/>
    </row>
    <row r="1312" spans="1:8">
      <c r="A1312" s="812"/>
      <c r="B1312" s="812"/>
      <c r="C1312" s="812"/>
      <c r="D1312" s="812"/>
      <c r="E1312" s="812"/>
      <c r="F1312" s="812"/>
      <c r="G1312" s="812"/>
      <c r="H1312" s="812"/>
    </row>
    <row r="1313" spans="1:8">
      <c r="A1313" s="812"/>
      <c r="B1313" s="812"/>
      <c r="C1313" s="812"/>
      <c r="D1313" s="812"/>
      <c r="E1313" s="812"/>
      <c r="F1313" s="812"/>
      <c r="G1313" s="812"/>
      <c r="H1313" s="812"/>
    </row>
    <row r="1314" spans="1:8">
      <c r="A1314" s="812"/>
      <c r="B1314" s="812"/>
      <c r="C1314" s="812"/>
      <c r="D1314" s="812"/>
      <c r="E1314" s="812"/>
      <c r="F1314" s="812"/>
      <c r="G1314" s="812"/>
      <c r="H1314" s="812"/>
    </row>
    <row r="1315" spans="1:8">
      <c r="A1315" s="812"/>
      <c r="B1315" s="812"/>
      <c r="C1315" s="812"/>
      <c r="D1315" s="812"/>
      <c r="E1315" s="812"/>
      <c r="F1315" s="812"/>
      <c r="G1315" s="812"/>
      <c r="H1315" s="812"/>
    </row>
    <row r="1316" spans="1:8">
      <c r="A1316" s="812"/>
      <c r="B1316" s="812"/>
      <c r="C1316" s="812"/>
      <c r="D1316" s="812"/>
      <c r="E1316" s="812"/>
      <c r="F1316" s="812"/>
      <c r="G1316" s="812"/>
      <c r="H1316" s="812"/>
    </row>
    <row r="1317" spans="1:8">
      <c r="A1317" s="812"/>
      <c r="B1317" s="812"/>
      <c r="C1317" s="812"/>
      <c r="D1317" s="812"/>
      <c r="E1317" s="812"/>
      <c r="F1317" s="812"/>
      <c r="G1317" s="812"/>
      <c r="H1317" s="812"/>
    </row>
    <row r="1318" spans="1:8">
      <c r="A1318" s="812"/>
      <c r="B1318" s="812"/>
      <c r="C1318" s="812"/>
      <c r="D1318" s="812"/>
      <c r="E1318" s="812"/>
      <c r="F1318" s="812"/>
      <c r="G1318" s="812"/>
      <c r="H1318" s="812"/>
    </row>
    <row r="1319" spans="1:8">
      <c r="A1319" s="812"/>
      <c r="B1319" s="812"/>
      <c r="C1319" s="812"/>
      <c r="D1319" s="812"/>
      <c r="E1319" s="812"/>
      <c r="F1319" s="812"/>
      <c r="G1319" s="812"/>
      <c r="H1319" s="812"/>
    </row>
    <row r="1320" spans="1:8">
      <c r="A1320" s="812"/>
      <c r="B1320" s="812"/>
      <c r="C1320" s="812"/>
      <c r="D1320" s="812"/>
      <c r="E1320" s="812"/>
      <c r="F1320" s="812"/>
      <c r="G1320" s="812"/>
      <c r="H1320" s="812"/>
    </row>
    <row r="1321" spans="1:8">
      <c r="A1321" s="812"/>
      <c r="B1321" s="812"/>
      <c r="C1321" s="812"/>
      <c r="D1321" s="812"/>
      <c r="E1321" s="812"/>
      <c r="F1321" s="812"/>
      <c r="G1321" s="812"/>
      <c r="H1321" s="812"/>
    </row>
    <row r="1322" spans="1:8">
      <c r="A1322" s="812"/>
      <c r="B1322" s="812"/>
      <c r="C1322" s="812"/>
      <c r="D1322" s="812"/>
      <c r="E1322" s="812"/>
      <c r="F1322" s="812"/>
      <c r="G1322" s="812"/>
      <c r="H1322" s="812"/>
    </row>
    <row r="1323" spans="1:8">
      <c r="A1323" s="812"/>
      <c r="B1323" s="812"/>
      <c r="C1323" s="812"/>
      <c r="D1323" s="812"/>
      <c r="E1323" s="812"/>
      <c r="F1323" s="812"/>
      <c r="G1323" s="812"/>
      <c r="H1323" s="812"/>
    </row>
    <row r="1324" spans="1:8">
      <c r="A1324" s="812"/>
      <c r="B1324" s="812"/>
      <c r="C1324" s="812"/>
      <c r="D1324" s="812"/>
      <c r="E1324" s="812"/>
      <c r="F1324" s="812"/>
      <c r="G1324" s="812"/>
      <c r="H1324" s="812"/>
    </row>
    <row r="1325" spans="1:8">
      <c r="A1325" s="812"/>
      <c r="B1325" s="812"/>
      <c r="C1325" s="812"/>
      <c r="D1325" s="812"/>
      <c r="E1325" s="812"/>
      <c r="F1325" s="812"/>
      <c r="G1325" s="812"/>
      <c r="H1325" s="812"/>
    </row>
    <row r="1326" spans="1:8">
      <c r="A1326" s="812"/>
      <c r="B1326" s="812"/>
      <c r="C1326" s="812"/>
      <c r="D1326" s="812"/>
      <c r="E1326" s="812"/>
      <c r="F1326" s="812"/>
      <c r="G1326" s="812"/>
      <c r="H1326" s="812"/>
    </row>
    <row r="1327" spans="1:8">
      <c r="A1327" s="812"/>
      <c r="B1327" s="812"/>
      <c r="C1327" s="812"/>
      <c r="D1327" s="812"/>
      <c r="E1327" s="812"/>
      <c r="F1327" s="812"/>
      <c r="G1327" s="812"/>
      <c r="H1327" s="812"/>
    </row>
    <row r="1328" spans="1:8">
      <c r="A1328" s="812"/>
      <c r="B1328" s="812"/>
      <c r="C1328" s="812"/>
      <c r="D1328" s="812"/>
      <c r="E1328" s="812"/>
      <c r="F1328" s="812"/>
      <c r="G1328" s="812"/>
      <c r="H1328" s="812"/>
    </row>
    <row r="1329" spans="1:8">
      <c r="A1329" s="812"/>
      <c r="B1329" s="812"/>
      <c r="C1329" s="812"/>
      <c r="D1329" s="812"/>
      <c r="E1329" s="812"/>
      <c r="F1329" s="812"/>
      <c r="G1329" s="812"/>
      <c r="H1329" s="812"/>
    </row>
    <row r="1330" spans="1:8">
      <c r="A1330" s="812"/>
      <c r="B1330" s="812"/>
      <c r="C1330" s="812"/>
      <c r="D1330" s="812"/>
      <c r="E1330" s="812"/>
      <c r="F1330" s="812"/>
      <c r="G1330" s="812"/>
      <c r="H1330" s="812"/>
    </row>
    <row r="1331" spans="1:8">
      <c r="A1331" s="812"/>
      <c r="B1331" s="812"/>
      <c r="C1331" s="812"/>
      <c r="D1331" s="812"/>
      <c r="E1331" s="812"/>
      <c r="F1331" s="812"/>
      <c r="G1331" s="812"/>
      <c r="H1331" s="812"/>
    </row>
    <row r="1332" spans="1:8">
      <c r="A1332" s="812"/>
      <c r="B1332" s="812"/>
      <c r="C1332" s="812"/>
      <c r="D1332" s="812"/>
      <c r="E1332" s="812"/>
      <c r="F1332" s="812"/>
      <c r="G1332" s="812"/>
      <c r="H1332" s="812"/>
    </row>
    <row r="1333" spans="1:8">
      <c r="A1333" s="812"/>
      <c r="B1333" s="812"/>
      <c r="C1333" s="812"/>
      <c r="D1333" s="812"/>
      <c r="E1333" s="812"/>
      <c r="F1333" s="812"/>
      <c r="G1333" s="812"/>
      <c r="H1333" s="812"/>
    </row>
    <row r="1334" spans="1:8">
      <c r="A1334" s="812"/>
      <c r="B1334" s="812"/>
      <c r="C1334" s="812"/>
      <c r="D1334" s="812"/>
      <c r="E1334" s="812"/>
      <c r="F1334" s="812"/>
      <c r="G1334" s="812"/>
      <c r="H1334" s="812"/>
    </row>
    <row r="1335" spans="1:8">
      <c r="A1335" s="812"/>
      <c r="B1335" s="812"/>
      <c r="C1335" s="812"/>
      <c r="D1335" s="812"/>
      <c r="E1335" s="812"/>
      <c r="F1335" s="812"/>
      <c r="G1335" s="812"/>
      <c r="H1335" s="812"/>
    </row>
    <row r="1336" spans="1:8">
      <c r="A1336" s="812"/>
      <c r="B1336" s="812"/>
      <c r="C1336" s="812"/>
      <c r="D1336" s="812"/>
      <c r="E1336" s="812"/>
      <c r="F1336" s="812"/>
      <c r="G1336" s="812"/>
      <c r="H1336" s="812"/>
    </row>
    <row r="1337" spans="1:8">
      <c r="A1337" s="812"/>
      <c r="B1337" s="812"/>
      <c r="C1337" s="812"/>
      <c r="D1337" s="812"/>
      <c r="E1337" s="812"/>
      <c r="F1337" s="812"/>
      <c r="G1337" s="812"/>
      <c r="H1337" s="812"/>
    </row>
    <row r="1338" spans="1:8">
      <c r="A1338" s="812"/>
      <c r="B1338" s="812"/>
      <c r="C1338" s="812"/>
      <c r="D1338" s="812"/>
      <c r="E1338" s="812"/>
      <c r="F1338" s="812"/>
      <c r="G1338" s="812"/>
      <c r="H1338" s="812"/>
    </row>
    <row r="1339" spans="1:8">
      <c r="A1339" s="812"/>
      <c r="B1339" s="812"/>
      <c r="C1339" s="812"/>
      <c r="D1339" s="812"/>
      <c r="E1339" s="812"/>
      <c r="F1339" s="812"/>
      <c r="G1339" s="812"/>
      <c r="H1339" s="812"/>
    </row>
    <row r="1340" spans="1:8">
      <c r="A1340" s="812"/>
      <c r="B1340" s="812"/>
      <c r="C1340" s="812"/>
      <c r="D1340" s="812"/>
      <c r="E1340" s="812"/>
      <c r="F1340" s="812"/>
      <c r="G1340" s="812"/>
      <c r="H1340" s="812"/>
    </row>
    <row r="1341" spans="1:8">
      <c r="A1341" s="812"/>
      <c r="B1341" s="812"/>
      <c r="C1341" s="812"/>
      <c r="D1341" s="812"/>
      <c r="E1341" s="812"/>
      <c r="F1341" s="812"/>
      <c r="G1341" s="812"/>
      <c r="H1341" s="812"/>
    </row>
    <row r="1342" spans="1:8">
      <c r="A1342" s="812"/>
      <c r="B1342" s="812"/>
      <c r="C1342" s="812"/>
      <c r="D1342" s="812"/>
      <c r="E1342" s="812"/>
      <c r="F1342" s="812"/>
      <c r="G1342" s="812"/>
      <c r="H1342" s="812"/>
    </row>
    <row r="1343" spans="1:8">
      <c r="A1343" s="812"/>
      <c r="B1343" s="812"/>
      <c r="C1343" s="812"/>
      <c r="D1343" s="812"/>
      <c r="E1343" s="812"/>
      <c r="F1343" s="812"/>
      <c r="G1343" s="812"/>
      <c r="H1343" s="812"/>
    </row>
    <row r="1344" spans="1:8">
      <c r="A1344" s="812"/>
      <c r="B1344" s="812"/>
      <c r="C1344" s="812"/>
      <c r="D1344" s="812"/>
      <c r="E1344" s="812"/>
      <c r="F1344" s="812"/>
      <c r="G1344" s="812"/>
      <c r="H1344" s="812"/>
    </row>
    <row r="1345" spans="1:8">
      <c r="A1345" s="812"/>
      <c r="B1345" s="812"/>
      <c r="C1345" s="812"/>
      <c r="D1345" s="812"/>
      <c r="E1345" s="812"/>
      <c r="F1345" s="812"/>
      <c r="G1345" s="812"/>
      <c r="H1345" s="812"/>
    </row>
    <row r="1346" spans="1:8">
      <c r="A1346" s="812"/>
      <c r="B1346" s="812"/>
      <c r="C1346" s="812"/>
      <c r="D1346" s="812"/>
      <c r="E1346" s="812"/>
      <c r="F1346" s="812"/>
      <c r="G1346" s="812"/>
      <c r="H1346" s="812"/>
    </row>
    <row r="1347" spans="1:8">
      <c r="A1347" s="812"/>
      <c r="B1347" s="812"/>
      <c r="C1347" s="812"/>
      <c r="D1347" s="812"/>
      <c r="E1347" s="812"/>
      <c r="F1347" s="812"/>
      <c r="G1347" s="812"/>
      <c r="H1347" s="812"/>
    </row>
    <row r="1348" spans="1:8">
      <c r="A1348" s="812"/>
      <c r="B1348" s="812"/>
      <c r="C1348" s="812"/>
      <c r="D1348" s="812"/>
      <c r="E1348" s="812"/>
      <c r="F1348" s="812"/>
      <c r="G1348" s="812"/>
      <c r="H1348" s="812"/>
    </row>
    <row r="1349" spans="1:8">
      <c r="A1349" s="812"/>
      <c r="B1349" s="812"/>
      <c r="C1349" s="812"/>
      <c r="D1349" s="812"/>
      <c r="E1349" s="812"/>
      <c r="F1349" s="812"/>
      <c r="G1349" s="812"/>
      <c r="H1349" s="812"/>
    </row>
    <row r="1350" spans="1:8">
      <c r="A1350" s="812"/>
      <c r="B1350" s="812"/>
      <c r="C1350" s="812"/>
      <c r="D1350" s="812"/>
      <c r="E1350" s="812"/>
      <c r="F1350" s="812"/>
      <c r="G1350" s="812"/>
      <c r="H1350" s="812"/>
    </row>
    <row r="1351" spans="1:8">
      <c r="A1351" s="812"/>
      <c r="B1351" s="812"/>
      <c r="C1351" s="812"/>
      <c r="D1351" s="812"/>
      <c r="E1351" s="812"/>
      <c r="F1351" s="812"/>
      <c r="G1351" s="812"/>
      <c r="H1351" s="812"/>
    </row>
    <row r="1352" spans="1:8">
      <c r="A1352" s="812"/>
      <c r="B1352" s="812"/>
      <c r="C1352" s="812"/>
      <c r="D1352" s="812"/>
      <c r="E1352" s="812"/>
      <c r="F1352" s="812"/>
      <c r="G1352" s="812"/>
      <c r="H1352" s="812"/>
    </row>
    <row r="1353" spans="1:8">
      <c r="A1353" s="812"/>
      <c r="B1353" s="812"/>
      <c r="C1353" s="812"/>
      <c r="D1353" s="812"/>
      <c r="E1353" s="812"/>
      <c r="F1353" s="812"/>
      <c r="G1353" s="812"/>
      <c r="H1353" s="812"/>
    </row>
    <row r="1354" spans="1:8">
      <c r="A1354" s="812"/>
      <c r="B1354" s="812"/>
      <c r="C1354" s="812"/>
      <c r="D1354" s="812"/>
      <c r="E1354" s="812"/>
      <c r="F1354" s="812"/>
      <c r="G1354" s="812"/>
      <c r="H1354" s="812"/>
    </row>
    <row r="1355" spans="1:8">
      <c r="A1355" s="812"/>
      <c r="B1355" s="812"/>
      <c r="C1355" s="812"/>
      <c r="D1355" s="812"/>
      <c r="E1355" s="812"/>
      <c r="F1355" s="812"/>
      <c r="G1355" s="812"/>
      <c r="H1355" s="812"/>
    </row>
    <row r="1356" spans="1:8">
      <c r="A1356" s="812"/>
      <c r="B1356" s="812"/>
      <c r="C1356" s="812"/>
      <c r="D1356" s="812"/>
      <c r="E1356" s="812"/>
      <c r="F1356" s="812"/>
      <c r="G1356" s="812"/>
      <c r="H1356" s="812"/>
    </row>
    <row r="1357" spans="1:8">
      <c r="A1357" s="812"/>
      <c r="B1357" s="812"/>
      <c r="C1357" s="812"/>
      <c r="D1357" s="812"/>
      <c r="E1357" s="812"/>
      <c r="F1357" s="812"/>
      <c r="G1357" s="812"/>
      <c r="H1357" s="812"/>
    </row>
    <row r="1358" spans="1:8">
      <c r="A1358" s="812"/>
      <c r="B1358" s="812"/>
      <c r="C1358" s="812"/>
      <c r="D1358" s="812"/>
      <c r="E1358" s="812"/>
      <c r="F1358" s="812"/>
      <c r="G1358" s="812"/>
      <c r="H1358" s="812"/>
    </row>
    <row r="1359" spans="1:8">
      <c r="A1359" s="812"/>
      <c r="B1359" s="812"/>
      <c r="C1359" s="812"/>
      <c r="D1359" s="812"/>
      <c r="E1359" s="812"/>
      <c r="F1359" s="812"/>
      <c r="G1359" s="812"/>
      <c r="H1359" s="812"/>
    </row>
    <row r="1360" spans="1:8">
      <c r="A1360" s="812"/>
      <c r="B1360" s="812"/>
      <c r="C1360" s="812"/>
      <c r="D1360" s="812"/>
      <c r="E1360" s="812"/>
      <c r="F1360" s="812"/>
      <c r="G1360" s="812"/>
      <c r="H1360" s="812"/>
    </row>
    <row r="1361" spans="1:8">
      <c r="A1361" s="812"/>
      <c r="B1361" s="812"/>
      <c r="C1361" s="812"/>
      <c r="D1361" s="812"/>
      <c r="E1361" s="812"/>
      <c r="F1361" s="812"/>
      <c r="G1361" s="812"/>
      <c r="H1361" s="812"/>
    </row>
    <row r="1362" spans="1:8">
      <c r="A1362" s="812"/>
      <c r="B1362" s="812"/>
      <c r="C1362" s="812"/>
      <c r="D1362" s="812"/>
      <c r="E1362" s="812"/>
      <c r="F1362" s="812"/>
      <c r="G1362" s="812"/>
      <c r="H1362" s="812"/>
    </row>
    <row r="1363" spans="1:8">
      <c r="A1363" s="812"/>
      <c r="B1363" s="812"/>
      <c r="C1363" s="812"/>
      <c r="D1363" s="812"/>
      <c r="E1363" s="812"/>
      <c r="F1363" s="812"/>
      <c r="G1363" s="812"/>
      <c r="H1363" s="812"/>
    </row>
    <row r="1364" spans="1:8">
      <c r="A1364" s="812"/>
      <c r="B1364" s="812"/>
      <c r="C1364" s="812"/>
      <c r="D1364" s="812"/>
      <c r="E1364" s="812"/>
      <c r="F1364" s="812"/>
      <c r="G1364" s="812"/>
      <c r="H1364" s="812"/>
    </row>
    <row r="1365" spans="1:8">
      <c r="A1365" s="812"/>
      <c r="B1365" s="812"/>
      <c r="C1365" s="812"/>
      <c r="D1365" s="812"/>
      <c r="E1365" s="812"/>
      <c r="F1365" s="812"/>
      <c r="G1365" s="812"/>
      <c r="H1365" s="812"/>
    </row>
    <row r="1366" spans="1:8">
      <c r="A1366" s="812"/>
      <c r="B1366" s="812"/>
      <c r="C1366" s="812"/>
      <c r="D1366" s="812"/>
      <c r="E1366" s="812"/>
      <c r="F1366" s="812"/>
      <c r="G1366" s="812"/>
      <c r="H1366" s="812"/>
    </row>
    <row r="1367" spans="1:8">
      <c r="A1367" s="812"/>
      <c r="B1367" s="812"/>
      <c r="C1367" s="812"/>
      <c r="D1367" s="812"/>
      <c r="E1367" s="812"/>
      <c r="F1367" s="812"/>
      <c r="G1367" s="812"/>
      <c r="H1367" s="812"/>
    </row>
    <row r="1368" spans="1:8">
      <c r="A1368" s="812"/>
      <c r="B1368" s="812"/>
      <c r="C1368" s="812"/>
      <c r="D1368" s="812"/>
      <c r="E1368" s="812"/>
      <c r="F1368" s="812"/>
      <c r="G1368" s="812"/>
      <c r="H1368" s="812"/>
    </row>
    <row r="1369" spans="1:8">
      <c r="A1369" s="812"/>
      <c r="B1369" s="812"/>
      <c r="C1369" s="812"/>
      <c r="D1369" s="812"/>
      <c r="E1369" s="812"/>
      <c r="F1369" s="812"/>
      <c r="G1369" s="812"/>
      <c r="H1369" s="812"/>
    </row>
    <row r="1370" spans="1:8">
      <c r="A1370" s="812"/>
      <c r="B1370" s="812"/>
      <c r="C1370" s="812"/>
      <c r="D1370" s="812"/>
      <c r="E1370" s="812"/>
      <c r="F1370" s="812"/>
      <c r="G1370" s="812"/>
      <c r="H1370" s="812"/>
    </row>
    <row r="1371" spans="1:8">
      <c r="A1371" s="812"/>
      <c r="B1371" s="812"/>
      <c r="C1371" s="812"/>
      <c r="D1371" s="812"/>
      <c r="E1371" s="812"/>
      <c r="F1371" s="812"/>
      <c r="G1371" s="812"/>
      <c r="H1371" s="812"/>
    </row>
    <row r="1372" spans="1:8">
      <c r="A1372" s="812"/>
      <c r="B1372" s="812"/>
      <c r="C1372" s="812"/>
      <c r="D1372" s="812"/>
      <c r="E1372" s="812"/>
      <c r="F1372" s="812"/>
      <c r="G1372" s="812"/>
      <c r="H1372" s="812"/>
    </row>
    <row r="1373" spans="1:8">
      <c r="A1373" s="812"/>
      <c r="B1373" s="812"/>
      <c r="C1373" s="812"/>
      <c r="D1373" s="812"/>
      <c r="E1373" s="812"/>
      <c r="F1373" s="812"/>
      <c r="G1373" s="812"/>
      <c r="H1373" s="812"/>
    </row>
    <row r="1374" spans="1:8">
      <c r="A1374" s="812"/>
      <c r="B1374" s="812"/>
      <c r="C1374" s="812"/>
      <c r="D1374" s="812"/>
      <c r="E1374" s="812"/>
      <c r="F1374" s="812"/>
      <c r="G1374" s="812"/>
      <c r="H1374" s="812"/>
    </row>
    <row r="1375" spans="1:8">
      <c r="A1375" s="812"/>
      <c r="B1375" s="812"/>
      <c r="C1375" s="812"/>
      <c r="D1375" s="812"/>
      <c r="E1375" s="812"/>
      <c r="F1375" s="812"/>
      <c r="G1375" s="812"/>
      <c r="H1375" s="812"/>
    </row>
    <row r="1376" spans="1:8">
      <c r="A1376" s="812"/>
      <c r="B1376" s="812"/>
      <c r="C1376" s="812"/>
      <c r="D1376" s="812"/>
      <c r="E1376" s="812"/>
      <c r="F1376" s="812"/>
      <c r="G1376" s="812"/>
      <c r="H1376" s="812"/>
    </row>
    <row r="1377" spans="1:8">
      <c r="A1377" s="812"/>
      <c r="B1377" s="812"/>
      <c r="C1377" s="812"/>
      <c r="D1377" s="812"/>
      <c r="E1377" s="812"/>
      <c r="F1377" s="812"/>
      <c r="G1377" s="812"/>
      <c r="H1377" s="812"/>
    </row>
    <row r="1378" spans="1:8">
      <c r="A1378" s="812"/>
      <c r="B1378" s="812"/>
      <c r="C1378" s="812"/>
      <c r="D1378" s="812"/>
      <c r="E1378" s="812"/>
      <c r="F1378" s="812"/>
      <c r="G1378" s="812"/>
      <c r="H1378" s="812"/>
    </row>
    <row r="1379" spans="1:8">
      <c r="A1379" s="812"/>
      <c r="B1379" s="812"/>
      <c r="C1379" s="812"/>
      <c r="D1379" s="812"/>
      <c r="E1379" s="812"/>
      <c r="F1379" s="812"/>
      <c r="G1379" s="812"/>
      <c r="H1379" s="812"/>
    </row>
    <row r="1380" spans="1:8">
      <c r="A1380" s="812"/>
      <c r="B1380" s="812"/>
      <c r="C1380" s="812"/>
      <c r="D1380" s="812"/>
      <c r="E1380" s="812"/>
      <c r="F1380" s="812"/>
      <c r="G1380" s="812"/>
      <c r="H1380" s="812"/>
    </row>
    <row r="1381" spans="1:8">
      <c r="A1381" s="812"/>
      <c r="B1381" s="812"/>
      <c r="C1381" s="812"/>
      <c r="D1381" s="812"/>
      <c r="E1381" s="812"/>
      <c r="F1381" s="812"/>
      <c r="G1381" s="812"/>
      <c r="H1381" s="812"/>
    </row>
    <row r="1382" spans="1:8">
      <c r="A1382" s="812"/>
      <c r="B1382" s="812"/>
      <c r="C1382" s="812"/>
      <c r="D1382" s="812"/>
      <c r="E1382" s="812"/>
      <c r="F1382" s="812"/>
      <c r="G1382" s="812"/>
      <c r="H1382" s="812"/>
    </row>
    <row r="1383" spans="1:8">
      <c r="A1383" s="812"/>
      <c r="B1383" s="812"/>
      <c r="C1383" s="812"/>
      <c r="D1383" s="812"/>
      <c r="E1383" s="812"/>
      <c r="F1383" s="812"/>
      <c r="G1383" s="812"/>
      <c r="H1383" s="812"/>
    </row>
    <row r="1384" spans="1:8">
      <c r="A1384" s="812"/>
      <c r="B1384" s="812"/>
      <c r="C1384" s="812"/>
      <c r="D1384" s="812"/>
      <c r="E1384" s="812"/>
      <c r="F1384" s="812"/>
      <c r="G1384" s="812"/>
      <c r="H1384" s="812"/>
    </row>
    <row r="1385" spans="1:8">
      <c r="A1385" s="812"/>
      <c r="B1385" s="812"/>
      <c r="C1385" s="812"/>
      <c r="D1385" s="812"/>
      <c r="E1385" s="812"/>
      <c r="F1385" s="812"/>
      <c r="G1385" s="812"/>
      <c r="H1385" s="812"/>
    </row>
    <row r="1386" spans="1:8">
      <c r="A1386" s="812"/>
      <c r="B1386" s="812"/>
      <c r="C1386" s="812"/>
      <c r="D1386" s="812"/>
      <c r="E1386" s="812"/>
      <c r="F1386" s="812"/>
      <c r="G1386" s="812"/>
      <c r="H1386" s="812"/>
    </row>
    <row r="1387" spans="1:8">
      <c r="A1387" s="812"/>
      <c r="B1387" s="812"/>
      <c r="C1387" s="812"/>
      <c r="D1387" s="812"/>
      <c r="E1387" s="812"/>
      <c r="F1387" s="812"/>
      <c r="G1387" s="812"/>
      <c r="H1387" s="812"/>
    </row>
    <row r="1388" spans="1:8">
      <c r="A1388" s="812"/>
      <c r="B1388" s="812"/>
      <c r="C1388" s="812"/>
      <c r="D1388" s="812"/>
      <c r="E1388" s="812"/>
      <c r="F1388" s="812"/>
      <c r="G1388" s="812"/>
      <c r="H1388" s="812"/>
    </row>
    <row r="1389" spans="1:8">
      <c r="A1389" s="812"/>
      <c r="B1389" s="812"/>
      <c r="C1389" s="812"/>
      <c r="D1389" s="812"/>
      <c r="E1389" s="812"/>
      <c r="F1389" s="812"/>
      <c r="G1389" s="812"/>
      <c r="H1389" s="812"/>
    </row>
    <row r="1390" spans="1:8">
      <c r="A1390" s="812"/>
      <c r="B1390" s="812"/>
      <c r="C1390" s="812"/>
      <c r="D1390" s="812"/>
      <c r="E1390" s="812"/>
      <c r="F1390" s="812"/>
      <c r="G1390" s="812"/>
      <c r="H1390" s="812"/>
    </row>
    <row r="1391" spans="1:8">
      <c r="A1391" s="812"/>
      <c r="B1391" s="812"/>
      <c r="C1391" s="812"/>
      <c r="D1391" s="812"/>
      <c r="E1391" s="812"/>
      <c r="F1391" s="812"/>
      <c r="G1391" s="812"/>
      <c r="H1391" s="812"/>
    </row>
    <row r="1392" spans="1:8">
      <c r="A1392" s="812"/>
      <c r="B1392" s="812"/>
      <c r="C1392" s="812"/>
      <c r="D1392" s="812"/>
      <c r="E1392" s="812"/>
      <c r="F1392" s="812"/>
      <c r="G1392" s="812"/>
      <c r="H1392" s="812"/>
    </row>
    <row r="1393" spans="1:8">
      <c r="A1393" s="812"/>
      <c r="B1393" s="812"/>
      <c r="C1393" s="812"/>
      <c r="D1393" s="812"/>
      <c r="E1393" s="812"/>
      <c r="F1393" s="812"/>
      <c r="G1393" s="812"/>
      <c r="H1393" s="812"/>
    </row>
    <row r="1394" spans="1:8">
      <c r="A1394" s="812"/>
      <c r="B1394" s="812"/>
      <c r="C1394" s="812"/>
      <c r="D1394" s="812"/>
      <c r="E1394" s="812"/>
      <c r="F1394" s="812"/>
      <c r="G1394" s="812"/>
      <c r="H1394" s="812"/>
    </row>
    <row r="1395" spans="1:8">
      <c r="A1395" s="812"/>
      <c r="B1395" s="812"/>
      <c r="C1395" s="812"/>
      <c r="D1395" s="812"/>
      <c r="E1395" s="812"/>
      <c r="F1395" s="812"/>
      <c r="G1395" s="812"/>
      <c r="H1395" s="812"/>
    </row>
    <row r="1396" spans="1:8">
      <c r="A1396" s="812"/>
      <c r="B1396" s="812"/>
      <c r="C1396" s="812"/>
      <c r="D1396" s="812"/>
      <c r="E1396" s="812"/>
      <c r="F1396" s="812"/>
      <c r="G1396" s="812"/>
      <c r="H1396" s="812"/>
    </row>
    <row r="1397" spans="1:8">
      <c r="A1397" s="812"/>
      <c r="B1397" s="812"/>
      <c r="C1397" s="812"/>
      <c r="D1397" s="812"/>
      <c r="E1397" s="812"/>
      <c r="F1397" s="812"/>
      <c r="G1397" s="812"/>
      <c r="H1397" s="812"/>
    </row>
    <row r="1398" spans="1:8">
      <c r="A1398" s="812"/>
      <c r="B1398" s="812"/>
      <c r="C1398" s="812"/>
      <c r="D1398" s="812"/>
      <c r="E1398" s="812"/>
      <c r="F1398" s="812"/>
      <c r="G1398" s="812"/>
      <c r="H1398" s="812"/>
    </row>
    <row r="1399" spans="1:8">
      <c r="A1399" s="812"/>
      <c r="B1399" s="812"/>
      <c r="C1399" s="812"/>
      <c r="D1399" s="812"/>
      <c r="E1399" s="812"/>
      <c r="F1399" s="812"/>
      <c r="G1399" s="812"/>
      <c r="H1399" s="812"/>
    </row>
    <row r="1400" spans="1:8">
      <c r="A1400" s="812"/>
      <c r="B1400" s="812"/>
      <c r="C1400" s="812"/>
      <c r="D1400" s="812"/>
      <c r="E1400" s="812"/>
      <c r="F1400" s="812"/>
      <c r="G1400" s="812"/>
      <c r="H1400" s="812"/>
    </row>
    <row r="1401" spans="1:8">
      <c r="A1401" s="812"/>
      <c r="B1401" s="812"/>
      <c r="C1401" s="812"/>
      <c r="D1401" s="812"/>
      <c r="E1401" s="812"/>
      <c r="F1401" s="812"/>
      <c r="G1401" s="812"/>
      <c r="H1401" s="812"/>
    </row>
    <row r="1402" spans="1:8">
      <c r="A1402" s="812"/>
      <c r="B1402" s="812"/>
      <c r="C1402" s="812"/>
      <c r="D1402" s="812"/>
      <c r="E1402" s="812"/>
      <c r="F1402" s="812"/>
      <c r="G1402" s="812"/>
      <c r="H1402" s="812"/>
    </row>
    <row r="1403" spans="1:8">
      <c r="A1403" s="812"/>
      <c r="B1403" s="812"/>
      <c r="C1403" s="812"/>
      <c r="D1403" s="812"/>
      <c r="E1403" s="812"/>
      <c r="F1403" s="812"/>
      <c r="G1403" s="812"/>
      <c r="H1403" s="812"/>
    </row>
    <row r="1404" spans="1:8">
      <c r="A1404" s="812"/>
      <c r="B1404" s="812"/>
      <c r="C1404" s="812"/>
      <c r="D1404" s="812"/>
      <c r="E1404" s="812"/>
      <c r="F1404" s="812"/>
      <c r="G1404" s="812"/>
      <c r="H1404" s="812"/>
    </row>
    <row r="1405" spans="1:8">
      <c r="A1405" s="812"/>
      <c r="B1405" s="812"/>
      <c r="C1405" s="812"/>
      <c r="D1405" s="812"/>
      <c r="E1405" s="812"/>
      <c r="F1405" s="812"/>
      <c r="G1405" s="812"/>
      <c r="H1405" s="812"/>
    </row>
    <row r="1406" spans="1:8">
      <c r="A1406" s="812"/>
      <c r="B1406" s="812"/>
      <c r="C1406" s="812"/>
      <c r="D1406" s="812"/>
      <c r="E1406" s="812"/>
      <c r="F1406" s="812"/>
      <c r="G1406" s="812"/>
      <c r="H1406" s="812"/>
    </row>
    <row r="1407" spans="1:8">
      <c r="A1407" s="812"/>
      <c r="B1407" s="812"/>
      <c r="C1407" s="812"/>
      <c r="D1407" s="812"/>
      <c r="E1407" s="812"/>
      <c r="F1407" s="812"/>
      <c r="G1407" s="812"/>
      <c r="H1407" s="812"/>
    </row>
    <row r="1408" spans="1:8">
      <c r="A1408" s="812"/>
      <c r="B1408" s="812"/>
      <c r="C1408" s="812"/>
      <c r="D1408" s="812"/>
      <c r="E1408" s="812"/>
      <c r="F1408" s="812"/>
      <c r="G1408" s="812"/>
      <c r="H1408" s="812"/>
    </row>
    <row r="1409" spans="1:8">
      <c r="A1409" s="812"/>
      <c r="B1409" s="812"/>
      <c r="C1409" s="812"/>
      <c r="D1409" s="812"/>
      <c r="E1409" s="812"/>
      <c r="F1409" s="812"/>
      <c r="G1409" s="812"/>
      <c r="H1409" s="812"/>
    </row>
    <row r="1410" spans="1:8">
      <c r="A1410" s="812"/>
      <c r="B1410" s="812"/>
      <c r="C1410" s="812"/>
      <c r="D1410" s="812"/>
      <c r="E1410" s="812"/>
      <c r="F1410" s="812"/>
      <c r="G1410" s="812"/>
      <c r="H1410" s="812"/>
    </row>
    <row r="1411" spans="1:8">
      <c r="A1411" s="812"/>
      <c r="B1411" s="812"/>
      <c r="C1411" s="812"/>
      <c r="D1411" s="812"/>
      <c r="E1411" s="812"/>
      <c r="F1411" s="812"/>
      <c r="G1411" s="812"/>
      <c r="H1411" s="812"/>
    </row>
    <row r="1412" spans="1:8">
      <c r="A1412" s="812"/>
      <c r="B1412" s="812"/>
      <c r="C1412" s="812"/>
      <c r="D1412" s="812"/>
      <c r="E1412" s="812"/>
      <c r="F1412" s="812"/>
      <c r="G1412" s="812"/>
      <c r="H1412" s="812"/>
    </row>
    <row r="1413" spans="1:8">
      <c r="A1413" s="812"/>
      <c r="B1413" s="812"/>
      <c r="C1413" s="812"/>
      <c r="D1413" s="812"/>
      <c r="E1413" s="812"/>
      <c r="F1413" s="812"/>
      <c r="G1413" s="812"/>
      <c r="H1413" s="812"/>
    </row>
    <row r="1414" spans="1:8">
      <c r="A1414" s="812"/>
      <c r="B1414" s="812"/>
      <c r="C1414" s="812"/>
      <c r="D1414" s="812"/>
      <c r="E1414" s="812"/>
      <c r="F1414" s="812"/>
      <c r="G1414" s="812"/>
      <c r="H1414" s="812"/>
    </row>
    <row r="1415" spans="1:8">
      <c r="A1415" s="812"/>
      <c r="B1415" s="812"/>
      <c r="C1415" s="812"/>
      <c r="D1415" s="812"/>
      <c r="E1415" s="812"/>
      <c r="F1415" s="812"/>
      <c r="G1415" s="812"/>
      <c r="H1415" s="812"/>
    </row>
    <row r="1416" spans="1:8">
      <c r="A1416" s="812"/>
      <c r="B1416" s="812"/>
      <c r="C1416" s="812"/>
      <c r="D1416" s="812"/>
      <c r="E1416" s="812"/>
      <c r="F1416" s="812"/>
      <c r="G1416" s="812"/>
      <c r="H1416" s="812"/>
    </row>
    <row r="1417" spans="1:8">
      <c r="A1417" s="812"/>
      <c r="B1417" s="812"/>
      <c r="C1417" s="812"/>
      <c r="D1417" s="812"/>
      <c r="E1417" s="812"/>
      <c r="F1417" s="812"/>
      <c r="G1417" s="812"/>
      <c r="H1417" s="812"/>
    </row>
    <row r="1418" spans="1:8">
      <c r="A1418" s="812"/>
      <c r="B1418" s="812"/>
      <c r="C1418" s="812"/>
      <c r="D1418" s="812"/>
      <c r="E1418" s="812"/>
      <c r="F1418" s="812"/>
      <c r="G1418" s="812"/>
      <c r="H1418" s="812"/>
    </row>
    <row r="1419" spans="1:8">
      <c r="A1419" s="812"/>
      <c r="B1419" s="812"/>
      <c r="C1419" s="812"/>
      <c r="D1419" s="812"/>
      <c r="E1419" s="812"/>
      <c r="F1419" s="812"/>
      <c r="G1419" s="812"/>
      <c r="H1419" s="812"/>
    </row>
    <row r="1420" spans="1:8">
      <c r="A1420" s="812"/>
      <c r="B1420" s="812"/>
      <c r="C1420" s="812"/>
      <c r="D1420" s="812"/>
      <c r="E1420" s="812"/>
      <c r="F1420" s="812"/>
      <c r="G1420" s="812"/>
      <c r="H1420" s="812"/>
    </row>
    <row r="1421" spans="1:8">
      <c r="A1421" s="812"/>
      <c r="B1421" s="812"/>
      <c r="C1421" s="812"/>
      <c r="D1421" s="812"/>
      <c r="E1421" s="812"/>
      <c r="F1421" s="812"/>
      <c r="G1421" s="812"/>
      <c r="H1421" s="812"/>
    </row>
    <row r="1422" spans="1:8">
      <c r="A1422" s="812"/>
      <c r="B1422" s="812"/>
      <c r="C1422" s="812"/>
      <c r="D1422" s="812"/>
      <c r="E1422" s="812"/>
      <c r="F1422" s="812"/>
      <c r="G1422" s="812"/>
      <c r="H1422" s="812"/>
    </row>
    <row r="1423" spans="1:8">
      <c r="A1423" s="812"/>
      <c r="B1423" s="812"/>
      <c r="C1423" s="812"/>
      <c r="D1423" s="812"/>
      <c r="E1423" s="812"/>
      <c r="F1423" s="812"/>
      <c r="G1423" s="812"/>
      <c r="H1423" s="812"/>
    </row>
    <row r="1424" spans="1:8">
      <c r="A1424" s="812"/>
      <c r="B1424" s="812"/>
      <c r="C1424" s="812"/>
      <c r="D1424" s="812"/>
      <c r="E1424" s="812"/>
      <c r="F1424" s="812"/>
      <c r="G1424" s="812"/>
      <c r="H1424" s="812"/>
    </row>
    <row r="1425" spans="1:8">
      <c r="A1425" s="812"/>
      <c r="B1425" s="812"/>
      <c r="C1425" s="812"/>
      <c r="D1425" s="812"/>
      <c r="E1425" s="812"/>
      <c r="F1425" s="812"/>
      <c r="G1425" s="812"/>
      <c r="H1425" s="812"/>
    </row>
    <row r="1426" spans="1:8">
      <c r="A1426" s="812"/>
      <c r="B1426" s="812"/>
      <c r="C1426" s="812"/>
      <c r="D1426" s="812"/>
      <c r="E1426" s="812"/>
      <c r="F1426" s="812"/>
      <c r="G1426" s="812"/>
      <c r="H1426" s="812"/>
    </row>
    <row r="1427" spans="1:8">
      <c r="A1427" s="812"/>
      <c r="B1427" s="812"/>
      <c r="C1427" s="812"/>
      <c r="D1427" s="812"/>
      <c r="E1427" s="812"/>
      <c r="F1427" s="812"/>
      <c r="G1427" s="812"/>
      <c r="H1427" s="812"/>
    </row>
    <row r="1428" spans="1:8">
      <c r="A1428" s="812"/>
      <c r="B1428" s="812"/>
      <c r="C1428" s="812"/>
      <c r="D1428" s="812"/>
      <c r="E1428" s="812"/>
      <c r="F1428" s="812"/>
      <c r="G1428" s="812"/>
      <c r="H1428" s="812"/>
    </row>
    <row r="1429" spans="1:8">
      <c r="A1429" s="812"/>
      <c r="B1429" s="812"/>
      <c r="C1429" s="812"/>
      <c r="D1429" s="812"/>
      <c r="E1429" s="812"/>
      <c r="F1429" s="812"/>
      <c r="G1429" s="812"/>
      <c r="H1429" s="812"/>
    </row>
    <row r="1430" spans="1:8">
      <c r="A1430" s="812"/>
      <c r="B1430" s="812"/>
      <c r="C1430" s="812"/>
      <c r="D1430" s="812"/>
      <c r="E1430" s="812"/>
      <c r="F1430" s="812"/>
      <c r="G1430" s="812"/>
      <c r="H1430" s="812"/>
    </row>
    <row r="1431" spans="1:8">
      <c r="A1431" s="812"/>
      <c r="B1431" s="812"/>
      <c r="C1431" s="812"/>
      <c r="D1431" s="812"/>
      <c r="E1431" s="812"/>
      <c r="F1431" s="812"/>
      <c r="G1431" s="812"/>
      <c r="H1431" s="812"/>
    </row>
    <row r="1432" spans="1:8">
      <c r="A1432" s="812"/>
      <c r="B1432" s="812"/>
      <c r="C1432" s="812"/>
      <c r="D1432" s="812"/>
      <c r="E1432" s="812"/>
      <c r="F1432" s="812"/>
      <c r="G1432" s="812"/>
      <c r="H1432" s="812"/>
    </row>
    <row r="1433" spans="1:8">
      <c r="A1433" s="812"/>
      <c r="B1433" s="812"/>
      <c r="C1433" s="812"/>
      <c r="D1433" s="812"/>
      <c r="E1433" s="812"/>
      <c r="F1433" s="812"/>
      <c r="G1433" s="812"/>
      <c r="H1433" s="812"/>
    </row>
    <row r="1434" spans="1:8">
      <c r="A1434" s="812"/>
      <c r="B1434" s="812"/>
      <c r="C1434" s="812"/>
      <c r="D1434" s="812"/>
      <c r="E1434" s="812"/>
      <c r="F1434" s="812"/>
      <c r="G1434" s="812"/>
      <c r="H1434" s="812"/>
    </row>
    <row r="1435" spans="1:8">
      <c r="A1435" s="812"/>
      <c r="B1435" s="812"/>
      <c r="C1435" s="812"/>
      <c r="D1435" s="812"/>
      <c r="E1435" s="812"/>
      <c r="F1435" s="812"/>
      <c r="G1435" s="812"/>
      <c r="H1435" s="812"/>
    </row>
    <row r="1436" spans="1:8">
      <c r="A1436" s="812"/>
      <c r="B1436" s="812"/>
      <c r="C1436" s="812"/>
      <c r="D1436" s="812"/>
      <c r="E1436" s="812"/>
      <c r="F1436" s="812"/>
      <c r="G1436" s="812"/>
      <c r="H1436" s="812"/>
    </row>
    <row r="1437" spans="1:8">
      <c r="A1437" s="812"/>
      <c r="B1437" s="812"/>
      <c r="C1437" s="812"/>
      <c r="D1437" s="812"/>
      <c r="E1437" s="812"/>
      <c r="F1437" s="812"/>
      <c r="G1437" s="812"/>
      <c r="H1437" s="812"/>
    </row>
    <row r="1438" spans="1:8">
      <c r="A1438" s="812"/>
      <c r="B1438" s="812"/>
      <c r="C1438" s="812"/>
      <c r="D1438" s="812"/>
      <c r="E1438" s="812"/>
      <c r="F1438" s="812"/>
      <c r="G1438" s="812"/>
      <c r="H1438" s="812"/>
    </row>
    <row r="1439" spans="1:8">
      <c r="A1439" s="812"/>
      <c r="B1439" s="812"/>
      <c r="C1439" s="812"/>
      <c r="D1439" s="812"/>
      <c r="E1439" s="812"/>
      <c r="F1439" s="812"/>
      <c r="G1439" s="812"/>
      <c r="H1439" s="812"/>
    </row>
    <row r="1440" spans="1:8">
      <c r="A1440" s="812"/>
      <c r="B1440" s="812"/>
      <c r="C1440" s="812"/>
      <c r="D1440" s="812"/>
      <c r="E1440" s="812"/>
      <c r="F1440" s="812"/>
      <c r="G1440" s="812"/>
      <c r="H1440" s="812"/>
    </row>
    <row r="1441" spans="1:8">
      <c r="A1441" s="812"/>
      <c r="B1441" s="812"/>
      <c r="C1441" s="812"/>
      <c r="D1441" s="812"/>
      <c r="E1441" s="812"/>
      <c r="F1441" s="812"/>
      <c r="G1441" s="812"/>
      <c r="H1441" s="812"/>
    </row>
    <row r="1442" spans="1:8">
      <c r="A1442" s="812"/>
      <c r="B1442" s="812"/>
      <c r="C1442" s="812"/>
      <c r="D1442" s="812"/>
      <c r="E1442" s="812"/>
      <c r="F1442" s="812"/>
      <c r="G1442" s="812"/>
      <c r="H1442" s="812"/>
    </row>
    <row r="1443" spans="1:8">
      <c r="A1443" s="812"/>
      <c r="B1443" s="812"/>
      <c r="C1443" s="812"/>
      <c r="D1443" s="812"/>
      <c r="E1443" s="812"/>
      <c r="F1443" s="812"/>
      <c r="G1443" s="812"/>
      <c r="H1443" s="812"/>
    </row>
    <row r="1444" spans="1:8">
      <c r="A1444" s="812"/>
      <c r="B1444" s="812"/>
      <c r="C1444" s="812"/>
      <c r="D1444" s="812"/>
      <c r="E1444" s="812"/>
      <c r="F1444" s="812"/>
      <c r="G1444" s="812"/>
      <c r="H1444" s="812"/>
    </row>
    <row r="1445" spans="1:8">
      <c r="A1445" s="812"/>
      <c r="B1445" s="812"/>
      <c r="C1445" s="812"/>
      <c r="D1445" s="812"/>
      <c r="E1445" s="812"/>
      <c r="F1445" s="812"/>
      <c r="G1445" s="812"/>
      <c r="H1445" s="812"/>
    </row>
    <row r="1446" spans="1:8">
      <c r="A1446" s="812"/>
      <c r="B1446" s="812"/>
      <c r="C1446" s="812"/>
      <c r="D1446" s="812"/>
      <c r="E1446" s="812"/>
      <c r="F1446" s="812"/>
      <c r="G1446" s="812"/>
      <c r="H1446" s="812"/>
    </row>
    <row r="1447" spans="1:8">
      <c r="A1447" s="812"/>
      <c r="B1447" s="812"/>
      <c r="C1447" s="812"/>
      <c r="D1447" s="812"/>
      <c r="E1447" s="812"/>
      <c r="F1447" s="812"/>
      <c r="G1447" s="812"/>
      <c r="H1447" s="812"/>
    </row>
    <row r="1448" spans="1:8">
      <c r="A1448" s="812"/>
      <c r="B1448" s="812"/>
      <c r="C1448" s="812"/>
      <c r="D1448" s="812"/>
      <c r="E1448" s="812"/>
      <c r="F1448" s="812"/>
      <c r="G1448" s="812"/>
      <c r="H1448" s="812"/>
    </row>
    <row r="1449" spans="1:8">
      <c r="A1449" s="812"/>
      <c r="B1449" s="812"/>
      <c r="C1449" s="812"/>
      <c r="D1449" s="812"/>
      <c r="E1449" s="812"/>
      <c r="F1449" s="812"/>
      <c r="G1449" s="812"/>
      <c r="H1449" s="812"/>
    </row>
    <row r="1450" spans="1:8">
      <c r="A1450" s="812"/>
      <c r="B1450" s="812"/>
      <c r="C1450" s="812"/>
      <c r="D1450" s="812"/>
      <c r="E1450" s="812"/>
      <c r="F1450" s="812"/>
      <c r="G1450" s="812"/>
      <c r="H1450" s="812"/>
    </row>
    <row r="1451" spans="1:8">
      <c r="A1451" s="812"/>
      <c r="B1451" s="812"/>
      <c r="C1451" s="812"/>
      <c r="D1451" s="812"/>
      <c r="E1451" s="812"/>
      <c r="F1451" s="812"/>
      <c r="G1451" s="812"/>
      <c r="H1451" s="812"/>
    </row>
    <row r="1452" spans="1:8">
      <c r="A1452" s="812"/>
      <c r="B1452" s="812"/>
      <c r="C1452" s="812"/>
      <c r="D1452" s="812"/>
      <c r="E1452" s="812"/>
      <c r="F1452" s="812"/>
      <c r="G1452" s="812"/>
      <c r="H1452" s="812"/>
    </row>
    <row r="1453" spans="1:8">
      <c r="A1453" s="812"/>
      <c r="B1453" s="812"/>
      <c r="C1453" s="812"/>
      <c r="D1453" s="812"/>
      <c r="E1453" s="812"/>
      <c r="F1453" s="812"/>
      <c r="G1453" s="812"/>
      <c r="H1453" s="812"/>
    </row>
    <row r="1454" spans="1:8">
      <c r="A1454" s="812"/>
      <c r="B1454" s="812"/>
      <c r="C1454" s="812"/>
      <c r="D1454" s="812"/>
      <c r="E1454" s="812"/>
      <c r="F1454" s="812"/>
      <c r="G1454" s="812"/>
      <c r="H1454" s="812"/>
    </row>
    <row r="1455" spans="1:8">
      <c r="A1455" s="812"/>
      <c r="B1455" s="812"/>
      <c r="C1455" s="812"/>
      <c r="D1455" s="812"/>
      <c r="E1455" s="812"/>
      <c r="F1455" s="812"/>
      <c r="G1455" s="812"/>
      <c r="H1455" s="812"/>
    </row>
    <row r="1456" spans="1:8">
      <c r="A1456" s="812"/>
      <c r="B1456" s="812"/>
      <c r="C1456" s="812"/>
      <c r="D1456" s="812"/>
      <c r="E1456" s="812"/>
      <c r="F1456" s="812"/>
      <c r="G1456" s="812"/>
      <c r="H1456" s="812"/>
    </row>
    <row r="1457" spans="1:8">
      <c r="A1457" s="812"/>
      <c r="B1457" s="812"/>
      <c r="C1457" s="812"/>
      <c r="D1457" s="812"/>
      <c r="E1457" s="812"/>
      <c r="F1457" s="812"/>
      <c r="G1457" s="812"/>
      <c r="H1457" s="812"/>
    </row>
    <row r="1458" spans="1:8">
      <c r="A1458" s="812"/>
      <c r="B1458" s="812"/>
      <c r="C1458" s="812"/>
      <c r="D1458" s="812"/>
      <c r="E1458" s="812"/>
      <c r="F1458" s="812"/>
      <c r="G1458" s="812"/>
      <c r="H1458" s="812"/>
    </row>
    <row r="1459" spans="1:8">
      <c r="A1459" s="812"/>
      <c r="B1459" s="812"/>
      <c r="C1459" s="812"/>
      <c r="D1459" s="812"/>
      <c r="E1459" s="812"/>
      <c r="F1459" s="812"/>
      <c r="G1459" s="812"/>
      <c r="H1459" s="812"/>
    </row>
    <row r="1460" spans="1:8">
      <c r="A1460" s="812"/>
      <c r="B1460" s="812"/>
      <c r="C1460" s="812"/>
      <c r="D1460" s="812"/>
      <c r="E1460" s="812"/>
      <c r="F1460" s="812"/>
      <c r="G1460" s="812"/>
      <c r="H1460" s="812"/>
    </row>
    <row r="1461" spans="1:8">
      <c r="A1461" s="812"/>
      <c r="B1461" s="812"/>
      <c r="C1461" s="812"/>
      <c r="D1461" s="812"/>
      <c r="E1461" s="812"/>
      <c r="F1461" s="812"/>
      <c r="G1461" s="812"/>
      <c r="H1461" s="812"/>
    </row>
    <row r="1462" spans="1:8">
      <c r="A1462" s="812"/>
      <c r="B1462" s="812"/>
      <c r="C1462" s="812"/>
      <c r="D1462" s="812"/>
      <c r="E1462" s="812"/>
      <c r="F1462" s="812"/>
      <c r="G1462" s="812"/>
      <c r="H1462" s="812"/>
    </row>
    <row r="1463" spans="1:8">
      <c r="A1463" s="812"/>
      <c r="B1463" s="812"/>
      <c r="C1463" s="812"/>
      <c r="D1463" s="812"/>
      <c r="E1463" s="812"/>
      <c r="F1463" s="812"/>
      <c r="G1463" s="812"/>
      <c r="H1463" s="812"/>
    </row>
    <row r="1464" spans="1:8">
      <c r="A1464" s="812"/>
      <c r="B1464" s="812"/>
      <c r="C1464" s="812"/>
      <c r="D1464" s="812"/>
      <c r="E1464" s="812"/>
      <c r="F1464" s="812"/>
      <c r="G1464" s="812"/>
      <c r="H1464" s="812"/>
    </row>
    <row r="1465" spans="1:8">
      <c r="A1465" s="812"/>
      <c r="B1465" s="812"/>
      <c r="C1465" s="812"/>
      <c r="D1465" s="812"/>
      <c r="E1465" s="812"/>
      <c r="F1465" s="812"/>
      <c r="G1465" s="812"/>
      <c r="H1465" s="812"/>
    </row>
    <row r="1466" spans="1:8">
      <c r="A1466" s="812"/>
      <c r="B1466" s="812"/>
      <c r="C1466" s="812"/>
      <c r="D1466" s="812"/>
      <c r="E1466" s="812"/>
      <c r="F1466" s="812"/>
      <c r="G1466" s="812"/>
      <c r="H1466" s="812"/>
    </row>
    <row r="1467" spans="1:8">
      <c r="A1467" s="812"/>
      <c r="B1467" s="812"/>
      <c r="C1467" s="812"/>
      <c r="D1467" s="812"/>
      <c r="E1467" s="812"/>
      <c r="F1467" s="812"/>
      <c r="G1467" s="812"/>
      <c r="H1467" s="812"/>
    </row>
    <row r="1468" spans="1:8">
      <c r="A1468" s="812"/>
      <c r="B1468" s="812"/>
      <c r="C1468" s="812"/>
      <c r="D1468" s="812"/>
      <c r="E1468" s="812"/>
      <c r="F1468" s="812"/>
      <c r="G1468" s="812"/>
      <c r="H1468" s="812"/>
    </row>
    <row r="1469" spans="1:8">
      <c r="A1469" s="812"/>
      <c r="B1469" s="812"/>
      <c r="C1469" s="812"/>
      <c r="D1469" s="812"/>
      <c r="E1469" s="812"/>
      <c r="F1469" s="812"/>
      <c r="G1469" s="812"/>
      <c r="H1469" s="812"/>
    </row>
    <row r="1470" spans="1:8">
      <c r="A1470" s="812"/>
      <c r="B1470" s="812"/>
      <c r="C1470" s="812"/>
      <c r="D1470" s="812"/>
      <c r="E1470" s="812"/>
      <c r="F1470" s="812"/>
      <c r="G1470" s="812"/>
      <c r="H1470" s="812"/>
    </row>
    <row r="1471" spans="1:8">
      <c r="A1471" s="812"/>
      <c r="B1471" s="812"/>
      <c r="C1471" s="812"/>
      <c r="D1471" s="812"/>
      <c r="E1471" s="812"/>
      <c r="F1471" s="812"/>
      <c r="G1471" s="812"/>
      <c r="H1471" s="812"/>
    </row>
    <row r="1472" spans="1:8">
      <c r="A1472" s="812"/>
      <c r="B1472" s="812"/>
      <c r="C1472" s="812"/>
      <c r="D1472" s="812"/>
      <c r="E1472" s="812"/>
      <c r="F1472" s="812"/>
      <c r="G1472" s="812"/>
      <c r="H1472" s="812"/>
    </row>
    <row r="1473" spans="1:8">
      <c r="A1473" s="812"/>
      <c r="B1473" s="812"/>
      <c r="C1473" s="812"/>
      <c r="D1473" s="812"/>
      <c r="E1473" s="812"/>
      <c r="F1473" s="812"/>
      <c r="G1473" s="812"/>
      <c r="H1473" s="812"/>
    </row>
    <row r="1474" spans="1:8">
      <c r="A1474" s="812"/>
      <c r="B1474" s="812"/>
      <c r="C1474" s="812"/>
      <c r="D1474" s="812"/>
      <c r="E1474" s="812"/>
      <c r="F1474" s="812"/>
      <c r="G1474" s="812"/>
      <c r="H1474" s="812"/>
    </row>
    <row r="1475" spans="1:8">
      <c r="A1475" s="812"/>
      <c r="B1475" s="812"/>
      <c r="C1475" s="812"/>
      <c r="D1475" s="812"/>
      <c r="E1475" s="812"/>
      <c r="F1475" s="812"/>
      <c r="G1475" s="812"/>
      <c r="H1475" s="812"/>
    </row>
    <row r="1476" spans="1:8">
      <c r="A1476" s="812"/>
      <c r="B1476" s="812"/>
      <c r="C1476" s="812"/>
      <c r="D1476" s="812"/>
      <c r="E1476" s="812"/>
      <c r="F1476" s="812"/>
      <c r="G1476" s="812"/>
      <c r="H1476" s="812"/>
    </row>
    <row r="1477" spans="1:8">
      <c r="A1477" s="812"/>
      <c r="B1477" s="812"/>
      <c r="C1477" s="812"/>
      <c r="D1477" s="812"/>
      <c r="E1477" s="812"/>
      <c r="F1477" s="812"/>
      <c r="G1477" s="812"/>
      <c r="H1477" s="812"/>
    </row>
    <row r="1478" spans="1:8">
      <c r="A1478" s="812"/>
      <c r="B1478" s="812"/>
      <c r="C1478" s="812"/>
      <c r="D1478" s="812"/>
      <c r="E1478" s="812"/>
      <c r="F1478" s="812"/>
      <c r="G1478" s="812"/>
      <c r="H1478" s="812"/>
    </row>
    <row r="1479" spans="1:8">
      <c r="A1479" s="812"/>
      <c r="B1479" s="812"/>
      <c r="C1479" s="812"/>
      <c r="D1479" s="812"/>
      <c r="E1479" s="812"/>
      <c r="F1479" s="812"/>
      <c r="G1479" s="812"/>
      <c r="H1479" s="812"/>
    </row>
    <row r="1480" spans="1:8">
      <c r="A1480" s="812"/>
      <c r="B1480" s="812"/>
      <c r="C1480" s="812"/>
      <c r="D1480" s="812"/>
      <c r="E1480" s="812"/>
      <c r="F1480" s="812"/>
      <c r="G1480" s="812"/>
      <c r="H1480" s="812"/>
    </row>
    <row r="1481" spans="1:8">
      <c r="A1481" s="812"/>
      <c r="B1481" s="812"/>
      <c r="C1481" s="812"/>
      <c r="D1481" s="812"/>
      <c r="E1481" s="812"/>
      <c r="F1481" s="812"/>
      <c r="G1481" s="812"/>
      <c r="H1481" s="812"/>
    </row>
    <row r="1482" spans="1:8">
      <c r="A1482" s="812"/>
      <c r="B1482" s="812"/>
      <c r="C1482" s="812"/>
      <c r="D1482" s="812"/>
      <c r="E1482" s="812"/>
      <c r="F1482" s="812"/>
      <c r="G1482" s="812"/>
      <c r="H1482" s="812"/>
    </row>
    <row r="1483" spans="1:8">
      <c r="A1483" s="812"/>
      <c r="B1483" s="812"/>
      <c r="C1483" s="812"/>
      <c r="D1483" s="812"/>
      <c r="E1483" s="812"/>
      <c r="F1483" s="812"/>
      <c r="G1483" s="812"/>
      <c r="H1483" s="812"/>
    </row>
    <row r="1484" spans="1:8">
      <c r="A1484" s="812"/>
      <c r="B1484" s="812"/>
      <c r="C1484" s="812"/>
      <c r="D1484" s="812"/>
      <c r="E1484" s="812"/>
      <c r="F1484" s="812"/>
      <c r="G1484" s="812"/>
      <c r="H1484" s="812"/>
    </row>
    <row r="1485" spans="1:8">
      <c r="A1485" s="812"/>
      <c r="B1485" s="812"/>
      <c r="C1485" s="812"/>
      <c r="D1485" s="812"/>
      <c r="E1485" s="812"/>
      <c r="F1485" s="812"/>
      <c r="G1485" s="812"/>
      <c r="H1485" s="812"/>
    </row>
    <row r="1486" spans="1:8">
      <c r="A1486" s="812"/>
      <c r="B1486" s="812"/>
      <c r="C1486" s="812"/>
      <c r="D1486" s="812"/>
      <c r="E1486" s="812"/>
      <c r="F1486" s="812"/>
      <c r="G1486" s="812"/>
      <c r="H1486" s="812"/>
    </row>
    <row r="1487" spans="1:8">
      <c r="A1487" s="812"/>
      <c r="B1487" s="812"/>
      <c r="C1487" s="812"/>
      <c r="D1487" s="812"/>
      <c r="E1487" s="812"/>
      <c r="F1487" s="812"/>
      <c r="G1487" s="812"/>
      <c r="H1487" s="812"/>
    </row>
    <row r="1488" spans="1:8">
      <c r="A1488" s="812"/>
      <c r="B1488" s="812"/>
      <c r="C1488" s="812"/>
      <c r="D1488" s="812"/>
      <c r="E1488" s="812"/>
      <c r="F1488" s="812"/>
      <c r="G1488" s="812"/>
      <c r="H1488" s="812"/>
    </row>
    <row r="1489" spans="1:8">
      <c r="A1489" s="812"/>
      <c r="B1489" s="812"/>
      <c r="C1489" s="812"/>
      <c r="D1489" s="812"/>
      <c r="E1489" s="812"/>
      <c r="F1489" s="812"/>
      <c r="G1489" s="812"/>
      <c r="H1489" s="812"/>
    </row>
    <row r="1490" spans="1:8">
      <c r="A1490" s="812"/>
      <c r="B1490" s="812"/>
      <c r="C1490" s="812"/>
      <c r="D1490" s="812"/>
      <c r="E1490" s="812"/>
      <c r="F1490" s="812"/>
      <c r="G1490" s="812"/>
      <c r="H1490" s="812"/>
    </row>
    <row r="1491" spans="1:8">
      <c r="A1491" s="812"/>
      <c r="B1491" s="812"/>
      <c r="C1491" s="812"/>
      <c r="D1491" s="812"/>
      <c r="E1491" s="812"/>
      <c r="F1491" s="812"/>
      <c r="G1491" s="812"/>
      <c r="H1491" s="812"/>
    </row>
    <row r="1492" spans="1:8">
      <c r="A1492" s="812"/>
      <c r="B1492" s="812"/>
      <c r="C1492" s="812"/>
      <c r="D1492" s="812"/>
      <c r="E1492" s="812"/>
      <c r="F1492" s="812"/>
      <c r="G1492" s="812"/>
      <c r="H1492" s="812"/>
    </row>
    <row r="1493" spans="1:8">
      <c r="A1493" s="812"/>
      <c r="B1493" s="812"/>
      <c r="C1493" s="812"/>
      <c r="D1493" s="812"/>
      <c r="E1493" s="812"/>
      <c r="F1493" s="812"/>
      <c r="G1493" s="812"/>
      <c r="H1493" s="812"/>
    </row>
    <row r="1494" spans="1:8">
      <c r="A1494" s="812"/>
      <c r="B1494" s="812"/>
      <c r="C1494" s="812"/>
      <c r="D1494" s="812"/>
      <c r="E1494" s="812"/>
      <c r="F1494" s="812"/>
      <c r="G1494" s="812"/>
      <c r="H1494" s="812"/>
    </row>
    <row r="1495" spans="1:8">
      <c r="A1495" s="812"/>
      <c r="B1495" s="812"/>
      <c r="C1495" s="812"/>
      <c r="D1495" s="812"/>
      <c r="E1495" s="812"/>
      <c r="F1495" s="812"/>
      <c r="G1495" s="812"/>
      <c r="H1495" s="812"/>
    </row>
    <row r="1496" spans="1:8">
      <c r="A1496" s="812"/>
      <c r="B1496" s="812"/>
      <c r="C1496" s="812"/>
      <c r="D1496" s="812"/>
      <c r="E1496" s="812"/>
      <c r="F1496" s="812"/>
      <c r="G1496" s="812"/>
      <c r="H1496" s="812"/>
    </row>
    <row r="1497" spans="1:8">
      <c r="A1497" s="812"/>
      <c r="B1497" s="812"/>
      <c r="C1497" s="812"/>
      <c r="D1497" s="812"/>
      <c r="E1497" s="812"/>
      <c r="F1497" s="812"/>
      <c r="G1497" s="812"/>
      <c r="H1497" s="812"/>
    </row>
    <row r="1498" spans="1:8">
      <c r="A1498" s="812"/>
      <c r="B1498" s="812"/>
      <c r="C1498" s="812"/>
      <c r="D1498" s="812"/>
      <c r="E1498" s="812"/>
      <c r="F1498" s="812"/>
      <c r="G1498" s="812"/>
      <c r="H1498" s="812"/>
    </row>
    <row r="1499" spans="1:8">
      <c r="A1499" s="812"/>
      <c r="B1499" s="812"/>
      <c r="C1499" s="812"/>
      <c r="D1499" s="812"/>
      <c r="E1499" s="812"/>
      <c r="F1499" s="812"/>
      <c r="G1499" s="812"/>
      <c r="H1499" s="812"/>
    </row>
    <row r="1500" spans="1:8">
      <c r="A1500" s="812"/>
      <c r="B1500" s="812"/>
      <c r="C1500" s="812"/>
      <c r="D1500" s="812"/>
      <c r="E1500" s="812"/>
      <c r="F1500" s="812"/>
      <c r="G1500" s="812"/>
      <c r="H1500" s="812"/>
    </row>
    <row r="1501" spans="1:8">
      <c r="A1501" s="812"/>
      <c r="B1501" s="812"/>
      <c r="C1501" s="812"/>
      <c r="D1501" s="812"/>
      <c r="E1501" s="812"/>
      <c r="F1501" s="812"/>
      <c r="G1501" s="812"/>
      <c r="H1501" s="812"/>
    </row>
    <row r="1502" spans="1:8">
      <c r="A1502" s="812"/>
      <c r="B1502" s="812"/>
      <c r="C1502" s="812"/>
      <c r="D1502" s="812"/>
      <c r="E1502" s="812"/>
      <c r="F1502" s="812"/>
      <c r="G1502" s="812"/>
      <c r="H1502" s="812"/>
    </row>
    <row r="1503" spans="1:8">
      <c r="A1503" s="812"/>
      <c r="B1503" s="812"/>
      <c r="C1503" s="812"/>
      <c r="D1503" s="812"/>
      <c r="E1503" s="812"/>
      <c r="F1503" s="812"/>
      <c r="G1503" s="812"/>
      <c r="H1503" s="812"/>
    </row>
    <row r="1504" spans="1:8">
      <c r="A1504" s="812"/>
      <c r="B1504" s="812"/>
      <c r="C1504" s="812"/>
      <c r="D1504" s="812"/>
      <c r="E1504" s="812"/>
      <c r="F1504" s="812"/>
      <c r="G1504" s="812"/>
      <c r="H1504" s="812"/>
    </row>
    <row r="1505" spans="1:8">
      <c r="A1505" s="812"/>
      <c r="B1505" s="812"/>
      <c r="C1505" s="812"/>
      <c r="D1505" s="812"/>
      <c r="E1505" s="812"/>
      <c r="F1505" s="812"/>
      <c r="G1505" s="812"/>
      <c r="H1505" s="812"/>
    </row>
    <row r="1506" spans="1:8">
      <c r="A1506" s="812"/>
      <c r="B1506" s="812"/>
      <c r="C1506" s="812"/>
      <c r="D1506" s="812"/>
      <c r="E1506" s="812"/>
      <c r="F1506" s="812"/>
      <c r="G1506" s="812"/>
      <c r="H1506" s="812"/>
    </row>
    <row r="1507" spans="1:8">
      <c r="A1507" s="812"/>
      <c r="B1507" s="812"/>
      <c r="C1507" s="812"/>
      <c r="D1507" s="812"/>
      <c r="E1507" s="812"/>
      <c r="F1507" s="812"/>
      <c r="G1507" s="812"/>
      <c r="H1507" s="812"/>
    </row>
    <row r="1508" spans="1:8">
      <c r="A1508" s="812"/>
      <c r="B1508" s="812"/>
      <c r="C1508" s="812"/>
      <c r="D1508" s="812"/>
      <c r="E1508" s="812"/>
      <c r="F1508" s="812"/>
      <c r="G1508" s="812"/>
      <c r="H1508" s="812"/>
    </row>
    <row r="1509" spans="1:8">
      <c r="A1509" s="812"/>
      <c r="B1509" s="812"/>
      <c r="C1509" s="812"/>
      <c r="D1509" s="812"/>
      <c r="E1509" s="812"/>
      <c r="F1509" s="812"/>
      <c r="G1509" s="812"/>
      <c r="H1509" s="812"/>
    </row>
    <row r="1510" spans="1:8">
      <c r="A1510" s="812"/>
      <c r="B1510" s="812"/>
      <c r="C1510" s="812"/>
      <c r="D1510" s="812"/>
      <c r="E1510" s="812"/>
      <c r="F1510" s="812"/>
      <c r="G1510" s="812"/>
      <c r="H1510" s="812"/>
    </row>
    <row r="1511" spans="1:8">
      <c r="A1511" s="812"/>
      <c r="B1511" s="812"/>
      <c r="C1511" s="812"/>
      <c r="D1511" s="812"/>
      <c r="E1511" s="812"/>
      <c r="F1511" s="812"/>
      <c r="G1511" s="812"/>
      <c r="H1511" s="812"/>
    </row>
    <row r="1512" spans="1:8">
      <c r="A1512" s="812"/>
      <c r="B1512" s="812"/>
      <c r="C1512" s="812"/>
      <c r="D1512" s="812"/>
      <c r="E1512" s="812"/>
      <c r="F1512" s="812"/>
      <c r="G1512" s="812"/>
      <c r="H1512" s="812"/>
    </row>
    <row r="1513" spans="1:8">
      <c r="A1513" s="812"/>
      <c r="B1513" s="812"/>
      <c r="C1513" s="812"/>
      <c r="D1513" s="812"/>
      <c r="E1513" s="812"/>
      <c r="F1513" s="812"/>
      <c r="G1513" s="812"/>
      <c r="H1513" s="812"/>
    </row>
    <row r="1514" spans="1:8">
      <c r="A1514" s="812"/>
      <c r="B1514" s="812"/>
      <c r="C1514" s="812"/>
      <c r="D1514" s="812"/>
      <c r="E1514" s="812"/>
      <c r="F1514" s="812"/>
      <c r="G1514" s="812"/>
      <c r="H1514" s="812"/>
    </row>
    <row r="1515" spans="1:8">
      <c r="A1515" s="812"/>
      <c r="B1515" s="812"/>
      <c r="C1515" s="812"/>
      <c r="D1515" s="812"/>
      <c r="E1515" s="812"/>
      <c r="F1515" s="812"/>
      <c r="G1515" s="812"/>
      <c r="H1515" s="812"/>
    </row>
    <row r="1516" spans="1:8">
      <c r="A1516" s="812"/>
      <c r="B1516" s="812"/>
      <c r="C1516" s="812"/>
      <c r="D1516" s="812"/>
      <c r="E1516" s="812"/>
      <c r="F1516" s="812"/>
      <c r="G1516" s="812"/>
      <c r="H1516" s="812"/>
    </row>
    <row r="1517" spans="1:8">
      <c r="A1517" s="812"/>
      <c r="B1517" s="812"/>
      <c r="C1517" s="812"/>
      <c r="D1517" s="812"/>
      <c r="E1517" s="812"/>
      <c r="F1517" s="812"/>
      <c r="G1517" s="812"/>
      <c r="H1517" s="812"/>
    </row>
    <row r="1518" spans="1:8">
      <c r="A1518" s="812"/>
      <c r="B1518" s="812"/>
      <c r="C1518" s="812"/>
      <c r="D1518" s="812"/>
      <c r="E1518" s="812"/>
      <c r="F1518" s="812"/>
      <c r="G1518" s="812"/>
      <c r="H1518" s="812"/>
    </row>
    <row r="1519" spans="1:8">
      <c r="A1519" s="812"/>
      <c r="B1519" s="812"/>
      <c r="C1519" s="812"/>
      <c r="D1519" s="812"/>
      <c r="E1519" s="812"/>
      <c r="F1519" s="812"/>
      <c r="G1519" s="812"/>
      <c r="H1519" s="812"/>
    </row>
    <row r="1520" spans="1:8">
      <c r="A1520" s="812"/>
      <c r="B1520" s="812"/>
      <c r="C1520" s="812"/>
      <c r="D1520" s="812"/>
      <c r="E1520" s="812"/>
      <c r="F1520" s="812"/>
      <c r="G1520" s="812"/>
      <c r="H1520" s="812"/>
    </row>
    <row r="1521" spans="1:8">
      <c r="A1521" s="812"/>
      <c r="B1521" s="812"/>
      <c r="C1521" s="812"/>
      <c r="D1521" s="812"/>
      <c r="E1521" s="812"/>
      <c r="F1521" s="812"/>
      <c r="G1521" s="812"/>
      <c r="H1521" s="812"/>
    </row>
    <row r="1522" spans="1:8">
      <c r="A1522" s="812"/>
      <c r="B1522" s="812"/>
      <c r="C1522" s="812"/>
      <c r="D1522" s="812"/>
      <c r="E1522" s="812"/>
      <c r="F1522" s="812"/>
      <c r="G1522" s="812"/>
      <c r="H1522" s="812"/>
    </row>
    <row r="1523" spans="1:8">
      <c r="A1523" s="812"/>
      <c r="B1523" s="812"/>
      <c r="C1523" s="812"/>
      <c r="D1523" s="812"/>
      <c r="E1523" s="812"/>
      <c r="F1523" s="812"/>
      <c r="G1523" s="812"/>
      <c r="H1523" s="812"/>
    </row>
    <row r="1524" spans="1:8">
      <c r="A1524" s="812"/>
      <c r="B1524" s="812"/>
      <c r="C1524" s="812"/>
      <c r="D1524" s="812"/>
      <c r="E1524" s="812"/>
      <c r="F1524" s="812"/>
      <c r="G1524" s="812"/>
      <c r="H1524" s="812"/>
    </row>
    <row r="1525" spans="1:8">
      <c r="A1525" s="812"/>
      <c r="B1525" s="812"/>
      <c r="C1525" s="812"/>
      <c r="D1525" s="812"/>
      <c r="E1525" s="812"/>
      <c r="F1525" s="812"/>
      <c r="G1525" s="812"/>
      <c r="H1525" s="812"/>
    </row>
    <row r="1526" spans="1:8">
      <c r="A1526" s="812"/>
      <c r="B1526" s="812"/>
      <c r="C1526" s="812"/>
      <c r="D1526" s="812"/>
      <c r="E1526" s="812"/>
      <c r="F1526" s="812"/>
      <c r="G1526" s="812"/>
      <c r="H1526" s="812"/>
    </row>
    <row r="1527" spans="1:8">
      <c r="A1527" s="812"/>
      <c r="B1527" s="812"/>
      <c r="C1527" s="812"/>
      <c r="D1527" s="812"/>
      <c r="E1527" s="812"/>
      <c r="F1527" s="812"/>
      <c r="G1527" s="812"/>
      <c r="H1527" s="812"/>
    </row>
    <row r="1528" spans="1:8">
      <c r="A1528" s="812"/>
      <c r="B1528" s="812"/>
      <c r="C1528" s="812"/>
      <c r="D1528" s="812"/>
      <c r="E1528" s="812"/>
      <c r="F1528" s="812"/>
      <c r="G1528" s="812"/>
      <c r="H1528" s="812"/>
    </row>
    <row r="1529" spans="1:8">
      <c r="A1529" s="812"/>
      <c r="B1529" s="812"/>
      <c r="C1529" s="812"/>
      <c r="D1529" s="812"/>
      <c r="E1529" s="812"/>
      <c r="F1529" s="812"/>
      <c r="G1529" s="812"/>
      <c r="H1529" s="812"/>
    </row>
    <row r="1530" spans="1:8">
      <c r="A1530" s="812"/>
      <c r="B1530" s="812"/>
      <c r="C1530" s="812"/>
      <c r="D1530" s="812"/>
      <c r="E1530" s="812"/>
      <c r="F1530" s="812"/>
      <c r="G1530" s="812"/>
      <c r="H1530" s="812"/>
    </row>
    <row r="1531" spans="1:8">
      <c r="A1531" s="812"/>
      <c r="B1531" s="812"/>
      <c r="C1531" s="812"/>
      <c r="D1531" s="812"/>
      <c r="E1531" s="812"/>
      <c r="F1531" s="812"/>
      <c r="G1531" s="812"/>
      <c r="H1531" s="812"/>
    </row>
    <row r="1532" spans="1:8">
      <c r="A1532" s="812"/>
      <c r="B1532" s="812"/>
      <c r="C1532" s="812"/>
      <c r="D1532" s="812"/>
      <c r="E1532" s="812"/>
      <c r="F1532" s="812"/>
      <c r="G1532" s="812"/>
      <c r="H1532" s="812"/>
    </row>
    <row r="1533" spans="1:8">
      <c r="A1533" s="812"/>
      <c r="B1533" s="812"/>
      <c r="C1533" s="812"/>
      <c r="D1533" s="812"/>
      <c r="E1533" s="812"/>
      <c r="F1533" s="812"/>
      <c r="G1533" s="812"/>
      <c r="H1533" s="812"/>
    </row>
    <row r="1534" spans="1:8">
      <c r="A1534" s="812"/>
      <c r="B1534" s="812"/>
      <c r="C1534" s="812"/>
      <c r="D1534" s="812"/>
      <c r="E1534" s="812"/>
      <c r="F1534" s="812"/>
      <c r="G1534" s="812"/>
      <c r="H1534" s="812"/>
    </row>
    <row r="1535" spans="1:8">
      <c r="A1535" s="812"/>
      <c r="B1535" s="812"/>
      <c r="C1535" s="812"/>
      <c r="D1535" s="812"/>
      <c r="E1535" s="812"/>
      <c r="F1535" s="812"/>
      <c r="G1535" s="812"/>
      <c r="H1535" s="812"/>
    </row>
    <row r="1536" spans="1:8">
      <c r="A1536" s="812"/>
      <c r="B1536" s="812"/>
      <c r="C1536" s="812"/>
      <c r="D1536" s="812"/>
      <c r="E1536" s="812"/>
      <c r="F1536" s="812"/>
      <c r="G1536" s="812"/>
      <c r="H1536" s="812"/>
    </row>
    <row r="1537" spans="1:8">
      <c r="A1537" s="812"/>
      <c r="B1537" s="812"/>
      <c r="C1537" s="812"/>
      <c r="D1537" s="812"/>
      <c r="E1537" s="812"/>
      <c r="F1537" s="812"/>
      <c r="G1537" s="812"/>
      <c r="H1537" s="812"/>
    </row>
    <row r="1538" spans="1:8">
      <c r="A1538" s="812"/>
      <c r="B1538" s="812"/>
      <c r="C1538" s="812"/>
      <c r="D1538" s="812"/>
      <c r="E1538" s="812"/>
      <c r="F1538" s="812"/>
      <c r="G1538" s="812"/>
      <c r="H1538" s="812"/>
    </row>
    <row r="1539" spans="1:8">
      <c r="A1539" s="812"/>
      <c r="B1539" s="812"/>
      <c r="C1539" s="812"/>
      <c r="D1539" s="812"/>
      <c r="E1539" s="812"/>
      <c r="F1539" s="812"/>
      <c r="G1539" s="812"/>
      <c r="H1539" s="812"/>
    </row>
    <row r="1540" spans="1:8">
      <c r="A1540" s="812"/>
      <c r="B1540" s="812"/>
      <c r="C1540" s="812"/>
      <c r="D1540" s="812"/>
      <c r="E1540" s="812"/>
      <c r="F1540" s="812"/>
      <c r="G1540" s="812"/>
      <c r="H1540" s="812"/>
    </row>
    <row r="1541" spans="1:8">
      <c r="A1541" s="812"/>
      <c r="B1541" s="812"/>
      <c r="C1541" s="812"/>
      <c r="D1541" s="812"/>
      <c r="E1541" s="812"/>
      <c r="F1541" s="812"/>
      <c r="G1541" s="812"/>
      <c r="H1541" s="812"/>
    </row>
    <row r="1542" spans="1:8">
      <c r="A1542" s="812"/>
      <c r="B1542" s="812"/>
      <c r="C1542" s="812"/>
      <c r="D1542" s="812"/>
      <c r="E1542" s="812"/>
      <c r="F1542" s="812"/>
      <c r="G1542" s="812"/>
      <c r="H1542" s="812"/>
    </row>
    <row r="1543" spans="1:8">
      <c r="A1543" s="812"/>
      <c r="B1543" s="812"/>
      <c r="C1543" s="812"/>
      <c r="D1543" s="812"/>
      <c r="E1543" s="812"/>
      <c r="F1543" s="812"/>
      <c r="G1543" s="812"/>
      <c r="H1543" s="812"/>
    </row>
    <row r="1544" spans="1:8">
      <c r="A1544" s="812"/>
      <c r="B1544" s="812"/>
      <c r="C1544" s="812"/>
      <c r="D1544" s="812"/>
      <c r="E1544" s="812"/>
      <c r="F1544" s="812"/>
      <c r="G1544" s="812"/>
      <c r="H1544" s="812"/>
    </row>
    <row r="1545" spans="1:8">
      <c r="A1545" s="812"/>
      <c r="B1545" s="812"/>
      <c r="C1545" s="812"/>
      <c r="D1545" s="812"/>
      <c r="E1545" s="812"/>
      <c r="F1545" s="812"/>
      <c r="G1545" s="812"/>
      <c r="H1545" s="812"/>
    </row>
    <row r="1546" spans="1:8">
      <c r="A1546" s="812"/>
      <c r="B1546" s="812"/>
      <c r="C1546" s="812"/>
      <c r="D1546" s="812"/>
      <c r="E1546" s="812"/>
      <c r="F1546" s="812"/>
      <c r="G1546" s="812"/>
      <c r="H1546" s="812"/>
    </row>
    <row r="1547" spans="1:8">
      <c r="A1547" s="812"/>
      <c r="B1547" s="812"/>
      <c r="C1547" s="812"/>
      <c r="D1547" s="812"/>
      <c r="E1547" s="812"/>
      <c r="F1547" s="812"/>
      <c r="G1547" s="812"/>
      <c r="H1547" s="812"/>
    </row>
    <row r="1548" spans="1:8">
      <c r="A1548" s="812"/>
      <c r="B1548" s="812"/>
      <c r="C1548" s="812"/>
      <c r="D1548" s="812"/>
      <c r="E1548" s="812"/>
      <c r="F1548" s="812"/>
      <c r="G1548" s="812"/>
      <c r="H1548" s="812"/>
    </row>
    <row r="1549" spans="1:8">
      <c r="A1549" s="812"/>
      <c r="B1549" s="812"/>
      <c r="C1549" s="812"/>
      <c r="D1549" s="812"/>
      <c r="E1549" s="812"/>
      <c r="F1549" s="812"/>
      <c r="G1549" s="812"/>
      <c r="H1549" s="812"/>
    </row>
    <row r="1550" spans="1:8">
      <c r="A1550" s="812"/>
      <c r="B1550" s="812"/>
      <c r="C1550" s="812"/>
      <c r="D1550" s="812"/>
      <c r="E1550" s="812"/>
      <c r="F1550" s="812"/>
      <c r="G1550" s="812"/>
      <c r="H1550" s="812"/>
    </row>
    <row r="1551" spans="1:8">
      <c r="A1551" s="812"/>
      <c r="B1551" s="812"/>
      <c r="C1551" s="812"/>
      <c r="D1551" s="812"/>
      <c r="E1551" s="812"/>
      <c r="F1551" s="812"/>
      <c r="G1551" s="812"/>
      <c r="H1551" s="812"/>
    </row>
    <row r="1552" spans="1:8">
      <c r="A1552" s="812"/>
      <c r="B1552" s="812"/>
      <c r="C1552" s="812"/>
      <c r="D1552" s="812"/>
      <c r="E1552" s="812"/>
      <c r="F1552" s="812"/>
      <c r="G1552" s="812"/>
      <c r="H1552" s="812"/>
    </row>
    <row r="1553" spans="1:8">
      <c r="A1553" s="812"/>
      <c r="B1553" s="812"/>
      <c r="C1553" s="812"/>
      <c r="D1553" s="812"/>
      <c r="E1553" s="812"/>
      <c r="F1553" s="812"/>
      <c r="G1553" s="812"/>
      <c r="H1553" s="812"/>
    </row>
    <row r="1554" spans="1:8">
      <c r="A1554" s="812"/>
      <c r="B1554" s="812"/>
      <c r="C1554" s="812"/>
      <c r="D1554" s="812"/>
      <c r="E1554" s="812"/>
      <c r="F1554" s="812"/>
      <c r="G1554" s="812"/>
      <c r="H1554" s="812"/>
    </row>
    <row r="1555" spans="1:8">
      <c r="A1555" s="812"/>
      <c r="B1555" s="812"/>
      <c r="C1555" s="812"/>
      <c r="D1555" s="812"/>
      <c r="E1555" s="812"/>
      <c r="F1555" s="812"/>
      <c r="G1555" s="812"/>
      <c r="H1555" s="812"/>
    </row>
    <row r="1556" spans="1:8">
      <c r="A1556" s="812"/>
      <c r="B1556" s="812"/>
      <c r="C1556" s="812"/>
      <c r="D1556" s="812"/>
      <c r="E1556" s="812"/>
      <c r="F1556" s="812"/>
      <c r="G1556" s="812"/>
      <c r="H1556" s="812"/>
    </row>
    <row r="1557" spans="1:8">
      <c r="A1557" s="812"/>
      <c r="B1557" s="812"/>
      <c r="C1557" s="812"/>
      <c r="D1557" s="812"/>
      <c r="E1557" s="812"/>
      <c r="F1557" s="812"/>
      <c r="G1557" s="812"/>
      <c r="H1557" s="812"/>
    </row>
    <row r="1558" spans="1:8">
      <c r="A1558" s="812"/>
      <c r="B1558" s="812"/>
      <c r="C1558" s="812"/>
      <c r="D1558" s="812"/>
      <c r="E1558" s="812"/>
      <c r="F1558" s="812"/>
      <c r="G1558" s="812"/>
      <c r="H1558" s="812"/>
    </row>
    <row r="1559" spans="1:8">
      <c r="A1559" s="812"/>
      <c r="B1559" s="812"/>
      <c r="C1559" s="812"/>
      <c r="D1559" s="812"/>
      <c r="E1559" s="812"/>
      <c r="F1559" s="812"/>
      <c r="G1559" s="812"/>
      <c r="H1559" s="812"/>
    </row>
    <row r="1560" spans="1:8">
      <c r="A1560" s="812"/>
      <c r="B1560" s="812"/>
      <c r="C1560" s="812"/>
      <c r="D1560" s="812"/>
      <c r="E1560" s="812"/>
      <c r="F1560" s="812"/>
      <c r="G1560" s="812"/>
      <c r="H1560" s="812"/>
    </row>
    <row r="1561" spans="1:8">
      <c r="A1561" s="812"/>
      <c r="B1561" s="812"/>
      <c r="C1561" s="812"/>
      <c r="D1561" s="812"/>
      <c r="E1561" s="812"/>
      <c r="F1561" s="812"/>
      <c r="G1561" s="812"/>
      <c r="H1561" s="812"/>
    </row>
    <row r="1562" spans="1:8">
      <c r="A1562" s="812"/>
      <c r="B1562" s="812"/>
      <c r="C1562" s="812"/>
      <c r="D1562" s="812"/>
      <c r="E1562" s="812"/>
      <c r="F1562" s="812"/>
      <c r="G1562" s="812"/>
      <c r="H1562" s="812"/>
    </row>
    <row r="1563" spans="1:8">
      <c r="A1563" s="812"/>
      <c r="B1563" s="812"/>
      <c r="C1563" s="812"/>
      <c r="D1563" s="812"/>
      <c r="E1563" s="812"/>
      <c r="F1563" s="812"/>
      <c r="G1563" s="812"/>
      <c r="H1563" s="812"/>
    </row>
    <row r="1564" spans="1:8">
      <c r="A1564" s="812"/>
      <c r="B1564" s="812"/>
      <c r="C1564" s="812"/>
      <c r="D1564" s="812"/>
      <c r="E1564" s="812"/>
      <c r="F1564" s="812"/>
      <c r="G1564" s="812"/>
      <c r="H1564" s="812"/>
    </row>
    <row r="1565" spans="1:8">
      <c r="A1565" s="812"/>
      <c r="B1565" s="812"/>
      <c r="C1565" s="812"/>
      <c r="D1565" s="812"/>
      <c r="E1565" s="812"/>
      <c r="F1565" s="812"/>
      <c r="G1565" s="812"/>
      <c r="H1565" s="812"/>
    </row>
    <row r="1566" spans="1:8">
      <c r="A1566" s="812"/>
      <c r="B1566" s="812"/>
      <c r="C1566" s="812"/>
      <c r="D1566" s="812"/>
      <c r="E1566" s="812"/>
      <c r="F1566" s="812"/>
      <c r="G1566" s="812"/>
      <c r="H1566" s="812"/>
    </row>
    <row r="1567" spans="1:8">
      <c r="A1567" s="812"/>
      <c r="B1567" s="812"/>
      <c r="C1567" s="812"/>
      <c r="D1567" s="812"/>
      <c r="E1567" s="812"/>
      <c r="F1567" s="812"/>
      <c r="G1567" s="812"/>
      <c r="H1567" s="812"/>
    </row>
    <row r="1568" spans="1:8">
      <c r="A1568" s="812"/>
      <c r="B1568" s="812"/>
      <c r="C1568" s="812"/>
      <c r="D1568" s="812"/>
      <c r="E1568" s="812"/>
      <c r="F1568" s="812"/>
      <c r="G1568" s="812"/>
      <c r="H1568" s="812"/>
    </row>
    <row r="1569" spans="1:8">
      <c r="A1569" s="812"/>
      <c r="B1569" s="812"/>
      <c r="C1569" s="812"/>
      <c r="D1569" s="812"/>
      <c r="E1569" s="812"/>
      <c r="F1569" s="812"/>
      <c r="G1569" s="812"/>
      <c r="H1569" s="812"/>
    </row>
    <row r="1570" spans="1:8">
      <c r="A1570" s="812"/>
      <c r="B1570" s="812"/>
      <c r="C1570" s="812"/>
      <c r="D1570" s="812"/>
      <c r="E1570" s="812"/>
      <c r="F1570" s="812"/>
      <c r="G1570" s="812"/>
      <c r="H1570" s="812"/>
    </row>
    <row r="1571" spans="1:8">
      <c r="A1571" s="812"/>
      <c r="B1571" s="812"/>
      <c r="C1571" s="812"/>
      <c r="D1571" s="812"/>
      <c r="E1571" s="812"/>
      <c r="F1571" s="812"/>
      <c r="G1571" s="812"/>
      <c r="H1571" s="812"/>
    </row>
    <row r="1572" spans="1:8">
      <c r="A1572" s="812"/>
      <c r="B1572" s="812"/>
      <c r="C1572" s="812"/>
      <c r="D1572" s="812"/>
      <c r="E1572" s="812"/>
      <c r="F1572" s="812"/>
      <c r="G1572" s="812"/>
      <c r="H1572" s="812"/>
    </row>
    <row r="1573" spans="1:8">
      <c r="A1573" s="812"/>
      <c r="B1573" s="812"/>
      <c r="C1573" s="812"/>
      <c r="D1573" s="812"/>
      <c r="E1573" s="812"/>
      <c r="F1573" s="812"/>
      <c r="G1573" s="812"/>
      <c r="H1573" s="812"/>
    </row>
    <row r="1574" spans="1:8">
      <c r="A1574" s="812"/>
      <c r="B1574" s="812"/>
      <c r="C1574" s="812"/>
      <c r="D1574" s="812"/>
      <c r="E1574" s="812"/>
      <c r="F1574" s="812"/>
      <c r="G1574" s="812"/>
      <c r="H1574" s="812"/>
    </row>
    <row r="1575" spans="1:8">
      <c r="A1575" s="812"/>
      <c r="B1575" s="812"/>
      <c r="C1575" s="812"/>
      <c r="D1575" s="812"/>
      <c r="E1575" s="812"/>
      <c r="F1575" s="812"/>
      <c r="G1575" s="812"/>
      <c r="H1575" s="812"/>
    </row>
    <row r="1576" spans="1:8">
      <c r="A1576" s="812"/>
      <c r="B1576" s="812"/>
      <c r="C1576" s="812"/>
      <c r="D1576" s="812"/>
      <c r="E1576" s="812"/>
      <c r="F1576" s="812"/>
      <c r="G1576" s="812"/>
      <c r="H1576" s="812"/>
    </row>
    <row r="1577" spans="1:8">
      <c r="A1577" s="812"/>
      <c r="B1577" s="812"/>
      <c r="C1577" s="812"/>
      <c r="D1577" s="812"/>
      <c r="E1577" s="812"/>
      <c r="F1577" s="812"/>
      <c r="G1577" s="812"/>
      <c r="H1577" s="812"/>
    </row>
    <row r="1578" spans="1:8">
      <c r="A1578" s="812"/>
      <c r="B1578" s="812"/>
      <c r="C1578" s="812"/>
      <c r="D1578" s="812"/>
      <c r="E1578" s="812"/>
      <c r="F1578" s="812"/>
      <c r="G1578" s="812"/>
      <c r="H1578" s="812"/>
    </row>
    <row r="1579" spans="1:8">
      <c r="A1579" s="812"/>
      <c r="B1579" s="812"/>
      <c r="C1579" s="812"/>
      <c r="D1579" s="812"/>
      <c r="E1579" s="812"/>
      <c r="F1579" s="812"/>
      <c r="G1579" s="812"/>
      <c r="H1579" s="812"/>
    </row>
    <row r="1580" spans="1:8">
      <c r="A1580" s="812"/>
      <c r="B1580" s="812"/>
      <c r="C1580" s="812"/>
      <c r="D1580" s="812"/>
      <c r="E1580" s="812"/>
      <c r="F1580" s="812"/>
      <c r="G1580" s="812"/>
      <c r="H1580" s="812"/>
    </row>
    <row r="1581" spans="1:8">
      <c r="A1581" s="812"/>
      <c r="B1581" s="812"/>
      <c r="C1581" s="812"/>
      <c r="D1581" s="812"/>
      <c r="E1581" s="812"/>
      <c r="F1581" s="812"/>
      <c r="G1581" s="812"/>
      <c r="H1581" s="812"/>
    </row>
    <row r="1582" spans="1:8">
      <c r="A1582" s="812"/>
      <c r="B1582" s="812"/>
      <c r="C1582" s="812"/>
      <c r="D1582" s="812"/>
      <c r="E1582" s="812"/>
      <c r="F1582" s="812"/>
      <c r="G1582" s="812"/>
      <c r="H1582" s="812"/>
    </row>
    <row r="1583" spans="1:8">
      <c r="A1583" s="812"/>
      <c r="B1583" s="812"/>
      <c r="C1583" s="812"/>
      <c r="D1583" s="812"/>
      <c r="E1583" s="812"/>
      <c r="F1583" s="812"/>
      <c r="G1583" s="812"/>
      <c r="H1583" s="812"/>
    </row>
    <row r="1584" spans="1:8">
      <c r="A1584" s="812"/>
      <c r="B1584" s="812"/>
      <c r="C1584" s="812"/>
      <c r="D1584" s="812"/>
      <c r="E1584" s="812"/>
      <c r="F1584" s="812"/>
      <c r="G1584" s="812"/>
      <c r="H1584" s="812"/>
    </row>
    <row r="1585" spans="1:8">
      <c r="A1585" s="812"/>
      <c r="B1585" s="812"/>
      <c r="C1585" s="812"/>
      <c r="D1585" s="812"/>
      <c r="E1585" s="812"/>
      <c r="F1585" s="812"/>
      <c r="G1585" s="812"/>
      <c r="H1585" s="812"/>
    </row>
    <row r="1586" spans="1:8">
      <c r="A1586" s="812"/>
      <c r="B1586" s="812"/>
      <c r="C1586" s="812"/>
      <c r="D1586" s="812"/>
      <c r="E1586" s="812"/>
      <c r="F1586" s="812"/>
      <c r="G1586" s="812"/>
      <c r="H1586" s="812"/>
    </row>
    <row r="1587" spans="1:8">
      <c r="A1587" s="812"/>
      <c r="B1587" s="812"/>
      <c r="C1587" s="812"/>
      <c r="D1587" s="812"/>
      <c r="E1587" s="812"/>
      <c r="F1587" s="812"/>
      <c r="G1587" s="812"/>
      <c r="H1587" s="812"/>
    </row>
    <row r="1588" spans="1:8">
      <c r="A1588" s="812"/>
      <c r="B1588" s="812"/>
      <c r="C1588" s="812"/>
      <c r="D1588" s="812"/>
      <c r="E1588" s="812"/>
      <c r="F1588" s="812"/>
      <c r="G1588" s="812"/>
      <c r="H1588" s="812"/>
    </row>
    <row r="1589" spans="1:8">
      <c r="A1589" s="812"/>
      <c r="B1589" s="812"/>
      <c r="C1589" s="812"/>
      <c r="D1589" s="812"/>
      <c r="E1589" s="812"/>
      <c r="F1589" s="812"/>
      <c r="G1589" s="812"/>
      <c r="H1589" s="812"/>
    </row>
    <row r="1590" spans="1:8">
      <c r="A1590" s="812"/>
      <c r="B1590" s="812"/>
      <c r="C1590" s="812"/>
      <c r="D1590" s="812"/>
      <c r="E1590" s="812"/>
      <c r="F1590" s="812"/>
      <c r="G1590" s="812"/>
      <c r="H1590" s="812"/>
    </row>
    <row r="1591" spans="1:8">
      <c r="A1591" s="812"/>
      <c r="B1591" s="812"/>
      <c r="C1591" s="812"/>
      <c r="D1591" s="812"/>
      <c r="E1591" s="812"/>
      <c r="F1591" s="812"/>
      <c r="G1591" s="812"/>
      <c r="H1591" s="812"/>
    </row>
    <row r="1592" spans="1:8">
      <c r="A1592" s="812"/>
      <c r="B1592" s="812"/>
      <c r="C1592" s="812"/>
      <c r="D1592" s="812"/>
      <c r="E1592" s="812"/>
      <c r="F1592" s="812"/>
      <c r="G1592" s="812"/>
      <c r="H1592" s="812"/>
    </row>
    <row r="1593" spans="1:8">
      <c r="A1593" s="812"/>
      <c r="B1593" s="812"/>
      <c r="C1593" s="812"/>
      <c r="D1593" s="812"/>
      <c r="E1593" s="812"/>
      <c r="F1593" s="812"/>
      <c r="G1593" s="812"/>
      <c r="H1593" s="812"/>
    </row>
    <row r="1594" spans="1:8">
      <c r="A1594" s="812"/>
      <c r="B1594" s="812"/>
      <c r="C1594" s="812"/>
      <c r="D1594" s="812"/>
      <c r="E1594" s="812"/>
      <c r="F1594" s="812"/>
      <c r="G1594" s="812"/>
      <c r="H1594" s="812"/>
    </row>
    <row r="1595" spans="1:8">
      <c r="A1595" s="812"/>
      <c r="B1595" s="812"/>
      <c r="C1595" s="812"/>
      <c r="D1595" s="812"/>
      <c r="E1595" s="812"/>
      <c r="F1595" s="812"/>
      <c r="G1595" s="812"/>
      <c r="H1595" s="812"/>
    </row>
    <row r="1596" spans="1:8">
      <c r="A1596" s="812"/>
      <c r="B1596" s="812"/>
      <c r="C1596" s="812"/>
      <c r="D1596" s="812"/>
      <c r="E1596" s="812"/>
      <c r="F1596" s="812"/>
      <c r="G1596" s="812"/>
      <c r="H1596" s="812"/>
    </row>
    <row r="1597" spans="1:8">
      <c r="A1597" s="812"/>
      <c r="B1597" s="812"/>
      <c r="C1597" s="812"/>
      <c r="D1597" s="812"/>
      <c r="E1597" s="812"/>
      <c r="F1597" s="812"/>
      <c r="G1597" s="812"/>
      <c r="H1597" s="812"/>
    </row>
    <row r="1598" spans="1:8">
      <c r="A1598" s="812"/>
      <c r="B1598" s="812"/>
      <c r="C1598" s="812"/>
      <c r="D1598" s="812"/>
      <c r="E1598" s="812"/>
      <c r="F1598" s="812"/>
      <c r="G1598" s="812"/>
      <c r="H1598" s="812"/>
    </row>
    <row r="1599" spans="1:8">
      <c r="A1599" s="812"/>
      <c r="B1599" s="812"/>
      <c r="C1599" s="812"/>
      <c r="D1599" s="812"/>
      <c r="E1599" s="812"/>
      <c r="F1599" s="812"/>
      <c r="G1599" s="812"/>
      <c r="H1599" s="812"/>
    </row>
    <row r="1600" spans="1:8">
      <c r="A1600" s="812"/>
      <c r="B1600" s="812"/>
      <c r="C1600" s="812"/>
      <c r="D1600" s="812"/>
      <c r="E1600" s="812"/>
      <c r="F1600" s="812"/>
      <c r="G1600" s="812"/>
      <c r="H1600" s="812"/>
    </row>
    <row r="1601" spans="1:8">
      <c r="A1601" s="812"/>
      <c r="B1601" s="812"/>
      <c r="C1601" s="812"/>
      <c r="D1601" s="812"/>
      <c r="E1601" s="812"/>
      <c r="F1601" s="812"/>
      <c r="G1601" s="812"/>
      <c r="H1601" s="812"/>
    </row>
    <row r="1602" spans="1:8">
      <c r="A1602" s="812"/>
      <c r="B1602" s="812"/>
      <c r="C1602" s="812"/>
      <c r="D1602" s="812"/>
      <c r="E1602" s="812"/>
      <c r="F1602" s="812"/>
      <c r="G1602" s="812"/>
      <c r="H1602" s="812"/>
    </row>
    <row r="1603" spans="1:8">
      <c r="A1603" s="812"/>
      <c r="B1603" s="812"/>
      <c r="C1603" s="812"/>
      <c r="D1603" s="812"/>
      <c r="E1603" s="812"/>
      <c r="F1603" s="812"/>
      <c r="G1603" s="812"/>
      <c r="H1603" s="812"/>
    </row>
    <row r="1604" spans="1:8">
      <c r="A1604" s="812"/>
      <c r="B1604" s="812"/>
      <c r="C1604" s="812"/>
      <c r="D1604" s="812"/>
      <c r="E1604" s="812"/>
      <c r="F1604" s="812"/>
      <c r="G1604" s="812"/>
      <c r="H1604" s="812"/>
    </row>
    <row r="1605" spans="1:8">
      <c r="A1605" s="812"/>
      <c r="B1605" s="812"/>
      <c r="C1605" s="812"/>
      <c r="D1605" s="812"/>
      <c r="E1605" s="812"/>
      <c r="F1605" s="812"/>
      <c r="G1605" s="812"/>
      <c r="H1605" s="812"/>
    </row>
    <row r="1606" spans="1:8">
      <c r="A1606" s="812"/>
      <c r="B1606" s="812"/>
      <c r="C1606" s="812"/>
      <c r="D1606" s="812"/>
      <c r="E1606" s="812"/>
      <c r="F1606" s="812"/>
      <c r="G1606" s="812"/>
      <c r="H1606" s="812"/>
    </row>
    <row r="1607" spans="1:8">
      <c r="A1607" s="812"/>
      <c r="B1607" s="812"/>
      <c r="C1607" s="812"/>
      <c r="D1607" s="812"/>
      <c r="E1607" s="812"/>
      <c r="F1607" s="812"/>
      <c r="G1607" s="812"/>
      <c r="H1607" s="812"/>
    </row>
    <row r="1608" spans="1:8">
      <c r="A1608" s="812"/>
      <c r="B1608" s="812"/>
      <c r="C1608" s="812"/>
      <c r="D1608" s="812"/>
      <c r="E1608" s="812"/>
      <c r="F1608" s="812"/>
      <c r="G1608" s="812"/>
      <c r="H1608" s="812"/>
    </row>
    <row r="1609" spans="1:8">
      <c r="A1609" s="812"/>
      <c r="B1609" s="812"/>
      <c r="C1609" s="812"/>
      <c r="D1609" s="812"/>
      <c r="E1609" s="812"/>
      <c r="F1609" s="812"/>
      <c r="G1609" s="812"/>
      <c r="H1609" s="812"/>
    </row>
    <row r="1610" spans="1:8">
      <c r="A1610" s="812"/>
      <c r="B1610" s="812"/>
      <c r="C1610" s="812"/>
      <c r="D1610" s="812"/>
      <c r="E1610" s="812"/>
      <c r="F1610" s="812"/>
      <c r="G1610" s="812"/>
      <c r="H1610" s="812"/>
    </row>
    <row r="1611" spans="1:8">
      <c r="A1611" s="812"/>
      <c r="B1611" s="812"/>
      <c r="C1611" s="812"/>
      <c r="D1611" s="812"/>
      <c r="E1611" s="812"/>
      <c r="F1611" s="812"/>
      <c r="G1611" s="812"/>
      <c r="H1611" s="812"/>
    </row>
    <row r="1612" spans="1:8">
      <c r="A1612" s="812"/>
      <c r="B1612" s="812"/>
      <c r="C1612" s="812"/>
      <c r="D1612" s="812"/>
      <c r="E1612" s="812"/>
      <c r="F1612" s="812"/>
      <c r="G1612" s="812"/>
      <c r="H1612" s="812"/>
    </row>
    <row r="1613" spans="1:8">
      <c r="A1613" s="812"/>
      <c r="B1613" s="812"/>
      <c r="C1613" s="812"/>
      <c r="D1613" s="812"/>
      <c r="E1613" s="812"/>
      <c r="F1613" s="812"/>
      <c r="G1613" s="812"/>
      <c r="H1613" s="812"/>
    </row>
    <row r="1614" spans="1:8">
      <c r="A1614" s="812"/>
      <c r="B1614" s="812"/>
      <c r="C1614" s="812"/>
      <c r="D1614" s="812"/>
      <c r="E1614" s="812"/>
      <c r="F1614" s="812"/>
      <c r="G1614" s="812"/>
      <c r="H1614" s="812"/>
    </row>
    <row r="1615" spans="1:8">
      <c r="A1615" s="812"/>
      <c r="B1615" s="812"/>
      <c r="C1615" s="812"/>
      <c r="D1615" s="812"/>
      <c r="E1615" s="812"/>
      <c r="F1615" s="812"/>
      <c r="G1615" s="812"/>
      <c r="H1615" s="812"/>
    </row>
    <row r="1616" spans="1:8">
      <c r="A1616" s="812"/>
      <c r="B1616" s="812"/>
      <c r="C1616" s="812"/>
      <c r="D1616" s="812"/>
      <c r="E1616" s="812"/>
      <c r="F1616" s="812"/>
      <c r="G1616" s="812"/>
      <c r="H1616" s="812"/>
    </row>
    <row r="1617" spans="1:8">
      <c r="A1617" s="812"/>
      <c r="B1617" s="812"/>
      <c r="C1617" s="812"/>
      <c r="D1617" s="812"/>
      <c r="E1617" s="812"/>
      <c r="F1617" s="812"/>
      <c r="G1617" s="812"/>
      <c r="H1617" s="812"/>
    </row>
    <row r="1618" spans="1:8">
      <c r="A1618" s="812"/>
      <c r="B1618" s="812"/>
      <c r="C1618" s="812"/>
      <c r="D1618" s="812"/>
      <c r="E1618" s="812"/>
      <c r="F1618" s="812"/>
      <c r="G1618" s="812"/>
      <c r="H1618" s="812"/>
    </row>
    <row r="1619" spans="1:8">
      <c r="A1619" s="812"/>
      <c r="B1619" s="812"/>
      <c r="C1619" s="812"/>
      <c r="D1619" s="812"/>
      <c r="E1619" s="812"/>
      <c r="F1619" s="812"/>
      <c r="G1619" s="812"/>
      <c r="H1619" s="812"/>
    </row>
    <row r="1620" spans="1:8">
      <c r="A1620" s="812"/>
      <c r="B1620" s="812"/>
      <c r="C1620" s="812"/>
      <c r="D1620" s="812"/>
      <c r="E1620" s="812"/>
      <c r="F1620" s="812"/>
      <c r="G1620" s="812"/>
      <c r="H1620" s="812"/>
    </row>
    <row r="1621" spans="1:8">
      <c r="A1621" s="812"/>
      <c r="B1621" s="812"/>
      <c r="C1621" s="812"/>
      <c r="D1621" s="812"/>
      <c r="E1621" s="812"/>
      <c r="F1621" s="812"/>
      <c r="G1621" s="812"/>
      <c r="H1621" s="812"/>
    </row>
    <row r="1622" spans="1:8">
      <c r="A1622" s="812"/>
      <c r="B1622" s="812"/>
      <c r="C1622" s="812"/>
      <c r="D1622" s="812"/>
      <c r="E1622" s="812"/>
      <c r="F1622" s="812"/>
      <c r="G1622" s="812"/>
      <c r="H1622" s="812"/>
    </row>
    <row r="1623" spans="1:8">
      <c r="A1623" s="812"/>
      <c r="B1623" s="812"/>
      <c r="C1623" s="812"/>
      <c r="D1623" s="812"/>
      <c r="E1623" s="812"/>
      <c r="F1623" s="812"/>
      <c r="G1623" s="812"/>
      <c r="H1623" s="812"/>
    </row>
    <row r="1624" spans="1:8">
      <c r="A1624" s="812"/>
      <c r="B1624" s="812"/>
      <c r="C1624" s="812"/>
      <c r="D1624" s="812"/>
      <c r="E1624" s="812"/>
      <c r="F1624" s="812"/>
      <c r="G1624" s="812"/>
      <c r="H1624" s="812"/>
    </row>
    <row r="1625" spans="1:8">
      <c r="A1625" s="812"/>
      <c r="B1625" s="812"/>
      <c r="C1625" s="812"/>
      <c r="D1625" s="812"/>
      <c r="E1625" s="812"/>
      <c r="F1625" s="812"/>
      <c r="G1625" s="812"/>
      <c r="H1625" s="812"/>
    </row>
    <row r="1626" spans="1:8">
      <c r="A1626" s="812"/>
      <c r="B1626" s="812"/>
      <c r="C1626" s="812"/>
      <c r="D1626" s="812"/>
      <c r="E1626" s="812"/>
      <c r="F1626" s="812"/>
      <c r="G1626" s="812"/>
      <c r="H1626" s="812"/>
    </row>
    <row r="1627" spans="1:8">
      <c r="A1627" s="812"/>
      <c r="B1627" s="812"/>
      <c r="C1627" s="812"/>
      <c r="D1627" s="812"/>
      <c r="E1627" s="812"/>
      <c r="F1627" s="812"/>
      <c r="G1627" s="812"/>
      <c r="H1627" s="812"/>
    </row>
    <row r="1628" spans="1:8">
      <c r="A1628" s="812"/>
      <c r="B1628" s="812"/>
      <c r="C1628" s="812"/>
      <c r="D1628" s="812"/>
      <c r="E1628" s="812"/>
      <c r="F1628" s="812"/>
      <c r="G1628" s="812"/>
      <c r="H1628" s="812"/>
    </row>
    <row r="1629" spans="1:8">
      <c r="A1629" s="812"/>
      <c r="B1629" s="812"/>
      <c r="C1629" s="812"/>
      <c r="D1629" s="812"/>
      <c r="E1629" s="812"/>
      <c r="F1629" s="812"/>
      <c r="G1629" s="812"/>
      <c r="H1629" s="812"/>
    </row>
    <row r="1630" spans="1:8">
      <c r="A1630" s="812"/>
      <c r="B1630" s="812"/>
      <c r="C1630" s="812"/>
      <c r="D1630" s="812"/>
      <c r="E1630" s="812"/>
      <c r="F1630" s="812"/>
      <c r="G1630" s="812"/>
      <c r="H1630" s="812"/>
    </row>
    <row r="1631" spans="1:8">
      <c r="A1631" s="812"/>
      <c r="B1631" s="812"/>
      <c r="C1631" s="812"/>
      <c r="D1631" s="812"/>
      <c r="E1631" s="812"/>
      <c r="F1631" s="812"/>
      <c r="G1631" s="812"/>
      <c r="H1631" s="812"/>
    </row>
    <row r="1632" spans="1:8">
      <c r="A1632" s="812"/>
      <c r="B1632" s="812"/>
      <c r="C1632" s="812"/>
      <c r="D1632" s="812"/>
      <c r="E1632" s="812"/>
      <c r="F1632" s="812"/>
      <c r="G1632" s="812"/>
      <c r="H1632" s="812"/>
    </row>
    <row r="1633" spans="1:8">
      <c r="A1633" s="812"/>
      <c r="B1633" s="812"/>
      <c r="C1633" s="812"/>
      <c r="D1633" s="812"/>
      <c r="E1633" s="812"/>
      <c r="F1633" s="812"/>
      <c r="G1633" s="812"/>
      <c r="H1633" s="812"/>
    </row>
    <row r="1634" spans="1:8">
      <c r="A1634" s="812"/>
      <c r="B1634" s="812"/>
      <c r="C1634" s="812"/>
      <c r="D1634" s="812"/>
      <c r="E1634" s="812"/>
      <c r="F1634" s="812"/>
      <c r="G1634" s="812"/>
      <c r="H1634" s="812"/>
    </row>
    <row r="1635" spans="1:8">
      <c r="A1635" s="812"/>
      <c r="B1635" s="812"/>
      <c r="C1635" s="812"/>
      <c r="D1635" s="812"/>
      <c r="E1635" s="812"/>
      <c r="F1635" s="812"/>
      <c r="G1635" s="812"/>
      <c r="H1635" s="812"/>
    </row>
    <row r="1636" spans="1:8">
      <c r="A1636" s="812"/>
      <c r="B1636" s="812"/>
      <c r="C1636" s="812"/>
      <c r="D1636" s="812"/>
      <c r="E1636" s="812"/>
      <c r="F1636" s="812"/>
      <c r="G1636" s="812"/>
      <c r="H1636" s="812"/>
    </row>
    <row r="1637" spans="1:8">
      <c r="A1637" s="812"/>
      <c r="B1637" s="812"/>
      <c r="C1637" s="812"/>
      <c r="D1637" s="812"/>
      <c r="E1637" s="812"/>
      <c r="F1637" s="812"/>
      <c r="G1637" s="812"/>
      <c r="H1637" s="812"/>
    </row>
    <row r="1638" spans="1:8">
      <c r="A1638" s="812"/>
      <c r="B1638" s="812"/>
      <c r="C1638" s="812"/>
      <c r="D1638" s="812"/>
      <c r="E1638" s="812"/>
      <c r="F1638" s="812"/>
      <c r="G1638" s="812"/>
      <c r="H1638" s="812"/>
    </row>
    <row r="1639" spans="1:8">
      <c r="A1639" s="812"/>
      <c r="B1639" s="812"/>
      <c r="C1639" s="812"/>
      <c r="D1639" s="812"/>
      <c r="E1639" s="812"/>
      <c r="F1639" s="812"/>
      <c r="G1639" s="812"/>
      <c r="H1639" s="812"/>
    </row>
    <row r="1640" spans="1:8">
      <c r="A1640" s="812"/>
      <c r="B1640" s="812"/>
      <c r="C1640" s="812"/>
      <c r="D1640" s="812"/>
      <c r="E1640" s="812"/>
      <c r="F1640" s="812"/>
      <c r="G1640" s="812"/>
      <c r="H1640" s="812"/>
    </row>
    <row r="1641" spans="1:8">
      <c r="A1641" s="812"/>
      <c r="B1641" s="812"/>
      <c r="C1641" s="812"/>
      <c r="D1641" s="812"/>
      <c r="E1641" s="812"/>
      <c r="F1641" s="812"/>
      <c r="G1641" s="812"/>
      <c r="H1641" s="812"/>
    </row>
    <row r="1642" spans="1:8">
      <c r="A1642" s="812"/>
      <c r="B1642" s="812"/>
      <c r="C1642" s="812"/>
      <c r="D1642" s="812"/>
      <c r="E1642" s="812"/>
      <c r="F1642" s="812"/>
      <c r="G1642" s="812"/>
      <c r="H1642" s="812"/>
    </row>
    <row r="1643" spans="1:8">
      <c r="A1643" s="812"/>
      <c r="B1643" s="812"/>
      <c r="C1643" s="812"/>
      <c r="D1643" s="812"/>
      <c r="E1643" s="812"/>
      <c r="F1643" s="812"/>
      <c r="G1643" s="812"/>
      <c r="H1643" s="812"/>
    </row>
    <row r="1644" spans="1:8">
      <c r="A1644" s="812"/>
      <c r="B1644" s="812"/>
      <c r="C1644" s="812"/>
      <c r="D1644" s="812"/>
      <c r="E1644" s="812"/>
      <c r="F1644" s="812"/>
      <c r="G1644" s="812"/>
      <c r="H1644" s="812"/>
    </row>
    <row r="1645" spans="1:8">
      <c r="A1645" s="812"/>
      <c r="B1645" s="812"/>
      <c r="C1645" s="812"/>
      <c r="D1645" s="812"/>
      <c r="E1645" s="812"/>
      <c r="F1645" s="812"/>
      <c r="G1645" s="812"/>
      <c r="H1645" s="812"/>
    </row>
    <row r="1646" spans="1:8">
      <c r="A1646" s="812"/>
      <c r="B1646" s="812"/>
      <c r="C1646" s="812"/>
      <c r="D1646" s="812"/>
      <c r="E1646" s="812"/>
      <c r="F1646" s="812"/>
      <c r="G1646" s="812"/>
      <c r="H1646" s="812"/>
    </row>
    <row r="1647" spans="1:8">
      <c r="A1647" s="812"/>
      <c r="B1647" s="812"/>
      <c r="C1647" s="812"/>
      <c r="D1647" s="812"/>
      <c r="E1647" s="812"/>
      <c r="F1647" s="812"/>
      <c r="G1647" s="812"/>
      <c r="H1647" s="812"/>
    </row>
    <row r="1648" spans="1:8">
      <c r="A1648" s="812"/>
      <c r="B1648" s="812"/>
      <c r="C1648" s="812"/>
      <c r="D1648" s="812"/>
      <c r="E1648" s="812"/>
      <c r="F1648" s="812"/>
      <c r="G1648" s="812"/>
      <c r="H1648" s="812"/>
    </row>
    <row r="1649" spans="1:8">
      <c r="A1649" s="812"/>
      <c r="B1649" s="812"/>
      <c r="C1649" s="812"/>
      <c r="D1649" s="812"/>
      <c r="E1649" s="812"/>
      <c r="F1649" s="812"/>
      <c r="G1649" s="812"/>
      <c r="H1649" s="812"/>
    </row>
    <row r="1650" spans="1:8">
      <c r="A1650" s="812"/>
      <c r="B1650" s="812"/>
      <c r="C1650" s="812"/>
      <c r="D1650" s="812"/>
      <c r="E1650" s="812"/>
      <c r="F1650" s="812"/>
      <c r="G1650" s="812"/>
      <c r="H1650" s="812"/>
    </row>
    <row r="1651" spans="1:8">
      <c r="A1651" s="812"/>
      <c r="B1651" s="812"/>
      <c r="C1651" s="812"/>
      <c r="D1651" s="812"/>
      <c r="E1651" s="812"/>
      <c r="F1651" s="812"/>
      <c r="G1651" s="812"/>
      <c r="H1651" s="812"/>
    </row>
    <row r="1652" spans="1:8">
      <c r="A1652" s="812"/>
      <c r="B1652" s="812"/>
      <c r="C1652" s="812"/>
      <c r="D1652" s="812"/>
      <c r="E1652" s="812"/>
      <c r="F1652" s="812"/>
      <c r="G1652" s="812"/>
      <c r="H1652" s="812"/>
    </row>
    <row r="1653" spans="1:8">
      <c r="A1653" s="812"/>
      <c r="B1653" s="812"/>
      <c r="C1653" s="812"/>
      <c r="D1653" s="812"/>
      <c r="E1653" s="812"/>
      <c r="F1653" s="812"/>
      <c r="G1653" s="812"/>
      <c r="H1653" s="812"/>
    </row>
    <row r="1654" spans="1:8">
      <c r="A1654" s="812"/>
      <c r="B1654" s="812"/>
      <c r="C1654" s="812"/>
      <c r="D1654" s="812"/>
      <c r="E1654" s="812"/>
      <c r="F1654" s="812"/>
      <c r="G1654" s="812"/>
      <c r="H1654" s="812"/>
    </row>
    <row r="1655" spans="1:8">
      <c r="A1655" s="812"/>
      <c r="B1655" s="812"/>
      <c r="C1655" s="812"/>
      <c r="D1655" s="812"/>
      <c r="E1655" s="812"/>
      <c r="F1655" s="812"/>
      <c r="G1655" s="812"/>
      <c r="H1655" s="812"/>
    </row>
    <row r="1656" spans="1:8">
      <c r="A1656" s="812"/>
      <c r="B1656" s="812"/>
      <c r="C1656" s="812"/>
      <c r="D1656" s="812"/>
      <c r="E1656" s="812"/>
      <c r="F1656" s="812"/>
      <c r="G1656" s="812"/>
      <c r="H1656" s="812"/>
    </row>
    <row r="1657" spans="1:8">
      <c r="A1657" s="812"/>
      <c r="B1657" s="812"/>
      <c r="C1657" s="812"/>
      <c r="D1657" s="812"/>
      <c r="E1657" s="812"/>
      <c r="F1657" s="812"/>
      <c r="G1657" s="812"/>
      <c r="H1657" s="812"/>
    </row>
    <row r="1658" spans="1:8">
      <c r="A1658" s="812"/>
      <c r="B1658" s="812"/>
      <c r="C1658" s="812"/>
      <c r="D1658" s="812"/>
      <c r="E1658" s="812"/>
      <c r="F1658" s="812"/>
      <c r="G1658" s="812"/>
      <c r="H1658" s="812"/>
    </row>
    <row r="1659" spans="1:8">
      <c r="A1659" s="812"/>
      <c r="B1659" s="812"/>
      <c r="C1659" s="812"/>
      <c r="D1659" s="812"/>
      <c r="E1659" s="812"/>
      <c r="F1659" s="812"/>
      <c r="G1659" s="812"/>
      <c r="H1659" s="812"/>
    </row>
    <row r="1660" spans="1:8">
      <c r="A1660" s="812"/>
      <c r="B1660" s="812"/>
      <c r="C1660" s="812"/>
      <c r="D1660" s="812"/>
      <c r="E1660" s="812"/>
      <c r="F1660" s="812"/>
      <c r="G1660" s="812"/>
      <c r="H1660" s="812"/>
    </row>
    <row r="1661" spans="1:8">
      <c r="A1661" s="812"/>
      <c r="B1661" s="812"/>
      <c r="C1661" s="812"/>
      <c r="D1661" s="812"/>
      <c r="E1661" s="812"/>
      <c r="F1661" s="812"/>
      <c r="G1661" s="812"/>
      <c r="H1661" s="812"/>
    </row>
    <row r="1662" spans="1:8">
      <c r="A1662" s="812"/>
      <c r="B1662" s="812"/>
      <c r="C1662" s="812"/>
      <c r="D1662" s="812"/>
      <c r="E1662" s="812"/>
      <c r="F1662" s="812"/>
      <c r="G1662" s="812"/>
      <c r="H1662" s="812"/>
    </row>
    <row r="1663" spans="1:8">
      <c r="A1663" s="812"/>
      <c r="B1663" s="812"/>
      <c r="C1663" s="812"/>
      <c r="D1663" s="812"/>
      <c r="E1663" s="812"/>
      <c r="F1663" s="812"/>
      <c r="G1663" s="812"/>
      <c r="H1663" s="812"/>
    </row>
    <row r="1664" spans="1:8">
      <c r="A1664" s="812"/>
      <c r="B1664" s="812"/>
      <c r="C1664" s="812"/>
      <c r="D1664" s="812"/>
      <c r="E1664" s="812"/>
      <c r="F1664" s="812"/>
      <c r="G1664" s="812"/>
      <c r="H1664" s="812"/>
    </row>
    <row r="1665" spans="1:8">
      <c r="A1665" s="812"/>
      <c r="B1665" s="812"/>
      <c r="C1665" s="812"/>
      <c r="D1665" s="812"/>
      <c r="E1665" s="812"/>
      <c r="F1665" s="812"/>
      <c r="G1665" s="812"/>
      <c r="H1665" s="812"/>
    </row>
    <row r="1666" spans="1:8">
      <c r="A1666" s="812"/>
      <c r="B1666" s="812"/>
      <c r="C1666" s="812"/>
      <c r="D1666" s="812"/>
      <c r="E1666" s="812"/>
      <c r="F1666" s="812"/>
      <c r="G1666" s="812"/>
      <c r="H1666" s="812"/>
    </row>
    <row r="1667" spans="1:8">
      <c r="A1667" s="812"/>
      <c r="B1667" s="812"/>
      <c r="C1667" s="812"/>
      <c r="D1667" s="812"/>
      <c r="E1667" s="812"/>
      <c r="F1667" s="812"/>
      <c r="G1667" s="812"/>
      <c r="H1667" s="812"/>
    </row>
    <row r="1668" spans="1:8">
      <c r="A1668" s="812"/>
      <c r="B1668" s="812"/>
      <c r="C1668" s="812"/>
      <c r="D1668" s="812"/>
      <c r="E1668" s="812"/>
      <c r="F1668" s="812"/>
      <c r="G1668" s="812"/>
      <c r="H1668" s="812"/>
    </row>
    <row r="1669" spans="1:8">
      <c r="A1669" s="812"/>
      <c r="B1669" s="812"/>
      <c r="C1669" s="812"/>
      <c r="D1669" s="812"/>
      <c r="E1669" s="812"/>
      <c r="F1669" s="812"/>
      <c r="G1669" s="812"/>
      <c r="H1669" s="812"/>
    </row>
    <row r="1670" spans="1:8">
      <c r="A1670" s="812"/>
      <c r="B1670" s="812"/>
      <c r="C1670" s="812"/>
      <c r="D1670" s="812"/>
      <c r="E1670" s="812"/>
      <c r="F1670" s="812"/>
      <c r="G1670" s="812"/>
      <c r="H1670" s="812"/>
    </row>
    <row r="1671" spans="1:8">
      <c r="A1671" s="812"/>
      <c r="B1671" s="812"/>
      <c r="C1671" s="812"/>
      <c r="D1671" s="812"/>
      <c r="E1671" s="812"/>
      <c r="F1671" s="812"/>
      <c r="G1671" s="812"/>
      <c r="H1671" s="812"/>
    </row>
    <row r="1672" spans="1:8">
      <c r="A1672" s="812"/>
      <c r="B1672" s="812"/>
      <c r="C1672" s="812"/>
      <c r="D1672" s="812"/>
      <c r="E1672" s="812"/>
      <c r="F1672" s="812"/>
      <c r="G1672" s="812"/>
      <c r="H1672" s="812"/>
    </row>
    <row r="1673" spans="1:8">
      <c r="A1673" s="812"/>
      <c r="B1673" s="812"/>
      <c r="C1673" s="812"/>
      <c r="D1673" s="812"/>
      <c r="E1673" s="812"/>
      <c r="F1673" s="812"/>
      <c r="G1673" s="812"/>
      <c r="H1673" s="812"/>
    </row>
    <row r="1674" spans="1:8">
      <c r="A1674" s="812"/>
      <c r="B1674" s="812"/>
      <c r="C1674" s="812"/>
      <c r="D1674" s="812"/>
      <c r="E1674" s="812"/>
      <c r="F1674" s="812"/>
      <c r="G1674" s="812"/>
      <c r="H1674" s="812"/>
    </row>
    <row r="1675" spans="1:8">
      <c r="A1675" s="812"/>
      <c r="B1675" s="812"/>
      <c r="C1675" s="812"/>
      <c r="D1675" s="812"/>
      <c r="E1675" s="812"/>
      <c r="F1675" s="812"/>
      <c r="G1675" s="812"/>
      <c r="H1675" s="812"/>
    </row>
    <row r="1676" spans="1:8">
      <c r="A1676" s="812"/>
      <c r="B1676" s="812"/>
      <c r="C1676" s="812"/>
      <c r="D1676" s="812"/>
      <c r="E1676" s="812"/>
      <c r="F1676" s="812"/>
      <c r="G1676" s="812"/>
      <c r="H1676" s="812"/>
    </row>
    <row r="1677" spans="1:8">
      <c r="A1677" s="812"/>
      <c r="B1677" s="812"/>
      <c r="C1677" s="812"/>
      <c r="D1677" s="812"/>
      <c r="E1677" s="812"/>
      <c r="F1677" s="812"/>
      <c r="G1677" s="812"/>
      <c r="H1677" s="812"/>
    </row>
    <row r="1678" spans="1:8">
      <c r="A1678" s="812"/>
      <c r="B1678" s="812"/>
      <c r="C1678" s="812"/>
      <c r="D1678" s="812"/>
      <c r="E1678" s="812"/>
      <c r="F1678" s="812"/>
      <c r="G1678" s="812"/>
      <c r="H1678" s="812"/>
    </row>
    <row r="1679" spans="1:8">
      <c r="A1679" s="812"/>
      <c r="B1679" s="812"/>
      <c r="C1679" s="812"/>
      <c r="D1679" s="812"/>
      <c r="E1679" s="812"/>
      <c r="F1679" s="812"/>
      <c r="G1679" s="812"/>
      <c r="H1679" s="812"/>
    </row>
    <row r="1680" spans="1:8">
      <c r="A1680" s="812"/>
      <c r="B1680" s="812"/>
      <c r="C1680" s="812"/>
      <c r="D1680" s="812"/>
      <c r="E1680" s="812"/>
      <c r="F1680" s="812"/>
      <c r="G1680" s="812"/>
      <c r="H1680" s="812"/>
    </row>
    <row r="1681" spans="1:8">
      <c r="A1681" s="812"/>
      <c r="B1681" s="812"/>
      <c r="C1681" s="812"/>
      <c r="D1681" s="812"/>
      <c r="E1681" s="812"/>
      <c r="F1681" s="812"/>
      <c r="G1681" s="812"/>
      <c r="H1681" s="812"/>
    </row>
    <row r="1682" spans="1:8">
      <c r="A1682" s="812"/>
      <c r="B1682" s="812"/>
      <c r="C1682" s="812"/>
      <c r="D1682" s="812"/>
      <c r="E1682" s="812"/>
      <c r="F1682" s="812"/>
      <c r="G1682" s="812"/>
      <c r="H1682" s="812"/>
    </row>
    <row r="1683" spans="1:8">
      <c r="A1683" s="812"/>
      <c r="B1683" s="812"/>
      <c r="C1683" s="812"/>
      <c r="D1683" s="812"/>
      <c r="E1683" s="812"/>
      <c r="F1683" s="812"/>
      <c r="G1683" s="812"/>
      <c r="H1683" s="812"/>
    </row>
    <row r="1684" spans="1:8">
      <c r="A1684" s="812"/>
      <c r="B1684" s="812"/>
      <c r="C1684" s="812"/>
      <c r="D1684" s="812"/>
      <c r="E1684" s="812"/>
      <c r="F1684" s="812"/>
      <c r="G1684" s="812"/>
      <c r="H1684" s="812"/>
    </row>
    <row r="1685" spans="1:8">
      <c r="A1685" s="812"/>
      <c r="B1685" s="812"/>
      <c r="C1685" s="812"/>
      <c r="D1685" s="812"/>
      <c r="E1685" s="812"/>
      <c r="F1685" s="812"/>
      <c r="G1685" s="812"/>
      <c r="H1685" s="812"/>
    </row>
    <row r="1686" spans="1:8">
      <c r="A1686" s="812"/>
      <c r="B1686" s="812"/>
      <c r="C1686" s="812"/>
      <c r="D1686" s="812"/>
      <c r="E1686" s="812"/>
      <c r="F1686" s="812"/>
      <c r="G1686" s="812"/>
      <c r="H1686" s="812"/>
    </row>
    <row r="1687" spans="1:8">
      <c r="A1687" s="812"/>
      <c r="B1687" s="812"/>
      <c r="C1687" s="812"/>
      <c r="D1687" s="812"/>
      <c r="E1687" s="812"/>
      <c r="F1687" s="812"/>
      <c r="G1687" s="812"/>
      <c r="H1687" s="812"/>
    </row>
    <row r="1688" spans="1:8">
      <c r="A1688" s="812"/>
      <c r="B1688" s="812"/>
      <c r="C1688" s="812"/>
      <c r="D1688" s="812"/>
      <c r="E1688" s="812"/>
      <c r="F1688" s="812"/>
      <c r="G1688" s="812"/>
      <c r="H1688" s="812"/>
    </row>
    <row r="1689" spans="1:8">
      <c r="A1689" s="812"/>
      <c r="B1689" s="812"/>
      <c r="C1689" s="812"/>
      <c r="D1689" s="812"/>
      <c r="E1689" s="812"/>
      <c r="F1689" s="812"/>
      <c r="G1689" s="812"/>
      <c r="H1689" s="812"/>
    </row>
    <row r="1690" spans="1:8">
      <c r="A1690" s="812"/>
      <c r="B1690" s="812"/>
      <c r="C1690" s="812"/>
      <c r="D1690" s="812"/>
      <c r="E1690" s="812"/>
      <c r="F1690" s="812"/>
      <c r="G1690" s="812"/>
      <c r="H1690" s="812"/>
    </row>
    <row r="1691" spans="1:8">
      <c r="A1691" s="812"/>
      <c r="B1691" s="812"/>
      <c r="C1691" s="812"/>
      <c r="D1691" s="812"/>
      <c r="E1691" s="812"/>
      <c r="F1691" s="812"/>
      <c r="G1691" s="812"/>
      <c r="H1691" s="812"/>
    </row>
    <row r="1692" spans="1:8">
      <c r="A1692" s="812"/>
      <c r="B1692" s="812"/>
      <c r="C1692" s="812"/>
      <c r="D1692" s="812"/>
      <c r="E1692" s="812"/>
      <c r="F1692" s="812"/>
      <c r="G1692" s="812"/>
      <c r="H1692" s="812"/>
    </row>
    <row r="1693" spans="1:8">
      <c r="A1693" s="812"/>
      <c r="B1693" s="812"/>
      <c r="C1693" s="812"/>
      <c r="D1693" s="812"/>
      <c r="E1693" s="812"/>
      <c r="F1693" s="812"/>
      <c r="G1693" s="812"/>
      <c r="H1693" s="812"/>
    </row>
    <row r="1694" spans="1:8">
      <c r="A1694" s="812"/>
      <c r="B1694" s="812"/>
      <c r="C1694" s="812"/>
      <c r="D1694" s="812"/>
      <c r="E1694" s="812"/>
      <c r="F1694" s="812"/>
      <c r="G1694" s="812"/>
      <c r="H1694" s="812"/>
    </row>
    <row r="1695" spans="1:8">
      <c r="A1695" s="812"/>
      <c r="B1695" s="812"/>
      <c r="C1695" s="812"/>
      <c r="D1695" s="812"/>
      <c r="E1695" s="812"/>
      <c r="F1695" s="812"/>
      <c r="G1695" s="812"/>
      <c r="H1695" s="812"/>
    </row>
    <row r="1696" spans="1:8">
      <c r="A1696" s="812"/>
      <c r="B1696" s="812"/>
      <c r="C1696" s="812"/>
      <c r="D1696" s="812"/>
      <c r="E1696" s="812"/>
      <c r="F1696" s="812"/>
      <c r="G1696" s="812"/>
      <c r="H1696" s="812"/>
    </row>
    <row r="1697" spans="1:8">
      <c r="A1697" s="812"/>
      <c r="B1697" s="812"/>
      <c r="C1697" s="812"/>
      <c r="D1697" s="812"/>
      <c r="E1697" s="812"/>
      <c r="F1697" s="812"/>
      <c r="G1697" s="812"/>
      <c r="H1697" s="812"/>
    </row>
    <row r="1698" spans="1:8">
      <c r="A1698" s="812"/>
      <c r="B1698" s="812"/>
      <c r="C1698" s="812"/>
      <c r="D1698" s="812"/>
      <c r="E1698" s="812"/>
      <c r="F1698" s="812"/>
      <c r="G1698" s="812"/>
      <c r="H1698" s="812"/>
    </row>
    <row r="1699" spans="1:8">
      <c r="A1699" s="812"/>
      <c r="B1699" s="812"/>
      <c r="C1699" s="812"/>
      <c r="D1699" s="812"/>
      <c r="E1699" s="812"/>
      <c r="F1699" s="812"/>
      <c r="G1699" s="812"/>
      <c r="H1699" s="812"/>
    </row>
    <row r="1700" spans="1:8">
      <c r="A1700" s="812"/>
      <c r="B1700" s="812"/>
      <c r="C1700" s="812"/>
      <c r="D1700" s="812"/>
      <c r="E1700" s="812"/>
      <c r="F1700" s="812"/>
      <c r="G1700" s="812"/>
      <c r="H1700" s="812"/>
    </row>
    <row r="1701" spans="1:8">
      <c r="A1701" s="812"/>
      <c r="B1701" s="812"/>
      <c r="C1701" s="812"/>
      <c r="D1701" s="812"/>
      <c r="E1701" s="812"/>
      <c r="F1701" s="812"/>
      <c r="G1701" s="812"/>
      <c r="H1701" s="812"/>
    </row>
    <row r="1702" spans="1:8">
      <c r="A1702" s="812"/>
      <c r="B1702" s="812"/>
      <c r="C1702" s="812"/>
      <c r="D1702" s="812"/>
      <c r="E1702" s="812"/>
      <c r="F1702" s="812"/>
      <c r="G1702" s="812"/>
      <c r="H1702" s="812"/>
    </row>
    <row r="1703" spans="1:8">
      <c r="A1703" s="812"/>
      <c r="B1703" s="812"/>
      <c r="C1703" s="812"/>
      <c r="D1703" s="812"/>
      <c r="E1703" s="812"/>
      <c r="F1703" s="812"/>
      <c r="G1703" s="812"/>
      <c r="H1703" s="812"/>
    </row>
    <row r="1704" spans="1:8">
      <c r="A1704" s="812"/>
      <c r="B1704" s="812"/>
      <c r="C1704" s="812"/>
      <c r="D1704" s="812"/>
      <c r="E1704" s="812"/>
      <c r="F1704" s="812"/>
      <c r="G1704" s="812"/>
      <c r="H1704" s="812"/>
    </row>
    <row r="1705" spans="1:8">
      <c r="A1705" s="812"/>
      <c r="B1705" s="812"/>
      <c r="C1705" s="812"/>
      <c r="D1705" s="812"/>
      <c r="E1705" s="812"/>
      <c r="F1705" s="812"/>
      <c r="G1705" s="812"/>
      <c r="H1705" s="812"/>
    </row>
    <row r="1706" spans="1:8">
      <c r="A1706" s="812"/>
      <c r="B1706" s="812"/>
      <c r="C1706" s="812"/>
      <c r="D1706" s="812"/>
      <c r="E1706" s="812"/>
      <c r="F1706" s="812"/>
      <c r="G1706" s="812"/>
      <c r="H1706" s="812"/>
    </row>
    <row r="1707" spans="1:8">
      <c r="A1707" s="812"/>
      <c r="B1707" s="812"/>
      <c r="C1707" s="812"/>
      <c r="D1707" s="812"/>
      <c r="E1707" s="812"/>
      <c r="F1707" s="812"/>
      <c r="G1707" s="812"/>
      <c r="H1707" s="812"/>
    </row>
    <row r="1708" spans="1:8">
      <c r="A1708" s="812"/>
      <c r="B1708" s="812"/>
      <c r="C1708" s="812"/>
      <c r="D1708" s="812"/>
      <c r="E1708" s="812"/>
      <c r="F1708" s="812"/>
      <c r="G1708" s="812"/>
      <c r="H1708" s="812"/>
    </row>
    <row r="1709" spans="1:8">
      <c r="A1709" s="812"/>
      <c r="B1709" s="812"/>
      <c r="C1709" s="812"/>
      <c r="D1709" s="812"/>
      <c r="E1709" s="812"/>
      <c r="F1709" s="812"/>
      <c r="G1709" s="812"/>
      <c r="H1709" s="812"/>
    </row>
    <row r="1710" spans="1:8">
      <c r="A1710" s="812"/>
      <c r="B1710" s="812"/>
      <c r="C1710" s="812"/>
      <c r="D1710" s="812"/>
      <c r="E1710" s="812"/>
      <c r="F1710" s="812"/>
      <c r="G1710" s="812"/>
      <c r="H1710" s="812"/>
    </row>
    <row r="1711" spans="1:8">
      <c r="A1711" s="812"/>
      <c r="B1711" s="812"/>
      <c r="C1711" s="812"/>
      <c r="D1711" s="812"/>
      <c r="E1711" s="812"/>
      <c r="F1711" s="812"/>
      <c r="G1711" s="812"/>
      <c r="H1711" s="812"/>
    </row>
    <row r="1712" spans="1:8">
      <c r="A1712" s="812"/>
      <c r="B1712" s="812"/>
      <c r="C1712" s="812"/>
      <c r="D1712" s="812"/>
      <c r="E1712" s="812"/>
      <c r="F1712" s="812"/>
      <c r="G1712" s="812"/>
      <c r="H1712" s="812"/>
    </row>
    <row r="1713" spans="1:8">
      <c r="A1713" s="812"/>
      <c r="B1713" s="812"/>
      <c r="C1713" s="812"/>
      <c r="D1713" s="812"/>
      <c r="E1713" s="812"/>
      <c r="F1713" s="812"/>
      <c r="G1713" s="812"/>
      <c r="H1713" s="812"/>
    </row>
    <row r="1714" spans="1:8">
      <c r="A1714" s="812"/>
      <c r="B1714" s="812"/>
      <c r="C1714" s="812"/>
      <c r="D1714" s="812"/>
      <c r="E1714" s="812"/>
      <c r="F1714" s="812"/>
      <c r="G1714" s="812"/>
      <c r="H1714" s="812"/>
    </row>
    <row r="1715" spans="1:8">
      <c r="A1715" s="812"/>
      <c r="B1715" s="812"/>
      <c r="C1715" s="812"/>
      <c r="D1715" s="812"/>
      <c r="E1715" s="812"/>
      <c r="F1715" s="812"/>
      <c r="G1715" s="812"/>
      <c r="H1715" s="812"/>
    </row>
    <row r="1716" spans="1:8">
      <c r="A1716" s="812"/>
      <c r="B1716" s="812"/>
      <c r="C1716" s="812"/>
      <c r="D1716" s="812"/>
      <c r="E1716" s="812"/>
      <c r="F1716" s="812"/>
      <c r="G1716" s="812"/>
      <c r="H1716" s="812"/>
    </row>
    <row r="1717" spans="1:8">
      <c r="A1717" s="812"/>
      <c r="B1717" s="812"/>
      <c r="C1717" s="812"/>
      <c r="D1717" s="812"/>
      <c r="E1717" s="812"/>
      <c r="F1717" s="812"/>
      <c r="G1717" s="812"/>
      <c r="H1717" s="812"/>
    </row>
    <row r="1718" spans="1:8">
      <c r="A1718" s="812"/>
      <c r="B1718" s="812"/>
      <c r="C1718" s="812"/>
      <c r="D1718" s="812"/>
      <c r="E1718" s="812"/>
      <c r="F1718" s="812"/>
      <c r="G1718" s="812"/>
      <c r="H1718" s="812"/>
    </row>
    <row r="1719" spans="1:8">
      <c r="A1719" s="812"/>
      <c r="B1719" s="812"/>
      <c r="C1719" s="812"/>
      <c r="D1719" s="812"/>
      <c r="E1719" s="812"/>
      <c r="F1719" s="812"/>
      <c r="G1719" s="812"/>
      <c r="H1719" s="812"/>
    </row>
    <row r="1720" spans="1:8">
      <c r="A1720" s="812"/>
      <c r="B1720" s="812"/>
      <c r="C1720" s="812"/>
      <c r="D1720" s="812"/>
      <c r="E1720" s="812"/>
      <c r="F1720" s="812"/>
      <c r="G1720" s="812"/>
      <c r="H1720" s="812"/>
    </row>
    <row r="1721" spans="1:8">
      <c r="A1721" s="812"/>
      <c r="B1721" s="812"/>
      <c r="C1721" s="812"/>
      <c r="D1721" s="812"/>
      <c r="E1721" s="812"/>
      <c r="F1721" s="812"/>
      <c r="G1721" s="812"/>
      <c r="H1721" s="812"/>
    </row>
    <row r="1722" spans="1:8">
      <c r="A1722" s="812"/>
      <c r="B1722" s="812"/>
      <c r="C1722" s="812"/>
      <c r="D1722" s="812"/>
      <c r="E1722" s="812"/>
      <c r="F1722" s="812"/>
      <c r="G1722" s="812"/>
      <c r="H1722" s="812"/>
    </row>
    <row r="1723" spans="1:8">
      <c r="A1723" s="812"/>
      <c r="B1723" s="812"/>
      <c r="C1723" s="812"/>
      <c r="D1723" s="812"/>
      <c r="E1723" s="812"/>
      <c r="F1723" s="812"/>
      <c r="G1723" s="812"/>
      <c r="H1723" s="812"/>
    </row>
    <row r="1724" spans="1:8">
      <c r="A1724" s="812"/>
      <c r="B1724" s="812"/>
      <c r="C1724" s="812"/>
      <c r="D1724" s="812"/>
      <c r="E1724" s="812"/>
      <c r="F1724" s="812"/>
      <c r="G1724" s="812"/>
      <c r="H1724" s="812"/>
    </row>
    <row r="1725" spans="1:8">
      <c r="A1725" s="812"/>
      <c r="B1725" s="812"/>
      <c r="C1725" s="812"/>
      <c r="D1725" s="812"/>
      <c r="E1725" s="812"/>
      <c r="F1725" s="812"/>
      <c r="G1725" s="812"/>
      <c r="H1725" s="812"/>
    </row>
    <row r="1726" spans="1:8">
      <c r="A1726" s="812"/>
      <c r="B1726" s="812"/>
      <c r="C1726" s="812"/>
      <c r="D1726" s="812"/>
      <c r="E1726" s="812"/>
      <c r="F1726" s="812"/>
      <c r="G1726" s="812"/>
      <c r="H1726" s="812"/>
    </row>
    <row r="1727" spans="1:8">
      <c r="A1727" s="812"/>
      <c r="B1727" s="812"/>
      <c r="C1727" s="812"/>
      <c r="D1727" s="812"/>
      <c r="E1727" s="812"/>
      <c r="F1727" s="812"/>
      <c r="G1727" s="812"/>
      <c r="H1727" s="812"/>
    </row>
    <row r="1728" spans="1:8">
      <c r="A1728" s="812"/>
      <c r="B1728" s="812"/>
      <c r="C1728" s="812"/>
      <c r="D1728" s="812"/>
      <c r="E1728" s="812"/>
      <c r="F1728" s="812"/>
      <c r="G1728" s="812"/>
      <c r="H1728" s="812"/>
    </row>
    <row r="1729" spans="1:8">
      <c r="A1729" s="812"/>
      <c r="B1729" s="812"/>
      <c r="C1729" s="812"/>
      <c r="D1729" s="812"/>
      <c r="E1729" s="812"/>
      <c r="F1729" s="812"/>
      <c r="G1729" s="812"/>
      <c r="H1729" s="812"/>
    </row>
    <row r="1730" spans="1:8">
      <c r="A1730" s="812"/>
      <c r="B1730" s="812"/>
      <c r="C1730" s="812"/>
      <c r="D1730" s="812"/>
      <c r="E1730" s="812"/>
      <c r="F1730" s="812"/>
      <c r="G1730" s="812"/>
      <c r="H1730" s="812"/>
    </row>
    <row r="1731" spans="1:8">
      <c r="A1731" s="812"/>
      <c r="B1731" s="812"/>
      <c r="C1731" s="812"/>
      <c r="D1731" s="812"/>
      <c r="E1731" s="812"/>
      <c r="F1731" s="812"/>
      <c r="G1731" s="812"/>
      <c r="H1731" s="812"/>
    </row>
    <row r="1732" spans="1:8">
      <c r="A1732" s="812"/>
      <c r="B1732" s="812"/>
      <c r="C1732" s="812"/>
      <c r="D1732" s="812"/>
      <c r="E1732" s="812"/>
      <c r="F1732" s="812"/>
      <c r="G1732" s="812"/>
      <c r="H1732" s="812"/>
    </row>
    <row r="1733" spans="1:8">
      <c r="A1733" s="812"/>
      <c r="B1733" s="812"/>
      <c r="C1733" s="812"/>
      <c r="D1733" s="812"/>
      <c r="E1733" s="812"/>
      <c r="F1733" s="812"/>
      <c r="G1733" s="812"/>
      <c r="H1733" s="812"/>
    </row>
    <row r="1734" spans="1:8">
      <c r="A1734" s="812"/>
      <c r="B1734" s="812"/>
      <c r="C1734" s="812"/>
      <c r="D1734" s="812"/>
      <c r="E1734" s="812"/>
      <c r="F1734" s="812"/>
      <c r="G1734" s="812"/>
      <c r="H1734" s="812"/>
    </row>
    <row r="1735" spans="1:8">
      <c r="A1735" s="812"/>
      <c r="B1735" s="812"/>
      <c r="C1735" s="812"/>
      <c r="D1735" s="812"/>
      <c r="E1735" s="812"/>
      <c r="F1735" s="812"/>
      <c r="G1735" s="812"/>
      <c r="H1735" s="812"/>
    </row>
    <row r="1736" spans="1:8">
      <c r="A1736" s="812"/>
      <c r="B1736" s="812"/>
      <c r="C1736" s="812"/>
      <c r="D1736" s="812"/>
      <c r="E1736" s="812"/>
      <c r="F1736" s="812"/>
      <c r="G1736" s="812"/>
      <c r="H1736" s="812"/>
    </row>
    <row r="1737" spans="1:8">
      <c r="A1737" s="812"/>
      <c r="B1737" s="812"/>
      <c r="C1737" s="812"/>
      <c r="D1737" s="812"/>
      <c r="E1737" s="812"/>
      <c r="F1737" s="812"/>
      <c r="G1737" s="812"/>
      <c r="H1737" s="812"/>
    </row>
    <row r="1738" spans="1:8">
      <c r="A1738" s="812"/>
      <c r="B1738" s="812"/>
      <c r="C1738" s="812"/>
      <c r="D1738" s="812"/>
      <c r="E1738" s="812"/>
      <c r="F1738" s="812"/>
      <c r="G1738" s="812"/>
      <c r="H1738" s="812"/>
    </row>
    <row r="1739" spans="1:8">
      <c r="A1739" s="812"/>
      <c r="B1739" s="812"/>
      <c r="C1739" s="812"/>
      <c r="D1739" s="812"/>
      <c r="E1739" s="812"/>
      <c r="F1739" s="812"/>
      <c r="G1739" s="812"/>
      <c r="H1739" s="812"/>
    </row>
    <row r="1740" spans="1:8">
      <c r="A1740" s="812"/>
      <c r="B1740" s="812"/>
      <c r="C1740" s="812"/>
      <c r="D1740" s="812"/>
      <c r="E1740" s="812"/>
      <c r="F1740" s="812"/>
      <c r="G1740" s="812"/>
      <c r="H1740" s="812"/>
    </row>
    <row r="1741" spans="1:8">
      <c r="A1741" s="812"/>
      <c r="B1741" s="812"/>
      <c r="C1741" s="812"/>
      <c r="D1741" s="812"/>
      <c r="E1741" s="812"/>
      <c r="F1741" s="812"/>
      <c r="G1741" s="812"/>
      <c r="H1741" s="812"/>
    </row>
    <row r="1742" spans="1:8">
      <c r="A1742" s="812"/>
      <c r="B1742" s="812"/>
      <c r="C1742" s="812"/>
      <c r="D1742" s="812"/>
      <c r="E1742" s="812"/>
      <c r="F1742" s="812"/>
      <c r="G1742" s="812"/>
      <c r="H1742" s="812"/>
    </row>
    <row r="1743" spans="1:8">
      <c r="A1743" s="812"/>
      <c r="B1743" s="812"/>
      <c r="C1743" s="812"/>
      <c r="D1743" s="812"/>
      <c r="E1743" s="812"/>
      <c r="F1743" s="812"/>
      <c r="G1743" s="812"/>
      <c r="H1743" s="812"/>
    </row>
    <row r="1744" spans="1:8">
      <c r="A1744" s="812"/>
      <c r="B1744" s="812"/>
      <c r="C1744" s="812"/>
      <c r="D1744" s="812"/>
      <c r="E1744" s="812"/>
      <c r="F1744" s="812"/>
      <c r="G1744" s="812"/>
      <c r="H1744" s="812"/>
    </row>
    <row r="1745" spans="1:8">
      <c r="A1745" s="812"/>
      <c r="B1745" s="812"/>
      <c r="C1745" s="812"/>
      <c r="D1745" s="812"/>
      <c r="E1745" s="812"/>
      <c r="F1745" s="812"/>
      <c r="G1745" s="812"/>
      <c r="H1745" s="812"/>
    </row>
    <row r="1746" spans="1:8">
      <c r="A1746" s="812"/>
      <c r="B1746" s="812"/>
      <c r="C1746" s="812"/>
      <c r="D1746" s="812"/>
      <c r="E1746" s="812"/>
      <c r="F1746" s="812"/>
      <c r="G1746" s="812"/>
      <c r="H1746" s="812"/>
    </row>
    <row r="1747" spans="1:8">
      <c r="A1747" s="812"/>
      <c r="B1747" s="812"/>
      <c r="C1747" s="812"/>
      <c r="D1747" s="812"/>
      <c r="E1747" s="812"/>
      <c r="F1747" s="812"/>
      <c r="G1747" s="812"/>
      <c r="H1747" s="812"/>
    </row>
    <row r="1748" spans="1:8">
      <c r="A1748" s="812"/>
      <c r="B1748" s="812"/>
      <c r="C1748" s="812"/>
      <c r="D1748" s="812"/>
      <c r="E1748" s="812"/>
      <c r="F1748" s="812"/>
      <c r="G1748" s="812"/>
      <c r="H1748" s="812"/>
    </row>
    <row r="1749" spans="1:8">
      <c r="A1749" s="812"/>
      <c r="B1749" s="812"/>
      <c r="C1749" s="812"/>
      <c r="D1749" s="812"/>
      <c r="E1749" s="812"/>
      <c r="F1749" s="812"/>
      <c r="G1749" s="812"/>
      <c r="H1749" s="812"/>
    </row>
    <row r="1750" spans="1:8">
      <c r="A1750" s="812"/>
      <c r="B1750" s="812"/>
      <c r="C1750" s="812"/>
      <c r="D1750" s="812"/>
      <c r="E1750" s="812"/>
      <c r="F1750" s="812"/>
      <c r="G1750" s="812"/>
      <c r="H1750" s="812"/>
    </row>
    <row r="1751" spans="1:8">
      <c r="A1751" s="812"/>
      <c r="B1751" s="812"/>
      <c r="C1751" s="812"/>
      <c r="D1751" s="812"/>
      <c r="E1751" s="812"/>
      <c r="F1751" s="812"/>
      <c r="G1751" s="812"/>
      <c r="H1751" s="812"/>
    </row>
    <row r="1752" spans="1:8">
      <c r="A1752" s="812"/>
      <c r="B1752" s="812"/>
      <c r="C1752" s="812"/>
      <c r="D1752" s="812"/>
      <c r="E1752" s="812"/>
      <c r="F1752" s="812"/>
      <c r="G1752" s="812"/>
      <c r="H1752" s="812"/>
    </row>
    <row r="1753" spans="1:8">
      <c r="A1753" s="812"/>
      <c r="B1753" s="812"/>
      <c r="C1753" s="812"/>
      <c r="D1753" s="812"/>
      <c r="E1753" s="812"/>
      <c r="F1753" s="812"/>
      <c r="G1753" s="812"/>
      <c r="H1753" s="812"/>
    </row>
    <row r="1754" spans="1:8">
      <c r="A1754" s="812"/>
      <c r="B1754" s="812"/>
      <c r="C1754" s="812"/>
      <c r="D1754" s="812"/>
      <c r="E1754" s="812"/>
      <c r="F1754" s="812"/>
      <c r="G1754" s="812"/>
      <c r="H1754" s="812"/>
    </row>
    <row r="1755" spans="1:8">
      <c r="A1755" s="812"/>
      <c r="B1755" s="812"/>
      <c r="C1755" s="812"/>
      <c r="D1755" s="812"/>
      <c r="E1755" s="812"/>
      <c r="F1755" s="812"/>
      <c r="G1755" s="812"/>
      <c r="H1755" s="812"/>
    </row>
    <row r="1756" spans="1:8">
      <c r="A1756" s="812"/>
      <c r="B1756" s="812"/>
      <c r="C1756" s="812"/>
      <c r="D1756" s="812"/>
      <c r="E1756" s="812"/>
      <c r="F1756" s="812"/>
      <c r="G1756" s="812"/>
      <c r="H1756" s="812"/>
    </row>
    <row r="1757" spans="1:8">
      <c r="A1757" s="812"/>
      <c r="B1757" s="812"/>
      <c r="C1757" s="812"/>
      <c r="D1757" s="812"/>
      <c r="E1757" s="812"/>
      <c r="F1757" s="812"/>
      <c r="G1757" s="812"/>
      <c r="H1757" s="812"/>
    </row>
    <row r="1758" spans="1:8">
      <c r="A1758" s="812"/>
      <c r="B1758" s="812"/>
      <c r="C1758" s="812"/>
      <c r="D1758" s="812"/>
      <c r="E1758" s="812"/>
      <c r="F1758" s="812"/>
      <c r="G1758" s="812"/>
      <c r="H1758" s="812"/>
    </row>
    <row r="1759" spans="1:8">
      <c r="A1759" s="812"/>
      <c r="B1759" s="812"/>
      <c r="C1759" s="812"/>
      <c r="D1759" s="812"/>
      <c r="E1759" s="812"/>
      <c r="F1759" s="812"/>
      <c r="G1759" s="812"/>
      <c r="H1759" s="812"/>
    </row>
    <row r="1760" spans="1:8">
      <c r="A1760" s="812"/>
      <c r="B1760" s="812"/>
      <c r="C1760" s="812"/>
      <c r="D1760" s="812"/>
      <c r="E1760" s="812"/>
      <c r="F1760" s="812"/>
      <c r="G1760" s="812"/>
      <c r="H1760" s="812"/>
    </row>
    <row r="1761" spans="1:8">
      <c r="A1761" s="812"/>
      <c r="B1761" s="812"/>
      <c r="C1761" s="812"/>
      <c r="D1761" s="812"/>
      <c r="E1761" s="812"/>
      <c r="F1761" s="812"/>
      <c r="G1761" s="812"/>
      <c r="H1761" s="812"/>
    </row>
    <row r="1762" spans="1:8">
      <c r="A1762" s="812"/>
      <c r="B1762" s="812"/>
      <c r="C1762" s="812"/>
      <c r="D1762" s="812"/>
      <c r="E1762" s="812"/>
      <c r="F1762" s="812"/>
      <c r="G1762" s="812"/>
      <c r="H1762" s="812"/>
    </row>
    <row r="1763" spans="1:8">
      <c r="A1763" s="812"/>
      <c r="B1763" s="812"/>
      <c r="C1763" s="812"/>
      <c r="D1763" s="812"/>
      <c r="E1763" s="812"/>
      <c r="F1763" s="812"/>
      <c r="G1763" s="812"/>
      <c r="H1763" s="812"/>
    </row>
    <row r="1764" spans="1:8">
      <c r="A1764" s="812"/>
      <c r="B1764" s="812"/>
      <c r="C1764" s="812"/>
      <c r="D1764" s="812"/>
      <c r="E1764" s="812"/>
      <c r="F1764" s="812"/>
      <c r="G1764" s="812"/>
      <c r="H1764" s="812"/>
    </row>
    <row r="1765" spans="1:8">
      <c r="A1765" s="812"/>
      <c r="B1765" s="812"/>
      <c r="C1765" s="812"/>
      <c r="D1765" s="812"/>
      <c r="E1765" s="812"/>
      <c r="F1765" s="812"/>
      <c r="G1765" s="812"/>
      <c r="H1765" s="812"/>
    </row>
    <row r="1766" spans="1:8">
      <c r="A1766" s="812"/>
      <c r="B1766" s="812"/>
      <c r="C1766" s="812"/>
      <c r="D1766" s="812"/>
      <c r="E1766" s="812"/>
      <c r="F1766" s="812"/>
      <c r="G1766" s="812"/>
      <c r="H1766" s="812"/>
    </row>
    <row r="1767" spans="1:8">
      <c r="A1767" s="812"/>
      <c r="B1767" s="812"/>
      <c r="C1767" s="812"/>
      <c r="D1767" s="812"/>
      <c r="E1767" s="812"/>
      <c r="F1767" s="812"/>
      <c r="G1767" s="812"/>
      <c r="H1767" s="812"/>
    </row>
    <row r="1768" spans="1:8">
      <c r="A1768" s="812"/>
      <c r="B1768" s="812"/>
      <c r="C1768" s="812"/>
      <c r="D1768" s="812"/>
      <c r="E1768" s="812"/>
      <c r="F1768" s="812"/>
      <c r="G1768" s="812"/>
      <c r="H1768" s="812"/>
    </row>
    <row r="1769" spans="1:8">
      <c r="A1769" s="812"/>
      <c r="B1769" s="812"/>
      <c r="C1769" s="812"/>
      <c r="D1769" s="812"/>
      <c r="E1769" s="812"/>
      <c r="F1769" s="812"/>
      <c r="G1769" s="812"/>
      <c r="H1769" s="812"/>
    </row>
    <row r="1770" spans="1:8">
      <c r="A1770" s="812"/>
      <c r="B1770" s="812"/>
      <c r="C1770" s="812"/>
      <c r="D1770" s="812"/>
      <c r="E1770" s="812"/>
      <c r="F1770" s="812"/>
      <c r="G1770" s="812"/>
      <c r="H1770" s="812"/>
    </row>
    <row r="1771" spans="1:8">
      <c r="A1771" s="812"/>
      <c r="B1771" s="812"/>
      <c r="C1771" s="812"/>
      <c r="D1771" s="812"/>
      <c r="E1771" s="812"/>
      <c r="F1771" s="812"/>
      <c r="G1771" s="812"/>
      <c r="H1771" s="812"/>
    </row>
    <row r="1772" spans="1:8">
      <c r="A1772" s="812"/>
      <c r="B1772" s="812"/>
      <c r="C1772" s="812"/>
      <c r="D1772" s="812"/>
      <c r="E1772" s="812"/>
      <c r="F1772" s="812"/>
      <c r="G1772" s="812"/>
      <c r="H1772" s="812"/>
    </row>
    <row r="1773" spans="1:8">
      <c r="A1773" s="812"/>
      <c r="B1773" s="812"/>
      <c r="C1773" s="812"/>
      <c r="D1773" s="812"/>
      <c r="E1773" s="812"/>
      <c r="F1773" s="812"/>
      <c r="G1773" s="812"/>
      <c r="H1773" s="812"/>
    </row>
    <row r="1774" spans="1:8">
      <c r="A1774" s="812"/>
      <c r="B1774" s="812"/>
      <c r="C1774" s="812"/>
      <c r="D1774" s="812"/>
      <c r="E1774" s="812"/>
      <c r="F1774" s="812"/>
      <c r="G1774" s="812"/>
      <c r="H1774" s="812"/>
    </row>
    <row r="1775" spans="1:8">
      <c r="A1775" s="812"/>
      <c r="B1775" s="812"/>
      <c r="C1775" s="812"/>
      <c r="D1775" s="812"/>
      <c r="E1775" s="812"/>
      <c r="F1775" s="812"/>
      <c r="G1775" s="812"/>
      <c r="H1775" s="812"/>
    </row>
    <row r="1776" spans="1:8">
      <c r="A1776" s="812"/>
      <c r="B1776" s="812"/>
      <c r="C1776" s="812"/>
      <c r="D1776" s="812"/>
      <c r="E1776" s="812"/>
      <c r="F1776" s="812"/>
      <c r="G1776" s="812"/>
      <c r="H1776" s="812"/>
    </row>
    <row r="1777" spans="1:8">
      <c r="A1777" s="812"/>
      <c r="B1777" s="812"/>
      <c r="C1777" s="812"/>
      <c r="D1777" s="812"/>
      <c r="E1777" s="812"/>
      <c r="F1777" s="812"/>
      <c r="G1777" s="812"/>
      <c r="H1777" s="812"/>
    </row>
    <row r="1778" spans="1:8">
      <c r="A1778" s="812"/>
      <c r="B1778" s="812"/>
      <c r="C1778" s="812"/>
      <c r="D1778" s="812"/>
      <c r="E1778" s="812"/>
      <c r="F1778" s="812"/>
      <c r="G1778" s="812"/>
      <c r="H1778" s="812"/>
    </row>
    <row r="1779" spans="1:8">
      <c r="A1779" s="812"/>
      <c r="B1779" s="812"/>
      <c r="C1779" s="812"/>
      <c r="D1779" s="812"/>
      <c r="E1779" s="812"/>
      <c r="F1779" s="812"/>
      <c r="G1779" s="812"/>
      <c r="H1779" s="812"/>
    </row>
    <row r="1780" spans="1:8">
      <c r="A1780" s="812"/>
      <c r="B1780" s="812"/>
      <c r="C1780" s="812"/>
      <c r="D1780" s="812"/>
      <c r="E1780" s="812"/>
      <c r="F1780" s="812"/>
      <c r="G1780" s="812"/>
      <c r="H1780" s="812"/>
    </row>
    <row r="1781" spans="1:8">
      <c r="A1781" s="812"/>
      <c r="B1781" s="812"/>
      <c r="C1781" s="812"/>
      <c r="D1781" s="812"/>
      <c r="E1781" s="812"/>
      <c r="F1781" s="812"/>
      <c r="G1781" s="812"/>
      <c r="H1781" s="812"/>
    </row>
    <row r="1782" spans="1:8">
      <c r="A1782" s="812"/>
      <c r="B1782" s="812"/>
      <c r="C1782" s="812"/>
      <c r="D1782" s="812"/>
      <c r="E1782" s="812"/>
      <c r="F1782" s="812"/>
      <c r="G1782" s="812"/>
      <c r="H1782" s="812"/>
    </row>
    <row r="1783" spans="1:8">
      <c r="A1783" s="812"/>
      <c r="B1783" s="812"/>
      <c r="C1783" s="812"/>
      <c r="D1783" s="812"/>
      <c r="E1783" s="812"/>
      <c r="F1783" s="812"/>
      <c r="G1783" s="812"/>
      <c r="H1783" s="812"/>
    </row>
    <row r="1784" spans="1:8">
      <c r="A1784" s="812"/>
      <c r="B1784" s="812"/>
      <c r="C1784" s="812"/>
      <c r="D1784" s="812"/>
      <c r="E1784" s="812"/>
      <c r="F1784" s="812"/>
      <c r="G1784" s="812"/>
      <c r="H1784" s="812"/>
    </row>
    <row r="1785" spans="1:8">
      <c r="A1785" s="812"/>
      <c r="B1785" s="812"/>
      <c r="C1785" s="812"/>
      <c r="D1785" s="812"/>
      <c r="E1785" s="812"/>
      <c r="F1785" s="812"/>
      <c r="G1785" s="812"/>
      <c r="H1785" s="812"/>
    </row>
    <row r="1786" spans="1:8">
      <c r="A1786" s="812"/>
      <c r="B1786" s="812"/>
      <c r="C1786" s="812"/>
      <c r="D1786" s="812"/>
      <c r="E1786" s="812"/>
      <c r="F1786" s="812"/>
      <c r="G1786" s="812"/>
      <c r="H1786" s="812"/>
    </row>
    <row r="1787" spans="1:8">
      <c r="A1787" s="812"/>
      <c r="B1787" s="812"/>
      <c r="C1787" s="812"/>
      <c r="D1787" s="812"/>
      <c r="E1787" s="812"/>
      <c r="F1787" s="812"/>
      <c r="G1787" s="812"/>
      <c r="H1787" s="812"/>
    </row>
    <row r="1788" spans="1:8">
      <c r="A1788" s="812"/>
      <c r="B1788" s="812"/>
      <c r="C1788" s="812"/>
      <c r="D1788" s="812"/>
      <c r="E1788" s="812"/>
      <c r="F1788" s="812"/>
      <c r="G1788" s="812"/>
      <c r="H1788" s="812"/>
    </row>
    <row r="1789" spans="1:8">
      <c r="A1789" s="812"/>
      <c r="B1789" s="812"/>
      <c r="C1789" s="812"/>
      <c r="D1789" s="812"/>
      <c r="E1789" s="812"/>
      <c r="F1789" s="812"/>
      <c r="G1789" s="812"/>
      <c r="H1789" s="812"/>
    </row>
    <row r="1790" spans="1:8">
      <c r="A1790" s="812"/>
      <c r="B1790" s="812"/>
      <c r="C1790" s="812"/>
      <c r="D1790" s="812"/>
      <c r="E1790" s="812"/>
      <c r="F1790" s="812"/>
      <c r="G1790" s="812"/>
      <c r="H1790" s="812"/>
    </row>
    <row r="1791" spans="1:8">
      <c r="A1791" s="812"/>
      <c r="B1791" s="812"/>
      <c r="C1791" s="812"/>
      <c r="D1791" s="812"/>
      <c r="E1791" s="812"/>
      <c r="F1791" s="812"/>
      <c r="G1791" s="812"/>
      <c r="H1791" s="812"/>
    </row>
    <row r="1792" spans="1:8">
      <c r="A1792" s="812"/>
      <c r="B1792" s="812"/>
      <c r="C1792" s="812"/>
      <c r="D1792" s="812"/>
      <c r="E1792" s="812"/>
      <c r="F1792" s="812"/>
      <c r="G1792" s="812"/>
      <c r="H1792" s="812"/>
    </row>
    <row r="1793" spans="1:8">
      <c r="A1793" s="812"/>
      <c r="B1793" s="812"/>
      <c r="C1793" s="812"/>
      <c r="D1793" s="812"/>
      <c r="E1793" s="812"/>
      <c r="F1793" s="812"/>
      <c r="G1793" s="812"/>
      <c r="H1793" s="812"/>
    </row>
    <row r="1794" spans="1:8">
      <c r="A1794" s="812"/>
      <c r="B1794" s="812"/>
      <c r="C1794" s="812"/>
      <c r="D1794" s="812"/>
      <c r="E1794" s="812"/>
      <c r="F1794" s="812"/>
      <c r="G1794" s="812"/>
      <c r="H1794" s="812"/>
    </row>
    <row r="1795" spans="1:8">
      <c r="A1795" s="812"/>
      <c r="B1795" s="812"/>
      <c r="C1795" s="812"/>
      <c r="D1795" s="812"/>
      <c r="E1795" s="812"/>
      <c r="F1795" s="812"/>
      <c r="G1795" s="812"/>
      <c r="H1795" s="812"/>
    </row>
    <row r="1796" spans="1:8">
      <c r="A1796" s="812"/>
      <c r="B1796" s="812"/>
      <c r="C1796" s="812"/>
      <c r="D1796" s="812"/>
      <c r="E1796" s="812"/>
      <c r="F1796" s="812"/>
      <c r="G1796" s="812"/>
      <c r="H1796" s="812"/>
    </row>
    <row r="1797" spans="1:8">
      <c r="A1797" s="812"/>
      <c r="B1797" s="812"/>
      <c r="C1797" s="812"/>
      <c r="D1797" s="812"/>
      <c r="E1797" s="812"/>
      <c r="F1797" s="812"/>
      <c r="G1797" s="812"/>
      <c r="H1797" s="812"/>
    </row>
    <row r="1798" spans="1:8">
      <c r="A1798" s="812"/>
      <c r="B1798" s="812"/>
      <c r="C1798" s="812"/>
      <c r="D1798" s="812"/>
      <c r="E1798" s="812"/>
      <c r="F1798" s="812"/>
      <c r="G1798" s="812"/>
      <c r="H1798" s="812"/>
    </row>
    <row r="1799" spans="1:8">
      <c r="A1799" s="812"/>
      <c r="B1799" s="812"/>
      <c r="C1799" s="812"/>
      <c r="D1799" s="812"/>
      <c r="E1799" s="812"/>
      <c r="F1799" s="812"/>
      <c r="G1799" s="812"/>
      <c r="H1799" s="812"/>
    </row>
    <row r="1800" spans="1:8">
      <c r="A1800" s="812"/>
      <c r="B1800" s="812"/>
      <c r="C1800" s="812"/>
      <c r="D1800" s="812"/>
      <c r="E1800" s="812"/>
      <c r="F1800" s="812"/>
      <c r="G1800" s="812"/>
      <c r="H1800" s="812"/>
    </row>
    <row r="1801" spans="1:8">
      <c r="A1801" s="812"/>
      <c r="B1801" s="812"/>
      <c r="C1801" s="812"/>
      <c r="D1801" s="812"/>
      <c r="E1801" s="812"/>
      <c r="F1801" s="812"/>
      <c r="G1801" s="812"/>
      <c r="H1801" s="812"/>
    </row>
    <row r="1802" spans="1:8">
      <c r="A1802" s="812"/>
      <c r="B1802" s="812"/>
      <c r="C1802" s="812"/>
      <c r="D1802" s="812"/>
      <c r="E1802" s="812"/>
      <c r="F1802" s="812"/>
      <c r="G1802" s="812"/>
      <c r="H1802" s="812"/>
    </row>
    <row r="1803" spans="1:8">
      <c r="A1803" s="812"/>
      <c r="B1803" s="812"/>
      <c r="C1803" s="812"/>
      <c r="D1803" s="812"/>
      <c r="E1803" s="812"/>
      <c r="F1803" s="812"/>
      <c r="G1803" s="812"/>
      <c r="H1803" s="812"/>
    </row>
    <row r="1804" spans="1:8">
      <c r="A1804" s="812"/>
      <c r="B1804" s="812"/>
      <c r="C1804" s="812"/>
      <c r="D1804" s="812"/>
      <c r="E1804" s="812"/>
      <c r="F1804" s="812"/>
      <c r="G1804" s="812"/>
      <c r="H1804" s="812"/>
    </row>
    <row r="1805" spans="1:8">
      <c r="A1805" s="812"/>
      <c r="B1805" s="812"/>
      <c r="C1805" s="812"/>
      <c r="D1805" s="812"/>
      <c r="E1805" s="812"/>
      <c r="F1805" s="812"/>
      <c r="G1805" s="812"/>
      <c r="H1805" s="812"/>
    </row>
    <row r="1806" spans="1:8">
      <c r="A1806" s="812"/>
      <c r="B1806" s="812"/>
      <c r="C1806" s="812"/>
      <c r="D1806" s="812"/>
      <c r="E1806" s="812"/>
      <c r="F1806" s="812"/>
      <c r="G1806" s="812"/>
      <c r="H1806" s="812"/>
    </row>
    <row r="1807" spans="1:8">
      <c r="A1807" s="812"/>
      <c r="B1807" s="812"/>
      <c r="C1807" s="812"/>
      <c r="D1807" s="812"/>
      <c r="E1807" s="812"/>
      <c r="F1807" s="812"/>
      <c r="G1807" s="812"/>
      <c r="H1807" s="812"/>
    </row>
    <row r="1808" spans="1:8">
      <c r="A1808" s="812"/>
      <c r="B1808" s="812"/>
      <c r="C1808" s="812"/>
      <c r="D1808" s="812"/>
      <c r="E1808" s="812"/>
      <c r="F1808" s="812"/>
      <c r="G1808" s="812"/>
      <c r="H1808" s="812"/>
    </row>
    <row r="1809" spans="1:8">
      <c r="A1809" s="812"/>
      <c r="B1809" s="812"/>
      <c r="C1809" s="812"/>
      <c r="D1809" s="812"/>
      <c r="E1809" s="812"/>
      <c r="F1809" s="812"/>
      <c r="G1809" s="812"/>
      <c r="H1809" s="812"/>
    </row>
    <row r="1810" spans="1:8">
      <c r="A1810" s="812"/>
      <c r="B1810" s="812"/>
      <c r="C1810" s="812"/>
      <c r="D1810" s="812"/>
      <c r="E1810" s="812"/>
      <c r="F1810" s="812"/>
      <c r="G1810" s="812"/>
      <c r="H1810" s="812"/>
    </row>
    <row r="1811" spans="1:8">
      <c r="A1811" s="812"/>
      <c r="B1811" s="812"/>
      <c r="C1811" s="812"/>
      <c r="D1811" s="812"/>
      <c r="E1811" s="812"/>
      <c r="F1811" s="812"/>
      <c r="G1811" s="812"/>
      <c r="H1811" s="812"/>
    </row>
    <row r="1812" spans="1:8">
      <c r="A1812" s="812"/>
      <c r="B1812" s="812"/>
      <c r="C1812" s="812"/>
      <c r="D1812" s="812"/>
      <c r="E1812" s="812"/>
      <c r="F1812" s="812"/>
      <c r="G1812" s="812"/>
      <c r="H1812" s="812"/>
    </row>
    <row r="1813" spans="1:8">
      <c r="A1813" s="812"/>
      <c r="B1813" s="812"/>
      <c r="C1813" s="812"/>
      <c r="D1813" s="812"/>
      <c r="E1813" s="812"/>
      <c r="F1813" s="812"/>
      <c r="G1813" s="812"/>
      <c r="H1813" s="812"/>
    </row>
    <row r="1814" spans="1:8">
      <c r="A1814" s="812"/>
      <c r="B1814" s="812"/>
      <c r="C1814" s="812"/>
      <c r="D1814" s="812"/>
      <c r="E1814" s="812"/>
      <c r="F1814" s="812"/>
      <c r="G1814" s="812"/>
      <c r="H1814" s="812"/>
    </row>
    <row r="1815" spans="1:8">
      <c r="A1815" s="812"/>
      <c r="B1815" s="812"/>
      <c r="C1815" s="812"/>
      <c r="D1815" s="812"/>
      <c r="E1815" s="812"/>
      <c r="F1815" s="812"/>
      <c r="G1815" s="812"/>
      <c r="H1815" s="812"/>
    </row>
    <row r="1816" spans="1:8">
      <c r="A1816" s="812"/>
      <c r="B1816" s="812"/>
      <c r="C1816" s="812"/>
      <c r="D1816" s="812"/>
      <c r="E1816" s="812"/>
      <c r="F1816" s="812"/>
      <c r="G1816" s="812"/>
      <c r="H1816" s="812"/>
    </row>
    <row r="1817" spans="1:8">
      <c r="A1817" s="812"/>
      <c r="B1817" s="812"/>
      <c r="C1817" s="812"/>
      <c r="D1817" s="812"/>
      <c r="E1817" s="812"/>
      <c r="F1817" s="812"/>
      <c r="G1817" s="812"/>
      <c r="H1817" s="812"/>
    </row>
    <row r="1818" spans="1:8">
      <c r="A1818" s="812"/>
      <c r="B1818" s="812"/>
      <c r="C1818" s="812"/>
      <c r="D1818" s="812"/>
      <c r="E1818" s="812"/>
      <c r="F1818" s="812"/>
      <c r="G1818" s="812"/>
      <c r="H1818" s="812"/>
    </row>
    <row r="1819" spans="1:8">
      <c r="A1819" s="812"/>
      <c r="B1819" s="812"/>
      <c r="C1819" s="812"/>
      <c r="D1819" s="812"/>
      <c r="E1819" s="812"/>
      <c r="F1819" s="812"/>
      <c r="G1819" s="812"/>
      <c r="H1819" s="812"/>
    </row>
    <row r="1820" spans="1:8">
      <c r="A1820" s="812"/>
      <c r="B1820" s="812"/>
      <c r="C1820" s="812"/>
      <c r="D1820" s="812"/>
      <c r="E1820" s="812"/>
      <c r="F1820" s="812"/>
      <c r="G1820" s="812"/>
      <c r="H1820" s="812"/>
    </row>
    <row r="1821" spans="1:8">
      <c r="A1821" s="812"/>
      <c r="B1821" s="812"/>
      <c r="C1821" s="812"/>
      <c r="D1821" s="812"/>
      <c r="E1821" s="812"/>
      <c r="F1821" s="812"/>
      <c r="G1821" s="812"/>
      <c r="H1821" s="812"/>
    </row>
    <row r="1822" spans="1:8">
      <c r="A1822" s="812"/>
      <c r="B1822" s="812"/>
      <c r="C1822" s="812"/>
      <c r="D1822" s="812"/>
      <c r="E1822" s="812"/>
      <c r="F1822" s="812"/>
      <c r="G1822" s="812"/>
      <c r="H1822" s="812"/>
    </row>
    <row r="1823" spans="1:8">
      <c r="A1823" s="812"/>
      <c r="B1823" s="812"/>
      <c r="C1823" s="812"/>
      <c r="D1823" s="812"/>
      <c r="E1823" s="812"/>
      <c r="F1823" s="812"/>
      <c r="G1823" s="812"/>
      <c r="H1823" s="812"/>
    </row>
    <row r="1824" spans="1:8">
      <c r="A1824" s="812"/>
      <c r="B1824" s="812"/>
      <c r="C1824" s="812"/>
      <c r="D1824" s="812"/>
      <c r="E1824" s="812"/>
      <c r="F1824" s="812"/>
      <c r="G1824" s="812"/>
      <c r="H1824" s="812"/>
    </row>
    <row r="1825" spans="1:8">
      <c r="A1825" s="812"/>
      <c r="B1825" s="812"/>
      <c r="C1825" s="812"/>
      <c r="D1825" s="812"/>
      <c r="E1825" s="812"/>
      <c r="F1825" s="812"/>
      <c r="G1825" s="812"/>
      <c r="H1825" s="812"/>
    </row>
    <row r="1826" spans="1:8">
      <c r="A1826" s="812"/>
      <c r="B1826" s="812"/>
      <c r="C1826" s="812"/>
      <c r="D1826" s="812"/>
      <c r="E1826" s="812"/>
      <c r="F1826" s="812"/>
      <c r="G1826" s="812"/>
      <c r="H1826" s="812"/>
    </row>
    <row r="1827" spans="1:8">
      <c r="A1827" s="812"/>
      <c r="B1827" s="812"/>
      <c r="C1827" s="812"/>
      <c r="D1827" s="812"/>
      <c r="E1827" s="812"/>
      <c r="F1827" s="812"/>
      <c r="G1827" s="812"/>
      <c r="H1827" s="812"/>
    </row>
    <row r="1828" spans="1:8">
      <c r="A1828" s="812"/>
      <c r="B1828" s="812"/>
      <c r="C1828" s="812"/>
      <c r="D1828" s="812"/>
      <c r="E1828" s="812"/>
      <c r="F1828" s="812"/>
      <c r="G1828" s="812"/>
      <c r="H1828" s="812"/>
    </row>
    <row r="1829" spans="1:8">
      <c r="A1829" s="812"/>
      <c r="B1829" s="812"/>
      <c r="C1829" s="812"/>
      <c r="D1829" s="812"/>
      <c r="E1829" s="812"/>
      <c r="F1829" s="812"/>
      <c r="G1829" s="812"/>
      <c r="H1829" s="812"/>
    </row>
    <row r="1830" spans="1:8">
      <c r="A1830" s="812"/>
      <c r="B1830" s="812"/>
      <c r="C1830" s="812"/>
      <c r="D1830" s="812"/>
      <c r="E1830" s="812"/>
      <c r="F1830" s="812"/>
      <c r="G1830" s="812"/>
      <c r="H1830" s="812"/>
    </row>
    <row r="1831" spans="1:8">
      <c r="A1831" s="812"/>
      <c r="B1831" s="812"/>
      <c r="C1831" s="812"/>
      <c r="D1831" s="812"/>
      <c r="E1831" s="812"/>
      <c r="F1831" s="812"/>
      <c r="G1831" s="812"/>
      <c r="H1831" s="812"/>
    </row>
    <row r="1832" spans="1:8">
      <c r="A1832" s="812"/>
      <c r="B1832" s="812"/>
      <c r="C1832" s="812"/>
      <c r="D1832" s="812"/>
      <c r="E1832" s="812"/>
      <c r="F1832" s="812"/>
      <c r="G1832" s="812"/>
      <c r="H1832" s="812"/>
    </row>
    <row r="1833" spans="1:8">
      <c r="A1833" s="812"/>
      <c r="B1833" s="812"/>
      <c r="C1833" s="812"/>
      <c r="D1833" s="812"/>
      <c r="E1833" s="812"/>
      <c r="F1833" s="812"/>
      <c r="G1833" s="812"/>
      <c r="H1833" s="812"/>
    </row>
    <row r="1834" spans="1:8">
      <c r="A1834" s="812"/>
      <c r="B1834" s="812"/>
      <c r="C1834" s="812"/>
      <c r="D1834" s="812"/>
      <c r="E1834" s="812"/>
      <c r="F1834" s="812"/>
      <c r="G1834" s="812"/>
      <c r="H1834" s="812"/>
    </row>
    <row r="1835" spans="1:8">
      <c r="A1835" s="812"/>
      <c r="B1835" s="812"/>
      <c r="C1835" s="812"/>
      <c r="D1835" s="812"/>
      <c r="E1835" s="812"/>
      <c r="F1835" s="812"/>
      <c r="G1835" s="812"/>
      <c r="H1835" s="812"/>
    </row>
    <row r="1836" spans="1:8">
      <c r="A1836" s="812"/>
      <c r="B1836" s="812"/>
      <c r="C1836" s="812"/>
      <c r="D1836" s="812"/>
      <c r="E1836" s="812"/>
      <c r="F1836" s="812"/>
      <c r="G1836" s="812"/>
      <c r="H1836" s="812"/>
    </row>
    <row r="1837" spans="1:8">
      <c r="A1837" s="812"/>
      <c r="B1837" s="812"/>
      <c r="C1837" s="812"/>
      <c r="D1837" s="812"/>
      <c r="E1837" s="812"/>
      <c r="F1837" s="812"/>
      <c r="G1837" s="812"/>
      <c r="H1837" s="812"/>
    </row>
    <row r="1838" spans="1:8">
      <c r="A1838" s="812"/>
      <c r="B1838" s="812"/>
      <c r="C1838" s="812"/>
      <c r="D1838" s="812"/>
      <c r="E1838" s="812"/>
      <c r="F1838" s="812"/>
      <c r="G1838" s="812"/>
      <c r="H1838" s="812"/>
    </row>
    <row r="1839" spans="1:8">
      <c r="A1839" s="812"/>
      <c r="B1839" s="812"/>
      <c r="C1839" s="812"/>
      <c r="D1839" s="812"/>
      <c r="E1839" s="812"/>
      <c r="F1839" s="812"/>
      <c r="G1839" s="812"/>
      <c r="H1839" s="812"/>
    </row>
    <row r="1840" spans="1:8">
      <c r="A1840" s="812"/>
      <c r="B1840" s="812"/>
      <c r="C1840" s="812"/>
      <c r="D1840" s="812"/>
      <c r="E1840" s="812"/>
      <c r="F1840" s="812"/>
      <c r="G1840" s="812"/>
      <c r="H1840" s="812"/>
    </row>
    <row r="1841" spans="1:8">
      <c r="A1841" s="812"/>
      <c r="B1841" s="812"/>
      <c r="C1841" s="812"/>
      <c r="D1841" s="812"/>
      <c r="E1841" s="812"/>
      <c r="F1841" s="812"/>
      <c r="G1841" s="812"/>
      <c r="H1841" s="812"/>
    </row>
    <row r="1842" spans="1:8">
      <c r="A1842" s="812"/>
      <c r="B1842" s="812"/>
      <c r="C1842" s="812"/>
      <c r="D1842" s="812"/>
      <c r="E1842" s="812"/>
      <c r="F1842" s="812"/>
      <c r="G1842" s="812"/>
      <c r="H1842" s="812"/>
    </row>
    <row r="1843" spans="1:8">
      <c r="A1843" s="812"/>
      <c r="B1843" s="812"/>
      <c r="C1843" s="812"/>
      <c r="D1843" s="812"/>
      <c r="E1843" s="812"/>
      <c r="F1843" s="812"/>
      <c r="G1843" s="812"/>
      <c r="H1843" s="812"/>
    </row>
    <row r="1844" spans="1:8">
      <c r="A1844" s="812"/>
      <c r="B1844" s="812"/>
      <c r="C1844" s="812"/>
      <c r="D1844" s="812"/>
      <c r="E1844" s="812"/>
      <c r="F1844" s="812"/>
      <c r="G1844" s="812"/>
      <c r="H1844" s="812"/>
    </row>
    <row r="1845" spans="1:8">
      <c r="A1845" s="812"/>
      <c r="B1845" s="812"/>
      <c r="C1845" s="812"/>
      <c r="D1845" s="812"/>
      <c r="E1845" s="812"/>
      <c r="F1845" s="812"/>
      <c r="G1845" s="812"/>
      <c r="H1845" s="812"/>
    </row>
    <row r="1846" spans="1:8">
      <c r="A1846" s="812"/>
      <c r="B1846" s="812"/>
      <c r="C1846" s="812"/>
      <c r="D1846" s="812"/>
      <c r="E1846" s="812"/>
      <c r="F1846" s="812"/>
      <c r="G1846" s="812"/>
      <c r="H1846" s="812"/>
    </row>
    <row r="1847" spans="1:8">
      <c r="A1847" s="812"/>
      <c r="B1847" s="812"/>
      <c r="C1847" s="812"/>
      <c r="D1847" s="812"/>
      <c r="E1847" s="812"/>
      <c r="F1847" s="812"/>
      <c r="G1847" s="812"/>
      <c r="H1847" s="812"/>
    </row>
    <row r="1848" spans="1:8">
      <c r="A1848" s="812"/>
      <c r="B1848" s="812"/>
      <c r="C1848" s="812"/>
      <c r="D1848" s="812"/>
      <c r="E1848" s="812"/>
      <c r="F1848" s="812"/>
      <c r="G1848" s="812"/>
      <c r="H1848" s="812"/>
    </row>
    <row r="1849" spans="1:8">
      <c r="A1849" s="812"/>
      <c r="B1849" s="812"/>
      <c r="C1849" s="812"/>
      <c r="D1849" s="812"/>
      <c r="E1849" s="812"/>
      <c r="F1849" s="812"/>
      <c r="G1849" s="812"/>
      <c r="H1849" s="812"/>
    </row>
    <row r="1850" spans="1:8">
      <c r="A1850" s="812"/>
      <c r="B1850" s="812"/>
      <c r="C1850" s="812"/>
      <c r="D1850" s="812"/>
      <c r="E1850" s="812"/>
      <c r="F1850" s="812"/>
      <c r="G1850" s="812"/>
      <c r="H1850" s="812"/>
    </row>
    <row r="1851" spans="1:8">
      <c r="A1851" s="812"/>
      <c r="B1851" s="812"/>
      <c r="C1851" s="812"/>
      <c r="D1851" s="812"/>
      <c r="E1851" s="812"/>
      <c r="F1851" s="812"/>
      <c r="G1851" s="812"/>
      <c r="H1851" s="812"/>
    </row>
    <row r="1852" spans="1:8">
      <c r="A1852" s="812"/>
      <c r="B1852" s="812"/>
      <c r="C1852" s="812"/>
      <c r="D1852" s="812"/>
      <c r="E1852" s="812"/>
      <c r="F1852" s="812"/>
      <c r="G1852" s="812"/>
      <c r="H1852" s="812"/>
    </row>
    <row r="1853" spans="1:8">
      <c r="A1853" s="812"/>
      <c r="B1853" s="812"/>
      <c r="C1853" s="812"/>
      <c r="D1853" s="812"/>
      <c r="E1853" s="812"/>
      <c r="F1853" s="812"/>
      <c r="G1853" s="812"/>
      <c r="H1853" s="812"/>
    </row>
    <row r="1854" spans="1:8">
      <c r="A1854" s="812"/>
      <c r="B1854" s="812"/>
      <c r="C1854" s="812"/>
      <c r="D1854" s="812"/>
      <c r="E1854" s="812"/>
      <c r="F1854" s="812"/>
      <c r="G1854" s="812"/>
      <c r="H1854" s="812"/>
    </row>
    <row r="1855" spans="1:8">
      <c r="A1855" s="812"/>
      <c r="B1855" s="812"/>
      <c r="C1855" s="812"/>
      <c r="D1855" s="812"/>
      <c r="E1855" s="812"/>
      <c r="F1855" s="812"/>
      <c r="G1855" s="812"/>
      <c r="H1855" s="812"/>
    </row>
    <row r="1856" spans="1:8">
      <c r="A1856" s="812"/>
      <c r="B1856" s="812"/>
      <c r="C1856" s="812"/>
      <c r="D1856" s="812"/>
      <c r="E1856" s="812"/>
      <c r="F1856" s="812"/>
      <c r="G1856" s="812"/>
      <c r="H1856" s="812"/>
    </row>
    <row r="1857" spans="1:8">
      <c r="A1857" s="812"/>
      <c r="B1857" s="812"/>
      <c r="C1857" s="812"/>
      <c r="D1857" s="812"/>
      <c r="E1857" s="812"/>
      <c r="F1857" s="812"/>
      <c r="G1857" s="812"/>
      <c r="H1857" s="812"/>
    </row>
    <row r="1858" spans="1:8">
      <c r="A1858" s="812"/>
      <c r="B1858" s="812"/>
      <c r="C1858" s="812"/>
      <c r="D1858" s="812"/>
      <c r="E1858" s="812"/>
      <c r="F1858" s="812"/>
      <c r="G1858" s="812"/>
      <c r="H1858" s="812"/>
    </row>
    <row r="1859" spans="1:8">
      <c r="A1859" s="812"/>
      <c r="B1859" s="812"/>
      <c r="C1859" s="812"/>
      <c r="D1859" s="812"/>
      <c r="E1859" s="812"/>
      <c r="F1859" s="812"/>
      <c r="G1859" s="812"/>
      <c r="H1859" s="812"/>
    </row>
    <row r="1860" spans="1:8">
      <c r="A1860" s="812"/>
      <c r="B1860" s="812"/>
      <c r="C1860" s="812"/>
      <c r="D1860" s="812"/>
      <c r="E1860" s="812"/>
      <c r="F1860" s="812"/>
      <c r="G1860" s="812"/>
      <c r="H1860" s="812"/>
    </row>
    <row r="1861" spans="1:8">
      <c r="A1861" s="812"/>
      <c r="B1861" s="812"/>
      <c r="C1861" s="812"/>
      <c r="D1861" s="812"/>
      <c r="E1861" s="812"/>
      <c r="F1861" s="812"/>
      <c r="G1861" s="812"/>
      <c r="H1861" s="812"/>
    </row>
    <row r="1862" spans="1:8">
      <c r="A1862" s="812"/>
      <c r="B1862" s="812"/>
      <c r="C1862" s="812"/>
      <c r="D1862" s="812"/>
      <c r="E1862" s="812"/>
      <c r="F1862" s="812"/>
      <c r="G1862" s="812"/>
      <c r="H1862" s="812"/>
    </row>
    <row r="1863" spans="1:8">
      <c r="A1863" s="812"/>
      <c r="B1863" s="812"/>
      <c r="C1863" s="812"/>
      <c r="D1863" s="812"/>
      <c r="E1863" s="812"/>
      <c r="F1863" s="812"/>
      <c r="G1863" s="812"/>
      <c r="H1863" s="812"/>
    </row>
    <row r="1864" spans="1:8">
      <c r="A1864" s="812"/>
      <c r="B1864" s="812"/>
      <c r="C1864" s="812"/>
      <c r="D1864" s="812"/>
      <c r="E1864" s="812"/>
      <c r="F1864" s="812"/>
      <c r="G1864" s="812"/>
      <c r="H1864" s="812"/>
    </row>
    <row r="1865" spans="1:8">
      <c r="A1865" s="812"/>
      <c r="B1865" s="812"/>
      <c r="C1865" s="812"/>
      <c r="D1865" s="812"/>
      <c r="E1865" s="812"/>
      <c r="F1865" s="812"/>
      <c r="G1865" s="812"/>
      <c r="H1865" s="812"/>
    </row>
    <row r="1866" spans="1:8">
      <c r="A1866" s="812"/>
      <c r="B1866" s="812"/>
      <c r="C1866" s="812"/>
      <c r="D1866" s="812"/>
      <c r="E1866" s="812"/>
      <c r="F1866" s="812"/>
      <c r="G1866" s="812"/>
      <c r="H1866" s="812"/>
    </row>
    <row r="1867" spans="1:8">
      <c r="A1867" s="812"/>
      <c r="B1867" s="812"/>
      <c r="C1867" s="812"/>
      <c r="D1867" s="812"/>
      <c r="E1867" s="812"/>
      <c r="F1867" s="812"/>
      <c r="G1867" s="812"/>
      <c r="H1867" s="812"/>
    </row>
    <row r="1868" spans="1:8">
      <c r="A1868" s="812"/>
      <c r="B1868" s="812"/>
      <c r="C1868" s="812"/>
      <c r="D1868" s="812"/>
      <c r="E1868" s="812"/>
      <c r="F1868" s="812"/>
      <c r="G1868" s="812"/>
      <c r="H1868" s="812"/>
    </row>
    <row r="1869" spans="1:8">
      <c r="A1869" s="812"/>
      <c r="B1869" s="812"/>
      <c r="C1869" s="812"/>
      <c r="D1869" s="812"/>
      <c r="E1869" s="812"/>
      <c r="F1869" s="812"/>
      <c r="G1869" s="812"/>
      <c r="H1869" s="812"/>
    </row>
    <row r="1870" spans="1:8">
      <c r="A1870" s="812"/>
      <c r="B1870" s="812"/>
      <c r="C1870" s="812"/>
      <c r="D1870" s="812"/>
      <c r="E1870" s="812"/>
      <c r="F1870" s="812"/>
      <c r="G1870" s="812"/>
      <c r="H1870" s="812"/>
    </row>
    <row r="1871" spans="1:8">
      <c r="A1871" s="812"/>
      <c r="B1871" s="812"/>
      <c r="C1871" s="812"/>
      <c r="D1871" s="812"/>
      <c r="E1871" s="812"/>
      <c r="F1871" s="812"/>
      <c r="G1871" s="812"/>
      <c r="H1871" s="812"/>
    </row>
    <row r="1872" spans="1:8">
      <c r="A1872" s="812"/>
      <c r="B1872" s="812"/>
      <c r="C1872" s="812"/>
      <c r="D1872" s="812"/>
      <c r="E1872" s="812"/>
      <c r="F1872" s="812"/>
      <c r="G1872" s="812"/>
      <c r="H1872" s="812"/>
    </row>
    <row r="1873" spans="1:8">
      <c r="A1873" s="812"/>
      <c r="B1873" s="812"/>
      <c r="C1873" s="812"/>
      <c r="D1873" s="812"/>
      <c r="E1873" s="812"/>
      <c r="F1873" s="812"/>
      <c r="G1873" s="812"/>
      <c r="H1873" s="812"/>
    </row>
    <row r="1874" spans="1:8">
      <c r="A1874" s="812"/>
      <c r="B1874" s="812"/>
      <c r="C1874" s="812"/>
      <c r="D1874" s="812"/>
      <c r="E1874" s="812"/>
      <c r="F1874" s="812"/>
      <c r="G1874" s="812"/>
      <c r="H1874" s="812"/>
    </row>
    <row r="1875" spans="1:8">
      <c r="A1875" s="812"/>
      <c r="B1875" s="812"/>
      <c r="C1875" s="812"/>
      <c r="D1875" s="812"/>
      <c r="E1875" s="812"/>
      <c r="F1875" s="812"/>
      <c r="G1875" s="812"/>
      <c r="H1875" s="812"/>
    </row>
    <row r="1876" spans="1:8">
      <c r="A1876" s="812"/>
      <c r="B1876" s="812"/>
      <c r="C1876" s="812"/>
      <c r="D1876" s="812"/>
      <c r="E1876" s="812"/>
      <c r="F1876" s="812"/>
      <c r="G1876" s="812"/>
      <c r="H1876" s="812"/>
    </row>
    <row r="1877" spans="1:8">
      <c r="A1877" s="812"/>
      <c r="B1877" s="812"/>
      <c r="C1877" s="812"/>
      <c r="D1877" s="812"/>
      <c r="E1877" s="812"/>
      <c r="F1877" s="812"/>
      <c r="G1877" s="812"/>
      <c r="H1877" s="812"/>
    </row>
    <row r="1878" spans="1:8">
      <c r="A1878" s="812"/>
      <c r="B1878" s="812"/>
      <c r="C1878" s="812"/>
      <c r="D1878" s="812"/>
      <c r="E1878" s="812"/>
      <c r="F1878" s="812"/>
      <c r="G1878" s="812"/>
      <c r="H1878" s="812"/>
    </row>
    <row r="1879" spans="1:8">
      <c r="A1879" s="812"/>
      <c r="B1879" s="812"/>
      <c r="C1879" s="812"/>
      <c r="D1879" s="812"/>
      <c r="E1879" s="812"/>
      <c r="F1879" s="812"/>
      <c r="G1879" s="812"/>
      <c r="H1879" s="812"/>
    </row>
    <row r="1880" spans="1:8">
      <c r="A1880" s="812"/>
      <c r="B1880" s="812"/>
      <c r="C1880" s="812"/>
      <c r="D1880" s="812"/>
      <c r="E1880" s="812"/>
      <c r="F1880" s="812"/>
      <c r="G1880" s="812"/>
      <c r="H1880" s="812"/>
    </row>
    <row r="1881" spans="1:8">
      <c r="A1881" s="812"/>
      <c r="B1881" s="812"/>
      <c r="C1881" s="812"/>
      <c r="D1881" s="812"/>
      <c r="E1881" s="812"/>
      <c r="F1881" s="812"/>
      <c r="G1881" s="812"/>
      <c r="H1881" s="812"/>
    </row>
    <row r="1882" spans="1:8">
      <c r="A1882" s="812"/>
      <c r="B1882" s="812"/>
      <c r="C1882" s="812"/>
      <c r="D1882" s="812"/>
      <c r="E1882" s="812"/>
      <c r="F1882" s="812"/>
      <c r="G1882" s="812"/>
      <c r="H1882" s="812"/>
    </row>
    <row r="1883" spans="1:8">
      <c r="A1883" s="812"/>
      <c r="B1883" s="812"/>
      <c r="C1883" s="812"/>
      <c r="D1883" s="812"/>
      <c r="E1883" s="812"/>
      <c r="F1883" s="812"/>
      <c r="G1883" s="812"/>
      <c r="H1883" s="812"/>
    </row>
    <row r="1884" spans="1:8">
      <c r="A1884" s="812"/>
      <c r="B1884" s="812"/>
      <c r="C1884" s="812"/>
      <c r="D1884" s="812"/>
      <c r="E1884" s="812"/>
      <c r="F1884" s="812"/>
      <c r="G1884" s="812"/>
      <c r="H1884" s="812"/>
    </row>
    <row r="1885" spans="1:8">
      <c r="A1885" s="812"/>
      <c r="B1885" s="812"/>
      <c r="C1885" s="812"/>
      <c r="D1885" s="812"/>
      <c r="E1885" s="812"/>
      <c r="F1885" s="812"/>
      <c r="G1885" s="812"/>
      <c r="H1885" s="812"/>
    </row>
    <row r="1886" spans="1:8">
      <c r="A1886" s="812"/>
      <c r="B1886" s="812"/>
      <c r="C1886" s="812"/>
      <c r="D1886" s="812"/>
      <c r="E1886" s="812"/>
      <c r="F1886" s="812"/>
      <c r="G1886" s="812"/>
      <c r="H1886" s="812"/>
    </row>
    <row r="1887" spans="1:8">
      <c r="A1887" s="812"/>
      <c r="B1887" s="812"/>
      <c r="C1887" s="812"/>
      <c r="D1887" s="812"/>
      <c r="E1887" s="812"/>
      <c r="F1887" s="812"/>
      <c r="G1887" s="812"/>
      <c r="H1887" s="812"/>
    </row>
    <row r="1888" spans="1:8">
      <c r="A1888" s="812"/>
      <c r="B1888" s="812"/>
      <c r="C1888" s="812"/>
      <c r="D1888" s="812"/>
      <c r="E1888" s="812"/>
      <c r="F1888" s="812"/>
      <c r="G1888" s="812"/>
      <c r="H1888" s="812"/>
    </row>
    <row r="1889" spans="1:8">
      <c r="A1889" s="812"/>
      <c r="B1889" s="812"/>
      <c r="C1889" s="812"/>
      <c r="D1889" s="812"/>
      <c r="E1889" s="812"/>
      <c r="F1889" s="812"/>
      <c r="G1889" s="812"/>
      <c r="H1889" s="812"/>
    </row>
    <row r="1890" spans="1:8">
      <c r="A1890" s="812"/>
      <c r="B1890" s="812"/>
      <c r="C1890" s="812"/>
      <c r="D1890" s="812"/>
      <c r="E1890" s="812"/>
      <c r="F1890" s="812"/>
      <c r="G1890" s="812"/>
      <c r="H1890" s="812"/>
    </row>
    <row r="1891" spans="1:8">
      <c r="A1891" s="812"/>
      <c r="B1891" s="812"/>
      <c r="C1891" s="812"/>
      <c r="D1891" s="812"/>
      <c r="E1891" s="812"/>
      <c r="F1891" s="812"/>
      <c r="G1891" s="812"/>
      <c r="H1891" s="812"/>
    </row>
    <row r="1892" spans="1:8">
      <c r="A1892" s="812"/>
      <c r="B1892" s="812"/>
      <c r="C1892" s="812"/>
      <c r="D1892" s="812"/>
      <c r="E1892" s="812"/>
      <c r="F1892" s="812"/>
      <c r="G1892" s="812"/>
      <c r="H1892" s="812"/>
    </row>
    <row r="1893" spans="1:8">
      <c r="A1893" s="812"/>
      <c r="B1893" s="812"/>
      <c r="C1893" s="812"/>
      <c r="D1893" s="812"/>
      <c r="E1893" s="812"/>
      <c r="F1893" s="812"/>
      <c r="G1893" s="812"/>
      <c r="H1893" s="812"/>
    </row>
    <row r="1894" spans="1:8">
      <c r="A1894" s="812"/>
      <c r="B1894" s="812"/>
      <c r="C1894" s="812"/>
      <c r="D1894" s="812"/>
      <c r="E1894" s="812"/>
      <c r="F1894" s="812"/>
      <c r="G1894" s="812"/>
      <c r="H1894" s="812"/>
    </row>
    <row r="1895" spans="1:8">
      <c r="A1895" s="812"/>
      <c r="B1895" s="812"/>
      <c r="C1895" s="812"/>
      <c r="D1895" s="812"/>
      <c r="E1895" s="812"/>
      <c r="F1895" s="812"/>
      <c r="G1895" s="812"/>
      <c r="H1895" s="812"/>
    </row>
    <row r="1896" spans="1:8">
      <c r="A1896" s="812"/>
      <c r="B1896" s="812"/>
      <c r="C1896" s="812"/>
      <c r="D1896" s="812"/>
      <c r="E1896" s="812"/>
      <c r="F1896" s="812"/>
      <c r="G1896" s="812"/>
      <c r="H1896" s="812"/>
    </row>
    <row r="1897" spans="1:8">
      <c r="A1897" s="812"/>
      <c r="B1897" s="812"/>
      <c r="C1897" s="812"/>
      <c r="D1897" s="812"/>
      <c r="E1897" s="812"/>
      <c r="F1897" s="812"/>
      <c r="G1897" s="812"/>
      <c r="H1897" s="812"/>
    </row>
    <row r="1898" spans="1:8">
      <c r="A1898" s="812"/>
      <c r="B1898" s="812"/>
      <c r="C1898" s="812"/>
      <c r="D1898" s="812"/>
      <c r="E1898" s="812"/>
      <c r="F1898" s="812"/>
      <c r="G1898" s="812"/>
      <c r="H1898" s="812"/>
    </row>
    <row r="1899" spans="1:8">
      <c r="A1899" s="812"/>
      <c r="B1899" s="812"/>
      <c r="C1899" s="812"/>
      <c r="D1899" s="812"/>
      <c r="E1899" s="812"/>
      <c r="F1899" s="812"/>
      <c r="G1899" s="812"/>
      <c r="H1899" s="812"/>
    </row>
    <row r="1900" spans="1:8">
      <c r="A1900" s="812"/>
      <c r="B1900" s="812"/>
      <c r="C1900" s="812"/>
      <c r="D1900" s="812"/>
      <c r="E1900" s="812"/>
      <c r="F1900" s="812"/>
      <c r="G1900" s="812"/>
      <c r="H1900" s="812"/>
    </row>
    <row r="1901" spans="1:8">
      <c r="A1901" s="812"/>
      <c r="B1901" s="812"/>
      <c r="C1901" s="812"/>
      <c r="D1901" s="812"/>
      <c r="E1901" s="812"/>
      <c r="F1901" s="812"/>
      <c r="G1901" s="812"/>
      <c r="H1901" s="812"/>
    </row>
    <row r="1902" spans="1:8">
      <c r="A1902" s="812"/>
      <c r="B1902" s="812"/>
      <c r="C1902" s="812"/>
      <c r="D1902" s="812"/>
      <c r="E1902" s="812"/>
      <c r="F1902" s="812"/>
      <c r="G1902" s="812"/>
      <c r="H1902" s="812"/>
    </row>
    <row r="1903" spans="1:8">
      <c r="A1903" s="812"/>
      <c r="B1903" s="812"/>
      <c r="C1903" s="812"/>
      <c r="D1903" s="812"/>
      <c r="E1903" s="812"/>
      <c r="F1903" s="812"/>
      <c r="G1903" s="812"/>
      <c r="H1903" s="812"/>
    </row>
    <row r="1904" spans="1:8">
      <c r="A1904" s="812"/>
      <c r="B1904" s="812"/>
      <c r="C1904" s="812"/>
      <c r="D1904" s="812"/>
      <c r="E1904" s="812"/>
      <c r="F1904" s="812"/>
      <c r="G1904" s="812"/>
      <c r="H1904" s="812"/>
    </row>
    <row r="1905" spans="1:8">
      <c r="A1905" s="812"/>
      <c r="B1905" s="812"/>
      <c r="C1905" s="812"/>
      <c r="D1905" s="812"/>
      <c r="E1905" s="812"/>
      <c r="F1905" s="812"/>
      <c r="G1905" s="812"/>
      <c r="H1905" s="812"/>
    </row>
    <row r="1906" spans="1:8">
      <c r="A1906" s="812"/>
      <c r="B1906" s="812"/>
      <c r="C1906" s="812"/>
      <c r="D1906" s="812"/>
      <c r="E1906" s="812"/>
      <c r="F1906" s="812"/>
      <c r="G1906" s="812"/>
      <c r="H1906" s="812"/>
    </row>
    <row r="1907" spans="1:8">
      <c r="A1907" s="812"/>
      <c r="B1907" s="812"/>
      <c r="C1907" s="812"/>
      <c r="D1907" s="812"/>
      <c r="E1907" s="812"/>
      <c r="F1907" s="812"/>
      <c r="G1907" s="812"/>
      <c r="H1907" s="812"/>
    </row>
    <row r="1908" spans="1:8">
      <c r="A1908" s="812"/>
      <c r="B1908" s="812"/>
      <c r="C1908" s="812"/>
      <c r="D1908" s="812"/>
      <c r="E1908" s="812"/>
      <c r="F1908" s="812"/>
      <c r="G1908" s="812"/>
      <c r="H1908" s="812"/>
    </row>
    <row r="1909" spans="1:8">
      <c r="A1909" s="812"/>
      <c r="B1909" s="812"/>
      <c r="C1909" s="812"/>
      <c r="D1909" s="812"/>
      <c r="E1909" s="812"/>
      <c r="F1909" s="812"/>
      <c r="G1909" s="812"/>
      <c r="H1909" s="812"/>
    </row>
    <row r="1910" spans="1:8">
      <c r="A1910" s="812"/>
      <c r="B1910" s="812"/>
      <c r="C1910" s="812"/>
      <c r="D1910" s="812"/>
      <c r="E1910" s="812"/>
      <c r="F1910" s="812"/>
      <c r="G1910" s="812"/>
      <c r="H1910" s="812"/>
    </row>
    <row r="1911" spans="1:8">
      <c r="A1911" s="812"/>
      <c r="B1911" s="812"/>
      <c r="C1911" s="812"/>
      <c r="D1911" s="812"/>
      <c r="E1911" s="812"/>
      <c r="F1911" s="812"/>
      <c r="G1911" s="812"/>
      <c r="H1911" s="812"/>
    </row>
    <row r="1912" spans="1:8">
      <c r="A1912" s="812"/>
      <c r="B1912" s="812"/>
      <c r="C1912" s="812"/>
      <c r="D1912" s="812"/>
      <c r="E1912" s="812"/>
      <c r="F1912" s="812"/>
      <c r="G1912" s="812"/>
      <c r="H1912" s="812"/>
    </row>
    <row r="1913" spans="1:8">
      <c r="A1913" s="812"/>
      <c r="B1913" s="812"/>
      <c r="C1913" s="812"/>
      <c r="D1913" s="812"/>
      <c r="E1913" s="812"/>
      <c r="F1913" s="812"/>
      <c r="G1913" s="812"/>
      <c r="H1913" s="812"/>
    </row>
    <row r="1914" spans="1:8">
      <c r="A1914" s="812"/>
      <c r="B1914" s="812"/>
      <c r="C1914" s="812"/>
      <c r="D1914" s="812"/>
      <c r="E1914" s="812"/>
      <c r="F1914" s="812"/>
      <c r="G1914" s="812"/>
      <c r="H1914" s="812"/>
    </row>
    <row r="1915" spans="1:8">
      <c r="A1915" s="812"/>
      <c r="B1915" s="812"/>
      <c r="C1915" s="812"/>
      <c r="D1915" s="812"/>
      <c r="E1915" s="812"/>
      <c r="F1915" s="812"/>
      <c r="G1915" s="812"/>
      <c r="H1915" s="812"/>
    </row>
    <row r="1916" spans="1:8">
      <c r="A1916" s="812"/>
      <c r="B1916" s="812"/>
      <c r="C1916" s="812"/>
      <c r="D1916" s="812"/>
      <c r="E1916" s="812"/>
      <c r="F1916" s="812"/>
      <c r="G1916" s="812"/>
      <c r="H1916" s="812"/>
    </row>
    <row r="1917" spans="1:8">
      <c r="A1917" s="812"/>
      <c r="B1917" s="812"/>
      <c r="C1917" s="812"/>
      <c r="D1917" s="812"/>
      <c r="E1917" s="812"/>
      <c r="F1917" s="812"/>
      <c r="G1917" s="812"/>
      <c r="H1917" s="812"/>
    </row>
    <row r="1918" spans="1:8">
      <c r="A1918" s="812"/>
      <c r="B1918" s="812"/>
      <c r="C1918" s="812"/>
      <c r="D1918" s="812"/>
      <c r="E1918" s="812"/>
      <c r="F1918" s="812"/>
      <c r="G1918" s="812"/>
      <c r="H1918" s="812"/>
    </row>
    <row r="1919" spans="1:8">
      <c r="A1919" s="812"/>
      <c r="B1919" s="812"/>
      <c r="C1919" s="812"/>
      <c r="D1919" s="812"/>
      <c r="E1919" s="812"/>
      <c r="F1919" s="812"/>
      <c r="G1919" s="812"/>
      <c r="H1919" s="812"/>
    </row>
    <row r="1920" spans="1:8">
      <c r="A1920" s="812"/>
      <c r="B1920" s="812"/>
      <c r="C1920" s="812"/>
      <c r="D1920" s="812"/>
      <c r="E1920" s="812"/>
      <c r="F1920" s="812"/>
      <c r="G1920" s="812"/>
      <c r="H1920" s="812"/>
    </row>
    <row r="1921" spans="1:8">
      <c r="A1921" s="812"/>
      <c r="B1921" s="812"/>
      <c r="C1921" s="812"/>
      <c r="D1921" s="812"/>
      <c r="E1921" s="812"/>
      <c r="F1921" s="812"/>
      <c r="G1921" s="812"/>
      <c r="H1921" s="812"/>
    </row>
    <row r="1922" spans="1:8">
      <c r="A1922" s="812"/>
      <c r="B1922" s="812"/>
      <c r="C1922" s="812"/>
      <c r="D1922" s="812"/>
      <c r="E1922" s="812"/>
      <c r="F1922" s="812"/>
      <c r="G1922" s="812"/>
      <c r="H1922" s="812"/>
    </row>
    <row r="1923" spans="1:8">
      <c r="A1923" s="812"/>
      <c r="B1923" s="812"/>
      <c r="C1923" s="812"/>
      <c r="D1923" s="812"/>
      <c r="E1923" s="812"/>
      <c r="F1923" s="812"/>
      <c r="G1923" s="812"/>
      <c r="H1923" s="812"/>
    </row>
    <row r="1924" spans="1:8">
      <c r="A1924" s="812"/>
      <c r="B1924" s="812"/>
      <c r="C1924" s="812"/>
      <c r="D1924" s="812"/>
      <c r="E1924" s="812"/>
      <c r="F1924" s="812"/>
      <c r="G1924" s="812"/>
      <c r="H1924" s="812"/>
    </row>
    <row r="1925" spans="1:8">
      <c r="A1925" s="812"/>
      <c r="B1925" s="812"/>
      <c r="C1925" s="812"/>
      <c r="D1925" s="812"/>
      <c r="E1925" s="812"/>
      <c r="F1925" s="812"/>
      <c r="G1925" s="812"/>
      <c r="H1925" s="812"/>
    </row>
    <row r="1926" spans="1:8">
      <c r="A1926" s="812"/>
      <c r="B1926" s="812"/>
      <c r="C1926" s="812"/>
      <c r="D1926" s="812"/>
      <c r="E1926" s="812"/>
      <c r="F1926" s="812"/>
      <c r="G1926" s="812"/>
      <c r="H1926" s="812"/>
    </row>
    <row r="1927" spans="1:8">
      <c r="A1927" s="812"/>
      <c r="B1927" s="812"/>
      <c r="C1927" s="812"/>
      <c r="D1927" s="812"/>
      <c r="E1927" s="812"/>
      <c r="F1927" s="812"/>
      <c r="G1927" s="812"/>
      <c r="H1927" s="812"/>
    </row>
    <row r="1928" spans="1:8">
      <c r="A1928" s="812"/>
      <c r="B1928" s="812"/>
      <c r="C1928" s="812"/>
      <c r="D1928" s="812"/>
      <c r="E1928" s="812"/>
      <c r="F1928" s="812"/>
      <c r="G1928" s="812"/>
      <c r="H1928" s="812"/>
    </row>
    <row r="1929" spans="1:8">
      <c r="A1929" s="812"/>
      <c r="B1929" s="812"/>
      <c r="C1929" s="812"/>
      <c r="D1929" s="812"/>
      <c r="E1929" s="812"/>
      <c r="F1929" s="812"/>
      <c r="G1929" s="812"/>
      <c r="H1929" s="812"/>
    </row>
    <row r="1930" spans="1:8">
      <c r="A1930" s="812"/>
      <c r="B1930" s="812"/>
      <c r="C1930" s="812"/>
      <c r="D1930" s="812"/>
      <c r="E1930" s="812"/>
      <c r="F1930" s="812"/>
      <c r="G1930" s="812"/>
      <c r="H1930" s="812"/>
    </row>
    <row r="1931" spans="1:8">
      <c r="A1931" s="812"/>
      <c r="B1931" s="812"/>
      <c r="C1931" s="812"/>
      <c r="D1931" s="812"/>
      <c r="E1931" s="812"/>
      <c r="F1931" s="812"/>
      <c r="G1931" s="812"/>
      <c r="H1931" s="812"/>
    </row>
    <row r="1932" spans="1:8">
      <c r="A1932" s="812"/>
      <c r="B1932" s="812"/>
      <c r="C1932" s="812"/>
      <c r="D1932" s="812"/>
      <c r="E1932" s="812"/>
      <c r="F1932" s="812"/>
      <c r="G1932" s="812"/>
      <c r="H1932" s="812"/>
    </row>
    <row r="1933" spans="1:8">
      <c r="A1933" s="812"/>
      <c r="B1933" s="812"/>
      <c r="C1933" s="812"/>
      <c r="D1933" s="812"/>
      <c r="E1933" s="812"/>
      <c r="F1933" s="812"/>
      <c r="G1933" s="812"/>
      <c r="H1933" s="812"/>
    </row>
    <row r="1934" spans="1:8">
      <c r="A1934" s="812"/>
      <c r="B1934" s="812"/>
      <c r="C1934" s="812"/>
      <c r="D1934" s="812"/>
      <c r="E1934" s="812"/>
      <c r="F1934" s="812"/>
      <c r="G1934" s="812"/>
      <c r="H1934" s="812"/>
    </row>
    <row r="1935" spans="1:8">
      <c r="A1935" s="812"/>
      <c r="B1935" s="812"/>
      <c r="C1935" s="812"/>
      <c r="D1935" s="812"/>
      <c r="E1935" s="812"/>
      <c r="F1935" s="812"/>
      <c r="G1935" s="812"/>
      <c r="H1935" s="812"/>
    </row>
    <row r="1936" spans="1:8">
      <c r="A1936" s="812"/>
      <c r="B1936" s="812"/>
      <c r="C1936" s="812"/>
      <c r="D1936" s="812"/>
      <c r="E1936" s="812"/>
      <c r="F1936" s="812"/>
      <c r="G1936" s="812"/>
      <c r="H1936" s="812"/>
    </row>
    <row r="1937" spans="1:8">
      <c r="A1937" s="812"/>
      <c r="B1937" s="812"/>
      <c r="C1937" s="812"/>
      <c r="D1937" s="812"/>
      <c r="E1937" s="812"/>
      <c r="F1937" s="812"/>
      <c r="G1937" s="812"/>
      <c r="H1937" s="812"/>
    </row>
    <row r="1938" spans="1:8">
      <c r="A1938" s="812"/>
      <c r="B1938" s="812"/>
      <c r="C1938" s="812"/>
      <c r="D1938" s="812"/>
      <c r="E1938" s="812"/>
      <c r="F1938" s="812"/>
      <c r="G1938" s="812"/>
      <c r="H1938" s="812"/>
    </row>
    <row r="1939" spans="1:8">
      <c r="A1939" s="812"/>
      <c r="B1939" s="812"/>
      <c r="C1939" s="812"/>
      <c r="D1939" s="812"/>
      <c r="E1939" s="812"/>
      <c r="F1939" s="812"/>
      <c r="G1939" s="812"/>
      <c r="H1939" s="812"/>
    </row>
    <row r="1940" spans="1:8">
      <c r="A1940" s="812"/>
      <c r="B1940" s="812"/>
      <c r="C1940" s="812"/>
      <c r="D1940" s="812"/>
      <c r="E1940" s="812"/>
      <c r="F1940" s="812"/>
      <c r="G1940" s="812"/>
      <c r="H1940" s="812"/>
    </row>
    <row r="1941" spans="1:8">
      <c r="A1941" s="812"/>
      <c r="B1941" s="812"/>
      <c r="C1941" s="812"/>
      <c r="D1941" s="812"/>
      <c r="E1941" s="812"/>
      <c r="F1941" s="812"/>
      <c r="G1941" s="812"/>
      <c r="H1941" s="812"/>
    </row>
    <row r="1942" spans="1:8">
      <c r="A1942" s="812"/>
      <c r="B1942" s="812"/>
      <c r="C1942" s="812"/>
      <c r="D1942" s="812"/>
      <c r="E1942" s="812"/>
      <c r="F1942" s="812"/>
      <c r="G1942" s="812"/>
      <c r="H1942" s="812"/>
    </row>
    <row r="1943" spans="1:8">
      <c r="A1943" s="812"/>
      <c r="B1943" s="812"/>
      <c r="C1943" s="812"/>
      <c r="D1943" s="812"/>
      <c r="E1943" s="812"/>
      <c r="F1943" s="812"/>
      <c r="G1943" s="812"/>
      <c r="H1943" s="812"/>
    </row>
    <row r="1944" spans="1:8">
      <c r="A1944" s="812"/>
      <c r="B1944" s="812"/>
      <c r="C1944" s="812"/>
      <c r="D1944" s="812"/>
      <c r="E1944" s="812"/>
      <c r="F1944" s="812"/>
      <c r="G1944" s="812"/>
      <c r="H1944" s="812"/>
    </row>
    <row r="1945" spans="1:8">
      <c r="A1945" s="812"/>
      <c r="B1945" s="812"/>
      <c r="C1945" s="812"/>
      <c r="D1945" s="812"/>
      <c r="E1945" s="812"/>
      <c r="F1945" s="812"/>
      <c r="G1945" s="812"/>
      <c r="H1945" s="812"/>
    </row>
    <row r="1946" spans="1:8">
      <c r="A1946" s="812"/>
      <c r="B1946" s="812"/>
      <c r="C1946" s="812"/>
      <c r="D1946" s="812"/>
      <c r="E1946" s="812"/>
      <c r="F1946" s="812"/>
      <c r="G1946" s="812"/>
      <c r="H1946" s="812"/>
    </row>
    <row r="1947" spans="1:8">
      <c r="A1947" s="812"/>
      <c r="B1947" s="812"/>
      <c r="C1947" s="812"/>
      <c r="D1947" s="812"/>
      <c r="E1947" s="812"/>
      <c r="F1947" s="812"/>
      <c r="G1947" s="812"/>
      <c r="H1947" s="812"/>
    </row>
    <row r="1948" spans="1:8">
      <c r="A1948" s="812"/>
      <c r="B1948" s="812"/>
      <c r="C1948" s="812"/>
      <c r="D1948" s="812"/>
      <c r="E1948" s="812"/>
      <c r="F1948" s="812"/>
      <c r="G1948" s="812"/>
      <c r="H1948" s="812"/>
    </row>
    <row r="1949" spans="1:8">
      <c r="A1949" s="812"/>
      <c r="B1949" s="812"/>
      <c r="C1949" s="812"/>
      <c r="D1949" s="812"/>
      <c r="E1949" s="812"/>
      <c r="F1949" s="812"/>
      <c r="G1949" s="812"/>
      <c r="H1949" s="812"/>
    </row>
    <row r="1950" spans="1:8">
      <c r="A1950" s="812"/>
      <c r="B1950" s="812"/>
      <c r="C1950" s="812"/>
      <c r="D1950" s="812"/>
      <c r="E1950" s="812"/>
      <c r="F1950" s="812"/>
      <c r="G1950" s="812"/>
      <c r="H1950" s="812"/>
    </row>
    <row r="1951" spans="1:8">
      <c r="A1951" s="812"/>
      <c r="B1951" s="812"/>
      <c r="C1951" s="812"/>
      <c r="D1951" s="812"/>
      <c r="E1951" s="812"/>
      <c r="F1951" s="812"/>
      <c r="G1951" s="812"/>
      <c r="H1951" s="812"/>
    </row>
    <row r="1952" spans="1:8">
      <c r="A1952" s="812"/>
      <c r="B1952" s="812"/>
      <c r="C1952" s="812"/>
      <c r="D1952" s="812"/>
      <c r="E1952" s="812"/>
      <c r="F1952" s="812"/>
      <c r="G1952" s="812"/>
      <c r="H1952" s="812"/>
    </row>
    <row r="1953" spans="1:8">
      <c r="A1953" s="812"/>
      <c r="B1953" s="812"/>
      <c r="C1953" s="812"/>
      <c r="D1953" s="812"/>
      <c r="E1953" s="812"/>
      <c r="F1953" s="812"/>
      <c r="G1953" s="812"/>
      <c r="H1953" s="812"/>
    </row>
    <row r="1954" spans="1:8">
      <c r="A1954" s="812"/>
      <c r="B1954" s="812"/>
      <c r="C1954" s="812"/>
      <c r="D1954" s="812"/>
      <c r="E1954" s="812"/>
      <c r="F1954" s="812"/>
      <c r="G1954" s="812"/>
      <c r="H1954" s="812"/>
    </row>
    <row r="1955" spans="1:8">
      <c r="A1955" s="812"/>
      <c r="B1955" s="812"/>
      <c r="C1955" s="812"/>
      <c r="D1955" s="812"/>
      <c r="E1955" s="812"/>
      <c r="F1955" s="812"/>
      <c r="G1955" s="812"/>
      <c r="H1955" s="812"/>
    </row>
    <row r="1956" spans="1:8">
      <c r="A1956" s="812"/>
      <c r="B1956" s="812"/>
      <c r="C1956" s="812"/>
      <c r="D1956" s="812"/>
      <c r="E1956" s="812"/>
      <c r="F1956" s="812"/>
      <c r="G1956" s="812"/>
      <c r="H1956" s="812"/>
    </row>
    <row r="1957" spans="1:8">
      <c r="A1957" s="812"/>
      <c r="B1957" s="812"/>
      <c r="C1957" s="812"/>
      <c r="D1957" s="812"/>
      <c r="E1957" s="812"/>
      <c r="F1957" s="812"/>
      <c r="G1957" s="812"/>
      <c r="H1957" s="812"/>
    </row>
    <row r="1958" spans="1:8">
      <c r="A1958" s="812"/>
      <c r="B1958" s="812"/>
      <c r="C1958" s="812"/>
      <c r="D1958" s="812"/>
      <c r="E1958" s="812"/>
      <c r="F1958" s="812"/>
      <c r="G1958" s="812"/>
      <c r="H1958" s="812"/>
    </row>
    <row r="1959" spans="1:8">
      <c r="A1959" s="812"/>
      <c r="B1959" s="812"/>
      <c r="C1959" s="812"/>
      <c r="D1959" s="812"/>
      <c r="E1959" s="812"/>
      <c r="F1959" s="812"/>
      <c r="G1959" s="812"/>
      <c r="H1959" s="812"/>
    </row>
    <row r="1960" spans="1:8">
      <c r="A1960" s="812"/>
      <c r="B1960" s="812"/>
      <c r="C1960" s="812"/>
      <c r="D1960" s="812"/>
      <c r="E1960" s="812"/>
      <c r="F1960" s="812"/>
      <c r="G1960" s="812"/>
      <c r="H1960" s="812"/>
    </row>
    <row r="1961" spans="1:8">
      <c r="A1961" s="812"/>
      <c r="B1961" s="812"/>
      <c r="C1961" s="812"/>
      <c r="D1961" s="812"/>
      <c r="E1961" s="812"/>
      <c r="F1961" s="812"/>
      <c r="G1961" s="812"/>
      <c r="H1961" s="812"/>
    </row>
    <row r="1962" spans="1:8">
      <c r="A1962" s="812"/>
      <c r="B1962" s="812"/>
      <c r="C1962" s="812"/>
      <c r="D1962" s="812"/>
      <c r="E1962" s="812"/>
      <c r="F1962" s="812"/>
      <c r="G1962" s="812"/>
      <c r="H1962" s="812"/>
    </row>
    <row r="1963" spans="1:8">
      <c r="A1963" s="812"/>
      <c r="B1963" s="812"/>
      <c r="C1963" s="812"/>
      <c r="D1963" s="812"/>
      <c r="E1963" s="812"/>
      <c r="F1963" s="812"/>
      <c r="G1963" s="812"/>
      <c r="H1963" s="812"/>
    </row>
    <row r="1964" spans="1:8">
      <c r="A1964" s="812"/>
      <c r="B1964" s="812"/>
      <c r="C1964" s="812"/>
      <c r="D1964" s="812"/>
      <c r="E1964" s="812"/>
      <c r="F1964" s="812"/>
      <c r="G1964" s="812"/>
      <c r="H1964" s="812"/>
    </row>
    <row r="1965" spans="1:8">
      <c r="A1965" s="812"/>
      <c r="B1965" s="812"/>
      <c r="C1965" s="812"/>
      <c r="D1965" s="812"/>
      <c r="E1965" s="812"/>
      <c r="F1965" s="812"/>
      <c r="G1965" s="812"/>
      <c r="H1965" s="812"/>
    </row>
    <row r="1966" spans="1:8">
      <c r="A1966" s="812"/>
      <c r="B1966" s="812"/>
      <c r="C1966" s="812"/>
      <c r="D1966" s="812"/>
      <c r="E1966" s="812"/>
      <c r="F1966" s="812"/>
      <c r="G1966" s="812"/>
      <c r="H1966" s="812"/>
    </row>
    <row r="1967" spans="1:8">
      <c r="A1967" s="812"/>
      <c r="B1967" s="812"/>
      <c r="C1967" s="812"/>
      <c r="D1967" s="812"/>
      <c r="E1967" s="812"/>
      <c r="F1967" s="812"/>
      <c r="G1967" s="812"/>
      <c r="H1967" s="812"/>
    </row>
    <row r="1968" spans="1:8">
      <c r="A1968" s="812"/>
      <c r="B1968" s="812"/>
      <c r="C1968" s="812"/>
      <c r="D1968" s="812"/>
      <c r="E1968" s="812"/>
      <c r="F1968" s="812"/>
      <c r="G1968" s="812"/>
      <c r="H1968" s="812"/>
    </row>
    <row r="1969" spans="1:8">
      <c r="A1969" s="812"/>
      <c r="B1969" s="812"/>
      <c r="C1969" s="812"/>
      <c r="D1969" s="812"/>
      <c r="E1969" s="812"/>
      <c r="F1969" s="812"/>
      <c r="G1969" s="812"/>
      <c r="H1969" s="812"/>
    </row>
    <row r="1970" spans="1:8">
      <c r="A1970" s="812"/>
      <c r="B1970" s="812"/>
      <c r="C1970" s="812"/>
      <c r="D1970" s="812"/>
      <c r="E1970" s="812"/>
      <c r="F1970" s="812"/>
      <c r="G1970" s="812"/>
      <c r="H1970" s="812"/>
    </row>
    <row r="1971" spans="1:8">
      <c r="A1971" s="812"/>
      <c r="B1971" s="812"/>
      <c r="C1971" s="812"/>
      <c r="D1971" s="812"/>
      <c r="E1971" s="812"/>
      <c r="F1971" s="812"/>
      <c r="G1971" s="812"/>
      <c r="H1971" s="812"/>
    </row>
    <row r="1972" spans="1:8">
      <c r="A1972" s="812"/>
      <c r="B1972" s="812"/>
      <c r="C1972" s="812"/>
      <c r="D1972" s="812"/>
      <c r="E1972" s="812"/>
      <c r="F1972" s="812"/>
      <c r="G1972" s="812"/>
      <c r="H1972" s="812"/>
    </row>
    <row r="1973" spans="1:8">
      <c r="A1973" s="812"/>
      <c r="B1973" s="812"/>
      <c r="C1973" s="812"/>
      <c r="D1973" s="812"/>
      <c r="E1973" s="812"/>
      <c r="F1973" s="812"/>
      <c r="G1973" s="812"/>
      <c r="H1973" s="812"/>
    </row>
    <row r="1974" spans="1:8">
      <c r="A1974" s="812"/>
      <c r="B1974" s="812"/>
      <c r="C1974" s="812"/>
      <c r="D1974" s="812"/>
      <c r="E1974" s="812"/>
      <c r="F1974" s="812"/>
      <c r="G1974" s="812"/>
      <c r="H1974" s="812"/>
    </row>
    <row r="1975" spans="1:8">
      <c r="A1975" s="812"/>
      <c r="B1975" s="812"/>
      <c r="C1975" s="812"/>
      <c r="D1975" s="812"/>
      <c r="E1975" s="812"/>
      <c r="F1975" s="812"/>
      <c r="G1975" s="812"/>
      <c r="H1975" s="812"/>
    </row>
    <row r="1976" spans="1:8">
      <c r="A1976" s="812"/>
      <c r="B1976" s="812"/>
      <c r="C1976" s="812"/>
      <c r="D1976" s="812"/>
      <c r="E1976" s="812"/>
      <c r="F1976" s="812"/>
      <c r="G1976" s="812"/>
      <c r="H1976" s="812"/>
    </row>
    <row r="1977" spans="1:8">
      <c r="A1977" s="812"/>
      <c r="B1977" s="812"/>
      <c r="C1977" s="812"/>
      <c r="D1977" s="812"/>
      <c r="E1977" s="812"/>
      <c r="F1977" s="812"/>
      <c r="G1977" s="812"/>
      <c r="H1977" s="812"/>
    </row>
    <row r="1978" spans="1:8">
      <c r="A1978" s="812"/>
      <c r="B1978" s="812"/>
      <c r="C1978" s="812"/>
      <c r="D1978" s="812"/>
      <c r="E1978" s="812"/>
      <c r="F1978" s="812"/>
      <c r="G1978" s="812"/>
      <c r="H1978" s="812"/>
    </row>
    <row r="1979" spans="1:8">
      <c r="A1979" s="812"/>
      <c r="B1979" s="812"/>
      <c r="C1979" s="812"/>
      <c r="D1979" s="812"/>
      <c r="E1979" s="812"/>
      <c r="F1979" s="812"/>
      <c r="G1979" s="812"/>
      <c r="H1979" s="812"/>
    </row>
    <row r="1980" spans="1:8">
      <c r="A1980" s="812"/>
      <c r="B1980" s="812"/>
      <c r="C1980" s="812"/>
      <c r="D1980" s="812"/>
      <c r="E1980" s="812"/>
      <c r="F1980" s="812"/>
      <c r="G1980" s="812"/>
      <c r="H1980" s="812"/>
    </row>
    <row r="1981" spans="1:8">
      <c r="A1981" s="812"/>
      <c r="B1981" s="812"/>
      <c r="C1981" s="812"/>
      <c r="D1981" s="812"/>
      <c r="E1981" s="812"/>
      <c r="F1981" s="812"/>
      <c r="G1981" s="812"/>
      <c r="H1981" s="812"/>
    </row>
    <row r="1982" spans="1:8">
      <c r="A1982" s="812"/>
      <c r="B1982" s="812"/>
      <c r="C1982" s="812"/>
      <c r="D1982" s="812"/>
      <c r="E1982" s="812"/>
      <c r="F1982" s="812"/>
      <c r="G1982" s="812"/>
      <c r="H1982" s="812"/>
    </row>
    <row r="1983" spans="1:8">
      <c r="A1983" s="812"/>
      <c r="B1983" s="812"/>
      <c r="C1983" s="812"/>
      <c r="D1983" s="812"/>
      <c r="E1983" s="812"/>
      <c r="F1983" s="812"/>
      <c r="G1983" s="812"/>
      <c r="H1983" s="812"/>
    </row>
    <row r="1984" spans="1:8">
      <c r="A1984" s="812"/>
      <c r="B1984" s="812"/>
      <c r="C1984" s="812"/>
      <c r="D1984" s="812"/>
      <c r="E1984" s="812"/>
      <c r="F1984" s="812"/>
      <c r="G1984" s="812"/>
      <c r="H1984" s="812"/>
    </row>
    <row r="1985" spans="1:8">
      <c r="A1985" s="812"/>
      <c r="B1985" s="812"/>
      <c r="C1985" s="812"/>
      <c r="D1985" s="812"/>
      <c r="E1985" s="812"/>
      <c r="F1985" s="812"/>
      <c r="G1985" s="812"/>
      <c r="H1985" s="812"/>
    </row>
    <row r="1986" spans="1:8">
      <c r="A1986" s="812"/>
      <c r="B1986" s="812"/>
      <c r="C1986" s="812"/>
      <c r="D1986" s="812"/>
      <c r="E1986" s="812"/>
      <c r="F1986" s="812"/>
      <c r="G1986" s="812"/>
      <c r="H1986" s="812"/>
    </row>
    <row r="1987" spans="1:8">
      <c r="A1987" s="812"/>
      <c r="B1987" s="812"/>
      <c r="C1987" s="812"/>
      <c r="D1987" s="812"/>
      <c r="E1987" s="812"/>
      <c r="F1987" s="812"/>
      <c r="G1987" s="812"/>
      <c r="H1987" s="812"/>
    </row>
    <row r="1988" spans="1:8">
      <c r="A1988" s="812"/>
      <c r="B1988" s="812"/>
      <c r="C1988" s="812"/>
      <c r="D1988" s="812"/>
      <c r="E1988" s="812"/>
      <c r="F1988" s="812"/>
      <c r="G1988" s="812"/>
      <c r="H1988" s="812"/>
    </row>
    <row r="1989" spans="1:8">
      <c r="A1989" s="812"/>
      <c r="B1989" s="812"/>
      <c r="C1989" s="812"/>
      <c r="D1989" s="812"/>
      <c r="E1989" s="812"/>
      <c r="F1989" s="812"/>
      <c r="G1989" s="812"/>
      <c r="H1989" s="812"/>
    </row>
    <row r="1990" spans="1:8">
      <c r="A1990" s="812"/>
      <c r="B1990" s="812"/>
      <c r="C1990" s="812"/>
      <c r="D1990" s="812"/>
      <c r="E1990" s="812"/>
      <c r="F1990" s="812"/>
      <c r="G1990" s="812"/>
      <c r="H1990" s="812"/>
    </row>
    <row r="1991" spans="1:8">
      <c r="A1991" s="812"/>
      <c r="B1991" s="812"/>
      <c r="C1991" s="812"/>
      <c r="D1991" s="812"/>
      <c r="E1991" s="812"/>
      <c r="F1991" s="812"/>
      <c r="G1991" s="812"/>
      <c r="H1991" s="812"/>
    </row>
    <row r="1992" spans="1:8">
      <c r="A1992" s="812"/>
      <c r="B1992" s="812"/>
      <c r="C1992" s="812"/>
      <c r="D1992" s="812"/>
      <c r="E1992" s="812"/>
      <c r="F1992" s="812"/>
      <c r="G1992" s="812"/>
      <c r="H1992" s="812"/>
    </row>
    <row r="1993" spans="1:8">
      <c r="A1993" s="812"/>
      <c r="B1993" s="812"/>
      <c r="C1993" s="812"/>
      <c r="D1993" s="812"/>
      <c r="E1993" s="812"/>
      <c r="F1993" s="812"/>
      <c r="G1993" s="812"/>
      <c r="H1993" s="812"/>
    </row>
    <row r="1994" spans="1:8">
      <c r="A1994" s="812"/>
      <c r="B1994" s="812"/>
      <c r="C1994" s="812"/>
      <c r="D1994" s="812"/>
      <c r="E1994" s="812"/>
      <c r="F1994" s="812"/>
      <c r="G1994" s="812"/>
      <c r="H1994" s="812"/>
    </row>
    <row r="1995" spans="1:8">
      <c r="A1995" s="812"/>
      <c r="B1995" s="812"/>
      <c r="C1995" s="812"/>
      <c r="D1995" s="812"/>
      <c r="E1995" s="812"/>
      <c r="F1995" s="812"/>
      <c r="G1995" s="812"/>
      <c r="H1995" s="812"/>
    </row>
    <row r="1996" spans="1:8">
      <c r="A1996" s="812"/>
      <c r="B1996" s="812"/>
      <c r="C1996" s="812"/>
      <c r="D1996" s="812"/>
      <c r="E1996" s="812"/>
      <c r="F1996" s="812"/>
      <c r="G1996" s="812"/>
      <c r="H1996" s="812"/>
    </row>
    <row r="1997" spans="1:8">
      <c r="A1997" s="812"/>
      <c r="B1997" s="812"/>
      <c r="C1997" s="812"/>
      <c r="D1997" s="812"/>
      <c r="E1997" s="812"/>
      <c r="F1997" s="812"/>
      <c r="G1997" s="812"/>
      <c r="H1997" s="812"/>
    </row>
    <row r="1998" spans="1:8">
      <c r="A1998" s="812"/>
      <c r="B1998" s="812"/>
      <c r="C1998" s="812"/>
      <c r="D1998" s="812"/>
      <c r="E1998" s="812"/>
      <c r="F1998" s="812"/>
      <c r="G1998" s="812"/>
      <c r="H1998" s="812"/>
    </row>
    <row r="1999" spans="1:8">
      <c r="A1999" s="812"/>
      <c r="B1999" s="812"/>
      <c r="C1999" s="812"/>
      <c r="D1999" s="812"/>
      <c r="E1999" s="812"/>
      <c r="F1999" s="812"/>
      <c r="G1999" s="812"/>
      <c r="H1999" s="812"/>
    </row>
    <row r="2000" spans="1:8">
      <c r="A2000" s="812"/>
      <c r="B2000" s="812"/>
      <c r="C2000" s="812"/>
      <c r="D2000" s="812"/>
      <c r="E2000" s="812"/>
      <c r="F2000" s="812"/>
      <c r="G2000" s="812"/>
      <c r="H2000" s="812"/>
    </row>
    <row r="2001" spans="1:8">
      <c r="A2001" s="812"/>
      <c r="B2001" s="812"/>
      <c r="C2001" s="812"/>
      <c r="D2001" s="812"/>
      <c r="E2001" s="812"/>
      <c r="F2001" s="812"/>
      <c r="G2001" s="812"/>
      <c r="H2001" s="812"/>
    </row>
    <row r="2002" spans="1:8">
      <c r="A2002" s="812"/>
      <c r="B2002" s="812"/>
      <c r="C2002" s="812"/>
      <c r="D2002" s="812"/>
      <c r="E2002" s="812"/>
      <c r="F2002" s="812"/>
      <c r="G2002" s="812"/>
      <c r="H2002" s="812"/>
    </row>
    <row r="2003" spans="1:8">
      <c r="A2003" s="812"/>
      <c r="B2003" s="812"/>
      <c r="C2003" s="812"/>
      <c r="D2003" s="812"/>
      <c r="E2003" s="812"/>
      <c r="F2003" s="812"/>
      <c r="G2003" s="812"/>
      <c r="H2003" s="812"/>
    </row>
    <row r="2004" spans="1:8">
      <c r="A2004" s="812"/>
      <c r="B2004" s="812"/>
      <c r="C2004" s="812"/>
      <c r="D2004" s="812"/>
      <c r="E2004" s="812"/>
      <c r="F2004" s="812"/>
      <c r="G2004" s="812"/>
      <c r="H2004" s="812"/>
    </row>
    <row r="2005" spans="1:8">
      <c r="A2005" s="812"/>
      <c r="B2005" s="812"/>
      <c r="C2005" s="812"/>
      <c r="D2005" s="812"/>
      <c r="E2005" s="812"/>
      <c r="F2005" s="812"/>
      <c r="G2005" s="812"/>
      <c r="H2005" s="812"/>
    </row>
    <row r="2006" spans="1:8">
      <c r="A2006" s="812"/>
      <c r="B2006" s="812"/>
      <c r="C2006" s="812"/>
      <c r="D2006" s="812"/>
      <c r="E2006" s="812"/>
      <c r="F2006" s="812"/>
      <c r="G2006" s="812"/>
      <c r="H2006" s="812"/>
    </row>
    <row r="2007" spans="1:8">
      <c r="A2007" s="812"/>
      <c r="B2007" s="812"/>
      <c r="C2007" s="812"/>
      <c r="D2007" s="812"/>
      <c r="E2007" s="812"/>
      <c r="F2007" s="812"/>
      <c r="G2007" s="812"/>
      <c r="H2007" s="812"/>
    </row>
    <row r="2008" spans="1:8">
      <c r="A2008" s="812"/>
      <c r="B2008" s="812"/>
      <c r="C2008" s="812"/>
      <c r="D2008" s="812"/>
      <c r="E2008" s="812"/>
      <c r="F2008" s="812"/>
      <c r="G2008" s="812"/>
      <c r="H2008" s="812"/>
    </row>
    <row r="2009" spans="1:8">
      <c r="A2009" s="812"/>
      <c r="B2009" s="812"/>
      <c r="C2009" s="812"/>
      <c r="D2009" s="812"/>
      <c r="E2009" s="812"/>
      <c r="F2009" s="812"/>
      <c r="G2009" s="812"/>
      <c r="H2009" s="812"/>
    </row>
    <row r="2010" spans="1:8">
      <c r="A2010" s="812"/>
      <c r="B2010" s="812"/>
      <c r="C2010" s="812"/>
      <c r="D2010" s="812"/>
      <c r="E2010" s="812"/>
      <c r="F2010" s="812"/>
      <c r="G2010" s="812"/>
      <c r="H2010" s="812"/>
    </row>
    <row r="2011" spans="1:8">
      <c r="A2011" s="812"/>
      <c r="B2011" s="812"/>
      <c r="C2011" s="812"/>
      <c r="D2011" s="812"/>
      <c r="E2011" s="812"/>
      <c r="F2011" s="812"/>
      <c r="G2011" s="812"/>
      <c r="H2011" s="812"/>
    </row>
    <row r="2012" spans="1:8">
      <c r="A2012" s="812"/>
      <c r="B2012" s="812"/>
      <c r="C2012" s="812"/>
      <c r="D2012" s="812"/>
      <c r="E2012" s="812"/>
      <c r="F2012" s="812"/>
      <c r="G2012" s="812"/>
      <c r="H2012" s="812"/>
    </row>
    <row r="2013" spans="1:8">
      <c r="A2013" s="812"/>
      <c r="B2013" s="812"/>
      <c r="C2013" s="812"/>
      <c r="D2013" s="812"/>
      <c r="E2013" s="812"/>
      <c r="F2013" s="812"/>
      <c r="G2013" s="812"/>
      <c r="H2013" s="812"/>
    </row>
    <row r="2014" spans="1:8">
      <c r="A2014" s="812"/>
      <c r="B2014" s="812"/>
      <c r="C2014" s="812"/>
      <c r="D2014" s="812"/>
      <c r="E2014" s="812"/>
      <c r="F2014" s="812"/>
      <c r="G2014" s="812"/>
      <c r="H2014" s="812"/>
    </row>
    <row r="2015" spans="1:8">
      <c r="A2015" s="812"/>
      <c r="B2015" s="812"/>
      <c r="C2015" s="812"/>
      <c r="D2015" s="812"/>
      <c r="E2015" s="812"/>
      <c r="F2015" s="812"/>
      <c r="G2015" s="812"/>
      <c r="H2015" s="812"/>
    </row>
    <row r="2016" spans="1:8">
      <c r="A2016" s="812"/>
      <c r="B2016" s="812"/>
      <c r="C2016" s="812"/>
      <c r="D2016" s="812"/>
      <c r="E2016" s="812"/>
      <c r="F2016" s="812"/>
      <c r="G2016" s="812"/>
      <c r="H2016" s="812"/>
    </row>
    <row r="2017" spans="1:8">
      <c r="A2017" s="812"/>
      <c r="B2017" s="812"/>
      <c r="C2017" s="812"/>
      <c r="D2017" s="812"/>
      <c r="E2017" s="812"/>
      <c r="F2017" s="812"/>
      <c r="G2017" s="812"/>
      <c r="H2017" s="812"/>
    </row>
    <row r="2018" spans="1:8">
      <c r="A2018" s="812"/>
      <c r="B2018" s="812"/>
      <c r="C2018" s="812"/>
      <c r="D2018" s="812"/>
      <c r="E2018" s="812"/>
      <c r="F2018" s="812"/>
      <c r="G2018" s="812"/>
      <c r="H2018" s="812"/>
    </row>
    <row r="2019" spans="1:8">
      <c r="A2019" s="812"/>
      <c r="B2019" s="812"/>
      <c r="C2019" s="812"/>
      <c r="D2019" s="812"/>
      <c r="E2019" s="812"/>
      <c r="F2019" s="812"/>
      <c r="G2019" s="812"/>
      <c r="H2019" s="812"/>
    </row>
    <row r="2020" spans="1:8">
      <c r="A2020" s="812"/>
      <c r="B2020" s="812"/>
      <c r="C2020" s="812"/>
      <c r="D2020" s="812"/>
      <c r="E2020" s="812"/>
      <c r="F2020" s="812"/>
      <c r="G2020" s="812"/>
      <c r="H2020" s="812"/>
    </row>
    <row r="2021" spans="1:8">
      <c r="A2021" s="812"/>
      <c r="B2021" s="812"/>
      <c r="C2021" s="812"/>
      <c r="D2021" s="812"/>
      <c r="E2021" s="812"/>
      <c r="F2021" s="812"/>
      <c r="G2021" s="812"/>
      <c r="H2021" s="812"/>
    </row>
    <row r="2022" spans="1:8">
      <c r="A2022" s="812"/>
      <c r="B2022" s="812"/>
      <c r="C2022" s="812"/>
      <c r="D2022" s="812"/>
      <c r="E2022" s="812"/>
      <c r="F2022" s="812"/>
      <c r="G2022" s="812"/>
      <c r="H2022" s="812"/>
    </row>
    <row r="2023" spans="1:8">
      <c r="A2023" s="812"/>
      <c r="B2023" s="812"/>
      <c r="C2023" s="812"/>
      <c r="D2023" s="812"/>
      <c r="E2023" s="812"/>
      <c r="F2023" s="812"/>
      <c r="G2023" s="812"/>
      <c r="H2023" s="812"/>
    </row>
    <row r="2024" spans="1:8">
      <c r="A2024" s="812"/>
      <c r="B2024" s="812"/>
      <c r="C2024" s="812"/>
      <c r="D2024" s="812"/>
      <c r="E2024" s="812"/>
      <c r="F2024" s="812"/>
      <c r="G2024" s="812"/>
      <c r="H2024" s="812"/>
    </row>
    <row r="2025" spans="1:8">
      <c r="A2025" s="812"/>
      <c r="B2025" s="812"/>
      <c r="C2025" s="812"/>
      <c r="D2025" s="812"/>
      <c r="E2025" s="812"/>
      <c r="F2025" s="812"/>
      <c r="G2025" s="812"/>
      <c r="H2025" s="812"/>
    </row>
    <row r="2026" spans="1:8">
      <c r="A2026" s="812"/>
      <c r="B2026" s="812"/>
      <c r="C2026" s="812"/>
      <c r="D2026" s="812"/>
      <c r="E2026" s="812"/>
      <c r="F2026" s="812"/>
      <c r="G2026" s="812"/>
      <c r="H2026" s="812"/>
    </row>
    <row r="2027" spans="1:8">
      <c r="A2027" s="812"/>
      <c r="B2027" s="812"/>
      <c r="C2027" s="812"/>
      <c r="D2027" s="812"/>
      <c r="E2027" s="812"/>
      <c r="F2027" s="812"/>
      <c r="G2027" s="812"/>
      <c r="H2027" s="812"/>
    </row>
    <row r="2028" spans="1:8">
      <c r="A2028" s="812"/>
      <c r="B2028" s="812"/>
      <c r="C2028" s="812"/>
      <c r="D2028" s="812"/>
      <c r="E2028" s="812"/>
      <c r="F2028" s="812"/>
      <c r="G2028" s="812"/>
      <c r="H2028" s="812"/>
    </row>
    <row r="2029" spans="1:8">
      <c r="A2029" s="812"/>
      <c r="B2029" s="812"/>
      <c r="C2029" s="812"/>
      <c r="D2029" s="812"/>
      <c r="E2029" s="812"/>
      <c r="F2029" s="812"/>
      <c r="G2029" s="812"/>
      <c r="H2029" s="812"/>
    </row>
    <row r="2030" spans="1:8">
      <c r="A2030" s="812"/>
      <c r="B2030" s="812"/>
      <c r="C2030" s="812"/>
      <c r="D2030" s="812"/>
      <c r="E2030" s="812"/>
      <c r="F2030" s="812"/>
      <c r="G2030" s="812"/>
      <c r="H2030" s="812"/>
    </row>
    <row r="2031" spans="1:8">
      <c r="A2031" s="812"/>
      <c r="B2031" s="812"/>
      <c r="C2031" s="812"/>
      <c r="D2031" s="812"/>
      <c r="E2031" s="812"/>
      <c r="F2031" s="812"/>
      <c r="G2031" s="812"/>
      <c r="H2031" s="812"/>
    </row>
    <row r="2032" spans="1:8">
      <c r="A2032" s="812"/>
      <c r="B2032" s="812"/>
      <c r="C2032" s="812"/>
      <c r="D2032" s="812"/>
      <c r="E2032" s="812"/>
      <c r="F2032" s="812"/>
      <c r="G2032" s="812"/>
      <c r="H2032" s="812"/>
    </row>
    <row r="2033" spans="1:8">
      <c r="A2033" s="812"/>
      <c r="B2033" s="812"/>
      <c r="C2033" s="812"/>
      <c r="D2033" s="812"/>
      <c r="E2033" s="812"/>
      <c r="F2033" s="812"/>
      <c r="G2033" s="812"/>
      <c r="H2033" s="812"/>
    </row>
    <row r="2034" spans="1:8">
      <c r="A2034" s="812"/>
      <c r="B2034" s="812"/>
      <c r="C2034" s="812"/>
      <c r="D2034" s="812"/>
      <c r="E2034" s="812"/>
      <c r="F2034" s="812"/>
      <c r="G2034" s="812"/>
      <c r="H2034" s="812"/>
    </row>
    <row r="2035" spans="1:8">
      <c r="A2035" s="812"/>
      <c r="B2035" s="812"/>
      <c r="C2035" s="812"/>
      <c r="D2035" s="812"/>
      <c r="E2035" s="812"/>
      <c r="F2035" s="812"/>
      <c r="G2035" s="812"/>
      <c r="H2035" s="812"/>
    </row>
    <row r="2036" spans="1:8">
      <c r="A2036" s="812"/>
      <c r="B2036" s="812"/>
      <c r="C2036" s="812"/>
      <c r="D2036" s="812"/>
      <c r="E2036" s="812"/>
      <c r="F2036" s="812"/>
      <c r="G2036" s="812"/>
      <c r="H2036" s="812"/>
    </row>
    <row r="2037" spans="1:8">
      <c r="A2037" s="812"/>
      <c r="B2037" s="812"/>
      <c r="C2037" s="812"/>
      <c r="D2037" s="812"/>
      <c r="E2037" s="812"/>
      <c r="F2037" s="812"/>
      <c r="G2037" s="812"/>
      <c r="H2037" s="812"/>
    </row>
    <row r="2038" spans="1:8">
      <c r="A2038" s="812"/>
      <c r="B2038" s="812"/>
      <c r="C2038" s="812"/>
      <c r="D2038" s="812"/>
      <c r="E2038" s="812"/>
      <c r="F2038" s="812"/>
      <c r="G2038" s="812"/>
      <c r="H2038" s="812"/>
    </row>
    <row r="2039" spans="1:8">
      <c r="A2039" s="812"/>
      <c r="B2039" s="812"/>
      <c r="C2039" s="812"/>
      <c r="D2039" s="812"/>
      <c r="E2039" s="812"/>
      <c r="F2039" s="812"/>
      <c r="G2039" s="812"/>
      <c r="H2039" s="812"/>
    </row>
    <row r="2040" spans="1:8">
      <c r="A2040" s="812"/>
      <c r="B2040" s="812"/>
      <c r="C2040" s="812"/>
      <c r="D2040" s="812"/>
      <c r="E2040" s="812"/>
      <c r="F2040" s="812"/>
      <c r="G2040" s="812"/>
      <c r="H2040" s="812"/>
    </row>
    <row r="2041" spans="1:8">
      <c r="A2041" s="812"/>
      <c r="B2041" s="812"/>
      <c r="C2041" s="812"/>
      <c r="D2041" s="812"/>
      <c r="E2041" s="812"/>
      <c r="F2041" s="812"/>
      <c r="G2041" s="812"/>
      <c r="H2041" s="812"/>
    </row>
    <row r="2042" spans="1:8">
      <c r="A2042" s="812"/>
      <c r="B2042" s="812"/>
      <c r="C2042" s="812"/>
      <c r="D2042" s="812"/>
      <c r="E2042" s="812"/>
      <c r="F2042" s="812"/>
      <c r="G2042" s="812"/>
      <c r="H2042" s="812"/>
    </row>
    <row r="2043" spans="1:8">
      <c r="A2043" s="812"/>
      <c r="B2043" s="812"/>
      <c r="C2043" s="812"/>
      <c r="D2043" s="812"/>
      <c r="E2043" s="812"/>
      <c r="F2043" s="812"/>
      <c r="G2043" s="812"/>
      <c r="H2043" s="812"/>
    </row>
    <row r="2044" spans="1:8">
      <c r="A2044" s="812"/>
      <c r="B2044" s="812"/>
      <c r="C2044" s="812"/>
      <c r="D2044" s="812"/>
      <c r="E2044" s="812"/>
      <c r="F2044" s="812"/>
      <c r="G2044" s="812"/>
      <c r="H2044" s="812"/>
    </row>
    <row r="2045" spans="1:8">
      <c r="A2045" s="812"/>
      <c r="B2045" s="812"/>
      <c r="C2045" s="812"/>
      <c r="D2045" s="812"/>
      <c r="E2045" s="812"/>
      <c r="F2045" s="812"/>
      <c r="G2045" s="812"/>
      <c r="H2045" s="812"/>
    </row>
    <row r="2046" spans="1:8">
      <c r="A2046" s="812"/>
      <c r="B2046" s="812"/>
      <c r="C2046" s="812"/>
      <c r="D2046" s="812"/>
      <c r="E2046" s="812"/>
      <c r="F2046" s="812"/>
      <c r="G2046" s="812"/>
      <c r="H2046" s="812"/>
    </row>
    <row r="2047" spans="1:8">
      <c r="A2047" s="812"/>
      <c r="B2047" s="812"/>
      <c r="C2047" s="812"/>
      <c r="D2047" s="812"/>
      <c r="E2047" s="812"/>
      <c r="F2047" s="812"/>
      <c r="G2047" s="812"/>
      <c r="H2047" s="812"/>
    </row>
    <row r="2048" spans="1:8">
      <c r="A2048" s="812"/>
      <c r="B2048" s="812"/>
      <c r="C2048" s="812"/>
      <c r="D2048" s="812"/>
      <c r="E2048" s="812"/>
      <c r="F2048" s="812"/>
      <c r="G2048" s="812"/>
      <c r="H2048" s="812"/>
    </row>
    <row r="2049" spans="1:8">
      <c r="A2049" s="812"/>
      <c r="B2049" s="812"/>
      <c r="C2049" s="812"/>
      <c r="D2049" s="812"/>
      <c r="E2049" s="812"/>
      <c r="F2049" s="812"/>
      <c r="G2049" s="812"/>
      <c r="H2049" s="812"/>
    </row>
    <row r="2050" spans="1:8">
      <c r="A2050" s="812"/>
      <c r="B2050" s="812"/>
      <c r="C2050" s="812"/>
      <c r="D2050" s="812"/>
      <c r="E2050" s="812"/>
      <c r="F2050" s="812"/>
      <c r="G2050" s="812"/>
      <c r="H2050" s="812"/>
    </row>
    <row r="2051" spans="1:8">
      <c r="A2051" s="812"/>
      <c r="B2051" s="812"/>
      <c r="C2051" s="812"/>
      <c r="D2051" s="812"/>
      <c r="E2051" s="812"/>
      <c r="F2051" s="812"/>
      <c r="G2051" s="812"/>
      <c r="H2051" s="812"/>
    </row>
    <row r="2052" spans="1:8">
      <c r="A2052" s="812"/>
      <c r="B2052" s="812"/>
      <c r="C2052" s="812"/>
      <c r="D2052" s="812"/>
      <c r="E2052" s="812"/>
      <c r="F2052" s="812"/>
      <c r="G2052" s="812"/>
      <c r="H2052" s="812"/>
    </row>
    <row r="2053" spans="1:8">
      <c r="A2053" s="812"/>
      <c r="B2053" s="812"/>
      <c r="C2053" s="812"/>
      <c r="D2053" s="812"/>
      <c r="E2053" s="812"/>
      <c r="F2053" s="812"/>
      <c r="G2053" s="812"/>
      <c r="H2053" s="812"/>
    </row>
    <row r="2054" spans="1:8">
      <c r="A2054" s="812"/>
      <c r="B2054" s="812"/>
      <c r="C2054" s="812"/>
      <c r="D2054" s="812"/>
      <c r="E2054" s="812"/>
      <c r="F2054" s="812"/>
      <c r="G2054" s="812"/>
      <c r="H2054" s="812"/>
    </row>
    <row r="2055" spans="1:8">
      <c r="A2055" s="812"/>
      <c r="B2055" s="812"/>
      <c r="C2055" s="812"/>
      <c r="D2055" s="812"/>
      <c r="E2055" s="812"/>
      <c r="F2055" s="812"/>
      <c r="G2055" s="812"/>
      <c r="H2055" s="812"/>
    </row>
    <row r="2056" spans="1:8">
      <c r="A2056" s="812"/>
      <c r="B2056" s="812"/>
      <c r="C2056" s="812"/>
      <c r="D2056" s="812"/>
      <c r="E2056" s="812"/>
      <c r="F2056" s="812"/>
      <c r="G2056" s="812"/>
      <c r="H2056" s="812"/>
    </row>
    <row r="2057" spans="1:8">
      <c r="A2057" s="812"/>
      <c r="B2057" s="812"/>
      <c r="C2057" s="812"/>
      <c r="D2057" s="812"/>
      <c r="E2057" s="812"/>
      <c r="F2057" s="812"/>
      <c r="G2057" s="812"/>
      <c r="H2057" s="812"/>
    </row>
    <row r="2058" spans="1:8">
      <c r="A2058" s="812"/>
      <c r="B2058" s="812"/>
      <c r="C2058" s="812"/>
      <c r="D2058" s="812"/>
      <c r="E2058" s="812"/>
      <c r="F2058" s="812"/>
      <c r="G2058" s="812"/>
      <c r="H2058" s="812"/>
    </row>
    <row r="2059" spans="1:8">
      <c r="A2059" s="812"/>
      <c r="B2059" s="812"/>
      <c r="C2059" s="812"/>
      <c r="D2059" s="812"/>
      <c r="E2059" s="812"/>
      <c r="F2059" s="812"/>
      <c r="G2059" s="812"/>
      <c r="H2059" s="812"/>
    </row>
    <row r="2060" spans="1:8">
      <c r="A2060" s="812"/>
      <c r="B2060" s="812"/>
      <c r="C2060" s="812"/>
      <c r="D2060" s="812"/>
      <c r="E2060" s="812"/>
      <c r="F2060" s="812"/>
      <c r="G2060" s="812"/>
      <c r="H2060" s="812"/>
    </row>
    <row r="2061" spans="1:8">
      <c r="A2061" s="812"/>
      <c r="B2061" s="812"/>
      <c r="C2061" s="812"/>
      <c r="D2061" s="812"/>
      <c r="E2061" s="812"/>
      <c r="F2061" s="812"/>
      <c r="G2061" s="812"/>
      <c r="H2061" s="812"/>
    </row>
    <row r="2062" spans="1:8">
      <c r="A2062" s="812"/>
      <c r="B2062" s="812"/>
      <c r="C2062" s="812"/>
      <c r="D2062" s="812"/>
      <c r="E2062" s="812"/>
      <c r="F2062" s="812"/>
      <c r="G2062" s="812"/>
      <c r="H2062" s="812"/>
    </row>
    <row r="2063" spans="1:8">
      <c r="A2063" s="812"/>
      <c r="B2063" s="812"/>
      <c r="C2063" s="812"/>
      <c r="D2063" s="812"/>
      <c r="E2063" s="812"/>
      <c r="F2063" s="812"/>
      <c r="G2063" s="812"/>
      <c r="H2063" s="812"/>
    </row>
    <row r="2064" spans="1:8">
      <c r="A2064" s="812"/>
      <c r="B2064" s="812"/>
      <c r="C2064" s="812"/>
      <c r="D2064" s="812"/>
      <c r="E2064" s="812"/>
      <c r="F2064" s="812"/>
      <c r="G2064" s="812"/>
      <c r="H2064" s="812"/>
    </row>
    <row r="2065" spans="1:8">
      <c r="A2065" s="812"/>
      <c r="B2065" s="812"/>
      <c r="C2065" s="812"/>
      <c r="D2065" s="812"/>
      <c r="E2065" s="812"/>
      <c r="F2065" s="812"/>
      <c r="G2065" s="812"/>
      <c r="H2065" s="812"/>
    </row>
    <row r="2066" spans="1:8">
      <c r="A2066" s="812"/>
      <c r="B2066" s="812"/>
      <c r="C2066" s="812"/>
      <c r="D2066" s="812"/>
      <c r="E2066" s="812"/>
      <c r="F2066" s="812"/>
      <c r="G2066" s="812"/>
      <c r="H2066" s="812"/>
    </row>
    <row r="2067" spans="1:8">
      <c r="A2067" s="812"/>
      <c r="B2067" s="812"/>
      <c r="C2067" s="812"/>
      <c r="D2067" s="812"/>
      <c r="E2067" s="812"/>
      <c r="F2067" s="812"/>
      <c r="G2067" s="812"/>
      <c r="H2067" s="812"/>
    </row>
    <row r="2068" spans="1:8">
      <c r="A2068" s="812"/>
      <c r="B2068" s="812"/>
      <c r="C2068" s="812"/>
      <c r="D2068" s="812"/>
      <c r="E2068" s="812"/>
      <c r="F2068" s="812"/>
      <c r="G2068" s="812"/>
      <c r="H2068" s="812"/>
    </row>
    <row r="2069" spans="1:8">
      <c r="A2069" s="812"/>
      <c r="B2069" s="812"/>
      <c r="C2069" s="812"/>
      <c r="D2069" s="812"/>
      <c r="E2069" s="812"/>
      <c r="F2069" s="812"/>
      <c r="G2069" s="812"/>
      <c r="H2069" s="812"/>
    </row>
    <row r="2070" spans="1:8">
      <c r="A2070" s="812"/>
      <c r="B2070" s="812"/>
      <c r="C2070" s="812"/>
      <c r="D2070" s="812"/>
      <c r="E2070" s="812"/>
      <c r="F2070" s="812"/>
      <c r="G2070" s="812"/>
      <c r="H2070" s="812"/>
    </row>
    <row r="2071" spans="1:8">
      <c r="A2071" s="812"/>
      <c r="B2071" s="812"/>
      <c r="C2071" s="812"/>
      <c r="D2071" s="812"/>
      <c r="E2071" s="812"/>
      <c r="F2071" s="812"/>
      <c r="G2071" s="812"/>
      <c r="H2071" s="812"/>
    </row>
    <row r="2072" spans="1:8">
      <c r="A2072" s="812"/>
      <c r="B2072" s="812"/>
      <c r="C2072" s="812"/>
      <c r="D2072" s="812"/>
      <c r="E2072" s="812"/>
      <c r="F2072" s="812"/>
      <c r="G2072" s="812"/>
      <c r="H2072" s="812"/>
    </row>
    <row r="2073" spans="1:8">
      <c r="A2073" s="812"/>
      <c r="B2073" s="812"/>
      <c r="C2073" s="812"/>
      <c r="D2073" s="812"/>
      <c r="E2073" s="812"/>
      <c r="F2073" s="812"/>
      <c r="G2073" s="812"/>
      <c r="H2073" s="812"/>
    </row>
    <row r="2074" spans="1:8">
      <c r="A2074" s="812"/>
      <c r="B2074" s="812"/>
      <c r="C2074" s="812"/>
      <c r="D2074" s="812"/>
      <c r="E2074" s="812"/>
      <c r="F2074" s="812"/>
      <c r="G2074" s="812"/>
      <c r="H2074" s="812"/>
    </row>
    <row r="2075" spans="1:8">
      <c r="A2075" s="812"/>
      <c r="B2075" s="812"/>
      <c r="C2075" s="812"/>
      <c r="D2075" s="812"/>
      <c r="E2075" s="812"/>
      <c r="F2075" s="812"/>
      <c r="G2075" s="812"/>
      <c r="H2075" s="812"/>
    </row>
    <row r="2076" spans="1:8">
      <c r="A2076" s="812"/>
      <c r="B2076" s="812"/>
      <c r="C2076" s="812"/>
      <c r="D2076" s="812"/>
      <c r="E2076" s="812"/>
      <c r="F2076" s="812"/>
      <c r="G2076" s="812"/>
      <c r="H2076" s="812"/>
    </row>
    <row r="2077" spans="1:8">
      <c r="A2077" s="812"/>
      <c r="B2077" s="812"/>
      <c r="C2077" s="812"/>
      <c r="D2077" s="812"/>
      <c r="E2077" s="812"/>
      <c r="F2077" s="812"/>
      <c r="G2077" s="812"/>
      <c r="H2077" s="812"/>
    </row>
    <row r="2078" spans="1:8">
      <c r="A2078" s="812"/>
      <c r="B2078" s="812"/>
      <c r="C2078" s="812"/>
      <c r="D2078" s="812"/>
      <c r="E2078" s="812"/>
      <c r="F2078" s="812"/>
      <c r="G2078" s="812"/>
      <c r="H2078" s="812"/>
    </row>
    <row r="2079" spans="1:8">
      <c r="A2079" s="812"/>
      <c r="B2079" s="812"/>
      <c r="C2079" s="812"/>
      <c r="D2079" s="812"/>
      <c r="E2079" s="812"/>
      <c r="F2079" s="812"/>
      <c r="G2079" s="812"/>
      <c r="H2079" s="812"/>
    </row>
    <row r="2080" spans="1:8">
      <c r="A2080" s="812"/>
      <c r="B2080" s="812"/>
      <c r="C2080" s="812"/>
      <c r="D2080" s="812"/>
      <c r="E2080" s="812"/>
      <c r="F2080" s="812"/>
      <c r="G2080" s="812"/>
      <c r="H2080" s="812"/>
    </row>
    <row r="2081" spans="1:8">
      <c r="A2081" s="812"/>
      <c r="B2081" s="812"/>
      <c r="C2081" s="812"/>
      <c r="D2081" s="812"/>
      <c r="E2081" s="812"/>
      <c r="F2081" s="812"/>
      <c r="G2081" s="812"/>
      <c r="H2081" s="812"/>
    </row>
    <row r="2082" spans="1:8">
      <c r="A2082" s="812"/>
      <c r="B2082" s="812"/>
      <c r="C2082" s="812"/>
      <c r="D2082" s="812"/>
      <c r="E2082" s="812"/>
      <c r="F2082" s="812"/>
      <c r="G2082" s="812"/>
      <c r="H2082" s="812"/>
    </row>
    <row r="2083" spans="1:8">
      <c r="A2083" s="812"/>
      <c r="B2083" s="812"/>
      <c r="C2083" s="812"/>
      <c r="D2083" s="812"/>
      <c r="E2083" s="812"/>
      <c r="F2083" s="812"/>
      <c r="G2083" s="812"/>
      <c r="H2083" s="812"/>
    </row>
    <row r="2084" spans="1:8">
      <c r="A2084" s="812"/>
      <c r="B2084" s="812"/>
      <c r="C2084" s="812"/>
      <c r="D2084" s="812"/>
      <c r="E2084" s="812"/>
      <c r="F2084" s="812"/>
      <c r="G2084" s="812"/>
      <c r="H2084" s="812"/>
    </row>
    <row r="2085" spans="1:8">
      <c r="A2085" s="812"/>
      <c r="B2085" s="812"/>
      <c r="C2085" s="812"/>
      <c r="D2085" s="812"/>
      <c r="E2085" s="812"/>
      <c r="F2085" s="812"/>
      <c r="G2085" s="812"/>
      <c r="H2085" s="812"/>
    </row>
    <row r="2086" spans="1:8">
      <c r="A2086" s="812"/>
      <c r="B2086" s="812"/>
      <c r="C2086" s="812"/>
      <c r="D2086" s="812"/>
      <c r="E2086" s="812"/>
      <c r="F2086" s="812"/>
      <c r="G2086" s="812"/>
      <c r="H2086" s="812"/>
    </row>
    <row r="2087" spans="1:8">
      <c r="A2087" s="812"/>
      <c r="B2087" s="812"/>
      <c r="C2087" s="812"/>
      <c r="D2087" s="812"/>
      <c r="E2087" s="812"/>
      <c r="F2087" s="812"/>
      <c r="G2087" s="812"/>
      <c r="H2087" s="812"/>
    </row>
    <row r="2088" spans="1:8">
      <c r="A2088" s="812"/>
      <c r="B2088" s="812"/>
      <c r="C2088" s="812"/>
      <c r="D2088" s="812"/>
      <c r="E2088" s="812"/>
      <c r="F2088" s="812"/>
      <c r="G2088" s="812"/>
      <c r="H2088" s="812"/>
    </row>
    <row r="2089" spans="1:8">
      <c r="A2089" s="812"/>
      <c r="B2089" s="812"/>
      <c r="C2089" s="812"/>
      <c r="D2089" s="812"/>
      <c r="E2089" s="812"/>
      <c r="F2089" s="812"/>
      <c r="G2089" s="812"/>
      <c r="H2089" s="812"/>
    </row>
    <row r="2090" spans="1:8">
      <c r="A2090" s="812"/>
      <c r="B2090" s="812"/>
      <c r="C2090" s="812"/>
      <c r="D2090" s="812"/>
      <c r="E2090" s="812"/>
      <c r="F2090" s="812"/>
      <c r="G2090" s="812"/>
      <c r="H2090" s="812"/>
    </row>
    <row r="2091" spans="1:8">
      <c r="A2091" s="812"/>
      <c r="B2091" s="812"/>
      <c r="C2091" s="812"/>
      <c r="D2091" s="812"/>
      <c r="E2091" s="812"/>
      <c r="F2091" s="812"/>
      <c r="G2091" s="812"/>
      <c r="H2091" s="812"/>
    </row>
    <row r="2092" spans="1:8">
      <c r="A2092" s="812"/>
      <c r="B2092" s="812"/>
      <c r="C2092" s="812"/>
      <c r="D2092" s="812"/>
      <c r="E2092" s="812"/>
      <c r="F2092" s="812"/>
      <c r="G2092" s="812"/>
      <c r="H2092" s="812"/>
    </row>
    <row r="2093" spans="1:8">
      <c r="A2093" s="812"/>
      <c r="B2093" s="812"/>
      <c r="C2093" s="812"/>
      <c r="D2093" s="812"/>
      <c r="E2093" s="812"/>
      <c r="F2093" s="812"/>
      <c r="G2093" s="812"/>
      <c r="H2093" s="812"/>
    </row>
    <row r="2094" spans="1:8">
      <c r="A2094" s="812"/>
      <c r="B2094" s="812"/>
      <c r="C2094" s="812"/>
      <c r="D2094" s="812"/>
      <c r="E2094" s="812"/>
      <c r="F2094" s="812"/>
      <c r="G2094" s="812"/>
      <c r="H2094" s="812"/>
    </row>
    <row r="2095" spans="1:8">
      <c r="A2095" s="812"/>
      <c r="B2095" s="812"/>
      <c r="C2095" s="812"/>
      <c r="D2095" s="812"/>
      <c r="E2095" s="812"/>
      <c r="F2095" s="812"/>
      <c r="G2095" s="812"/>
      <c r="H2095" s="812"/>
    </row>
    <row r="2096" spans="1:8">
      <c r="A2096" s="812"/>
      <c r="B2096" s="812"/>
      <c r="C2096" s="812"/>
      <c r="D2096" s="812"/>
      <c r="E2096" s="812"/>
      <c r="F2096" s="812"/>
      <c r="G2096" s="812"/>
      <c r="H2096" s="812"/>
    </row>
    <row r="2097" spans="1:8">
      <c r="A2097" s="812"/>
      <c r="B2097" s="812"/>
      <c r="C2097" s="812"/>
      <c r="D2097" s="812"/>
      <c r="E2097" s="812"/>
      <c r="F2097" s="812"/>
      <c r="G2097" s="812"/>
      <c r="H2097" s="812"/>
    </row>
    <row r="2098" spans="1:8">
      <c r="A2098" s="812"/>
      <c r="B2098" s="812"/>
      <c r="C2098" s="812"/>
      <c r="D2098" s="812"/>
      <c r="E2098" s="812"/>
      <c r="F2098" s="812"/>
      <c r="G2098" s="812"/>
      <c r="H2098" s="812"/>
    </row>
    <row r="2099" spans="1:8">
      <c r="A2099" s="812"/>
      <c r="B2099" s="812"/>
      <c r="C2099" s="812"/>
      <c r="D2099" s="812"/>
      <c r="E2099" s="812"/>
      <c r="F2099" s="812"/>
      <c r="G2099" s="812"/>
      <c r="H2099" s="812"/>
    </row>
    <row r="2100" spans="1:8">
      <c r="A2100" s="812"/>
      <c r="B2100" s="812"/>
      <c r="C2100" s="812"/>
      <c r="D2100" s="812"/>
      <c r="E2100" s="812"/>
      <c r="F2100" s="812"/>
      <c r="G2100" s="812"/>
      <c r="H2100" s="812"/>
    </row>
    <row r="2101" spans="1:8">
      <c r="A2101" s="812"/>
      <c r="B2101" s="812"/>
      <c r="C2101" s="812"/>
      <c r="D2101" s="812"/>
      <c r="E2101" s="812"/>
      <c r="F2101" s="812"/>
      <c r="G2101" s="812"/>
      <c r="H2101" s="812"/>
    </row>
    <row r="2102" spans="1:8">
      <c r="A2102" s="812"/>
      <c r="B2102" s="812"/>
      <c r="C2102" s="812"/>
      <c r="D2102" s="812"/>
      <c r="E2102" s="812"/>
      <c r="F2102" s="812"/>
      <c r="G2102" s="812"/>
      <c r="H2102" s="812"/>
    </row>
    <row r="2103" spans="1:8">
      <c r="A2103" s="812"/>
      <c r="B2103" s="812"/>
      <c r="C2103" s="812"/>
      <c r="D2103" s="812"/>
      <c r="E2103" s="812"/>
      <c r="F2103" s="812"/>
      <c r="G2103" s="812"/>
      <c r="H2103" s="812"/>
    </row>
    <row r="2104" spans="1:8">
      <c r="A2104" s="812"/>
      <c r="B2104" s="812"/>
      <c r="C2104" s="812"/>
      <c r="D2104" s="812"/>
      <c r="E2104" s="812"/>
      <c r="F2104" s="812"/>
      <c r="G2104" s="812"/>
      <c r="H2104" s="812"/>
    </row>
    <row r="2105" spans="1:8">
      <c r="A2105" s="812"/>
      <c r="B2105" s="812"/>
      <c r="C2105" s="812"/>
      <c r="D2105" s="812"/>
      <c r="E2105" s="812"/>
      <c r="F2105" s="812"/>
      <c r="G2105" s="812"/>
      <c r="H2105" s="812"/>
    </row>
    <row r="2106" spans="1:8">
      <c r="A2106" s="812"/>
      <c r="B2106" s="812"/>
      <c r="C2106" s="812"/>
      <c r="D2106" s="812"/>
      <c r="E2106" s="812"/>
      <c r="F2106" s="812"/>
      <c r="G2106" s="812"/>
      <c r="H2106" s="812"/>
    </row>
    <row r="2107" spans="1:8">
      <c r="A2107" s="812"/>
      <c r="B2107" s="812"/>
      <c r="C2107" s="812"/>
      <c r="D2107" s="812"/>
      <c r="E2107" s="812"/>
      <c r="F2107" s="812"/>
      <c r="G2107" s="812"/>
      <c r="H2107" s="812"/>
    </row>
    <row r="2108" spans="1:8">
      <c r="A2108" s="812"/>
      <c r="B2108" s="812"/>
      <c r="C2108" s="812"/>
      <c r="D2108" s="812"/>
      <c r="E2108" s="812"/>
      <c r="F2108" s="812"/>
      <c r="G2108" s="812"/>
      <c r="H2108" s="812"/>
    </row>
    <row r="2109" spans="1:8">
      <c r="A2109" s="812"/>
      <c r="B2109" s="812"/>
      <c r="C2109" s="812"/>
      <c r="D2109" s="812"/>
      <c r="E2109" s="812"/>
      <c r="F2109" s="812"/>
      <c r="G2109" s="812"/>
      <c r="H2109" s="812"/>
    </row>
    <row r="2110" spans="1:8">
      <c r="A2110" s="812"/>
      <c r="B2110" s="812"/>
      <c r="C2110" s="812"/>
      <c r="D2110" s="812"/>
      <c r="E2110" s="812"/>
      <c r="F2110" s="812"/>
      <c r="G2110" s="812"/>
      <c r="H2110" s="812"/>
    </row>
    <row r="2111" spans="1:8">
      <c r="A2111" s="812"/>
      <c r="B2111" s="812"/>
      <c r="C2111" s="812"/>
      <c r="D2111" s="812"/>
      <c r="E2111" s="812"/>
      <c r="F2111" s="812"/>
      <c r="G2111" s="812"/>
      <c r="H2111" s="812"/>
    </row>
    <row r="2112" spans="1:8">
      <c r="A2112" s="812"/>
      <c r="B2112" s="812"/>
      <c r="C2112" s="812"/>
      <c r="D2112" s="812"/>
      <c r="E2112" s="812"/>
      <c r="F2112" s="812"/>
      <c r="G2112" s="812"/>
      <c r="H2112" s="812"/>
    </row>
    <row r="2113" spans="1:8">
      <c r="A2113" s="812"/>
      <c r="B2113" s="812"/>
      <c r="C2113" s="812"/>
      <c r="D2113" s="812"/>
      <c r="E2113" s="812"/>
      <c r="F2113" s="812"/>
      <c r="G2113" s="812"/>
      <c r="H2113" s="812"/>
    </row>
    <row r="2114" spans="1:8">
      <c r="A2114" s="812"/>
      <c r="B2114" s="812"/>
      <c r="C2114" s="812"/>
      <c r="D2114" s="812"/>
      <c r="E2114" s="812"/>
      <c r="F2114" s="812"/>
      <c r="G2114" s="812"/>
      <c r="H2114" s="812"/>
    </row>
    <row r="2115" spans="1:8">
      <c r="A2115" s="812"/>
      <c r="B2115" s="812"/>
      <c r="C2115" s="812"/>
      <c r="D2115" s="812"/>
      <c r="E2115" s="812"/>
      <c r="F2115" s="812"/>
      <c r="G2115" s="812"/>
      <c r="H2115" s="812"/>
    </row>
    <row r="2116" spans="1:8">
      <c r="A2116" s="812"/>
      <c r="B2116" s="812"/>
      <c r="C2116" s="812"/>
      <c r="D2116" s="812"/>
      <c r="E2116" s="812"/>
      <c r="F2116" s="812"/>
      <c r="G2116" s="812"/>
      <c r="H2116" s="812"/>
    </row>
    <row r="2117" spans="1:8">
      <c r="A2117" s="812"/>
      <c r="B2117" s="812"/>
      <c r="C2117" s="812"/>
      <c r="D2117" s="812"/>
      <c r="E2117" s="812"/>
      <c r="F2117" s="812"/>
      <c r="G2117" s="812"/>
      <c r="H2117" s="812"/>
    </row>
    <row r="2118" spans="1:8">
      <c r="A2118" s="812"/>
      <c r="B2118" s="812"/>
      <c r="C2118" s="812"/>
      <c r="D2118" s="812"/>
      <c r="E2118" s="812"/>
      <c r="F2118" s="812"/>
      <c r="G2118" s="812"/>
      <c r="H2118" s="812"/>
    </row>
    <row r="2119" spans="1:8">
      <c r="A2119" s="812"/>
      <c r="B2119" s="812"/>
      <c r="C2119" s="812"/>
      <c r="D2119" s="812"/>
      <c r="E2119" s="812"/>
      <c r="F2119" s="812"/>
      <c r="G2119" s="812"/>
      <c r="H2119" s="812"/>
    </row>
    <row r="2120" spans="1:8">
      <c r="A2120" s="812"/>
      <c r="B2120" s="812"/>
      <c r="C2120" s="812"/>
      <c r="D2120" s="812"/>
      <c r="E2120" s="812"/>
      <c r="F2120" s="812"/>
      <c r="G2120" s="812"/>
      <c r="H2120" s="812"/>
    </row>
    <row r="2121" spans="1:8">
      <c r="A2121" s="812"/>
      <c r="B2121" s="812"/>
      <c r="C2121" s="812"/>
      <c r="D2121" s="812"/>
      <c r="E2121" s="812"/>
      <c r="F2121" s="812"/>
      <c r="G2121" s="812"/>
      <c r="H2121" s="812"/>
    </row>
    <row r="2122" spans="1:8">
      <c r="A2122" s="812"/>
      <c r="B2122" s="812"/>
      <c r="C2122" s="812"/>
      <c r="D2122" s="812"/>
      <c r="E2122" s="812"/>
      <c r="F2122" s="812"/>
      <c r="G2122" s="812"/>
      <c r="H2122" s="812"/>
    </row>
    <row r="2123" spans="1:8">
      <c r="A2123" s="812"/>
      <c r="B2123" s="812"/>
      <c r="C2123" s="812"/>
      <c r="D2123" s="812"/>
      <c r="E2123" s="812"/>
      <c r="F2123" s="812"/>
      <c r="G2123" s="812"/>
      <c r="H2123" s="812"/>
    </row>
    <row r="2124" spans="1:8">
      <c r="A2124" s="812"/>
      <c r="B2124" s="812"/>
      <c r="C2124" s="812"/>
      <c r="D2124" s="812"/>
      <c r="E2124" s="812"/>
      <c r="F2124" s="812"/>
      <c r="G2124" s="812"/>
      <c r="H2124" s="812"/>
    </row>
    <row r="2125" spans="1:8">
      <c r="A2125" s="812"/>
      <c r="B2125" s="812"/>
      <c r="C2125" s="812"/>
      <c r="D2125" s="812"/>
      <c r="E2125" s="812"/>
      <c r="F2125" s="812"/>
      <c r="G2125" s="812"/>
      <c r="H2125" s="812"/>
    </row>
    <row r="2126" spans="1:8">
      <c r="A2126" s="812"/>
      <c r="B2126" s="812"/>
      <c r="C2126" s="812"/>
      <c r="D2126" s="812"/>
      <c r="E2126" s="812"/>
      <c r="F2126" s="812"/>
      <c r="G2126" s="812"/>
      <c r="H2126" s="812"/>
    </row>
    <row r="2127" spans="1:8">
      <c r="A2127" s="812"/>
      <c r="B2127" s="812"/>
      <c r="C2127" s="812"/>
      <c r="D2127" s="812"/>
      <c r="E2127" s="812"/>
      <c r="F2127" s="812"/>
      <c r="G2127" s="812"/>
      <c r="H2127" s="812"/>
    </row>
    <row r="2128" spans="1:8">
      <c r="A2128" s="812"/>
      <c r="B2128" s="812"/>
      <c r="C2128" s="812"/>
      <c r="D2128" s="812"/>
      <c r="E2128" s="812"/>
      <c r="F2128" s="812"/>
      <c r="G2128" s="812"/>
      <c r="H2128" s="812"/>
    </row>
    <row r="2129" spans="1:8">
      <c r="A2129" s="812"/>
      <c r="B2129" s="812"/>
      <c r="C2129" s="812"/>
      <c r="D2129" s="812"/>
      <c r="E2129" s="812"/>
      <c r="F2129" s="812"/>
      <c r="G2129" s="812"/>
      <c r="H2129" s="812"/>
    </row>
    <row r="2130" spans="1:8">
      <c r="A2130" s="812"/>
      <c r="B2130" s="812"/>
      <c r="C2130" s="812"/>
      <c r="D2130" s="812"/>
      <c r="E2130" s="812"/>
      <c r="F2130" s="812"/>
      <c r="G2130" s="812"/>
      <c r="H2130" s="812"/>
    </row>
    <row r="2131" spans="1:8">
      <c r="A2131" s="812"/>
      <c r="B2131" s="812"/>
      <c r="C2131" s="812"/>
      <c r="D2131" s="812"/>
      <c r="E2131" s="812"/>
      <c r="F2131" s="812"/>
      <c r="G2131" s="812"/>
      <c r="H2131" s="812"/>
    </row>
    <row r="2132" spans="1:8">
      <c r="A2132" s="812"/>
      <c r="B2132" s="812"/>
      <c r="C2132" s="812"/>
      <c r="D2132" s="812"/>
      <c r="E2132" s="812"/>
      <c r="F2132" s="812"/>
      <c r="G2132" s="812"/>
      <c r="H2132" s="812"/>
    </row>
    <row r="2133" spans="1:8">
      <c r="A2133" s="812"/>
      <c r="B2133" s="812"/>
      <c r="C2133" s="812"/>
      <c r="D2133" s="812"/>
      <c r="E2133" s="812"/>
      <c r="F2133" s="812"/>
      <c r="G2133" s="812"/>
      <c r="H2133" s="812"/>
    </row>
    <row r="2134" spans="1:8">
      <c r="A2134" s="812"/>
      <c r="B2134" s="812"/>
      <c r="C2134" s="812"/>
      <c r="D2134" s="812"/>
      <c r="E2134" s="812"/>
      <c r="F2134" s="812"/>
      <c r="G2134" s="812"/>
      <c r="H2134" s="812"/>
    </row>
    <row r="2135" spans="1:8">
      <c r="A2135" s="812"/>
      <c r="B2135" s="812"/>
      <c r="C2135" s="812"/>
      <c r="D2135" s="812"/>
      <c r="E2135" s="812"/>
      <c r="F2135" s="812"/>
      <c r="G2135" s="812"/>
      <c r="H2135" s="812"/>
    </row>
    <row r="2136" spans="1:8">
      <c r="A2136" s="812"/>
      <c r="B2136" s="812"/>
      <c r="C2136" s="812"/>
      <c r="D2136" s="812"/>
      <c r="E2136" s="812"/>
      <c r="F2136" s="812"/>
      <c r="G2136" s="812"/>
      <c r="H2136" s="812"/>
    </row>
    <row r="2137" spans="1:8">
      <c r="A2137" s="812"/>
      <c r="B2137" s="812"/>
      <c r="C2137" s="812"/>
      <c r="D2137" s="812"/>
      <c r="E2137" s="812"/>
      <c r="F2137" s="812"/>
      <c r="G2137" s="812"/>
      <c r="H2137" s="812"/>
    </row>
    <row r="2138" spans="1:8">
      <c r="A2138" s="812"/>
      <c r="B2138" s="812"/>
      <c r="C2138" s="812"/>
      <c r="D2138" s="812"/>
      <c r="E2138" s="812"/>
      <c r="F2138" s="812"/>
      <c r="G2138" s="812"/>
      <c r="H2138" s="812"/>
    </row>
    <row r="2139" spans="1:8">
      <c r="A2139" s="812"/>
      <c r="B2139" s="812"/>
      <c r="C2139" s="812"/>
      <c r="D2139" s="812"/>
      <c r="E2139" s="812"/>
      <c r="F2139" s="812"/>
      <c r="G2139" s="812"/>
      <c r="H2139" s="812"/>
    </row>
    <row r="2140" spans="1:8">
      <c r="A2140" s="812"/>
      <c r="B2140" s="812"/>
      <c r="C2140" s="812"/>
      <c r="D2140" s="812"/>
      <c r="E2140" s="812"/>
      <c r="F2140" s="812"/>
      <c r="G2140" s="812"/>
      <c r="H2140" s="812"/>
    </row>
    <row r="2141" spans="1:8">
      <c r="A2141" s="812"/>
      <c r="B2141" s="812"/>
      <c r="C2141" s="812"/>
      <c r="D2141" s="812"/>
      <c r="E2141" s="812"/>
      <c r="F2141" s="812"/>
      <c r="G2141" s="812"/>
      <c r="H2141" s="812"/>
    </row>
    <row r="2142" spans="1:8">
      <c r="A2142" s="812"/>
      <c r="B2142" s="812"/>
      <c r="C2142" s="812"/>
      <c r="D2142" s="812"/>
      <c r="E2142" s="812"/>
      <c r="F2142" s="812"/>
      <c r="G2142" s="812"/>
      <c r="H2142" s="812"/>
    </row>
    <row r="2143" spans="1:8">
      <c r="A2143" s="812"/>
      <c r="B2143" s="812"/>
      <c r="C2143" s="812"/>
      <c r="D2143" s="812"/>
      <c r="E2143" s="812"/>
      <c r="F2143" s="812"/>
      <c r="G2143" s="812"/>
      <c r="H2143" s="812"/>
    </row>
    <row r="2144" spans="1:8">
      <c r="A2144" s="812"/>
      <c r="B2144" s="812"/>
      <c r="C2144" s="812"/>
      <c r="D2144" s="812"/>
      <c r="E2144" s="812"/>
      <c r="F2144" s="812"/>
      <c r="G2144" s="812"/>
      <c r="H2144" s="812"/>
    </row>
    <row r="2145" spans="1:8">
      <c r="A2145" s="812"/>
      <c r="B2145" s="812"/>
      <c r="C2145" s="812"/>
      <c r="D2145" s="812"/>
      <c r="E2145" s="812"/>
      <c r="F2145" s="812"/>
      <c r="G2145" s="812"/>
      <c r="H2145" s="812"/>
    </row>
    <row r="2146" spans="1:8">
      <c r="A2146" s="812"/>
      <c r="B2146" s="812"/>
      <c r="C2146" s="812"/>
      <c r="D2146" s="812"/>
      <c r="E2146" s="812"/>
      <c r="F2146" s="812"/>
      <c r="G2146" s="812"/>
      <c r="H2146" s="812"/>
    </row>
    <row r="2147" spans="1:8">
      <c r="A2147" s="812"/>
      <c r="B2147" s="812"/>
      <c r="C2147" s="812"/>
      <c r="D2147" s="812"/>
      <c r="E2147" s="812"/>
      <c r="F2147" s="812"/>
      <c r="G2147" s="812"/>
      <c r="H2147" s="812"/>
    </row>
    <row r="2148" spans="1:8">
      <c r="A2148" s="812"/>
      <c r="B2148" s="812"/>
      <c r="C2148" s="812"/>
      <c r="D2148" s="812"/>
      <c r="E2148" s="812"/>
      <c r="F2148" s="812"/>
      <c r="G2148" s="812"/>
      <c r="H2148" s="812"/>
    </row>
    <row r="2149" spans="1:8">
      <c r="A2149" s="812"/>
      <c r="B2149" s="812"/>
      <c r="C2149" s="812"/>
      <c r="D2149" s="812"/>
      <c r="E2149" s="812"/>
      <c r="F2149" s="812"/>
      <c r="G2149" s="812"/>
      <c r="H2149" s="812"/>
    </row>
    <row r="2150" spans="1:8">
      <c r="A2150" s="812"/>
      <c r="B2150" s="812"/>
      <c r="C2150" s="812"/>
      <c r="D2150" s="812"/>
      <c r="E2150" s="812"/>
      <c r="F2150" s="812"/>
      <c r="G2150" s="812"/>
      <c r="H2150" s="812"/>
    </row>
    <row r="2151" spans="1:8">
      <c r="A2151" s="812"/>
      <c r="B2151" s="812"/>
      <c r="C2151" s="812"/>
      <c r="D2151" s="812"/>
      <c r="E2151" s="812"/>
      <c r="F2151" s="812"/>
      <c r="G2151" s="812"/>
      <c r="H2151" s="812"/>
    </row>
    <row r="2152" spans="1:8">
      <c r="A2152" s="812"/>
      <c r="B2152" s="812"/>
      <c r="C2152" s="812"/>
      <c r="D2152" s="812"/>
      <c r="E2152" s="812"/>
      <c r="F2152" s="812"/>
      <c r="G2152" s="812"/>
      <c r="H2152" s="812"/>
    </row>
    <row r="2153" spans="1:8">
      <c r="A2153" s="812"/>
      <c r="B2153" s="812"/>
      <c r="C2153" s="812"/>
      <c r="D2153" s="812"/>
      <c r="E2153" s="812"/>
      <c r="F2153" s="812"/>
      <c r="G2153" s="812"/>
      <c r="H2153" s="812"/>
    </row>
    <row r="2154" spans="1:8">
      <c r="A2154" s="812"/>
      <c r="B2154" s="812"/>
      <c r="C2154" s="812"/>
      <c r="D2154" s="812"/>
      <c r="E2154" s="812"/>
      <c r="F2154" s="812"/>
      <c r="G2154" s="812"/>
      <c r="H2154" s="812"/>
    </row>
    <row r="2155" spans="1:8">
      <c r="A2155" s="812"/>
      <c r="B2155" s="812"/>
      <c r="C2155" s="812"/>
      <c r="D2155" s="812"/>
      <c r="E2155" s="812"/>
      <c r="F2155" s="812"/>
      <c r="G2155" s="812"/>
      <c r="H2155" s="812"/>
    </row>
    <row r="2156" spans="1:8">
      <c r="A2156" s="812"/>
      <c r="B2156" s="812"/>
      <c r="C2156" s="812"/>
      <c r="D2156" s="812"/>
      <c r="E2156" s="812"/>
      <c r="F2156" s="812"/>
      <c r="G2156" s="812"/>
      <c r="H2156" s="812"/>
    </row>
    <row r="2157" spans="1:8">
      <c r="A2157" s="812"/>
      <c r="B2157" s="812"/>
      <c r="C2157" s="812"/>
      <c r="D2157" s="812"/>
      <c r="E2157" s="812"/>
      <c r="F2157" s="812"/>
      <c r="G2157" s="812"/>
      <c r="H2157" s="812"/>
    </row>
    <row r="2158" spans="1:8">
      <c r="A2158" s="812"/>
      <c r="B2158" s="812"/>
      <c r="C2158" s="812"/>
      <c r="D2158" s="812"/>
      <c r="E2158" s="812"/>
      <c r="F2158" s="812"/>
      <c r="G2158" s="812"/>
      <c r="H2158" s="812"/>
    </row>
    <row r="2159" spans="1:8">
      <c r="A2159" s="812"/>
      <c r="B2159" s="812"/>
      <c r="C2159" s="812"/>
      <c r="D2159" s="812"/>
      <c r="E2159" s="812"/>
      <c r="F2159" s="812"/>
      <c r="G2159" s="812"/>
      <c r="H2159" s="812"/>
    </row>
    <row r="2160" spans="1:8">
      <c r="A2160" s="812"/>
      <c r="B2160" s="812"/>
      <c r="C2160" s="812"/>
      <c r="D2160" s="812"/>
      <c r="E2160" s="812"/>
      <c r="F2160" s="812"/>
      <c r="G2160" s="812"/>
      <c r="H2160" s="812"/>
    </row>
    <row r="2161" spans="1:8">
      <c r="A2161" s="812"/>
      <c r="B2161" s="812"/>
      <c r="C2161" s="812"/>
      <c r="D2161" s="812"/>
      <c r="E2161" s="812"/>
      <c r="F2161" s="812"/>
      <c r="G2161" s="812"/>
      <c r="H2161" s="812"/>
    </row>
    <row r="2162" spans="1:8">
      <c r="A2162" s="812"/>
      <c r="B2162" s="812"/>
      <c r="C2162" s="812"/>
      <c r="D2162" s="812"/>
      <c r="E2162" s="812"/>
      <c r="F2162" s="812"/>
      <c r="G2162" s="812"/>
      <c r="H2162" s="812"/>
    </row>
    <row r="2163" spans="1:8">
      <c r="A2163" s="812"/>
      <c r="B2163" s="812"/>
      <c r="C2163" s="812"/>
      <c r="D2163" s="812"/>
      <c r="E2163" s="812"/>
      <c r="F2163" s="812"/>
      <c r="G2163" s="812"/>
      <c r="H2163" s="812"/>
    </row>
    <row r="2164" spans="1:8">
      <c r="A2164" s="812"/>
      <c r="B2164" s="812"/>
      <c r="C2164" s="812"/>
      <c r="D2164" s="812"/>
      <c r="E2164" s="812"/>
      <c r="F2164" s="812"/>
      <c r="G2164" s="812"/>
      <c r="H2164" s="812"/>
    </row>
    <row r="2165" spans="1:8">
      <c r="A2165" s="812"/>
      <c r="B2165" s="812"/>
      <c r="C2165" s="812"/>
      <c r="D2165" s="812"/>
      <c r="E2165" s="812"/>
      <c r="F2165" s="812"/>
      <c r="G2165" s="812"/>
      <c r="H2165" s="812"/>
    </row>
    <row r="2166" spans="1:8">
      <c r="A2166" s="812"/>
      <c r="B2166" s="812"/>
      <c r="C2166" s="812"/>
      <c r="D2166" s="812"/>
      <c r="E2166" s="812"/>
      <c r="F2166" s="812"/>
      <c r="G2166" s="812"/>
      <c r="H2166" s="812"/>
    </row>
    <row r="2167" spans="1:8">
      <c r="A2167" s="812"/>
      <c r="B2167" s="812"/>
      <c r="C2167" s="812"/>
      <c r="D2167" s="812"/>
      <c r="E2167" s="812"/>
      <c r="F2167" s="812"/>
      <c r="G2167" s="812"/>
      <c r="H2167" s="812"/>
    </row>
    <row r="2168" spans="1:8">
      <c r="A2168" s="812"/>
      <c r="B2168" s="812"/>
      <c r="C2168" s="812"/>
      <c r="D2168" s="812"/>
      <c r="E2168" s="812"/>
      <c r="F2168" s="812"/>
      <c r="G2168" s="812"/>
      <c r="H2168" s="812"/>
    </row>
    <row r="2169" spans="1:8">
      <c r="A2169" s="812"/>
      <c r="B2169" s="812"/>
      <c r="C2169" s="812"/>
      <c r="D2169" s="812"/>
      <c r="E2169" s="812"/>
      <c r="F2169" s="812"/>
      <c r="G2169" s="812"/>
      <c r="H2169" s="812"/>
    </row>
    <row r="2170" spans="1:8">
      <c r="A2170" s="812"/>
      <c r="B2170" s="812"/>
      <c r="C2170" s="812"/>
      <c r="D2170" s="812"/>
      <c r="E2170" s="812"/>
      <c r="F2170" s="812"/>
      <c r="G2170" s="812"/>
      <c r="H2170" s="812"/>
    </row>
    <row r="2171" spans="1:8">
      <c r="A2171" s="812"/>
      <c r="B2171" s="812"/>
      <c r="C2171" s="812"/>
      <c r="D2171" s="812"/>
      <c r="E2171" s="812"/>
      <c r="F2171" s="812"/>
      <c r="G2171" s="812"/>
      <c r="H2171" s="812"/>
    </row>
    <row r="2172" spans="1:8">
      <c r="A2172" s="812"/>
      <c r="B2172" s="812"/>
      <c r="C2172" s="812"/>
      <c r="D2172" s="812"/>
      <c r="E2172" s="812"/>
      <c r="F2172" s="812"/>
      <c r="G2172" s="812"/>
      <c r="H2172" s="812"/>
    </row>
    <row r="2173" spans="1:8">
      <c r="A2173" s="812"/>
      <c r="B2173" s="812"/>
      <c r="C2173" s="812"/>
      <c r="D2173" s="812"/>
      <c r="E2173" s="812"/>
      <c r="F2173" s="812"/>
      <c r="G2173" s="812"/>
      <c r="H2173" s="812"/>
    </row>
    <row r="2174" spans="1:8">
      <c r="A2174" s="812"/>
      <c r="B2174" s="812"/>
      <c r="C2174" s="812"/>
      <c r="D2174" s="812"/>
      <c r="E2174" s="812"/>
      <c r="F2174" s="812"/>
      <c r="G2174" s="812"/>
      <c r="H2174" s="812"/>
    </row>
    <row r="2175" spans="1:8">
      <c r="A2175" s="812"/>
      <c r="B2175" s="812"/>
      <c r="C2175" s="812"/>
      <c r="D2175" s="812"/>
      <c r="E2175" s="812"/>
      <c r="F2175" s="812"/>
      <c r="G2175" s="812"/>
      <c r="H2175" s="812"/>
    </row>
    <row r="2176" spans="1:8">
      <c r="A2176" s="812"/>
      <c r="B2176" s="812"/>
      <c r="C2176" s="812"/>
      <c r="D2176" s="812"/>
      <c r="E2176" s="812"/>
      <c r="F2176" s="812"/>
      <c r="G2176" s="812"/>
      <c r="H2176" s="812"/>
    </row>
    <row r="2177" spans="1:8">
      <c r="A2177" s="812"/>
      <c r="B2177" s="812"/>
      <c r="C2177" s="812"/>
      <c r="D2177" s="812"/>
      <c r="E2177" s="812"/>
      <c r="F2177" s="812"/>
      <c r="G2177" s="812"/>
      <c r="H2177" s="812"/>
    </row>
    <row r="2178" spans="1:8">
      <c r="A2178" s="812"/>
      <c r="B2178" s="812"/>
      <c r="C2178" s="812"/>
      <c r="D2178" s="812"/>
      <c r="E2178" s="812"/>
      <c r="F2178" s="812"/>
      <c r="G2178" s="812"/>
      <c r="H2178" s="812"/>
    </row>
    <row r="2179" spans="1:8">
      <c r="A2179" s="812"/>
      <c r="B2179" s="812"/>
      <c r="C2179" s="812"/>
      <c r="D2179" s="812"/>
      <c r="E2179" s="812"/>
      <c r="F2179" s="812"/>
      <c r="G2179" s="812"/>
      <c r="H2179" s="812"/>
    </row>
    <row r="2180" spans="1:8">
      <c r="A2180" s="812"/>
      <c r="B2180" s="812"/>
      <c r="C2180" s="812"/>
      <c r="D2180" s="812"/>
      <c r="E2180" s="812"/>
      <c r="F2180" s="812"/>
      <c r="G2180" s="812"/>
      <c r="H2180" s="812"/>
    </row>
    <row r="2181" spans="1:8">
      <c r="A2181" s="812"/>
      <c r="B2181" s="812"/>
      <c r="C2181" s="812"/>
      <c r="D2181" s="812"/>
      <c r="E2181" s="812"/>
      <c r="F2181" s="812"/>
      <c r="G2181" s="812"/>
      <c r="H2181" s="812"/>
    </row>
    <row r="2182" spans="1:8">
      <c r="A2182" s="812"/>
      <c r="B2182" s="812"/>
      <c r="C2182" s="812"/>
      <c r="D2182" s="812"/>
      <c r="E2182" s="812"/>
      <c r="F2182" s="812"/>
      <c r="G2182" s="812"/>
      <c r="H2182" s="812"/>
    </row>
    <row r="2183" spans="1:8">
      <c r="A2183" s="812"/>
      <c r="B2183" s="812"/>
      <c r="C2183" s="812"/>
      <c r="D2183" s="812"/>
      <c r="E2183" s="812"/>
      <c r="F2183" s="812"/>
      <c r="G2183" s="812"/>
      <c r="H2183" s="812"/>
    </row>
    <row r="2184" spans="1:8">
      <c r="A2184" s="812"/>
      <c r="B2184" s="812"/>
      <c r="C2184" s="812"/>
      <c r="D2184" s="812"/>
      <c r="E2184" s="812"/>
      <c r="F2184" s="812"/>
      <c r="G2184" s="812"/>
      <c r="H2184" s="812"/>
    </row>
    <row r="2185" spans="1:8">
      <c r="A2185" s="812"/>
      <c r="B2185" s="812"/>
      <c r="C2185" s="812"/>
      <c r="D2185" s="812"/>
      <c r="E2185" s="812"/>
      <c r="F2185" s="812"/>
      <c r="G2185" s="812"/>
      <c r="H2185" s="812"/>
    </row>
    <row r="2186" spans="1:8">
      <c r="A2186" s="812"/>
      <c r="B2186" s="812"/>
      <c r="C2186" s="812"/>
      <c r="D2186" s="812"/>
      <c r="E2186" s="812"/>
      <c r="F2186" s="812"/>
      <c r="G2186" s="812"/>
      <c r="H2186" s="812"/>
    </row>
    <row r="2187" spans="1:8">
      <c r="A2187" s="812"/>
      <c r="B2187" s="812"/>
      <c r="C2187" s="812"/>
      <c r="D2187" s="812"/>
      <c r="E2187" s="812"/>
      <c r="F2187" s="812"/>
      <c r="G2187" s="812"/>
      <c r="H2187" s="812"/>
    </row>
    <row r="2188" spans="1:8">
      <c r="A2188" s="812"/>
      <c r="B2188" s="812"/>
      <c r="C2188" s="812"/>
      <c r="D2188" s="812"/>
      <c r="E2188" s="812"/>
      <c r="F2188" s="812"/>
      <c r="G2188" s="812"/>
      <c r="H2188" s="812"/>
    </row>
    <row r="2189" spans="1:8">
      <c r="A2189" s="812"/>
      <c r="B2189" s="812"/>
      <c r="C2189" s="812"/>
      <c r="D2189" s="812"/>
      <c r="E2189" s="812"/>
      <c r="F2189" s="812"/>
      <c r="G2189" s="812"/>
      <c r="H2189" s="812"/>
    </row>
    <row r="2190" spans="1:8">
      <c r="A2190" s="812"/>
      <c r="B2190" s="812"/>
      <c r="C2190" s="812"/>
      <c r="D2190" s="812"/>
      <c r="E2190" s="812"/>
      <c r="F2190" s="812"/>
      <c r="G2190" s="812"/>
      <c r="H2190" s="812"/>
    </row>
    <row r="2191" spans="1:8">
      <c r="A2191" s="812"/>
      <c r="B2191" s="812"/>
      <c r="C2191" s="812"/>
      <c r="D2191" s="812"/>
      <c r="E2191" s="812"/>
      <c r="F2191" s="812"/>
      <c r="G2191" s="812"/>
      <c r="H2191" s="812"/>
    </row>
    <row r="2192" spans="1:8">
      <c r="A2192" s="812"/>
      <c r="B2192" s="812"/>
      <c r="C2192" s="812"/>
      <c r="D2192" s="812"/>
      <c r="E2192" s="812"/>
      <c r="F2192" s="812"/>
      <c r="G2192" s="812"/>
      <c r="H2192" s="812"/>
    </row>
    <row r="2193" spans="1:8">
      <c r="A2193" s="812"/>
      <c r="B2193" s="812"/>
      <c r="C2193" s="812"/>
      <c r="D2193" s="812"/>
      <c r="E2193" s="812"/>
      <c r="F2193" s="812"/>
      <c r="G2193" s="812"/>
      <c r="H2193" s="812"/>
    </row>
    <row r="2194" spans="1:8">
      <c r="A2194" s="812"/>
      <c r="B2194" s="812"/>
      <c r="C2194" s="812"/>
      <c r="D2194" s="812"/>
      <c r="E2194" s="812"/>
      <c r="F2194" s="812"/>
      <c r="G2194" s="812"/>
      <c r="H2194" s="812"/>
    </row>
    <row r="2195" spans="1:8">
      <c r="A2195" s="812"/>
      <c r="B2195" s="812"/>
      <c r="C2195" s="812"/>
      <c r="D2195" s="812"/>
      <c r="E2195" s="812"/>
      <c r="F2195" s="812"/>
      <c r="G2195" s="812"/>
      <c r="H2195" s="812"/>
    </row>
    <row r="2196" spans="1:8">
      <c r="A2196" s="812"/>
      <c r="B2196" s="812"/>
      <c r="C2196" s="812"/>
      <c r="D2196" s="812"/>
      <c r="E2196" s="812"/>
      <c r="F2196" s="812"/>
      <c r="G2196" s="812"/>
      <c r="H2196" s="812"/>
    </row>
    <row r="2197" spans="1:8">
      <c r="A2197" s="812"/>
      <c r="B2197" s="812"/>
      <c r="C2197" s="812"/>
      <c r="D2197" s="812"/>
      <c r="E2197" s="812"/>
      <c r="F2197" s="812"/>
      <c r="G2197" s="812"/>
      <c r="H2197" s="812"/>
    </row>
    <row r="2198" spans="1:8">
      <c r="A2198" s="812"/>
      <c r="B2198" s="812"/>
      <c r="C2198" s="812"/>
      <c r="D2198" s="812"/>
      <c r="E2198" s="812"/>
      <c r="F2198" s="812"/>
      <c r="G2198" s="812"/>
      <c r="H2198" s="812"/>
    </row>
    <row r="2199" spans="1:8">
      <c r="A2199" s="812"/>
      <c r="B2199" s="812"/>
      <c r="C2199" s="812"/>
      <c r="D2199" s="812"/>
      <c r="E2199" s="812"/>
      <c r="F2199" s="812"/>
      <c r="G2199" s="812"/>
      <c r="H2199" s="812"/>
    </row>
    <row r="2200" spans="1:8">
      <c r="A2200" s="812"/>
      <c r="B2200" s="812"/>
      <c r="C2200" s="812"/>
      <c r="D2200" s="812"/>
      <c r="E2200" s="812"/>
      <c r="F2200" s="812"/>
      <c r="G2200" s="812"/>
      <c r="H2200" s="812"/>
    </row>
    <row r="2201" spans="1:8">
      <c r="A2201" s="812"/>
      <c r="B2201" s="812"/>
      <c r="C2201" s="812"/>
      <c r="D2201" s="812"/>
      <c r="E2201" s="812"/>
      <c r="F2201" s="812"/>
      <c r="G2201" s="812"/>
      <c r="H2201" s="812"/>
    </row>
    <row r="2202" spans="1:8">
      <c r="A2202" s="812"/>
      <c r="B2202" s="812"/>
      <c r="C2202" s="812"/>
      <c r="D2202" s="812"/>
      <c r="E2202" s="812"/>
      <c r="F2202" s="812"/>
      <c r="G2202" s="812"/>
      <c r="H2202" s="812"/>
    </row>
    <row r="2203" spans="1:8">
      <c r="A2203" s="812"/>
      <c r="B2203" s="812"/>
      <c r="C2203" s="812"/>
      <c r="D2203" s="812"/>
      <c r="E2203" s="812"/>
      <c r="F2203" s="812"/>
      <c r="G2203" s="812"/>
      <c r="H2203" s="812"/>
    </row>
    <row r="2204" spans="1:8">
      <c r="A2204" s="812"/>
      <c r="B2204" s="812"/>
      <c r="C2204" s="812"/>
      <c r="D2204" s="812"/>
      <c r="E2204" s="812"/>
      <c r="F2204" s="812"/>
      <c r="G2204" s="812"/>
      <c r="H2204" s="812"/>
    </row>
    <row r="2205" spans="1:8">
      <c r="A2205" s="812"/>
      <c r="B2205" s="812"/>
      <c r="C2205" s="812"/>
      <c r="D2205" s="812"/>
      <c r="E2205" s="812"/>
      <c r="F2205" s="812"/>
      <c r="G2205" s="812"/>
      <c r="H2205" s="812"/>
    </row>
    <row r="2206" spans="1:8">
      <c r="A2206" s="812"/>
      <c r="B2206" s="812"/>
      <c r="C2206" s="812"/>
      <c r="D2206" s="812"/>
      <c r="E2206" s="812"/>
      <c r="F2206" s="812"/>
      <c r="G2206" s="812"/>
      <c r="H2206" s="812"/>
    </row>
    <row r="2207" spans="1:8">
      <c r="A2207" s="812"/>
      <c r="B2207" s="812"/>
      <c r="C2207" s="812"/>
      <c r="D2207" s="812"/>
      <c r="E2207" s="812"/>
      <c r="F2207" s="812"/>
      <c r="G2207" s="812"/>
      <c r="H2207" s="812"/>
    </row>
    <row r="2208" spans="1:8">
      <c r="A2208" s="812"/>
      <c r="B2208" s="812"/>
      <c r="C2208" s="812"/>
      <c r="D2208" s="812"/>
      <c r="E2208" s="812"/>
      <c r="F2208" s="812"/>
      <c r="G2208" s="812"/>
      <c r="H2208" s="812"/>
    </row>
    <row r="2209" spans="1:8">
      <c r="A2209" s="812"/>
      <c r="B2209" s="812"/>
      <c r="C2209" s="812"/>
      <c r="D2209" s="812"/>
      <c r="E2209" s="812"/>
      <c r="F2209" s="812"/>
      <c r="G2209" s="812"/>
      <c r="H2209" s="812"/>
    </row>
    <row r="2210" spans="1:8">
      <c r="A2210" s="812"/>
      <c r="B2210" s="812"/>
      <c r="C2210" s="812"/>
      <c r="D2210" s="812"/>
      <c r="E2210" s="812"/>
      <c r="F2210" s="812"/>
      <c r="G2210" s="812"/>
      <c r="H2210" s="812"/>
    </row>
    <row r="2211" spans="1:8">
      <c r="A2211" s="812"/>
      <c r="B2211" s="812"/>
      <c r="C2211" s="812"/>
      <c r="D2211" s="812"/>
      <c r="E2211" s="812"/>
      <c r="F2211" s="812"/>
      <c r="G2211" s="812"/>
      <c r="H2211" s="812"/>
    </row>
    <row r="2212" spans="1:8">
      <c r="A2212" s="812"/>
      <c r="B2212" s="812"/>
      <c r="C2212" s="812"/>
      <c r="D2212" s="812"/>
      <c r="E2212" s="812"/>
      <c r="F2212" s="812"/>
      <c r="G2212" s="812"/>
      <c r="H2212" s="812"/>
    </row>
    <row r="2213" spans="1:8">
      <c r="A2213" s="812"/>
      <c r="B2213" s="812"/>
      <c r="C2213" s="812"/>
      <c r="D2213" s="812"/>
      <c r="E2213" s="812"/>
      <c r="F2213" s="812"/>
      <c r="G2213" s="812"/>
      <c r="H2213" s="812"/>
    </row>
    <row r="2214" spans="1:8">
      <c r="A2214" s="812"/>
      <c r="B2214" s="812"/>
      <c r="C2214" s="812"/>
      <c r="D2214" s="812"/>
      <c r="E2214" s="812"/>
      <c r="F2214" s="812"/>
      <c r="G2214" s="812"/>
      <c r="H2214" s="812"/>
    </row>
    <row r="2215" spans="1:8">
      <c r="A2215" s="812"/>
      <c r="B2215" s="812"/>
      <c r="C2215" s="812"/>
      <c r="D2215" s="812"/>
      <c r="E2215" s="812"/>
      <c r="F2215" s="812"/>
      <c r="G2215" s="812"/>
      <c r="H2215" s="812"/>
    </row>
    <row r="2216" spans="1:8">
      <c r="A2216" s="812"/>
      <c r="B2216" s="812"/>
      <c r="C2216" s="812"/>
      <c r="D2216" s="812"/>
      <c r="E2216" s="812"/>
      <c r="F2216" s="812"/>
      <c r="G2216" s="812"/>
      <c r="H2216" s="812"/>
    </row>
    <row r="2217" spans="1:8">
      <c r="A2217" s="812"/>
      <c r="B2217" s="812"/>
      <c r="C2217" s="812"/>
      <c r="D2217" s="812"/>
      <c r="E2217" s="812"/>
      <c r="F2217" s="812"/>
      <c r="G2217" s="812"/>
      <c r="H2217" s="812"/>
    </row>
    <row r="2218" spans="1:8">
      <c r="A2218" s="812"/>
      <c r="B2218" s="812"/>
      <c r="C2218" s="812"/>
      <c r="D2218" s="812"/>
      <c r="E2218" s="812"/>
      <c r="F2218" s="812"/>
      <c r="G2218" s="812"/>
      <c r="H2218" s="812"/>
    </row>
    <row r="2219" spans="1:8">
      <c r="A2219" s="812"/>
      <c r="B2219" s="812"/>
      <c r="C2219" s="812"/>
      <c r="D2219" s="812"/>
      <c r="E2219" s="812"/>
      <c r="F2219" s="812"/>
      <c r="G2219" s="812"/>
      <c r="H2219" s="812"/>
    </row>
    <row r="2220" spans="1:8">
      <c r="A2220" s="812"/>
      <c r="B2220" s="812"/>
      <c r="C2220" s="812"/>
      <c r="D2220" s="812"/>
      <c r="E2220" s="812"/>
      <c r="F2220" s="812"/>
      <c r="G2220" s="812"/>
      <c r="H2220" s="812"/>
    </row>
    <row r="2221" spans="1:8">
      <c r="A2221" s="812"/>
      <c r="B2221" s="812"/>
      <c r="C2221" s="812"/>
      <c r="D2221" s="812"/>
      <c r="E2221" s="812"/>
      <c r="F2221" s="812"/>
      <c r="G2221" s="812"/>
      <c r="H2221" s="812"/>
    </row>
    <row r="2222" spans="1:8">
      <c r="A2222" s="812"/>
      <c r="B2222" s="812"/>
      <c r="C2222" s="812"/>
      <c r="D2222" s="812"/>
      <c r="E2222" s="812"/>
      <c r="F2222" s="812"/>
      <c r="G2222" s="812"/>
      <c r="H2222" s="812"/>
    </row>
    <row r="2223" spans="1:8">
      <c r="A2223" s="812"/>
      <c r="B2223" s="812"/>
      <c r="C2223" s="812"/>
      <c r="D2223" s="812"/>
      <c r="E2223" s="812"/>
      <c r="F2223" s="812"/>
      <c r="G2223" s="812"/>
      <c r="H2223" s="812"/>
    </row>
    <row r="2224" spans="1:8">
      <c r="A2224" s="812"/>
      <c r="B2224" s="812"/>
      <c r="C2224" s="812"/>
      <c r="D2224" s="812"/>
      <c r="E2224" s="812"/>
      <c r="F2224" s="812"/>
      <c r="G2224" s="812"/>
      <c r="H2224" s="812"/>
    </row>
    <row r="2225" spans="1:8">
      <c r="A2225" s="812"/>
      <c r="B2225" s="812"/>
      <c r="C2225" s="812"/>
      <c r="D2225" s="812"/>
      <c r="E2225" s="812"/>
      <c r="F2225" s="812"/>
      <c r="G2225" s="812"/>
      <c r="H2225" s="812"/>
    </row>
    <row r="2226" spans="1:8">
      <c r="A2226" s="812"/>
      <c r="B2226" s="812"/>
      <c r="C2226" s="812"/>
      <c r="D2226" s="812"/>
      <c r="E2226" s="812"/>
      <c r="F2226" s="812"/>
      <c r="G2226" s="812"/>
      <c r="H2226" s="812"/>
    </row>
    <row r="2227" spans="1:8">
      <c r="A2227" s="812"/>
      <c r="B2227" s="812"/>
      <c r="C2227" s="812"/>
      <c r="D2227" s="812"/>
      <c r="E2227" s="812"/>
      <c r="F2227" s="812"/>
      <c r="G2227" s="812"/>
      <c r="H2227" s="812"/>
    </row>
    <row r="2228" spans="1:8">
      <c r="A2228" s="812"/>
      <c r="B2228" s="812"/>
      <c r="C2228" s="812"/>
      <c r="D2228" s="812"/>
      <c r="E2228" s="812"/>
      <c r="F2228" s="812"/>
      <c r="G2228" s="812"/>
      <c r="H2228" s="812"/>
    </row>
    <row r="2229" spans="1:8">
      <c r="A2229" s="812"/>
      <c r="B2229" s="812"/>
      <c r="C2229" s="812"/>
      <c r="D2229" s="812"/>
      <c r="E2229" s="812"/>
      <c r="F2229" s="812"/>
      <c r="G2229" s="812"/>
      <c r="H2229" s="812"/>
    </row>
    <row r="2230" spans="1:8">
      <c r="A2230" s="812"/>
      <c r="B2230" s="812"/>
      <c r="C2230" s="812"/>
      <c r="D2230" s="812"/>
      <c r="E2230" s="812"/>
      <c r="F2230" s="812"/>
      <c r="G2230" s="812"/>
      <c r="H2230" s="812"/>
    </row>
    <row r="2231" spans="1:8">
      <c r="A2231" s="812"/>
      <c r="B2231" s="812"/>
      <c r="C2231" s="812"/>
      <c r="D2231" s="812"/>
      <c r="E2231" s="812"/>
      <c r="F2231" s="812"/>
      <c r="G2231" s="812"/>
      <c r="H2231" s="812"/>
    </row>
    <row r="2232" spans="1:8">
      <c r="A2232" s="812"/>
      <c r="B2232" s="812"/>
      <c r="C2232" s="812"/>
      <c r="D2232" s="812"/>
      <c r="E2232" s="812"/>
      <c r="F2232" s="812"/>
      <c r="G2232" s="812"/>
      <c r="H2232" s="812"/>
    </row>
    <row r="2233" spans="1:8">
      <c r="A2233" s="812"/>
      <c r="B2233" s="812"/>
      <c r="C2233" s="812"/>
      <c r="D2233" s="812"/>
      <c r="E2233" s="812"/>
      <c r="F2233" s="812"/>
      <c r="G2233" s="812"/>
      <c r="H2233" s="812"/>
    </row>
    <row r="2234" spans="1:8">
      <c r="A2234" s="812"/>
      <c r="B2234" s="812"/>
      <c r="C2234" s="812"/>
      <c r="D2234" s="812"/>
      <c r="E2234" s="812"/>
      <c r="F2234" s="812"/>
      <c r="G2234" s="812"/>
      <c r="H2234" s="812"/>
    </row>
    <row r="2235" spans="1:8">
      <c r="A2235" s="812"/>
      <c r="B2235" s="812"/>
      <c r="C2235" s="812"/>
      <c r="D2235" s="812"/>
      <c r="E2235" s="812"/>
      <c r="F2235" s="812"/>
      <c r="G2235" s="812"/>
      <c r="H2235" s="812"/>
    </row>
    <row r="2236" spans="1:8">
      <c r="A2236" s="812"/>
      <c r="B2236" s="812"/>
      <c r="C2236" s="812"/>
      <c r="D2236" s="812"/>
      <c r="E2236" s="812"/>
      <c r="F2236" s="812"/>
      <c r="G2236" s="812"/>
      <c r="H2236" s="812"/>
    </row>
    <row r="2237" spans="1:8">
      <c r="A2237" s="812"/>
      <c r="B2237" s="812"/>
      <c r="C2237" s="812"/>
      <c r="D2237" s="812"/>
      <c r="E2237" s="812"/>
      <c r="F2237" s="812"/>
      <c r="G2237" s="812"/>
      <c r="H2237" s="812"/>
    </row>
    <row r="2238" spans="1:8">
      <c r="A2238" s="812"/>
      <c r="B2238" s="812"/>
      <c r="C2238" s="812"/>
      <c r="D2238" s="812"/>
      <c r="E2238" s="812"/>
      <c r="F2238" s="812"/>
      <c r="G2238" s="812"/>
      <c r="H2238" s="812"/>
    </row>
    <row r="2239" spans="1:8">
      <c r="A2239" s="812"/>
      <c r="B2239" s="812"/>
      <c r="C2239" s="812"/>
      <c r="D2239" s="812"/>
      <c r="E2239" s="812"/>
      <c r="F2239" s="812"/>
      <c r="G2239" s="812"/>
      <c r="H2239" s="812"/>
    </row>
    <row r="2240" spans="1:8">
      <c r="A2240" s="812"/>
      <c r="B2240" s="812"/>
      <c r="C2240" s="812"/>
      <c r="D2240" s="812"/>
      <c r="E2240" s="812"/>
      <c r="F2240" s="812"/>
      <c r="G2240" s="812"/>
      <c r="H2240" s="812"/>
    </row>
    <row r="2241" spans="1:8">
      <c r="A2241" s="812"/>
      <c r="B2241" s="812"/>
      <c r="C2241" s="812"/>
      <c r="D2241" s="812"/>
      <c r="E2241" s="812"/>
      <c r="F2241" s="812"/>
      <c r="G2241" s="812"/>
      <c r="H2241" s="812"/>
    </row>
    <row r="2242" spans="1:8">
      <c r="A2242" s="812"/>
      <c r="B2242" s="812"/>
      <c r="C2242" s="812"/>
      <c r="D2242" s="812"/>
      <c r="E2242" s="812"/>
      <c r="F2242" s="812"/>
      <c r="G2242" s="812"/>
      <c r="H2242" s="812"/>
    </row>
    <row r="2243" spans="1:8">
      <c r="A2243" s="812"/>
      <c r="B2243" s="812"/>
      <c r="C2243" s="812"/>
      <c r="D2243" s="812"/>
      <c r="E2243" s="812"/>
      <c r="F2243" s="812"/>
      <c r="G2243" s="812"/>
      <c r="H2243" s="812"/>
    </row>
    <row r="2244" spans="1:8">
      <c r="A2244" s="812"/>
      <c r="B2244" s="812"/>
      <c r="C2244" s="812"/>
      <c r="D2244" s="812"/>
      <c r="E2244" s="812"/>
      <c r="F2244" s="812"/>
      <c r="G2244" s="812"/>
      <c r="H2244" s="812"/>
    </row>
    <row r="2245" spans="1:8">
      <c r="A2245" s="812"/>
      <c r="B2245" s="812"/>
      <c r="C2245" s="812"/>
      <c r="D2245" s="812"/>
      <c r="E2245" s="812"/>
      <c r="F2245" s="812"/>
      <c r="G2245" s="812"/>
      <c r="H2245" s="812"/>
    </row>
    <row r="2246" spans="1:8">
      <c r="A2246" s="812"/>
      <c r="B2246" s="812"/>
      <c r="C2246" s="812"/>
      <c r="D2246" s="812"/>
      <c r="E2246" s="812"/>
      <c r="F2246" s="812"/>
      <c r="G2246" s="812"/>
      <c r="H2246" s="812"/>
    </row>
    <row r="2247" spans="1:8">
      <c r="A2247" s="812"/>
      <c r="B2247" s="812"/>
      <c r="C2247" s="812"/>
      <c r="D2247" s="812"/>
      <c r="E2247" s="812"/>
      <c r="F2247" s="812"/>
      <c r="G2247" s="812"/>
      <c r="H2247" s="812"/>
    </row>
    <row r="2248" spans="1:8">
      <c r="A2248" s="812"/>
      <c r="B2248" s="812"/>
      <c r="C2248" s="812"/>
      <c r="D2248" s="812"/>
      <c r="E2248" s="812"/>
      <c r="F2248" s="812"/>
      <c r="G2248" s="812"/>
      <c r="H2248" s="812"/>
    </row>
    <row r="2249" spans="1:8">
      <c r="A2249" s="812"/>
      <c r="B2249" s="812"/>
      <c r="C2249" s="812"/>
      <c r="D2249" s="812"/>
      <c r="E2249" s="812"/>
      <c r="F2249" s="812"/>
      <c r="G2249" s="812"/>
      <c r="H2249" s="812"/>
    </row>
    <row r="2250" spans="1:8">
      <c r="A2250" s="812"/>
      <c r="B2250" s="812"/>
      <c r="C2250" s="812"/>
      <c r="D2250" s="812"/>
      <c r="E2250" s="812"/>
      <c r="F2250" s="812"/>
      <c r="G2250" s="812"/>
      <c r="H2250" s="812"/>
    </row>
    <row r="2251" spans="1:8">
      <c r="A2251" s="812"/>
      <c r="B2251" s="812"/>
      <c r="C2251" s="812"/>
      <c r="D2251" s="812"/>
      <c r="E2251" s="812"/>
      <c r="F2251" s="812"/>
      <c r="G2251" s="812"/>
      <c r="H2251" s="812"/>
    </row>
    <row r="2252" spans="1:8">
      <c r="A2252" s="812"/>
      <c r="B2252" s="812"/>
      <c r="C2252" s="812"/>
      <c r="D2252" s="812"/>
      <c r="E2252" s="812"/>
      <c r="F2252" s="812"/>
      <c r="G2252" s="812"/>
      <c r="H2252" s="812"/>
    </row>
    <row r="2253" spans="1:8">
      <c r="A2253" s="812"/>
      <c r="B2253" s="812"/>
      <c r="C2253" s="812"/>
      <c r="D2253" s="812"/>
      <c r="E2253" s="812"/>
      <c r="F2253" s="812"/>
      <c r="G2253" s="812"/>
      <c r="H2253" s="812"/>
    </row>
    <row r="2254" spans="1:8">
      <c r="A2254" s="812"/>
      <c r="B2254" s="812"/>
      <c r="C2254" s="812"/>
      <c r="D2254" s="812"/>
      <c r="E2254" s="812"/>
      <c r="F2254" s="812"/>
      <c r="G2254" s="812"/>
      <c r="H2254" s="812"/>
    </row>
    <row r="2255" spans="1:8">
      <c r="A2255" s="812"/>
      <c r="B2255" s="812"/>
      <c r="C2255" s="812"/>
      <c r="D2255" s="812"/>
      <c r="E2255" s="812"/>
      <c r="F2255" s="812"/>
      <c r="G2255" s="812"/>
      <c r="H2255" s="812"/>
    </row>
    <row r="2256" spans="1:8">
      <c r="A2256" s="812"/>
      <c r="B2256" s="812"/>
      <c r="C2256" s="812"/>
      <c r="D2256" s="812"/>
      <c r="E2256" s="812"/>
      <c r="F2256" s="812"/>
      <c r="G2256" s="812"/>
      <c r="H2256" s="812"/>
    </row>
    <row r="2257" spans="1:8">
      <c r="A2257" s="812"/>
      <c r="B2257" s="812"/>
      <c r="C2257" s="812"/>
      <c r="D2257" s="812"/>
      <c r="E2257" s="812"/>
      <c r="F2257" s="812"/>
      <c r="G2257" s="812"/>
      <c r="H2257" s="812"/>
    </row>
    <row r="2258" spans="1:8">
      <c r="A2258" s="812"/>
      <c r="B2258" s="812"/>
      <c r="C2258" s="812"/>
      <c r="D2258" s="812"/>
      <c r="E2258" s="812"/>
      <c r="F2258" s="812"/>
      <c r="G2258" s="812"/>
      <c r="H2258" s="812"/>
    </row>
    <row r="2259" spans="1:8">
      <c r="A2259" s="812"/>
      <c r="B2259" s="812"/>
      <c r="C2259" s="812"/>
      <c r="D2259" s="812"/>
      <c r="E2259" s="812"/>
      <c r="F2259" s="812"/>
      <c r="G2259" s="812"/>
      <c r="H2259" s="812"/>
    </row>
    <row r="2260" spans="1:8">
      <c r="A2260" s="812"/>
      <c r="B2260" s="812"/>
      <c r="C2260" s="812"/>
      <c r="D2260" s="812"/>
      <c r="E2260" s="812"/>
      <c r="F2260" s="812"/>
      <c r="G2260" s="812"/>
      <c r="H2260" s="812"/>
    </row>
    <row r="2261" spans="1:8">
      <c r="A2261" s="812"/>
      <c r="B2261" s="812"/>
      <c r="C2261" s="812"/>
      <c r="D2261" s="812"/>
      <c r="E2261" s="812"/>
      <c r="F2261" s="812"/>
      <c r="G2261" s="812"/>
      <c r="H2261" s="812"/>
    </row>
    <row r="2262" spans="1:8">
      <c r="A2262" s="812"/>
      <c r="B2262" s="812"/>
      <c r="C2262" s="812"/>
      <c r="D2262" s="812"/>
      <c r="E2262" s="812"/>
      <c r="F2262" s="812"/>
      <c r="G2262" s="812"/>
      <c r="H2262" s="812"/>
    </row>
    <row r="2263" spans="1:8">
      <c r="A2263" s="812"/>
      <c r="B2263" s="812"/>
      <c r="C2263" s="812"/>
      <c r="D2263" s="812"/>
      <c r="E2263" s="812"/>
      <c r="F2263" s="812"/>
      <c r="G2263" s="812"/>
      <c r="H2263" s="812"/>
    </row>
    <row r="2264" spans="1:8">
      <c r="A2264" s="812"/>
      <c r="B2264" s="812"/>
      <c r="C2264" s="812"/>
      <c r="D2264" s="812"/>
      <c r="E2264" s="812"/>
      <c r="F2264" s="812"/>
      <c r="G2264" s="812"/>
      <c r="H2264" s="812"/>
    </row>
    <row r="2265" spans="1:8">
      <c r="A2265" s="812"/>
      <c r="B2265" s="812"/>
      <c r="C2265" s="812"/>
      <c r="D2265" s="812"/>
      <c r="E2265" s="812"/>
      <c r="F2265" s="812"/>
      <c r="G2265" s="812"/>
      <c r="H2265" s="812"/>
    </row>
    <row r="2266" spans="1:8">
      <c r="A2266" s="812"/>
      <c r="B2266" s="812"/>
      <c r="C2266" s="812"/>
      <c r="D2266" s="812"/>
      <c r="E2266" s="812"/>
      <c r="F2266" s="812"/>
      <c r="G2266" s="812"/>
      <c r="H2266" s="812"/>
    </row>
    <row r="2267" spans="1:8">
      <c r="A2267" s="812"/>
      <c r="B2267" s="812"/>
      <c r="C2267" s="812"/>
      <c r="D2267" s="812"/>
      <c r="E2267" s="812"/>
      <c r="F2267" s="812"/>
      <c r="G2267" s="812"/>
      <c r="H2267" s="812"/>
    </row>
    <row r="2268" spans="1:8">
      <c r="A2268" s="812"/>
      <c r="B2268" s="812"/>
      <c r="C2268" s="812"/>
      <c r="D2268" s="812"/>
      <c r="E2268" s="812"/>
      <c r="F2268" s="812"/>
      <c r="G2268" s="812"/>
      <c r="H2268" s="812"/>
    </row>
    <row r="2269" spans="1:8">
      <c r="A2269" s="812"/>
      <c r="B2269" s="812"/>
      <c r="C2269" s="812"/>
      <c r="D2269" s="812"/>
      <c r="E2269" s="812"/>
      <c r="F2269" s="812"/>
      <c r="G2269" s="812"/>
      <c r="H2269" s="812"/>
    </row>
    <row r="2270" spans="1:8">
      <c r="A2270" s="812"/>
      <c r="B2270" s="812"/>
      <c r="C2270" s="812"/>
      <c r="D2270" s="812"/>
      <c r="E2270" s="812"/>
      <c r="F2270" s="812"/>
      <c r="G2270" s="812"/>
      <c r="H2270" s="812"/>
    </row>
    <row r="2271" spans="1:8">
      <c r="A2271" s="812"/>
      <c r="B2271" s="812"/>
      <c r="C2271" s="812"/>
      <c r="D2271" s="812"/>
      <c r="E2271" s="812"/>
      <c r="F2271" s="812"/>
      <c r="G2271" s="812"/>
      <c r="H2271" s="812"/>
    </row>
    <row r="2272" spans="1:8">
      <c r="A2272" s="812"/>
      <c r="B2272" s="812"/>
      <c r="C2272" s="812"/>
      <c r="D2272" s="812"/>
      <c r="E2272" s="812"/>
      <c r="F2272" s="812"/>
      <c r="G2272" s="812"/>
      <c r="H2272" s="812"/>
    </row>
    <row r="2273" spans="1:8">
      <c r="A2273" s="812"/>
      <c r="B2273" s="812"/>
      <c r="C2273" s="812"/>
      <c r="D2273" s="812"/>
      <c r="E2273" s="812"/>
      <c r="F2273" s="812"/>
      <c r="G2273" s="812"/>
      <c r="H2273" s="812"/>
    </row>
    <row r="2274" spans="1:8">
      <c r="A2274" s="812"/>
      <c r="B2274" s="812"/>
      <c r="C2274" s="812"/>
      <c r="D2274" s="812"/>
      <c r="E2274" s="812"/>
      <c r="F2274" s="812"/>
      <c r="G2274" s="812"/>
      <c r="H2274" s="812"/>
    </row>
    <row r="2275" spans="1:8">
      <c r="A2275" s="812"/>
      <c r="B2275" s="812"/>
      <c r="C2275" s="812"/>
      <c r="D2275" s="812"/>
      <c r="E2275" s="812"/>
      <c r="F2275" s="812"/>
      <c r="G2275" s="812"/>
      <c r="H2275" s="812"/>
    </row>
    <row r="2276" spans="1:8">
      <c r="A2276" s="812"/>
      <c r="B2276" s="812"/>
      <c r="C2276" s="812"/>
      <c r="D2276" s="812"/>
      <c r="E2276" s="812"/>
      <c r="F2276" s="812"/>
      <c r="G2276" s="812"/>
      <c r="H2276" s="812"/>
    </row>
    <row r="2277" spans="1:8">
      <c r="A2277" s="812"/>
      <c r="B2277" s="812"/>
      <c r="C2277" s="812"/>
      <c r="D2277" s="812"/>
      <c r="E2277" s="812"/>
      <c r="F2277" s="812"/>
      <c r="G2277" s="812"/>
      <c r="H2277" s="812"/>
    </row>
    <row r="2278" spans="1:8">
      <c r="A2278" s="812"/>
      <c r="B2278" s="812"/>
      <c r="C2278" s="812"/>
      <c r="D2278" s="812"/>
      <c r="E2278" s="812"/>
      <c r="F2278" s="812"/>
      <c r="G2278" s="812"/>
      <c r="H2278" s="812"/>
    </row>
    <row r="2279" spans="1:8">
      <c r="A2279" s="812"/>
      <c r="B2279" s="812"/>
      <c r="C2279" s="812"/>
      <c r="D2279" s="812"/>
      <c r="E2279" s="812"/>
      <c r="F2279" s="812"/>
      <c r="G2279" s="812"/>
      <c r="H2279" s="812"/>
    </row>
    <row r="2280" spans="1:8">
      <c r="A2280" s="812"/>
      <c r="B2280" s="812"/>
      <c r="C2280" s="812"/>
      <c r="D2280" s="812"/>
      <c r="E2280" s="812"/>
      <c r="F2280" s="812"/>
      <c r="G2280" s="812"/>
      <c r="H2280" s="812"/>
    </row>
    <row r="2281" spans="1:8">
      <c r="A2281" s="812"/>
      <c r="B2281" s="812"/>
      <c r="C2281" s="812"/>
      <c r="D2281" s="812"/>
      <c r="E2281" s="812"/>
      <c r="F2281" s="812"/>
      <c r="G2281" s="812"/>
      <c r="H2281" s="812"/>
    </row>
    <row r="2282" spans="1:8">
      <c r="A2282" s="812"/>
      <c r="B2282" s="812"/>
      <c r="C2282" s="812"/>
      <c r="D2282" s="812"/>
      <c r="E2282" s="812"/>
      <c r="F2282" s="812"/>
      <c r="G2282" s="812"/>
      <c r="H2282" s="812"/>
    </row>
    <row r="2283" spans="1:8">
      <c r="A2283" s="812"/>
      <c r="B2283" s="812"/>
      <c r="C2283" s="812"/>
      <c r="D2283" s="812"/>
      <c r="E2283" s="812"/>
      <c r="F2283" s="812"/>
      <c r="G2283" s="812"/>
      <c r="H2283" s="812"/>
    </row>
    <row r="2284" spans="1:8">
      <c r="A2284" s="812"/>
      <c r="B2284" s="812"/>
      <c r="C2284" s="812"/>
      <c r="D2284" s="812"/>
      <c r="E2284" s="812"/>
      <c r="F2284" s="812"/>
      <c r="G2284" s="812"/>
      <c r="H2284" s="812"/>
    </row>
    <row r="2285" spans="1:8">
      <c r="A2285" s="812"/>
      <c r="B2285" s="812"/>
      <c r="C2285" s="812"/>
      <c r="D2285" s="812"/>
      <c r="E2285" s="812"/>
      <c r="F2285" s="812"/>
      <c r="G2285" s="812"/>
      <c r="H2285" s="812"/>
    </row>
    <row r="2286" spans="1:8">
      <c r="A2286" s="812"/>
      <c r="B2286" s="812"/>
      <c r="C2286" s="812"/>
      <c r="D2286" s="812"/>
      <c r="E2286" s="812"/>
      <c r="F2286" s="812"/>
      <c r="G2286" s="812"/>
      <c r="H2286" s="812"/>
    </row>
    <row r="2287" spans="1:8">
      <c r="A2287" s="812"/>
      <c r="B2287" s="812"/>
      <c r="C2287" s="812"/>
      <c r="D2287" s="812"/>
      <c r="E2287" s="812"/>
      <c r="F2287" s="812"/>
      <c r="G2287" s="812"/>
      <c r="H2287" s="812"/>
    </row>
    <row r="2288" spans="1:8">
      <c r="A2288" s="812"/>
      <c r="B2288" s="812"/>
      <c r="C2288" s="812"/>
      <c r="D2288" s="812"/>
      <c r="E2288" s="812"/>
      <c r="F2288" s="812"/>
      <c r="G2288" s="812"/>
      <c r="H2288" s="812"/>
    </row>
    <row r="2289" spans="1:8">
      <c r="A2289" s="812"/>
      <c r="B2289" s="812"/>
      <c r="C2289" s="812"/>
      <c r="D2289" s="812"/>
      <c r="E2289" s="812"/>
      <c r="F2289" s="812"/>
      <c r="G2289" s="812"/>
      <c r="H2289" s="812"/>
    </row>
    <row r="2290" spans="1:8">
      <c r="A2290" s="812"/>
      <c r="B2290" s="812"/>
      <c r="C2290" s="812"/>
      <c r="D2290" s="812"/>
      <c r="E2290" s="812"/>
      <c r="F2290" s="812"/>
      <c r="G2290" s="812"/>
      <c r="H2290" s="812"/>
    </row>
    <row r="2291" spans="1:8">
      <c r="A2291" s="812"/>
      <c r="B2291" s="812"/>
      <c r="C2291" s="812"/>
      <c r="D2291" s="812"/>
      <c r="E2291" s="812"/>
      <c r="F2291" s="812"/>
      <c r="G2291" s="812"/>
      <c r="H2291" s="812"/>
    </row>
    <row r="2292" spans="1:8">
      <c r="A2292" s="812"/>
      <c r="B2292" s="812"/>
      <c r="C2292" s="812"/>
      <c r="D2292" s="812"/>
      <c r="E2292" s="812"/>
      <c r="F2292" s="812"/>
      <c r="G2292" s="812"/>
      <c r="H2292" s="812"/>
    </row>
    <row r="2293" spans="1:8">
      <c r="A2293" s="812"/>
      <c r="B2293" s="812"/>
      <c r="C2293" s="812"/>
      <c r="D2293" s="812"/>
      <c r="E2293" s="812"/>
      <c r="F2293" s="812"/>
      <c r="G2293" s="812"/>
      <c r="H2293" s="812"/>
    </row>
    <row r="2294" spans="1:8">
      <c r="A2294" s="812"/>
      <c r="B2294" s="812"/>
      <c r="C2294" s="812"/>
      <c r="D2294" s="812"/>
      <c r="E2294" s="812"/>
      <c r="F2294" s="812"/>
      <c r="G2294" s="812"/>
      <c r="H2294" s="812"/>
    </row>
    <row r="2295" spans="1:8">
      <c r="A2295" s="812"/>
      <c r="B2295" s="812"/>
      <c r="C2295" s="812"/>
      <c r="D2295" s="812"/>
      <c r="E2295" s="812"/>
      <c r="F2295" s="812"/>
      <c r="G2295" s="812"/>
      <c r="H2295" s="812"/>
    </row>
    <row r="2296" spans="1:8">
      <c r="A2296" s="812"/>
      <c r="B2296" s="812"/>
      <c r="C2296" s="812"/>
      <c r="D2296" s="812"/>
      <c r="E2296" s="812"/>
      <c r="F2296" s="812"/>
      <c r="G2296" s="812"/>
      <c r="H2296" s="812"/>
    </row>
    <row r="2297" spans="1:8">
      <c r="A2297" s="812"/>
      <c r="B2297" s="812"/>
      <c r="C2297" s="812"/>
      <c r="D2297" s="812"/>
      <c r="E2297" s="812"/>
      <c r="F2297" s="812"/>
      <c r="G2297" s="812"/>
      <c r="H2297" s="812"/>
    </row>
    <row r="2298" spans="1:8">
      <c r="A2298" s="812"/>
      <c r="B2298" s="812"/>
      <c r="C2298" s="812"/>
      <c r="D2298" s="812"/>
      <c r="E2298" s="812"/>
      <c r="F2298" s="812"/>
      <c r="G2298" s="812"/>
      <c r="H2298" s="812"/>
    </row>
    <row r="2299" spans="1:8">
      <c r="A2299" s="812"/>
      <c r="B2299" s="812"/>
      <c r="C2299" s="812"/>
      <c r="D2299" s="812"/>
      <c r="E2299" s="812"/>
      <c r="F2299" s="812"/>
      <c r="G2299" s="812"/>
      <c r="H2299" s="812"/>
    </row>
    <row r="2300" spans="1:8">
      <c r="A2300" s="812"/>
      <c r="B2300" s="812"/>
      <c r="C2300" s="812"/>
      <c r="D2300" s="812"/>
      <c r="E2300" s="812"/>
      <c r="F2300" s="812"/>
      <c r="G2300" s="812"/>
      <c r="H2300" s="812"/>
    </row>
    <row r="2301" spans="1:8">
      <c r="A2301" s="812"/>
      <c r="B2301" s="812"/>
      <c r="C2301" s="812"/>
      <c r="D2301" s="812"/>
      <c r="E2301" s="812"/>
      <c r="F2301" s="812"/>
      <c r="G2301" s="812"/>
      <c r="H2301" s="812"/>
    </row>
    <row r="2302" spans="1:8">
      <c r="A2302" s="812"/>
      <c r="B2302" s="812"/>
      <c r="C2302" s="812"/>
      <c r="D2302" s="812"/>
      <c r="E2302" s="812"/>
      <c r="F2302" s="812"/>
      <c r="G2302" s="812"/>
      <c r="H2302" s="812"/>
    </row>
    <row r="2303" spans="1:8">
      <c r="A2303" s="812"/>
      <c r="B2303" s="812"/>
      <c r="C2303" s="812"/>
      <c r="D2303" s="812"/>
      <c r="E2303" s="812"/>
      <c r="F2303" s="812"/>
      <c r="G2303" s="812"/>
      <c r="H2303" s="812"/>
    </row>
    <row r="2304" spans="1:8">
      <c r="A2304" s="812"/>
      <c r="B2304" s="812"/>
      <c r="C2304" s="812"/>
      <c r="D2304" s="812"/>
      <c r="E2304" s="812"/>
      <c r="F2304" s="812"/>
      <c r="G2304" s="812"/>
      <c r="H2304" s="812"/>
    </row>
    <row r="2305" spans="1:8">
      <c r="A2305" s="812"/>
      <c r="B2305" s="812"/>
      <c r="C2305" s="812"/>
      <c r="D2305" s="812"/>
      <c r="E2305" s="812"/>
      <c r="F2305" s="812"/>
      <c r="G2305" s="812"/>
      <c r="H2305" s="812"/>
    </row>
    <row r="2306" spans="1:8">
      <c r="A2306" s="812"/>
      <c r="B2306" s="812"/>
      <c r="C2306" s="812"/>
      <c r="D2306" s="812"/>
      <c r="E2306" s="812"/>
      <c r="F2306" s="812"/>
      <c r="G2306" s="812"/>
      <c r="H2306" s="812"/>
    </row>
    <row r="2307" spans="1:8">
      <c r="A2307" s="812"/>
      <c r="B2307" s="812"/>
      <c r="C2307" s="812"/>
      <c r="D2307" s="812"/>
      <c r="E2307" s="812"/>
      <c r="F2307" s="812"/>
      <c r="G2307" s="812"/>
      <c r="H2307" s="812"/>
    </row>
    <row r="2308" spans="1:8">
      <c r="A2308" s="812"/>
      <c r="B2308" s="812"/>
      <c r="C2308" s="812"/>
      <c r="D2308" s="812"/>
      <c r="E2308" s="812"/>
      <c r="F2308" s="812"/>
      <c r="G2308" s="812"/>
      <c r="H2308" s="812"/>
    </row>
    <row r="2309" spans="1:8">
      <c r="A2309" s="812"/>
      <c r="B2309" s="812"/>
      <c r="C2309" s="812"/>
      <c r="D2309" s="812"/>
      <c r="E2309" s="812"/>
      <c r="F2309" s="812"/>
      <c r="G2309" s="812"/>
      <c r="H2309" s="812"/>
    </row>
    <row r="2310" spans="1:8">
      <c r="A2310" s="812"/>
      <c r="B2310" s="812"/>
      <c r="C2310" s="812"/>
      <c r="D2310" s="812"/>
      <c r="E2310" s="812"/>
      <c r="F2310" s="812"/>
      <c r="G2310" s="812"/>
      <c r="H2310" s="812"/>
    </row>
    <row r="2311" spans="1:8">
      <c r="A2311" s="812"/>
      <c r="B2311" s="812"/>
      <c r="C2311" s="812"/>
      <c r="D2311" s="812"/>
      <c r="E2311" s="812"/>
      <c r="F2311" s="812"/>
      <c r="G2311" s="812"/>
      <c r="H2311" s="812"/>
    </row>
    <row r="2312" spans="1:8">
      <c r="A2312" s="812"/>
      <c r="B2312" s="812"/>
      <c r="C2312" s="812"/>
      <c r="D2312" s="812"/>
      <c r="E2312" s="812"/>
      <c r="F2312" s="812"/>
      <c r="G2312" s="812"/>
      <c r="H2312" s="812"/>
    </row>
    <row r="2313" spans="1:8">
      <c r="A2313" s="812"/>
      <c r="B2313" s="812"/>
      <c r="C2313" s="812"/>
      <c r="D2313" s="812"/>
      <c r="E2313" s="812"/>
      <c r="F2313" s="812"/>
      <c r="G2313" s="812"/>
      <c r="H2313" s="812"/>
    </row>
    <row r="2314" spans="1:8">
      <c r="A2314" s="812"/>
      <c r="B2314" s="812"/>
      <c r="C2314" s="812"/>
      <c r="D2314" s="812"/>
      <c r="E2314" s="812"/>
      <c r="F2314" s="812"/>
      <c r="G2314" s="812"/>
      <c r="H2314" s="812"/>
    </row>
    <row r="2315" spans="1:8">
      <c r="A2315" s="812"/>
      <c r="B2315" s="812"/>
      <c r="C2315" s="812"/>
      <c r="D2315" s="812"/>
      <c r="E2315" s="812"/>
      <c r="F2315" s="812"/>
      <c r="G2315" s="812"/>
      <c r="H2315" s="812"/>
    </row>
    <row r="2316" spans="1:8">
      <c r="A2316" s="812"/>
      <c r="B2316" s="812"/>
      <c r="C2316" s="812"/>
      <c r="D2316" s="812"/>
      <c r="E2316" s="812"/>
      <c r="F2316" s="812"/>
      <c r="G2316" s="812"/>
      <c r="H2316" s="812"/>
    </row>
    <row r="2317" spans="1:8">
      <c r="A2317" s="812"/>
      <c r="B2317" s="812"/>
      <c r="C2317" s="812"/>
      <c r="D2317" s="812"/>
      <c r="E2317" s="812"/>
      <c r="F2317" s="812"/>
      <c r="G2317" s="812"/>
      <c r="H2317" s="812"/>
    </row>
    <row r="2318" spans="1:8">
      <c r="A2318" s="812"/>
      <c r="B2318" s="812"/>
      <c r="C2318" s="812"/>
      <c r="D2318" s="812"/>
      <c r="E2318" s="812"/>
      <c r="F2318" s="812"/>
      <c r="G2318" s="812"/>
      <c r="H2318" s="812"/>
    </row>
    <row r="2319" spans="1:8">
      <c r="A2319" s="812"/>
      <c r="B2319" s="812"/>
      <c r="C2319" s="812"/>
      <c r="D2319" s="812"/>
      <c r="E2319" s="812"/>
      <c r="F2319" s="812"/>
      <c r="G2319" s="812"/>
      <c r="H2319" s="812"/>
    </row>
    <row r="2320" spans="1:8">
      <c r="A2320" s="812"/>
      <c r="B2320" s="812"/>
      <c r="C2320" s="812"/>
      <c r="D2320" s="812"/>
      <c r="E2320" s="812"/>
      <c r="F2320" s="812"/>
      <c r="G2320" s="812"/>
      <c r="H2320" s="812"/>
    </row>
    <row r="2321" spans="1:8">
      <c r="A2321" s="812"/>
      <c r="B2321" s="812"/>
      <c r="C2321" s="812"/>
      <c r="D2321" s="812"/>
      <c r="E2321" s="812"/>
      <c r="F2321" s="812"/>
      <c r="G2321" s="812"/>
      <c r="H2321" s="812"/>
    </row>
    <row r="2322" spans="1:8">
      <c r="A2322" s="812"/>
      <c r="B2322" s="812"/>
      <c r="C2322" s="812"/>
      <c r="D2322" s="812"/>
      <c r="E2322" s="812"/>
      <c r="F2322" s="812"/>
      <c r="G2322" s="812"/>
      <c r="H2322" s="812"/>
    </row>
    <row r="2323" spans="1:8">
      <c r="A2323" s="812"/>
      <c r="B2323" s="812"/>
      <c r="C2323" s="812"/>
      <c r="D2323" s="812"/>
      <c r="E2323" s="812"/>
      <c r="F2323" s="812"/>
      <c r="G2323" s="812"/>
      <c r="H2323" s="812"/>
    </row>
    <row r="2324" spans="1:8">
      <c r="A2324" s="812"/>
      <c r="B2324" s="812"/>
      <c r="C2324" s="812"/>
      <c r="D2324" s="812"/>
      <c r="E2324" s="812"/>
      <c r="F2324" s="812"/>
      <c r="G2324" s="812"/>
      <c r="H2324" s="812"/>
    </row>
    <row r="2325" spans="1:8">
      <c r="A2325" s="812"/>
      <c r="B2325" s="812"/>
      <c r="C2325" s="812"/>
      <c r="D2325" s="812"/>
      <c r="E2325" s="812"/>
      <c r="F2325" s="812"/>
      <c r="G2325" s="812"/>
      <c r="H2325" s="812"/>
    </row>
    <row r="2326" spans="1:8">
      <c r="A2326" s="812"/>
      <c r="B2326" s="812"/>
      <c r="C2326" s="812"/>
      <c r="D2326" s="812"/>
      <c r="E2326" s="812"/>
      <c r="F2326" s="812"/>
      <c r="G2326" s="812"/>
      <c r="H2326" s="812"/>
    </row>
    <row r="2327" spans="1:8">
      <c r="A2327" s="812"/>
      <c r="B2327" s="812"/>
      <c r="C2327" s="812"/>
      <c r="D2327" s="812"/>
      <c r="E2327" s="812"/>
      <c r="F2327" s="812"/>
      <c r="G2327" s="812"/>
      <c r="H2327" s="812"/>
    </row>
    <row r="2328" spans="1:8">
      <c r="A2328" s="812"/>
      <c r="B2328" s="812"/>
      <c r="C2328" s="812"/>
      <c r="D2328" s="812"/>
      <c r="E2328" s="812"/>
      <c r="F2328" s="812"/>
      <c r="G2328" s="812"/>
      <c r="H2328" s="812"/>
    </row>
    <row r="2329" spans="1:8">
      <c r="A2329" s="812"/>
      <c r="B2329" s="812"/>
      <c r="C2329" s="812"/>
      <c r="D2329" s="812"/>
      <c r="E2329" s="812"/>
      <c r="F2329" s="812"/>
      <c r="G2329" s="812"/>
      <c r="H2329" s="812"/>
    </row>
    <row r="2330" spans="1:8">
      <c r="A2330" s="812"/>
      <c r="B2330" s="812"/>
      <c r="C2330" s="812"/>
      <c r="D2330" s="812"/>
      <c r="E2330" s="812"/>
      <c r="F2330" s="812"/>
      <c r="G2330" s="812"/>
      <c r="H2330" s="812"/>
    </row>
    <row r="2331" spans="1:8">
      <c r="A2331" s="812"/>
      <c r="B2331" s="812"/>
      <c r="C2331" s="812"/>
      <c r="D2331" s="812"/>
      <c r="E2331" s="812"/>
      <c r="F2331" s="812"/>
      <c r="G2331" s="812"/>
      <c r="H2331" s="812"/>
    </row>
    <row r="2332" spans="1:8">
      <c r="A2332" s="812"/>
      <c r="B2332" s="812"/>
      <c r="C2332" s="812"/>
      <c r="D2332" s="812"/>
      <c r="E2332" s="812"/>
      <c r="F2332" s="812"/>
      <c r="G2332" s="812"/>
      <c r="H2332" s="812"/>
    </row>
    <row r="2333" spans="1:8">
      <c r="A2333" s="812"/>
      <c r="B2333" s="812"/>
      <c r="C2333" s="812"/>
      <c r="D2333" s="812"/>
      <c r="E2333" s="812"/>
      <c r="F2333" s="812"/>
      <c r="G2333" s="812"/>
      <c r="H2333" s="812"/>
    </row>
    <row r="2334" spans="1:8">
      <c r="A2334" s="812"/>
      <c r="B2334" s="812"/>
      <c r="C2334" s="812"/>
      <c r="D2334" s="812"/>
      <c r="E2334" s="812"/>
      <c r="F2334" s="812"/>
      <c r="G2334" s="812"/>
      <c r="H2334" s="812"/>
    </row>
    <row r="2335" spans="1:8">
      <c r="A2335" s="812"/>
      <c r="B2335" s="812"/>
      <c r="C2335" s="812"/>
      <c r="D2335" s="812"/>
      <c r="E2335" s="812"/>
      <c r="F2335" s="812"/>
      <c r="G2335" s="812"/>
      <c r="H2335" s="812"/>
    </row>
    <row r="2336" spans="1:8">
      <c r="A2336" s="812"/>
      <c r="B2336" s="812"/>
      <c r="C2336" s="812"/>
      <c r="D2336" s="812"/>
      <c r="E2336" s="812"/>
      <c r="F2336" s="812"/>
      <c r="G2336" s="812"/>
      <c r="H2336" s="812"/>
    </row>
    <row r="2337" spans="1:8">
      <c r="A2337" s="812"/>
      <c r="B2337" s="812"/>
      <c r="C2337" s="812"/>
      <c r="D2337" s="812"/>
      <c r="E2337" s="812"/>
      <c r="F2337" s="812"/>
      <c r="G2337" s="812"/>
      <c r="H2337" s="812"/>
    </row>
    <row r="2338" spans="1:8">
      <c r="A2338" s="812"/>
      <c r="B2338" s="812"/>
      <c r="C2338" s="812"/>
      <c r="D2338" s="812"/>
      <c r="E2338" s="812"/>
      <c r="F2338" s="812"/>
      <c r="G2338" s="812"/>
      <c r="H2338" s="812"/>
    </row>
    <row r="2339" spans="1:8">
      <c r="A2339" s="812"/>
      <c r="B2339" s="812"/>
      <c r="C2339" s="812"/>
      <c r="D2339" s="812"/>
      <c r="E2339" s="812"/>
      <c r="F2339" s="812"/>
      <c r="G2339" s="812"/>
      <c r="H2339" s="812"/>
    </row>
    <row r="2340" spans="1:8">
      <c r="A2340" s="812"/>
      <c r="B2340" s="812"/>
      <c r="C2340" s="812"/>
      <c r="D2340" s="812"/>
      <c r="E2340" s="812"/>
      <c r="F2340" s="812"/>
      <c r="G2340" s="812"/>
      <c r="H2340" s="812"/>
    </row>
    <row r="2341" spans="1:8">
      <c r="A2341" s="812"/>
      <c r="B2341" s="812"/>
      <c r="C2341" s="812"/>
      <c r="D2341" s="812"/>
      <c r="E2341" s="812"/>
      <c r="F2341" s="812"/>
      <c r="G2341" s="812"/>
      <c r="H2341" s="812"/>
    </row>
    <row r="2342" spans="1:8">
      <c r="A2342" s="812"/>
      <c r="B2342" s="812"/>
      <c r="C2342" s="812"/>
      <c r="D2342" s="812"/>
      <c r="E2342" s="812"/>
      <c r="F2342" s="812"/>
      <c r="G2342" s="812"/>
      <c r="H2342" s="812"/>
    </row>
    <row r="2343" spans="1:8">
      <c r="A2343" s="812"/>
      <c r="B2343" s="812"/>
      <c r="C2343" s="812"/>
      <c r="D2343" s="812"/>
      <c r="E2343" s="812"/>
      <c r="F2343" s="812"/>
      <c r="G2343" s="812"/>
      <c r="H2343" s="812"/>
    </row>
    <row r="2344" spans="1:8">
      <c r="A2344" s="812"/>
      <c r="B2344" s="812"/>
      <c r="C2344" s="812"/>
      <c r="D2344" s="812"/>
      <c r="E2344" s="812"/>
      <c r="F2344" s="812"/>
      <c r="G2344" s="812"/>
      <c r="H2344" s="812"/>
    </row>
    <row r="2345" spans="1:8">
      <c r="A2345" s="812"/>
      <c r="B2345" s="812"/>
      <c r="C2345" s="812"/>
      <c r="D2345" s="812"/>
      <c r="E2345" s="812"/>
      <c r="F2345" s="812"/>
      <c r="G2345" s="812"/>
      <c r="H2345" s="812"/>
    </row>
    <row r="2346" spans="1:8">
      <c r="A2346" s="812"/>
      <c r="B2346" s="812"/>
      <c r="C2346" s="812"/>
      <c r="D2346" s="812"/>
      <c r="E2346" s="812"/>
      <c r="F2346" s="812"/>
      <c r="G2346" s="812"/>
      <c r="H2346" s="812"/>
    </row>
    <row r="2347" spans="1:8">
      <c r="A2347" s="812"/>
      <c r="B2347" s="812"/>
      <c r="C2347" s="812"/>
      <c r="D2347" s="812"/>
      <c r="E2347" s="812"/>
      <c r="F2347" s="812"/>
      <c r="G2347" s="812"/>
      <c r="H2347" s="812"/>
    </row>
    <row r="2348" spans="1:8">
      <c r="A2348" s="812"/>
      <c r="B2348" s="812"/>
      <c r="C2348" s="812"/>
      <c r="D2348" s="812"/>
      <c r="E2348" s="812"/>
      <c r="F2348" s="812"/>
      <c r="G2348" s="812"/>
      <c r="H2348" s="812"/>
    </row>
    <row r="2349" spans="1:8">
      <c r="A2349" s="812"/>
      <c r="B2349" s="812"/>
      <c r="C2349" s="812"/>
      <c r="D2349" s="812"/>
      <c r="E2349" s="812"/>
      <c r="F2349" s="812"/>
      <c r="G2349" s="812"/>
      <c r="H2349" s="812"/>
    </row>
    <row r="2350" spans="1:8">
      <c r="A2350" s="812"/>
      <c r="B2350" s="812"/>
      <c r="C2350" s="812"/>
      <c r="D2350" s="812"/>
      <c r="E2350" s="812"/>
      <c r="F2350" s="812"/>
      <c r="G2350" s="812"/>
      <c r="H2350" s="812"/>
    </row>
    <row r="2351" spans="1:8">
      <c r="A2351" s="812"/>
      <c r="B2351" s="812"/>
      <c r="C2351" s="812"/>
      <c r="D2351" s="812"/>
      <c r="E2351" s="812"/>
      <c r="F2351" s="812"/>
      <c r="G2351" s="812"/>
      <c r="H2351" s="812"/>
    </row>
    <row r="2352" spans="1:8">
      <c r="A2352" s="812"/>
      <c r="B2352" s="812"/>
      <c r="C2352" s="812"/>
      <c r="D2352" s="812"/>
      <c r="E2352" s="812"/>
      <c r="F2352" s="812"/>
      <c r="G2352" s="812"/>
      <c r="H2352" s="812"/>
    </row>
    <row r="2353" spans="1:8">
      <c r="A2353" s="812"/>
      <c r="B2353" s="812"/>
      <c r="C2353" s="812"/>
      <c r="D2353" s="812"/>
      <c r="E2353" s="812"/>
      <c r="F2353" s="812"/>
      <c r="G2353" s="812"/>
      <c r="H2353" s="812"/>
    </row>
    <row r="2354" spans="1:8">
      <c r="A2354" s="812"/>
      <c r="B2354" s="812"/>
      <c r="C2354" s="812"/>
      <c r="D2354" s="812"/>
      <c r="E2354" s="812"/>
      <c r="F2354" s="812"/>
      <c r="G2354" s="812"/>
      <c r="H2354" s="812"/>
    </row>
    <row r="2355" spans="1:8">
      <c r="A2355" s="812"/>
      <c r="B2355" s="812"/>
      <c r="C2355" s="812"/>
      <c r="D2355" s="812"/>
      <c r="E2355" s="812"/>
      <c r="F2355" s="812"/>
      <c r="G2355" s="812"/>
      <c r="H2355" s="812"/>
    </row>
    <row r="2356" spans="1:8">
      <c r="A2356" s="812"/>
      <c r="B2356" s="812"/>
      <c r="C2356" s="812"/>
      <c r="D2356" s="812"/>
      <c r="E2356" s="812"/>
      <c r="F2356" s="812"/>
      <c r="G2356" s="812"/>
      <c r="H2356" s="812"/>
    </row>
    <row r="2357" spans="1:8">
      <c r="A2357" s="812"/>
      <c r="B2357" s="812"/>
      <c r="C2357" s="812"/>
      <c r="D2357" s="812"/>
      <c r="E2357" s="812"/>
      <c r="F2357" s="812"/>
      <c r="G2357" s="812"/>
      <c r="H2357" s="812"/>
    </row>
    <row r="2358" spans="1:8">
      <c r="A2358" s="812"/>
      <c r="B2358" s="812"/>
      <c r="C2358" s="812"/>
      <c r="D2358" s="812"/>
      <c r="E2358" s="812"/>
      <c r="F2358" s="812"/>
      <c r="G2358" s="812"/>
      <c r="H2358" s="812"/>
    </row>
    <row r="2359" spans="1:8">
      <c r="A2359" s="812"/>
      <c r="B2359" s="812"/>
      <c r="C2359" s="812"/>
      <c r="D2359" s="812"/>
      <c r="E2359" s="812"/>
      <c r="F2359" s="812"/>
      <c r="G2359" s="812"/>
      <c r="H2359" s="812"/>
    </row>
    <row r="2360" spans="1:8">
      <c r="A2360" s="812"/>
      <c r="B2360" s="812"/>
      <c r="C2360" s="812"/>
      <c r="D2360" s="812"/>
      <c r="E2360" s="812"/>
      <c r="F2360" s="812"/>
      <c r="G2360" s="812"/>
      <c r="H2360" s="812"/>
    </row>
    <row r="2361" spans="1:8">
      <c r="A2361" s="812"/>
      <c r="B2361" s="812"/>
      <c r="C2361" s="812"/>
      <c r="D2361" s="812"/>
      <c r="E2361" s="812"/>
      <c r="F2361" s="812"/>
      <c r="G2361" s="812"/>
      <c r="H2361" s="812"/>
    </row>
    <row r="2362" spans="1:8">
      <c r="A2362" s="812"/>
      <c r="B2362" s="812"/>
      <c r="C2362" s="812"/>
      <c r="D2362" s="812"/>
      <c r="E2362" s="812"/>
      <c r="F2362" s="812"/>
      <c r="G2362" s="812"/>
      <c r="H2362" s="812"/>
    </row>
    <row r="2363" spans="1:8">
      <c r="A2363" s="812"/>
      <c r="B2363" s="812"/>
      <c r="C2363" s="812"/>
      <c r="D2363" s="812"/>
      <c r="E2363" s="812"/>
      <c r="F2363" s="812"/>
      <c r="G2363" s="812"/>
      <c r="H2363" s="812"/>
    </row>
    <row r="2364" spans="1:8">
      <c r="A2364" s="812"/>
      <c r="B2364" s="812"/>
      <c r="C2364" s="812"/>
      <c r="D2364" s="812"/>
      <c r="E2364" s="812"/>
      <c r="F2364" s="812"/>
      <c r="G2364" s="812"/>
      <c r="H2364" s="812"/>
    </row>
    <row r="2365" spans="1:8">
      <c r="A2365" s="812"/>
      <c r="B2365" s="812"/>
      <c r="C2365" s="812"/>
      <c r="D2365" s="812"/>
      <c r="E2365" s="812"/>
      <c r="F2365" s="812"/>
      <c r="G2365" s="812"/>
      <c r="H2365" s="812"/>
    </row>
    <row r="2366" spans="1:8">
      <c r="A2366" s="812"/>
      <c r="B2366" s="812"/>
      <c r="C2366" s="812"/>
      <c r="D2366" s="812"/>
      <c r="E2366" s="812"/>
      <c r="F2366" s="812"/>
      <c r="G2366" s="812"/>
      <c r="H2366" s="812"/>
    </row>
    <row r="2367" spans="1:8">
      <c r="A2367" s="812"/>
      <c r="B2367" s="812"/>
      <c r="C2367" s="812"/>
      <c r="D2367" s="812"/>
      <c r="E2367" s="812"/>
      <c r="F2367" s="812"/>
      <c r="G2367" s="812"/>
      <c r="H2367" s="812"/>
    </row>
    <row r="2368" spans="1:8">
      <c r="A2368" s="812"/>
      <c r="B2368" s="812"/>
      <c r="C2368" s="812"/>
      <c r="D2368" s="812"/>
      <c r="E2368" s="812"/>
      <c r="F2368" s="812"/>
      <c r="G2368" s="812"/>
      <c r="H2368" s="812"/>
    </row>
    <row r="2369" spans="1:8">
      <c r="A2369" s="812"/>
      <c r="B2369" s="812"/>
      <c r="C2369" s="812"/>
      <c r="D2369" s="812"/>
      <c r="E2369" s="812"/>
      <c r="F2369" s="812"/>
      <c r="G2369" s="812"/>
      <c r="H2369" s="812"/>
    </row>
    <row r="2370" spans="1:8">
      <c r="A2370" s="812"/>
      <c r="B2370" s="812"/>
      <c r="C2370" s="812"/>
      <c r="D2370" s="812"/>
      <c r="E2370" s="812"/>
      <c r="F2370" s="812"/>
      <c r="G2370" s="812"/>
      <c r="H2370" s="812"/>
    </row>
    <row r="2371" spans="1:8">
      <c r="A2371" s="812"/>
      <c r="B2371" s="812"/>
      <c r="C2371" s="812"/>
      <c r="D2371" s="812"/>
      <c r="E2371" s="812"/>
      <c r="F2371" s="812"/>
      <c r="G2371" s="812"/>
      <c r="H2371" s="812"/>
    </row>
    <row r="2372" spans="1:8">
      <c r="A2372" s="812"/>
      <c r="B2372" s="812"/>
      <c r="C2372" s="812"/>
      <c r="D2372" s="812"/>
      <c r="E2372" s="812"/>
      <c r="F2372" s="812"/>
      <c r="G2372" s="812"/>
      <c r="H2372" s="812"/>
    </row>
    <row r="2373" spans="1:8">
      <c r="A2373" s="812"/>
      <c r="B2373" s="812"/>
      <c r="C2373" s="812"/>
      <c r="D2373" s="812"/>
      <c r="E2373" s="812"/>
      <c r="F2373" s="812"/>
      <c r="G2373" s="812"/>
      <c r="H2373" s="812"/>
    </row>
    <row r="2374" spans="1:8">
      <c r="A2374" s="812"/>
      <c r="B2374" s="812"/>
      <c r="C2374" s="812"/>
      <c r="D2374" s="812"/>
      <c r="E2374" s="812"/>
      <c r="F2374" s="812"/>
      <c r="G2374" s="812"/>
      <c r="H2374" s="812"/>
    </row>
    <row r="2375" spans="1:8">
      <c r="A2375" s="812"/>
      <c r="B2375" s="812"/>
      <c r="C2375" s="812"/>
      <c r="D2375" s="812"/>
      <c r="E2375" s="812"/>
      <c r="F2375" s="812"/>
      <c r="G2375" s="812"/>
      <c r="H2375" s="812"/>
    </row>
    <row r="2376" spans="1:8">
      <c r="A2376" s="812"/>
      <c r="B2376" s="812"/>
      <c r="C2376" s="812"/>
      <c r="D2376" s="812"/>
      <c r="E2376" s="812"/>
      <c r="F2376" s="812"/>
      <c r="G2376" s="812"/>
      <c r="H2376" s="812"/>
    </row>
    <row r="2377" spans="1:8">
      <c r="A2377" s="812"/>
      <c r="B2377" s="812"/>
      <c r="C2377" s="812"/>
      <c r="D2377" s="812"/>
      <c r="E2377" s="812"/>
      <c r="F2377" s="812"/>
      <c r="G2377" s="812"/>
      <c r="H2377" s="812"/>
    </row>
    <row r="2378" spans="1:8">
      <c r="A2378" s="812"/>
      <c r="B2378" s="812"/>
      <c r="C2378" s="812"/>
      <c r="D2378" s="812"/>
      <c r="E2378" s="812"/>
      <c r="F2378" s="812"/>
      <c r="G2378" s="812"/>
      <c r="H2378" s="812"/>
    </row>
    <row r="2379" spans="1:8">
      <c r="A2379" s="812"/>
      <c r="B2379" s="812"/>
      <c r="C2379" s="812"/>
      <c r="D2379" s="812"/>
      <c r="E2379" s="812"/>
      <c r="F2379" s="812"/>
      <c r="G2379" s="812"/>
      <c r="H2379" s="812"/>
    </row>
    <row r="2380" spans="1:8">
      <c r="A2380" s="812"/>
      <c r="B2380" s="812"/>
      <c r="C2380" s="812"/>
      <c r="D2380" s="812"/>
      <c r="E2380" s="812"/>
      <c r="F2380" s="812"/>
      <c r="G2380" s="812"/>
      <c r="H2380" s="812"/>
    </row>
    <row r="2381" spans="1:8">
      <c r="A2381" s="812"/>
      <c r="B2381" s="812"/>
      <c r="C2381" s="812"/>
      <c r="D2381" s="812"/>
      <c r="E2381" s="812"/>
      <c r="F2381" s="812"/>
      <c r="G2381" s="812"/>
      <c r="H2381" s="812"/>
    </row>
    <row r="2382" spans="1:8">
      <c r="A2382" s="812"/>
      <c r="B2382" s="812"/>
      <c r="C2382" s="812"/>
      <c r="D2382" s="812"/>
      <c r="E2382" s="812"/>
      <c r="F2382" s="812"/>
      <c r="G2382" s="812"/>
      <c r="H2382" s="812"/>
    </row>
    <row r="2383" spans="1:8">
      <c r="A2383" s="812"/>
      <c r="B2383" s="812"/>
      <c r="C2383" s="812"/>
      <c r="D2383" s="812"/>
      <c r="E2383" s="812"/>
      <c r="F2383" s="812"/>
      <c r="G2383" s="812"/>
      <c r="H2383" s="812"/>
    </row>
    <row r="2384" spans="1:8">
      <c r="A2384" s="812"/>
      <c r="B2384" s="812"/>
      <c r="C2384" s="812"/>
      <c r="D2384" s="812"/>
      <c r="E2384" s="812"/>
      <c r="F2384" s="812"/>
      <c r="G2384" s="812"/>
      <c r="H2384" s="812"/>
    </row>
    <row r="2385" spans="1:8">
      <c r="A2385" s="812"/>
      <c r="B2385" s="812"/>
      <c r="C2385" s="812"/>
      <c r="D2385" s="812"/>
      <c r="E2385" s="812"/>
      <c r="F2385" s="812"/>
      <c r="G2385" s="812"/>
      <c r="H2385" s="812"/>
    </row>
    <row r="2386" spans="1:8">
      <c r="A2386" s="812"/>
      <c r="B2386" s="812"/>
      <c r="C2386" s="812"/>
      <c r="D2386" s="812"/>
      <c r="E2386" s="812"/>
      <c r="F2386" s="812"/>
      <c r="G2386" s="812"/>
      <c r="H2386" s="812"/>
    </row>
    <row r="2387" spans="1:8">
      <c r="A2387" s="812"/>
      <c r="B2387" s="812"/>
      <c r="C2387" s="812"/>
      <c r="D2387" s="812"/>
      <c r="E2387" s="812"/>
      <c r="F2387" s="812"/>
      <c r="G2387" s="812"/>
      <c r="H2387" s="812"/>
    </row>
    <row r="2388" spans="1:8">
      <c r="A2388" s="812"/>
      <c r="B2388" s="812"/>
      <c r="C2388" s="812"/>
      <c r="D2388" s="812"/>
      <c r="E2388" s="812"/>
      <c r="F2388" s="812"/>
      <c r="G2388" s="812"/>
      <c r="H2388" s="812"/>
    </row>
    <row r="2389" spans="1:8">
      <c r="A2389" s="812"/>
      <c r="B2389" s="812"/>
      <c r="C2389" s="812"/>
      <c r="D2389" s="812"/>
      <c r="E2389" s="812"/>
      <c r="F2389" s="812"/>
      <c r="G2389" s="812"/>
      <c r="H2389" s="812"/>
    </row>
    <row r="2390" spans="1:8">
      <c r="A2390" s="812"/>
      <c r="B2390" s="812"/>
      <c r="C2390" s="812"/>
      <c r="D2390" s="812"/>
      <c r="E2390" s="812"/>
      <c r="F2390" s="812"/>
      <c r="G2390" s="812"/>
      <c r="H2390" s="812"/>
    </row>
    <row r="2391" spans="1:8">
      <c r="A2391" s="812"/>
      <c r="B2391" s="812"/>
      <c r="C2391" s="812"/>
      <c r="D2391" s="812"/>
      <c r="E2391" s="812"/>
      <c r="F2391" s="812"/>
      <c r="G2391" s="812"/>
      <c r="H2391" s="812"/>
    </row>
    <row r="2392" spans="1:8">
      <c r="A2392" s="812"/>
      <c r="B2392" s="812"/>
      <c r="C2392" s="812"/>
      <c r="D2392" s="812"/>
      <c r="E2392" s="812"/>
      <c r="F2392" s="812"/>
      <c r="G2392" s="812"/>
      <c r="H2392" s="812"/>
    </row>
    <row r="2393" spans="1:8">
      <c r="A2393" s="812"/>
      <c r="B2393" s="812"/>
      <c r="C2393" s="812"/>
      <c r="D2393" s="812"/>
      <c r="E2393" s="812"/>
      <c r="F2393" s="812"/>
      <c r="G2393" s="812"/>
      <c r="H2393" s="812"/>
    </row>
    <row r="2394" spans="1:8">
      <c r="A2394" s="812"/>
      <c r="B2394" s="812"/>
      <c r="C2394" s="812"/>
      <c r="D2394" s="812"/>
      <c r="E2394" s="812"/>
      <c r="F2394" s="812"/>
      <c r="G2394" s="812"/>
      <c r="H2394" s="812"/>
    </row>
    <row r="2395" spans="1:8">
      <c r="A2395" s="812"/>
      <c r="B2395" s="812"/>
      <c r="C2395" s="812"/>
      <c r="D2395" s="812"/>
      <c r="E2395" s="812"/>
      <c r="F2395" s="812"/>
      <c r="G2395" s="812"/>
      <c r="H2395" s="812"/>
    </row>
    <row r="2396" spans="1:8">
      <c r="A2396" s="812"/>
      <c r="B2396" s="812"/>
      <c r="C2396" s="812"/>
      <c r="D2396" s="812"/>
      <c r="E2396" s="812"/>
      <c r="F2396" s="812"/>
      <c r="G2396" s="812"/>
      <c r="H2396" s="812"/>
    </row>
    <row r="2397" spans="1:8">
      <c r="A2397" s="812"/>
      <c r="B2397" s="812"/>
      <c r="C2397" s="812"/>
      <c r="D2397" s="812"/>
      <c r="E2397" s="812"/>
      <c r="F2397" s="812"/>
      <c r="G2397" s="812"/>
      <c r="H2397" s="812"/>
    </row>
    <row r="2398" spans="1:8">
      <c r="A2398" s="812"/>
      <c r="B2398" s="812"/>
      <c r="C2398" s="812"/>
      <c r="D2398" s="812"/>
      <c r="E2398" s="812"/>
      <c r="F2398" s="812"/>
      <c r="G2398" s="812"/>
      <c r="H2398" s="812"/>
    </row>
    <row r="2399" spans="1:8">
      <c r="A2399" s="812"/>
      <c r="B2399" s="812"/>
      <c r="C2399" s="812"/>
      <c r="D2399" s="812"/>
      <c r="E2399" s="812"/>
      <c r="F2399" s="812"/>
      <c r="G2399" s="812"/>
      <c r="H2399" s="812"/>
    </row>
    <row r="2400" spans="1:8">
      <c r="A2400" s="812"/>
      <c r="B2400" s="812"/>
      <c r="C2400" s="812"/>
      <c r="D2400" s="812"/>
      <c r="E2400" s="812"/>
      <c r="F2400" s="812"/>
      <c r="G2400" s="812"/>
      <c r="H2400" s="812"/>
    </row>
    <row r="2401" spans="1:8">
      <c r="A2401" s="812"/>
      <c r="B2401" s="812"/>
      <c r="C2401" s="812"/>
      <c r="D2401" s="812"/>
      <c r="E2401" s="812"/>
      <c r="F2401" s="812"/>
      <c r="G2401" s="812"/>
      <c r="H2401" s="812"/>
    </row>
    <row r="2402" spans="1:8">
      <c r="A2402" s="812"/>
      <c r="B2402" s="812"/>
      <c r="C2402" s="812"/>
      <c r="D2402" s="812"/>
      <c r="E2402" s="812"/>
      <c r="F2402" s="812"/>
      <c r="G2402" s="812"/>
      <c r="H2402" s="812"/>
    </row>
    <row r="2403" spans="1:8">
      <c r="A2403" s="812"/>
      <c r="B2403" s="812"/>
      <c r="C2403" s="812"/>
      <c r="D2403" s="812"/>
      <c r="E2403" s="812"/>
      <c r="F2403" s="812"/>
      <c r="G2403" s="812"/>
      <c r="H2403" s="812"/>
    </row>
    <row r="2404" spans="1:8">
      <c r="A2404" s="812"/>
      <c r="B2404" s="812"/>
      <c r="C2404" s="812"/>
      <c r="D2404" s="812"/>
      <c r="E2404" s="812"/>
      <c r="F2404" s="812"/>
      <c r="G2404" s="812"/>
      <c r="H2404" s="812"/>
    </row>
    <row r="2405" spans="1:8">
      <c r="A2405" s="812"/>
      <c r="B2405" s="812"/>
      <c r="C2405" s="812"/>
      <c r="D2405" s="812"/>
      <c r="E2405" s="812"/>
      <c r="F2405" s="812"/>
      <c r="G2405" s="812"/>
      <c r="H2405" s="812"/>
    </row>
    <row r="2406" spans="1:8">
      <c r="A2406" s="812"/>
      <c r="B2406" s="812"/>
      <c r="C2406" s="812"/>
      <c r="D2406" s="812"/>
      <c r="E2406" s="812"/>
      <c r="F2406" s="812"/>
      <c r="G2406" s="812"/>
      <c r="H2406" s="812"/>
    </row>
    <row r="2407" spans="1:8">
      <c r="A2407" s="812"/>
      <c r="B2407" s="812"/>
      <c r="C2407" s="812"/>
      <c r="D2407" s="812"/>
      <c r="E2407" s="812"/>
      <c r="F2407" s="812"/>
      <c r="G2407" s="812"/>
      <c r="H2407" s="812"/>
    </row>
    <row r="2408" spans="1:8">
      <c r="A2408" s="812"/>
      <c r="B2408" s="812"/>
      <c r="C2408" s="812"/>
      <c r="D2408" s="812"/>
      <c r="E2408" s="812"/>
      <c r="F2408" s="812"/>
      <c r="G2408" s="812"/>
      <c r="H2408" s="812"/>
    </row>
    <row r="2409" spans="1:8">
      <c r="A2409" s="812"/>
      <c r="B2409" s="812"/>
      <c r="C2409" s="812"/>
      <c r="D2409" s="812"/>
      <c r="E2409" s="812"/>
      <c r="F2409" s="812"/>
      <c r="G2409" s="812"/>
      <c r="H2409" s="812"/>
    </row>
    <row r="2410" spans="1:8">
      <c r="A2410" s="812"/>
      <c r="B2410" s="812"/>
      <c r="C2410" s="812"/>
      <c r="D2410" s="812"/>
      <c r="E2410" s="812"/>
      <c r="F2410" s="812"/>
      <c r="G2410" s="812"/>
      <c r="H2410" s="812"/>
    </row>
    <row r="2411" spans="1:8">
      <c r="A2411" s="812"/>
      <c r="B2411" s="812"/>
      <c r="C2411" s="812"/>
      <c r="D2411" s="812"/>
      <c r="E2411" s="812"/>
      <c r="F2411" s="812"/>
      <c r="G2411" s="812"/>
      <c r="H2411" s="812"/>
    </row>
    <row r="2412" spans="1:8">
      <c r="A2412" s="812"/>
      <c r="B2412" s="812"/>
      <c r="C2412" s="812"/>
      <c r="D2412" s="812"/>
      <c r="E2412" s="812"/>
      <c r="F2412" s="812"/>
      <c r="G2412" s="812"/>
      <c r="H2412" s="812"/>
    </row>
    <row r="2413" spans="1:8">
      <c r="A2413" s="812"/>
      <c r="B2413" s="812"/>
      <c r="C2413" s="812"/>
      <c r="D2413" s="812"/>
      <c r="E2413" s="812"/>
      <c r="F2413" s="812"/>
      <c r="G2413" s="812"/>
      <c r="H2413" s="812"/>
    </row>
    <row r="2414" spans="1:8">
      <c r="A2414" s="812"/>
      <c r="B2414" s="812"/>
      <c r="C2414" s="812"/>
      <c r="D2414" s="812"/>
      <c r="E2414" s="812"/>
      <c r="F2414" s="812"/>
      <c r="G2414" s="812"/>
      <c r="H2414" s="812"/>
    </row>
    <row r="2415" spans="1:8">
      <c r="A2415" s="812"/>
      <c r="B2415" s="812"/>
      <c r="C2415" s="812"/>
      <c r="D2415" s="812"/>
      <c r="E2415" s="812"/>
      <c r="F2415" s="812"/>
      <c r="G2415" s="812"/>
      <c r="H2415" s="812"/>
    </row>
    <row r="2416" spans="1:8">
      <c r="A2416" s="812"/>
      <c r="B2416" s="812"/>
      <c r="C2416" s="812"/>
      <c r="D2416" s="812"/>
      <c r="E2416" s="812"/>
      <c r="F2416" s="812"/>
      <c r="G2416" s="812"/>
      <c r="H2416" s="812"/>
    </row>
    <row r="2417" spans="1:8">
      <c r="A2417" s="812"/>
      <c r="B2417" s="812"/>
      <c r="C2417" s="812"/>
      <c r="D2417" s="812"/>
      <c r="E2417" s="812"/>
      <c r="F2417" s="812"/>
      <c r="G2417" s="812"/>
      <c r="H2417" s="812"/>
    </row>
    <row r="2418" spans="1:8">
      <c r="A2418" s="812"/>
      <c r="B2418" s="812"/>
      <c r="C2418" s="812"/>
      <c r="D2418" s="812"/>
      <c r="E2418" s="812"/>
      <c r="F2418" s="812"/>
      <c r="G2418" s="812"/>
      <c r="H2418" s="812"/>
    </row>
    <row r="2419" spans="1:8">
      <c r="A2419" s="812"/>
      <c r="B2419" s="812"/>
      <c r="C2419" s="812"/>
      <c r="D2419" s="812"/>
      <c r="E2419" s="812"/>
      <c r="F2419" s="812"/>
      <c r="G2419" s="812"/>
      <c r="H2419" s="812"/>
    </row>
    <row r="2420" spans="1:8">
      <c r="A2420" s="812"/>
      <c r="B2420" s="812"/>
      <c r="C2420" s="812"/>
      <c r="D2420" s="812"/>
      <c r="E2420" s="812"/>
      <c r="F2420" s="812"/>
      <c r="G2420" s="812"/>
      <c r="H2420" s="812"/>
    </row>
    <row r="2421" spans="1:8">
      <c r="A2421" s="812"/>
      <c r="B2421" s="812"/>
      <c r="C2421" s="812"/>
      <c r="D2421" s="812"/>
      <c r="E2421" s="812"/>
      <c r="F2421" s="812"/>
      <c r="G2421" s="812"/>
      <c r="H2421" s="812"/>
    </row>
    <row r="2422" spans="1:8">
      <c r="A2422" s="812"/>
      <c r="B2422" s="812"/>
      <c r="C2422" s="812"/>
      <c r="D2422" s="812"/>
      <c r="E2422" s="812"/>
      <c r="F2422" s="812"/>
      <c r="G2422" s="812"/>
      <c r="H2422" s="812"/>
    </row>
    <row r="2423" spans="1:8">
      <c r="A2423" s="812"/>
      <c r="B2423" s="812"/>
      <c r="C2423" s="812"/>
      <c r="D2423" s="812"/>
      <c r="E2423" s="812"/>
      <c r="F2423" s="812"/>
      <c r="G2423" s="812"/>
      <c r="H2423" s="812"/>
    </row>
    <row r="2424" spans="1:8">
      <c r="A2424" s="812"/>
      <c r="B2424" s="812"/>
      <c r="C2424" s="812"/>
      <c r="D2424" s="812"/>
      <c r="E2424" s="812"/>
      <c r="F2424" s="812"/>
      <c r="G2424" s="812"/>
      <c r="H2424" s="812"/>
    </row>
    <row r="2425" spans="1:8">
      <c r="A2425" s="812"/>
      <c r="B2425" s="812"/>
      <c r="C2425" s="812"/>
      <c r="D2425" s="812"/>
      <c r="E2425" s="812"/>
      <c r="F2425" s="812"/>
      <c r="G2425" s="812"/>
      <c r="H2425" s="812"/>
    </row>
    <row r="2426" spans="1:8">
      <c r="A2426" s="812"/>
      <c r="B2426" s="812"/>
      <c r="C2426" s="812"/>
      <c r="D2426" s="812"/>
      <c r="E2426" s="812"/>
      <c r="F2426" s="812"/>
      <c r="G2426" s="812"/>
      <c r="H2426" s="812"/>
    </row>
    <row r="2427" spans="1:8">
      <c r="A2427" s="812"/>
      <c r="B2427" s="812"/>
      <c r="C2427" s="812"/>
      <c r="D2427" s="812"/>
      <c r="E2427" s="812"/>
      <c r="F2427" s="812"/>
      <c r="G2427" s="812"/>
      <c r="H2427" s="812"/>
    </row>
    <row r="2428" spans="1:8">
      <c r="A2428" s="812"/>
      <c r="B2428" s="812"/>
      <c r="C2428" s="812"/>
      <c r="D2428" s="812"/>
      <c r="E2428" s="812"/>
      <c r="F2428" s="812"/>
      <c r="G2428" s="812"/>
      <c r="H2428" s="812"/>
    </row>
    <row r="2429" spans="1:8">
      <c r="A2429" s="812"/>
      <c r="B2429" s="812"/>
      <c r="C2429" s="812"/>
      <c r="D2429" s="812"/>
      <c r="E2429" s="812"/>
      <c r="F2429" s="812"/>
      <c r="G2429" s="812"/>
      <c r="H2429" s="812"/>
    </row>
    <row r="2430" spans="1:8">
      <c r="A2430" s="812"/>
      <c r="B2430" s="812"/>
      <c r="C2430" s="812"/>
      <c r="D2430" s="812"/>
      <c r="E2430" s="812"/>
      <c r="F2430" s="812"/>
      <c r="G2430" s="812"/>
      <c r="H2430" s="812"/>
    </row>
    <row r="2431" spans="1:8">
      <c r="A2431" s="812"/>
      <c r="B2431" s="812"/>
      <c r="C2431" s="812"/>
      <c r="D2431" s="812"/>
      <c r="E2431" s="812"/>
      <c r="F2431" s="812"/>
      <c r="G2431" s="812"/>
      <c r="H2431" s="812"/>
    </row>
    <row r="2432" spans="1:8">
      <c r="A2432" s="812"/>
      <c r="B2432" s="812"/>
      <c r="C2432" s="812"/>
      <c r="D2432" s="812"/>
      <c r="E2432" s="812"/>
      <c r="F2432" s="812"/>
      <c r="G2432" s="812"/>
      <c r="H2432" s="812"/>
    </row>
    <row r="2433" spans="1:8">
      <c r="A2433" s="812"/>
      <c r="B2433" s="812"/>
      <c r="C2433" s="812"/>
      <c r="D2433" s="812"/>
      <c r="E2433" s="812"/>
      <c r="F2433" s="812"/>
      <c r="G2433" s="812"/>
      <c r="H2433" s="812"/>
    </row>
    <row r="2434" spans="1:8">
      <c r="A2434" s="812"/>
      <c r="B2434" s="812"/>
      <c r="C2434" s="812"/>
      <c r="D2434" s="812"/>
      <c r="E2434" s="812"/>
      <c r="F2434" s="812"/>
      <c r="G2434" s="812"/>
      <c r="H2434" s="812"/>
    </row>
    <row r="2435" spans="1:8">
      <c r="A2435" s="812"/>
      <c r="B2435" s="812"/>
      <c r="C2435" s="812"/>
      <c r="D2435" s="812"/>
      <c r="E2435" s="812"/>
      <c r="F2435" s="812"/>
      <c r="G2435" s="812"/>
      <c r="H2435" s="812"/>
    </row>
    <row r="2436" spans="1:8">
      <c r="A2436" s="812"/>
      <c r="B2436" s="812"/>
      <c r="C2436" s="812"/>
      <c r="D2436" s="812"/>
      <c r="E2436" s="812"/>
      <c r="F2436" s="812"/>
      <c r="G2436" s="812"/>
      <c r="H2436" s="812"/>
    </row>
    <row r="2437" spans="1:8">
      <c r="A2437" s="812"/>
      <c r="B2437" s="812"/>
      <c r="C2437" s="812"/>
      <c r="D2437" s="812"/>
      <c r="E2437" s="812"/>
      <c r="F2437" s="812"/>
      <c r="G2437" s="812"/>
      <c r="H2437" s="812"/>
    </row>
    <row r="2438" spans="1:8">
      <c r="A2438" s="812"/>
      <c r="B2438" s="812"/>
      <c r="C2438" s="812"/>
      <c r="D2438" s="812"/>
      <c r="E2438" s="812"/>
      <c r="F2438" s="812"/>
      <c r="G2438" s="812"/>
      <c r="H2438" s="812"/>
    </row>
    <row r="2439" spans="1:8">
      <c r="A2439" s="812"/>
      <c r="B2439" s="812"/>
      <c r="C2439" s="812"/>
      <c r="D2439" s="812"/>
      <c r="E2439" s="812"/>
      <c r="F2439" s="812"/>
      <c r="G2439" s="812"/>
      <c r="H2439" s="812"/>
    </row>
    <row r="2440" spans="1:8">
      <c r="A2440" s="812"/>
      <c r="B2440" s="812"/>
      <c r="C2440" s="812"/>
      <c r="D2440" s="812"/>
      <c r="E2440" s="812"/>
      <c r="F2440" s="812"/>
      <c r="G2440" s="812"/>
      <c r="H2440" s="812"/>
    </row>
    <row r="2441" spans="1:8">
      <c r="A2441" s="812"/>
      <c r="B2441" s="812"/>
      <c r="C2441" s="812"/>
      <c r="D2441" s="812"/>
      <c r="E2441" s="812"/>
      <c r="F2441" s="812"/>
      <c r="G2441" s="812"/>
      <c r="H2441" s="812"/>
    </row>
    <row r="2442" spans="1:8">
      <c r="A2442" s="812"/>
      <c r="B2442" s="812"/>
      <c r="C2442" s="812"/>
      <c r="D2442" s="812"/>
      <c r="E2442" s="812"/>
      <c r="F2442" s="812"/>
      <c r="G2442" s="812"/>
      <c r="H2442" s="812"/>
    </row>
    <row r="2443" spans="1:8">
      <c r="A2443" s="812"/>
      <c r="B2443" s="812"/>
      <c r="C2443" s="812"/>
      <c r="D2443" s="812"/>
      <c r="E2443" s="812"/>
      <c r="F2443" s="812"/>
      <c r="G2443" s="812"/>
      <c r="H2443" s="812"/>
    </row>
    <row r="2444" spans="1:8">
      <c r="A2444" s="812"/>
      <c r="B2444" s="812"/>
      <c r="C2444" s="812"/>
      <c r="D2444" s="812"/>
      <c r="E2444" s="812"/>
      <c r="F2444" s="812"/>
      <c r="G2444" s="812"/>
      <c r="H2444" s="812"/>
    </row>
    <row r="2445" spans="1:8">
      <c r="A2445" s="812"/>
      <c r="B2445" s="812"/>
      <c r="C2445" s="812"/>
      <c r="D2445" s="812"/>
      <c r="E2445" s="812"/>
      <c r="F2445" s="812"/>
      <c r="G2445" s="812"/>
      <c r="H2445" s="812"/>
    </row>
    <row r="2446" spans="1:8">
      <c r="A2446" s="812"/>
      <c r="B2446" s="812"/>
      <c r="C2446" s="812"/>
      <c r="D2446" s="812"/>
      <c r="E2446" s="812"/>
      <c r="F2446" s="812"/>
      <c r="G2446" s="812"/>
      <c r="H2446" s="812"/>
    </row>
    <row r="2447" spans="1:8">
      <c r="A2447" s="812"/>
      <c r="B2447" s="812"/>
      <c r="C2447" s="812"/>
      <c r="D2447" s="812"/>
      <c r="E2447" s="812"/>
      <c r="F2447" s="812"/>
      <c r="G2447" s="812"/>
      <c r="H2447" s="812"/>
    </row>
    <row r="2448" spans="1:8">
      <c r="A2448" s="812"/>
      <c r="B2448" s="812"/>
      <c r="C2448" s="812"/>
      <c r="D2448" s="812"/>
      <c r="E2448" s="812"/>
      <c r="F2448" s="812"/>
      <c r="G2448" s="812"/>
      <c r="H2448" s="812"/>
    </row>
    <row r="2449" spans="1:8">
      <c r="A2449" s="812"/>
      <c r="B2449" s="812"/>
      <c r="C2449" s="812"/>
      <c r="D2449" s="812"/>
      <c r="E2449" s="812"/>
      <c r="F2449" s="812"/>
      <c r="G2449" s="812"/>
      <c r="H2449" s="812"/>
    </row>
    <row r="2450" spans="1:8">
      <c r="A2450" s="812"/>
      <c r="B2450" s="812"/>
      <c r="C2450" s="812"/>
      <c r="D2450" s="812"/>
      <c r="E2450" s="812"/>
      <c r="F2450" s="812"/>
      <c r="G2450" s="812"/>
      <c r="H2450" s="812"/>
    </row>
    <row r="2451" spans="1:8">
      <c r="A2451" s="812"/>
      <c r="B2451" s="812"/>
      <c r="C2451" s="812"/>
      <c r="D2451" s="812"/>
      <c r="E2451" s="812"/>
      <c r="F2451" s="812"/>
      <c r="G2451" s="812"/>
      <c r="H2451" s="812"/>
    </row>
    <row r="2452" spans="1:8">
      <c r="A2452" s="812"/>
      <c r="B2452" s="812"/>
      <c r="C2452" s="812"/>
      <c r="D2452" s="812"/>
      <c r="E2452" s="812"/>
      <c r="F2452" s="812"/>
      <c r="G2452" s="812"/>
      <c r="H2452" s="812"/>
    </row>
    <row r="2453" spans="1:8">
      <c r="A2453" s="812"/>
      <c r="B2453" s="812"/>
      <c r="C2453" s="812"/>
      <c r="D2453" s="812"/>
      <c r="E2453" s="812"/>
      <c r="F2453" s="812"/>
      <c r="G2453" s="812"/>
      <c r="H2453" s="812"/>
    </row>
    <row r="2454" spans="1:8">
      <c r="A2454" s="812"/>
      <c r="B2454" s="812"/>
      <c r="C2454" s="812"/>
      <c r="D2454" s="812"/>
      <c r="E2454" s="812"/>
      <c r="F2454" s="812"/>
      <c r="G2454" s="812"/>
      <c r="H2454" s="812"/>
    </row>
    <row r="2455" spans="1:8">
      <c r="A2455" s="812"/>
      <c r="B2455" s="812"/>
      <c r="C2455" s="812"/>
      <c r="D2455" s="812"/>
      <c r="E2455" s="812"/>
      <c r="F2455" s="812"/>
      <c r="G2455" s="812"/>
      <c r="H2455" s="812"/>
    </row>
    <row r="2456" spans="1:8">
      <c r="A2456" s="812"/>
      <c r="B2456" s="812"/>
      <c r="C2456" s="812"/>
      <c r="D2456" s="812"/>
      <c r="E2456" s="812"/>
      <c r="F2456" s="812"/>
      <c r="G2456" s="812"/>
      <c r="H2456" s="812"/>
    </row>
    <row r="2457" spans="1:8">
      <c r="A2457" s="812"/>
      <c r="B2457" s="812"/>
      <c r="C2457" s="812"/>
      <c r="D2457" s="812"/>
      <c r="E2457" s="812"/>
      <c r="F2457" s="812"/>
      <c r="G2457" s="812"/>
      <c r="H2457" s="812"/>
    </row>
    <row r="2458" spans="1:8">
      <c r="A2458" s="812"/>
      <c r="B2458" s="812"/>
      <c r="C2458" s="812"/>
      <c r="D2458" s="812"/>
      <c r="E2458" s="812"/>
      <c r="F2458" s="812"/>
      <c r="G2458" s="812"/>
      <c r="H2458" s="812"/>
    </row>
    <row r="2459" spans="1:8">
      <c r="A2459" s="812"/>
      <c r="B2459" s="812"/>
      <c r="C2459" s="812"/>
      <c r="D2459" s="812"/>
      <c r="E2459" s="812"/>
      <c r="F2459" s="812"/>
      <c r="G2459" s="812"/>
      <c r="H2459" s="812"/>
    </row>
    <row r="2460" spans="1:8">
      <c r="A2460" s="812"/>
      <c r="B2460" s="812"/>
      <c r="C2460" s="812"/>
      <c r="D2460" s="812"/>
      <c r="E2460" s="812"/>
      <c r="F2460" s="812"/>
      <c r="G2460" s="812"/>
      <c r="H2460" s="812"/>
    </row>
    <row r="2461" spans="1:8">
      <c r="A2461" s="812"/>
      <c r="B2461" s="812"/>
      <c r="C2461" s="812"/>
      <c r="D2461" s="812"/>
      <c r="E2461" s="812"/>
      <c r="F2461" s="812"/>
      <c r="G2461" s="812"/>
      <c r="H2461" s="812"/>
    </row>
    <row r="2462" spans="1:8">
      <c r="A2462" s="812"/>
      <c r="B2462" s="812"/>
      <c r="C2462" s="812"/>
      <c r="D2462" s="812"/>
      <c r="E2462" s="812"/>
      <c r="F2462" s="812"/>
      <c r="G2462" s="812"/>
      <c r="H2462" s="812"/>
    </row>
    <row r="2463" spans="1:8">
      <c r="A2463" s="812"/>
      <c r="B2463" s="812"/>
      <c r="C2463" s="812"/>
      <c r="D2463" s="812"/>
      <c r="E2463" s="812"/>
      <c r="F2463" s="812"/>
      <c r="G2463" s="812"/>
      <c r="H2463" s="812"/>
    </row>
    <row r="2464" spans="1:8">
      <c r="A2464" s="812"/>
      <c r="B2464" s="812"/>
      <c r="C2464" s="812"/>
      <c r="D2464" s="812"/>
      <c r="E2464" s="812"/>
      <c r="F2464" s="812"/>
      <c r="G2464" s="812"/>
      <c r="H2464" s="812"/>
    </row>
    <row r="2465" spans="1:8">
      <c r="A2465" s="812"/>
      <c r="B2465" s="812"/>
      <c r="C2465" s="812"/>
      <c r="D2465" s="812"/>
      <c r="E2465" s="812"/>
      <c r="F2465" s="812"/>
      <c r="G2465" s="812"/>
      <c r="H2465" s="812"/>
    </row>
    <row r="2466" spans="1:8">
      <c r="A2466" s="812"/>
      <c r="B2466" s="812"/>
      <c r="C2466" s="812"/>
      <c r="D2466" s="812"/>
      <c r="E2466" s="812"/>
      <c r="F2466" s="812"/>
      <c r="G2466" s="812"/>
      <c r="H2466" s="812"/>
    </row>
    <row r="2467" spans="1:8">
      <c r="A2467" s="812"/>
      <c r="B2467" s="812"/>
      <c r="C2467" s="812"/>
      <c r="D2467" s="812"/>
      <c r="E2467" s="812"/>
      <c r="F2467" s="812"/>
      <c r="G2467" s="812"/>
      <c r="H2467" s="812"/>
    </row>
    <row r="2468" spans="1:8">
      <c r="A2468" s="812"/>
      <c r="B2468" s="812"/>
      <c r="C2468" s="812"/>
      <c r="D2468" s="812"/>
      <c r="E2468" s="812"/>
      <c r="F2468" s="812"/>
      <c r="G2468" s="812"/>
      <c r="H2468" s="812"/>
    </row>
    <row r="2469" spans="1:8">
      <c r="A2469" s="812"/>
      <c r="B2469" s="812"/>
      <c r="C2469" s="812"/>
      <c r="D2469" s="812"/>
      <c r="E2469" s="812"/>
      <c r="F2469" s="812"/>
      <c r="G2469" s="812"/>
      <c r="H2469" s="812"/>
    </row>
    <row r="2470" spans="1:8">
      <c r="A2470" s="812"/>
      <c r="B2470" s="812"/>
      <c r="C2470" s="812"/>
      <c r="D2470" s="812"/>
      <c r="E2470" s="812"/>
      <c r="F2470" s="812"/>
      <c r="G2470" s="812"/>
      <c r="H2470" s="812"/>
    </row>
    <row r="2471" spans="1:8">
      <c r="A2471" s="812"/>
      <c r="B2471" s="812"/>
      <c r="C2471" s="812"/>
      <c r="D2471" s="812"/>
      <c r="E2471" s="812"/>
      <c r="F2471" s="812"/>
      <c r="G2471" s="812"/>
      <c r="H2471" s="812"/>
    </row>
    <row r="2472" spans="1:8">
      <c r="A2472" s="812"/>
      <c r="B2472" s="812"/>
      <c r="C2472" s="812"/>
      <c r="D2472" s="812"/>
      <c r="E2472" s="812"/>
      <c r="F2472" s="812"/>
      <c r="G2472" s="812"/>
      <c r="H2472" s="812"/>
    </row>
    <row r="2473" spans="1:8">
      <c r="A2473" s="812"/>
      <c r="B2473" s="812"/>
      <c r="C2473" s="812"/>
      <c r="D2473" s="812"/>
      <c r="E2473" s="812"/>
      <c r="F2473" s="812"/>
      <c r="G2473" s="812"/>
      <c r="H2473" s="812"/>
    </row>
    <row r="2474" spans="1:8">
      <c r="A2474" s="812"/>
      <c r="B2474" s="812"/>
      <c r="C2474" s="812"/>
      <c r="D2474" s="812"/>
      <c r="E2474" s="812"/>
      <c r="F2474" s="812"/>
      <c r="G2474" s="812"/>
      <c r="H2474" s="812"/>
    </row>
    <row r="2475" spans="1:8">
      <c r="A2475" s="812"/>
      <c r="B2475" s="812"/>
      <c r="C2475" s="812"/>
      <c r="D2475" s="812"/>
      <c r="E2475" s="812"/>
      <c r="F2475" s="812"/>
      <c r="G2475" s="812"/>
      <c r="H2475" s="812"/>
    </row>
    <row r="2476" spans="1:8">
      <c r="A2476" s="812"/>
      <c r="B2476" s="812"/>
      <c r="C2476" s="812"/>
      <c r="D2476" s="812"/>
      <c r="E2476" s="812"/>
      <c r="F2476" s="812"/>
      <c r="G2476" s="812"/>
      <c r="H2476" s="812"/>
    </row>
    <row r="2477" spans="1:8">
      <c r="A2477" s="812"/>
      <c r="B2477" s="812"/>
      <c r="C2477" s="812"/>
      <c r="D2477" s="812"/>
      <c r="E2477" s="812"/>
      <c r="F2477" s="812"/>
      <c r="G2477" s="812"/>
      <c r="H2477" s="812"/>
    </row>
    <row r="2478" spans="1:8">
      <c r="A2478" s="812"/>
      <c r="B2478" s="812"/>
      <c r="C2478" s="812"/>
      <c r="D2478" s="812"/>
      <c r="E2478" s="812"/>
      <c r="F2478" s="812"/>
      <c r="G2478" s="812"/>
      <c r="H2478" s="812"/>
    </row>
    <row r="2479" spans="1:8">
      <c r="A2479" s="812"/>
      <c r="B2479" s="812"/>
      <c r="C2479" s="812"/>
      <c r="D2479" s="812"/>
      <c r="E2479" s="812"/>
      <c r="F2479" s="812"/>
      <c r="G2479" s="812"/>
      <c r="H2479" s="812"/>
    </row>
    <row r="2480" spans="1:8">
      <c r="A2480" s="812"/>
      <c r="B2480" s="812"/>
      <c r="C2480" s="812"/>
      <c r="D2480" s="812"/>
      <c r="E2480" s="812"/>
      <c r="F2480" s="812"/>
      <c r="G2480" s="812"/>
      <c r="H2480" s="812"/>
    </row>
    <row r="2481" spans="1:8">
      <c r="A2481" s="812"/>
      <c r="B2481" s="812"/>
      <c r="C2481" s="812"/>
      <c r="D2481" s="812"/>
      <c r="E2481" s="812"/>
      <c r="F2481" s="812"/>
      <c r="G2481" s="812"/>
      <c r="H2481" s="812"/>
    </row>
    <row r="2482" spans="1:8">
      <c r="A2482" s="812"/>
      <c r="B2482" s="812"/>
      <c r="C2482" s="812"/>
      <c r="D2482" s="812"/>
      <c r="E2482" s="812"/>
      <c r="F2482" s="812"/>
      <c r="G2482" s="812"/>
      <c r="H2482" s="812"/>
    </row>
    <row r="2483" spans="1:8">
      <c r="A2483" s="812"/>
      <c r="B2483" s="812"/>
      <c r="C2483" s="812"/>
      <c r="D2483" s="812"/>
      <c r="E2483" s="812"/>
      <c r="F2483" s="812"/>
      <c r="G2483" s="812"/>
      <c r="H2483" s="812"/>
    </row>
    <row r="2484" spans="1:8">
      <c r="A2484" s="812"/>
      <c r="B2484" s="812"/>
      <c r="C2484" s="812"/>
      <c r="D2484" s="812"/>
      <c r="E2484" s="812"/>
      <c r="F2484" s="812"/>
      <c r="G2484" s="812"/>
      <c r="H2484" s="812"/>
    </row>
    <row r="2485" spans="1:8">
      <c r="A2485" s="812"/>
      <c r="B2485" s="812"/>
      <c r="C2485" s="812"/>
      <c r="D2485" s="812"/>
      <c r="E2485" s="812"/>
      <c r="F2485" s="812"/>
      <c r="G2485" s="812"/>
      <c r="H2485" s="812"/>
    </row>
    <row r="2486" spans="1:8">
      <c r="A2486" s="812"/>
      <c r="B2486" s="812"/>
      <c r="C2486" s="812"/>
      <c r="D2486" s="812"/>
      <c r="E2486" s="812"/>
      <c r="F2486" s="812"/>
      <c r="G2486" s="812"/>
      <c r="H2486" s="812"/>
    </row>
    <row r="2487" spans="1:8">
      <c r="A2487" s="812"/>
      <c r="B2487" s="812"/>
      <c r="C2487" s="812"/>
      <c r="D2487" s="812"/>
      <c r="E2487" s="812"/>
      <c r="F2487" s="812"/>
      <c r="G2487" s="812"/>
      <c r="H2487" s="812"/>
    </row>
    <row r="2488" spans="1:8">
      <c r="A2488" s="812"/>
      <c r="B2488" s="812"/>
      <c r="C2488" s="812"/>
      <c r="D2488" s="812"/>
      <c r="E2488" s="812"/>
      <c r="F2488" s="812"/>
      <c r="G2488" s="812"/>
      <c r="H2488" s="812"/>
    </row>
    <row r="2489" spans="1:8">
      <c r="A2489" s="812"/>
      <c r="B2489" s="812"/>
      <c r="C2489" s="812"/>
      <c r="D2489" s="812"/>
      <c r="E2489" s="812"/>
      <c r="F2489" s="812"/>
      <c r="G2489" s="812"/>
      <c r="H2489" s="812"/>
    </row>
    <row r="2490" spans="1:8">
      <c r="A2490" s="812"/>
      <c r="B2490" s="812"/>
      <c r="C2490" s="812"/>
      <c r="D2490" s="812"/>
      <c r="E2490" s="812"/>
      <c r="F2490" s="812"/>
      <c r="G2490" s="812"/>
      <c r="H2490" s="812"/>
    </row>
    <row r="2491" spans="1:8">
      <c r="A2491" s="812"/>
      <c r="B2491" s="812"/>
      <c r="C2491" s="812"/>
      <c r="D2491" s="812"/>
      <c r="E2491" s="812"/>
      <c r="F2491" s="812"/>
      <c r="G2491" s="812"/>
      <c r="H2491" s="812"/>
    </row>
    <row r="2492" spans="1:8">
      <c r="A2492" s="812"/>
      <c r="B2492" s="812"/>
      <c r="C2492" s="812"/>
      <c r="D2492" s="812"/>
      <c r="E2492" s="812"/>
      <c r="F2492" s="812"/>
      <c r="G2492" s="812"/>
      <c r="H2492" s="812"/>
    </row>
    <row r="2493" spans="1:8">
      <c r="A2493" s="812"/>
      <c r="B2493" s="812"/>
      <c r="C2493" s="812"/>
      <c r="D2493" s="812"/>
      <c r="E2493" s="812"/>
      <c r="F2493" s="812"/>
      <c r="G2493" s="812"/>
      <c r="H2493" s="812"/>
    </row>
    <row r="2494" spans="1:8">
      <c r="A2494" s="812"/>
      <c r="B2494" s="812"/>
      <c r="C2494" s="812"/>
      <c r="D2494" s="812"/>
      <c r="E2494" s="812"/>
      <c r="F2494" s="812"/>
      <c r="G2494" s="812"/>
      <c r="H2494" s="812"/>
    </row>
    <row r="2495" spans="1:8">
      <c r="A2495" s="812"/>
      <c r="B2495" s="812"/>
      <c r="C2495" s="812"/>
      <c r="D2495" s="812"/>
      <c r="E2495" s="812"/>
      <c r="F2495" s="812"/>
      <c r="G2495" s="812"/>
      <c r="H2495" s="812"/>
    </row>
    <row r="2496" spans="1:8">
      <c r="A2496" s="812"/>
      <c r="B2496" s="812"/>
      <c r="C2496" s="812"/>
      <c r="D2496" s="812"/>
      <c r="E2496" s="812"/>
      <c r="F2496" s="812"/>
      <c r="G2496" s="812"/>
      <c r="H2496" s="812"/>
    </row>
    <row r="2497" spans="1:8">
      <c r="A2497" s="812"/>
      <c r="B2497" s="812"/>
      <c r="C2497" s="812"/>
      <c r="D2497" s="812"/>
      <c r="E2497" s="812"/>
      <c r="F2497" s="812"/>
      <c r="G2497" s="812"/>
      <c r="H2497" s="812"/>
    </row>
    <row r="2498" spans="1:8">
      <c r="A2498" s="812"/>
      <c r="B2498" s="812"/>
      <c r="C2498" s="812"/>
      <c r="D2498" s="812"/>
      <c r="E2498" s="812"/>
      <c r="F2498" s="812"/>
      <c r="G2498" s="812"/>
      <c r="H2498" s="812"/>
    </row>
    <row r="2499" spans="1:8">
      <c r="A2499" s="812"/>
      <c r="B2499" s="812"/>
      <c r="C2499" s="812"/>
      <c r="D2499" s="812"/>
      <c r="E2499" s="812"/>
      <c r="F2499" s="812"/>
      <c r="G2499" s="812"/>
      <c r="H2499" s="812"/>
    </row>
    <row r="2500" spans="1:8">
      <c r="A2500" s="812"/>
      <c r="B2500" s="812"/>
      <c r="C2500" s="812"/>
      <c r="D2500" s="812"/>
      <c r="E2500" s="812"/>
      <c r="F2500" s="812"/>
      <c r="G2500" s="812"/>
      <c r="H2500" s="812"/>
    </row>
    <row r="2501" spans="1:8">
      <c r="A2501" s="812"/>
      <c r="B2501" s="812"/>
      <c r="C2501" s="812"/>
      <c r="D2501" s="812"/>
      <c r="E2501" s="812"/>
      <c r="F2501" s="812"/>
      <c r="G2501" s="812"/>
      <c r="H2501" s="812"/>
    </row>
    <row r="2502" spans="1:8">
      <c r="A2502" s="812"/>
      <c r="B2502" s="812"/>
      <c r="C2502" s="812"/>
      <c r="D2502" s="812"/>
      <c r="E2502" s="812"/>
      <c r="F2502" s="812"/>
      <c r="G2502" s="812"/>
      <c r="H2502" s="812"/>
    </row>
    <row r="2503" spans="1:8">
      <c r="A2503" s="812"/>
      <c r="B2503" s="812"/>
      <c r="C2503" s="812"/>
      <c r="D2503" s="812"/>
      <c r="E2503" s="812"/>
      <c r="F2503" s="812"/>
      <c r="G2503" s="812"/>
      <c r="H2503" s="812"/>
    </row>
    <row r="2504" spans="1:8">
      <c r="A2504" s="812"/>
      <c r="B2504" s="812"/>
      <c r="C2504" s="812"/>
      <c r="D2504" s="812"/>
      <c r="E2504" s="812"/>
      <c r="F2504" s="812"/>
      <c r="G2504" s="812"/>
      <c r="H2504" s="812"/>
    </row>
    <row r="2505" spans="1:8">
      <c r="A2505" s="812"/>
      <c r="B2505" s="812"/>
      <c r="C2505" s="812"/>
      <c r="D2505" s="812"/>
      <c r="E2505" s="812"/>
      <c r="F2505" s="812"/>
      <c r="G2505" s="812"/>
      <c r="H2505" s="812"/>
    </row>
    <row r="2506" spans="1:8">
      <c r="A2506" s="812"/>
      <c r="B2506" s="812"/>
      <c r="C2506" s="812"/>
      <c r="D2506" s="812"/>
      <c r="E2506" s="812"/>
      <c r="F2506" s="812"/>
      <c r="G2506" s="812"/>
      <c r="H2506" s="812"/>
    </row>
    <row r="2507" spans="1:8">
      <c r="A2507" s="812"/>
      <c r="B2507" s="812"/>
      <c r="C2507" s="812"/>
      <c r="D2507" s="812"/>
      <c r="E2507" s="812"/>
      <c r="F2507" s="812"/>
      <c r="G2507" s="812"/>
      <c r="H2507" s="812"/>
    </row>
    <row r="2508" spans="1:8">
      <c r="A2508" s="812"/>
      <c r="B2508" s="812"/>
      <c r="C2508" s="812"/>
      <c r="D2508" s="812"/>
      <c r="E2508" s="812"/>
      <c r="F2508" s="812"/>
      <c r="G2508" s="812"/>
      <c r="H2508" s="812"/>
    </row>
    <row r="2509" spans="1:8">
      <c r="A2509" s="812"/>
      <c r="B2509" s="812"/>
      <c r="C2509" s="812"/>
      <c r="D2509" s="812"/>
      <c r="E2509" s="812"/>
      <c r="F2509" s="812"/>
      <c r="G2509" s="812"/>
      <c r="H2509" s="812"/>
    </row>
    <row r="2510" spans="1:8">
      <c r="A2510" s="812"/>
      <c r="B2510" s="812"/>
      <c r="C2510" s="812"/>
      <c r="D2510" s="812"/>
      <c r="E2510" s="812"/>
      <c r="F2510" s="812"/>
      <c r="G2510" s="812"/>
      <c r="H2510" s="812"/>
    </row>
    <row r="2511" spans="1:8">
      <c r="A2511" s="812"/>
      <c r="B2511" s="812"/>
      <c r="C2511" s="812"/>
      <c r="D2511" s="812"/>
      <c r="E2511" s="812"/>
      <c r="F2511" s="812"/>
      <c r="G2511" s="812"/>
      <c r="H2511" s="812"/>
    </row>
    <row r="2512" spans="1:8">
      <c r="A2512" s="812"/>
      <c r="B2512" s="812"/>
      <c r="C2512" s="812"/>
      <c r="D2512" s="812"/>
      <c r="E2512" s="812"/>
      <c r="F2512" s="812"/>
      <c r="G2512" s="812"/>
      <c r="H2512" s="812"/>
    </row>
    <row r="2513" spans="1:8">
      <c r="A2513" s="812"/>
      <c r="B2513" s="812"/>
      <c r="C2513" s="812"/>
      <c r="D2513" s="812"/>
      <c r="E2513" s="812"/>
      <c r="F2513" s="812"/>
      <c r="G2513" s="812"/>
      <c r="H2513" s="812"/>
    </row>
    <row r="2514" spans="1:8">
      <c r="A2514" s="812"/>
      <c r="B2514" s="812"/>
      <c r="C2514" s="812"/>
      <c r="D2514" s="812"/>
      <c r="E2514" s="812"/>
      <c r="F2514" s="812"/>
      <c r="G2514" s="812"/>
      <c r="H2514" s="812"/>
    </row>
    <row r="2515" spans="1:8">
      <c r="A2515" s="812"/>
      <c r="B2515" s="812"/>
      <c r="C2515" s="812"/>
      <c r="D2515" s="812"/>
      <c r="E2515" s="812"/>
      <c r="F2515" s="812"/>
      <c r="G2515" s="812"/>
      <c r="H2515" s="812"/>
    </row>
    <row r="2516" spans="1:8">
      <c r="A2516" s="812"/>
      <c r="B2516" s="812"/>
      <c r="C2516" s="812"/>
      <c r="D2516" s="812"/>
      <c r="E2516" s="812"/>
      <c r="F2516" s="812"/>
      <c r="G2516" s="812"/>
      <c r="H2516" s="812"/>
    </row>
    <row r="2517" spans="1:8">
      <c r="A2517" s="812"/>
      <c r="B2517" s="812"/>
      <c r="C2517" s="812"/>
      <c r="D2517" s="812"/>
      <c r="E2517" s="812"/>
      <c r="F2517" s="812"/>
      <c r="G2517" s="812"/>
      <c r="H2517" s="812"/>
    </row>
    <row r="2518" spans="1:8">
      <c r="A2518" s="812"/>
      <c r="B2518" s="812"/>
      <c r="C2518" s="812"/>
      <c r="D2518" s="812"/>
      <c r="E2518" s="812"/>
      <c r="F2518" s="812"/>
      <c r="G2518" s="812"/>
      <c r="H2518" s="812"/>
    </row>
    <row r="2519" spans="1:8">
      <c r="A2519" s="812"/>
      <c r="B2519" s="812"/>
      <c r="C2519" s="812"/>
      <c r="D2519" s="812"/>
      <c r="E2519" s="812"/>
      <c r="F2519" s="812"/>
      <c r="G2519" s="812"/>
      <c r="H2519" s="812"/>
    </row>
    <row r="2520" spans="1:8">
      <c r="A2520" s="812"/>
      <c r="B2520" s="812"/>
      <c r="C2520" s="812"/>
      <c r="D2520" s="812"/>
      <c r="E2520" s="812"/>
      <c r="F2520" s="812"/>
      <c r="G2520" s="812"/>
      <c r="H2520" s="812"/>
    </row>
    <row r="2521" spans="1:8">
      <c r="A2521" s="812"/>
      <c r="B2521" s="812"/>
      <c r="C2521" s="812"/>
      <c r="D2521" s="812"/>
      <c r="E2521" s="812"/>
      <c r="F2521" s="812"/>
      <c r="G2521" s="812"/>
      <c r="H2521" s="812"/>
    </row>
    <row r="2522" spans="1:8">
      <c r="A2522" s="812"/>
      <c r="B2522" s="812"/>
      <c r="C2522" s="812"/>
      <c r="D2522" s="812"/>
      <c r="E2522" s="812"/>
      <c r="F2522" s="812"/>
      <c r="G2522" s="812"/>
      <c r="H2522" s="812"/>
    </row>
    <row r="2523" spans="1:8">
      <c r="A2523" s="812"/>
      <c r="B2523" s="812"/>
      <c r="C2523" s="812"/>
      <c r="D2523" s="812"/>
      <c r="E2523" s="812"/>
      <c r="F2523" s="812"/>
      <c r="G2523" s="812"/>
      <c r="H2523" s="812"/>
    </row>
    <row r="2524" spans="1:8">
      <c r="A2524" s="812"/>
      <c r="B2524" s="812"/>
      <c r="C2524" s="812"/>
      <c r="D2524" s="812"/>
      <c r="E2524" s="812"/>
      <c r="F2524" s="812"/>
      <c r="G2524" s="812"/>
      <c r="H2524" s="812"/>
    </row>
    <row r="2525" spans="1:8">
      <c r="A2525" s="812"/>
      <c r="B2525" s="812"/>
      <c r="C2525" s="812"/>
      <c r="D2525" s="812"/>
      <c r="E2525" s="812"/>
      <c r="F2525" s="812"/>
      <c r="G2525" s="812"/>
      <c r="H2525" s="812"/>
    </row>
    <row r="2526" spans="1:8">
      <c r="A2526" s="812"/>
      <c r="B2526" s="812"/>
      <c r="C2526" s="812"/>
      <c r="D2526" s="812"/>
      <c r="E2526" s="812"/>
      <c r="F2526" s="812"/>
      <c r="G2526" s="812"/>
      <c r="H2526" s="812"/>
    </row>
    <row r="2527" spans="1:8">
      <c r="A2527" s="812"/>
      <c r="B2527" s="812"/>
      <c r="C2527" s="812"/>
      <c r="D2527" s="812"/>
      <c r="E2527" s="812"/>
      <c r="F2527" s="812"/>
      <c r="G2527" s="812"/>
      <c r="H2527" s="812"/>
    </row>
    <row r="2528" spans="1:8">
      <c r="A2528" s="812"/>
      <c r="B2528" s="812"/>
      <c r="C2528" s="812"/>
      <c r="D2528" s="812"/>
      <c r="E2528" s="812"/>
      <c r="F2528" s="812"/>
      <c r="G2528" s="812"/>
      <c r="H2528" s="812"/>
    </row>
    <row r="2529" spans="1:8">
      <c r="A2529" s="812"/>
      <c r="B2529" s="812"/>
      <c r="C2529" s="812"/>
      <c r="D2529" s="812"/>
      <c r="E2529" s="812"/>
      <c r="F2529" s="812"/>
      <c r="G2529" s="812"/>
      <c r="H2529" s="812"/>
    </row>
    <row r="2530" spans="1:8">
      <c r="A2530" s="812"/>
      <c r="B2530" s="812"/>
      <c r="C2530" s="812"/>
      <c r="D2530" s="812"/>
      <c r="E2530" s="812"/>
      <c r="F2530" s="812"/>
      <c r="G2530" s="812"/>
      <c r="H2530" s="812"/>
    </row>
    <row r="2531" spans="1:8">
      <c r="A2531" s="812"/>
      <c r="B2531" s="812"/>
      <c r="C2531" s="812"/>
      <c r="D2531" s="812"/>
      <c r="E2531" s="812"/>
      <c r="F2531" s="812"/>
      <c r="G2531" s="812"/>
      <c r="H2531" s="812"/>
    </row>
    <row r="2532" spans="1:8">
      <c r="A2532" s="812"/>
      <c r="B2532" s="812"/>
      <c r="C2532" s="812"/>
      <c r="D2532" s="812"/>
      <c r="E2532" s="812"/>
      <c r="F2532" s="812"/>
      <c r="G2532" s="812"/>
      <c r="H2532" s="812"/>
    </row>
    <row r="2533" spans="1:8">
      <c r="A2533" s="812"/>
      <c r="B2533" s="812"/>
      <c r="C2533" s="812"/>
      <c r="D2533" s="812"/>
      <c r="E2533" s="812"/>
      <c r="F2533" s="812"/>
      <c r="G2533" s="812"/>
      <c r="H2533" s="812"/>
    </row>
    <row r="2534" spans="1:8">
      <c r="A2534" s="812"/>
      <c r="B2534" s="812"/>
      <c r="C2534" s="812"/>
      <c r="D2534" s="812"/>
      <c r="E2534" s="812"/>
      <c r="F2534" s="812"/>
      <c r="G2534" s="812"/>
      <c r="H2534" s="812"/>
    </row>
    <row r="2535" spans="1:8">
      <c r="A2535" s="812"/>
      <c r="B2535" s="812"/>
      <c r="C2535" s="812"/>
      <c r="D2535" s="812"/>
      <c r="E2535" s="812"/>
      <c r="F2535" s="812"/>
      <c r="G2535" s="812"/>
      <c r="H2535" s="812"/>
    </row>
    <row r="2536" spans="1:8">
      <c r="A2536" s="812"/>
      <c r="B2536" s="812"/>
      <c r="C2536" s="812"/>
      <c r="D2536" s="812"/>
      <c r="E2536" s="812"/>
      <c r="F2536" s="812"/>
      <c r="G2536" s="812"/>
      <c r="H2536" s="812"/>
    </row>
    <row r="2537" spans="1:8">
      <c r="A2537" s="812"/>
      <c r="B2537" s="812"/>
      <c r="C2537" s="812"/>
      <c r="D2537" s="812"/>
      <c r="E2537" s="812"/>
      <c r="F2537" s="812"/>
      <c r="G2537" s="812"/>
      <c r="H2537" s="812"/>
    </row>
    <row r="2538" spans="1:8">
      <c r="A2538" s="812"/>
      <c r="B2538" s="812"/>
      <c r="C2538" s="812"/>
      <c r="D2538" s="812"/>
      <c r="E2538" s="812"/>
      <c r="F2538" s="812"/>
      <c r="G2538" s="812"/>
      <c r="H2538" s="812"/>
    </row>
    <row r="2539" spans="1:8">
      <c r="A2539" s="812"/>
      <c r="B2539" s="812"/>
      <c r="C2539" s="812"/>
      <c r="D2539" s="812"/>
      <c r="E2539" s="812"/>
      <c r="F2539" s="812"/>
      <c r="G2539" s="812"/>
      <c r="H2539" s="812"/>
    </row>
    <row r="2540" spans="1:8">
      <c r="A2540" s="812"/>
      <c r="B2540" s="812"/>
      <c r="C2540" s="812"/>
      <c r="D2540" s="812"/>
      <c r="E2540" s="812"/>
      <c r="F2540" s="812"/>
      <c r="G2540" s="812"/>
      <c r="H2540" s="812"/>
    </row>
    <row r="2541" spans="1:8">
      <c r="A2541" s="812"/>
      <c r="B2541" s="812"/>
      <c r="C2541" s="812"/>
      <c r="D2541" s="812"/>
      <c r="E2541" s="812"/>
      <c r="F2541" s="812"/>
      <c r="G2541" s="812"/>
      <c r="H2541" s="812"/>
    </row>
    <row r="2542" spans="1:8">
      <c r="A2542" s="812"/>
      <c r="B2542" s="812"/>
      <c r="C2542" s="812"/>
      <c r="D2542" s="812"/>
      <c r="E2542" s="812"/>
      <c r="F2542" s="812"/>
      <c r="G2542" s="812"/>
      <c r="H2542" s="812"/>
    </row>
    <row r="2543" spans="1:8">
      <c r="A2543" s="812"/>
      <c r="B2543" s="812"/>
      <c r="C2543" s="812"/>
      <c r="D2543" s="812"/>
      <c r="E2543" s="812"/>
      <c r="F2543" s="812"/>
      <c r="G2543" s="812"/>
      <c r="H2543" s="812"/>
    </row>
    <row r="2544" spans="1:8">
      <c r="A2544" s="812"/>
      <c r="B2544" s="812"/>
      <c r="C2544" s="812"/>
      <c r="D2544" s="812"/>
      <c r="E2544" s="812"/>
      <c r="F2544" s="812"/>
      <c r="G2544" s="812"/>
      <c r="H2544" s="812"/>
    </row>
    <row r="2545" spans="1:8">
      <c r="A2545" s="812"/>
      <c r="B2545" s="812"/>
      <c r="C2545" s="812"/>
      <c r="D2545" s="812"/>
      <c r="E2545" s="812"/>
      <c r="F2545" s="812"/>
      <c r="G2545" s="812"/>
      <c r="H2545" s="812"/>
    </row>
    <row r="2546" spans="1:8">
      <c r="A2546" s="812"/>
      <c r="B2546" s="812"/>
      <c r="C2546" s="812"/>
      <c r="D2546" s="812"/>
      <c r="E2546" s="812"/>
      <c r="F2546" s="812"/>
      <c r="G2546" s="812"/>
      <c r="H2546" s="812"/>
    </row>
    <row r="2547" spans="1:8">
      <c r="A2547" s="812"/>
      <c r="B2547" s="812"/>
      <c r="C2547" s="812"/>
      <c r="D2547" s="812"/>
      <c r="E2547" s="812"/>
      <c r="F2547" s="812"/>
      <c r="G2547" s="812"/>
      <c r="H2547" s="812"/>
    </row>
    <row r="2548" spans="1:8">
      <c r="A2548" s="812"/>
      <c r="B2548" s="812"/>
      <c r="C2548" s="812"/>
      <c r="D2548" s="812"/>
      <c r="E2548" s="812"/>
      <c r="F2548" s="812"/>
      <c r="G2548" s="812"/>
      <c r="H2548" s="812"/>
    </row>
    <row r="2549" spans="1:8">
      <c r="A2549" s="812"/>
      <c r="B2549" s="812"/>
      <c r="C2549" s="812"/>
      <c r="D2549" s="812"/>
      <c r="E2549" s="812"/>
      <c r="F2549" s="812"/>
      <c r="G2549" s="812"/>
      <c r="H2549" s="812"/>
    </row>
    <row r="2550" spans="1:8">
      <c r="A2550" s="812"/>
      <c r="B2550" s="812"/>
      <c r="C2550" s="812"/>
      <c r="D2550" s="812"/>
      <c r="E2550" s="812"/>
      <c r="F2550" s="812"/>
      <c r="G2550" s="812"/>
      <c r="H2550" s="812"/>
    </row>
    <row r="2551" spans="1:8">
      <c r="A2551" s="812"/>
      <c r="B2551" s="812"/>
      <c r="C2551" s="812"/>
      <c r="D2551" s="812"/>
      <c r="E2551" s="812"/>
      <c r="F2551" s="812"/>
      <c r="G2551" s="812"/>
      <c r="H2551" s="812"/>
    </row>
    <row r="2552" spans="1:8">
      <c r="A2552" s="812"/>
      <c r="B2552" s="812"/>
      <c r="C2552" s="812"/>
      <c r="D2552" s="812"/>
      <c r="E2552" s="812"/>
      <c r="F2552" s="812"/>
      <c r="G2552" s="812"/>
      <c r="H2552" s="812"/>
    </row>
    <row r="2553" spans="1:8">
      <c r="A2553" s="812"/>
      <c r="B2553" s="812"/>
      <c r="C2553" s="812"/>
      <c r="D2553" s="812"/>
      <c r="E2553" s="812"/>
      <c r="F2553" s="812"/>
      <c r="G2553" s="812"/>
      <c r="H2553" s="812"/>
    </row>
    <row r="2554" spans="1:8">
      <c r="A2554" s="812"/>
      <c r="B2554" s="812"/>
      <c r="C2554" s="812"/>
      <c r="D2554" s="812"/>
      <c r="E2554" s="812"/>
      <c r="F2554" s="812"/>
      <c r="G2554" s="812"/>
      <c r="H2554" s="812"/>
    </row>
    <row r="2555" spans="1:8">
      <c r="A2555" s="812"/>
      <c r="B2555" s="812"/>
      <c r="C2555" s="812"/>
      <c r="D2555" s="812"/>
      <c r="E2555" s="812"/>
      <c r="F2555" s="812"/>
      <c r="G2555" s="812"/>
      <c r="H2555" s="812"/>
    </row>
    <row r="2556" spans="1:8">
      <c r="A2556" s="812"/>
      <c r="B2556" s="812"/>
      <c r="C2556" s="812"/>
      <c r="D2556" s="812"/>
      <c r="E2556" s="812"/>
      <c r="F2556" s="812"/>
      <c r="G2556" s="812"/>
      <c r="H2556" s="812"/>
    </row>
    <row r="2557" spans="1:8">
      <c r="A2557" s="812"/>
      <c r="B2557" s="812"/>
      <c r="C2557" s="812"/>
      <c r="D2557" s="812"/>
      <c r="E2557" s="812"/>
      <c r="F2557" s="812"/>
      <c r="G2557" s="812"/>
      <c r="H2557" s="812"/>
    </row>
    <row r="2558" spans="1:8">
      <c r="A2558" s="812"/>
      <c r="B2558" s="812"/>
      <c r="C2558" s="812"/>
      <c r="D2558" s="812"/>
      <c r="E2558" s="812"/>
      <c r="F2558" s="812"/>
      <c r="G2558" s="812"/>
      <c r="H2558" s="812"/>
    </row>
    <row r="2559" spans="1:8">
      <c r="A2559" s="812"/>
      <c r="B2559" s="812"/>
      <c r="C2559" s="812"/>
      <c r="D2559" s="812"/>
      <c r="E2559" s="812"/>
      <c r="F2559" s="812"/>
      <c r="G2559" s="812"/>
      <c r="H2559" s="812"/>
    </row>
    <row r="2560" spans="1:8">
      <c r="A2560" s="812"/>
      <c r="B2560" s="812"/>
      <c r="C2560" s="812"/>
      <c r="D2560" s="812"/>
      <c r="E2560" s="812"/>
      <c r="F2560" s="812"/>
      <c r="G2560" s="812"/>
      <c r="H2560" s="812"/>
    </row>
    <row r="2561" spans="1:8">
      <c r="A2561" s="812"/>
      <c r="B2561" s="812"/>
      <c r="C2561" s="812"/>
      <c r="D2561" s="812"/>
      <c r="E2561" s="812"/>
      <c r="F2561" s="812"/>
      <c r="G2561" s="812"/>
      <c r="H2561" s="812"/>
    </row>
    <row r="2562" spans="1:8">
      <c r="A2562" s="812"/>
      <c r="B2562" s="812"/>
      <c r="C2562" s="812"/>
      <c r="D2562" s="812"/>
      <c r="E2562" s="812"/>
      <c r="F2562" s="812"/>
      <c r="G2562" s="812"/>
      <c r="H2562" s="812"/>
    </row>
    <row r="2563" spans="1:8">
      <c r="A2563" s="812"/>
      <c r="B2563" s="812"/>
      <c r="C2563" s="812"/>
      <c r="D2563" s="812"/>
      <c r="E2563" s="812"/>
      <c r="F2563" s="812"/>
      <c r="G2563" s="812"/>
      <c r="H2563" s="812"/>
    </row>
    <row r="2564" spans="1:8">
      <c r="A2564" s="812"/>
      <c r="B2564" s="812"/>
      <c r="C2564" s="812"/>
      <c r="D2564" s="812"/>
      <c r="E2564" s="812"/>
      <c r="F2564" s="812"/>
      <c r="G2564" s="812"/>
      <c r="H2564" s="812"/>
    </row>
    <row r="2565" spans="1:8">
      <c r="A2565" s="812"/>
      <c r="B2565" s="812"/>
      <c r="C2565" s="812"/>
      <c r="D2565" s="812"/>
      <c r="E2565" s="812"/>
      <c r="F2565" s="812"/>
      <c r="G2565" s="812"/>
      <c r="H2565" s="812"/>
    </row>
    <row r="2566" spans="1:8">
      <c r="A2566" s="812"/>
      <c r="B2566" s="812"/>
      <c r="C2566" s="812"/>
      <c r="D2566" s="812"/>
      <c r="E2566" s="812"/>
      <c r="F2566" s="812"/>
      <c r="G2566" s="812"/>
      <c r="H2566" s="812"/>
    </row>
    <row r="2567" spans="1:8">
      <c r="A2567" s="812"/>
      <c r="B2567" s="812"/>
      <c r="C2567" s="812"/>
      <c r="D2567" s="812"/>
      <c r="E2567" s="812"/>
      <c r="F2567" s="812"/>
      <c r="G2567" s="812"/>
      <c r="H2567" s="812"/>
    </row>
    <row r="2568" spans="1:8">
      <c r="A2568" s="812"/>
      <c r="B2568" s="812"/>
      <c r="C2568" s="812"/>
      <c r="D2568" s="812"/>
      <c r="E2568" s="812"/>
      <c r="F2568" s="812"/>
      <c r="G2568" s="812"/>
      <c r="H2568" s="812"/>
    </row>
    <row r="2569" spans="1:8">
      <c r="A2569" s="812"/>
      <c r="B2569" s="812"/>
      <c r="C2569" s="812"/>
      <c r="D2569" s="812"/>
      <c r="E2569" s="812"/>
      <c r="F2569" s="812"/>
      <c r="G2569" s="812"/>
      <c r="H2569" s="812"/>
    </row>
    <row r="2570" spans="1:8">
      <c r="A2570" s="812"/>
      <c r="B2570" s="812"/>
      <c r="C2570" s="812"/>
      <c r="D2570" s="812"/>
      <c r="E2570" s="812"/>
      <c r="F2570" s="812"/>
      <c r="G2570" s="812"/>
      <c r="H2570" s="812"/>
    </row>
    <row r="2571" spans="1:8">
      <c r="A2571" s="812"/>
      <c r="B2571" s="812"/>
      <c r="C2571" s="812"/>
      <c r="D2571" s="812"/>
      <c r="E2571" s="812"/>
      <c r="F2571" s="812"/>
      <c r="G2571" s="812"/>
      <c r="H2571" s="812"/>
    </row>
    <row r="2572" spans="1:8">
      <c r="A2572" s="812"/>
      <c r="B2572" s="812"/>
      <c r="C2572" s="812"/>
      <c r="D2572" s="812"/>
      <c r="E2572" s="812"/>
      <c r="F2572" s="812"/>
      <c r="G2572" s="812"/>
      <c r="H2572" s="812"/>
    </row>
    <row r="2573" spans="1:8">
      <c r="A2573" s="812"/>
      <c r="B2573" s="812"/>
      <c r="C2573" s="812"/>
      <c r="D2573" s="812"/>
      <c r="E2573" s="812"/>
      <c r="F2573" s="812"/>
      <c r="G2573" s="812"/>
      <c r="H2573" s="812"/>
    </row>
    <row r="2574" spans="1:8">
      <c r="A2574" s="812"/>
      <c r="B2574" s="812"/>
      <c r="C2574" s="812"/>
      <c r="D2574" s="812"/>
      <c r="E2574" s="812"/>
      <c r="F2574" s="812"/>
      <c r="G2574" s="812"/>
      <c r="H2574" s="812"/>
    </row>
    <row r="2575" spans="1:8">
      <c r="A2575" s="812"/>
      <c r="B2575" s="812"/>
      <c r="C2575" s="812"/>
      <c r="D2575" s="812"/>
      <c r="E2575" s="812"/>
      <c r="F2575" s="812"/>
      <c r="G2575" s="812"/>
      <c r="H2575" s="812"/>
    </row>
    <row r="2576" spans="1:8">
      <c r="A2576" s="812"/>
      <c r="B2576" s="812"/>
      <c r="C2576" s="812"/>
      <c r="D2576" s="812"/>
      <c r="E2576" s="812"/>
      <c r="F2576" s="812"/>
      <c r="G2576" s="812"/>
      <c r="H2576" s="812"/>
    </row>
    <row r="2577" spans="1:8">
      <c r="A2577" s="812"/>
      <c r="B2577" s="812"/>
      <c r="C2577" s="812"/>
      <c r="D2577" s="812"/>
      <c r="E2577" s="812"/>
      <c r="F2577" s="812"/>
      <c r="G2577" s="812"/>
      <c r="H2577" s="812"/>
    </row>
    <row r="2578" spans="1:8">
      <c r="A2578" s="812"/>
      <c r="B2578" s="812"/>
      <c r="C2578" s="812"/>
      <c r="D2578" s="812"/>
      <c r="E2578" s="812"/>
      <c r="F2578" s="812"/>
      <c r="G2578" s="812"/>
      <c r="H2578" s="812"/>
    </row>
    <row r="2579" spans="1:8">
      <c r="A2579" s="812"/>
      <c r="B2579" s="812"/>
      <c r="C2579" s="812"/>
      <c r="D2579" s="812"/>
      <c r="E2579" s="812"/>
      <c r="F2579" s="812"/>
      <c r="G2579" s="812"/>
      <c r="H2579" s="812"/>
    </row>
    <row r="2580" spans="1:8">
      <c r="A2580" s="812"/>
      <c r="B2580" s="812"/>
      <c r="C2580" s="812"/>
      <c r="D2580" s="812"/>
      <c r="E2580" s="812"/>
      <c r="F2580" s="812"/>
      <c r="G2580" s="812"/>
      <c r="H2580" s="812"/>
    </row>
    <row r="2581" spans="1:8">
      <c r="A2581" s="812"/>
      <c r="B2581" s="812"/>
      <c r="C2581" s="812"/>
      <c r="D2581" s="812"/>
      <c r="E2581" s="812"/>
      <c r="F2581" s="812"/>
      <c r="G2581" s="812"/>
      <c r="H2581" s="812"/>
    </row>
    <row r="2582" spans="1:8">
      <c r="A2582" s="812"/>
      <c r="B2582" s="812"/>
      <c r="C2582" s="812"/>
      <c r="D2582" s="812"/>
      <c r="E2582" s="812"/>
      <c r="F2582" s="812"/>
      <c r="G2582" s="812"/>
      <c r="H2582" s="812"/>
    </row>
    <row r="2583" spans="1:8">
      <c r="A2583" s="812"/>
      <c r="B2583" s="812"/>
      <c r="C2583" s="812"/>
      <c r="D2583" s="812"/>
      <c r="E2583" s="812"/>
      <c r="F2583" s="812"/>
      <c r="G2583" s="812"/>
      <c r="H2583" s="812"/>
    </row>
    <row r="2584" spans="1:8">
      <c r="A2584" s="812"/>
      <c r="B2584" s="812"/>
      <c r="C2584" s="812"/>
      <c r="D2584" s="812"/>
      <c r="E2584" s="812"/>
      <c r="F2584" s="812"/>
      <c r="G2584" s="812"/>
      <c r="H2584" s="812"/>
    </row>
    <row r="2585" spans="1:8">
      <c r="A2585" s="812"/>
      <c r="B2585" s="812"/>
      <c r="C2585" s="812"/>
      <c r="D2585" s="812"/>
      <c r="E2585" s="812"/>
      <c r="F2585" s="812"/>
      <c r="G2585" s="812"/>
      <c r="H2585" s="812"/>
    </row>
    <row r="2586" spans="1:8">
      <c r="A2586" s="812"/>
      <c r="B2586" s="812"/>
      <c r="C2586" s="812"/>
      <c r="D2586" s="812"/>
      <c r="E2586" s="812"/>
      <c r="F2586" s="812"/>
      <c r="G2586" s="812"/>
      <c r="H2586" s="812"/>
    </row>
    <row r="2587" spans="1:8">
      <c r="A2587" s="812"/>
      <c r="B2587" s="812"/>
      <c r="C2587" s="812"/>
      <c r="D2587" s="812"/>
      <c r="E2587" s="812"/>
      <c r="F2587" s="812"/>
      <c r="G2587" s="812"/>
      <c r="H2587" s="812"/>
    </row>
    <row r="2588" spans="1:8">
      <c r="A2588" s="812"/>
      <c r="B2588" s="812"/>
      <c r="C2588" s="812"/>
      <c r="D2588" s="812"/>
      <c r="E2588" s="812"/>
      <c r="F2588" s="812"/>
      <c r="G2588" s="812"/>
      <c r="H2588" s="812"/>
    </row>
    <row r="2589" spans="1:8">
      <c r="A2589" s="812"/>
      <c r="B2589" s="812"/>
      <c r="C2589" s="812"/>
      <c r="D2589" s="812"/>
      <c r="E2589" s="812"/>
      <c r="F2589" s="812"/>
      <c r="G2589" s="812"/>
      <c r="H2589" s="812"/>
    </row>
    <row r="2590" spans="1:8">
      <c r="A2590" s="812"/>
      <c r="B2590" s="812"/>
      <c r="C2590" s="812"/>
      <c r="D2590" s="812"/>
      <c r="E2590" s="812"/>
      <c r="F2590" s="812"/>
      <c r="G2590" s="812"/>
      <c r="H2590" s="812"/>
    </row>
    <row r="2591" spans="1:8">
      <c r="A2591" s="812"/>
      <c r="B2591" s="812"/>
      <c r="C2591" s="812"/>
      <c r="D2591" s="812"/>
      <c r="E2591" s="812"/>
      <c r="F2591" s="812"/>
      <c r="G2591" s="812"/>
      <c r="H2591" s="812"/>
    </row>
    <row r="2592" spans="1:8">
      <c r="A2592" s="812"/>
      <c r="B2592" s="812"/>
      <c r="C2592" s="812"/>
      <c r="D2592" s="812"/>
      <c r="E2592" s="812"/>
      <c r="F2592" s="812"/>
      <c r="G2592" s="812"/>
      <c r="H2592" s="812"/>
    </row>
    <row r="2593" spans="1:8">
      <c r="A2593" s="812"/>
      <c r="B2593" s="812"/>
      <c r="C2593" s="812"/>
      <c r="D2593" s="812"/>
      <c r="E2593" s="812"/>
      <c r="F2593" s="812"/>
      <c r="G2593" s="812"/>
      <c r="H2593" s="812"/>
    </row>
    <row r="2594" spans="1:8">
      <c r="A2594" s="812"/>
      <c r="B2594" s="812"/>
      <c r="C2594" s="812"/>
      <c r="D2594" s="812"/>
      <c r="E2594" s="812"/>
      <c r="F2594" s="812"/>
      <c r="G2594" s="812"/>
      <c r="H2594" s="812"/>
    </row>
    <row r="2595" spans="1:8">
      <c r="A2595" s="812"/>
      <c r="B2595" s="812"/>
      <c r="C2595" s="812"/>
      <c r="D2595" s="812"/>
      <c r="E2595" s="812"/>
      <c r="F2595" s="812"/>
      <c r="G2595" s="812"/>
      <c r="H2595" s="812"/>
    </row>
    <row r="2596" spans="1:8">
      <c r="A2596" s="812"/>
      <c r="B2596" s="812"/>
      <c r="C2596" s="812"/>
      <c r="D2596" s="812"/>
      <c r="E2596" s="812"/>
      <c r="F2596" s="812"/>
      <c r="G2596" s="812"/>
      <c r="H2596" s="812"/>
    </row>
    <row r="2597" spans="1:8">
      <c r="A2597" s="812"/>
      <c r="B2597" s="812"/>
      <c r="C2597" s="812"/>
      <c r="D2597" s="812"/>
      <c r="E2597" s="812"/>
      <c r="F2597" s="812"/>
      <c r="G2597" s="812"/>
      <c r="H2597" s="812"/>
    </row>
    <row r="2598" spans="1:8">
      <c r="A2598" s="812"/>
      <c r="B2598" s="812"/>
      <c r="C2598" s="812"/>
      <c r="D2598" s="812"/>
      <c r="E2598" s="812"/>
      <c r="F2598" s="812"/>
      <c r="G2598" s="812"/>
      <c r="H2598" s="812"/>
    </row>
    <row r="2599" spans="1:8">
      <c r="A2599" s="812"/>
      <c r="B2599" s="812"/>
      <c r="C2599" s="812"/>
      <c r="D2599" s="812"/>
      <c r="E2599" s="812"/>
      <c r="F2599" s="812"/>
      <c r="G2599" s="812"/>
      <c r="H2599" s="812"/>
    </row>
    <row r="2600" spans="1:8">
      <c r="A2600" s="812"/>
      <c r="B2600" s="812"/>
      <c r="C2600" s="812"/>
      <c r="D2600" s="812"/>
      <c r="E2600" s="812"/>
      <c r="F2600" s="812"/>
      <c r="G2600" s="812"/>
      <c r="H2600" s="812"/>
    </row>
    <row r="2601" spans="1:8">
      <c r="A2601" s="812"/>
      <c r="B2601" s="812"/>
      <c r="C2601" s="812"/>
      <c r="D2601" s="812"/>
      <c r="E2601" s="812"/>
      <c r="F2601" s="812"/>
      <c r="G2601" s="812"/>
      <c r="H2601" s="812"/>
    </row>
    <row r="2602" spans="1:8">
      <c r="A2602" s="812"/>
      <c r="B2602" s="812"/>
      <c r="C2602" s="812"/>
      <c r="D2602" s="812"/>
      <c r="E2602" s="812"/>
      <c r="F2602" s="812"/>
      <c r="G2602" s="812"/>
      <c r="H2602" s="812"/>
    </row>
    <row r="2603" spans="1:8">
      <c r="A2603" s="812"/>
      <c r="B2603" s="812"/>
      <c r="C2603" s="812"/>
      <c r="D2603" s="812"/>
      <c r="E2603" s="812"/>
      <c r="F2603" s="812"/>
      <c r="G2603" s="812"/>
      <c r="H2603" s="812"/>
    </row>
    <row r="2604" spans="1:8">
      <c r="A2604" s="812"/>
      <c r="B2604" s="812"/>
      <c r="C2604" s="812"/>
      <c r="D2604" s="812"/>
      <c r="E2604" s="812"/>
      <c r="F2604" s="812"/>
      <c r="G2604" s="812"/>
      <c r="H2604" s="812"/>
    </row>
    <row r="2605" spans="1:8">
      <c r="A2605" s="812"/>
      <c r="B2605" s="812"/>
      <c r="C2605" s="812"/>
      <c r="D2605" s="812"/>
      <c r="E2605" s="812"/>
      <c r="F2605" s="812"/>
      <c r="G2605" s="812"/>
      <c r="H2605" s="812"/>
    </row>
    <row r="2606" spans="1:8">
      <c r="A2606" s="812"/>
      <c r="B2606" s="812"/>
      <c r="C2606" s="812"/>
      <c r="D2606" s="812"/>
      <c r="E2606" s="812"/>
      <c r="F2606" s="812"/>
      <c r="G2606" s="812"/>
      <c r="H2606" s="812"/>
    </row>
    <row r="2607" spans="1:8">
      <c r="A2607" s="812"/>
      <c r="B2607" s="812"/>
      <c r="C2607" s="812"/>
      <c r="D2607" s="812"/>
      <c r="E2607" s="812"/>
      <c r="F2607" s="812"/>
      <c r="G2607" s="812"/>
      <c r="H2607" s="812"/>
    </row>
    <row r="2608" spans="1:8">
      <c r="A2608" s="812"/>
      <c r="B2608" s="812"/>
      <c r="C2608" s="812"/>
      <c r="D2608" s="812"/>
      <c r="E2608" s="812"/>
      <c r="F2608" s="812"/>
      <c r="G2608" s="812"/>
      <c r="H2608" s="812"/>
    </row>
    <row r="2609" spans="1:8">
      <c r="A2609" s="812"/>
      <c r="B2609" s="812"/>
      <c r="C2609" s="812"/>
      <c r="D2609" s="812"/>
      <c r="E2609" s="812"/>
      <c r="F2609" s="812"/>
      <c r="G2609" s="812"/>
      <c r="H2609" s="812"/>
    </row>
    <row r="2610" spans="1:8">
      <c r="A2610" s="812"/>
      <c r="B2610" s="812"/>
      <c r="C2610" s="812"/>
      <c r="D2610" s="812"/>
      <c r="E2610" s="812"/>
      <c r="F2610" s="812"/>
      <c r="G2610" s="812"/>
      <c r="H2610" s="812"/>
    </row>
    <row r="2611" spans="1:8">
      <c r="A2611" s="812"/>
      <c r="B2611" s="812"/>
      <c r="C2611" s="812"/>
      <c r="D2611" s="812"/>
      <c r="E2611" s="812"/>
      <c r="F2611" s="812"/>
      <c r="G2611" s="812"/>
      <c r="H2611" s="812"/>
    </row>
    <row r="2612" spans="1:8">
      <c r="A2612" s="812"/>
      <c r="B2612" s="812"/>
      <c r="C2612" s="812"/>
      <c r="D2612" s="812"/>
      <c r="E2612" s="812"/>
      <c r="F2612" s="812"/>
      <c r="G2612" s="812"/>
      <c r="H2612" s="812"/>
    </row>
    <row r="2613" spans="1:8">
      <c r="A2613" s="812"/>
      <c r="B2613" s="812"/>
      <c r="C2613" s="812"/>
      <c r="D2613" s="812"/>
      <c r="E2613" s="812"/>
      <c r="F2613" s="812"/>
      <c r="G2613" s="812"/>
      <c r="H2613" s="812"/>
    </row>
    <row r="2614" spans="1:8">
      <c r="A2614" s="812"/>
      <c r="B2614" s="812"/>
      <c r="C2614" s="812"/>
      <c r="D2614" s="812"/>
      <c r="E2614" s="812"/>
      <c r="F2614" s="812"/>
      <c r="G2614" s="812"/>
      <c r="H2614" s="812"/>
    </row>
    <row r="2615" spans="1:8">
      <c r="A2615" s="812"/>
      <c r="B2615" s="812"/>
      <c r="C2615" s="812"/>
      <c r="D2615" s="812"/>
      <c r="E2615" s="812"/>
      <c r="F2615" s="812"/>
      <c r="G2615" s="812"/>
      <c r="H2615" s="812"/>
    </row>
    <row r="2616" spans="1:8">
      <c r="A2616" s="812"/>
      <c r="B2616" s="812"/>
      <c r="C2616" s="812"/>
      <c r="D2616" s="812"/>
      <c r="E2616" s="812"/>
      <c r="F2616" s="812"/>
      <c r="G2616" s="812"/>
      <c r="H2616" s="812"/>
    </row>
    <row r="2617" spans="1:8">
      <c r="A2617" s="812"/>
      <c r="B2617" s="812"/>
      <c r="C2617" s="812"/>
      <c r="D2617" s="812"/>
      <c r="E2617" s="812"/>
      <c r="F2617" s="812"/>
      <c r="G2617" s="812"/>
      <c r="H2617" s="812"/>
    </row>
    <row r="2618" spans="1:8">
      <c r="A2618" s="812"/>
      <c r="B2618" s="812"/>
      <c r="C2618" s="812"/>
      <c r="D2618" s="812"/>
      <c r="E2618" s="812"/>
      <c r="F2618" s="812"/>
      <c r="G2618" s="812"/>
      <c r="H2618" s="812"/>
    </row>
    <row r="2619" spans="1:8">
      <c r="A2619" s="812"/>
      <c r="B2619" s="812"/>
      <c r="C2619" s="812"/>
      <c r="D2619" s="812"/>
      <c r="E2619" s="812"/>
      <c r="F2619" s="812"/>
      <c r="G2619" s="812"/>
      <c r="H2619" s="812"/>
    </row>
    <row r="2620" spans="1:8">
      <c r="A2620" s="812"/>
      <c r="B2620" s="812"/>
      <c r="C2620" s="812"/>
      <c r="D2620" s="812"/>
      <c r="E2620" s="812"/>
      <c r="F2620" s="812"/>
      <c r="G2620" s="812"/>
      <c r="H2620" s="812"/>
    </row>
    <row r="2621" spans="1:8">
      <c r="A2621" s="812"/>
      <c r="B2621" s="812"/>
      <c r="C2621" s="812"/>
      <c r="D2621" s="812"/>
      <c r="E2621" s="812"/>
      <c r="F2621" s="812"/>
      <c r="G2621" s="812"/>
      <c r="H2621" s="812"/>
    </row>
    <row r="2622" spans="1:8">
      <c r="A2622" s="812"/>
      <c r="B2622" s="812"/>
      <c r="C2622" s="812"/>
      <c r="D2622" s="812"/>
      <c r="E2622" s="812"/>
      <c r="F2622" s="812"/>
      <c r="G2622" s="812"/>
      <c r="H2622" s="812"/>
    </row>
    <row r="2623" spans="1:8">
      <c r="A2623" s="812"/>
      <c r="B2623" s="812"/>
      <c r="C2623" s="812"/>
      <c r="D2623" s="812"/>
      <c r="E2623" s="812"/>
      <c r="F2623" s="812"/>
      <c r="G2623" s="812"/>
      <c r="H2623" s="812"/>
    </row>
    <row r="2624" spans="1:8">
      <c r="A2624" s="812"/>
      <c r="B2624" s="812"/>
      <c r="C2624" s="812"/>
      <c r="D2624" s="812"/>
      <c r="E2624" s="812"/>
      <c r="F2624" s="812"/>
      <c r="G2624" s="812"/>
      <c r="H2624" s="812"/>
    </row>
    <row r="2625" spans="1:8">
      <c r="A2625" s="812"/>
      <c r="B2625" s="812"/>
      <c r="C2625" s="812"/>
      <c r="D2625" s="812"/>
      <c r="E2625" s="812"/>
      <c r="F2625" s="812"/>
      <c r="G2625" s="812"/>
      <c r="H2625" s="812"/>
    </row>
    <row r="2626" spans="1:8">
      <c r="A2626" s="812"/>
      <c r="B2626" s="812"/>
      <c r="C2626" s="812"/>
      <c r="D2626" s="812"/>
      <c r="E2626" s="812"/>
      <c r="F2626" s="812"/>
      <c r="G2626" s="812"/>
      <c r="H2626" s="812"/>
    </row>
    <row r="2627" spans="1:8">
      <c r="A2627" s="812"/>
      <c r="B2627" s="812"/>
      <c r="C2627" s="812"/>
      <c r="D2627" s="812"/>
      <c r="E2627" s="812"/>
      <c r="F2627" s="812"/>
      <c r="G2627" s="812"/>
      <c r="H2627" s="812"/>
    </row>
    <row r="2628" spans="1:8">
      <c r="A2628" s="812"/>
      <c r="B2628" s="812"/>
      <c r="C2628" s="812"/>
      <c r="D2628" s="812"/>
      <c r="E2628" s="812"/>
      <c r="F2628" s="812"/>
      <c r="G2628" s="812"/>
      <c r="H2628" s="812"/>
    </row>
    <row r="2629" spans="1:8">
      <c r="A2629" s="812"/>
      <c r="B2629" s="812"/>
      <c r="C2629" s="812"/>
      <c r="D2629" s="812"/>
      <c r="E2629" s="812"/>
      <c r="F2629" s="812"/>
      <c r="G2629" s="812"/>
      <c r="H2629" s="812"/>
    </row>
    <row r="2630" spans="1:8">
      <c r="A2630" s="812"/>
      <c r="B2630" s="812"/>
      <c r="C2630" s="812"/>
      <c r="D2630" s="812"/>
      <c r="E2630" s="812"/>
      <c r="F2630" s="812"/>
      <c r="G2630" s="812"/>
      <c r="H2630" s="812"/>
    </row>
    <row r="2631" spans="1:8">
      <c r="A2631" s="812"/>
      <c r="B2631" s="812"/>
      <c r="C2631" s="812"/>
      <c r="D2631" s="812"/>
      <c r="E2631" s="812"/>
      <c r="F2631" s="812"/>
      <c r="G2631" s="812"/>
      <c r="H2631" s="812"/>
    </row>
    <row r="2632" spans="1:8">
      <c r="A2632" s="812"/>
      <c r="B2632" s="812"/>
      <c r="C2632" s="812"/>
      <c r="D2632" s="812"/>
      <c r="E2632" s="812"/>
      <c r="F2632" s="812"/>
      <c r="G2632" s="812"/>
      <c r="H2632" s="812"/>
    </row>
    <row r="2633" spans="1:8">
      <c r="A2633" s="812"/>
      <c r="B2633" s="812"/>
      <c r="C2633" s="812"/>
      <c r="D2633" s="812"/>
      <c r="E2633" s="812"/>
      <c r="F2633" s="812"/>
      <c r="G2633" s="812"/>
      <c r="H2633" s="812"/>
    </row>
    <row r="2634" spans="1:8">
      <c r="A2634" s="812"/>
      <c r="B2634" s="812"/>
      <c r="C2634" s="812"/>
      <c r="D2634" s="812"/>
      <c r="E2634" s="812"/>
      <c r="F2634" s="812"/>
      <c r="G2634" s="812"/>
      <c r="H2634" s="812"/>
    </row>
    <row r="2635" spans="1:8">
      <c r="A2635" s="812"/>
      <c r="B2635" s="812"/>
      <c r="C2635" s="812"/>
      <c r="D2635" s="812"/>
      <c r="E2635" s="812"/>
      <c r="F2635" s="812"/>
      <c r="G2635" s="812"/>
      <c r="H2635" s="812"/>
    </row>
    <row r="2636" spans="1:8">
      <c r="A2636" s="812"/>
      <c r="B2636" s="812"/>
      <c r="C2636" s="812"/>
      <c r="D2636" s="812"/>
      <c r="E2636" s="812"/>
      <c r="F2636" s="812"/>
      <c r="G2636" s="812"/>
      <c r="H2636" s="812"/>
    </row>
    <row r="2637" spans="1:8">
      <c r="A2637" s="812"/>
      <c r="B2637" s="812"/>
      <c r="C2637" s="812"/>
      <c r="D2637" s="812"/>
      <c r="E2637" s="812"/>
      <c r="F2637" s="812"/>
      <c r="G2637" s="812"/>
      <c r="H2637" s="812"/>
    </row>
    <row r="2638" spans="1:8">
      <c r="A2638" s="812"/>
      <c r="B2638" s="812"/>
      <c r="C2638" s="812"/>
      <c r="D2638" s="812"/>
      <c r="E2638" s="812"/>
      <c r="F2638" s="812"/>
      <c r="G2638" s="812"/>
      <c r="H2638" s="812"/>
    </row>
    <row r="2639" spans="1:8">
      <c r="A2639" s="812"/>
      <c r="B2639" s="812"/>
      <c r="C2639" s="812"/>
      <c r="D2639" s="812"/>
      <c r="E2639" s="812"/>
      <c r="F2639" s="812"/>
      <c r="G2639" s="812"/>
      <c r="H2639" s="812"/>
    </row>
    <row r="2640" spans="1:8">
      <c r="A2640" s="812"/>
      <c r="B2640" s="812"/>
      <c r="C2640" s="812"/>
      <c r="D2640" s="812"/>
      <c r="E2640" s="812"/>
      <c r="F2640" s="812"/>
      <c r="G2640" s="812"/>
      <c r="H2640" s="812"/>
    </row>
    <row r="2641" spans="1:8">
      <c r="A2641" s="812"/>
      <c r="B2641" s="812"/>
      <c r="C2641" s="812"/>
      <c r="D2641" s="812"/>
      <c r="E2641" s="812"/>
      <c r="F2641" s="812"/>
      <c r="G2641" s="812"/>
      <c r="H2641" s="812"/>
    </row>
    <row r="2642" spans="1:8">
      <c r="A2642" s="812"/>
      <c r="B2642" s="812"/>
      <c r="C2642" s="812"/>
      <c r="D2642" s="812"/>
      <c r="E2642" s="812"/>
      <c r="F2642" s="812"/>
      <c r="G2642" s="812"/>
      <c r="H2642" s="812"/>
    </row>
    <row r="2643" spans="1:8">
      <c r="A2643" s="812"/>
      <c r="B2643" s="812"/>
      <c r="C2643" s="812"/>
      <c r="D2643" s="812"/>
      <c r="E2643" s="812"/>
      <c r="F2643" s="812"/>
      <c r="G2643" s="812"/>
      <c r="H2643" s="812"/>
    </row>
    <row r="2644" spans="1:8">
      <c r="A2644" s="812"/>
      <c r="B2644" s="812"/>
      <c r="C2644" s="812"/>
      <c r="D2644" s="812"/>
      <c r="E2644" s="812"/>
      <c r="F2644" s="812"/>
      <c r="G2644" s="812"/>
      <c r="H2644" s="812"/>
    </row>
    <row r="2645" spans="1:8">
      <c r="A2645" s="812"/>
      <c r="B2645" s="812"/>
      <c r="C2645" s="812"/>
      <c r="D2645" s="812"/>
      <c r="E2645" s="812"/>
      <c r="F2645" s="812"/>
      <c r="G2645" s="812"/>
      <c r="H2645" s="812"/>
    </row>
    <row r="2646" spans="1:8">
      <c r="A2646" s="812"/>
      <c r="B2646" s="812"/>
      <c r="C2646" s="812"/>
      <c r="D2646" s="812"/>
      <c r="E2646" s="812"/>
      <c r="F2646" s="812"/>
      <c r="G2646" s="812"/>
      <c r="H2646" s="812"/>
    </row>
    <row r="2647" spans="1:8">
      <c r="A2647" s="812"/>
      <c r="B2647" s="812"/>
      <c r="C2647" s="812"/>
      <c r="D2647" s="812"/>
      <c r="E2647" s="812"/>
      <c r="F2647" s="812"/>
      <c r="G2647" s="812"/>
      <c r="H2647" s="812"/>
    </row>
    <row r="2648" spans="1:8">
      <c r="A2648" s="812"/>
      <c r="B2648" s="812"/>
      <c r="C2648" s="812"/>
      <c r="D2648" s="812"/>
      <c r="E2648" s="812"/>
      <c r="F2648" s="812"/>
      <c r="G2648" s="812"/>
      <c r="H2648" s="812"/>
    </row>
    <row r="2649" spans="1:8">
      <c r="A2649" s="812"/>
      <c r="B2649" s="812"/>
      <c r="C2649" s="812"/>
      <c r="D2649" s="812"/>
      <c r="E2649" s="812"/>
      <c r="F2649" s="812"/>
      <c r="G2649" s="812"/>
      <c r="H2649" s="812"/>
    </row>
    <row r="2650" spans="1:8">
      <c r="A2650" s="812"/>
      <c r="B2650" s="812"/>
      <c r="C2650" s="812"/>
      <c r="D2650" s="812"/>
      <c r="E2650" s="812"/>
      <c r="F2650" s="812"/>
      <c r="G2650" s="812"/>
      <c r="H2650" s="812"/>
    </row>
    <row r="2651" spans="1:8">
      <c r="A2651" s="812"/>
      <c r="B2651" s="812"/>
      <c r="C2651" s="812"/>
      <c r="D2651" s="812"/>
      <c r="E2651" s="812"/>
      <c r="F2651" s="812"/>
      <c r="G2651" s="812"/>
      <c r="H2651" s="812"/>
    </row>
    <row r="2652" spans="1:8">
      <c r="A2652" s="812"/>
      <c r="B2652" s="812"/>
      <c r="C2652" s="812"/>
      <c r="D2652" s="812"/>
      <c r="E2652" s="812"/>
      <c r="F2652" s="812"/>
      <c r="G2652" s="812"/>
      <c r="H2652" s="812"/>
    </row>
    <row r="2653" spans="1:8">
      <c r="A2653" s="812"/>
      <c r="B2653" s="812"/>
      <c r="C2653" s="812"/>
      <c r="D2653" s="812"/>
      <c r="E2653" s="812"/>
      <c r="F2653" s="812"/>
      <c r="G2653" s="812"/>
      <c r="H2653" s="812"/>
    </row>
    <row r="2654" spans="1:8">
      <c r="A2654" s="812"/>
      <c r="B2654" s="812"/>
      <c r="C2654" s="812"/>
      <c r="D2654" s="812"/>
      <c r="E2654" s="812"/>
      <c r="F2654" s="812"/>
      <c r="G2654" s="812"/>
      <c r="H2654" s="812"/>
    </row>
    <row r="2655" spans="1:8">
      <c r="A2655" s="812"/>
      <c r="B2655" s="812"/>
      <c r="C2655" s="812"/>
      <c r="D2655" s="812"/>
      <c r="E2655" s="812"/>
      <c r="F2655" s="812"/>
      <c r="G2655" s="812"/>
      <c r="H2655" s="812"/>
    </row>
    <row r="2656" spans="1:8">
      <c r="A2656" s="812"/>
      <c r="B2656" s="812"/>
      <c r="C2656" s="812"/>
      <c r="D2656" s="812"/>
      <c r="E2656" s="812"/>
      <c r="F2656" s="812"/>
      <c r="G2656" s="812"/>
      <c r="H2656" s="812"/>
    </row>
    <row r="2657" spans="1:8">
      <c r="A2657" s="812"/>
      <c r="B2657" s="812"/>
      <c r="C2657" s="812"/>
      <c r="D2657" s="812"/>
      <c r="E2657" s="812"/>
      <c r="F2657" s="812"/>
      <c r="G2657" s="812"/>
      <c r="H2657" s="812"/>
    </row>
    <row r="2658" spans="1:8">
      <c r="A2658" s="812"/>
      <c r="B2658" s="812"/>
      <c r="C2658" s="812"/>
      <c r="D2658" s="812"/>
      <c r="E2658" s="812"/>
      <c r="F2658" s="812"/>
      <c r="G2658" s="812"/>
      <c r="H2658" s="812"/>
    </row>
    <row r="2659" spans="1:8">
      <c r="A2659" s="812"/>
      <c r="B2659" s="812"/>
      <c r="C2659" s="812"/>
      <c r="D2659" s="812"/>
      <c r="E2659" s="812"/>
      <c r="F2659" s="812"/>
      <c r="G2659" s="812"/>
      <c r="H2659" s="812"/>
    </row>
    <row r="2660" spans="1:8">
      <c r="A2660" s="812"/>
      <c r="B2660" s="812"/>
      <c r="C2660" s="812"/>
      <c r="D2660" s="812"/>
      <c r="E2660" s="812"/>
      <c r="F2660" s="812"/>
      <c r="G2660" s="812"/>
      <c r="H2660" s="812"/>
    </row>
    <row r="2661" spans="1:8">
      <c r="A2661" s="812"/>
      <c r="B2661" s="812"/>
      <c r="C2661" s="812"/>
      <c r="D2661" s="812"/>
      <c r="E2661" s="812"/>
      <c r="F2661" s="812"/>
      <c r="G2661" s="812"/>
      <c r="H2661" s="812"/>
    </row>
    <row r="2662" spans="1:8">
      <c r="A2662" s="812"/>
      <c r="B2662" s="812"/>
      <c r="C2662" s="812"/>
      <c r="D2662" s="812"/>
      <c r="E2662" s="812"/>
      <c r="F2662" s="812"/>
      <c r="G2662" s="812"/>
      <c r="H2662" s="812"/>
    </row>
    <row r="2663" spans="1:8">
      <c r="A2663" s="812"/>
      <c r="B2663" s="812"/>
      <c r="C2663" s="812"/>
      <c r="D2663" s="812"/>
      <c r="E2663" s="812"/>
      <c r="F2663" s="812"/>
      <c r="G2663" s="812"/>
      <c r="H2663" s="812"/>
    </row>
    <row r="2664" spans="1:8">
      <c r="A2664" s="812"/>
      <c r="B2664" s="812"/>
      <c r="C2664" s="812"/>
      <c r="D2664" s="812"/>
      <c r="E2664" s="812"/>
      <c r="F2664" s="812"/>
      <c r="G2664" s="812"/>
      <c r="H2664" s="812"/>
    </row>
    <row r="2665" spans="1:8">
      <c r="A2665" s="812"/>
      <c r="B2665" s="812"/>
      <c r="C2665" s="812"/>
      <c r="D2665" s="812"/>
      <c r="E2665" s="812"/>
      <c r="F2665" s="812"/>
      <c r="G2665" s="812"/>
      <c r="H2665" s="812"/>
    </row>
    <row r="2666" spans="1:8">
      <c r="A2666" s="812"/>
      <c r="B2666" s="812"/>
      <c r="C2666" s="812"/>
      <c r="D2666" s="812"/>
      <c r="E2666" s="812"/>
      <c r="F2666" s="812"/>
      <c r="G2666" s="812"/>
      <c r="H2666" s="812"/>
    </row>
    <row r="2667" spans="1:8">
      <c r="A2667" s="812"/>
      <c r="B2667" s="812"/>
      <c r="C2667" s="812"/>
      <c r="D2667" s="812"/>
      <c r="E2667" s="812"/>
      <c r="F2667" s="812"/>
      <c r="G2667" s="812"/>
      <c r="H2667" s="812"/>
    </row>
    <row r="2668" spans="1:8">
      <c r="A2668" s="812"/>
      <c r="B2668" s="812"/>
      <c r="C2668" s="812"/>
      <c r="D2668" s="812"/>
      <c r="E2668" s="812"/>
      <c r="F2668" s="812"/>
      <c r="G2668" s="812"/>
      <c r="H2668" s="812"/>
    </row>
    <row r="2669" spans="1:8">
      <c r="A2669" s="812"/>
      <c r="B2669" s="812"/>
      <c r="C2669" s="812"/>
      <c r="D2669" s="812"/>
      <c r="E2669" s="812"/>
      <c r="F2669" s="812"/>
      <c r="G2669" s="812"/>
      <c r="H2669" s="812"/>
    </row>
    <row r="2670" spans="1:8">
      <c r="A2670" s="812"/>
      <c r="B2670" s="812"/>
      <c r="C2670" s="812"/>
      <c r="D2670" s="812"/>
      <c r="E2670" s="812"/>
      <c r="F2670" s="812"/>
      <c r="G2670" s="812"/>
      <c r="H2670" s="812"/>
    </row>
    <row r="2671" spans="1:8">
      <c r="A2671" s="812"/>
      <c r="B2671" s="812"/>
      <c r="C2671" s="812"/>
      <c r="D2671" s="812"/>
      <c r="E2671" s="812"/>
      <c r="F2671" s="812"/>
      <c r="G2671" s="812"/>
      <c r="H2671" s="812"/>
    </row>
    <row r="2672" spans="1:8">
      <c r="A2672" s="812"/>
      <c r="B2672" s="812"/>
      <c r="C2672" s="812"/>
      <c r="D2672" s="812"/>
      <c r="E2672" s="812"/>
      <c r="F2672" s="812"/>
      <c r="G2672" s="812"/>
      <c r="H2672" s="812"/>
    </row>
    <row r="2673" spans="1:8">
      <c r="A2673" s="812"/>
      <c r="B2673" s="812"/>
      <c r="C2673" s="812"/>
      <c r="D2673" s="812"/>
      <c r="E2673" s="812"/>
      <c r="F2673" s="812"/>
      <c r="G2673" s="812"/>
      <c r="H2673" s="812"/>
    </row>
    <row r="2674" spans="1:8">
      <c r="A2674" s="812"/>
      <c r="B2674" s="812"/>
      <c r="C2674" s="812"/>
      <c r="D2674" s="812"/>
      <c r="E2674" s="812"/>
      <c r="F2674" s="812"/>
      <c r="G2674" s="812"/>
      <c r="H2674" s="812"/>
    </row>
    <row r="2675" spans="1:8">
      <c r="A2675" s="812"/>
      <c r="B2675" s="812"/>
      <c r="C2675" s="812"/>
      <c r="D2675" s="812"/>
      <c r="E2675" s="812"/>
      <c r="F2675" s="812"/>
      <c r="G2675" s="812"/>
      <c r="H2675" s="812"/>
    </row>
    <row r="2676" spans="1:8">
      <c r="A2676" s="812"/>
      <c r="B2676" s="812"/>
      <c r="C2676" s="812"/>
      <c r="D2676" s="812"/>
      <c r="E2676" s="812"/>
      <c r="F2676" s="812"/>
      <c r="G2676" s="812"/>
      <c r="H2676" s="812"/>
    </row>
    <row r="2677" spans="1:8">
      <c r="A2677" s="812"/>
      <c r="B2677" s="812"/>
      <c r="C2677" s="812"/>
      <c r="D2677" s="812"/>
      <c r="E2677" s="812"/>
      <c r="F2677" s="812"/>
      <c r="G2677" s="812"/>
      <c r="H2677" s="812"/>
    </row>
    <row r="2678" spans="1:8">
      <c r="A2678" s="812"/>
      <c r="B2678" s="812"/>
      <c r="C2678" s="812"/>
      <c r="D2678" s="812"/>
      <c r="E2678" s="812"/>
      <c r="F2678" s="812"/>
      <c r="G2678" s="812"/>
      <c r="H2678" s="812"/>
    </row>
    <row r="2679" spans="1:8">
      <c r="A2679" s="812"/>
      <c r="B2679" s="812"/>
      <c r="C2679" s="812"/>
      <c r="D2679" s="812"/>
      <c r="E2679" s="812"/>
      <c r="F2679" s="812"/>
      <c r="G2679" s="812"/>
      <c r="H2679" s="812"/>
    </row>
    <row r="2680" spans="1:8">
      <c r="A2680" s="812"/>
      <c r="B2680" s="812"/>
      <c r="C2680" s="812"/>
      <c r="D2680" s="812"/>
      <c r="E2680" s="812"/>
      <c r="F2680" s="812"/>
      <c r="G2680" s="812"/>
      <c r="H2680" s="812"/>
    </row>
    <row r="2681" spans="1:8">
      <c r="A2681" s="812"/>
      <c r="B2681" s="812"/>
      <c r="C2681" s="812"/>
      <c r="D2681" s="812"/>
      <c r="E2681" s="812"/>
      <c r="F2681" s="812"/>
      <c r="G2681" s="812"/>
      <c r="H2681" s="812"/>
    </row>
    <row r="2682" spans="1:8">
      <c r="A2682" s="812"/>
      <c r="B2682" s="812"/>
      <c r="C2682" s="812"/>
      <c r="D2682" s="812"/>
      <c r="E2682" s="812"/>
      <c r="F2682" s="812"/>
      <c r="G2682" s="812"/>
      <c r="H2682" s="812"/>
    </row>
    <row r="2683" spans="1:8">
      <c r="A2683" s="812"/>
      <c r="B2683" s="812"/>
      <c r="C2683" s="812"/>
      <c r="D2683" s="812"/>
      <c r="E2683" s="812"/>
      <c r="F2683" s="812"/>
      <c r="G2683" s="812"/>
      <c r="H2683" s="812"/>
    </row>
    <row r="2684" spans="1:8">
      <c r="A2684" s="812"/>
      <c r="B2684" s="812"/>
      <c r="C2684" s="812"/>
      <c r="D2684" s="812"/>
      <c r="E2684" s="812"/>
      <c r="F2684" s="812"/>
      <c r="G2684" s="812"/>
      <c r="H2684" s="812"/>
    </row>
    <row r="2685" spans="1:8">
      <c r="A2685" s="812"/>
      <c r="B2685" s="812"/>
      <c r="C2685" s="812"/>
      <c r="D2685" s="812"/>
      <c r="E2685" s="812"/>
      <c r="F2685" s="812"/>
      <c r="G2685" s="812"/>
      <c r="H2685" s="812"/>
    </row>
    <row r="2686" spans="1:8">
      <c r="A2686" s="812"/>
      <c r="B2686" s="812"/>
      <c r="C2686" s="812"/>
      <c r="D2686" s="812"/>
      <c r="E2686" s="812"/>
      <c r="F2686" s="812"/>
      <c r="G2686" s="812"/>
      <c r="H2686" s="812"/>
    </row>
    <row r="2687" spans="1:8">
      <c r="A2687" s="812"/>
      <c r="B2687" s="812"/>
      <c r="C2687" s="812"/>
      <c r="D2687" s="812"/>
      <c r="E2687" s="812"/>
      <c r="F2687" s="812"/>
      <c r="G2687" s="812"/>
      <c r="H2687" s="812"/>
    </row>
    <row r="2688" spans="1:8">
      <c r="A2688" s="812"/>
      <c r="B2688" s="812"/>
      <c r="C2688" s="812"/>
      <c r="D2688" s="812"/>
      <c r="E2688" s="812"/>
      <c r="F2688" s="812"/>
      <c r="G2688" s="812"/>
      <c r="H2688" s="812"/>
    </row>
    <row r="2689" spans="1:8">
      <c r="A2689" s="812"/>
      <c r="B2689" s="812"/>
      <c r="C2689" s="812"/>
      <c r="D2689" s="812"/>
      <c r="E2689" s="812"/>
      <c r="F2689" s="812"/>
      <c r="G2689" s="812"/>
      <c r="H2689" s="812"/>
    </row>
    <row r="2690" spans="1:8">
      <c r="A2690" s="812"/>
      <c r="B2690" s="812"/>
      <c r="C2690" s="812"/>
      <c r="D2690" s="812"/>
      <c r="E2690" s="812"/>
      <c r="F2690" s="812"/>
      <c r="G2690" s="812"/>
      <c r="H2690" s="812"/>
    </row>
    <row r="2691" spans="1:8">
      <c r="A2691" s="812"/>
      <c r="B2691" s="812"/>
      <c r="C2691" s="812"/>
      <c r="D2691" s="812"/>
      <c r="E2691" s="812"/>
      <c r="F2691" s="812"/>
      <c r="G2691" s="812"/>
      <c r="H2691" s="812"/>
    </row>
    <row r="2692" spans="1:8">
      <c r="A2692" s="812"/>
      <c r="B2692" s="812"/>
      <c r="C2692" s="812"/>
      <c r="D2692" s="812"/>
      <c r="E2692" s="812"/>
      <c r="F2692" s="812"/>
      <c r="G2692" s="812"/>
      <c r="H2692" s="812"/>
    </row>
    <row r="2693" spans="1:8">
      <c r="A2693" s="812"/>
      <c r="B2693" s="812"/>
      <c r="C2693" s="812"/>
      <c r="D2693" s="812"/>
      <c r="E2693" s="812"/>
      <c r="F2693" s="812"/>
      <c r="G2693" s="812"/>
      <c r="H2693" s="812"/>
    </row>
    <row r="2694" spans="1:8">
      <c r="A2694" s="812"/>
      <c r="B2694" s="812"/>
      <c r="C2694" s="812"/>
      <c r="D2694" s="812"/>
      <c r="E2694" s="812"/>
      <c r="F2694" s="812"/>
      <c r="G2694" s="812"/>
      <c r="H2694" s="812"/>
    </row>
    <row r="2695" spans="1:8">
      <c r="A2695" s="812"/>
      <c r="B2695" s="812"/>
      <c r="C2695" s="812"/>
      <c r="D2695" s="812"/>
      <c r="E2695" s="812"/>
      <c r="F2695" s="812"/>
      <c r="G2695" s="812"/>
      <c r="H2695" s="812"/>
    </row>
    <row r="2696" spans="1:8">
      <c r="A2696" s="812"/>
      <c r="B2696" s="812"/>
      <c r="C2696" s="812"/>
      <c r="D2696" s="812"/>
      <c r="E2696" s="812"/>
      <c r="F2696" s="812"/>
      <c r="G2696" s="812"/>
      <c r="H2696" s="812"/>
    </row>
    <row r="2697" spans="1:8">
      <c r="A2697" s="812"/>
      <c r="B2697" s="812"/>
      <c r="C2697" s="812"/>
      <c r="D2697" s="812"/>
      <c r="E2697" s="812"/>
      <c r="F2697" s="812"/>
      <c r="G2697" s="812"/>
      <c r="H2697" s="812"/>
    </row>
    <row r="2698" spans="1:8">
      <c r="A2698" s="812"/>
      <c r="B2698" s="812"/>
      <c r="C2698" s="812"/>
      <c r="D2698" s="812"/>
      <c r="E2698" s="812"/>
      <c r="F2698" s="812"/>
      <c r="G2698" s="812"/>
      <c r="H2698" s="812"/>
    </row>
    <row r="2699" spans="1:8">
      <c r="A2699" s="812"/>
      <c r="B2699" s="812"/>
      <c r="C2699" s="812"/>
      <c r="D2699" s="812"/>
      <c r="E2699" s="812"/>
      <c r="F2699" s="812"/>
      <c r="G2699" s="812"/>
      <c r="H2699" s="812"/>
    </row>
    <row r="2700" spans="1:8">
      <c r="A2700" s="812"/>
      <c r="B2700" s="812"/>
      <c r="C2700" s="812"/>
      <c r="D2700" s="812"/>
      <c r="E2700" s="812"/>
      <c r="F2700" s="812"/>
      <c r="G2700" s="812"/>
      <c r="H2700" s="812"/>
    </row>
    <row r="2701" spans="1:8">
      <c r="A2701" s="812"/>
      <c r="B2701" s="812"/>
      <c r="C2701" s="812"/>
      <c r="D2701" s="812"/>
      <c r="E2701" s="812"/>
      <c r="F2701" s="812"/>
      <c r="G2701" s="812"/>
      <c r="H2701" s="812"/>
    </row>
    <row r="2702" spans="1:8">
      <c r="A2702" s="812"/>
      <c r="B2702" s="812"/>
      <c r="C2702" s="812"/>
      <c r="D2702" s="812"/>
      <c r="E2702" s="812"/>
      <c r="F2702" s="812"/>
      <c r="G2702" s="812"/>
      <c r="H2702" s="812"/>
    </row>
    <row r="2703" spans="1:8">
      <c r="A2703" s="812"/>
      <c r="B2703" s="812"/>
      <c r="C2703" s="812"/>
      <c r="D2703" s="812"/>
      <c r="E2703" s="812"/>
      <c r="F2703" s="812"/>
      <c r="G2703" s="812"/>
      <c r="H2703" s="812"/>
    </row>
    <row r="2704" spans="1:8">
      <c r="A2704" s="812"/>
      <c r="B2704" s="812"/>
      <c r="C2704" s="812"/>
      <c r="D2704" s="812"/>
      <c r="E2704" s="812"/>
      <c r="F2704" s="812"/>
      <c r="G2704" s="812"/>
      <c r="H2704" s="812"/>
    </row>
    <row r="2705" spans="1:8">
      <c r="A2705" s="812"/>
      <c r="B2705" s="812"/>
      <c r="C2705" s="812"/>
      <c r="D2705" s="812"/>
      <c r="E2705" s="812"/>
      <c r="F2705" s="812"/>
      <c r="G2705" s="812"/>
      <c r="H2705" s="812"/>
    </row>
    <row r="2706" spans="1:8">
      <c r="A2706" s="812"/>
      <c r="B2706" s="812"/>
      <c r="C2706" s="812"/>
      <c r="D2706" s="812"/>
      <c r="E2706" s="812"/>
      <c r="F2706" s="812"/>
      <c r="G2706" s="812"/>
      <c r="H2706" s="812"/>
    </row>
    <row r="2707" spans="1:8">
      <c r="A2707" s="812"/>
      <c r="B2707" s="812"/>
      <c r="C2707" s="812"/>
      <c r="D2707" s="812"/>
      <c r="E2707" s="812"/>
      <c r="F2707" s="812"/>
      <c r="G2707" s="812"/>
      <c r="H2707" s="812"/>
    </row>
    <row r="2708" spans="1:8">
      <c r="A2708" s="812"/>
      <c r="B2708" s="812"/>
      <c r="C2708" s="812"/>
      <c r="D2708" s="812"/>
      <c r="E2708" s="812"/>
      <c r="F2708" s="812"/>
      <c r="G2708" s="812"/>
      <c r="H2708" s="812"/>
    </row>
    <row r="2709" spans="1:8">
      <c r="A2709" s="812"/>
      <c r="B2709" s="812"/>
      <c r="C2709" s="812"/>
      <c r="D2709" s="812"/>
      <c r="E2709" s="812"/>
      <c r="F2709" s="812"/>
      <c r="G2709" s="812"/>
      <c r="H2709" s="812"/>
    </row>
    <row r="2710" spans="1:8">
      <c r="A2710" s="812"/>
      <c r="B2710" s="812"/>
      <c r="C2710" s="812"/>
      <c r="D2710" s="812"/>
      <c r="E2710" s="812"/>
      <c r="F2710" s="812"/>
      <c r="G2710" s="812"/>
      <c r="H2710" s="812"/>
    </row>
    <row r="2711" spans="1:8">
      <c r="A2711" s="812"/>
      <c r="B2711" s="812"/>
      <c r="C2711" s="812"/>
      <c r="D2711" s="812"/>
      <c r="E2711" s="812"/>
      <c r="F2711" s="812"/>
      <c r="G2711" s="812"/>
      <c r="H2711" s="812"/>
    </row>
    <row r="2712" spans="1:8">
      <c r="A2712" s="812"/>
      <c r="B2712" s="812"/>
      <c r="C2712" s="812"/>
      <c r="D2712" s="812"/>
      <c r="E2712" s="812"/>
      <c r="F2712" s="812"/>
      <c r="G2712" s="812"/>
      <c r="H2712" s="812"/>
    </row>
    <row r="2713" spans="1:8">
      <c r="A2713" s="812"/>
      <c r="B2713" s="812"/>
      <c r="C2713" s="812"/>
      <c r="D2713" s="812"/>
      <c r="E2713" s="812"/>
      <c r="F2713" s="812"/>
      <c r="G2713" s="812"/>
      <c r="H2713" s="812"/>
    </row>
    <row r="2714" spans="1:8">
      <c r="A2714" s="812"/>
      <c r="B2714" s="812"/>
      <c r="C2714" s="812"/>
      <c r="D2714" s="812"/>
      <c r="E2714" s="812"/>
      <c r="F2714" s="812"/>
      <c r="G2714" s="812"/>
      <c r="H2714" s="812"/>
    </row>
    <row r="2715" spans="1:8">
      <c r="A2715" s="812"/>
      <c r="B2715" s="812"/>
      <c r="C2715" s="812"/>
      <c r="D2715" s="812"/>
      <c r="E2715" s="812"/>
      <c r="F2715" s="812"/>
      <c r="G2715" s="812"/>
      <c r="H2715" s="812"/>
    </row>
    <row r="2716" spans="1:8">
      <c r="A2716" s="812"/>
      <c r="B2716" s="812"/>
      <c r="C2716" s="812"/>
      <c r="D2716" s="812"/>
      <c r="E2716" s="812"/>
      <c r="F2716" s="812"/>
      <c r="G2716" s="812"/>
      <c r="H2716" s="812"/>
    </row>
    <row r="2717" spans="1:8">
      <c r="A2717" s="812"/>
      <c r="B2717" s="812"/>
      <c r="C2717" s="812"/>
      <c r="D2717" s="812"/>
      <c r="E2717" s="812"/>
      <c r="F2717" s="812"/>
      <c r="G2717" s="812"/>
      <c r="H2717" s="812"/>
    </row>
    <row r="2718" spans="1:8">
      <c r="A2718" s="812"/>
      <c r="B2718" s="812"/>
      <c r="C2718" s="812"/>
      <c r="D2718" s="812"/>
      <c r="E2718" s="812"/>
      <c r="F2718" s="812"/>
      <c r="G2718" s="812"/>
      <c r="H2718" s="812"/>
    </row>
    <row r="2719" spans="1:8">
      <c r="A2719" s="812"/>
      <c r="B2719" s="812"/>
      <c r="C2719" s="812"/>
      <c r="D2719" s="812"/>
      <c r="E2719" s="812"/>
      <c r="F2719" s="812"/>
      <c r="G2719" s="812"/>
      <c r="H2719" s="812"/>
    </row>
    <row r="2720" spans="1:8">
      <c r="A2720" s="812"/>
      <c r="B2720" s="812"/>
      <c r="C2720" s="812"/>
      <c r="D2720" s="812"/>
      <c r="E2720" s="812"/>
      <c r="F2720" s="812"/>
      <c r="G2720" s="812"/>
      <c r="H2720" s="812"/>
    </row>
    <row r="2721" spans="1:8">
      <c r="A2721" s="812"/>
      <c r="B2721" s="812"/>
      <c r="C2721" s="812"/>
      <c r="D2721" s="812"/>
      <c r="E2721" s="812"/>
      <c r="F2721" s="812"/>
      <c r="G2721" s="812"/>
      <c r="H2721" s="812"/>
    </row>
    <row r="2722" spans="1:8">
      <c r="A2722" s="812"/>
      <c r="B2722" s="812"/>
      <c r="C2722" s="812"/>
      <c r="D2722" s="812"/>
      <c r="E2722" s="812"/>
      <c r="F2722" s="812"/>
      <c r="G2722" s="812"/>
      <c r="H2722" s="812"/>
    </row>
    <row r="2723" spans="1:8">
      <c r="A2723" s="812"/>
      <c r="B2723" s="812"/>
      <c r="C2723" s="812"/>
      <c r="D2723" s="812"/>
      <c r="E2723" s="812"/>
      <c r="F2723" s="812"/>
      <c r="G2723" s="812"/>
      <c r="H2723" s="812"/>
    </row>
    <row r="2724" spans="1:8">
      <c r="A2724" s="812"/>
      <c r="B2724" s="812"/>
      <c r="C2724" s="812"/>
      <c r="D2724" s="812"/>
      <c r="E2724" s="812"/>
      <c r="F2724" s="812"/>
      <c r="G2724" s="812"/>
      <c r="H2724" s="812"/>
    </row>
    <row r="2725" spans="1:8">
      <c r="A2725" s="812"/>
      <c r="B2725" s="812"/>
      <c r="C2725" s="812"/>
      <c r="D2725" s="812"/>
      <c r="E2725" s="812"/>
      <c r="F2725" s="812"/>
      <c r="G2725" s="812"/>
      <c r="H2725" s="812"/>
    </row>
    <row r="2726" spans="1:8">
      <c r="A2726" s="812"/>
      <c r="B2726" s="812"/>
      <c r="C2726" s="812"/>
      <c r="D2726" s="812"/>
      <c r="E2726" s="812"/>
      <c r="F2726" s="812"/>
      <c r="G2726" s="812"/>
      <c r="H2726" s="812"/>
    </row>
    <row r="2727" spans="1:8">
      <c r="A2727" s="812"/>
      <c r="B2727" s="812"/>
      <c r="C2727" s="812"/>
      <c r="D2727" s="812"/>
      <c r="E2727" s="812"/>
      <c r="F2727" s="812"/>
      <c r="G2727" s="812"/>
      <c r="H2727" s="812"/>
    </row>
    <row r="2728" spans="1:8">
      <c r="A2728" s="812"/>
      <c r="B2728" s="812"/>
      <c r="C2728" s="812"/>
      <c r="D2728" s="812"/>
      <c r="E2728" s="812"/>
      <c r="F2728" s="812"/>
      <c r="G2728" s="812"/>
      <c r="H2728" s="812"/>
    </row>
    <row r="2729" spans="1:8">
      <c r="A2729" s="812"/>
      <c r="B2729" s="812"/>
      <c r="C2729" s="812"/>
      <c r="D2729" s="812"/>
      <c r="E2729" s="812"/>
      <c r="F2729" s="812"/>
      <c r="G2729" s="812"/>
      <c r="H2729" s="812"/>
    </row>
    <row r="2730" spans="1:8">
      <c r="A2730" s="812"/>
      <c r="B2730" s="812"/>
      <c r="C2730" s="812"/>
      <c r="D2730" s="812"/>
      <c r="E2730" s="812"/>
      <c r="F2730" s="812"/>
      <c r="G2730" s="812"/>
      <c r="H2730" s="812"/>
    </row>
    <row r="2731" spans="1:8">
      <c r="A2731" s="812"/>
      <c r="B2731" s="812"/>
      <c r="C2731" s="812"/>
      <c r="D2731" s="812"/>
      <c r="E2731" s="812"/>
      <c r="F2731" s="812"/>
      <c r="G2731" s="812"/>
      <c r="H2731" s="812"/>
    </row>
    <row r="2732" spans="1:8">
      <c r="A2732" s="812"/>
      <c r="B2732" s="812"/>
      <c r="C2732" s="812"/>
      <c r="D2732" s="812"/>
      <c r="E2732" s="812"/>
      <c r="F2732" s="812"/>
      <c r="G2732" s="812"/>
      <c r="H2732" s="812"/>
    </row>
    <row r="2733" spans="1:8">
      <c r="A2733" s="812"/>
      <c r="B2733" s="812"/>
      <c r="C2733" s="812"/>
      <c r="D2733" s="812"/>
      <c r="E2733" s="812"/>
      <c r="F2733" s="812"/>
      <c r="G2733" s="812"/>
      <c r="H2733" s="812"/>
    </row>
    <row r="2734" spans="1:8">
      <c r="A2734" s="812"/>
      <c r="B2734" s="812"/>
      <c r="C2734" s="812"/>
      <c r="D2734" s="812"/>
      <c r="E2734" s="812"/>
      <c r="F2734" s="812"/>
      <c r="G2734" s="812"/>
      <c r="H2734" s="812"/>
    </row>
    <row r="2735" spans="1:8">
      <c r="A2735" s="812"/>
      <c r="B2735" s="812"/>
      <c r="C2735" s="812"/>
      <c r="D2735" s="812"/>
      <c r="E2735" s="812"/>
      <c r="F2735" s="812"/>
      <c r="G2735" s="812"/>
      <c r="H2735" s="812"/>
    </row>
    <row r="2736" spans="1:8">
      <c r="A2736" s="812"/>
      <c r="B2736" s="812"/>
      <c r="C2736" s="812"/>
      <c r="D2736" s="812"/>
      <c r="E2736" s="812"/>
      <c r="F2736" s="812"/>
      <c r="G2736" s="812"/>
      <c r="H2736" s="812"/>
    </row>
    <row r="2737" spans="1:8">
      <c r="A2737" s="812"/>
      <c r="B2737" s="812"/>
      <c r="C2737" s="812"/>
      <c r="D2737" s="812"/>
      <c r="E2737" s="812"/>
      <c r="F2737" s="812"/>
      <c r="G2737" s="812"/>
      <c r="H2737" s="812"/>
    </row>
    <row r="2738" spans="1:8">
      <c r="A2738" s="812"/>
      <c r="B2738" s="812"/>
      <c r="C2738" s="812"/>
      <c r="D2738" s="812"/>
      <c r="E2738" s="812"/>
      <c r="F2738" s="812"/>
      <c r="G2738" s="812"/>
      <c r="H2738" s="812"/>
    </row>
    <row r="2739" spans="1:8">
      <c r="A2739" s="812"/>
      <c r="B2739" s="812"/>
      <c r="C2739" s="812"/>
      <c r="D2739" s="812"/>
      <c r="E2739" s="812"/>
      <c r="F2739" s="812"/>
      <c r="G2739" s="812"/>
      <c r="H2739" s="812"/>
    </row>
    <row r="2740" spans="1:8">
      <c r="A2740" s="812"/>
      <c r="B2740" s="812"/>
      <c r="C2740" s="812"/>
      <c r="D2740" s="812"/>
      <c r="E2740" s="812"/>
      <c r="F2740" s="812"/>
      <c r="G2740" s="812"/>
      <c r="H2740" s="812"/>
    </row>
    <row r="2741" spans="1:8">
      <c r="A2741" s="812"/>
      <c r="B2741" s="812"/>
      <c r="C2741" s="812"/>
      <c r="D2741" s="812"/>
      <c r="E2741" s="812"/>
      <c r="F2741" s="812"/>
      <c r="G2741" s="812"/>
      <c r="H2741" s="812"/>
    </row>
    <row r="2742" spans="1:8">
      <c r="A2742" s="812"/>
      <c r="B2742" s="812"/>
      <c r="C2742" s="812"/>
      <c r="D2742" s="812"/>
      <c r="E2742" s="812"/>
      <c r="F2742" s="812"/>
      <c r="G2742" s="812"/>
      <c r="H2742" s="812"/>
    </row>
    <row r="2743" spans="1:8">
      <c r="A2743" s="812"/>
      <c r="B2743" s="812"/>
      <c r="C2743" s="812"/>
      <c r="D2743" s="812"/>
      <c r="E2743" s="812"/>
      <c r="F2743" s="812"/>
      <c r="G2743" s="812"/>
      <c r="H2743" s="812"/>
    </row>
    <row r="2744" spans="1:8">
      <c r="A2744" s="812"/>
      <c r="B2744" s="812"/>
      <c r="C2744" s="812"/>
      <c r="D2744" s="812"/>
      <c r="E2744" s="812"/>
      <c r="F2744" s="812"/>
      <c r="G2744" s="812"/>
      <c r="H2744" s="812"/>
    </row>
    <row r="2745" spans="1:8">
      <c r="A2745" s="812"/>
      <c r="B2745" s="812"/>
      <c r="C2745" s="812"/>
      <c r="D2745" s="812"/>
      <c r="E2745" s="812"/>
      <c r="F2745" s="812"/>
      <c r="G2745" s="812"/>
      <c r="H2745" s="812"/>
    </row>
    <row r="2746" spans="1:8">
      <c r="A2746" s="812"/>
      <c r="B2746" s="812"/>
      <c r="C2746" s="812"/>
      <c r="D2746" s="812"/>
      <c r="E2746" s="812"/>
      <c r="F2746" s="812"/>
      <c r="G2746" s="812"/>
      <c r="H2746" s="812"/>
    </row>
    <row r="2747" spans="1:8">
      <c r="A2747" s="812"/>
      <c r="B2747" s="812"/>
      <c r="C2747" s="812"/>
      <c r="D2747" s="812"/>
      <c r="E2747" s="812"/>
      <c r="F2747" s="812"/>
      <c r="G2747" s="812"/>
      <c r="H2747" s="812"/>
    </row>
    <row r="2748" spans="1:8">
      <c r="A2748" s="812"/>
      <c r="B2748" s="812"/>
      <c r="C2748" s="812"/>
      <c r="D2748" s="812"/>
      <c r="E2748" s="812"/>
      <c r="F2748" s="812"/>
      <c r="G2748" s="812"/>
      <c r="H2748" s="812"/>
    </row>
    <row r="2749" spans="1:8">
      <c r="A2749" s="812"/>
      <c r="B2749" s="812"/>
      <c r="C2749" s="812"/>
      <c r="D2749" s="812"/>
      <c r="E2749" s="812"/>
      <c r="F2749" s="812"/>
      <c r="G2749" s="812"/>
      <c r="H2749" s="812"/>
    </row>
    <row r="2750" spans="1:8">
      <c r="A2750" s="812"/>
      <c r="B2750" s="812"/>
      <c r="C2750" s="812"/>
      <c r="D2750" s="812"/>
      <c r="E2750" s="812"/>
      <c r="F2750" s="812"/>
      <c r="G2750" s="812"/>
      <c r="H2750" s="812"/>
    </row>
    <row r="2751" spans="1:8">
      <c r="A2751" s="812"/>
      <c r="B2751" s="812"/>
      <c r="C2751" s="812"/>
      <c r="D2751" s="812"/>
      <c r="E2751" s="812"/>
      <c r="F2751" s="812"/>
      <c r="G2751" s="812"/>
      <c r="H2751" s="812"/>
    </row>
    <row r="2752" spans="1:8">
      <c r="A2752" s="812"/>
      <c r="B2752" s="812"/>
      <c r="C2752" s="812"/>
      <c r="D2752" s="812"/>
      <c r="E2752" s="812"/>
      <c r="F2752" s="812"/>
      <c r="G2752" s="812"/>
      <c r="H2752" s="812"/>
    </row>
    <row r="2753" spans="1:8">
      <c r="A2753" s="812"/>
      <c r="B2753" s="812"/>
      <c r="C2753" s="812"/>
      <c r="D2753" s="812"/>
      <c r="E2753" s="812"/>
      <c r="F2753" s="812"/>
      <c r="G2753" s="812"/>
      <c r="H2753" s="812"/>
    </row>
    <row r="2754" spans="1:8">
      <c r="A2754" s="812"/>
      <c r="B2754" s="812"/>
      <c r="C2754" s="812"/>
      <c r="D2754" s="812"/>
      <c r="E2754" s="812"/>
      <c r="F2754" s="812"/>
      <c r="G2754" s="812"/>
      <c r="H2754" s="812"/>
    </row>
    <row r="2755" spans="1:8">
      <c r="A2755" s="812"/>
      <c r="B2755" s="812"/>
      <c r="C2755" s="812"/>
      <c r="D2755" s="812"/>
      <c r="E2755" s="812"/>
      <c r="F2755" s="812"/>
      <c r="G2755" s="812"/>
      <c r="H2755" s="812"/>
    </row>
    <row r="2756" spans="1:8">
      <c r="A2756" s="812"/>
      <c r="B2756" s="812"/>
      <c r="C2756" s="812"/>
      <c r="D2756" s="812"/>
      <c r="E2756" s="812"/>
      <c r="F2756" s="812"/>
      <c r="G2756" s="812"/>
      <c r="H2756" s="812"/>
    </row>
    <row r="2757" spans="1:8">
      <c r="A2757" s="812"/>
      <c r="B2757" s="812"/>
      <c r="C2757" s="812"/>
      <c r="D2757" s="812"/>
      <c r="E2757" s="812"/>
      <c r="F2757" s="812"/>
      <c r="G2757" s="812"/>
      <c r="H2757" s="812"/>
    </row>
    <row r="2758" spans="1:8">
      <c r="A2758" s="812"/>
      <c r="B2758" s="812"/>
      <c r="C2758" s="812"/>
      <c r="D2758" s="812"/>
      <c r="E2758" s="812"/>
      <c r="F2758" s="812"/>
      <c r="G2758" s="812"/>
      <c r="H2758" s="812"/>
    </row>
    <row r="2759" spans="1:8">
      <c r="A2759" s="812"/>
      <c r="B2759" s="812"/>
      <c r="C2759" s="812"/>
      <c r="D2759" s="812"/>
      <c r="E2759" s="812"/>
      <c r="F2759" s="812"/>
      <c r="G2759" s="812"/>
      <c r="H2759" s="812"/>
    </row>
    <row r="2760" spans="1:8">
      <c r="A2760" s="812"/>
      <c r="B2760" s="812"/>
      <c r="C2760" s="812"/>
      <c r="D2760" s="812"/>
      <c r="E2760" s="812"/>
      <c r="F2760" s="812"/>
      <c r="G2760" s="812"/>
      <c r="H2760" s="812"/>
    </row>
    <row r="2761" spans="1:8">
      <c r="A2761" s="812"/>
      <c r="B2761" s="812"/>
      <c r="C2761" s="812"/>
      <c r="D2761" s="812"/>
      <c r="E2761" s="812"/>
      <c r="F2761" s="812"/>
      <c r="G2761" s="812"/>
      <c r="H2761" s="812"/>
    </row>
    <row r="2762" spans="1:8">
      <c r="A2762" s="812"/>
      <c r="B2762" s="812"/>
      <c r="C2762" s="812"/>
      <c r="D2762" s="812"/>
      <c r="E2762" s="812"/>
      <c r="F2762" s="812"/>
      <c r="G2762" s="812"/>
      <c r="H2762" s="812"/>
    </row>
    <row r="2763" spans="1:8">
      <c r="A2763" s="812"/>
      <c r="B2763" s="812"/>
      <c r="C2763" s="812"/>
      <c r="D2763" s="812"/>
      <c r="E2763" s="812"/>
      <c r="F2763" s="812"/>
      <c r="G2763" s="812"/>
      <c r="H2763" s="812"/>
    </row>
    <row r="2764" spans="1:8">
      <c r="A2764" s="812"/>
      <c r="B2764" s="812"/>
      <c r="C2764" s="812"/>
      <c r="D2764" s="812"/>
      <c r="E2764" s="812"/>
      <c r="F2764" s="812"/>
      <c r="G2764" s="812"/>
      <c r="H2764" s="812"/>
    </row>
    <row r="2765" spans="1:8">
      <c r="A2765" s="812"/>
      <c r="B2765" s="812"/>
      <c r="C2765" s="812"/>
      <c r="D2765" s="812"/>
      <c r="E2765" s="812"/>
      <c r="F2765" s="812"/>
      <c r="G2765" s="812"/>
      <c r="H2765" s="812"/>
    </row>
    <row r="2766" spans="1:8">
      <c r="A2766" s="812"/>
      <c r="B2766" s="812"/>
      <c r="C2766" s="812"/>
      <c r="D2766" s="812"/>
      <c r="E2766" s="812"/>
      <c r="F2766" s="812"/>
      <c r="G2766" s="812"/>
      <c r="H2766" s="812"/>
    </row>
    <row r="2767" spans="1:8">
      <c r="A2767" s="812"/>
      <c r="B2767" s="812"/>
      <c r="C2767" s="812"/>
      <c r="D2767" s="812"/>
      <c r="E2767" s="812"/>
      <c r="F2767" s="812"/>
      <c r="G2767" s="812"/>
      <c r="H2767" s="812"/>
    </row>
    <row r="2768" spans="1:8">
      <c r="A2768" s="812"/>
      <c r="B2768" s="812"/>
      <c r="C2768" s="812"/>
      <c r="D2768" s="812"/>
      <c r="E2768" s="812"/>
      <c r="F2768" s="812"/>
      <c r="G2768" s="812"/>
      <c r="H2768" s="812"/>
    </row>
    <row r="2769" spans="1:8">
      <c r="A2769" s="812"/>
      <c r="B2769" s="812"/>
      <c r="C2769" s="812"/>
      <c r="D2769" s="812"/>
      <c r="E2769" s="812"/>
      <c r="F2769" s="812"/>
      <c r="G2769" s="812"/>
      <c r="H2769" s="812"/>
    </row>
    <row r="2770" spans="1:8">
      <c r="A2770" s="812"/>
      <c r="B2770" s="812"/>
      <c r="C2770" s="812"/>
      <c r="D2770" s="812"/>
      <c r="E2770" s="812"/>
      <c r="F2770" s="812"/>
      <c r="G2770" s="812"/>
      <c r="H2770" s="812"/>
    </row>
    <row r="2771" spans="1:8">
      <c r="A2771" s="812"/>
      <c r="B2771" s="812"/>
      <c r="C2771" s="812"/>
      <c r="D2771" s="812"/>
      <c r="E2771" s="812"/>
      <c r="F2771" s="812"/>
      <c r="G2771" s="812"/>
      <c r="H2771" s="812"/>
    </row>
    <row r="2772" spans="1:8">
      <c r="A2772" s="812"/>
      <c r="B2772" s="812"/>
      <c r="C2772" s="812"/>
      <c r="D2772" s="812"/>
      <c r="E2772" s="812"/>
      <c r="F2772" s="812"/>
      <c r="G2772" s="812"/>
      <c r="H2772" s="812"/>
    </row>
    <row r="2773" spans="1:8">
      <c r="A2773" s="812"/>
      <c r="B2773" s="812"/>
      <c r="C2773" s="812"/>
      <c r="D2773" s="812"/>
      <c r="E2773" s="812"/>
      <c r="F2773" s="812"/>
      <c r="G2773" s="812"/>
      <c r="H2773" s="812"/>
    </row>
    <row r="2774" spans="1:8">
      <c r="A2774" s="812"/>
      <c r="B2774" s="812"/>
      <c r="C2774" s="812"/>
      <c r="D2774" s="812"/>
      <c r="E2774" s="812"/>
      <c r="F2774" s="812"/>
      <c r="G2774" s="812"/>
      <c r="H2774" s="812"/>
    </row>
    <row r="2775" spans="1:8">
      <c r="A2775" s="812"/>
      <c r="B2775" s="812"/>
      <c r="C2775" s="812"/>
      <c r="D2775" s="812"/>
      <c r="E2775" s="812"/>
      <c r="F2775" s="812"/>
      <c r="G2775" s="812"/>
      <c r="H2775" s="812"/>
    </row>
    <row r="2776" spans="1:8">
      <c r="A2776" s="812"/>
      <c r="B2776" s="812"/>
      <c r="C2776" s="812"/>
      <c r="D2776" s="812"/>
      <c r="E2776" s="812"/>
      <c r="F2776" s="812"/>
      <c r="G2776" s="812"/>
      <c r="H2776" s="812"/>
    </row>
    <row r="2777" spans="1:8">
      <c r="A2777" s="812"/>
      <c r="B2777" s="812"/>
      <c r="C2777" s="812"/>
      <c r="D2777" s="812"/>
      <c r="E2777" s="812"/>
      <c r="F2777" s="812"/>
      <c r="G2777" s="812"/>
      <c r="H2777" s="812"/>
    </row>
    <row r="2778" spans="1:8">
      <c r="A2778" s="812"/>
      <c r="B2778" s="812"/>
      <c r="C2778" s="812"/>
      <c r="D2778" s="812"/>
      <c r="E2778" s="812"/>
      <c r="F2778" s="812"/>
      <c r="G2778" s="812"/>
      <c r="H2778" s="812"/>
    </row>
    <row r="2779" spans="1:8">
      <c r="A2779" s="812"/>
      <c r="B2779" s="812"/>
      <c r="C2779" s="812"/>
      <c r="D2779" s="812"/>
      <c r="E2779" s="812"/>
      <c r="F2779" s="812"/>
      <c r="G2779" s="812"/>
      <c r="H2779" s="812"/>
    </row>
    <row r="2780" spans="1:8">
      <c r="A2780" s="812"/>
      <c r="B2780" s="812"/>
      <c r="C2780" s="812"/>
      <c r="D2780" s="812"/>
      <c r="E2780" s="812"/>
      <c r="F2780" s="812"/>
      <c r="G2780" s="812"/>
      <c r="H2780" s="812"/>
    </row>
    <row r="2781" spans="1:8">
      <c r="A2781" s="812"/>
      <c r="B2781" s="812"/>
      <c r="C2781" s="812"/>
      <c r="D2781" s="812"/>
      <c r="E2781" s="812"/>
      <c r="F2781" s="812"/>
      <c r="G2781" s="812"/>
      <c r="H2781" s="812"/>
    </row>
    <row r="2782" spans="1:8">
      <c r="A2782" s="812"/>
      <c r="B2782" s="812"/>
      <c r="C2782" s="812"/>
      <c r="D2782" s="812"/>
      <c r="E2782" s="812"/>
      <c r="F2782" s="812"/>
      <c r="G2782" s="812"/>
      <c r="H2782" s="812"/>
    </row>
    <row r="2783" spans="1:8">
      <c r="A2783" s="812"/>
      <c r="B2783" s="812"/>
      <c r="C2783" s="812"/>
      <c r="D2783" s="812"/>
      <c r="E2783" s="812"/>
      <c r="F2783" s="812"/>
      <c r="G2783" s="812"/>
      <c r="H2783" s="812"/>
    </row>
    <row r="2784" spans="1:8">
      <c r="A2784" s="812"/>
      <c r="B2784" s="812"/>
      <c r="C2784" s="812"/>
      <c r="D2784" s="812"/>
      <c r="E2784" s="812"/>
      <c r="F2784" s="812"/>
      <c r="G2784" s="812"/>
      <c r="H2784" s="812"/>
    </row>
    <row r="2785" spans="1:8">
      <c r="A2785" s="812"/>
      <c r="B2785" s="812"/>
      <c r="C2785" s="812"/>
      <c r="D2785" s="812"/>
      <c r="E2785" s="812"/>
      <c r="F2785" s="812"/>
      <c r="G2785" s="812"/>
      <c r="H2785" s="812"/>
    </row>
    <row r="2786" spans="1:8">
      <c r="A2786" s="812"/>
      <c r="B2786" s="812"/>
      <c r="C2786" s="812"/>
      <c r="D2786" s="812"/>
      <c r="E2786" s="812"/>
      <c r="F2786" s="812"/>
      <c r="G2786" s="812"/>
      <c r="H2786" s="812"/>
    </row>
    <row r="2787" spans="1:8">
      <c r="A2787" s="812"/>
      <c r="B2787" s="812"/>
      <c r="C2787" s="812"/>
      <c r="D2787" s="812"/>
      <c r="E2787" s="812"/>
      <c r="F2787" s="812"/>
      <c r="G2787" s="812"/>
      <c r="H2787" s="812"/>
    </row>
    <row r="2788" spans="1:8">
      <c r="A2788" s="812"/>
      <c r="B2788" s="812"/>
      <c r="C2788" s="812"/>
      <c r="D2788" s="812"/>
      <c r="E2788" s="812"/>
      <c r="F2788" s="812"/>
      <c r="G2788" s="812"/>
      <c r="H2788" s="812"/>
    </row>
    <row r="2789" spans="1:8">
      <c r="A2789" s="812"/>
      <c r="B2789" s="812"/>
      <c r="C2789" s="812"/>
      <c r="D2789" s="812"/>
      <c r="E2789" s="812"/>
      <c r="F2789" s="812"/>
      <c r="G2789" s="812"/>
      <c r="H2789" s="812"/>
    </row>
    <row r="2790" spans="1:8">
      <c r="A2790" s="812"/>
      <c r="B2790" s="812"/>
      <c r="C2790" s="812"/>
      <c r="D2790" s="812"/>
      <c r="E2790" s="812"/>
      <c r="F2790" s="812"/>
      <c r="G2790" s="812"/>
      <c r="H2790" s="812"/>
    </row>
    <row r="2791" spans="1:8">
      <c r="A2791" s="812"/>
      <c r="B2791" s="812"/>
      <c r="C2791" s="812"/>
      <c r="D2791" s="812"/>
      <c r="E2791" s="812"/>
      <c r="F2791" s="812"/>
      <c r="G2791" s="812"/>
      <c r="H2791" s="812"/>
    </row>
    <row r="2792" spans="1:8">
      <c r="A2792" s="812"/>
      <c r="B2792" s="812"/>
      <c r="C2792" s="812"/>
      <c r="D2792" s="812"/>
      <c r="E2792" s="812"/>
      <c r="F2792" s="812"/>
      <c r="G2792" s="812"/>
      <c r="H2792" s="812"/>
    </row>
    <row r="2793" spans="1:8">
      <c r="A2793" s="812"/>
      <c r="B2793" s="812"/>
      <c r="C2793" s="812"/>
      <c r="D2793" s="812"/>
      <c r="E2793" s="812"/>
      <c r="F2793" s="812"/>
      <c r="G2793" s="812"/>
      <c r="H2793" s="812"/>
    </row>
    <row r="2794" spans="1:8">
      <c r="A2794" s="812"/>
      <c r="B2794" s="812"/>
      <c r="C2794" s="812"/>
      <c r="D2794" s="812"/>
      <c r="E2794" s="812"/>
      <c r="F2794" s="812"/>
      <c r="G2794" s="812"/>
      <c r="H2794" s="812"/>
    </row>
    <row r="2795" spans="1:8">
      <c r="A2795" s="812"/>
      <c r="B2795" s="812"/>
      <c r="C2795" s="812"/>
      <c r="D2795" s="812"/>
      <c r="E2795" s="812"/>
      <c r="F2795" s="812"/>
      <c r="G2795" s="812"/>
      <c r="H2795" s="812"/>
    </row>
    <row r="2796" spans="1:8">
      <c r="A2796" s="812"/>
      <c r="B2796" s="812"/>
      <c r="C2796" s="812"/>
      <c r="D2796" s="812"/>
      <c r="E2796" s="812"/>
      <c r="F2796" s="812"/>
      <c r="G2796" s="812"/>
      <c r="H2796" s="812"/>
    </row>
    <row r="2797" spans="1:8">
      <c r="A2797" s="812"/>
      <c r="B2797" s="812"/>
      <c r="C2797" s="812"/>
      <c r="D2797" s="812"/>
      <c r="E2797" s="812"/>
      <c r="F2797" s="812"/>
      <c r="G2797" s="812"/>
      <c r="H2797" s="812"/>
    </row>
    <row r="2798" spans="1:8">
      <c r="A2798" s="812"/>
      <c r="B2798" s="812"/>
      <c r="C2798" s="812"/>
      <c r="D2798" s="812"/>
      <c r="E2798" s="812"/>
      <c r="F2798" s="812"/>
      <c r="G2798" s="812"/>
      <c r="H2798" s="812"/>
    </row>
    <row r="2799" spans="1:8">
      <c r="A2799" s="812"/>
      <c r="B2799" s="812"/>
      <c r="C2799" s="812"/>
      <c r="D2799" s="812"/>
      <c r="E2799" s="812"/>
      <c r="F2799" s="812"/>
      <c r="G2799" s="812"/>
      <c r="H2799" s="812"/>
    </row>
    <row r="2800" spans="1:8">
      <c r="A2800" s="812"/>
      <c r="B2800" s="812"/>
      <c r="C2800" s="812"/>
      <c r="D2800" s="812"/>
      <c r="E2800" s="812"/>
      <c r="F2800" s="812"/>
      <c r="G2800" s="812"/>
      <c r="H2800" s="812"/>
    </row>
    <row r="2801" spans="1:8">
      <c r="A2801" s="812"/>
      <c r="B2801" s="812"/>
      <c r="C2801" s="812"/>
      <c r="D2801" s="812"/>
      <c r="E2801" s="812"/>
      <c r="F2801" s="812"/>
      <c r="G2801" s="812"/>
      <c r="H2801" s="812"/>
    </row>
    <row r="2802" spans="1:8">
      <c r="A2802" s="812"/>
      <c r="B2802" s="812"/>
      <c r="C2802" s="812"/>
      <c r="D2802" s="812"/>
      <c r="E2802" s="812"/>
      <c r="F2802" s="812"/>
      <c r="G2802" s="812"/>
      <c r="H2802" s="812"/>
    </row>
    <row r="2803" spans="1:8">
      <c r="A2803" s="812"/>
      <c r="B2803" s="812"/>
      <c r="C2803" s="812"/>
      <c r="D2803" s="812"/>
      <c r="E2803" s="812"/>
      <c r="F2803" s="812"/>
      <c r="G2803" s="812"/>
      <c r="H2803" s="812"/>
    </row>
    <row r="2804" spans="1:8">
      <c r="A2804" s="812"/>
      <c r="B2804" s="812"/>
      <c r="C2804" s="812"/>
      <c r="D2804" s="812"/>
      <c r="E2804" s="812"/>
      <c r="F2804" s="812"/>
      <c r="G2804" s="812"/>
      <c r="H2804" s="812"/>
    </row>
    <row r="2805" spans="1:8">
      <c r="A2805" s="812"/>
      <c r="B2805" s="812"/>
      <c r="C2805" s="812"/>
      <c r="D2805" s="812"/>
      <c r="E2805" s="812"/>
      <c r="F2805" s="812"/>
      <c r="G2805" s="812"/>
      <c r="H2805" s="812"/>
    </row>
    <row r="2806" spans="1:8">
      <c r="A2806" s="812"/>
      <c r="B2806" s="812"/>
      <c r="C2806" s="812"/>
      <c r="D2806" s="812"/>
      <c r="E2806" s="812"/>
      <c r="F2806" s="812"/>
      <c r="G2806" s="812"/>
      <c r="H2806" s="812"/>
    </row>
    <row r="2807" spans="1:8">
      <c r="A2807" s="812"/>
      <c r="B2807" s="812"/>
      <c r="C2807" s="812"/>
      <c r="D2807" s="812"/>
      <c r="E2807" s="812"/>
      <c r="F2807" s="812"/>
      <c r="G2807" s="812"/>
      <c r="H2807" s="812"/>
    </row>
    <row r="2808" spans="1:8">
      <c r="A2808" s="812"/>
      <c r="B2808" s="812"/>
      <c r="C2808" s="812"/>
      <c r="D2808" s="812"/>
      <c r="E2808" s="812"/>
      <c r="F2808" s="812"/>
      <c r="G2808" s="812"/>
      <c r="H2808" s="812"/>
    </row>
    <row r="2809" spans="1:8">
      <c r="A2809" s="812"/>
      <c r="B2809" s="812"/>
      <c r="C2809" s="812"/>
      <c r="D2809" s="812"/>
      <c r="E2809" s="812"/>
      <c r="F2809" s="812"/>
      <c r="G2809" s="812"/>
      <c r="H2809" s="812"/>
    </row>
    <row r="2810" spans="1:8">
      <c r="A2810" s="812"/>
      <c r="B2810" s="812"/>
      <c r="C2810" s="812"/>
      <c r="D2810" s="812"/>
      <c r="E2810" s="812"/>
      <c r="F2810" s="812"/>
      <c r="G2810" s="812"/>
      <c r="H2810" s="812"/>
    </row>
    <row r="2811" spans="1:8">
      <c r="A2811" s="812"/>
      <c r="B2811" s="812"/>
      <c r="C2811" s="812"/>
      <c r="D2811" s="812"/>
      <c r="E2811" s="812"/>
      <c r="F2811" s="812"/>
      <c r="G2811" s="812"/>
      <c r="H2811" s="812"/>
    </row>
    <row r="2812" spans="1:8">
      <c r="A2812" s="812"/>
      <c r="B2812" s="812"/>
      <c r="C2812" s="812"/>
      <c r="D2812" s="812"/>
      <c r="E2812" s="812"/>
      <c r="F2812" s="812"/>
      <c r="G2812" s="812"/>
      <c r="H2812" s="812"/>
    </row>
    <row r="2813" spans="1:8">
      <c r="A2813" s="812"/>
      <c r="B2813" s="812"/>
      <c r="C2813" s="812"/>
      <c r="D2813" s="812"/>
      <c r="E2813" s="812"/>
      <c r="F2813" s="812"/>
      <c r="G2813" s="812"/>
      <c r="H2813" s="812"/>
    </row>
    <row r="2814" spans="1:8">
      <c r="A2814" s="812"/>
      <c r="B2814" s="812"/>
      <c r="C2814" s="812"/>
      <c r="D2814" s="812"/>
      <c r="E2814" s="812"/>
      <c r="F2814" s="812"/>
      <c r="G2814" s="812"/>
      <c r="H2814" s="812"/>
    </row>
    <row r="2815" spans="1:8">
      <c r="A2815" s="812"/>
      <c r="B2815" s="812"/>
      <c r="C2815" s="812"/>
      <c r="D2815" s="812"/>
      <c r="E2815" s="812"/>
      <c r="F2815" s="812"/>
      <c r="G2815" s="812"/>
      <c r="H2815" s="812"/>
    </row>
    <row r="2816" spans="1:8">
      <c r="A2816" s="812"/>
      <c r="B2816" s="812"/>
      <c r="C2816" s="812"/>
      <c r="D2816" s="812"/>
      <c r="E2816" s="812"/>
      <c r="F2816" s="812"/>
      <c r="G2816" s="812"/>
      <c r="H2816" s="812"/>
    </row>
    <row r="2817" spans="1:8">
      <c r="A2817" s="812"/>
      <c r="B2817" s="812"/>
      <c r="C2817" s="812"/>
      <c r="D2817" s="812"/>
      <c r="E2817" s="812"/>
      <c r="F2817" s="812"/>
      <c r="G2817" s="812"/>
      <c r="H2817" s="812"/>
    </row>
    <row r="2818" spans="1:8">
      <c r="A2818" s="812"/>
      <c r="B2818" s="812"/>
      <c r="C2818" s="812"/>
      <c r="D2818" s="812"/>
      <c r="E2818" s="812"/>
      <c r="F2818" s="812"/>
      <c r="G2818" s="812"/>
      <c r="H2818" s="812"/>
    </row>
    <row r="2819" spans="1:8">
      <c r="A2819" s="812"/>
      <c r="B2819" s="812"/>
      <c r="C2819" s="812"/>
      <c r="D2819" s="812"/>
      <c r="E2819" s="812"/>
      <c r="F2819" s="812"/>
      <c r="G2819" s="812"/>
      <c r="H2819" s="812"/>
    </row>
    <row r="2820" spans="1:8">
      <c r="A2820" s="812"/>
      <c r="B2820" s="812"/>
      <c r="C2820" s="812"/>
      <c r="D2820" s="812"/>
      <c r="E2820" s="812"/>
      <c r="F2820" s="812"/>
      <c r="G2820" s="812"/>
      <c r="H2820" s="812"/>
    </row>
    <row r="2821" spans="1:8">
      <c r="A2821" s="812"/>
      <c r="B2821" s="812"/>
      <c r="C2821" s="812"/>
      <c r="D2821" s="812"/>
      <c r="E2821" s="812"/>
      <c r="F2821" s="812"/>
      <c r="G2821" s="812"/>
      <c r="H2821" s="812"/>
    </row>
    <row r="2822" spans="1:8">
      <c r="A2822" s="812"/>
      <c r="B2822" s="812"/>
      <c r="C2822" s="812"/>
      <c r="D2822" s="812"/>
      <c r="E2822" s="812"/>
      <c r="F2822" s="812"/>
      <c r="G2822" s="812"/>
      <c r="H2822" s="812"/>
    </row>
    <row r="2823" spans="1:8">
      <c r="A2823" s="812"/>
      <c r="B2823" s="812"/>
      <c r="C2823" s="812"/>
      <c r="D2823" s="812"/>
      <c r="E2823" s="812"/>
      <c r="F2823" s="812"/>
      <c r="G2823" s="812"/>
      <c r="H2823" s="812"/>
    </row>
    <row r="2824" spans="1:8">
      <c r="A2824" s="812"/>
      <c r="B2824" s="812"/>
      <c r="C2824" s="812"/>
      <c r="D2824" s="812"/>
      <c r="E2824" s="812"/>
      <c r="F2824" s="812"/>
      <c r="G2824" s="812"/>
      <c r="H2824" s="812"/>
    </row>
    <row r="2825" spans="1:8">
      <c r="A2825" s="812"/>
      <c r="B2825" s="812"/>
      <c r="C2825" s="812"/>
      <c r="D2825" s="812"/>
      <c r="E2825" s="812"/>
      <c r="F2825" s="812"/>
      <c r="G2825" s="812"/>
      <c r="H2825" s="812"/>
    </row>
    <row r="2826" spans="1:8">
      <c r="A2826" s="812"/>
      <c r="B2826" s="812"/>
      <c r="C2826" s="812"/>
      <c r="D2826" s="812"/>
      <c r="E2826" s="812"/>
      <c r="F2826" s="812"/>
      <c r="G2826" s="812"/>
      <c r="H2826" s="812"/>
    </row>
    <row r="2827" spans="1:8">
      <c r="A2827" s="812"/>
      <c r="B2827" s="812"/>
      <c r="C2827" s="812"/>
      <c r="D2827" s="812"/>
      <c r="E2827" s="812"/>
      <c r="F2827" s="812"/>
      <c r="G2827" s="812"/>
      <c r="H2827" s="812"/>
    </row>
    <row r="2828" spans="1:8">
      <c r="A2828" s="812"/>
      <c r="B2828" s="812"/>
      <c r="C2828" s="812"/>
      <c r="D2828" s="812"/>
      <c r="E2828" s="812"/>
      <c r="F2828" s="812"/>
      <c r="G2828" s="812"/>
      <c r="H2828" s="812"/>
    </row>
    <row r="2829" spans="1:8">
      <c r="A2829" s="812"/>
      <c r="B2829" s="812"/>
      <c r="C2829" s="812"/>
      <c r="D2829" s="812"/>
      <c r="E2829" s="812"/>
      <c r="F2829" s="812"/>
      <c r="G2829" s="812"/>
      <c r="H2829" s="812"/>
    </row>
    <row r="2830" spans="1:8">
      <c r="A2830" s="812"/>
      <c r="B2830" s="812"/>
      <c r="C2830" s="812"/>
      <c r="D2830" s="812"/>
      <c r="E2830" s="812"/>
      <c r="F2830" s="812"/>
      <c r="G2830" s="812"/>
      <c r="H2830" s="812"/>
    </row>
    <row r="2831" spans="1:8">
      <c r="A2831" s="812"/>
      <c r="B2831" s="812"/>
      <c r="C2831" s="812"/>
      <c r="D2831" s="812"/>
      <c r="E2831" s="812"/>
      <c r="F2831" s="812"/>
      <c r="G2831" s="812"/>
      <c r="H2831" s="812"/>
    </row>
    <row r="2832" spans="1:8">
      <c r="A2832" s="812"/>
      <c r="B2832" s="812"/>
      <c r="C2832" s="812"/>
      <c r="D2832" s="812"/>
      <c r="E2832" s="812"/>
      <c r="F2832" s="812"/>
      <c r="G2832" s="812"/>
      <c r="H2832" s="812"/>
    </row>
    <row r="2833" spans="1:8">
      <c r="A2833" s="812"/>
      <c r="B2833" s="812"/>
      <c r="C2833" s="812"/>
      <c r="D2833" s="812"/>
      <c r="E2833" s="812"/>
      <c r="F2833" s="812"/>
      <c r="G2833" s="812"/>
      <c r="H2833" s="812"/>
    </row>
    <row r="2834" spans="1:8">
      <c r="A2834" s="812"/>
      <c r="B2834" s="812"/>
      <c r="C2834" s="812"/>
      <c r="D2834" s="812"/>
      <c r="E2834" s="812"/>
      <c r="F2834" s="812"/>
      <c r="G2834" s="812"/>
      <c r="H2834" s="812"/>
    </row>
    <row r="2835" spans="1:8">
      <c r="A2835" s="812"/>
      <c r="B2835" s="812"/>
      <c r="C2835" s="812"/>
      <c r="D2835" s="812"/>
      <c r="E2835" s="812"/>
      <c r="F2835" s="812"/>
      <c r="G2835" s="812"/>
      <c r="H2835" s="812"/>
    </row>
    <row r="2836" spans="1:8">
      <c r="A2836" s="812"/>
      <c r="B2836" s="812"/>
      <c r="C2836" s="812"/>
      <c r="D2836" s="812"/>
      <c r="E2836" s="812"/>
      <c r="F2836" s="812"/>
      <c r="G2836" s="812"/>
      <c r="H2836" s="812"/>
    </row>
    <row r="2837" spans="1:8">
      <c r="A2837" s="812"/>
      <c r="B2837" s="812"/>
      <c r="C2837" s="812"/>
      <c r="D2837" s="812"/>
      <c r="E2837" s="812"/>
      <c r="F2837" s="812"/>
      <c r="G2837" s="812"/>
      <c r="H2837" s="812"/>
    </row>
    <row r="2838" spans="1:8">
      <c r="A2838" s="812"/>
      <c r="B2838" s="812"/>
      <c r="C2838" s="812"/>
      <c r="D2838" s="812"/>
      <c r="E2838" s="812"/>
      <c r="F2838" s="812"/>
      <c r="G2838" s="812"/>
      <c r="H2838" s="812"/>
    </row>
    <row r="2839" spans="1:8">
      <c r="A2839" s="812"/>
      <c r="B2839" s="812"/>
      <c r="C2839" s="812"/>
      <c r="D2839" s="812"/>
      <c r="E2839" s="812"/>
      <c r="F2839" s="812"/>
      <c r="G2839" s="812"/>
      <c r="H2839" s="812"/>
    </row>
    <row r="2840" spans="1:8">
      <c r="A2840" s="812"/>
      <c r="B2840" s="812"/>
      <c r="C2840" s="812"/>
      <c r="D2840" s="812"/>
      <c r="E2840" s="812"/>
      <c r="F2840" s="812"/>
      <c r="G2840" s="812"/>
      <c r="H2840" s="812"/>
    </row>
    <row r="2841" spans="1:8">
      <c r="A2841" s="812"/>
      <c r="B2841" s="812"/>
      <c r="C2841" s="812"/>
      <c r="D2841" s="812"/>
      <c r="E2841" s="812"/>
      <c r="F2841" s="812"/>
      <c r="G2841" s="812"/>
      <c r="H2841" s="812"/>
    </row>
    <row r="2842" spans="1:8">
      <c r="A2842" s="812"/>
      <c r="B2842" s="812"/>
      <c r="C2842" s="812"/>
      <c r="D2842" s="812"/>
      <c r="E2842" s="812"/>
      <c r="F2842" s="812"/>
      <c r="G2842" s="812"/>
      <c r="H2842" s="812"/>
    </row>
    <row r="2843" spans="1:8">
      <c r="A2843" s="812"/>
      <c r="B2843" s="812"/>
      <c r="C2843" s="812"/>
      <c r="D2843" s="812"/>
      <c r="E2843" s="812"/>
      <c r="F2843" s="812"/>
      <c r="G2843" s="812"/>
      <c r="H2843" s="812"/>
    </row>
    <row r="2844" spans="1:8">
      <c r="A2844" s="812"/>
      <c r="B2844" s="812"/>
      <c r="C2844" s="812"/>
      <c r="D2844" s="812"/>
      <c r="E2844" s="812"/>
      <c r="F2844" s="812"/>
      <c r="G2844" s="812"/>
      <c r="H2844" s="812"/>
    </row>
    <row r="2845" spans="1:8">
      <c r="A2845" s="812"/>
      <c r="B2845" s="812"/>
      <c r="C2845" s="812"/>
      <c r="D2845" s="812"/>
      <c r="E2845" s="812"/>
      <c r="F2845" s="812"/>
      <c r="G2845" s="812"/>
      <c r="H2845" s="812"/>
    </row>
    <row r="2846" spans="1:8">
      <c r="A2846" s="812"/>
      <c r="B2846" s="812"/>
      <c r="C2846" s="812"/>
      <c r="D2846" s="812"/>
      <c r="E2846" s="812"/>
      <c r="F2846" s="812"/>
      <c r="G2846" s="812"/>
      <c r="H2846" s="812"/>
    </row>
    <row r="2847" spans="1:8">
      <c r="A2847" s="812"/>
      <c r="B2847" s="812"/>
      <c r="C2847" s="812"/>
      <c r="D2847" s="812"/>
      <c r="E2847" s="812"/>
      <c r="F2847" s="812"/>
      <c r="G2847" s="812"/>
      <c r="H2847" s="812"/>
    </row>
    <row r="2848" spans="1:8">
      <c r="A2848" s="812"/>
      <c r="B2848" s="812"/>
      <c r="C2848" s="812"/>
      <c r="D2848" s="812"/>
      <c r="E2848" s="812"/>
      <c r="F2848" s="812"/>
      <c r="G2848" s="812"/>
      <c r="H2848" s="812"/>
    </row>
    <row r="2849" spans="1:8">
      <c r="A2849" s="812"/>
      <c r="B2849" s="812"/>
      <c r="C2849" s="812"/>
      <c r="D2849" s="812"/>
      <c r="E2849" s="812"/>
      <c r="F2849" s="812"/>
      <c r="G2849" s="812"/>
      <c r="H2849" s="812"/>
    </row>
    <row r="2850" spans="1:8">
      <c r="A2850" s="812"/>
      <c r="B2850" s="812"/>
      <c r="C2850" s="812"/>
      <c r="D2850" s="812"/>
      <c r="E2850" s="812"/>
      <c r="F2850" s="812"/>
      <c r="G2850" s="812"/>
      <c r="H2850" s="812"/>
    </row>
    <row r="2851" spans="1:8">
      <c r="A2851" s="812"/>
      <c r="B2851" s="812"/>
      <c r="C2851" s="812"/>
      <c r="D2851" s="812"/>
      <c r="E2851" s="812"/>
      <c r="F2851" s="812"/>
      <c r="G2851" s="812"/>
      <c r="H2851" s="812"/>
    </row>
    <row r="2852" spans="1:8">
      <c r="A2852" s="812"/>
      <c r="B2852" s="812"/>
      <c r="C2852" s="812"/>
      <c r="D2852" s="812"/>
      <c r="E2852" s="812"/>
      <c r="F2852" s="812"/>
      <c r="G2852" s="812"/>
      <c r="H2852" s="812"/>
    </row>
    <row r="2853" spans="1:8">
      <c r="A2853" s="812"/>
      <c r="B2853" s="812"/>
      <c r="C2853" s="812"/>
      <c r="D2853" s="812"/>
      <c r="E2853" s="812"/>
      <c r="F2853" s="812"/>
      <c r="G2853" s="812"/>
      <c r="H2853" s="812"/>
    </row>
    <row r="2854" spans="1:8">
      <c r="A2854" s="812"/>
      <c r="B2854" s="812"/>
      <c r="C2854" s="812"/>
      <c r="D2854" s="812"/>
      <c r="E2854" s="812"/>
      <c r="F2854" s="812"/>
      <c r="G2854" s="812"/>
      <c r="H2854" s="812"/>
    </row>
    <row r="2855" spans="1:8">
      <c r="A2855" s="812"/>
      <c r="B2855" s="812"/>
      <c r="C2855" s="812"/>
      <c r="D2855" s="812"/>
      <c r="E2855" s="812"/>
      <c r="F2855" s="812"/>
      <c r="G2855" s="812"/>
      <c r="H2855" s="812"/>
    </row>
    <row r="2856" spans="1:8">
      <c r="A2856" s="812"/>
      <c r="B2856" s="812"/>
      <c r="C2856" s="812"/>
      <c r="D2856" s="812"/>
      <c r="E2856" s="812"/>
      <c r="F2856" s="812"/>
      <c r="G2856" s="812"/>
      <c r="H2856" s="812"/>
    </row>
    <row r="2857" spans="1:8">
      <c r="A2857" s="812"/>
      <c r="B2857" s="812"/>
      <c r="C2857" s="812"/>
      <c r="D2857" s="812"/>
      <c r="E2857" s="812"/>
      <c r="F2857" s="812"/>
      <c r="G2857" s="812"/>
      <c r="H2857" s="812"/>
    </row>
    <row r="2858" spans="1:8">
      <c r="A2858" s="812"/>
      <c r="B2858" s="812"/>
      <c r="C2858" s="812"/>
      <c r="D2858" s="812"/>
      <c r="E2858" s="812"/>
      <c r="F2858" s="812"/>
      <c r="G2858" s="812"/>
      <c r="H2858" s="812"/>
    </row>
    <row r="2859" spans="1:8">
      <c r="A2859" s="812"/>
      <c r="B2859" s="812"/>
      <c r="C2859" s="812"/>
      <c r="D2859" s="812"/>
      <c r="E2859" s="812"/>
      <c r="F2859" s="812"/>
      <c r="G2859" s="812"/>
      <c r="H2859" s="812"/>
    </row>
    <row r="2860" spans="1:8">
      <c r="A2860" s="812"/>
      <c r="B2860" s="812"/>
      <c r="C2860" s="812"/>
      <c r="D2860" s="812"/>
      <c r="E2860" s="812"/>
      <c r="F2860" s="812"/>
      <c r="G2860" s="812"/>
      <c r="H2860" s="812"/>
    </row>
    <row r="2861" spans="1:8">
      <c r="A2861" s="812"/>
      <c r="B2861" s="812"/>
      <c r="C2861" s="812"/>
      <c r="D2861" s="812"/>
      <c r="E2861" s="812"/>
      <c r="F2861" s="812"/>
      <c r="G2861" s="812"/>
      <c r="H2861" s="812"/>
    </row>
    <row r="2862" spans="1:8">
      <c r="A2862" s="812"/>
      <c r="B2862" s="812"/>
      <c r="C2862" s="812"/>
      <c r="D2862" s="812"/>
      <c r="E2862" s="812"/>
      <c r="F2862" s="812"/>
      <c r="G2862" s="812"/>
      <c r="H2862" s="812"/>
    </row>
    <row r="2863" spans="1:8">
      <c r="A2863" s="812"/>
      <c r="B2863" s="812"/>
      <c r="C2863" s="812"/>
      <c r="D2863" s="812"/>
      <c r="E2863" s="812"/>
      <c r="F2863" s="812"/>
      <c r="G2863" s="812"/>
      <c r="H2863" s="812"/>
    </row>
    <row r="2864" spans="1:8">
      <c r="A2864" s="812"/>
      <c r="B2864" s="812"/>
      <c r="C2864" s="812"/>
      <c r="D2864" s="812"/>
      <c r="E2864" s="812"/>
      <c r="F2864" s="812"/>
      <c r="G2864" s="812"/>
      <c r="H2864" s="812"/>
    </row>
    <row r="2865" spans="1:8">
      <c r="A2865" s="812"/>
      <c r="B2865" s="812"/>
      <c r="C2865" s="812"/>
      <c r="D2865" s="812"/>
      <c r="E2865" s="812"/>
      <c r="F2865" s="812"/>
      <c r="G2865" s="812"/>
      <c r="H2865" s="812"/>
    </row>
    <row r="2866" spans="1:8">
      <c r="A2866" s="812"/>
      <c r="B2866" s="812"/>
      <c r="C2866" s="812"/>
      <c r="D2866" s="812"/>
      <c r="E2866" s="812"/>
      <c r="F2866" s="812"/>
      <c r="G2866" s="812"/>
      <c r="H2866" s="812"/>
    </row>
    <row r="2867" spans="1:8">
      <c r="A2867" s="812"/>
      <c r="B2867" s="812"/>
      <c r="C2867" s="812"/>
      <c r="D2867" s="812"/>
      <c r="E2867" s="812"/>
      <c r="F2867" s="812"/>
      <c r="G2867" s="812"/>
      <c r="H2867" s="812"/>
    </row>
    <row r="2868" spans="1:8">
      <c r="A2868" s="812"/>
      <c r="B2868" s="812"/>
      <c r="C2868" s="812"/>
      <c r="D2868" s="812"/>
      <c r="E2868" s="812"/>
      <c r="F2868" s="812"/>
      <c r="G2868" s="812"/>
      <c r="H2868" s="812"/>
    </row>
    <row r="2869" spans="1:8">
      <c r="A2869" s="812"/>
      <c r="B2869" s="812"/>
      <c r="C2869" s="812"/>
      <c r="D2869" s="812"/>
      <c r="E2869" s="812"/>
      <c r="F2869" s="812"/>
      <c r="G2869" s="812"/>
      <c r="H2869" s="812"/>
    </row>
    <row r="2870" spans="1:8">
      <c r="A2870" s="812"/>
      <c r="B2870" s="812"/>
      <c r="C2870" s="812"/>
      <c r="D2870" s="812"/>
      <c r="E2870" s="812"/>
      <c r="F2870" s="812"/>
      <c r="G2870" s="812"/>
      <c r="H2870" s="812"/>
    </row>
    <row r="2871" spans="1:8">
      <c r="A2871" s="812"/>
      <c r="B2871" s="812"/>
      <c r="C2871" s="812"/>
      <c r="D2871" s="812"/>
      <c r="E2871" s="812"/>
      <c r="F2871" s="812"/>
      <c r="G2871" s="812"/>
      <c r="H2871" s="812"/>
    </row>
    <row r="2872" spans="1:8">
      <c r="A2872" s="812"/>
      <c r="B2872" s="812"/>
      <c r="C2872" s="812"/>
      <c r="D2872" s="812"/>
      <c r="E2872" s="812"/>
      <c r="F2872" s="812"/>
      <c r="G2872" s="812"/>
      <c r="H2872" s="812"/>
    </row>
    <row r="2873" spans="1:8">
      <c r="A2873" s="812"/>
      <c r="B2873" s="812"/>
      <c r="C2873" s="812"/>
      <c r="D2873" s="812"/>
      <c r="E2873" s="812"/>
      <c r="F2873" s="812"/>
      <c r="G2873" s="812"/>
      <c r="H2873" s="812"/>
    </row>
    <row r="2874" spans="1:8">
      <c r="A2874" s="812"/>
      <c r="B2874" s="812"/>
      <c r="C2874" s="812"/>
      <c r="D2874" s="812"/>
      <c r="E2874" s="812"/>
      <c r="F2874" s="812"/>
      <c r="G2874" s="812"/>
      <c r="H2874" s="812"/>
    </row>
    <row r="2875" spans="1:8">
      <c r="A2875" s="812"/>
      <c r="B2875" s="812"/>
      <c r="C2875" s="812"/>
      <c r="D2875" s="812"/>
      <c r="E2875" s="812"/>
      <c r="F2875" s="812"/>
      <c r="G2875" s="812"/>
      <c r="H2875" s="812"/>
    </row>
    <row r="2876" spans="1:8">
      <c r="A2876" s="812"/>
      <c r="B2876" s="812"/>
      <c r="C2876" s="812"/>
      <c r="D2876" s="812"/>
      <c r="E2876" s="812"/>
      <c r="F2876" s="812"/>
      <c r="G2876" s="812"/>
      <c r="H2876" s="812"/>
    </row>
    <row r="2877" spans="1:8">
      <c r="A2877" s="812"/>
      <c r="B2877" s="812"/>
      <c r="C2877" s="812"/>
      <c r="D2877" s="812"/>
      <c r="E2877" s="812"/>
      <c r="F2877" s="812"/>
      <c r="G2877" s="812"/>
      <c r="H2877" s="812"/>
    </row>
    <row r="2878" spans="1:8">
      <c r="A2878" s="812"/>
      <c r="B2878" s="812"/>
      <c r="C2878" s="812"/>
      <c r="D2878" s="812"/>
      <c r="E2878" s="812"/>
      <c r="F2878" s="812"/>
      <c r="G2878" s="812"/>
      <c r="H2878" s="812"/>
    </row>
    <row r="2879" spans="1:8">
      <c r="A2879" s="812"/>
      <c r="B2879" s="812"/>
      <c r="C2879" s="812"/>
      <c r="D2879" s="812"/>
      <c r="E2879" s="812"/>
      <c r="F2879" s="812"/>
      <c r="G2879" s="812"/>
      <c r="H2879" s="812"/>
    </row>
    <row r="2880" spans="1:8">
      <c r="A2880" s="812"/>
      <c r="B2880" s="812"/>
      <c r="C2880" s="812"/>
      <c r="D2880" s="812"/>
      <c r="E2880" s="812"/>
      <c r="F2880" s="812"/>
      <c r="G2880" s="812"/>
      <c r="H2880" s="812"/>
    </row>
    <row r="2881" spans="1:8">
      <c r="A2881" s="812"/>
      <c r="B2881" s="812"/>
      <c r="C2881" s="812"/>
      <c r="D2881" s="812"/>
      <c r="E2881" s="812"/>
      <c r="F2881" s="812"/>
      <c r="G2881" s="812"/>
      <c r="H2881" s="812"/>
    </row>
    <row r="2882" spans="1:8">
      <c r="A2882" s="812"/>
      <c r="B2882" s="812"/>
      <c r="C2882" s="812"/>
      <c r="D2882" s="812"/>
      <c r="E2882" s="812"/>
      <c r="F2882" s="812"/>
      <c r="G2882" s="812"/>
      <c r="H2882" s="812"/>
    </row>
    <row r="2883" spans="1:8">
      <c r="A2883" s="812"/>
      <c r="B2883" s="812"/>
      <c r="C2883" s="812"/>
      <c r="D2883" s="812"/>
      <c r="E2883" s="812"/>
      <c r="F2883" s="812"/>
      <c r="G2883" s="812"/>
      <c r="H2883" s="812"/>
    </row>
    <row r="2884" spans="1:8">
      <c r="A2884" s="812"/>
      <c r="B2884" s="812"/>
      <c r="C2884" s="812"/>
      <c r="D2884" s="812"/>
      <c r="E2884" s="812"/>
      <c r="F2884" s="812"/>
      <c r="G2884" s="812"/>
      <c r="H2884" s="812"/>
    </row>
    <row r="2885" spans="1:8">
      <c r="A2885" s="812"/>
      <c r="B2885" s="812"/>
      <c r="C2885" s="812"/>
      <c r="D2885" s="812"/>
      <c r="E2885" s="812"/>
      <c r="F2885" s="812"/>
      <c r="G2885" s="812"/>
      <c r="H2885" s="812"/>
    </row>
    <row r="2886" spans="1:8">
      <c r="A2886" s="812"/>
      <c r="B2886" s="812"/>
      <c r="C2886" s="812"/>
      <c r="D2886" s="812"/>
      <c r="E2886" s="812"/>
      <c r="F2886" s="812"/>
      <c r="G2886" s="812"/>
      <c r="H2886" s="812"/>
    </row>
    <row r="2887" spans="1:8">
      <c r="A2887" s="812"/>
      <c r="B2887" s="812"/>
      <c r="C2887" s="812"/>
      <c r="D2887" s="812"/>
      <c r="E2887" s="812"/>
      <c r="F2887" s="812"/>
      <c r="G2887" s="812"/>
      <c r="H2887" s="812"/>
    </row>
    <row r="2888" spans="1:8">
      <c r="A2888" s="812"/>
      <c r="B2888" s="812"/>
      <c r="C2888" s="812"/>
      <c r="D2888" s="812"/>
      <c r="E2888" s="812"/>
      <c r="F2888" s="812"/>
      <c r="G2888" s="812"/>
      <c r="H2888" s="812"/>
    </row>
    <row r="2889" spans="1:8">
      <c r="A2889" s="812"/>
      <c r="B2889" s="812"/>
      <c r="C2889" s="812"/>
      <c r="D2889" s="812"/>
      <c r="E2889" s="812"/>
      <c r="F2889" s="812"/>
      <c r="G2889" s="812"/>
      <c r="H2889" s="812"/>
    </row>
    <row r="2890" spans="1:8">
      <c r="A2890" s="812"/>
      <c r="B2890" s="812"/>
      <c r="C2890" s="812"/>
      <c r="D2890" s="812"/>
      <c r="E2890" s="812"/>
      <c r="F2890" s="812"/>
      <c r="G2890" s="812"/>
      <c r="H2890" s="812"/>
    </row>
    <row r="2891" spans="1:8">
      <c r="A2891" s="812"/>
      <c r="B2891" s="812"/>
      <c r="C2891" s="812"/>
      <c r="D2891" s="812"/>
      <c r="E2891" s="812"/>
      <c r="F2891" s="812"/>
      <c r="G2891" s="812"/>
      <c r="H2891" s="812"/>
    </row>
    <row r="2892" spans="1:8">
      <c r="A2892" s="812"/>
      <c r="B2892" s="812"/>
      <c r="C2892" s="812"/>
      <c r="D2892" s="812"/>
      <c r="E2892" s="812"/>
      <c r="F2892" s="812"/>
      <c r="G2892" s="812"/>
      <c r="H2892" s="812"/>
    </row>
    <row r="2893" spans="1:8">
      <c r="A2893" s="812"/>
      <c r="B2893" s="812"/>
      <c r="C2893" s="812"/>
      <c r="D2893" s="812"/>
      <c r="E2893" s="812"/>
      <c r="F2893" s="812"/>
      <c r="G2893" s="812"/>
      <c r="H2893" s="812"/>
    </row>
    <row r="2894" spans="1:8">
      <c r="A2894" s="812"/>
      <c r="B2894" s="812"/>
      <c r="C2894" s="812"/>
      <c r="D2894" s="812"/>
      <c r="E2894" s="812"/>
      <c r="F2894" s="812"/>
      <c r="G2894" s="812"/>
      <c r="H2894" s="812"/>
    </row>
    <row r="2895" spans="1:8">
      <c r="A2895" s="812"/>
      <c r="B2895" s="812"/>
      <c r="C2895" s="812"/>
      <c r="D2895" s="812"/>
      <c r="E2895" s="812"/>
      <c r="F2895" s="812"/>
      <c r="G2895" s="812"/>
      <c r="H2895" s="812"/>
    </row>
    <row r="2896" spans="1:8">
      <c r="A2896" s="812"/>
      <c r="B2896" s="812"/>
      <c r="C2896" s="812"/>
      <c r="D2896" s="812"/>
      <c r="E2896" s="812"/>
      <c r="F2896" s="812"/>
      <c r="G2896" s="812"/>
      <c r="H2896" s="812"/>
    </row>
    <row r="2897" spans="1:8">
      <c r="A2897" s="812"/>
      <c r="B2897" s="812"/>
      <c r="C2897" s="812"/>
      <c r="D2897" s="812"/>
      <c r="E2897" s="812"/>
      <c r="F2897" s="812"/>
      <c r="G2897" s="812"/>
      <c r="H2897" s="812"/>
    </row>
    <row r="2898" spans="1:8">
      <c r="A2898" s="812"/>
      <c r="B2898" s="812"/>
      <c r="C2898" s="812"/>
      <c r="D2898" s="812"/>
      <c r="E2898" s="812"/>
      <c r="F2898" s="812"/>
      <c r="G2898" s="812"/>
      <c r="H2898" s="812"/>
    </row>
    <row r="2899" spans="1:8">
      <c r="A2899" s="812"/>
      <c r="B2899" s="812"/>
      <c r="C2899" s="812"/>
      <c r="D2899" s="812"/>
      <c r="E2899" s="812"/>
      <c r="F2899" s="812"/>
      <c r="G2899" s="812"/>
      <c r="H2899" s="812"/>
    </row>
    <row r="2900" spans="1:8">
      <c r="A2900" s="812"/>
      <c r="B2900" s="812"/>
      <c r="C2900" s="812"/>
      <c r="D2900" s="812"/>
      <c r="E2900" s="812"/>
      <c r="F2900" s="812"/>
      <c r="G2900" s="812"/>
      <c r="H2900" s="812"/>
    </row>
    <row r="2901" spans="1:8">
      <c r="A2901" s="812"/>
      <c r="B2901" s="812"/>
      <c r="C2901" s="812"/>
      <c r="D2901" s="812"/>
      <c r="E2901" s="812"/>
      <c r="F2901" s="812"/>
      <c r="G2901" s="812"/>
      <c r="H2901" s="812"/>
    </row>
    <row r="2902" spans="1:8">
      <c r="A2902" s="812"/>
      <c r="B2902" s="812"/>
      <c r="C2902" s="812"/>
      <c r="D2902" s="812"/>
      <c r="E2902" s="812"/>
      <c r="F2902" s="812"/>
      <c r="G2902" s="812"/>
      <c r="H2902" s="812"/>
    </row>
    <row r="2903" spans="1:8">
      <c r="A2903" s="812"/>
      <c r="B2903" s="812"/>
      <c r="C2903" s="812"/>
      <c r="D2903" s="812"/>
      <c r="E2903" s="812"/>
      <c r="F2903" s="812"/>
      <c r="G2903" s="812"/>
      <c r="H2903" s="812"/>
    </row>
    <row r="2904" spans="1:8">
      <c r="A2904" s="812"/>
      <c r="B2904" s="812"/>
      <c r="C2904" s="812"/>
      <c r="D2904" s="812"/>
      <c r="E2904" s="812"/>
      <c r="F2904" s="812"/>
      <c r="G2904" s="812"/>
      <c r="H2904" s="812"/>
    </row>
    <row r="2905" spans="1:8">
      <c r="A2905" s="812"/>
      <c r="B2905" s="812"/>
      <c r="C2905" s="812"/>
      <c r="D2905" s="812"/>
      <c r="E2905" s="812"/>
      <c r="F2905" s="812"/>
      <c r="G2905" s="812"/>
      <c r="H2905" s="812"/>
    </row>
    <row r="2906" spans="1:8">
      <c r="A2906" s="812"/>
      <c r="B2906" s="812"/>
      <c r="C2906" s="812"/>
      <c r="D2906" s="812"/>
      <c r="E2906" s="812"/>
      <c r="F2906" s="812"/>
      <c r="G2906" s="812"/>
      <c r="H2906" s="812"/>
    </row>
    <row r="2907" spans="1:8">
      <c r="A2907" s="812"/>
      <c r="B2907" s="812"/>
      <c r="C2907" s="812"/>
      <c r="D2907" s="812"/>
      <c r="E2907" s="812"/>
      <c r="F2907" s="812"/>
      <c r="G2907" s="812"/>
      <c r="H2907" s="812"/>
    </row>
    <row r="2908" spans="1:8">
      <c r="A2908" s="812"/>
      <c r="B2908" s="812"/>
      <c r="C2908" s="812"/>
      <c r="D2908" s="812"/>
      <c r="E2908" s="812"/>
      <c r="F2908" s="812"/>
      <c r="G2908" s="812"/>
      <c r="H2908" s="812"/>
    </row>
    <row r="2909" spans="1:8">
      <c r="A2909" s="812"/>
      <c r="B2909" s="812"/>
      <c r="C2909" s="812"/>
      <c r="D2909" s="812"/>
      <c r="E2909" s="812"/>
      <c r="F2909" s="812"/>
      <c r="G2909" s="812"/>
      <c r="H2909" s="812"/>
    </row>
    <row r="2910" spans="1:8">
      <c r="A2910" s="812"/>
      <c r="B2910" s="812"/>
      <c r="C2910" s="812"/>
      <c r="D2910" s="812"/>
      <c r="E2910" s="812"/>
      <c r="F2910" s="812"/>
      <c r="G2910" s="812"/>
      <c r="H2910" s="812"/>
    </row>
    <row r="2911" spans="1:8">
      <c r="A2911" s="812"/>
      <c r="B2911" s="812"/>
      <c r="C2911" s="812"/>
      <c r="D2911" s="812"/>
      <c r="E2911" s="812"/>
      <c r="F2911" s="812"/>
      <c r="G2911" s="812"/>
      <c r="H2911" s="812"/>
    </row>
    <row r="2912" spans="1:8">
      <c r="A2912" s="812"/>
      <c r="B2912" s="812"/>
      <c r="C2912" s="812"/>
      <c r="D2912" s="812"/>
      <c r="E2912" s="812"/>
      <c r="F2912" s="812"/>
      <c r="G2912" s="812"/>
      <c r="H2912" s="812"/>
    </row>
    <row r="2913" spans="1:8">
      <c r="A2913" s="812"/>
      <c r="B2913" s="812"/>
      <c r="C2913" s="812"/>
      <c r="D2913" s="812"/>
      <c r="E2913" s="812"/>
      <c r="F2913" s="812"/>
      <c r="G2913" s="812"/>
      <c r="H2913" s="812"/>
    </row>
    <row r="2914" spans="1:8">
      <c r="A2914" s="812"/>
      <c r="B2914" s="812"/>
      <c r="C2914" s="812"/>
      <c r="D2914" s="812"/>
      <c r="E2914" s="812"/>
      <c r="F2914" s="812"/>
      <c r="G2914" s="812"/>
      <c r="H2914" s="812"/>
    </row>
    <row r="2915" spans="1:8">
      <c r="A2915" s="812"/>
      <c r="B2915" s="812"/>
      <c r="C2915" s="812"/>
      <c r="D2915" s="812"/>
      <c r="E2915" s="812"/>
      <c r="F2915" s="812"/>
      <c r="G2915" s="812"/>
      <c r="H2915" s="812"/>
    </row>
    <row r="2916" spans="1:8">
      <c r="A2916" s="812"/>
      <c r="B2916" s="812"/>
      <c r="C2916" s="812"/>
      <c r="D2916" s="812"/>
      <c r="E2916" s="812"/>
      <c r="F2916" s="812"/>
      <c r="G2916" s="812"/>
      <c r="H2916" s="812"/>
    </row>
    <row r="2917" spans="1:8">
      <c r="A2917" s="812"/>
      <c r="B2917" s="812"/>
      <c r="C2917" s="812"/>
      <c r="D2917" s="812"/>
      <c r="E2917" s="812"/>
      <c r="F2917" s="812"/>
      <c r="G2917" s="812"/>
      <c r="H2917" s="812"/>
    </row>
    <row r="2918" spans="1:8">
      <c r="A2918" s="812"/>
      <c r="B2918" s="812"/>
      <c r="C2918" s="812"/>
      <c r="D2918" s="812"/>
      <c r="E2918" s="812"/>
      <c r="F2918" s="812"/>
      <c r="G2918" s="812"/>
      <c r="H2918" s="812"/>
    </row>
    <row r="2919" spans="1:8">
      <c r="A2919" s="812"/>
      <c r="B2919" s="812"/>
      <c r="C2919" s="812"/>
      <c r="D2919" s="812"/>
      <c r="E2919" s="812"/>
      <c r="F2919" s="812"/>
      <c r="G2919" s="812"/>
      <c r="H2919" s="812"/>
    </row>
    <row r="2920" spans="1:8">
      <c r="A2920" s="812"/>
      <c r="B2920" s="812"/>
      <c r="C2920" s="812"/>
      <c r="D2920" s="812"/>
      <c r="E2920" s="812"/>
      <c r="F2920" s="812"/>
      <c r="G2920" s="812"/>
      <c r="H2920" s="812"/>
    </row>
    <row r="2921" spans="1:8">
      <c r="A2921" s="812"/>
      <c r="B2921" s="812"/>
      <c r="C2921" s="812"/>
      <c r="D2921" s="812"/>
      <c r="E2921" s="812"/>
      <c r="F2921" s="812"/>
      <c r="G2921" s="812"/>
      <c r="H2921" s="812"/>
    </row>
    <row r="2922" spans="1:8">
      <c r="A2922" s="812"/>
      <c r="B2922" s="812"/>
      <c r="C2922" s="812"/>
      <c r="D2922" s="812"/>
      <c r="E2922" s="812"/>
      <c r="F2922" s="812"/>
      <c r="G2922" s="812"/>
      <c r="H2922" s="812"/>
    </row>
    <row r="2923" spans="1:8">
      <c r="A2923" s="812"/>
      <c r="B2923" s="812"/>
      <c r="C2923" s="812"/>
      <c r="D2923" s="812"/>
      <c r="E2923" s="812"/>
      <c r="F2923" s="812"/>
      <c r="G2923" s="812"/>
      <c r="H2923" s="812"/>
    </row>
    <row r="2924" spans="1:8">
      <c r="A2924" s="812"/>
      <c r="B2924" s="812"/>
      <c r="C2924" s="812"/>
      <c r="D2924" s="812"/>
      <c r="E2924" s="812"/>
      <c r="F2924" s="812"/>
      <c r="G2924" s="812"/>
      <c r="H2924" s="812"/>
    </row>
    <row r="2925" spans="1:8">
      <c r="A2925" s="812"/>
      <c r="B2925" s="812"/>
      <c r="C2925" s="812"/>
      <c r="D2925" s="812"/>
      <c r="E2925" s="812"/>
      <c r="F2925" s="812"/>
      <c r="G2925" s="812"/>
      <c r="H2925" s="812"/>
    </row>
    <row r="2926" spans="1:8">
      <c r="A2926" s="812"/>
      <c r="B2926" s="812"/>
      <c r="C2926" s="812"/>
      <c r="D2926" s="812"/>
      <c r="E2926" s="812"/>
      <c r="F2926" s="812"/>
      <c r="G2926" s="812"/>
      <c r="H2926" s="812"/>
    </row>
    <row r="2927" spans="1:8">
      <c r="A2927" s="812"/>
      <c r="B2927" s="812"/>
      <c r="C2927" s="812"/>
      <c r="D2927" s="812"/>
      <c r="E2927" s="812"/>
      <c r="F2927" s="812"/>
      <c r="G2927" s="812"/>
      <c r="H2927" s="812"/>
    </row>
    <row r="2928" spans="1:8">
      <c r="A2928" s="812"/>
      <c r="B2928" s="812"/>
      <c r="C2928" s="812"/>
      <c r="D2928" s="812"/>
      <c r="E2928" s="812"/>
      <c r="F2928" s="812"/>
      <c r="G2928" s="812"/>
      <c r="H2928" s="812"/>
    </row>
    <row r="2929" spans="1:8">
      <c r="A2929" s="812"/>
      <c r="B2929" s="812"/>
      <c r="C2929" s="812"/>
      <c r="D2929" s="812"/>
      <c r="E2929" s="812"/>
      <c r="F2929" s="812"/>
      <c r="G2929" s="812"/>
      <c r="H2929" s="812"/>
    </row>
    <row r="2930" spans="1:8">
      <c r="A2930" s="812"/>
      <c r="B2930" s="812"/>
      <c r="C2930" s="812"/>
      <c r="D2930" s="812"/>
      <c r="E2930" s="812"/>
      <c r="F2930" s="812"/>
      <c r="G2930" s="812"/>
      <c r="H2930" s="812"/>
    </row>
    <row r="2931" spans="1:8">
      <c r="A2931" s="812"/>
      <c r="B2931" s="812"/>
      <c r="C2931" s="812"/>
      <c r="D2931" s="812"/>
      <c r="E2931" s="812"/>
      <c r="F2931" s="812"/>
      <c r="G2931" s="812"/>
      <c r="H2931" s="812"/>
    </row>
    <row r="2932" spans="1:8">
      <c r="A2932" s="812"/>
      <c r="B2932" s="812"/>
      <c r="C2932" s="812"/>
      <c r="D2932" s="812"/>
      <c r="E2932" s="812"/>
      <c r="F2932" s="812"/>
      <c r="G2932" s="812"/>
      <c r="H2932" s="812"/>
    </row>
    <row r="2933" spans="1:8">
      <c r="A2933" s="812"/>
      <c r="B2933" s="812"/>
      <c r="C2933" s="812"/>
      <c r="D2933" s="812"/>
      <c r="E2933" s="812"/>
      <c r="F2933" s="812"/>
      <c r="G2933" s="812"/>
      <c r="H2933" s="812"/>
    </row>
    <row r="2934" spans="1:8">
      <c r="A2934" s="812"/>
      <c r="B2934" s="812"/>
      <c r="C2934" s="812"/>
      <c r="D2934" s="812"/>
      <c r="E2934" s="812"/>
      <c r="F2934" s="812"/>
      <c r="G2934" s="812"/>
      <c r="H2934" s="812"/>
    </row>
    <row r="2935" spans="1:8">
      <c r="A2935" s="812"/>
      <c r="B2935" s="812"/>
      <c r="C2935" s="812"/>
      <c r="D2935" s="812"/>
      <c r="E2935" s="812"/>
      <c r="F2935" s="812"/>
      <c r="G2935" s="812"/>
      <c r="H2935" s="812"/>
    </row>
    <row r="2936" spans="1:8">
      <c r="A2936" s="812"/>
      <c r="B2936" s="812"/>
      <c r="C2936" s="812"/>
      <c r="D2936" s="812"/>
      <c r="E2936" s="812"/>
      <c r="F2936" s="812"/>
      <c r="G2936" s="812"/>
      <c r="H2936" s="812"/>
    </row>
    <row r="2937" spans="1:8">
      <c r="A2937" s="812"/>
      <c r="B2937" s="812"/>
      <c r="C2937" s="812"/>
      <c r="D2937" s="812"/>
      <c r="E2937" s="812"/>
      <c r="F2937" s="812"/>
      <c r="G2937" s="812"/>
      <c r="H2937" s="812"/>
    </row>
    <row r="2938" spans="1:8">
      <c r="A2938" s="812"/>
      <c r="B2938" s="812"/>
      <c r="C2938" s="812"/>
      <c r="D2938" s="812"/>
      <c r="E2938" s="812"/>
      <c r="F2938" s="812"/>
      <c r="G2938" s="812"/>
      <c r="H2938" s="812"/>
    </row>
    <row r="2939" spans="1:8">
      <c r="A2939" s="812"/>
      <c r="B2939" s="812"/>
      <c r="C2939" s="812"/>
      <c r="D2939" s="812"/>
      <c r="E2939" s="812"/>
      <c r="F2939" s="812"/>
      <c r="G2939" s="812"/>
      <c r="H2939" s="812"/>
    </row>
    <row r="2940" spans="1:8">
      <c r="A2940" s="812"/>
      <c r="B2940" s="812"/>
      <c r="C2940" s="812"/>
      <c r="D2940" s="812"/>
      <c r="E2940" s="812"/>
      <c r="F2940" s="812"/>
      <c r="G2940" s="812"/>
      <c r="H2940" s="812"/>
    </row>
    <row r="2941" spans="1:8">
      <c r="A2941" s="812"/>
      <c r="B2941" s="812"/>
      <c r="C2941" s="812"/>
      <c r="D2941" s="812"/>
      <c r="E2941" s="812"/>
      <c r="F2941" s="812"/>
      <c r="G2941" s="812"/>
      <c r="H2941" s="812"/>
    </row>
    <row r="2942" spans="1:8">
      <c r="A2942" s="812"/>
      <c r="B2942" s="812"/>
      <c r="C2942" s="812"/>
      <c r="D2942" s="812"/>
      <c r="E2942" s="812"/>
      <c r="F2942" s="812"/>
      <c r="G2942" s="812"/>
      <c r="H2942" s="812"/>
    </row>
    <row r="2943" spans="1:8">
      <c r="A2943" s="812"/>
      <c r="B2943" s="812"/>
      <c r="C2943" s="812"/>
      <c r="D2943" s="812"/>
      <c r="E2943" s="812"/>
      <c r="F2943" s="812"/>
      <c r="G2943" s="812"/>
      <c r="H2943" s="812"/>
    </row>
    <row r="2944" spans="1:8">
      <c r="A2944" s="812"/>
      <c r="B2944" s="812"/>
      <c r="C2944" s="812"/>
      <c r="D2944" s="812"/>
      <c r="E2944" s="812"/>
      <c r="F2944" s="812"/>
      <c r="G2944" s="812"/>
      <c r="H2944" s="812"/>
    </row>
    <row r="2945" spans="1:8">
      <c r="A2945" s="812"/>
      <c r="B2945" s="812"/>
      <c r="C2945" s="812"/>
      <c r="D2945" s="812"/>
      <c r="E2945" s="812"/>
      <c r="F2945" s="812"/>
      <c r="G2945" s="812"/>
      <c r="H2945" s="812"/>
    </row>
    <row r="2946" spans="1:8">
      <c r="A2946" s="812"/>
      <c r="B2946" s="812"/>
      <c r="C2946" s="812"/>
      <c r="D2946" s="812"/>
      <c r="E2946" s="812"/>
      <c r="F2946" s="812"/>
      <c r="G2946" s="812"/>
      <c r="H2946" s="812"/>
    </row>
    <row r="2947" spans="1:8">
      <c r="A2947" s="812"/>
      <c r="B2947" s="812"/>
      <c r="C2947" s="812"/>
      <c r="D2947" s="812"/>
      <c r="E2947" s="812"/>
      <c r="F2947" s="812"/>
      <c r="G2947" s="812"/>
      <c r="H2947" s="812"/>
    </row>
    <row r="2948" spans="1:8">
      <c r="A2948" s="812"/>
      <c r="B2948" s="812"/>
      <c r="C2948" s="812"/>
      <c r="D2948" s="812"/>
      <c r="E2948" s="812"/>
      <c r="F2948" s="812"/>
      <c r="G2948" s="812"/>
      <c r="H2948" s="812"/>
    </row>
    <row r="2949" spans="1:8">
      <c r="A2949" s="812"/>
      <c r="B2949" s="812"/>
      <c r="C2949" s="812"/>
      <c r="D2949" s="812"/>
      <c r="E2949" s="812"/>
      <c r="F2949" s="812"/>
      <c r="G2949" s="812"/>
      <c r="H2949" s="812"/>
    </row>
    <row r="2950" spans="1:8">
      <c r="A2950" s="812"/>
      <c r="B2950" s="812"/>
      <c r="C2950" s="812"/>
      <c r="D2950" s="812"/>
      <c r="E2950" s="812"/>
      <c r="F2950" s="812"/>
      <c r="G2950" s="812"/>
      <c r="H2950" s="812"/>
    </row>
    <row r="2951" spans="1:8">
      <c r="A2951" s="812"/>
      <c r="B2951" s="812"/>
      <c r="C2951" s="812"/>
      <c r="D2951" s="812"/>
      <c r="E2951" s="812"/>
      <c r="F2951" s="812"/>
      <c r="G2951" s="812"/>
      <c r="H2951" s="812"/>
    </row>
    <row r="2952" spans="1:8">
      <c r="A2952" s="812"/>
      <c r="B2952" s="812"/>
      <c r="C2952" s="812"/>
      <c r="D2952" s="812"/>
      <c r="E2952" s="812"/>
      <c r="F2952" s="812"/>
      <c r="G2952" s="812"/>
      <c r="H2952" s="812"/>
    </row>
    <row r="2953" spans="1:8">
      <c r="A2953" s="812"/>
      <c r="B2953" s="812"/>
      <c r="C2953" s="812"/>
      <c r="D2953" s="812"/>
      <c r="E2953" s="812"/>
      <c r="F2953" s="812"/>
      <c r="G2953" s="812"/>
      <c r="H2953" s="812"/>
    </row>
    <row r="2954" spans="1:8">
      <c r="A2954" s="812"/>
      <c r="B2954" s="812"/>
      <c r="C2954" s="812"/>
      <c r="D2954" s="812"/>
      <c r="E2954" s="812"/>
      <c r="F2954" s="812"/>
      <c r="G2954" s="812"/>
      <c r="H2954" s="812"/>
    </row>
    <row r="2955" spans="1:8">
      <c r="A2955" s="812"/>
      <c r="B2955" s="812"/>
      <c r="C2955" s="812"/>
      <c r="D2955" s="812"/>
      <c r="E2955" s="812"/>
      <c r="F2955" s="812"/>
      <c r="G2955" s="812"/>
      <c r="H2955" s="812"/>
    </row>
    <row r="2956" spans="1:8">
      <c r="A2956" s="812"/>
      <c r="B2956" s="812"/>
      <c r="C2956" s="812"/>
      <c r="D2956" s="812"/>
      <c r="E2956" s="812"/>
      <c r="F2956" s="812"/>
      <c r="G2956" s="812"/>
      <c r="H2956" s="812"/>
    </row>
    <row r="2957" spans="1:8">
      <c r="A2957" s="812"/>
      <c r="B2957" s="812"/>
      <c r="C2957" s="812"/>
      <c r="D2957" s="812"/>
      <c r="E2957" s="812"/>
      <c r="F2957" s="812"/>
      <c r="G2957" s="812"/>
      <c r="H2957" s="812"/>
    </row>
    <row r="2958" spans="1:8">
      <c r="A2958" s="812"/>
      <c r="B2958" s="812"/>
      <c r="C2958" s="812"/>
      <c r="D2958" s="812"/>
      <c r="E2958" s="812"/>
      <c r="F2958" s="812"/>
      <c r="G2958" s="812"/>
      <c r="H2958" s="812"/>
    </row>
    <row r="2959" spans="1:8">
      <c r="A2959" s="812"/>
      <c r="B2959" s="812"/>
      <c r="C2959" s="812"/>
      <c r="D2959" s="812"/>
      <c r="E2959" s="812"/>
      <c r="F2959" s="812"/>
      <c r="G2959" s="812"/>
      <c r="H2959" s="812"/>
    </row>
    <row r="2960" spans="1:8">
      <c r="A2960" s="812"/>
      <c r="B2960" s="812"/>
      <c r="C2960" s="812"/>
      <c r="D2960" s="812"/>
      <c r="E2960" s="812"/>
      <c r="F2960" s="812"/>
      <c r="G2960" s="812"/>
      <c r="H2960" s="812"/>
    </row>
    <row r="2961" spans="1:8">
      <c r="A2961" s="812"/>
      <c r="B2961" s="812"/>
      <c r="C2961" s="812"/>
      <c r="D2961" s="812"/>
      <c r="E2961" s="812"/>
      <c r="F2961" s="812"/>
      <c r="G2961" s="812"/>
      <c r="H2961" s="812"/>
    </row>
    <row r="2962" spans="1:8">
      <c r="A2962" s="812"/>
      <c r="B2962" s="812"/>
      <c r="C2962" s="812"/>
      <c r="D2962" s="812"/>
      <c r="E2962" s="812"/>
      <c r="F2962" s="812"/>
      <c r="G2962" s="812"/>
      <c r="H2962" s="812"/>
    </row>
    <row r="2963" spans="1:8">
      <c r="A2963" s="812"/>
      <c r="B2963" s="812"/>
      <c r="C2963" s="812"/>
      <c r="D2963" s="812"/>
      <c r="E2963" s="812"/>
      <c r="F2963" s="812"/>
      <c r="G2963" s="812"/>
      <c r="H2963" s="812"/>
    </row>
    <row r="2964" spans="1:8">
      <c r="A2964" s="812"/>
      <c r="B2964" s="812"/>
      <c r="C2964" s="812"/>
      <c r="D2964" s="812"/>
      <c r="E2964" s="812"/>
      <c r="F2964" s="812"/>
      <c r="G2964" s="812"/>
      <c r="H2964" s="812"/>
    </row>
    <row r="2965" spans="1:8">
      <c r="A2965" s="812"/>
      <c r="B2965" s="812"/>
      <c r="C2965" s="812"/>
      <c r="D2965" s="812"/>
      <c r="E2965" s="812"/>
      <c r="F2965" s="812"/>
      <c r="G2965" s="812"/>
      <c r="H2965" s="812"/>
    </row>
    <row r="2966" spans="1:8">
      <c r="A2966" s="812"/>
      <c r="B2966" s="812"/>
      <c r="C2966" s="812"/>
      <c r="D2966" s="812"/>
      <c r="E2966" s="812"/>
      <c r="F2966" s="812"/>
      <c r="G2966" s="812"/>
      <c r="H2966" s="812"/>
    </row>
    <row r="2967" spans="1:8">
      <c r="A2967" s="812"/>
      <c r="B2967" s="812"/>
      <c r="C2967" s="812"/>
      <c r="D2967" s="812"/>
      <c r="E2967" s="812"/>
      <c r="F2967" s="812"/>
      <c r="G2967" s="812"/>
      <c r="H2967" s="812"/>
    </row>
    <row r="2968" spans="1:8">
      <c r="A2968" s="812"/>
      <c r="B2968" s="812"/>
      <c r="C2968" s="812"/>
      <c r="D2968" s="812"/>
      <c r="E2968" s="812"/>
      <c r="F2968" s="812"/>
      <c r="G2968" s="812"/>
      <c r="H2968" s="812"/>
    </row>
    <row r="2969" spans="1:8">
      <c r="A2969" s="812"/>
      <c r="B2969" s="812"/>
      <c r="C2969" s="812"/>
      <c r="D2969" s="812"/>
      <c r="E2969" s="812"/>
      <c r="F2969" s="812"/>
      <c r="G2969" s="812"/>
      <c r="H2969" s="812"/>
    </row>
    <row r="2970" spans="1:8">
      <c r="A2970" s="812"/>
      <c r="B2970" s="812"/>
      <c r="C2970" s="812"/>
      <c r="D2970" s="812"/>
      <c r="E2970" s="812"/>
      <c r="F2970" s="812"/>
      <c r="G2970" s="812"/>
      <c r="H2970" s="812"/>
    </row>
    <row r="2971" spans="1:8">
      <c r="A2971" s="812"/>
      <c r="B2971" s="812"/>
      <c r="C2971" s="812"/>
      <c r="D2971" s="812"/>
      <c r="E2971" s="812"/>
      <c r="F2971" s="812"/>
      <c r="G2971" s="812"/>
      <c r="H2971" s="812"/>
    </row>
    <row r="2972" spans="1:8">
      <c r="A2972" s="812"/>
      <c r="B2972" s="812"/>
      <c r="C2972" s="812"/>
      <c r="D2972" s="812"/>
      <c r="E2972" s="812"/>
      <c r="F2972" s="812"/>
      <c r="G2972" s="812"/>
      <c r="H2972" s="812"/>
    </row>
    <row r="2973" spans="1:8">
      <c r="A2973" s="812"/>
      <c r="B2973" s="812"/>
      <c r="C2973" s="812"/>
      <c r="D2973" s="812"/>
      <c r="E2973" s="812"/>
      <c r="F2973" s="812"/>
      <c r="G2973" s="812"/>
      <c r="H2973" s="812"/>
    </row>
    <row r="2974" spans="1:8">
      <c r="A2974" s="812"/>
      <c r="B2974" s="812"/>
      <c r="C2974" s="812"/>
      <c r="D2974" s="812"/>
      <c r="E2974" s="812"/>
      <c r="F2974" s="812"/>
      <c r="G2974" s="812"/>
      <c r="H2974" s="812"/>
    </row>
    <row r="2975" spans="1:8">
      <c r="A2975" s="812"/>
      <c r="B2975" s="812"/>
      <c r="C2975" s="812"/>
      <c r="D2975" s="812"/>
      <c r="E2975" s="812"/>
      <c r="F2975" s="812"/>
      <c r="G2975" s="812"/>
      <c r="H2975" s="812"/>
    </row>
    <row r="2976" spans="1:8">
      <c r="A2976" s="812"/>
      <c r="B2976" s="812"/>
      <c r="C2976" s="812"/>
      <c r="D2976" s="812"/>
      <c r="E2976" s="812"/>
      <c r="F2976" s="812"/>
      <c r="G2976" s="812"/>
      <c r="H2976" s="812"/>
    </row>
    <row r="2977" spans="1:8">
      <c r="A2977" s="812"/>
      <c r="B2977" s="812"/>
      <c r="C2977" s="812"/>
      <c r="D2977" s="812"/>
      <c r="E2977" s="812"/>
      <c r="F2977" s="812"/>
      <c r="G2977" s="812"/>
      <c r="H2977" s="812"/>
    </row>
    <row r="2978" spans="1:8">
      <c r="A2978" s="812"/>
      <c r="B2978" s="812"/>
      <c r="C2978" s="812"/>
      <c r="D2978" s="812"/>
      <c r="E2978" s="812"/>
      <c r="F2978" s="812"/>
      <c r="G2978" s="812"/>
      <c r="H2978" s="812"/>
    </row>
    <row r="2979" spans="1:8">
      <c r="A2979" s="812"/>
      <c r="B2979" s="812"/>
      <c r="C2979" s="812"/>
      <c r="D2979" s="812"/>
      <c r="E2979" s="812"/>
      <c r="F2979" s="812"/>
      <c r="G2979" s="812"/>
      <c r="H2979" s="812"/>
    </row>
    <row r="2980" spans="1:8">
      <c r="A2980" s="812"/>
      <c r="B2980" s="812"/>
      <c r="C2980" s="812"/>
      <c r="D2980" s="812"/>
      <c r="E2980" s="812"/>
      <c r="F2980" s="812"/>
      <c r="G2980" s="812"/>
      <c r="H2980" s="812"/>
    </row>
    <row r="2981" spans="1:8">
      <c r="A2981" s="812"/>
      <c r="B2981" s="812"/>
      <c r="C2981" s="812"/>
      <c r="D2981" s="812"/>
      <c r="E2981" s="812"/>
      <c r="F2981" s="812"/>
      <c r="G2981" s="812"/>
      <c r="H2981" s="812"/>
    </row>
    <row r="2982" spans="1:8">
      <c r="A2982" s="812"/>
      <c r="B2982" s="812"/>
      <c r="C2982" s="812"/>
      <c r="D2982" s="812"/>
      <c r="E2982" s="812"/>
      <c r="F2982" s="812"/>
      <c r="G2982" s="812"/>
      <c r="H2982" s="812"/>
    </row>
    <row r="2983" spans="1:8">
      <c r="A2983" s="812"/>
      <c r="B2983" s="812"/>
      <c r="C2983" s="812"/>
      <c r="D2983" s="812"/>
      <c r="E2983" s="812"/>
      <c r="F2983" s="812"/>
      <c r="G2983" s="812"/>
      <c r="H2983" s="812"/>
    </row>
    <row r="2984" spans="1:8">
      <c r="A2984" s="812"/>
      <c r="B2984" s="812"/>
      <c r="C2984" s="812"/>
      <c r="D2984" s="812"/>
      <c r="E2984" s="812"/>
      <c r="F2984" s="812"/>
      <c r="G2984" s="812"/>
      <c r="H2984" s="812"/>
    </row>
    <row r="2985" spans="1:8">
      <c r="A2985" s="812"/>
      <c r="B2985" s="812"/>
      <c r="C2985" s="812"/>
      <c r="D2985" s="812"/>
      <c r="E2985" s="812"/>
      <c r="F2985" s="812"/>
      <c r="G2985" s="812"/>
      <c r="H2985" s="812"/>
    </row>
    <row r="2986" spans="1:8">
      <c r="A2986" s="812"/>
      <c r="B2986" s="812"/>
      <c r="C2986" s="812"/>
      <c r="D2986" s="812"/>
      <c r="E2986" s="812"/>
      <c r="F2986" s="812"/>
      <c r="G2986" s="812"/>
      <c r="H2986" s="812"/>
    </row>
    <row r="2987" spans="1:8">
      <c r="A2987" s="812"/>
      <c r="B2987" s="812"/>
      <c r="C2987" s="812"/>
      <c r="D2987" s="812"/>
      <c r="E2987" s="812"/>
      <c r="F2987" s="812"/>
      <c r="G2987" s="812"/>
      <c r="H2987" s="812"/>
    </row>
    <row r="2988" spans="1:8">
      <c r="A2988" s="812"/>
      <c r="B2988" s="812"/>
      <c r="C2988" s="812"/>
      <c r="D2988" s="812"/>
      <c r="E2988" s="812"/>
      <c r="F2988" s="812"/>
      <c r="G2988" s="812"/>
      <c r="H2988" s="812"/>
    </row>
    <row r="2989" spans="1:8">
      <c r="A2989" s="812"/>
      <c r="B2989" s="812"/>
      <c r="C2989" s="812"/>
      <c r="D2989" s="812"/>
      <c r="E2989" s="812"/>
      <c r="F2989" s="812"/>
      <c r="G2989" s="812"/>
      <c r="H2989" s="812"/>
    </row>
    <row r="2990" spans="1:8">
      <c r="A2990" s="812"/>
      <c r="B2990" s="812"/>
      <c r="C2990" s="812"/>
      <c r="D2990" s="812"/>
      <c r="E2990" s="812"/>
      <c r="F2990" s="812"/>
      <c r="G2990" s="812"/>
      <c r="H2990" s="812"/>
    </row>
    <row r="2991" spans="1:8">
      <c r="A2991" s="812"/>
      <c r="B2991" s="812"/>
      <c r="C2991" s="812"/>
      <c r="D2991" s="812"/>
      <c r="E2991" s="812"/>
      <c r="F2991" s="812"/>
      <c r="G2991" s="812"/>
      <c r="H2991" s="812"/>
    </row>
    <row r="2992" spans="1:8">
      <c r="A2992" s="812"/>
      <c r="B2992" s="812"/>
      <c r="C2992" s="812"/>
      <c r="D2992" s="812"/>
      <c r="E2992" s="812"/>
      <c r="F2992" s="812"/>
      <c r="G2992" s="812"/>
      <c r="H2992" s="812"/>
    </row>
    <row r="2993" spans="1:8">
      <c r="A2993" s="812"/>
      <c r="B2993" s="812"/>
      <c r="C2993" s="812"/>
      <c r="D2993" s="812"/>
      <c r="E2993" s="812"/>
      <c r="F2993" s="812"/>
      <c r="G2993" s="812"/>
      <c r="H2993" s="812"/>
    </row>
    <row r="2994" spans="1:8">
      <c r="A2994" s="812"/>
      <c r="B2994" s="812"/>
      <c r="C2994" s="812"/>
      <c r="D2994" s="812"/>
      <c r="E2994" s="812"/>
      <c r="F2994" s="812"/>
      <c r="G2994" s="812"/>
      <c r="H2994" s="812"/>
    </row>
    <row r="2995" spans="1:8">
      <c r="A2995" s="812"/>
      <c r="B2995" s="812"/>
      <c r="C2995" s="812"/>
      <c r="D2995" s="812"/>
      <c r="E2995" s="812"/>
      <c r="F2995" s="812"/>
      <c r="G2995" s="812"/>
      <c r="H2995" s="812"/>
    </row>
    <row r="2996" spans="1:8">
      <c r="A2996" s="812"/>
      <c r="B2996" s="812"/>
      <c r="C2996" s="812"/>
      <c r="D2996" s="812"/>
      <c r="E2996" s="812"/>
      <c r="F2996" s="812"/>
      <c r="G2996" s="812"/>
      <c r="H2996" s="812"/>
    </row>
    <row r="2997" spans="1:8">
      <c r="A2997" s="812"/>
      <c r="B2997" s="812"/>
      <c r="C2997" s="812"/>
      <c r="D2997" s="812"/>
      <c r="E2997" s="812"/>
      <c r="F2997" s="812"/>
      <c r="G2997" s="812"/>
      <c r="H2997" s="812"/>
    </row>
    <row r="2998" spans="1:8">
      <c r="A2998" s="812"/>
      <c r="B2998" s="812"/>
      <c r="C2998" s="812"/>
      <c r="D2998" s="812"/>
      <c r="E2998" s="812"/>
      <c r="F2998" s="812"/>
      <c r="G2998" s="812"/>
      <c r="H2998" s="812"/>
    </row>
    <row r="2999" spans="1:8">
      <c r="A2999" s="812"/>
      <c r="B2999" s="812"/>
      <c r="C2999" s="812"/>
      <c r="D2999" s="812"/>
      <c r="E2999" s="812"/>
      <c r="F2999" s="812"/>
      <c r="G2999" s="812"/>
      <c r="H2999" s="812"/>
    </row>
    <row r="3000" spans="1:8">
      <c r="A3000" s="812"/>
      <c r="B3000" s="812"/>
      <c r="C3000" s="812"/>
      <c r="D3000" s="812"/>
      <c r="E3000" s="812"/>
      <c r="F3000" s="812"/>
      <c r="G3000" s="812"/>
      <c r="H3000" s="812"/>
    </row>
    <row r="3001" spans="1:8">
      <c r="A3001" s="812"/>
      <c r="B3001" s="812"/>
      <c r="C3001" s="812"/>
      <c r="D3001" s="812"/>
      <c r="E3001" s="812"/>
      <c r="F3001" s="812"/>
      <c r="G3001" s="812"/>
      <c r="H3001" s="812"/>
    </row>
    <row r="3002" spans="1:8">
      <c r="A3002" s="812"/>
      <c r="B3002" s="812"/>
      <c r="C3002" s="812"/>
      <c r="D3002" s="812"/>
      <c r="E3002" s="812"/>
      <c r="F3002" s="812"/>
      <c r="G3002" s="812"/>
      <c r="H3002" s="812"/>
    </row>
    <row r="3003" spans="1:8">
      <c r="A3003" s="812"/>
      <c r="B3003" s="812"/>
      <c r="C3003" s="812"/>
      <c r="D3003" s="812"/>
      <c r="E3003" s="812"/>
      <c r="F3003" s="812"/>
      <c r="G3003" s="812"/>
      <c r="H3003" s="812"/>
    </row>
    <row r="3004" spans="1:8">
      <c r="A3004" s="812"/>
      <c r="B3004" s="812"/>
      <c r="C3004" s="812"/>
      <c r="D3004" s="812"/>
      <c r="E3004" s="812"/>
      <c r="F3004" s="812"/>
      <c r="G3004" s="812"/>
      <c r="H3004" s="812"/>
    </row>
    <row r="3005" spans="1:8">
      <c r="A3005" s="812"/>
      <c r="B3005" s="812"/>
      <c r="C3005" s="812"/>
      <c r="D3005" s="812"/>
      <c r="E3005" s="812"/>
      <c r="F3005" s="812"/>
      <c r="G3005" s="812"/>
      <c r="H3005" s="812"/>
    </row>
    <row r="3006" spans="1:8">
      <c r="A3006" s="812"/>
      <c r="B3006" s="812"/>
      <c r="C3006" s="812"/>
      <c r="D3006" s="812"/>
      <c r="E3006" s="812"/>
      <c r="F3006" s="812"/>
      <c r="G3006" s="812"/>
      <c r="H3006" s="812"/>
    </row>
    <row r="3007" spans="1:8">
      <c r="A3007" s="812"/>
      <c r="B3007" s="812"/>
      <c r="C3007" s="812"/>
      <c r="D3007" s="812"/>
      <c r="E3007" s="812"/>
      <c r="F3007" s="812"/>
      <c r="G3007" s="812"/>
      <c r="H3007" s="812"/>
    </row>
    <row r="3008" spans="1:8">
      <c r="A3008" s="812"/>
      <c r="B3008" s="812"/>
      <c r="C3008" s="812"/>
      <c r="D3008" s="812"/>
      <c r="E3008" s="812"/>
      <c r="F3008" s="812"/>
      <c r="G3008" s="812"/>
      <c r="H3008" s="812"/>
    </row>
    <row r="3009" spans="1:8">
      <c r="A3009" s="812"/>
      <c r="B3009" s="812"/>
      <c r="C3009" s="812"/>
      <c r="D3009" s="812"/>
      <c r="E3009" s="812"/>
      <c r="F3009" s="812"/>
      <c r="G3009" s="812"/>
      <c r="H3009" s="812"/>
    </row>
    <row r="3010" spans="1:8">
      <c r="A3010" s="812"/>
      <c r="B3010" s="812"/>
      <c r="C3010" s="812"/>
      <c r="D3010" s="812"/>
      <c r="E3010" s="812"/>
      <c r="F3010" s="812"/>
      <c r="G3010" s="812"/>
      <c r="H3010" s="812"/>
    </row>
    <row r="3011" spans="1:8">
      <c r="A3011" s="812"/>
      <c r="B3011" s="812"/>
      <c r="C3011" s="812"/>
      <c r="D3011" s="812"/>
      <c r="E3011" s="812"/>
      <c r="F3011" s="812"/>
      <c r="G3011" s="812"/>
      <c r="H3011" s="812"/>
    </row>
    <row r="3012" spans="1:8">
      <c r="A3012" s="812"/>
      <c r="B3012" s="812"/>
      <c r="C3012" s="812"/>
      <c r="D3012" s="812"/>
      <c r="E3012" s="812"/>
      <c r="F3012" s="812"/>
      <c r="G3012" s="812"/>
      <c r="H3012" s="812"/>
    </row>
    <row r="3013" spans="1:8">
      <c r="A3013" s="812"/>
      <c r="B3013" s="812"/>
      <c r="C3013" s="812"/>
      <c r="D3013" s="812"/>
      <c r="E3013" s="812"/>
      <c r="F3013" s="812"/>
      <c r="G3013" s="812"/>
      <c r="H3013" s="812"/>
    </row>
    <row r="3014" spans="1:8">
      <c r="A3014" s="812"/>
      <c r="B3014" s="812"/>
      <c r="C3014" s="812"/>
      <c r="D3014" s="812"/>
      <c r="E3014" s="812"/>
      <c r="F3014" s="812"/>
      <c r="G3014" s="812"/>
      <c r="H3014" s="812"/>
    </row>
    <row r="3015" spans="1:8">
      <c r="A3015" s="812"/>
      <c r="B3015" s="812"/>
      <c r="C3015" s="812"/>
      <c r="D3015" s="812"/>
      <c r="E3015" s="812"/>
      <c r="F3015" s="812"/>
      <c r="G3015" s="812"/>
      <c r="H3015" s="812"/>
    </row>
    <row r="3016" spans="1:8">
      <c r="A3016" s="812"/>
      <c r="B3016" s="812"/>
      <c r="C3016" s="812"/>
      <c r="D3016" s="812"/>
      <c r="E3016" s="812"/>
      <c r="F3016" s="812"/>
      <c r="G3016" s="812"/>
      <c r="H3016" s="812"/>
    </row>
    <row r="3017" spans="1:8">
      <c r="A3017" s="812"/>
      <c r="B3017" s="812"/>
      <c r="C3017" s="812"/>
      <c r="D3017" s="812"/>
      <c r="E3017" s="812"/>
      <c r="F3017" s="812"/>
      <c r="G3017" s="812"/>
      <c r="H3017" s="812"/>
    </row>
    <row r="3018" spans="1:8">
      <c r="A3018" s="812"/>
      <c r="B3018" s="812"/>
      <c r="C3018" s="812"/>
      <c r="D3018" s="812"/>
      <c r="E3018" s="812"/>
      <c r="F3018" s="812"/>
      <c r="G3018" s="812"/>
      <c r="H3018" s="812"/>
    </row>
    <row r="3019" spans="1:8">
      <c r="A3019" s="812"/>
      <c r="B3019" s="812"/>
      <c r="C3019" s="812"/>
      <c r="D3019" s="812"/>
      <c r="E3019" s="812"/>
      <c r="F3019" s="812"/>
      <c r="G3019" s="812"/>
      <c r="H3019" s="812"/>
    </row>
    <row r="3020" spans="1:8">
      <c r="A3020" s="812"/>
      <c r="B3020" s="812"/>
      <c r="C3020" s="812"/>
      <c r="D3020" s="812"/>
      <c r="E3020" s="812"/>
      <c r="F3020" s="812"/>
      <c r="G3020" s="812"/>
      <c r="H3020" s="812"/>
    </row>
    <row r="3021" spans="1:8">
      <c r="A3021" s="812"/>
      <c r="B3021" s="812"/>
      <c r="C3021" s="812"/>
      <c r="D3021" s="812"/>
      <c r="E3021" s="812"/>
      <c r="F3021" s="812"/>
      <c r="G3021" s="812"/>
      <c r="H3021" s="812"/>
    </row>
    <row r="3022" spans="1:8">
      <c r="A3022" s="812"/>
      <c r="B3022" s="812"/>
      <c r="C3022" s="812"/>
      <c r="D3022" s="812"/>
      <c r="E3022" s="812"/>
      <c r="F3022" s="812"/>
      <c r="G3022" s="812"/>
      <c r="H3022" s="812"/>
    </row>
    <row r="3023" spans="1:8">
      <c r="A3023" s="812"/>
      <c r="B3023" s="812"/>
      <c r="C3023" s="812"/>
      <c r="D3023" s="812"/>
      <c r="E3023" s="812"/>
      <c r="F3023" s="812"/>
      <c r="G3023" s="812"/>
      <c r="H3023" s="812"/>
    </row>
    <row r="3024" spans="1:8">
      <c r="A3024" s="812"/>
      <c r="B3024" s="812"/>
      <c r="C3024" s="812"/>
      <c r="D3024" s="812"/>
      <c r="E3024" s="812"/>
      <c r="F3024" s="812"/>
      <c r="G3024" s="812"/>
      <c r="H3024" s="812"/>
    </row>
    <row r="3025" spans="1:8">
      <c r="A3025" s="812"/>
      <c r="B3025" s="812"/>
      <c r="C3025" s="812"/>
      <c r="D3025" s="812"/>
      <c r="E3025" s="812"/>
      <c r="F3025" s="812"/>
      <c r="G3025" s="812"/>
      <c r="H3025" s="812"/>
    </row>
    <row r="3026" spans="1:8">
      <c r="A3026" s="812"/>
      <c r="B3026" s="812"/>
      <c r="C3026" s="812"/>
      <c r="D3026" s="812"/>
      <c r="E3026" s="812"/>
      <c r="F3026" s="812"/>
      <c r="G3026" s="812"/>
      <c r="H3026" s="812"/>
    </row>
    <row r="3027" spans="1:8">
      <c r="A3027" s="812"/>
      <c r="B3027" s="812"/>
      <c r="C3027" s="812"/>
      <c r="D3027" s="812"/>
      <c r="E3027" s="812"/>
      <c r="F3027" s="812"/>
      <c r="G3027" s="812"/>
      <c r="H3027" s="812"/>
    </row>
    <row r="3028" spans="1:8">
      <c r="A3028" s="812"/>
      <c r="B3028" s="812"/>
      <c r="C3028" s="812"/>
      <c r="D3028" s="812"/>
      <c r="E3028" s="812"/>
      <c r="F3028" s="812"/>
      <c r="G3028" s="812"/>
      <c r="H3028" s="812"/>
    </row>
    <row r="3029" spans="1:8">
      <c r="A3029" s="812"/>
      <c r="B3029" s="812"/>
      <c r="C3029" s="812"/>
      <c r="D3029" s="812"/>
      <c r="E3029" s="812"/>
      <c r="F3029" s="812"/>
      <c r="G3029" s="812"/>
      <c r="H3029" s="812"/>
    </row>
    <row r="3030" spans="1:8">
      <c r="A3030" s="812"/>
      <c r="B3030" s="812"/>
      <c r="C3030" s="812"/>
      <c r="D3030" s="812"/>
      <c r="E3030" s="812"/>
      <c r="F3030" s="812"/>
      <c r="G3030" s="812"/>
      <c r="H3030" s="812"/>
    </row>
    <row r="3031" spans="1:8">
      <c r="A3031" s="812"/>
      <c r="B3031" s="812"/>
      <c r="C3031" s="812"/>
      <c r="D3031" s="812"/>
      <c r="E3031" s="812"/>
      <c r="F3031" s="812"/>
      <c r="G3031" s="812"/>
      <c r="H3031" s="812"/>
    </row>
    <row r="3032" spans="1:8">
      <c r="A3032" s="812"/>
      <c r="B3032" s="812"/>
      <c r="C3032" s="812"/>
      <c r="D3032" s="812"/>
      <c r="E3032" s="812"/>
      <c r="F3032" s="812"/>
      <c r="G3032" s="812"/>
      <c r="H3032" s="812"/>
    </row>
    <row r="3033" spans="1:8">
      <c r="A3033" s="812"/>
      <c r="B3033" s="812"/>
      <c r="C3033" s="812"/>
      <c r="D3033" s="812"/>
      <c r="E3033" s="812"/>
      <c r="F3033" s="812"/>
      <c r="G3033" s="812"/>
      <c r="H3033" s="812"/>
    </row>
    <row r="3034" spans="1:8">
      <c r="A3034" s="812"/>
      <c r="B3034" s="812"/>
      <c r="C3034" s="812"/>
      <c r="D3034" s="812"/>
      <c r="E3034" s="812"/>
      <c r="F3034" s="812"/>
      <c r="G3034" s="812"/>
      <c r="H3034" s="812"/>
    </row>
    <row r="3035" spans="1:8">
      <c r="A3035" s="812"/>
      <c r="B3035" s="812"/>
      <c r="C3035" s="812"/>
      <c r="D3035" s="812"/>
      <c r="E3035" s="812"/>
      <c r="F3035" s="812"/>
      <c r="G3035" s="812"/>
      <c r="H3035" s="812"/>
    </row>
    <row r="3036" spans="1:8">
      <c r="A3036" s="812"/>
      <c r="B3036" s="812"/>
      <c r="C3036" s="812"/>
      <c r="D3036" s="812"/>
      <c r="E3036" s="812"/>
      <c r="F3036" s="812"/>
      <c r="G3036" s="812"/>
      <c r="H3036" s="812"/>
    </row>
    <row r="3037" spans="1:8">
      <c r="A3037" s="812"/>
      <c r="B3037" s="812"/>
      <c r="C3037" s="812"/>
      <c r="D3037" s="812"/>
      <c r="E3037" s="812"/>
      <c r="F3037" s="812"/>
      <c r="G3037" s="812"/>
      <c r="H3037" s="812"/>
    </row>
    <row r="3038" spans="1:8">
      <c r="A3038" s="812"/>
      <c r="B3038" s="812"/>
      <c r="C3038" s="812"/>
      <c r="D3038" s="812"/>
      <c r="E3038" s="812"/>
      <c r="F3038" s="812"/>
      <c r="G3038" s="812"/>
      <c r="H3038" s="812"/>
    </row>
    <row r="3039" spans="1:8">
      <c r="A3039" s="812"/>
      <c r="B3039" s="812"/>
      <c r="C3039" s="812"/>
      <c r="D3039" s="812"/>
      <c r="E3039" s="812"/>
      <c r="F3039" s="812"/>
      <c r="G3039" s="812"/>
      <c r="H3039" s="812"/>
    </row>
    <row r="3040" spans="1:8">
      <c r="A3040" s="812"/>
      <c r="B3040" s="812"/>
      <c r="C3040" s="812"/>
      <c r="D3040" s="812"/>
      <c r="E3040" s="812"/>
      <c r="F3040" s="812"/>
      <c r="G3040" s="812"/>
      <c r="H3040" s="812"/>
    </row>
    <row r="3041" spans="1:8">
      <c r="A3041" s="812"/>
      <c r="B3041" s="812"/>
      <c r="C3041" s="812"/>
      <c r="D3041" s="812"/>
      <c r="E3041" s="812"/>
      <c r="F3041" s="812"/>
      <c r="G3041" s="812"/>
      <c r="H3041" s="812"/>
    </row>
    <row r="3042" spans="1:8">
      <c r="A3042" s="812"/>
      <c r="B3042" s="812"/>
      <c r="C3042" s="812"/>
      <c r="D3042" s="812"/>
      <c r="E3042" s="812"/>
      <c r="F3042" s="812"/>
      <c r="G3042" s="812"/>
      <c r="H3042" s="812"/>
    </row>
    <row r="3043" spans="1:8">
      <c r="A3043" s="812"/>
      <c r="B3043" s="812"/>
      <c r="C3043" s="812"/>
      <c r="D3043" s="812"/>
      <c r="E3043" s="812"/>
      <c r="F3043" s="812"/>
      <c r="G3043" s="812"/>
      <c r="H3043" s="812"/>
    </row>
    <row r="3044" spans="1:8">
      <c r="A3044" s="812"/>
      <c r="B3044" s="812"/>
      <c r="C3044" s="812"/>
      <c r="D3044" s="812"/>
      <c r="E3044" s="812"/>
      <c r="F3044" s="812"/>
      <c r="G3044" s="812"/>
      <c r="H3044" s="812"/>
    </row>
    <row r="3045" spans="1:8">
      <c r="A3045" s="812"/>
      <c r="B3045" s="812"/>
      <c r="C3045" s="812"/>
      <c r="D3045" s="812"/>
      <c r="E3045" s="812"/>
      <c r="F3045" s="812"/>
      <c r="G3045" s="812"/>
      <c r="H3045" s="812"/>
    </row>
    <row r="3046" spans="1:8">
      <c r="A3046" s="812"/>
      <c r="B3046" s="812"/>
      <c r="C3046" s="812"/>
      <c r="D3046" s="812"/>
      <c r="E3046" s="812"/>
      <c r="F3046" s="812"/>
      <c r="G3046" s="812"/>
      <c r="H3046" s="812"/>
    </row>
    <row r="3047" spans="1:8">
      <c r="A3047" s="812"/>
      <c r="B3047" s="812"/>
      <c r="C3047" s="812"/>
      <c r="D3047" s="812"/>
      <c r="E3047" s="812"/>
      <c r="F3047" s="812"/>
      <c r="G3047" s="812"/>
      <c r="H3047" s="812"/>
    </row>
    <row r="3048" spans="1:8">
      <c r="A3048" s="812"/>
      <c r="B3048" s="812"/>
      <c r="C3048" s="812"/>
      <c r="D3048" s="812"/>
      <c r="E3048" s="812"/>
      <c r="F3048" s="812"/>
      <c r="G3048" s="812"/>
      <c r="H3048" s="812"/>
    </row>
    <row r="3049" spans="1:8">
      <c r="A3049" s="812"/>
      <c r="B3049" s="812"/>
      <c r="C3049" s="812"/>
      <c r="D3049" s="812"/>
      <c r="E3049" s="812"/>
      <c r="F3049" s="812"/>
      <c r="G3049" s="812"/>
      <c r="H3049" s="812"/>
    </row>
    <row r="3050" spans="1:8">
      <c r="A3050" s="812"/>
      <c r="B3050" s="812"/>
      <c r="C3050" s="812"/>
      <c r="D3050" s="812"/>
      <c r="E3050" s="812"/>
      <c r="F3050" s="812"/>
      <c r="G3050" s="812"/>
      <c r="H3050" s="812"/>
    </row>
    <row r="3051" spans="1:8">
      <c r="A3051" s="812"/>
      <c r="B3051" s="812"/>
      <c r="C3051" s="812"/>
      <c r="D3051" s="812"/>
      <c r="E3051" s="812"/>
      <c r="F3051" s="812"/>
      <c r="G3051" s="812"/>
      <c r="H3051" s="812"/>
    </row>
    <row r="3052" spans="1:8">
      <c r="A3052" s="812"/>
      <c r="B3052" s="812"/>
      <c r="C3052" s="812"/>
      <c r="D3052" s="812"/>
      <c r="E3052" s="812"/>
      <c r="F3052" s="812"/>
      <c r="G3052" s="812"/>
      <c r="H3052" s="812"/>
    </row>
    <row r="3053" spans="1:8">
      <c r="A3053" s="812"/>
      <c r="B3053" s="812"/>
      <c r="C3053" s="812"/>
      <c r="D3053" s="812"/>
      <c r="E3053" s="812"/>
      <c r="F3053" s="812"/>
      <c r="G3053" s="812"/>
      <c r="H3053" s="812"/>
    </row>
    <row r="3054" spans="1:8">
      <c r="A3054" s="812"/>
      <c r="B3054" s="812"/>
      <c r="C3054" s="812"/>
      <c r="D3054" s="812"/>
      <c r="E3054" s="812"/>
      <c r="F3054" s="812"/>
      <c r="G3054" s="812"/>
      <c r="H3054" s="812"/>
    </row>
    <row r="3055" spans="1:8">
      <c r="A3055" s="812"/>
      <c r="B3055" s="812"/>
      <c r="C3055" s="812"/>
      <c r="D3055" s="812"/>
      <c r="E3055" s="812"/>
      <c r="F3055" s="812"/>
      <c r="G3055" s="812"/>
      <c r="H3055" s="812"/>
    </row>
    <row r="3056" spans="1:8">
      <c r="A3056" s="812"/>
      <c r="B3056" s="812"/>
      <c r="C3056" s="812"/>
      <c r="D3056" s="812"/>
      <c r="E3056" s="812"/>
      <c r="F3056" s="812"/>
      <c r="G3056" s="812"/>
      <c r="H3056" s="812"/>
    </row>
    <row r="3057" spans="1:8">
      <c r="A3057" s="812"/>
      <c r="B3057" s="812"/>
      <c r="C3057" s="812"/>
      <c r="D3057" s="812"/>
      <c r="E3057" s="812"/>
      <c r="F3057" s="812"/>
      <c r="G3057" s="812"/>
      <c r="H3057" s="812"/>
    </row>
    <row r="3058" spans="1:8">
      <c r="A3058" s="812"/>
      <c r="B3058" s="812"/>
      <c r="C3058" s="812"/>
      <c r="D3058" s="812"/>
      <c r="E3058" s="812"/>
      <c r="F3058" s="812"/>
      <c r="G3058" s="812"/>
      <c r="H3058" s="812"/>
    </row>
    <row r="3059" spans="1:8">
      <c r="A3059" s="812"/>
      <c r="B3059" s="812"/>
      <c r="C3059" s="812"/>
      <c r="D3059" s="812"/>
      <c r="E3059" s="812"/>
      <c r="F3059" s="812"/>
      <c r="G3059" s="812"/>
      <c r="H3059" s="812"/>
    </row>
    <row r="3060" spans="1:8">
      <c r="A3060" s="812"/>
      <c r="B3060" s="812"/>
      <c r="C3060" s="812"/>
      <c r="D3060" s="812"/>
      <c r="E3060" s="812"/>
      <c r="F3060" s="812"/>
      <c r="G3060" s="812"/>
      <c r="H3060" s="812"/>
    </row>
    <row r="3061" spans="1:8">
      <c r="A3061" s="812"/>
      <c r="B3061" s="812"/>
      <c r="C3061" s="812"/>
      <c r="D3061" s="812"/>
      <c r="E3061" s="812"/>
      <c r="F3061" s="812"/>
      <c r="G3061" s="812"/>
      <c r="H3061" s="812"/>
    </row>
    <row r="3062" spans="1:8">
      <c r="A3062" s="812"/>
      <c r="B3062" s="812"/>
      <c r="C3062" s="812"/>
      <c r="D3062" s="812"/>
      <c r="E3062" s="812"/>
      <c r="F3062" s="812"/>
      <c r="G3062" s="812"/>
      <c r="H3062" s="812"/>
    </row>
    <row r="3063" spans="1:8">
      <c r="A3063" s="812"/>
      <c r="B3063" s="812"/>
      <c r="C3063" s="812"/>
      <c r="D3063" s="812"/>
      <c r="E3063" s="812"/>
      <c r="F3063" s="812"/>
      <c r="G3063" s="812"/>
      <c r="H3063" s="812"/>
    </row>
    <row r="3064" spans="1:8">
      <c r="A3064" s="812"/>
      <c r="B3064" s="812"/>
      <c r="C3064" s="812"/>
      <c r="D3064" s="812"/>
      <c r="E3064" s="812"/>
      <c r="F3064" s="812"/>
      <c r="G3064" s="812"/>
      <c r="H3064" s="812"/>
    </row>
    <row r="3065" spans="1:8">
      <c r="A3065" s="812"/>
      <c r="B3065" s="812"/>
      <c r="C3065" s="812"/>
      <c r="D3065" s="812"/>
      <c r="E3065" s="812"/>
      <c r="F3065" s="812"/>
      <c r="G3065" s="812"/>
      <c r="H3065" s="812"/>
    </row>
    <row r="3066" spans="1:8">
      <c r="A3066" s="812"/>
      <c r="B3066" s="812"/>
      <c r="C3066" s="812"/>
      <c r="D3066" s="812"/>
      <c r="E3066" s="812"/>
      <c r="F3066" s="812"/>
      <c r="G3066" s="812"/>
      <c r="H3066" s="812"/>
    </row>
    <row r="3067" spans="1:8">
      <c r="A3067" s="812"/>
      <c r="B3067" s="812"/>
      <c r="C3067" s="812"/>
      <c r="D3067" s="812"/>
      <c r="E3067" s="812"/>
      <c r="F3067" s="812"/>
      <c r="G3067" s="812"/>
      <c r="H3067" s="812"/>
    </row>
    <row r="3068" spans="1:8">
      <c r="A3068" s="812"/>
      <c r="B3068" s="812"/>
      <c r="C3068" s="812"/>
      <c r="D3068" s="812"/>
      <c r="E3068" s="812"/>
      <c r="F3068" s="812"/>
      <c r="G3068" s="812"/>
      <c r="H3068" s="812"/>
    </row>
    <row r="3069" spans="1:8">
      <c r="A3069" s="812"/>
      <c r="B3069" s="812"/>
      <c r="C3069" s="812"/>
      <c r="D3069" s="812"/>
      <c r="E3069" s="812"/>
      <c r="F3069" s="812"/>
      <c r="G3069" s="812"/>
      <c r="H3069" s="812"/>
    </row>
    <row r="3070" spans="1:8">
      <c r="A3070" s="812"/>
      <c r="B3070" s="812"/>
      <c r="C3070" s="812"/>
      <c r="D3070" s="812"/>
      <c r="E3070" s="812"/>
      <c r="F3070" s="812"/>
      <c r="G3070" s="812"/>
      <c r="H3070" s="812"/>
    </row>
    <row r="3071" spans="1:8">
      <c r="A3071" s="812"/>
      <c r="B3071" s="812"/>
      <c r="C3071" s="812"/>
      <c r="D3071" s="812"/>
      <c r="E3071" s="812"/>
      <c r="F3071" s="812"/>
      <c r="G3071" s="812"/>
      <c r="H3071" s="812"/>
    </row>
    <row r="3072" spans="1:8">
      <c r="A3072" s="812"/>
      <c r="B3072" s="812"/>
      <c r="C3072" s="812"/>
      <c r="D3072" s="812"/>
      <c r="E3072" s="812"/>
      <c r="F3072" s="812"/>
      <c r="G3072" s="812"/>
      <c r="H3072" s="812"/>
    </row>
    <row r="3073" spans="1:8">
      <c r="A3073" s="812"/>
      <c r="B3073" s="812"/>
      <c r="C3073" s="812"/>
      <c r="D3073" s="812"/>
      <c r="E3073" s="812"/>
      <c r="F3073" s="812"/>
      <c r="G3073" s="812"/>
      <c r="H3073" s="812"/>
    </row>
    <row r="3074" spans="1:8">
      <c r="A3074" s="812"/>
      <c r="B3074" s="812"/>
      <c r="C3074" s="812"/>
      <c r="D3074" s="812"/>
      <c r="E3074" s="812"/>
      <c r="F3074" s="812"/>
      <c r="G3074" s="812"/>
      <c r="H3074" s="812"/>
    </row>
    <row r="3075" spans="1:8">
      <c r="A3075" s="812"/>
      <c r="B3075" s="812"/>
      <c r="C3075" s="812"/>
      <c r="D3075" s="812"/>
      <c r="E3075" s="812"/>
      <c r="F3075" s="812"/>
      <c r="G3075" s="812"/>
      <c r="H3075" s="812"/>
    </row>
    <row r="3076" spans="1:8">
      <c r="A3076" s="812"/>
      <c r="B3076" s="812"/>
      <c r="C3076" s="812"/>
      <c r="D3076" s="812"/>
      <c r="E3076" s="812"/>
      <c r="F3076" s="812"/>
      <c r="G3076" s="812"/>
      <c r="H3076" s="812"/>
    </row>
    <row r="3077" spans="1:8">
      <c r="A3077" s="812"/>
      <c r="B3077" s="812"/>
      <c r="C3077" s="812"/>
      <c r="D3077" s="812"/>
      <c r="E3077" s="812"/>
      <c r="F3077" s="812"/>
      <c r="G3077" s="812"/>
      <c r="H3077" s="812"/>
    </row>
    <row r="3078" spans="1:8">
      <c r="A3078" s="812"/>
      <c r="B3078" s="812"/>
      <c r="C3078" s="812"/>
      <c r="D3078" s="812"/>
      <c r="E3078" s="812"/>
      <c r="F3078" s="812"/>
      <c r="G3078" s="812"/>
      <c r="H3078" s="812"/>
    </row>
    <row r="3079" spans="1:8">
      <c r="A3079" s="812"/>
      <c r="B3079" s="812"/>
      <c r="C3079" s="812"/>
      <c r="D3079" s="812"/>
      <c r="E3079" s="812"/>
      <c r="F3079" s="812"/>
      <c r="G3079" s="812"/>
      <c r="H3079" s="812"/>
    </row>
    <row r="3080" spans="1:8">
      <c r="A3080" s="812"/>
      <c r="B3080" s="812"/>
      <c r="C3080" s="812"/>
      <c r="D3080" s="812"/>
      <c r="E3080" s="812"/>
      <c r="F3080" s="812"/>
      <c r="G3080" s="812"/>
      <c r="H3080" s="812"/>
    </row>
    <row r="3081" spans="1:8">
      <c r="A3081" s="812"/>
      <c r="B3081" s="812"/>
      <c r="C3081" s="812"/>
      <c r="D3081" s="812"/>
      <c r="E3081" s="812"/>
      <c r="F3081" s="812"/>
      <c r="G3081" s="812"/>
      <c r="H3081" s="812"/>
    </row>
    <row r="3082" spans="1:8">
      <c r="A3082" s="812"/>
      <c r="B3082" s="812"/>
      <c r="C3082" s="812"/>
      <c r="D3082" s="812"/>
      <c r="E3082" s="812"/>
      <c r="F3082" s="812"/>
      <c r="G3082" s="812"/>
      <c r="H3082" s="812"/>
    </row>
    <row r="3083" spans="1:8">
      <c r="A3083" s="812"/>
      <c r="B3083" s="812"/>
      <c r="C3083" s="812"/>
      <c r="D3083" s="812"/>
      <c r="E3083" s="812"/>
      <c r="F3083" s="812"/>
      <c r="G3083" s="812"/>
      <c r="H3083" s="812"/>
    </row>
    <row r="3084" spans="1:8">
      <c r="A3084" s="812"/>
      <c r="B3084" s="812"/>
      <c r="C3084" s="812"/>
      <c r="D3084" s="812"/>
      <c r="E3084" s="812"/>
      <c r="F3084" s="812"/>
      <c r="G3084" s="812"/>
      <c r="H3084" s="812"/>
    </row>
    <row r="3085" spans="1:8">
      <c r="A3085" s="812"/>
      <c r="B3085" s="812"/>
      <c r="C3085" s="812"/>
      <c r="D3085" s="812"/>
      <c r="E3085" s="812"/>
      <c r="F3085" s="812"/>
      <c r="G3085" s="812"/>
      <c r="H3085" s="812"/>
    </row>
    <row r="3086" spans="1:8">
      <c r="A3086" s="812"/>
      <c r="B3086" s="812"/>
      <c r="C3086" s="812"/>
      <c r="D3086" s="812"/>
      <c r="E3086" s="812"/>
      <c r="F3086" s="812"/>
      <c r="G3086" s="812"/>
      <c r="H3086" s="812"/>
    </row>
    <row r="3087" spans="1:8">
      <c r="A3087" s="812"/>
      <c r="B3087" s="812"/>
      <c r="C3087" s="812"/>
      <c r="D3087" s="812"/>
      <c r="E3087" s="812"/>
      <c r="F3087" s="812"/>
      <c r="G3087" s="812"/>
      <c r="H3087" s="812"/>
    </row>
    <row r="3088" spans="1:8">
      <c r="A3088" s="812"/>
      <c r="B3088" s="812"/>
      <c r="C3088" s="812"/>
      <c r="D3088" s="812"/>
      <c r="E3088" s="812"/>
      <c r="F3088" s="812"/>
      <c r="G3088" s="812"/>
      <c r="H3088" s="812"/>
    </row>
    <row r="3089" spans="1:8">
      <c r="A3089" s="812"/>
      <c r="B3089" s="812"/>
      <c r="C3089" s="812"/>
      <c r="D3089" s="812"/>
      <c r="E3089" s="812"/>
      <c r="F3089" s="812"/>
      <c r="G3089" s="812"/>
      <c r="H3089" s="812"/>
    </row>
    <row r="3090" spans="1:8">
      <c r="A3090" s="812"/>
      <c r="B3090" s="812"/>
      <c r="C3090" s="812"/>
      <c r="D3090" s="812"/>
      <c r="E3090" s="812"/>
      <c r="F3090" s="812"/>
      <c r="G3090" s="812"/>
      <c r="H3090" s="812"/>
    </row>
    <row r="3091" spans="1:8">
      <c r="A3091" s="812"/>
      <c r="B3091" s="812"/>
      <c r="C3091" s="812"/>
      <c r="D3091" s="812"/>
      <c r="E3091" s="812"/>
      <c r="F3091" s="812"/>
      <c r="G3091" s="812"/>
      <c r="H3091" s="812"/>
    </row>
    <row r="3092" spans="1:8">
      <c r="A3092" s="812"/>
      <c r="B3092" s="812"/>
      <c r="C3092" s="812"/>
      <c r="D3092" s="812"/>
      <c r="E3092" s="812"/>
      <c r="F3092" s="812"/>
      <c r="G3092" s="812"/>
      <c r="H3092" s="812"/>
    </row>
    <row r="3093" spans="1:8">
      <c r="A3093" s="812"/>
      <c r="B3093" s="812"/>
      <c r="C3093" s="812"/>
      <c r="D3093" s="812"/>
      <c r="E3093" s="812"/>
      <c r="F3093" s="812"/>
      <c r="G3093" s="812"/>
      <c r="H3093" s="812"/>
    </row>
    <row r="3094" spans="1:8">
      <c r="A3094" s="812"/>
      <c r="B3094" s="812"/>
      <c r="C3094" s="812"/>
      <c r="D3094" s="812"/>
      <c r="E3094" s="812"/>
      <c r="F3094" s="812"/>
      <c r="G3094" s="812"/>
      <c r="H3094" s="812"/>
    </row>
    <row r="3095" spans="1:8">
      <c r="A3095" s="812"/>
      <c r="B3095" s="812"/>
      <c r="C3095" s="812"/>
      <c r="D3095" s="812"/>
      <c r="E3095" s="812"/>
      <c r="F3095" s="812"/>
      <c r="G3095" s="812"/>
      <c r="H3095" s="812"/>
    </row>
    <row r="3096" spans="1:8">
      <c r="A3096" s="812"/>
      <c r="B3096" s="812"/>
      <c r="C3096" s="812"/>
      <c r="D3096" s="812"/>
      <c r="E3096" s="812"/>
      <c r="F3096" s="812"/>
      <c r="G3096" s="812"/>
      <c r="H3096" s="812"/>
    </row>
    <row r="3097" spans="1:8">
      <c r="A3097" s="812"/>
      <c r="B3097" s="812"/>
      <c r="C3097" s="812"/>
      <c r="D3097" s="812"/>
      <c r="E3097" s="812"/>
      <c r="F3097" s="812"/>
      <c r="G3097" s="812"/>
      <c r="H3097" s="812"/>
    </row>
    <row r="3098" spans="1:8">
      <c r="A3098" s="812"/>
      <c r="B3098" s="812"/>
      <c r="C3098" s="812"/>
      <c r="D3098" s="812"/>
      <c r="E3098" s="812"/>
      <c r="F3098" s="812"/>
      <c r="G3098" s="812"/>
      <c r="H3098" s="812"/>
    </row>
    <row r="3099" spans="1:8">
      <c r="A3099" s="812"/>
      <c r="B3099" s="812"/>
      <c r="C3099" s="812"/>
      <c r="D3099" s="812"/>
      <c r="E3099" s="812"/>
      <c r="F3099" s="812"/>
      <c r="G3099" s="812"/>
      <c r="H3099" s="812"/>
    </row>
    <row r="3100" spans="1:8">
      <c r="A3100" s="812"/>
      <c r="B3100" s="812"/>
      <c r="C3100" s="812"/>
      <c r="D3100" s="812"/>
      <c r="E3100" s="812"/>
      <c r="F3100" s="812"/>
      <c r="G3100" s="812"/>
      <c r="H3100" s="812"/>
    </row>
    <row r="3101" spans="1:8">
      <c r="A3101" s="812"/>
      <c r="B3101" s="812"/>
      <c r="C3101" s="812"/>
      <c r="D3101" s="812"/>
      <c r="E3101" s="812"/>
      <c r="F3101" s="812"/>
      <c r="G3101" s="812"/>
      <c r="H3101" s="812"/>
    </row>
    <row r="3102" spans="1:8">
      <c r="A3102" s="812"/>
      <c r="B3102" s="812"/>
      <c r="C3102" s="812"/>
      <c r="D3102" s="812"/>
      <c r="E3102" s="812"/>
      <c r="F3102" s="812"/>
      <c r="G3102" s="812"/>
      <c r="H3102" s="812"/>
    </row>
    <row r="3103" spans="1:8">
      <c r="A3103" s="812"/>
      <c r="B3103" s="812"/>
      <c r="C3103" s="812"/>
      <c r="D3103" s="812"/>
      <c r="E3103" s="812"/>
      <c r="F3103" s="812"/>
      <c r="G3103" s="812"/>
      <c r="H3103" s="812"/>
    </row>
    <row r="3104" spans="1:8">
      <c r="A3104" s="812"/>
      <c r="B3104" s="812"/>
      <c r="C3104" s="812"/>
      <c r="D3104" s="812"/>
      <c r="E3104" s="812"/>
      <c r="F3104" s="812"/>
      <c r="G3104" s="812"/>
      <c r="H3104" s="812"/>
    </row>
    <row r="3105" spans="1:8">
      <c r="A3105" s="812"/>
      <c r="B3105" s="812"/>
      <c r="C3105" s="812"/>
      <c r="D3105" s="812"/>
      <c r="E3105" s="812"/>
      <c r="F3105" s="812"/>
      <c r="G3105" s="812"/>
      <c r="H3105" s="812"/>
    </row>
    <row r="3106" spans="1:8">
      <c r="A3106" s="812"/>
      <c r="B3106" s="812"/>
      <c r="C3106" s="812"/>
      <c r="D3106" s="812"/>
      <c r="E3106" s="812"/>
      <c r="F3106" s="812"/>
      <c r="G3106" s="812"/>
      <c r="H3106" s="812"/>
    </row>
    <row r="3107" spans="1:8">
      <c r="A3107" s="812"/>
      <c r="B3107" s="812"/>
      <c r="C3107" s="812"/>
      <c r="D3107" s="812"/>
      <c r="E3107" s="812"/>
      <c r="F3107" s="812"/>
      <c r="G3107" s="812"/>
      <c r="H3107" s="812"/>
    </row>
    <row r="3108" spans="1:8">
      <c r="A3108" s="812"/>
      <c r="B3108" s="812"/>
      <c r="C3108" s="812"/>
      <c r="D3108" s="812"/>
      <c r="E3108" s="812"/>
      <c r="F3108" s="812"/>
      <c r="G3108" s="812"/>
      <c r="H3108" s="812"/>
    </row>
    <row r="3109" spans="1:8">
      <c r="A3109" s="812"/>
      <c r="B3109" s="812"/>
      <c r="C3109" s="812"/>
      <c r="D3109" s="812"/>
      <c r="E3109" s="812"/>
      <c r="F3109" s="812"/>
      <c r="G3109" s="812"/>
      <c r="H3109" s="812"/>
    </row>
    <row r="3110" spans="1:8">
      <c r="A3110" s="812"/>
      <c r="B3110" s="812"/>
      <c r="C3110" s="812"/>
      <c r="D3110" s="812"/>
      <c r="E3110" s="812"/>
      <c r="F3110" s="812"/>
      <c r="G3110" s="812"/>
      <c r="H3110" s="812"/>
    </row>
    <row r="3111" spans="1:8">
      <c r="A3111" s="812"/>
      <c r="B3111" s="812"/>
      <c r="C3111" s="812"/>
      <c r="D3111" s="812"/>
      <c r="E3111" s="812"/>
      <c r="F3111" s="812"/>
      <c r="G3111" s="812"/>
      <c r="H3111" s="812"/>
    </row>
    <row r="3112" spans="1:8">
      <c r="A3112" s="812"/>
      <c r="B3112" s="812"/>
      <c r="C3112" s="812"/>
      <c r="D3112" s="812"/>
      <c r="E3112" s="812"/>
      <c r="F3112" s="812"/>
      <c r="G3112" s="812"/>
      <c r="H3112" s="812"/>
    </row>
    <row r="3113" spans="1:8">
      <c r="A3113" s="812"/>
      <c r="B3113" s="812"/>
      <c r="C3113" s="812"/>
      <c r="D3113" s="812"/>
      <c r="E3113" s="812"/>
      <c r="F3113" s="812"/>
      <c r="G3113" s="812"/>
      <c r="H3113" s="812"/>
    </row>
    <row r="3114" spans="1:8">
      <c r="A3114" s="812"/>
      <c r="B3114" s="812"/>
      <c r="C3114" s="812"/>
      <c r="D3114" s="812"/>
      <c r="E3114" s="812"/>
      <c r="F3114" s="812"/>
      <c r="G3114" s="812"/>
      <c r="H3114" s="812"/>
    </row>
    <row r="3115" spans="1:8">
      <c r="A3115" s="812"/>
      <c r="B3115" s="812"/>
      <c r="C3115" s="812"/>
      <c r="D3115" s="812"/>
      <c r="E3115" s="812"/>
      <c r="F3115" s="812"/>
      <c r="G3115" s="812"/>
      <c r="H3115" s="812"/>
    </row>
    <row r="3116" spans="1:8">
      <c r="A3116" s="812"/>
      <c r="B3116" s="812"/>
      <c r="C3116" s="812"/>
      <c r="D3116" s="812"/>
      <c r="E3116" s="812"/>
      <c r="F3116" s="812"/>
      <c r="G3116" s="812"/>
      <c r="H3116" s="812"/>
    </row>
    <row r="3117" spans="1:8">
      <c r="A3117" s="812"/>
      <c r="B3117" s="812"/>
      <c r="C3117" s="812"/>
      <c r="D3117" s="812"/>
      <c r="E3117" s="812"/>
      <c r="F3117" s="812"/>
      <c r="G3117" s="812"/>
      <c r="H3117" s="812"/>
    </row>
    <row r="3118" spans="1:8">
      <c r="A3118" s="812"/>
      <c r="B3118" s="812"/>
      <c r="C3118" s="812"/>
      <c r="D3118" s="812"/>
      <c r="E3118" s="812"/>
      <c r="F3118" s="812"/>
      <c r="G3118" s="812"/>
      <c r="H3118" s="812"/>
    </row>
    <row r="3119" spans="1:8">
      <c r="A3119" s="812"/>
      <c r="B3119" s="812"/>
      <c r="C3119" s="812"/>
      <c r="D3119" s="812"/>
      <c r="E3119" s="812"/>
      <c r="F3119" s="812"/>
      <c r="G3119" s="812"/>
      <c r="H3119" s="812"/>
    </row>
    <row r="3120" spans="1:8">
      <c r="A3120" s="812"/>
      <c r="B3120" s="812"/>
      <c r="C3120" s="812"/>
      <c r="D3120" s="812"/>
      <c r="E3120" s="812"/>
      <c r="F3120" s="812"/>
      <c r="G3120" s="812"/>
      <c r="H3120" s="812"/>
    </row>
    <row r="3121" spans="1:8">
      <c r="A3121" s="812"/>
      <c r="B3121" s="812"/>
      <c r="C3121" s="812"/>
      <c r="D3121" s="812"/>
      <c r="E3121" s="812"/>
      <c r="F3121" s="812"/>
      <c r="G3121" s="812"/>
      <c r="H3121" s="812"/>
    </row>
    <row r="3122" spans="1:8">
      <c r="A3122" s="812"/>
      <c r="B3122" s="812"/>
      <c r="C3122" s="812"/>
      <c r="D3122" s="812"/>
      <c r="E3122" s="812"/>
      <c r="F3122" s="812"/>
      <c r="G3122" s="812"/>
      <c r="H3122" s="812"/>
    </row>
    <row r="3123" spans="1:8">
      <c r="A3123" s="812"/>
      <c r="B3123" s="812"/>
      <c r="C3123" s="812"/>
      <c r="D3123" s="812"/>
      <c r="E3123" s="812"/>
      <c r="F3123" s="812"/>
      <c r="G3123" s="812"/>
      <c r="H3123" s="812"/>
    </row>
    <row r="3124" spans="1:8">
      <c r="A3124" s="812"/>
      <c r="B3124" s="812"/>
      <c r="C3124" s="812"/>
      <c r="D3124" s="812"/>
      <c r="E3124" s="812"/>
      <c r="F3124" s="812"/>
      <c r="G3124" s="812"/>
      <c r="H3124" s="812"/>
    </row>
    <row r="3125" spans="1:8">
      <c r="A3125" s="812"/>
      <c r="B3125" s="812"/>
      <c r="C3125" s="812"/>
      <c r="D3125" s="812"/>
      <c r="E3125" s="812"/>
      <c r="F3125" s="812"/>
      <c r="G3125" s="812"/>
      <c r="H3125" s="812"/>
    </row>
    <row r="3126" spans="1:8">
      <c r="A3126" s="812"/>
      <c r="B3126" s="812"/>
      <c r="C3126" s="812"/>
      <c r="D3126" s="812"/>
      <c r="E3126" s="812"/>
      <c r="F3126" s="812"/>
      <c r="G3126" s="812"/>
      <c r="H3126" s="812"/>
    </row>
    <row r="3127" spans="1:8">
      <c r="A3127" s="812"/>
      <c r="B3127" s="812"/>
      <c r="C3127" s="812"/>
      <c r="D3127" s="812"/>
      <c r="E3127" s="812"/>
      <c r="F3127" s="812"/>
      <c r="G3127" s="812"/>
      <c r="H3127" s="812"/>
    </row>
    <row r="3128" spans="1:8">
      <c r="A3128" s="812"/>
      <c r="B3128" s="812"/>
      <c r="C3128" s="812"/>
      <c r="D3128" s="812"/>
      <c r="E3128" s="812"/>
      <c r="F3128" s="812"/>
      <c r="G3128" s="812"/>
      <c r="H3128" s="812"/>
    </row>
    <row r="3129" spans="1:8">
      <c r="A3129" s="812"/>
      <c r="B3129" s="812"/>
      <c r="C3129" s="812"/>
      <c r="D3129" s="812"/>
      <c r="E3129" s="812"/>
      <c r="F3129" s="812"/>
      <c r="G3129" s="812"/>
      <c r="H3129" s="812"/>
    </row>
    <row r="3130" spans="1:8">
      <c r="A3130" s="812"/>
      <c r="B3130" s="812"/>
      <c r="C3130" s="812"/>
      <c r="D3130" s="812"/>
      <c r="E3130" s="812"/>
      <c r="F3130" s="812"/>
      <c r="G3130" s="812"/>
      <c r="H3130" s="812"/>
    </row>
    <row r="3131" spans="1:8">
      <c r="A3131" s="812"/>
      <c r="B3131" s="812"/>
      <c r="C3131" s="812"/>
      <c r="D3131" s="812"/>
      <c r="E3131" s="812"/>
      <c r="F3131" s="812"/>
      <c r="G3131" s="812"/>
      <c r="H3131" s="812"/>
    </row>
    <row r="3132" spans="1:8">
      <c r="A3132" s="812"/>
      <c r="B3132" s="812"/>
      <c r="C3132" s="812"/>
      <c r="D3132" s="812"/>
      <c r="E3132" s="812"/>
      <c r="F3132" s="812"/>
      <c r="G3132" s="812"/>
      <c r="H3132" s="812"/>
    </row>
    <row r="3133" spans="1:8">
      <c r="A3133" s="812"/>
      <c r="B3133" s="812"/>
      <c r="C3133" s="812"/>
      <c r="D3133" s="812"/>
      <c r="E3133" s="812"/>
      <c r="F3133" s="812"/>
      <c r="G3133" s="812"/>
      <c r="H3133" s="812"/>
    </row>
    <row r="3134" spans="1:8">
      <c r="A3134" s="812"/>
      <c r="B3134" s="812"/>
      <c r="C3134" s="812"/>
      <c r="D3134" s="812"/>
      <c r="E3134" s="812"/>
      <c r="F3134" s="812"/>
      <c r="G3134" s="812"/>
      <c r="H3134" s="812"/>
    </row>
    <row r="3135" spans="1:8">
      <c r="A3135" s="812"/>
      <c r="B3135" s="812"/>
      <c r="C3135" s="812"/>
      <c r="D3135" s="812"/>
      <c r="E3135" s="812"/>
      <c r="F3135" s="812"/>
      <c r="G3135" s="812"/>
      <c r="H3135" s="812"/>
    </row>
    <row r="3136" spans="1:8">
      <c r="A3136" s="812"/>
      <c r="B3136" s="812"/>
      <c r="C3136" s="812"/>
      <c r="D3136" s="812"/>
      <c r="E3136" s="812"/>
      <c r="F3136" s="812"/>
      <c r="G3136" s="812"/>
      <c r="H3136" s="812"/>
    </row>
    <row r="3137" spans="1:8">
      <c r="A3137" s="812"/>
      <c r="B3137" s="812"/>
      <c r="C3137" s="812"/>
      <c r="D3137" s="812"/>
      <c r="E3137" s="812"/>
      <c r="F3137" s="812"/>
      <c r="G3137" s="812"/>
      <c r="H3137" s="812"/>
    </row>
    <row r="3138" spans="1:8">
      <c r="A3138" s="812"/>
      <c r="B3138" s="812"/>
      <c r="C3138" s="812"/>
      <c r="D3138" s="812"/>
      <c r="E3138" s="812"/>
      <c r="F3138" s="812"/>
      <c r="G3138" s="812"/>
      <c r="H3138" s="812"/>
    </row>
    <row r="3139" spans="1:8">
      <c r="A3139" s="812"/>
      <c r="B3139" s="812"/>
      <c r="C3139" s="812"/>
      <c r="D3139" s="812"/>
      <c r="E3139" s="812"/>
      <c r="F3139" s="812"/>
      <c r="G3139" s="812"/>
      <c r="H3139" s="812"/>
    </row>
    <row r="3140" spans="1:8">
      <c r="A3140" s="812"/>
      <c r="B3140" s="812"/>
      <c r="C3140" s="812"/>
      <c r="D3140" s="812"/>
      <c r="E3140" s="812"/>
      <c r="F3140" s="812"/>
      <c r="G3140" s="812"/>
      <c r="H3140" s="812"/>
    </row>
    <row r="3141" spans="1:8">
      <c r="A3141" s="812"/>
      <c r="B3141" s="812"/>
      <c r="C3141" s="812"/>
      <c r="D3141" s="812"/>
      <c r="E3141" s="812"/>
      <c r="F3141" s="812"/>
      <c r="G3141" s="812"/>
      <c r="H3141" s="812"/>
    </row>
    <row r="3142" spans="1:8">
      <c r="A3142" s="812"/>
      <c r="B3142" s="812"/>
      <c r="C3142" s="812"/>
      <c r="D3142" s="812"/>
      <c r="E3142" s="812"/>
      <c r="F3142" s="812"/>
      <c r="G3142" s="812"/>
      <c r="H3142" s="812"/>
    </row>
    <row r="3143" spans="1:8">
      <c r="A3143" s="812"/>
      <c r="B3143" s="812"/>
      <c r="C3143" s="812"/>
      <c r="D3143" s="812"/>
      <c r="E3143" s="812"/>
      <c r="F3143" s="812"/>
      <c r="G3143" s="812"/>
      <c r="H3143" s="812"/>
    </row>
    <row r="3144" spans="1:8">
      <c r="A3144" s="812"/>
      <c r="B3144" s="812"/>
      <c r="C3144" s="812"/>
      <c r="D3144" s="812"/>
      <c r="E3144" s="812"/>
      <c r="F3144" s="812"/>
      <c r="G3144" s="812"/>
      <c r="H3144" s="812"/>
    </row>
    <row r="3145" spans="1:8">
      <c r="A3145" s="812"/>
      <c r="B3145" s="812"/>
      <c r="C3145" s="812"/>
      <c r="D3145" s="812"/>
      <c r="E3145" s="812"/>
      <c r="F3145" s="812"/>
      <c r="G3145" s="812"/>
      <c r="H3145" s="812"/>
    </row>
    <row r="3146" spans="1:8">
      <c r="A3146" s="812"/>
      <c r="B3146" s="812"/>
      <c r="C3146" s="812"/>
      <c r="D3146" s="812"/>
      <c r="E3146" s="812"/>
      <c r="F3146" s="812"/>
      <c r="G3146" s="812"/>
      <c r="H3146" s="812"/>
    </row>
    <row r="3147" spans="1:8">
      <c r="A3147" s="812"/>
      <c r="B3147" s="812"/>
      <c r="C3147" s="812"/>
      <c r="D3147" s="812"/>
      <c r="E3147" s="812"/>
      <c r="F3147" s="812"/>
      <c r="G3147" s="812"/>
      <c r="H3147" s="812"/>
    </row>
    <row r="3148" spans="1:8">
      <c r="A3148" s="812"/>
      <c r="B3148" s="812"/>
      <c r="C3148" s="812"/>
      <c r="D3148" s="812"/>
      <c r="E3148" s="812"/>
      <c r="F3148" s="812"/>
      <c r="G3148" s="812"/>
      <c r="H3148" s="812"/>
    </row>
    <row r="3149" spans="1:8">
      <c r="A3149" s="812"/>
      <c r="B3149" s="812"/>
      <c r="C3149" s="812"/>
      <c r="D3149" s="812"/>
      <c r="E3149" s="812"/>
      <c r="F3149" s="812"/>
      <c r="G3149" s="812"/>
      <c r="H3149" s="812"/>
    </row>
    <row r="3150" spans="1:8">
      <c r="A3150" s="812"/>
      <c r="B3150" s="812"/>
      <c r="C3150" s="812"/>
      <c r="D3150" s="812"/>
      <c r="E3150" s="812"/>
      <c r="F3150" s="812"/>
      <c r="G3150" s="812"/>
      <c r="H3150" s="812"/>
    </row>
    <row r="3151" spans="1:8">
      <c r="A3151" s="812"/>
      <c r="B3151" s="812"/>
      <c r="C3151" s="812"/>
      <c r="D3151" s="812"/>
      <c r="E3151" s="812"/>
      <c r="F3151" s="812"/>
      <c r="G3151" s="812"/>
      <c r="H3151" s="812"/>
    </row>
    <row r="3152" spans="1:8">
      <c r="A3152" s="812"/>
      <c r="B3152" s="812"/>
      <c r="C3152" s="812"/>
      <c r="D3152" s="812"/>
      <c r="E3152" s="812"/>
      <c r="F3152" s="812"/>
      <c r="G3152" s="812"/>
      <c r="H3152" s="812"/>
    </row>
    <row r="3153" spans="1:8">
      <c r="A3153" s="812"/>
      <c r="B3153" s="812"/>
      <c r="C3153" s="812"/>
      <c r="D3153" s="812"/>
      <c r="E3153" s="812"/>
      <c r="F3153" s="812"/>
      <c r="G3153" s="812"/>
      <c r="H3153" s="812"/>
    </row>
    <row r="3154" spans="1:8">
      <c r="A3154" s="812"/>
      <c r="B3154" s="812"/>
      <c r="C3154" s="812"/>
      <c r="D3154" s="812"/>
      <c r="E3154" s="812"/>
      <c r="F3154" s="812"/>
      <c r="G3154" s="812"/>
      <c r="H3154" s="812"/>
    </row>
    <row r="3155" spans="1:8">
      <c r="A3155" s="812"/>
      <c r="B3155" s="812"/>
      <c r="C3155" s="812"/>
      <c r="D3155" s="812"/>
      <c r="E3155" s="812"/>
      <c r="F3155" s="812"/>
      <c r="G3155" s="812"/>
      <c r="H3155" s="812"/>
    </row>
    <row r="3156" spans="1:8">
      <c r="A3156" s="812"/>
      <c r="B3156" s="812"/>
      <c r="C3156" s="812"/>
      <c r="D3156" s="812"/>
      <c r="E3156" s="812"/>
      <c r="F3156" s="812"/>
      <c r="G3156" s="812"/>
      <c r="H3156" s="812"/>
    </row>
    <row r="3157" spans="1:8">
      <c r="A3157" s="812"/>
      <c r="B3157" s="812"/>
      <c r="C3157" s="812"/>
      <c r="D3157" s="812"/>
      <c r="E3157" s="812"/>
      <c r="F3157" s="812"/>
      <c r="G3157" s="812"/>
      <c r="H3157" s="812"/>
    </row>
    <row r="3158" spans="1:8">
      <c r="A3158" s="812"/>
      <c r="B3158" s="812"/>
      <c r="C3158" s="812"/>
      <c r="D3158" s="812"/>
      <c r="E3158" s="812"/>
      <c r="F3158" s="812"/>
      <c r="G3158" s="812"/>
      <c r="H3158" s="812"/>
    </row>
    <row r="3159" spans="1:8">
      <c r="A3159" s="812"/>
      <c r="B3159" s="812"/>
      <c r="C3159" s="812"/>
      <c r="D3159" s="812"/>
      <c r="E3159" s="812"/>
      <c r="F3159" s="812"/>
      <c r="G3159" s="812"/>
      <c r="H3159" s="812"/>
    </row>
    <row r="3160" spans="1:8">
      <c r="A3160" s="812"/>
      <c r="B3160" s="812"/>
      <c r="C3160" s="812"/>
      <c r="D3160" s="812"/>
      <c r="E3160" s="812"/>
      <c r="F3160" s="812"/>
      <c r="G3160" s="812"/>
      <c r="H3160" s="812"/>
    </row>
    <row r="3161" spans="1:8">
      <c r="A3161" s="812"/>
      <c r="B3161" s="812"/>
      <c r="C3161" s="812"/>
      <c r="D3161" s="812"/>
      <c r="E3161" s="812"/>
      <c r="F3161" s="812"/>
      <c r="G3161" s="812"/>
      <c r="H3161" s="812"/>
    </row>
    <row r="3162" spans="1:8">
      <c r="A3162" s="812"/>
      <c r="B3162" s="812"/>
      <c r="C3162" s="812"/>
      <c r="D3162" s="812"/>
      <c r="E3162" s="812"/>
      <c r="F3162" s="812"/>
      <c r="G3162" s="812"/>
      <c r="H3162" s="812"/>
    </row>
    <row r="3163" spans="1:8">
      <c r="A3163" s="812"/>
      <c r="B3163" s="812"/>
      <c r="C3163" s="812"/>
      <c r="D3163" s="812"/>
      <c r="E3163" s="812"/>
      <c r="F3163" s="812"/>
      <c r="G3163" s="812"/>
      <c r="H3163" s="812"/>
    </row>
    <row r="3164" spans="1:8">
      <c r="A3164" s="812"/>
      <c r="B3164" s="812"/>
      <c r="C3164" s="812"/>
      <c r="D3164" s="812"/>
      <c r="E3164" s="812"/>
      <c r="F3164" s="812"/>
      <c r="G3164" s="812"/>
      <c r="H3164" s="812"/>
    </row>
    <row r="3165" spans="1:8">
      <c r="A3165" s="812"/>
      <c r="B3165" s="812"/>
      <c r="C3165" s="812"/>
      <c r="D3165" s="812"/>
      <c r="E3165" s="812"/>
      <c r="F3165" s="812"/>
      <c r="G3165" s="812"/>
      <c r="H3165" s="812"/>
    </row>
    <row r="3166" spans="1:8">
      <c r="A3166" s="812"/>
      <c r="B3166" s="812"/>
      <c r="C3166" s="812"/>
      <c r="D3166" s="812"/>
      <c r="E3166" s="812"/>
      <c r="F3166" s="812"/>
      <c r="G3166" s="812"/>
      <c r="H3166" s="812"/>
    </row>
    <row r="3167" spans="1:8">
      <c r="A3167" s="812"/>
      <c r="B3167" s="812"/>
      <c r="C3167" s="812"/>
      <c r="D3167" s="812"/>
      <c r="E3167" s="812"/>
      <c r="F3167" s="812"/>
      <c r="G3167" s="812"/>
      <c r="H3167" s="812"/>
    </row>
    <row r="3168" spans="1:8">
      <c r="A3168" s="812"/>
      <c r="B3168" s="812"/>
      <c r="C3168" s="812"/>
      <c r="D3168" s="812"/>
      <c r="E3168" s="812"/>
      <c r="F3168" s="812"/>
      <c r="G3168" s="812"/>
      <c r="H3168" s="812"/>
    </row>
    <row r="3169" spans="1:8">
      <c r="A3169" s="812"/>
      <c r="B3169" s="812"/>
      <c r="C3169" s="812"/>
      <c r="D3169" s="812"/>
      <c r="E3169" s="812"/>
      <c r="F3169" s="812"/>
      <c r="G3169" s="812"/>
      <c r="H3169" s="812"/>
    </row>
    <row r="3170" spans="1:8">
      <c r="A3170" s="812"/>
      <c r="B3170" s="812"/>
      <c r="C3170" s="812"/>
      <c r="D3170" s="812"/>
      <c r="E3170" s="812"/>
      <c r="F3170" s="812"/>
      <c r="G3170" s="812"/>
      <c r="H3170" s="812"/>
    </row>
    <row r="3171" spans="1:8">
      <c r="A3171" s="812"/>
      <c r="B3171" s="812"/>
      <c r="C3171" s="812"/>
      <c r="D3171" s="812"/>
      <c r="E3171" s="812"/>
      <c r="F3171" s="812"/>
      <c r="G3171" s="812"/>
      <c r="H3171" s="812"/>
    </row>
    <row r="3172" spans="1:8">
      <c r="A3172" s="812"/>
      <c r="B3172" s="812"/>
      <c r="C3172" s="812"/>
      <c r="D3172" s="812"/>
      <c r="E3172" s="812"/>
      <c r="F3172" s="812"/>
      <c r="G3172" s="812"/>
      <c r="H3172" s="812"/>
    </row>
    <row r="3173" spans="1:8">
      <c r="A3173" s="812"/>
      <c r="B3173" s="812"/>
      <c r="C3173" s="812"/>
      <c r="D3173" s="812"/>
      <c r="E3173" s="812"/>
      <c r="F3173" s="812"/>
      <c r="G3173" s="812"/>
      <c r="H3173" s="812"/>
    </row>
    <row r="3174" spans="1:8">
      <c r="A3174" s="812"/>
      <c r="B3174" s="812"/>
      <c r="C3174" s="812"/>
      <c r="D3174" s="812"/>
      <c r="E3174" s="812"/>
      <c r="F3174" s="812"/>
      <c r="G3174" s="812"/>
      <c r="H3174" s="812"/>
    </row>
    <row r="3175" spans="1:8">
      <c r="A3175" s="812"/>
      <c r="B3175" s="812"/>
      <c r="C3175" s="812"/>
      <c r="D3175" s="812"/>
      <c r="E3175" s="812"/>
      <c r="F3175" s="812"/>
      <c r="G3175" s="812"/>
      <c r="H3175" s="812"/>
    </row>
    <row r="3176" spans="1:8">
      <c r="A3176" s="812"/>
      <c r="B3176" s="812"/>
      <c r="C3176" s="812"/>
      <c r="D3176" s="812"/>
      <c r="E3176" s="812"/>
      <c r="F3176" s="812"/>
      <c r="G3176" s="812"/>
      <c r="H3176" s="812"/>
    </row>
    <row r="3177" spans="1:8">
      <c r="A3177" s="812"/>
      <c r="B3177" s="812"/>
      <c r="C3177" s="812"/>
      <c r="D3177" s="812"/>
      <c r="E3177" s="812"/>
      <c r="F3177" s="812"/>
      <c r="G3177" s="812"/>
      <c r="H3177" s="812"/>
    </row>
    <row r="3178" spans="1:8">
      <c r="A3178" s="812"/>
      <c r="B3178" s="812"/>
      <c r="C3178" s="812"/>
      <c r="D3178" s="812"/>
      <c r="E3178" s="812"/>
      <c r="F3178" s="812"/>
      <c r="G3178" s="812"/>
      <c r="H3178" s="812"/>
    </row>
    <row r="3179" spans="1:8">
      <c r="A3179" s="812"/>
      <c r="B3179" s="812"/>
      <c r="C3179" s="812"/>
      <c r="D3179" s="812"/>
      <c r="E3179" s="812"/>
      <c r="F3179" s="812"/>
      <c r="G3179" s="812"/>
      <c r="H3179" s="812"/>
    </row>
    <row r="3180" spans="1:8">
      <c r="A3180" s="812"/>
      <c r="B3180" s="812"/>
      <c r="C3180" s="812"/>
      <c r="D3180" s="812"/>
      <c r="E3180" s="812"/>
      <c r="F3180" s="812"/>
      <c r="G3180" s="812"/>
      <c r="H3180" s="812"/>
    </row>
    <row r="3181" spans="1:8">
      <c r="A3181" s="812"/>
      <c r="B3181" s="812"/>
      <c r="C3181" s="812"/>
      <c r="D3181" s="812"/>
      <c r="E3181" s="812"/>
      <c r="F3181" s="812"/>
      <c r="G3181" s="812"/>
      <c r="H3181" s="812"/>
    </row>
    <row r="3182" spans="1:8">
      <c r="A3182" s="812"/>
      <c r="B3182" s="812"/>
      <c r="C3182" s="812"/>
      <c r="D3182" s="812"/>
      <c r="E3182" s="812"/>
      <c r="F3182" s="812"/>
      <c r="G3182" s="812"/>
      <c r="H3182" s="812"/>
    </row>
    <row r="3183" spans="1:8">
      <c r="A3183" s="812"/>
      <c r="B3183" s="812"/>
      <c r="C3183" s="812"/>
      <c r="D3183" s="812"/>
      <c r="E3183" s="812"/>
      <c r="F3183" s="812"/>
      <c r="G3183" s="812"/>
      <c r="H3183" s="812"/>
    </row>
    <row r="3184" spans="1:8">
      <c r="A3184" s="812"/>
      <c r="B3184" s="812"/>
      <c r="C3184" s="812"/>
      <c r="D3184" s="812"/>
      <c r="E3184" s="812"/>
      <c r="F3184" s="812"/>
      <c r="G3184" s="812"/>
      <c r="H3184" s="812"/>
    </row>
    <row r="3185" spans="1:8">
      <c r="A3185" s="812"/>
      <c r="B3185" s="812"/>
      <c r="C3185" s="812"/>
      <c r="D3185" s="812"/>
      <c r="E3185" s="812"/>
      <c r="F3185" s="812"/>
      <c r="G3185" s="812"/>
      <c r="H3185" s="812"/>
    </row>
    <row r="3186" spans="1:8">
      <c r="A3186" s="812"/>
      <c r="B3186" s="812"/>
      <c r="C3186" s="812"/>
      <c r="D3186" s="812"/>
      <c r="E3186" s="812"/>
      <c r="F3186" s="812"/>
      <c r="G3186" s="812"/>
      <c r="H3186" s="812"/>
    </row>
    <row r="3187" spans="1:8">
      <c r="A3187" s="812"/>
      <c r="B3187" s="812"/>
      <c r="C3187" s="812"/>
      <c r="D3187" s="812"/>
      <c r="E3187" s="812"/>
      <c r="F3187" s="812"/>
      <c r="G3187" s="812"/>
      <c r="H3187" s="812"/>
    </row>
    <row r="3188" spans="1:8">
      <c r="A3188" s="812"/>
      <c r="B3188" s="812"/>
      <c r="C3188" s="812"/>
      <c r="D3188" s="812"/>
      <c r="E3188" s="812"/>
      <c r="F3188" s="812"/>
      <c r="G3188" s="812"/>
      <c r="H3188" s="812"/>
    </row>
    <row r="3189" spans="1:8">
      <c r="A3189" s="812"/>
      <c r="B3189" s="812"/>
      <c r="C3189" s="812"/>
      <c r="D3189" s="812"/>
      <c r="E3189" s="812"/>
      <c r="F3189" s="812"/>
      <c r="G3189" s="812"/>
      <c r="H3189" s="812"/>
    </row>
    <row r="3190" spans="1:8">
      <c r="A3190" s="812"/>
      <c r="B3190" s="812"/>
      <c r="C3190" s="812"/>
      <c r="D3190" s="812"/>
      <c r="E3190" s="812"/>
      <c r="F3190" s="812"/>
      <c r="G3190" s="812"/>
      <c r="H3190" s="812"/>
    </row>
    <row r="3191" spans="1:8">
      <c r="A3191" s="812"/>
      <c r="B3191" s="812"/>
      <c r="C3191" s="812"/>
      <c r="D3191" s="812"/>
      <c r="E3191" s="812"/>
      <c r="F3191" s="812"/>
      <c r="G3191" s="812"/>
      <c r="H3191" s="812"/>
    </row>
    <row r="3192" spans="1:8">
      <c r="A3192" s="812"/>
      <c r="B3192" s="812"/>
      <c r="C3192" s="812"/>
      <c r="D3192" s="812"/>
      <c r="E3192" s="812"/>
      <c r="F3192" s="812"/>
      <c r="G3192" s="812"/>
      <c r="H3192" s="812"/>
    </row>
    <row r="3193" spans="1:8">
      <c r="A3193" s="812"/>
      <c r="B3193" s="812"/>
      <c r="C3193" s="812"/>
      <c r="D3193" s="812"/>
      <c r="E3193" s="812"/>
      <c r="F3193" s="812"/>
      <c r="G3193" s="812"/>
      <c r="H3193" s="812"/>
    </row>
    <row r="3194" spans="1:8">
      <c r="A3194" s="812"/>
      <c r="B3194" s="812"/>
      <c r="C3194" s="812"/>
      <c r="D3194" s="812"/>
      <c r="E3194" s="812"/>
      <c r="F3194" s="812"/>
      <c r="G3194" s="812"/>
      <c r="H3194" s="812"/>
    </row>
    <row r="3195" spans="1:8">
      <c r="A3195" s="812"/>
      <c r="B3195" s="812"/>
      <c r="C3195" s="812"/>
      <c r="D3195" s="812"/>
      <c r="E3195" s="812"/>
      <c r="F3195" s="812"/>
      <c r="G3195" s="812"/>
      <c r="H3195" s="812"/>
    </row>
    <row r="3196" spans="1:8">
      <c r="A3196" s="812"/>
      <c r="B3196" s="812"/>
      <c r="C3196" s="812"/>
      <c r="D3196" s="812"/>
      <c r="E3196" s="812"/>
      <c r="F3196" s="812"/>
      <c r="G3196" s="812"/>
      <c r="H3196" s="812"/>
    </row>
    <row r="3197" spans="1:8">
      <c r="A3197" s="812"/>
      <c r="B3197" s="812"/>
      <c r="C3197" s="812"/>
      <c r="D3197" s="812"/>
      <c r="E3197" s="812"/>
      <c r="F3197" s="812"/>
      <c r="G3197" s="812"/>
      <c r="H3197" s="812"/>
    </row>
    <row r="3198" spans="1:8">
      <c r="A3198" s="812"/>
      <c r="B3198" s="812"/>
      <c r="C3198" s="812"/>
      <c r="D3198" s="812"/>
      <c r="E3198" s="812"/>
      <c r="F3198" s="812"/>
      <c r="G3198" s="812"/>
      <c r="H3198" s="812"/>
    </row>
    <row r="3199" spans="1:8">
      <c r="A3199" s="812"/>
      <c r="B3199" s="812"/>
      <c r="C3199" s="812"/>
      <c r="D3199" s="812"/>
      <c r="E3199" s="812"/>
      <c r="F3199" s="812"/>
      <c r="G3199" s="812"/>
      <c r="H3199" s="812"/>
    </row>
    <row r="3200" spans="1:8">
      <c r="A3200" s="812"/>
      <c r="B3200" s="812"/>
      <c r="C3200" s="812"/>
      <c r="D3200" s="812"/>
      <c r="E3200" s="812"/>
      <c r="F3200" s="812"/>
      <c r="G3200" s="812"/>
      <c r="H3200" s="812"/>
    </row>
    <row r="3201" spans="1:8">
      <c r="A3201" s="812"/>
      <c r="B3201" s="812"/>
      <c r="C3201" s="812"/>
      <c r="D3201" s="812"/>
      <c r="E3201" s="812"/>
      <c r="F3201" s="812"/>
      <c r="G3201" s="812"/>
      <c r="H3201" s="812"/>
    </row>
    <row r="3202" spans="1:8">
      <c r="A3202" s="812"/>
      <c r="B3202" s="812"/>
      <c r="C3202" s="812"/>
      <c r="D3202" s="812"/>
      <c r="E3202" s="812"/>
      <c r="F3202" s="812"/>
      <c r="G3202" s="812"/>
      <c r="H3202" s="812"/>
    </row>
    <row r="3203" spans="1:8">
      <c r="A3203" s="812"/>
      <c r="B3203" s="812"/>
      <c r="C3203" s="812"/>
      <c r="D3203" s="812"/>
      <c r="E3203" s="812"/>
      <c r="F3203" s="812"/>
      <c r="G3203" s="812"/>
      <c r="H3203" s="812"/>
    </row>
    <row r="3204" spans="1:8">
      <c r="A3204" s="812"/>
      <c r="B3204" s="812"/>
      <c r="C3204" s="812"/>
      <c r="D3204" s="812"/>
      <c r="E3204" s="812"/>
      <c r="F3204" s="812"/>
      <c r="G3204" s="812"/>
      <c r="H3204" s="812"/>
    </row>
    <row r="3205" spans="1:8">
      <c r="A3205" s="812"/>
      <c r="B3205" s="812"/>
      <c r="C3205" s="812"/>
      <c r="D3205" s="812"/>
      <c r="E3205" s="812"/>
      <c r="F3205" s="812"/>
      <c r="G3205" s="812"/>
      <c r="H3205" s="812"/>
    </row>
    <row r="3206" spans="1:8">
      <c r="A3206" s="812"/>
      <c r="B3206" s="812"/>
      <c r="C3206" s="812"/>
      <c r="D3206" s="812"/>
      <c r="E3206" s="812"/>
      <c r="F3206" s="812"/>
      <c r="G3206" s="812"/>
      <c r="H3206" s="812"/>
    </row>
    <row r="3207" spans="1:8">
      <c r="A3207" s="812"/>
      <c r="B3207" s="812"/>
      <c r="C3207" s="812"/>
      <c r="D3207" s="812"/>
      <c r="E3207" s="812"/>
      <c r="F3207" s="812"/>
      <c r="G3207" s="812"/>
      <c r="H3207" s="812"/>
    </row>
    <row r="3208" spans="1:8">
      <c r="A3208" s="812"/>
      <c r="B3208" s="812"/>
      <c r="C3208" s="812"/>
      <c r="D3208" s="812"/>
      <c r="E3208" s="812"/>
      <c r="F3208" s="812"/>
      <c r="G3208" s="812"/>
      <c r="H3208" s="812"/>
    </row>
    <row r="3209" spans="1:8">
      <c r="A3209" s="812"/>
      <c r="B3209" s="812"/>
      <c r="C3209" s="812"/>
      <c r="D3209" s="812"/>
      <c r="E3209" s="812"/>
      <c r="F3209" s="812"/>
      <c r="G3209" s="812"/>
      <c r="H3209" s="812"/>
    </row>
    <row r="3210" spans="1:8">
      <c r="A3210" s="812"/>
      <c r="B3210" s="812"/>
      <c r="C3210" s="812"/>
      <c r="D3210" s="812"/>
      <c r="E3210" s="812"/>
      <c r="F3210" s="812"/>
      <c r="G3210" s="812"/>
      <c r="H3210" s="812"/>
    </row>
    <row r="3211" spans="1:8">
      <c r="A3211" s="812"/>
      <c r="B3211" s="812"/>
      <c r="C3211" s="812"/>
      <c r="D3211" s="812"/>
      <c r="E3211" s="812"/>
      <c r="F3211" s="812"/>
      <c r="G3211" s="812"/>
      <c r="H3211" s="812"/>
    </row>
    <row r="3212" spans="1:8">
      <c r="A3212" s="812"/>
      <c r="B3212" s="812"/>
      <c r="C3212" s="812"/>
      <c r="D3212" s="812"/>
      <c r="E3212" s="812"/>
      <c r="F3212" s="812"/>
      <c r="G3212" s="812"/>
      <c r="H3212" s="812"/>
    </row>
    <row r="3213" spans="1:8">
      <c r="A3213" s="812"/>
      <c r="B3213" s="812"/>
      <c r="C3213" s="812"/>
      <c r="D3213" s="812"/>
      <c r="E3213" s="812"/>
      <c r="F3213" s="812"/>
      <c r="G3213" s="812"/>
      <c r="H3213" s="812"/>
    </row>
    <row r="3214" spans="1:8">
      <c r="A3214" s="812"/>
      <c r="B3214" s="812"/>
      <c r="C3214" s="812"/>
      <c r="D3214" s="812"/>
      <c r="E3214" s="812"/>
      <c r="F3214" s="812"/>
      <c r="G3214" s="812"/>
      <c r="H3214" s="812"/>
    </row>
    <row r="3215" spans="1:8">
      <c r="A3215" s="812"/>
      <c r="B3215" s="812"/>
      <c r="C3215" s="812"/>
      <c r="D3215" s="812"/>
      <c r="E3215" s="812"/>
      <c r="F3215" s="812"/>
      <c r="G3215" s="812"/>
      <c r="H3215" s="812"/>
    </row>
    <row r="3216" spans="1:8">
      <c r="A3216" s="812"/>
      <c r="B3216" s="812"/>
      <c r="C3216" s="812"/>
      <c r="D3216" s="812"/>
      <c r="E3216" s="812"/>
      <c r="F3216" s="812"/>
      <c r="G3216" s="812"/>
      <c r="H3216" s="812"/>
    </row>
    <row r="3217" spans="1:8">
      <c r="A3217" s="812"/>
      <c r="B3217" s="812"/>
      <c r="C3217" s="812"/>
      <c r="D3217" s="812"/>
      <c r="E3217" s="812"/>
      <c r="F3217" s="812"/>
      <c r="G3217" s="812"/>
      <c r="H3217" s="812"/>
    </row>
    <row r="3218" spans="1:8">
      <c r="A3218" s="812"/>
      <c r="B3218" s="812"/>
      <c r="C3218" s="812"/>
      <c r="D3218" s="812"/>
      <c r="E3218" s="812"/>
      <c r="F3218" s="812"/>
      <c r="G3218" s="812"/>
      <c r="H3218" s="812"/>
    </row>
    <row r="3219" spans="1:8">
      <c r="A3219" s="812"/>
      <c r="B3219" s="812"/>
      <c r="C3219" s="812"/>
      <c r="D3219" s="812"/>
      <c r="E3219" s="812"/>
      <c r="F3219" s="812"/>
      <c r="G3219" s="812"/>
      <c r="H3219" s="812"/>
    </row>
    <row r="3220" spans="1:8">
      <c r="A3220" s="812"/>
      <c r="B3220" s="812"/>
      <c r="C3220" s="812"/>
      <c r="D3220" s="812"/>
      <c r="E3220" s="812"/>
      <c r="F3220" s="812"/>
      <c r="G3220" s="812"/>
      <c r="H3220" s="812"/>
    </row>
    <row r="3221" spans="1:8">
      <c r="A3221" s="812"/>
      <c r="B3221" s="812"/>
      <c r="C3221" s="812"/>
      <c r="D3221" s="812"/>
      <c r="E3221" s="812"/>
      <c r="F3221" s="812"/>
      <c r="G3221" s="812"/>
      <c r="H3221" s="812"/>
    </row>
    <row r="3222" spans="1:8">
      <c r="A3222" s="812"/>
      <c r="B3222" s="812"/>
      <c r="C3222" s="812"/>
      <c r="D3222" s="812"/>
      <c r="E3222" s="812"/>
      <c r="F3222" s="812"/>
      <c r="G3222" s="812"/>
      <c r="H3222" s="812"/>
    </row>
    <row r="3223" spans="1:8">
      <c r="A3223" s="812"/>
      <c r="B3223" s="812"/>
      <c r="C3223" s="812"/>
      <c r="D3223" s="812"/>
      <c r="E3223" s="812"/>
      <c r="F3223" s="812"/>
      <c r="G3223" s="812"/>
      <c r="H3223" s="812"/>
    </row>
    <row r="3224" spans="1:8">
      <c r="A3224" s="812"/>
      <c r="B3224" s="812"/>
      <c r="C3224" s="812"/>
      <c r="D3224" s="812"/>
      <c r="E3224" s="812"/>
      <c r="F3224" s="812"/>
      <c r="G3224" s="812"/>
      <c r="H3224" s="812"/>
    </row>
    <row r="3225" spans="1:8">
      <c r="A3225" s="812"/>
      <c r="B3225" s="812"/>
      <c r="C3225" s="812"/>
      <c r="D3225" s="812"/>
      <c r="E3225" s="812"/>
      <c r="F3225" s="812"/>
      <c r="G3225" s="812"/>
      <c r="H3225" s="812"/>
    </row>
    <row r="3226" spans="1:8">
      <c r="A3226" s="812"/>
      <c r="B3226" s="812"/>
      <c r="C3226" s="812"/>
      <c r="D3226" s="812"/>
      <c r="E3226" s="812"/>
      <c r="F3226" s="812"/>
      <c r="G3226" s="812"/>
      <c r="H3226" s="812"/>
    </row>
    <row r="3227" spans="1:8">
      <c r="A3227" s="812"/>
      <c r="B3227" s="812"/>
      <c r="C3227" s="812"/>
      <c r="D3227" s="812"/>
      <c r="E3227" s="812"/>
      <c r="F3227" s="812"/>
      <c r="G3227" s="812"/>
      <c r="H3227" s="812"/>
    </row>
    <row r="3228" spans="1:8">
      <c r="A3228" s="812"/>
      <c r="B3228" s="812"/>
      <c r="C3228" s="812"/>
      <c r="D3228" s="812"/>
      <c r="E3228" s="812"/>
      <c r="F3228" s="812"/>
      <c r="G3228" s="812"/>
      <c r="H3228" s="812"/>
    </row>
    <row r="3229" spans="1:8">
      <c r="A3229" s="812"/>
      <c r="B3229" s="812"/>
      <c r="C3229" s="812"/>
      <c r="D3229" s="812"/>
      <c r="E3229" s="812"/>
      <c r="F3229" s="812"/>
      <c r="G3229" s="812"/>
      <c r="H3229" s="812"/>
    </row>
    <row r="3230" spans="1:8">
      <c r="A3230" s="812"/>
      <c r="B3230" s="812"/>
      <c r="C3230" s="812"/>
      <c r="D3230" s="812"/>
      <c r="E3230" s="812"/>
      <c r="F3230" s="812"/>
      <c r="G3230" s="812"/>
      <c r="H3230" s="812"/>
    </row>
    <row r="3231" spans="1:8">
      <c r="A3231" s="812"/>
      <c r="B3231" s="812"/>
      <c r="C3231" s="812"/>
      <c r="D3231" s="812"/>
      <c r="E3231" s="812"/>
      <c r="F3231" s="812"/>
      <c r="G3231" s="812"/>
      <c r="H3231" s="812"/>
    </row>
    <row r="3232" spans="1:8">
      <c r="A3232" s="812"/>
      <c r="B3232" s="812"/>
      <c r="C3232" s="812"/>
      <c r="D3232" s="812"/>
      <c r="E3232" s="812"/>
      <c r="F3232" s="812"/>
      <c r="G3232" s="812"/>
      <c r="H3232" s="812"/>
    </row>
    <row r="3233" spans="1:8">
      <c r="A3233" s="812"/>
      <c r="B3233" s="812"/>
      <c r="C3233" s="812"/>
      <c r="D3233" s="812"/>
      <c r="E3233" s="812"/>
      <c r="F3233" s="812"/>
      <c r="G3233" s="812"/>
      <c r="H3233" s="812"/>
    </row>
    <row r="3234" spans="1:8">
      <c r="A3234" s="812"/>
      <c r="B3234" s="812"/>
      <c r="C3234" s="812"/>
      <c r="D3234" s="812"/>
      <c r="E3234" s="812"/>
      <c r="F3234" s="812"/>
      <c r="G3234" s="812"/>
      <c r="H3234" s="812"/>
    </row>
    <row r="3235" spans="1:8">
      <c r="A3235" s="812"/>
      <c r="B3235" s="812"/>
      <c r="C3235" s="812"/>
      <c r="D3235" s="812"/>
      <c r="E3235" s="812"/>
      <c r="F3235" s="812"/>
      <c r="G3235" s="812"/>
      <c r="H3235" s="812"/>
    </row>
    <row r="3236" spans="1:8">
      <c r="A3236" s="812"/>
      <c r="B3236" s="812"/>
      <c r="C3236" s="812"/>
      <c r="D3236" s="812"/>
      <c r="E3236" s="812"/>
      <c r="F3236" s="812"/>
      <c r="G3236" s="812"/>
      <c r="H3236" s="812"/>
    </row>
    <row r="3237" spans="1:8">
      <c r="A3237" s="812"/>
      <c r="B3237" s="812"/>
      <c r="C3237" s="812"/>
      <c r="D3237" s="812"/>
      <c r="E3237" s="812"/>
      <c r="F3237" s="812"/>
      <c r="G3237" s="812"/>
      <c r="H3237" s="812"/>
    </row>
    <row r="3238" spans="1:8">
      <c r="A3238" s="812"/>
      <c r="B3238" s="812"/>
      <c r="C3238" s="812"/>
      <c r="D3238" s="812"/>
      <c r="E3238" s="812"/>
      <c r="F3238" s="812"/>
      <c r="G3238" s="812"/>
      <c r="H3238" s="812"/>
    </row>
    <row r="3239" spans="1:8">
      <c r="A3239" s="812"/>
      <c r="B3239" s="812"/>
      <c r="C3239" s="812"/>
      <c r="D3239" s="812"/>
      <c r="E3239" s="812"/>
      <c r="F3239" s="812"/>
      <c r="G3239" s="812"/>
      <c r="H3239" s="812"/>
    </row>
    <row r="3240" spans="1:8">
      <c r="A3240" s="812"/>
      <c r="B3240" s="812"/>
      <c r="C3240" s="812"/>
      <c r="D3240" s="812"/>
      <c r="E3240" s="812"/>
      <c r="F3240" s="812"/>
      <c r="G3240" s="812"/>
      <c r="H3240" s="812"/>
    </row>
    <row r="3241" spans="1:8">
      <c r="A3241" s="812"/>
      <c r="B3241" s="812"/>
      <c r="C3241" s="812"/>
      <c r="D3241" s="812"/>
      <c r="E3241" s="812"/>
      <c r="F3241" s="812"/>
      <c r="G3241" s="812"/>
      <c r="H3241" s="812"/>
    </row>
    <row r="3242" spans="1:8">
      <c r="A3242" s="812"/>
      <c r="B3242" s="812"/>
      <c r="C3242" s="812"/>
      <c r="D3242" s="812"/>
      <c r="E3242" s="812"/>
      <c r="F3242" s="812"/>
      <c r="G3242" s="812"/>
      <c r="H3242" s="812"/>
    </row>
    <row r="3243" spans="1:8">
      <c r="A3243" s="812"/>
      <c r="B3243" s="812"/>
      <c r="C3243" s="812"/>
      <c r="D3243" s="812"/>
      <c r="E3243" s="812"/>
      <c r="F3243" s="812"/>
      <c r="G3243" s="812"/>
      <c r="H3243" s="812"/>
    </row>
    <row r="3244" spans="1:8">
      <c r="A3244" s="812"/>
      <c r="B3244" s="812"/>
      <c r="C3244" s="812"/>
      <c r="D3244" s="812"/>
      <c r="E3244" s="812"/>
      <c r="F3244" s="812"/>
      <c r="G3244" s="812"/>
      <c r="H3244" s="812"/>
    </row>
    <row r="3245" spans="1:8">
      <c r="A3245" s="812"/>
      <c r="B3245" s="812"/>
      <c r="C3245" s="812"/>
      <c r="D3245" s="812"/>
      <c r="E3245" s="812"/>
      <c r="F3245" s="812"/>
      <c r="G3245" s="812"/>
      <c r="H3245" s="812"/>
    </row>
    <row r="3246" spans="1:8">
      <c r="A3246" s="812"/>
      <c r="B3246" s="812"/>
      <c r="C3246" s="812"/>
      <c r="D3246" s="812"/>
      <c r="E3246" s="812"/>
      <c r="F3246" s="812"/>
      <c r="G3246" s="812"/>
      <c r="H3246" s="812"/>
    </row>
    <row r="3247" spans="1:8">
      <c r="A3247" s="812"/>
      <c r="B3247" s="812"/>
      <c r="C3247" s="812"/>
      <c r="D3247" s="812"/>
      <c r="E3247" s="812"/>
      <c r="F3247" s="812"/>
      <c r="G3247" s="812"/>
      <c r="H3247" s="812"/>
    </row>
    <row r="3248" spans="1:8">
      <c r="A3248" s="812"/>
      <c r="B3248" s="812"/>
      <c r="C3248" s="812"/>
      <c r="D3248" s="812"/>
      <c r="E3248" s="812"/>
      <c r="F3248" s="812"/>
      <c r="G3248" s="812"/>
      <c r="H3248" s="812"/>
    </row>
    <row r="3249" spans="1:8">
      <c r="A3249" s="812"/>
      <c r="B3249" s="812"/>
      <c r="C3249" s="812"/>
      <c r="D3249" s="812"/>
      <c r="E3249" s="812"/>
      <c r="F3249" s="812"/>
      <c r="G3249" s="812"/>
      <c r="H3249" s="812"/>
    </row>
    <row r="3250" spans="1:8">
      <c r="A3250" s="812"/>
      <c r="B3250" s="812"/>
      <c r="C3250" s="812"/>
      <c r="D3250" s="812"/>
      <c r="E3250" s="812"/>
      <c r="F3250" s="812"/>
      <c r="G3250" s="812"/>
      <c r="H3250" s="812"/>
    </row>
    <row r="3251" spans="1:8">
      <c r="A3251" s="812"/>
      <c r="B3251" s="812"/>
      <c r="C3251" s="812"/>
      <c r="D3251" s="812"/>
      <c r="E3251" s="812"/>
      <c r="F3251" s="812"/>
      <c r="G3251" s="812"/>
      <c r="H3251" s="812"/>
    </row>
    <row r="3252" spans="1:8">
      <c r="A3252" s="812"/>
      <c r="B3252" s="812"/>
      <c r="C3252" s="812"/>
      <c r="D3252" s="812"/>
      <c r="E3252" s="812"/>
      <c r="F3252" s="812"/>
      <c r="G3252" s="812"/>
      <c r="H3252" s="812"/>
    </row>
    <row r="3253" spans="1:8">
      <c r="A3253" s="812"/>
      <c r="B3253" s="812"/>
      <c r="C3253" s="812"/>
      <c r="D3253" s="812"/>
      <c r="E3253" s="812"/>
      <c r="F3253" s="812"/>
      <c r="G3253" s="812"/>
      <c r="H3253" s="812"/>
    </row>
    <row r="3254" spans="1:8">
      <c r="A3254" s="812"/>
      <c r="B3254" s="812"/>
      <c r="C3254" s="812"/>
      <c r="D3254" s="812"/>
      <c r="E3254" s="812"/>
      <c r="F3254" s="812"/>
      <c r="G3254" s="812"/>
      <c r="H3254" s="812"/>
    </row>
    <row r="3255" spans="1:8">
      <c r="A3255" s="812"/>
      <c r="B3255" s="812"/>
      <c r="C3255" s="812"/>
      <c r="D3255" s="812"/>
      <c r="E3255" s="812"/>
      <c r="F3255" s="812"/>
      <c r="G3255" s="812"/>
      <c r="H3255" s="812"/>
    </row>
    <row r="3256" spans="1:8">
      <c r="A3256" s="812"/>
      <c r="B3256" s="812"/>
      <c r="C3256" s="812"/>
      <c r="D3256" s="812"/>
      <c r="E3256" s="812"/>
      <c r="F3256" s="812"/>
      <c r="G3256" s="812"/>
      <c r="H3256" s="812"/>
    </row>
    <row r="3257" spans="1:8">
      <c r="A3257" s="812"/>
      <c r="B3257" s="812"/>
      <c r="C3257" s="812"/>
      <c r="D3257" s="812"/>
      <c r="E3257" s="812"/>
      <c r="F3257" s="812"/>
      <c r="G3257" s="812"/>
      <c r="H3257" s="812"/>
    </row>
    <row r="3258" spans="1:8">
      <c r="A3258" s="812"/>
      <c r="B3258" s="812"/>
      <c r="C3258" s="812"/>
      <c r="D3258" s="812"/>
      <c r="E3258" s="812"/>
      <c r="F3258" s="812"/>
      <c r="G3258" s="812"/>
      <c r="H3258" s="812"/>
    </row>
    <row r="3259" spans="1:8">
      <c r="A3259" s="812"/>
      <c r="B3259" s="812"/>
      <c r="C3259" s="812"/>
      <c r="D3259" s="812"/>
      <c r="E3259" s="812"/>
      <c r="F3259" s="812"/>
      <c r="G3259" s="812"/>
      <c r="H3259" s="812"/>
    </row>
    <row r="3260" spans="1:8">
      <c r="A3260" s="812"/>
      <c r="B3260" s="812"/>
      <c r="C3260" s="812"/>
      <c r="D3260" s="812"/>
      <c r="E3260" s="812"/>
      <c r="F3260" s="812"/>
      <c r="G3260" s="812"/>
      <c r="H3260" s="812"/>
    </row>
    <row r="3261" spans="1:8">
      <c r="A3261" s="812"/>
      <c r="B3261" s="812"/>
      <c r="C3261" s="812"/>
      <c r="D3261" s="812"/>
      <c r="E3261" s="812"/>
      <c r="F3261" s="812"/>
      <c r="G3261" s="812"/>
      <c r="H3261" s="812"/>
    </row>
    <row r="3262" spans="1:8">
      <c r="A3262" s="812"/>
      <c r="B3262" s="812"/>
      <c r="C3262" s="812"/>
      <c r="D3262" s="812"/>
      <c r="E3262" s="812"/>
      <c r="F3262" s="812"/>
      <c r="G3262" s="812"/>
      <c r="H3262" s="812"/>
    </row>
    <row r="3263" spans="1:8">
      <c r="A3263" s="812"/>
      <c r="B3263" s="812"/>
      <c r="C3263" s="812"/>
      <c r="D3263" s="812"/>
      <c r="E3263" s="812"/>
      <c r="F3263" s="812"/>
      <c r="G3263" s="812"/>
      <c r="H3263" s="812"/>
    </row>
    <row r="3264" spans="1:8">
      <c r="A3264" s="812"/>
      <c r="B3264" s="812"/>
      <c r="C3264" s="812"/>
      <c r="D3264" s="812"/>
      <c r="E3264" s="812"/>
      <c r="F3264" s="812"/>
      <c r="G3264" s="812"/>
      <c r="H3264" s="812"/>
    </row>
    <row r="3265" spans="1:8">
      <c r="A3265" s="812"/>
      <c r="B3265" s="812"/>
      <c r="C3265" s="812"/>
      <c r="D3265" s="812"/>
      <c r="E3265" s="812"/>
      <c r="F3265" s="812"/>
      <c r="G3265" s="812"/>
      <c r="H3265" s="812"/>
    </row>
    <row r="3266" spans="1:8">
      <c r="A3266" s="812"/>
      <c r="B3266" s="812"/>
      <c r="C3266" s="812"/>
      <c r="D3266" s="812"/>
      <c r="E3266" s="812"/>
      <c r="F3266" s="812"/>
      <c r="G3266" s="812"/>
      <c r="H3266" s="812"/>
    </row>
    <row r="3267" spans="1:8">
      <c r="A3267" s="812"/>
      <c r="B3267" s="812"/>
      <c r="C3267" s="812"/>
      <c r="D3267" s="812"/>
      <c r="E3267" s="812"/>
      <c r="F3267" s="812"/>
      <c r="G3267" s="812"/>
      <c r="H3267" s="812"/>
    </row>
    <row r="3268" spans="1:8">
      <c r="A3268" s="812"/>
      <c r="B3268" s="812"/>
      <c r="C3268" s="812"/>
      <c r="D3268" s="812"/>
      <c r="E3268" s="812"/>
      <c r="F3268" s="812"/>
      <c r="G3268" s="812"/>
      <c r="H3268" s="812"/>
    </row>
    <row r="3269" spans="1:8">
      <c r="A3269" s="812"/>
      <c r="B3269" s="812"/>
      <c r="C3269" s="812"/>
      <c r="D3269" s="812"/>
      <c r="E3269" s="812"/>
      <c r="F3269" s="812"/>
      <c r="G3269" s="812"/>
      <c r="H3269" s="812"/>
    </row>
    <row r="3270" spans="1:8">
      <c r="A3270" s="812"/>
      <c r="B3270" s="812"/>
      <c r="C3270" s="812"/>
      <c r="D3270" s="812"/>
      <c r="E3270" s="812"/>
      <c r="F3270" s="812"/>
      <c r="G3270" s="812"/>
      <c r="H3270" s="812"/>
    </row>
    <row r="3271" spans="1:8">
      <c r="A3271" s="812"/>
      <c r="B3271" s="812"/>
      <c r="C3271" s="812"/>
      <c r="D3271" s="812"/>
      <c r="E3271" s="812"/>
      <c r="F3271" s="812"/>
      <c r="G3271" s="812"/>
      <c r="H3271" s="812"/>
    </row>
    <row r="3272" spans="1:8">
      <c r="A3272" s="812"/>
      <c r="B3272" s="812"/>
      <c r="C3272" s="812"/>
      <c r="D3272" s="812"/>
      <c r="E3272" s="812"/>
      <c r="F3272" s="812"/>
      <c r="G3272" s="812"/>
      <c r="H3272" s="812"/>
    </row>
    <row r="3273" spans="1:8">
      <c r="A3273" s="812"/>
      <c r="B3273" s="812"/>
      <c r="C3273" s="812"/>
      <c r="D3273" s="812"/>
      <c r="E3273" s="812"/>
      <c r="F3273" s="812"/>
      <c r="G3273" s="812"/>
      <c r="H3273" s="812"/>
    </row>
    <row r="3274" spans="1:8">
      <c r="A3274" s="812"/>
      <c r="B3274" s="812"/>
      <c r="C3274" s="812"/>
      <c r="D3274" s="812"/>
      <c r="E3274" s="812"/>
      <c r="F3274" s="812"/>
      <c r="G3274" s="812"/>
      <c r="H3274" s="812"/>
    </row>
    <row r="3275" spans="1:8">
      <c r="A3275" s="812"/>
      <c r="B3275" s="812"/>
      <c r="C3275" s="812"/>
      <c r="D3275" s="812"/>
      <c r="E3275" s="812"/>
      <c r="F3275" s="812"/>
      <c r="G3275" s="812"/>
      <c r="H3275" s="812"/>
    </row>
    <row r="3276" spans="1:8">
      <c r="A3276" s="812"/>
      <c r="B3276" s="812"/>
      <c r="C3276" s="812"/>
      <c r="D3276" s="812"/>
      <c r="E3276" s="812"/>
      <c r="F3276" s="812"/>
      <c r="G3276" s="812"/>
      <c r="H3276" s="812"/>
    </row>
    <row r="3277" spans="1:8">
      <c r="A3277" s="812"/>
      <c r="B3277" s="812"/>
      <c r="C3277" s="812"/>
      <c r="D3277" s="812"/>
      <c r="E3277" s="812"/>
      <c r="F3277" s="812"/>
      <c r="G3277" s="812"/>
      <c r="H3277" s="812"/>
    </row>
    <row r="3278" spans="1:8">
      <c r="A3278" s="812"/>
      <c r="B3278" s="812"/>
      <c r="C3278" s="812"/>
      <c r="D3278" s="812"/>
      <c r="E3278" s="812"/>
      <c r="F3278" s="812"/>
      <c r="G3278" s="812"/>
      <c r="H3278" s="812"/>
    </row>
    <row r="3279" spans="1:8">
      <c r="A3279" s="812"/>
      <c r="B3279" s="812"/>
      <c r="C3279" s="812"/>
      <c r="D3279" s="812"/>
      <c r="E3279" s="812"/>
      <c r="F3279" s="812"/>
      <c r="G3279" s="812"/>
      <c r="H3279" s="812"/>
    </row>
    <row r="3280" spans="1:8">
      <c r="A3280" s="812"/>
      <c r="B3280" s="812"/>
      <c r="C3280" s="812"/>
      <c r="D3280" s="812"/>
      <c r="E3280" s="812"/>
      <c r="F3280" s="812"/>
      <c r="G3280" s="812"/>
      <c r="H3280" s="812"/>
    </row>
    <row r="3281" spans="1:8">
      <c r="A3281" s="812"/>
      <c r="B3281" s="812"/>
      <c r="C3281" s="812"/>
      <c r="D3281" s="812"/>
      <c r="E3281" s="812"/>
      <c r="F3281" s="812"/>
      <c r="G3281" s="812"/>
      <c r="H3281" s="812"/>
    </row>
    <row r="3282" spans="1:8">
      <c r="A3282" s="812"/>
      <c r="B3282" s="812"/>
      <c r="C3282" s="812"/>
      <c r="D3282" s="812"/>
      <c r="E3282" s="812"/>
      <c r="F3282" s="812"/>
      <c r="G3282" s="812"/>
      <c r="H3282" s="812"/>
    </row>
    <row r="3283" spans="1:8">
      <c r="A3283" s="812"/>
      <c r="B3283" s="812"/>
      <c r="C3283" s="812"/>
      <c r="D3283" s="812"/>
      <c r="E3283" s="812"/>
      <c r="F3283" s="812"/>
      <c r="G3283" s="812"/>
      <c r="H3283" s="812"/>
    </row>
    <row r="3284" spans="1:8">
      <c r="A3284" s="812"/>
      <c r="B3284" s="812"/>
      <c r="C3284" s="812"/>
      <c r="D3284" s="812"/>
      <c r="E3284" s="812"/>
      <c r="F3284" s="812"/>
      <c r="G3284" s="812"/>
      <c r="H3284" s="812"/>
    </row>
    <row r="3285" spans="1:8">
      <c r="A3285" s="812"/>
      <c r="B3285" s="812"/>
      <c r="C3285" s="812"/>
      <c r="D3285" s="812"/>
      <c r="E3285" s="812"/>
      <c r="F3285" s="812"/>
      <c r="G3285" s="812"/>
      <c r="H3285" s="812"/>
    </row>
    <row r="3286" spans="1:8">
      <c r="A3286" s="812"/>
      <c r="B3286" s="812"/>
      <c r="C3286" s="812"/>
      <c r="D3286" s="812"/>
      <c r="E3286" s="812"/>
      <c r="F3286" s="812"/>
      <c r="G3286" s="812"/>
      <c r="H3286" s="812"/>
    </row>
    <row r="3287" spans="1:8">
      <c r="A3287" s="812"/>
      <c r="B3287" s="812"/>
      <c r="C3287" s="812"/>
      <c r="D3287" s="812"/>
      <c r="E3287" s="812"/>
      <c r="F3287" s="812"/>
      <c r="G3287" s="812"/>
      <c r="H3287" s="812"/>
    </row>
    <row r="3288" spans="1:8">
      <c r="A3288" s="812"/>
      <c r="B3288" s="812"/>
      <c r="C3288" s="812"/>
      <c r="D3288" s="812"/>
      <c r="E3288" s="812"/>
      <c r="F3288" s="812"/>
      <c r="G3288" s="812"/>
      <c r="H3288" s="812"/>
    </row>
    <row r="3289" spans="1:8">
      <c r="A3289" s="812"/>
      <c r="B3289" s="812"/>
      <c r="C3289" s="812"/>
      <c r="D3289" s="812"/>
      <c r="E3289" s="812"/>
      <c r="F3289" s="812"/>
      <c r="G3289" s="812"/>
      <c r="H3289" s="812"/>
    </row>
    <row r="3290" spans="1:8">
      <c r="A3290" s="812"/>
      <c r="B3290" s="812"/>
      <c r="C3290" s="812"/>
      <c r="D3290" s="812"/>
      <c r="E3290" s="812"/>
      <c r="F3290" s="812"/>
      <c r="G3290" s="812"/>
      <c r="H3290" s="812"/>
    </row>
    <row r="3291" spans="1:8">
      <c r="A3291" s="812"/>
      <c r="B3291" s="812"/>
      <c r="C3291" s="812"/>
      <c r="D3291" s="812"/>
      <c r="E3291" s="812"/>
      <c r="F3291" s="812"/>
      <c r="G3291" s="812"/>
      <c r="H3291" s="812"/>
    </row>
    <row r="3292" spans="1:8">
      <c r="A3292" s="812"/>
      <c r="B3292" s="812"/>
      <c r="C3292" s="812"/>
      <c r="D3292" s="812"/>
      <c r="E3292" s="812"/>
      <c r="F3292" s="812"/>
      <c r="G3292" s="812"/>
      <c r="H3292" s="812"/>
    </row>
    <row r="3293" spans="1:8">
      <c r="A3293" s="812"/>
      <c r="B3293" s="812"/>
      <c r="C3293" s="812"/>
      <c r="D3293" s="812"/>
      <c r="E3293" s="812"/>
      <c r="F3293" s="812"/>
      <c r="G3293" s="812"/>
      <c r="H3293" s="812"/>
    </row>
    <row r="3294" spans="1:8">
      <c r="A3294" s="812"/>
      <c r="B3294" s="812"/>
      <c r="C3294" s="812"/>
      <c r="D3294" s="812"/>
      <c r="E3294" s="812"/>
      <c r="F3294" s="812"/>
      <c r="G3294" s="812"/>
      <c r="H3294" s="812"/>
    </row>
    <row r="3295" spans="1:8">
      <c r="A3295" s="812"/>
      <c r="B3295" s="812"/>
      <c r="C3295" s="812"/>
      <c r="D3295" s="812"/>
      <c r="E3295" s="812"/>
      <c r="F3295" s="812"/>
      <c r="G3295" s="812"/>
      <c r="H3295" s="812"/>
    </row>
    <row r="3296" spans="1:8">
      <c r="A3296" s="812"/>
      <c r="B3296" s="812"/>
      <c r="C3296" s="812"/>
      <c r="D3296" s="812"/>
      <c r="E3296" s="812"/>
      <c r="F3296" s="812"/>
      <c r="G3296" s="812"/>
      <c r="H3296" s="812"/>
    </row>
    <row r="3297" spans="1:8">
      <c r="A3297" s="812"/>
      <c r="B3297" s="812"/>
      <c r="C3297" s="812"/>
      <c r="D3297" s="812"/>
      <c r="E3297" s="812"/>
      <c r="F3297" s="812"/>
      <c r="G3297" s="812"/>
      <c r="H3297" s="812"/>
    </row>
    <row r="3298" spans="1:8">
      <c r="A3298" s="812"/>
      <c r="B3298" s="812"/>
      <c r="C3298" s="812"/>
      <c r="D3298" s="812"/>
      <c r="E3298" s="812"/>
      <c r="F3298" s="812"/>
      <c r="G3298" s="812"/>
      <c r="H3298" s="812"/>
    </row>
    <row r="3299" spans="1:8">
      <c r="A3299" s="812"/>
      <c r="B3299" s="812"/>
      <c r="C3299" s="812"/>
      <c r="D3299" s="812"/>
      <c r="E3299" s="812"/>
      <c r="F3299" s="812"/>
      <c r="G3299" s="812"/>
      <c r="H3299" s="812"/>
    </row>
    <row r="3300" spans="1:8">
      <c r="A3300" s="812"/>
      <c r="B3300" s="812"/>
      <c r="C3300" s="812"/>
      <c r="D3300" s="812"/>
      <c r="E3300" s="812"/>
      <c r="F3300" s="812"/>
      <c r="G3300" s="812"/>
      <c r="H3300" s="812"/>
    </row>
    <row r="3301" spans="1:8">
      <c r="A3301" s="812"/>
      <c r="B3301" s="812"/>
      <c r="C3301" s="812"/>
      <c r="D3301" s="812"/>
      <c r="E3301" s="812"/>
      <c r="F3301" s="812"/>
      <c r="G3301" s="812"/>
      <c r="H3301" s="812"/>
    </row>
    <row r="3302" spans="1:8">
      <c r="A3302" s="812"/>
      <c r="B3302" s="812"/>
      <c r="C3302" s="812"/>
      <c r="D3302" s="812"/>
      <c r="E3302" s="812"/>
      <c r="F3302" s="812"/>
      <c r="G3302" s="812"/>
      <c r="H3302" s="812"/>
    </row>
    <row r="3303" spans="1:8">
      <c r="A3303" s="812"/>
      <c r="B3303" s="812"/>
      <c r="C3303" s="812"/>
      <c r="D3303" s="812"/>
      <c r="E3303" s="812"/>
      <c r="F3303" s="812"/>
      <c r="G3303" s="812"/>
      <c r="H3303" s="812"/>
    </row>
    <row r="3304" spans="1:8">
      <c r="A3304" s="812"/>
      <c r="B3304" s="812"/>
      <c r="C3304" s="812"/>
      <c r="D3304" s="812"/>
      <c r="E3304" s="812"/>
      <c r="F3304" s="812"/>
      <c r="G3304" s="812"/>
      <c r="H3304" s="812"/>
    </row>
    <row r="3305" spans="1:8">
      <c r="A3305" s="812"/>
      <c r="B3305" s="812"/>
      <c r="C3305" s="812"/>
      <c r="D3305" s="812"/>
      <c r="E3305" s="812"/>
      <c r="F3305" s="812"/>
      <c r="G3305" s="812"/>
      <c r="H3305" s="812"/>
    </row>
    <row r="3306" spans="1:8">
      <c r="A3306" s="812"/>
      <c r="B3306" s="812"/>
      <c r="C3306" s="812"/>
      <c r="D3306" s="812"/>
      <c r="E3306" s="812"/>
      <c r="F3306" s="812"/>
      <c r="G3306" s="812"/>
      <c r="H3306" s="812"/>
    </row>
    <row r="3307" spans="1:8">
      <c r="A3307" s="812"/>
      <c r="B3307" s="812"/>
      <c r="C3307" s="812"/>
      <c r="D3307" s="812"/>
      <c r="E3307" s="812"/>
      <c r="F3307" s="812"/>
      <c r="G3307" s="812"/>
      <c r="H3307" s="812"/>
    </row>
    <row r="3308" spans="1:8">
      <c r="A3308" s="812"/>
      <c r="B3308" s="812"/>
      <c r="C3308" s="812"/>
      <c r="D3308" s="812"/>
      <c r="E3308" s="812"/>
      <c r="F3308" s="812"/>
      <c r="G3308" s="812"/>
      <c r="H3308" s="812"/>
    </row>
    <row r="3309" spans="1:8">
      <c r="A3309" s="812"/>
      <c r="B3309" s="812"/>
      <c r="C3309" s="812"/>
      <c r="D3309" s="812"/>
      <c r="E3309" s="812"/>
      <c r="F3309" s="812"/>
      <c r="G3309" s="812"/>
      <c r="H3309" s="812"/>
    </row>
    <row r="3310" spans="1:8">
      <c r="A3310" s="812"/>
      <c r="B3310" s="812"/>
      <c r="C3310" s="812"/>
      <c r="D3310" s="812"/>
      <c r="E3310" s="812"/>
      <c r="F3310" s="812"/>
      <c r="G3310" s="812"/>
      <c r="H3310" s="812"/>
    </row>
    <row r="3311" spans="1:8">
      <c r="A3311" s="812"/>
      <c r="B3311" s="812"/>
      <c r="C3311" s="812"/>
      <c r="D3311" s="812"/>
      <c r="E3311" s="812"/>
      <c r="F3311" s="812"/>
      <c r="G3311" s="812"/>
      <c r="H3311" s="812"/>
    </row>
    <row r="3312" spans="1:8">
      <c r="A3312" s="812"/>
      <c r="B3312" s="812"/>
      <c r="C3312" s="812"/>
      <c r="D3312" s="812"/>
      <c r="E3312" s="812"/>
      <c r="F3312" s="812"/>
      <c r="G3312" s="812"/>
      <c r="H3312" s="812"/>
    </row>
    <row r="3313" spans="1:8">
      <c r="A3313" s="812"/>
      <c r="B3313" s="812"/>
      <c r="C3313" s="812"/>
      <c r="D3313" s="812"/>
      <c r="E3313" s="812"/>
      <c r="F3313" s="812"/>
      <c r="G3313" s="812"/>
      <c r="H3313" s="812"/>
    </row>
    <row r="3314" spans="1:8">
      <c r="A3314" s="812"/>
      <c r="B3314" s="812"/>
      <c r="C3314" s="812"/>
      <c r="D3314" s="812"/>
      <c r="E3314" s="812"/>
      <c r="F3314" s="812"/>
      <c r="G3314" s="812"/>
      <c r="H3314" s="812"/>
    </row>
    <row r="3315" spans="1:8">
      <c r="A3315" s="812"/>
      <c r="B3315" s="812"/>
      <c r="C3315" s="812"/>
      <c r="D3315" s="812"/>
      <c r="E3315" s="812"/>
      <c r="F3315" s="812"/>
      <c r="G3315" s="812"/>
      <c r="H3315" s="812"/>
    </row>
    <row r="3316" spans="1:8">
      <c r="A3316" s="812"/>
      <c r="B3316" s="812"/>
      <c r="C3316" s="812"/>
      <c r="D3316" s="812"/>
      <c r="E3316" s="812"/>
      <c r="F3316" s="812"/>
      <c r="G3316" s="812"/>
      <c r="H3316" s="812"/>
    </row>
    <row r="3317" spans="1:8">
      <c r="A3317" s="812"/>
      <c r="B3317" s="812"/>
      <c r="C3317" s="812"/>
      <c r="D3317" s="812"/>
      <c r="E3317" s="812"/>
      <c r="F3317" s="812"/>
      <c r="G3317" s="812"/>
      <c r="H3317" s="812"/>
    </row>
    <row r="3318" spans="1:8">
      <c r="A3318" s="812"/>
      <c r="B3318" s="812"/>
      <c r="C3318" s="812"/>
      <c r="D3318" s="812"/>
      <c r="E3318" s="812"/>
      <c r="F3318" s="812"/>
      <c r="G3318" s="812"/>
      <c r="H3318" s="812"/>
    </row>
    <row r="3319" spans="1:8">
      <c r="A3319" s="812"/>
      <c r="B3319" s="812"/>
      <c r="C3319" s="812"/>
      <c r="D3319" s="812"/>
      <c r="E3319" s="812"/>
      <c r="F3319" s="812"/>
      <c r="G3319" s="812"/>
      <c r="H3319" s="812"/>
    </row>
    <row r="3320" spans="1:8">
      <c r="A3320" s="812"/>
      <c r="B3320" s="812"/>
      <c r="C3320" s="812"/>
      <c r="D3320" s="812"/>
      <c r="E3320" s="812"/>
      <c r="F3320" s="812"/>
      <c r="G3320" s="812"/>
      <c r="H3320" s="812"/>
    </row>
    <row r="3321" spans="1:8">
      <c r="A3321" s="812"/>
      <c r="B3321" s="812"/>
      <c r="C3321" s="812"/>
      <c r="D3321" s="812"/>
      <c r="E3321" s="812"/>
      <c r="F3321" s="812"/>
      <c r="G3321" s="812"/>
      <c r="H3321" s="812"/>
    </row>
    <row r="3322" spans="1:8">
      <c r="A3322" s="812"/>
      <c r="B3322" s="812"/>
      <c r="C3322" s="812"/>
      <c r="D3322" s="812"/>
      <c r="E3322" s="812"/>
      <c r="F3322" s="812"/>
      <c r="G3322" s="812"/>
      <c r="H3322" s="812"/>
    </row>
    <row r="3323" spans="1:8">
      <c r="A3323" s="812"/>
      <c r="B3323" s="812"/>
      <c r="C3323" s="812"/>
      <c r="D3323" s="812"/>
      <c r="E3323" s="812"/>
      <c r="F3323" s="812"/>
      <c r="G3323" s="812"/>
      <c r="H3323" s="812"/>
    </row>
    <row r="3324" spans="1:8">
      <c r="A3324" s="812"/>
      <c r="B3324" s="812"/>
      <c r="C3324" s="812"/>
      <c r="D3324" s="812"/>
      <c r="E3324" s="812"/>
      <c r="F3324" s="812"/>
      <c r="G3324" s="812"/>
      <c r="H3324" s="812"/>
    </row>
    <row r="3325" spans="1:8">
      <c r="A3325" s="812"/>
      <c r="B3325" s="812"/>
      <c r="C3325" s="812"/>
      <c r="D3325" s="812"/>
      <c r="E3325" s="812"/>
      <c r="F3325" s="812"/>
      <c r="G3325" s="812"/>
      <c r="H3325" s="812"/>
    </row>
    <row r="3326" spans="1:8">
      <c r="A3326" s="812"/>
      <c r="B3326" s="812"/>
      <c r="C3326" s="812"/>
      <c r="D3326" s="812"/>
      <c r="E3326" s="812"/>
      <c r="F3326" s="812"/>
      <c r="G3326" s="812"/>
      <c r="H3326" s="812"/>
    </row>
    <row r="3327" spans="1:8">
      <c r="A3327" s="812"/>
      <c r="B3327" s="812"/>
      <c r="C3327" s="812"/>
      <c r="D3327" s="812"/>
      <c r="E3327" s="812"/>
      <c r="F3327" s="812"/>
      <c r="G3327" s="812"/>
      <c r="H3327" s="812"/>
    </row>
    <row r="3328" spans="1:8">
      <c r="A3328" s="812"/>
      <c r="B3328" s="812"/>
      <c r="C3328" s="812"/>
      <c r="D3328" s="812"/>
      <c r="E3328" s="812"/>
      <c r="F3328" s="812"/>
      <c r="G3328" s="812"/>
      <c r="H3328" s="812"/>
    </row>
    <row r="3329" spans="1:8">
      <c r="A3329" s="812"/>
      <c r="B3329" s="812"/>
      <c r="C3329" s="812"/>
      <c r="D3329" s="812"/>
      <c r="E3329" s="812"/>
      <c r="F3329" s="812"/>
      <c r="G3329" s="812"/>
      <c r="H3329" s="812"/>
    </row>
    <row r="3330" spans="1:8">
      <c r="A3330" s="812"/>
      <c r="B3330" s="812"/>
      <c r="C3330" s="812"/>
      <c r="D3330" s="812"/>
      <c r="E3330" s="812"/>
      <c r="F3330" s="812"/>
      <c r="G3330" s="812"/>
      <c r="H3330" s="812"/>
    </row>
    <row r="3331" spans="1:8">
      <c r="A3331" s="812"/>
      <c r="B3331" s="812"/>
      <c r="C3331" s="812"/>
      <c r="D3331" s="812"/>
      <c r="E3331" s="812"/>
      <c r="F3331" s="812"/>
      <c r="G3331" s="812"/>
      <c r="H3331" s="812"/>
    </row>
    <row r="3332" spans="1:8">
      <c r="A3332" s="812"/>
      <c r="B3332" s="812"/>
      <c r="C3332" s="812"/>
      <c r="D3332" s="812"/>
      <c r="E3332" s="812"/>
      <c r="F3332" s="812"/>
      <c r="G3332" s="812"/>
      <c r="H3332" s="812"/>
    </row>
    <row r="3333" spans="1:8">
      <c r="A3333" s="812"/>
      <c r="B3333" s="812"/>
      <c r="C3333" s="812"/>
      <c r="D3333" s="812"/>
      <c r="E3333" s="812"/>
      <c r="F3333" s="812"/>
      <c r="G3333" s="812"/>
      <c r="H3333" s="812"/>
    </row>
    <row r="3334" spans="1:8">
      <c r="A3334" s="812"/>
      <c r="B3334" s="812"/>
      <c r="C3334" s="812"/>
      <c r="D3334" s="812"/>
      <c r="E3334" s="812"/>
      <c r="F3334" s="812"/>
      <c r="G3334" s="812"/>
      <c r="H3334" s="812"/>
    </row>
    <row r="3335" spans="1:8">
      <c r="A3335" s="812"/>
      <c r="B3335" s="812"/>
      <c r="C3335" s="812"/>
      <c r="D3335" s="812"/>
      <c r="E3335" s="812"/>
      <c r="F3335" s="812"/>
      <c r="G3335" s="812"/>
      <c r="H3335" s="812"/>
    </row>
    <row r="3336" spans="1:8">
      <c r="A3336" s="812"/>
      <c r="B3336" s="812"/>
      <c r="C3336" s="812"/>
      <c r="D3336" s="812"/>
      <c r="E3336" s="812"/>
      <c r="F3336" s="812"/>
      <c r="G3336" s="812"/>
      <c r="H3336" s="812"/>
    </row>
    <row r="3337" spans="1:8">
      <c r="A3337" s="812"/>
      <c r="B3337" s="812"/>
      <c r="C3337" s="812"/>
      <c r="D3337" s="812"/>
      <c r="E3337" s="812"/>
      <c r="F3337" s="812"/>
      <c r="G3337" s="812"/>
      <c r="H3337" s="812"/>
    </row>
    <row r="3338" spans="1:8">
      <c r="A3338" s="812"/>
      <c r="B3338" s="812"/>
      <c r="C3338" s="812"/>
      <c r="D3338" s="812"/>
      <c r="E3338" s="812"/>
      <c r="F3338" s="812"/>
      <c r="G3338" s="812"/>
      <c r="H3338" s="812"/>
    </row>
    <row r="3339" spans="1:8">
      <c r="A3339" s="812"/>
      <c r="B3339" s="812"/>
      <c r="C3339" s="812"/>
      <c r="D3339" s="812"/>
      <c r="E3339" s="812"/>
      <c r="F3339" s="812"/>
      <c r="G3339" s="812"/>
      <c r="H3339" s="812"/>
    </row>
    <row r="3340" spans="1:8">
      <c r="A3340" s="812"/>
      <c r="B3340" s="812"/>
      <c r="C3340" s="812"/>
      <c r="D3340" s="812"/>
      <c r="E3340" s="812"/>
      <c r="F3340" s="812"/>
      <c r="G3340" s="812"/>
      <c r="H3340" s="812"/>
    </row>
    <row r="3341" spans="1:8">
      <c r="A3341" s="812"/>
      <c r="B3341" s="812"/>
      <c r="C3341" s="812"/>
      <c r="D3341" s="812"/>
      <c r="E3341" s="812"/>
      <c r="F3341" s="812"/>
      <c r="G3341" s="812"/>
      <c r="H3341" s="812"/>
    </row>
    <row r="3342" spans="1:8">
      <c r="A3342" s="812"/>
      <c r="B3342" s="812"/>
      <c r="C3342" s="812"/>
      <c r="D3342" s="812"/>
      <c r="E3342" s="812"/>
      <c r="F3342" s="812"/>
      <c r="G3342" s="812"/>
      <c r="H3342" s="812"/>
    </row>
    <row r="3343" spans="1:8">
      <c r="A3343" s="812"/>
      <c r="B3343" s="812"/>
      <c r="C3343" s="812"/>
      <c r="D3343" s="812"/>
      <c r="E3343" s="812"/>
      <c r="F3343" s="812"/>
      <c r="G3343" s="812"/>
      <c r="H3343" s="812"/>
    </row>
    <row r="3344" spans="1:8">
      <c r="A3344" s="812"/>
      <c r="B3344" s="812"/>
      <c r="C3344" s="812"/>
      <c r="D3344" s="812"/>
      <c r="E3344" s="812"/>
      <c r="F3344" s="812"/>
      <c r="G3344" s="812"/>
      <c r="H3344" s="812"/>
    </row>
    <row r="3345" spans="1:8">
      <c r="A3345" s="812"/>
      <c r="B3345" s="812"/>
      <c r="C3345" s="812"/>
      <c r="D3345" s="812"/>
      <c r="E3345" s="812"/>
      <c r="F3345" s="812"/>
      <c r="G3345" s="812"/>
      <c r="H3345" s="812"/>
    </row>
    <row r="3346" spans="1:8">
      <c r="A3346" s="812"/>
      <c r="B3346" s="812"/>
      <c r="C3346" s="812"/>
      <c r="D3346" s="812"/>
      <c r="E3346" s="812"/>
      <c r="F3346" s="812"/>
      <c r="G3346" s="812"/>
      <c r="H3346" s="812"/>
    </row>
    <row r="3347" spans="1:8">
      <c r="A3347" s="812"/>
      <c r="B3347" s="812"/>
      <c r="C3347" s="812"/>
      <c r="D3347" s="812"/>
      <c r="E3347" s="812"/>
      <c r="F3347" s="812"/>
      <c r="G3347" s="812"/>
      <c r="H3347" s="812"/>
    </row>
    <row r="3348" spans="1:8">
      <c r="A3348" s="812"/>
      <c r="B3348" s="812"/>
      <c r="C3348" s="812"/>
      <c r="D3348" s="812"/>
      <c r="E3348" s="812"/>
      <c r="F3348" s="812"/>
      <c r="G3348" s="812"/>
      <c r="H3348" s="812"/>
    </row>
    <row r="3349" spans="1:8">
      <c r="A3349" s="812"/>
      <c r="B3349" s="812"/>
      <c r="C3349" s="812"/>
      <c r="D3349" s="812"/>
      <c r="E3349" s="812"/>
      <c r="F3349" s="812"/>
      <c r="G3349" s="812"/>
      <c r="H3349" s="812"/>
    </row>
    <row r="3350" spans="1:8">
      <c r="A3350" s="812"/>
      <c r="B3350" s="812"/>
      <c r="C3350" s="812"/>
      <c r="D3350" s="812"/>
      <c r="E3350" s="812"/>
      <c r="F3350" s="812"/>
      <c r="G3350" s="812"/>
      <c r="H3350" s="812"/>
    </row>
    <row r="3351" spans="1:8">
      <c r="A3351" s="812"/>
      <c r="B3351" s="812"/>
      <c r="C3351" s="812"/>
      <c r="D3351" s="812"/>
      <c r="E3351" s="812"/>
      <c r="F3351" s="812"/>
      <c r="G3351" s="812"/>
      <c r="H3351" s="812"/>
    </row>
    <row r="3352" spans="1:8">
      <c r="A3352" s="812"/>
      <c r="B3352" s="812"/>
      <c r="C3352" s="812"/>
      <c r="D3352" s="812"/>
      <c r="E3352" s="812"/>
      <c r="F3352" s="812"/>
      <c r="G3352" s="812"/>
      <c r="H3352" s="812"/>
    </row>
    <row r="3353" spans="1:8">
      <c r="A3353" s="812"/>
      <c r="B3353" s="812"/>
      <c r="C3353" s="812"/>
      <c r="D3353" s="812"/>
      <c r="E3353" s="812"/>
      <c r="F3353" s="812"/>
      <c r="G3353" s="812"/>
      <c r="H3353" s="812"/>
    </row>
    <row r="3354" spans="1:8">
      <c r="A3354" s="812"/>
      <c r="B3354" s="812"/>
      <c r="C3354" s="812"/>
      <c r="D3354" s="812"/>
      <c r="E3354" s="812"/>
      <c r="F3354" s="812"/>
      <c r="G3354" s="812"/>
      <c r="H3354" s="812"/>
    </row>
    <row r="3355" spans="1:8">
      <c r="A3355" s="812"/>
      <c r="B3355" s="812"/>
      <c r="C3355" s="812"/>
      <c r="D3355" s="812"/>
      <c r="E3355" s="812"/>
      <c r="F3355" s="812"/>
      <c r="G3355" s="812"/>
      <c r="H3355" s="812"/>
    </row>
    <row r="3356" spans="1:8">
      <c r="A3356" s="812"/>
      <c r="B3356" s="812"/>
      <c r="C3356" s="812"/>
      <c r="D3356" s="812"/>
      <c r="E3356" s="812"/>
      <c r="F3356" s="812"/>
      <c r="G3356" s="812"/>
      <c r="H3356" s="812"/>
    </row>
    <row r="3357" spans="1:8">
      <c r="A3357" s="812"/>
      <c r="B3357" s="812"/>
      <c r="C3357" s="812"/>
      <c r="D3357" s="812"/>
      <c r="E3357" s="812"/>
      <c r="F3357" s="812"/>
      <c r="G3357" s="812"/>
      <c r="H3357" s="812"/>
    </row>
    <row r="3358" spans="1:8">
      <c r="A3358" s="812"/>
      <c r="B3358" s="812"/>
      <c r="C3358" s="812"/>
      <c r="D3358" s="812"/>
      <c r="E3358" s="812"/>
      <c r="F3358" s="812"/>
      <c r="G3358" s="812"/>
      <c r="H3358" s="812"/>
    </row>
    <row r="3359" spans="1:8">
      <c r="A3359" s="812"/>
      <c r="B3359" s="812"/>
      <c r="C3359" s="812"/>
      <c r="D3359" s="812"/>
      <c r="E3359" s="812"/>
      <c r="F3359" s="812"/>
      <c r="G3359" s="812"/>
      <c r="H3359" s="812"/>
    </row>
    <row r="3360" spans="1:8">
      <c r="A3360" s="812"/>
      <c r="B3360" s="812"/>
      <c r="C3360" s="812"/>
      <c r="D3360" s="812"/>
      <c r="E3360" s="812"/>
      <c r="F3360" s="812"/>
      <c r="G3360" s="812"/>
      <c r="H3360" s="812"/>
    </row>
    <row r="3361" spans="1:8">
      <c r="A3361" s="812"/>
      <c r="B3361" s="812"/>
      <c r="C3361" s="812"/>
      <c r="D3361" s="812"/>
      <c r="E3361" s="812"/>
      <c r="F3361" s="812"/>
      <c r="G3361" s="812"/>
      <c r="H3361" s="812"/>
    </row>
    <row r="3362" spans="1:8">
      <c r="A3362" s="812"/>
      <c r="B3362" s="812"/>
      <c r="C3362" s="812"/>
      <c r="D3362" s="812"/>
      <c r="E3362" s="812"/>
      <c r="F3362" s="812"/>
      <c r="G3362" s="812"/>
      <c r="H3362" s="812"/>
    </row>
    <row r="3363" spans="1:8">
      <c r="A3363" s="812"/>
      <c r="B3363" s="812"/>
      <c r="C3363" s="812"/>
      <c r="D3363" s="812"/>
      <c r="E3363" s="812"/>
      <c r="F3363" s="812"/>
      <c r="G3363" s="812"/>
      <c r="H3363" s="812"/>
    </row>
    <row r="3364" spans="1:8">
      <c r="A3364" s="812"/>
      <c r="B3364" s="812"/>
      <c r="C3364" s="812"/>
      <c r="D3364" s="812"/>
      <c r="E3364" s="812"/>
      <c r="F3364" s="812"/>
      <c r="G3364" s="812"/>
      <c r="H3364" s="812"/>
    </row>
    <row r="3365" spans="1:8">
      <c r="A3365" s="812"/>
      <c r="B3365" s="812"/>
      <c r="C3365" s="812"/>
      <c r="D3365" s="812"/>
      <c r="E3365" s="812"/>
      <c r="F3365" s="812"/>
      <c r="G3365" s="812"/>
      <c r="H3365" s="812"/>
    </row>
    <row r="3366" spans="1:8">
      <c r="A3366" s="812"/>
      <c r="B3366" s="812"/>
      <c r="C3366" s="812"/>
      <c r="D3366" s="812"/>
      <c r="E3366" s="812"/>
      <c r="F3366" s="812"/>
      <c r="G3366" s="812"/>
      <c r="H3366" s="812"/>
    </row>
    <row r="3367" spans="1:8">
      <c r="A3367" s="812"/>
      <c r="B3367" s="812"/>
      <c r="C3367" s="812"/>
      <c r="D3367" s="812"/>
      <c r="E3367" s="812"/>
      <c r="F3367" s="812"/>
      <c r="G3367" s="812"/>
      <c r="H3367" s="812"/>
    </row>
    <row r="3368" spans="1:8">
      <c r="A3368" s="812"/>
      <c r="B3368" s="812"/>
      <c r="C3368" s="812"/>
      <c r="D3368" s="812"/>
      <c r="E3368" s="812"/>
      <c r="F3368" s="812"/>
      <c r="G3368" s="812"/>
      <c r="H3368" s="812"/>
    </row>
    <row r="3369" spans="1:8">
      <c r="A3369" s="812"/>
      <c r="B3369" s="812"/>
      <c r="C3369" s="812"/>
      <c r="D3369" s="812"/>
      <c r="E3369" s="812"/>
      <c r="F3369" s="812"/>
      <c r="G3369" s="812"/>
      <c r="H3369" s="812"/>
    </row>
    <row r="3370" spans="1:8">
      <c r="A3370" s="812"/>
      <c r="B3370" s="812"/>
      <c r="C3370" s="812"/>
      <c r="D3370" s="812"/>
      <c r="E3370" s="812"/>
      <c r="F3370" s="812"/>
      <c r="G3370" s="812"/>
      <c r="H3370" s="812"/>
    </row>
    <row r="3371" spans="1:8">
      <c r="A3371" s="812"/>
      <c r="B3371" s="812"/>
      <c r="C3371" s="812"/>
      <c r="D3371" s="812"/>
      <c r="E3371" s="812"/>
      <c r="F3371" s="812"/>
      <c r="G3371" s="812"/>
      <c r="H3371" s="812"/>
    </row>
    <row r="3372" spans="1:8">
      <c r="A3372" s="812"/>
      <c r="B3372" s="812"/>
      <c r="C3372" s="812"/>
      <c r="D3372" s="812"/>
      <c r="E3372" s="812"/>
      <c r="F3372" s="812"/>
      <c r="G3372" s="812"/>
      <c r="H3372" s="812"/>
    </row>
    <row r="3373" spans="1:8">
      <c r="A3373" s="812"/>
      <c r="B3373" s="812"/>
      <c r="C3373" s="812"/>
      <c r="D3373" s="812"/>
      <c r="E3373" s="812"/>
      <c r="F3373" s="812"/>
      <c r="G3373" s="812"/>
      <c r="H3373" s="812"/>
    </row>
    <row r="3374" spans="1:8">
      <c r="A3374" s="812"/>
      <c r="B3374" s="812"/>
      <c r="C3374" s="812"/>
      <c r="D3374" s="812"/>
      <c r="E3374" s="812"/>
      <c r="F3374" s="812"/>
      <c r="G3374" s="812"/>
      <c r="H3374" s="812"/>
    </row>
    <row r="3375" spans="1:8">
      <c r="A3375" s="812"/>
      <c r="B3375" s="812"/>
      <c r="C3375" s="812"/>
      <c r="D3375" s="812"/>
      <c r="E3375" s="812"/>
      <c r="F3375" s="812"/>
      <c r="G3375" s="812"/>
      <c r="H3375" s="812"/>
    </row>
    <row r="3376" spans="1:8">
      <c r="A3376" s="812"/>
      <c r="B3376" s="812"/>
      <c r="C3376" s="812"/>
      <c r="D3376" s="812"/>
      <c r="E3376" s="812"/>
      <c r="F3376" s="812"/>
      <c r="G3376" s="812"/>
      <c r="H3376" s="812"/>
    </row>
    <row r="3377" spans="1:8">
      <c r="A3377" s="812"/>
      <c r="B3377" s="812"/>
      <c r="C3377" s="812"/>
      <c r="D3377" s="812"/>
      <c r="E3377" s="812"/>
      <c r="F3377" s="812"/>
      <c r="G3377" s="812"/>
      <c r="H3377" s="812"/>
    </row>
    <row r="3378" spans="1:8">
      <c r="A3378" s="812"/>
      <c r="B3378" s="812"/>
      <c r="C3378" s="812"/>
      <c r="D3378" s="812"/>
      <c r="E3378" s="812"/>
      <c r="F3378" s="812"/>
      <c r="G3378" s="812"/>
      <c r="H3378" s="812"/>
    </row>
    <row r="3379" spans="1:8">
      <c r="A3379" s="812"/>
      <c r="B3379" s="812"/>
      <c r="C3379" s="812"/>
      <c r="D3379" s="812"/>
      <c r="E3379" s="812"/>
      <c r="F3379" s="812"/>
      <c r="G3379" s="812"/>
      <c r="H3379" s="812"/>
    </row>
    <row r="3380" spans="1:8">
      <c r="A3380" s="812"/>
      <c r="B3380" s="812"/>
      <c r="C3380" s="812"/>
      <c r="D3380" s="812"/>
      <c r="E3380" s="812"/>
      <c r="F3380" s="812"/>
      <c r="G3380" s="812"/>
      <c r="H3380" s="812"/>
    </row>
    <row r="3381" spans="1:8">
      <c r="A3381" s="812"/>
      <c r="B3381" s="812"/>
      <c r="C3381" s="812"/>
      <c r="D3381" s="812"/>
      <c r="E3381" s="812"/>
      <c r="F3381" s="812"/>
      <c r="G3381" s="812"/>
      <c r="H3381" s="812"/>
    </row>
    <row r="3382" spans="1:8">
      <c r="A3382" s="812"/>
      <c r="B3382" s="812"/>
      <c r="C3382" s="812"/>
      <c r="D3382" s="812"/>
      <c r="E3382" s="812"/>
      <c r="F3382" s="812"/>
      <c r="G3382" s="812"/>
      <c r="H3382" s="812"/>
    </row>
    <row r="3383" spans="1:8">
      <c r="A3383" s="812"/>
      <c r="B3383" s="812"/>
      <c r="C3383" s="812"/>
      <c r="D3383" s="812"/>
      <c r="E3383" s="812"/>
      <c r="F3383" s="812"/>
      <c r="G3383" s="812"/>
      <c r="H3383" s="812"/>
    </row>
    <row r="3384" spans="1:8">
      <c r="A3384" s="812"/>
      <c r="B3384" s="812"/>
      <c r="C3384" s="812"/>
      <c r="D3384" s="812"/>
      <c r="E3384" s="812"/>
      <c r="F3384" s="812"/>
      <c r="G3384" s="812"/>
      <c r="H3384" s="812"/>
    </row>
    <row r="3385" spans="1:8">
      <c r="A3385" s="812"/>
      <c r="B3385" s="812"/>
      <c r="C3385" s="812"/>
      <c r="D3385" s="812"/>
      <c r="E3385" s="812"/>
      <c r="F3385" s="812"/>
      <c r="G3385" s="812"/>
      <c r="H3385" s="812"/>
    </row>
    <row r="3386" spans="1:8">
      <c r="A3386" s="812"/>
      <c r="B3386" s="812"/>
      <c r="C3386" s="812"/>
      <c r="D3386" s="812"/>
      <c r="E3386" s="812"/>
      <c r="F3386" s="812"/>
      <c r="G3386" s="812"/>
      <c r="H3386" s="812"/>
    </row>
    <row r="3387" spans="1:8">
      <c r="A3387" s="812"/>
      <c r="B3387" s="812"/>
      <c r="C3387" s="812"/>
      <c r="D3387" s="812"/>
      <c r="E3387" s="812"/>
      <c r="F3387" s="812"/>
      <c r="G3387" s="812"/>
      <c r="H3387" s="812"/>
    </row>
    <row r="3388" spans="1:8">
      <c r="A3388" s="812"/>
      <c r="B3388" s="812"/>
      <c r="C3388" s="812"/>
      <c r="D3388" s="812"/>
      <c r="E3388" s="812"/>
      <c r="F3388" s="812"/>
      <c r="G3388" s="812"/>
      <c r="H3388" s="812"/>
    </row>
    <row r="3389" spans="1:8">
      <c r="A3389" s="812"/>
      <c r="B3389" s="812"/>
      <c r="C3389" s="812"/>
      <c r="D3389" s="812"/>
      <c r="E3389" s="812"/>
      <c r="F3389" s="812"/>
      <c r="G3389" s="812"/>
      <c r="H3389" s="812"/>
    </row>
    <row r="3390" spans="1:8">
      <c r="A3390" s="812"/>
      <c r="B3390" s="812"/>
      <c r="C3390" s="812"/>
      <c r="D3390" s="812"/>
      <c r="E3390" s="812"/>
      <c r="F3390" s="812"/>
      <c r="G3390" s="812"/>
      <c r="H3390" s="812"/>
    </row>
    <row r="3391" spans="1:8">
      <c r="A3391" s="812"/>
      <c r="B3391" s="812"/>
      <c r="C3391" s="812"/>
      <c r="D3391" s="812"/>
      <c r="E3391" s="812"/>
      <c r="F3391" s="812"/>
      <c r="G3391" s="812"/>
      <c r="H3391" s="812"/>
    </row>
    <row r="3392" spans="1:8">
      <c r="A3392" s="812"/>
      <c r="B3392" s="812"/>
      <c r="C3392" s="812"/>
      <c r="D3392" s="812"/>
      <c r="E3392" s="812"/>
      <c r="F3392" s="812"/>
      <c r="G3392" s="812"/>
      <c r="H3392" s="812"/>
    </row>
    <row r="3393" spans="1:8">
      <c r="A3393" s="812"/>
      <c r="B3393" s="812"/>
      <c r="C3393" s="812"/>
      <c r="D3393" s="812"/>
      <c r="E3393" s="812"/>
      <c r="F3393" s="812"/>
      <c r="G3393" s="812"/>
      <c r="H3393" s="812"/>
    </row>
    <row r="3394" spans="1:8">
      <c r="A3394" s="812"/>
      <c r="B3394" s="812"/>
      <c r="C3394" s="812"/>
      <c r="D3394" s="812"/>
      <c r="E3394" s="812"/>
      <c r="F3394" s="812"/>
      <c r="G3394" s="812"/>
      <c r="H3394" s="812"/>
    </row>
    <row r="3395" spans="1:8">
      <c r="A3395" s="812"/>
      <c r="B3395" s="812"/>
      <c r="C3395" s="812"/>
      <c r="D3395" s="812"/>
      <c r="E3395" s="812"/>
      <c r="F3395" s="812"/>
      <c r="G3395" s="812"/>
      <c r="H3395" s="812"/>
    </row>
    <row r="3396" spans="1:8">
      <c r="A3396" s="812"/>
      <c r="B3396" s="812"/>
      <c r="C3396" s="812"/>
      <c r="D3396" s="812"/>
      <c r="E3396" s="812"/>
      <c r="F3396" s="812"/>
      <c r="G3396" s="812"/>
      <c r="H3396" s="812"/>
    </row>
    <row r="3397" spans="1:8">
      <c r="A3397" s="812"/>
      <c r="B3397" s="812"/>
      <c r="C3397" s="812"/>
      <c r="D3397" s="812"/>
      <c r="E3397" s="812"/>
      <c r="F3397" s="812"/>
      <c r="G3397" s="812"/>
      <c r="H3397" s="812"/>
    </row>
    <row r="3398" spans="1:8">
      <c r="A3398" s="812"/>
      <c r="B3398" s="812"/>
      <c r="C3398" s="812"/>
      <c r="D3398" s="812"/>
      <c r="E3398" s="812"/>
      <c r="F3398" s="812"/>
      <c r="G3398" s="812"/>
      <c r="H3398" s="812"/>
    </row>
    <row r="3399" spans="1:8">
      <c r="A3399" s="812"/>
      <c r="B3399" s="812"/>
      <c r="C3399" s="812"/>
      <c r="D3399" s="812"/>
      <c r="E3399" s="812"/>
      <c r="F3399" s="812"/>
      <c r="G3399" s="812"/>
      <c r="H3399" s="812"/>
    </row>
    <row r="3400" spans="1:8">
      <c r="A3400" s="812"/>
      <c r="B3400" s="812"/>
      <c r="C3400" s="812"/>
      <c r="D3400" s="812"/>
      <c r="E3400" s="812"/>
      <c r="F3400" s="812"/>
      <c r="G3400" s="812"/>
      <c r="H3400" s="812"/>
    </row>
    <row r="3401" spans="1:8">
      <c r="A3401" s="812"/>
      <c r="B3401" s="812"/>
      <c r="C3401" s="812"/>
      <c r="D3401" s="812"/>
      <c r="E3401" s="812"/>
      <c r="F3401" s="812"/>
      <c r="G3401" s="812"/>
      <c r="H3401" s="812"/>
    </row>
    <row r="3402" spans="1:8">
      <c r="A3402" s="812"/>
      <c r="B3402" s="812"/>
      <c r="C3402" s="812"/>
      <c r="D3402" s="812"/>
      <c r="E3402" s="812"/>
      <c r="F3402" s="812"/>
      <c r="G3402" s="812"/>
      <c r="H3402" s="812"/>
    </row>
    <row r="3403" spans="1:8">
      <c r="A3403" s="812"/>
      <c r="B3403" s="812"/>
      <c r="C3403" s="812"/>
      <c r="D3403" s="812"/>
      <c r="E3403" s="812"/>
      <c r="F3403" s="812"/>
      <c r="G3403" s="812"/>
      <c r="H3403" s="812"/>
    </row>
    <row r="3404" spans="1:8">
      <c r="A3404" s="812"/>
      <c r="B3404" s="812"/>
      <c r="C3404" s="812"/>
      <c r="D3404" s="812"/>
      <c r="E3404" s="812"/>
      <c r="F3404" s="812"/>
      <c r="G3404" s="812"/>
      <c r="H3404" s="812"/>
    </row>
    <row r="3405" spans="1:8">
      <c r="A3405" s="812"/>
      <c r="B3405" s="812"/>
      <c r="C3405" s="812"/>
      <c r="D3405" s="812"/>
      <c r="E3405" s="812"/>
      <c r="F3405" s="812"/>
      <c r="G3405" s="812"/>
      <c r="H3405" s="812"/>
    </row>
    <row r="3406" spans="1:8">
      <c r="A3406" s="812"/>
      <c r="B3406" s="812"/>
      <c r="C3406" s="812"/>
      <c r="D3406" s="812"/>
      <c r="E3406" s="812"/>
      <c r="F3406" s="812"/>
      <c r="G3406" s="812"/>
      <c r="H3406" s="812"/>
    </row>
    <row r="3407" spans="1:8">
      <c r="A3407" s="812"/>
      <c r="B3407" s="812"/>
      <c r="C3407" s="812"/>
      <c r="D3407" s="812"/>
      <c r="E3407" s="812"/>
      <c r="F3407" s="812"/>
      <c r="G3407" s="812"/>
      <c r="H3407" s="812"/>
    </row>
    <row r="3408" spans="1:8">
      <c r="A3408" s="812"/>
      <c r="B3408" s="812"/>
      <c r="C3408" s="812"/>
      <c r="D3408" s="812"/>
      <c r="E3408" s="812"/>
      <c r="F3408" s="812"/>
      <c r="G3408" s="812"/>
      <c r="H3408" s="812"/>
    </row>
    <row r="3409" spans="1:8">
      <c r="A3409" s="812"/>
      <c r="B3409" s="812"/>
      <c r="C3409" s="812"/>
      <c r="D3409" s="812"/>
      <c r="E3409" s="812"/>
      <c r="F3409" s="812"/>
      <c r="G3409" s="812"/>
      <c r="H3409" s="812"/>
    </row>
    <row r="3410" spans="1:8">
      <c r="A3410" s="812"/>
      <c r="B3410" s="812"/>
      <c r="C3410" s="812"/>
      <c r="D3410" s="812"/>
      <c r="E3410" s="812"/>
      <c r="F3410" s="812"/>
      <c r="G3410" s="812"/>
      <c r="H3410" s="812"/>
    </row>
    <row r="3411" spans="1:8">
      <c r="A3411" s="812"/>
      <c r="B3411" s="812"/>
      <c r="C3411" s="812"/>
      <c r="D3411" s="812"/>
      <c r="E3411" s="812"/>
      <c r="F3411" s="812"/>
      <c r="G3411" s="812"/>
      <c r="H3411" s="812"/>
    </row>
    <row r="3412" spans="1:8">
      <c r="A3412" s="812"/>
      <c r="B3412" s="812"/>
      <c r="C3412" s="812"/>
      <c r="D3412" s="812"/>
      <c r="E3412" s="812"/>
      <c r="F3412" s="812"/>
      <c r="G3412" s="812"/>
      <c r="H3412" s="812"/>
    </row>
    <row r="3413" spans="1:8">
      <c r="A3413" s="812"/>
      <c r="B3413" s="812"/>
      <c r="C3413" s="812"/>
      <c r="D3413" s="812"/>
      <c r="E3413" s="812"/>
      <c r="F3413" s="812"/>
      <c r="G3413" s="812"/>
      <c r="H3413" s="812"/>
    </row>
    <row r="3414" spans="1:8">
      <c r="A3414" s="812"/>
      <c r="B3414" s="812"/>
      <c r="C3414" s="812"/>
      <c r="D3414" s="812"/>
      <c r="E3414" s="812"/>
      <c r="F3414" s="812"/>
      <c r="G3414" s="812"/>
      <c r="H3414" s="812"/>
    </row>
    <row r="3415" spans="1:8">
      <c r="A3415" s="812"/>
      <c r="B3415" s="812"/>
      <c r="C3415" s="812"/>
      <c r="D3415" s="812"/>
      <c r="E3415" s="812"/>
      <c r="F3415" s="812"/>
      <c r="G3415" s="812"/>
      <c r="H3415" s="812"/>
    </row>
    <row r="3416" spans="1:8">
      <c r="A3416" s="812"/>
      <c r="B3416" s="812"/>
      <c r="C3416" s="812"/>
      <c r="D3416" s="812"/>
      <c r="E3416" s="812"/>
      <c r="F3416" s="812"/>
      <c r="G3416" s="812"/>
      <c r="H3416" s="812"/>
    </row>
    <row r="3417" spans="1:8">
      <c r="A3417" s="812"/>
      <c r="B3417" s="812"/>
      <c r="C3417" s="812"/>
      <c r="D3417" s="812"/>
      <c r="E3417" s="812"/>
      <c r="F3417" s="812"/>
      <c r="G3417" s="812"/>
      <c r="H3417" s="812"/>
    </row>
    <row r="3418" spans="1:8">
      <c r="A3418" s="812"/>
      <c r="B3418" s="812"/>
      <c r="C3418" s="812"/>
      <c r="D3418" s="812"/>
      <c r="E3418" s="812"/>
      <c r="F3418" s="812"/>
      <c r="G3418" s="812"/>
      <c r="H3418" s="812"/>
    </row>
    <row r="3419" spans="1:8">
      <c r="A3419" s="812"/>
      <c r="B3419" s="812"/>
      <c r="C3419" s="812"/>
      <c r="D3419" s="812"/>
      <c r="E3419" s="812"/>
      <c r="F3419" s="812"/>
      <c r="G3419" s="812"/>
      <c r="H3419" s="812"/>
    </row>
    <row r="3420" spans="1:8">
      <c r="A3420" s="812"/>
      <c r="B3420" s="812"/>
      <c r="C3420" s="812"/>
      <c r="D3420" s="812"/>
      <c r="E3420" s="812"/>
      <c r="F3420" s="812"/>
      <c r="G3420" s="812"/>
      <c r="H3420" s="812"/>
    </row>
    <row r="3421" spans="1:8">
      <c r="A3421" s="812"/>
      <c r="B3421" s="812"/>
      <c r="C3421" s="812"/>
      <c r="D3421" s="812"/>
      <c r="E3421" s="812"/>
      <c r="F3421" s="812"/>
      <c r="G3421" s="812"/>
      <c r="H3421" s="812"/>
    </row>
    <row r="3422" spans="1:8">
      <c r="A3422" s="812"/>
      <c r="B3422" s="812"/>
      <c r="C3422" s="812"/>
      <c r="D3422" s="812"/>
      <c r="E3422" s="812"/>
      <c r="F3422" s="812"/>
      <c r="G3422" s="812"/>
      <c r="H3422" s="812"/>
    </row>
    <row r="3423" spans="1:8">
      <c r="A3423" s="812"/>
      <c r="B3423" s="812"/>
      <c r="C3423" s="812"/>
      <c r="D3423" s="812"/>
      <c r="E3423" s="812"/>
      <c r="F3423" s="812"/>
      <c r="G3423" s="812"/>
      <c r="H3423" s="812"/>
    </row>
    <row r="3424" spans="1:8">
      <c r="A3424" s="812"/>
      <c r="B3424" s="812"/>
      <c r="C3424" s="812"/>
      <c r="D3424" s="812"/>
      <c r="E3424" s="812"/>
      <c r="F3424" s="812"/>
      <c r="G3424" s="812"/>
      <c r="H3424" s="812"/>
    </row>
    <row r="3425" spans="1:8">
      <c r="A3425" s="812"/>
      <c r="B3425" s="812"/>
      <c r="C3425" s="812"/>
      <c r="D3425" s="812"/>
      <c r="E3425" s="812"/>
      <c r="F3425" s="812"/>
      <c r="G3425" s="812"/>
      <c r="H3425" s="812"/>
    </row>
    <row r="3426" spans="1:8">
      <c r="A3426" s="812"/>
      <c r="B3426" s="812"/>
      <c r="C3426" s="812"/>
      <c r="D3426" s="812"/>
      <c r="E3426" s="812"/>
      <c r="F3426" s="812"/>
      <c r="G3426" s="812"/>
      <c r="H3426" s="812"/>
    </row>
    <row r="3427" spans="1:8">
      <c r="A3427" s="812"/>
      <c r="B3427" s="812"/>
      <c r="C3427" s="812"/>
      <c r="D3427" s="812"/>
      <c r="E3427" s="812"/>
      <c r="F3427" s="812"/>
      <c r="G3427" s="812"/>
      <c r="H3427" s="812"/>
    </row>
    <row r="3428" spans="1:8">
      <c r="A3428" s="812"/>
      <c r="B3428" s="812"/>
      <c r="C3428" s="812"/>
      <c r="D3428" s="812"/>
      <c r="E3428" s="812"/>
      <c r="F3428" s="812"/>
      <c r="G3428" s="812"/>
      <c r="H3428" s="812"/>
    </row>
    <row r="3429" spans="1:8">
      <c r="A3429" s="812"/>
      <c r="B3429" s="812"/>
      <c r="C3429" s="812"/>
      <c r="D3429" s="812"/>
      <c r="E3429" s="812"/>
      <c r="F3429" s="812"/>
      <c r="G3429" s="812"/>
      <c r="H3429" s="812"/>
    </row>
    <row r="3430" spans="1:8">
      <c r="A3430" s="812"/>
      <c r="B3430" s="812"/>
      <c r="C3430" s="812"/>
      <c r="D3430" s="812"/>
      <c r="E3430" s="812"/>
      <c r="F3430" s="812"/>
      <c r="G3430" s="812"/>
      <c r="H3430" s="812"/>
    </row>
    <row r="3431" spans="1:8">
      <c r="A3431" s="812"/>
      <c r="B3431" s="812"/>
      <c r="C3431" s="812"/>
      <c r="D3431" s="812"/>
      <c r="E3431" s="812"/>
      <c r="F3431" s="812"/>
      <c r="G3431" s="812"/>
      <c r="H3431" s="812"/>
    </row>
    <row r="3432" spans="1:8">
      <c r="A3432" s="812"/>
      <c r="B3432" s="812"/>
      <c r="C3432" s="812"/>
      <c r="D3432" s="812"/>
      <c r="E3432" s="812"/>
      <c r="F3432" s="812"/>
      <c r="G3432" s="812"/>
      <c r="H3432" s="812"/>
    </row>
    <row r="3433" spans="1:8">
      <c r="A3433" s="812"/>
      <c r="B3433" s="812"/>
      <c r="C3433" s="812"/>
      <c r="D3433" s="812"/>
      <c r="E3433" s="812"/>
      <c r="F3433" s="812"/>
      <c r="G3433" s="812"/>
      <c r="H3433" s="812"/>
    </row>
    <row r="3434" spans="1:8">
      <c r="A3434" s="812"/>
      <c r="B3434" s="812"/>
      <c r="C3434" s="812"/>
      <c r="D3434" s="812"/>
      <c r="E3434" s="812"/>
      <c r="F3434" s="812"/>
      <c r="G3434" s="812"/>
      <c r="H3434" s="812"/>
    </row>
    <row r="3435" spans="1:8">
      <c r="A3435" s="812"/>
      <c r="B3435" s="812"/>
      <c r="C3435" s="812"/>
      <c r="D3435" s="812"/>
      <c r="E3435" s="812"/>
      <c r="F3435" s="812"/>
      <c r="G3435" s="812"/>
      <c r="H3435" s="812"/>
    </row>
    <row r="3436" spans="1:8">
      <c r="A3436" s="812"/>
      <c r="B3436" s="812"/>
      <c r="C3436" s="812"/>
      <c r="D3436" s="812"/>
      <c r="E3436" s="812"/>
      <c r="F3436" s="812"/>
      <c r="G3436" s="812"/>
      <c r="H3436" s="812"/>
    </row>
    <row r="3437" spans="1:8">
      <c r="A3437" s="812"/>
      <c r="B3437" s="812"/>
      <c r="C3437" s="812"/>
      <c r="D3437" s="812"/>
      <c r="E3437" s="812"/>
      <c r="F3437" s="812"/>
      <c r="G3437" s="812"/>
      <c r="H3437" s="812"/>
    </row>
    <row r="3438" spans="1:8">
      <c r="A3438" s="812"/>
      <c r="B3438" s="812"/>
      <c r="C3438" s="812"/>
      <c r="D3438" s="812"/>
      <c r="E3438" s="812"/>
      <c r="F3438" s="812"/>
      <c r="G3438" s="812"/>
      <c r="H3438" s="812"/>
    </row>
    <row r="3439" spans="1:8">
      <c r="A3439" s="812"/>
      <c r="B3439" s="812"/>
      <c r="C3439" s="812"/>
      <c r="D3439" s="812"/>
      <c r="E3439" s="812"/>
      <c r="F3439" s="812"/>
      <c r="G3439" s="812"/>
      <c r="H3439" s="812"/>
    </row>
    <row r="3440" spans="1:8">
      <c r="A3440" s="812"/>
      <c r="B3440" s="812"/>
      <c r="C3440" s="812"/>
      <c r="D3440" s="812"/>
      <c r="E3440" s="812"/>
      <c r="F3440" s="812"/>
      <c r="G3440" s="812"/>
      <c r="H3440" s="812"/>
    </row>
    <row r="3441" spans="1:8">
      <c r="A3441" s="812"/>
      <c r="B3441" s="812"/>
      <c r="C3441" s="812"/>
      <c r="D3441" s="812"/>
      <c r="E3441" s="812"/>
      <c r="F3441" s="812"/>
      <c r="G3441" s="812"/>
      <c r="H3441" s="812"/>
    </row>
    <row r="3442" spans="1:8">
      <c r="A3442" s="812"/>
      <c r="B3442" s="812"/>
      <c r="C3442" s="812"/>
      <c r="D3442" s="812"/>
      <c r="E3442" s="812"/>
      <c r="F3442" s="812"/>
      <c r="G3442" s="812"/>
      <c r="H3442" s="812"/>
    </row>
    <row r="3443" spans="1:8">
      <c r="A3443" s="812"/>
      <c r="B3443" s="812"/>
      <c r="C3443" s="812"/>
      <c r="D3443" s="812"/>
      <c r="E3443" s="812"/>
      <c r="F3443" s="812"/>
      <c r="G3443" s="812"/>
      <c r="H3443" s="812"/>
    </row>
    <row r="3444" spans="1:8">
      <c r="A3444" s="812"/>
      <c r="B3444" s="812"/>
      <c r="C3444" s="812"/>
      <c r="D3444" s="812"/>
      <c r="E3444" s="812"/>
      <c r="F3444" s="812"/>
      <c r="G3444" s="812"/>
      <c r="H3444" s="812"/>
    </row>
    <row r="3445" spans="1:8">
      <c r="A3445" s="812"/>
      <c r="B3445" s="812"/>
      <c r="C3445" s="812"/>
      <c r="D3445" s="812"/>
      <c r="E3445" s="812"/>
      <c r="F3445" s="812"/>
      <c r="G3445" s="812"/>
      <c r="H3445" s="812"/>
    </row>
    <row r="3446" spans="1:8">
      <c r="A3446" s="812"/>
      <c r="B3446" s="812"/>
      <c r="C3446" s="812"/>
      <c r="D3446" s="812"/>
      <c r="E3446" s="812"/>
      <c r="F3446" s="812"/>
      <c r="G3446" s="812"/>
      <c r="H3446" s="812"/>
    </row>
    <row r="3447" spans="1:8">
      <c r="A3447" s="812"/>
      <c r="B3447" s="812"/>
      <c r="C3447" s="812"/>
      <c r="D3447" s="812"/>
      <c r="E3447" s="812"/>
      <c r="F3447" s="812"/>
      <c r="G3447" s="812"/>
      <c r="H3447" s="812"/>
    </row>
    <row r="3448" spans="1:8">
      <c r="A3448" s="812"/>
      <c r="B3448" s="812"/>
      <c r="C3448" s="812"/>
      <c r="D3448" s="812"/>
      <c r="E3448" s="812"/>
      <c r="F3448" s="812"/>
      <c r="G3448" s="812"/>
      <c r="H3448" s="812"/>
    </row>
    <row r="3449" spans="1:8">
      <c r="A3449" s="812"/>
      <c r="B3449" s="812"/>
      <c r="C3449" s="812"/>
      <c r="D3449" s="812"/>
      <c r="E3449" s="812"/>
      <c r="F3449" s="812"/>
      <c r="G3449" s="812"/>
      <c r="H3449" s="812"/>
    </row>
    <row r="3450" spans="1:8">
      <c r="A3450" s="812"/>
      <c r="B3450" s="812"/>
      <c r="C3450" s="812"/>
      <c r="D3450" s="812"/>
      <c r="E3450" s="812"/>
      <c r="F3450" s="812"/>
      <c r="G3450" s="812"/>
      <c r="H3450" s="812"/>
    </row>
    <row r="3451" spans="1:8">
      <c r="A3451" s="812"/>
      <c r="B3451" s="812"/>
      <c r="C3451" s="812"/>
      <c r="D3451" s="812"/>
      <c r="E3451" s="812"/>
      <c r="F3451" s="812"/>
      <c r="G3451" s="812"/>
      <c r="H3451" s="812"/>
    </row>
    <row r="3452" spans="1:8">
      <c r="A3452" s="812"/>
      <c r="B3452" s="812"/>
      <c r="C3452" s="812"/>
      <c r="D3452" s="812"/>
      <c r="E3452" s="812"/>
      <c r="F3452" s="812"/>
      <c r="G3452" s="812"/>
      <c r="H3452" s="812"/>
    </row>
    <row r="3453" spans="1:8">
      <c r="A3453" s="812"/>
      <c r="B3453" s="812"/>
      <c r="C3453" s="812"/>
      <c r="D3453" s="812"/>
      <c r="E3453" s="812"/>
      <c r="F3453" s="812"/>
      <c r="G3453" s="812"/>
      <c r="H3453" s="812"/>
    </row>
    <row r="3454" spans="1:8">
      <c r="A3454" s="812"/>
      <c r="B3454" s="812"/>
      <c r="C3454" s="812"/>
      <c r="D3454" s="812"/>
      <c r="E3454" s="812"/>
      <c r="F3454" s="812"/>
      <c r="G3454" s="812"/>
      <c r="H3454" s="812"/>
    </row>
    <row r="3455" spans="1:8">
      <c r="A3455" s="812"/>
      <c r="B3455" s="812"/>
      <c r="C3455" s="812"/>
      <c r="D3455" s="812"/>
      <c r="E3455" s="812"/>
      <c r="F3455" s="812"/>
      <c r="G3455" s="812"/>
      <c r="H3455" s="812"/>
    </row>
    <row r="3456" spans="1:8">
      <c r="A3456" s="812"/>
      <c r="B3456" s="812"/>
      <c r="C3456" s="812"/>
      <c r="D3456" s="812"/>
      <c r="E3456" s="812"/>
      <c r="F3456" s="812"/>
      <c r="G3456" s="812"/>
      <c r="H3456" s="812"/>
    </row>
    <row r="3457" spans="1:8">
      <c r="A3457" s="812"/>
      <c r="B3457" s="812"/>
      <c r="C3457" s="812"/>
      <c r="D3457" s="812"/>
      <c r="E3457" s="812"/>
      <c r="F3457" s="812"/>
      <c r="G3457" s="812"/>
      <c r="H3457" s="812"/>
    </row>
    <row r="3458" spans="1:8">
      <c r="A3458" s="812"/>
      <c r="B3458" s="812"/>
      <c r="C3458" s="812"/>
      <c r="D3458" s="812"/>
      <c r="E3458" s="812"/>
      <c r="F3458" s="812"/>
      <c r="G3458" s="812"/>
      <c r="H3458" s="812"/>
    </row>
    <row r="3459" spans="1:8">
      <c r="A3459" s="812"/>
      <c r="B3459" s="812"/>
      <c r="C3459" s="812"/>
      <c r="D3459" s="812"/>
      <c r="E3459" s="812"/>
      <c r="F3459" s="812"/>
      <c r="G3459" s="812"/>
      <c r="H3459" s="812"/>
    </row>
    <row r="3460" spans="1:8">
      <c r="A3460" s="812"/>
      <c r="B3460" s="812"/>
      <c r="C3460" s="812"/>
      <c r="D3460" s="812"/>
      <c r="E3460" s="812"/>
      <c r="F3460" s="812"/>
      <c r="G3460" s="812"/>
      <c r="H3460" s="812"/>
    </row>
    <row r="3461" spans="1:8">
      <c r="A3461" s="812"/>
      <c r="B3461" s="812"/>
      <c r="C3461" s="812"/>
      <c r="D3461" s="812"/>
      <c r="E3461" s="812"/>
      <c r="F3461" s="812"/>
      <c r="G3461" s="812"/>
      <c r="H3461" s="812"/>
    </row>
    <row r="3462" spans="1:8">
      <c r="A3462" s="812"/>
      <c r="B3462" s="812"/>
      <c r="C3462" s="812"/>
      <c r="D3462" s="812"/>
      <c r="E3462" s="812"/>
      <c r="F3462" s="812"/>
      <c r="G3462" s="812"/>
      <c r="H3462" s="812"/>
    </row>
    <row r="3463" spans="1:8">
      <c r="A3463" s="812"/>
      <c r="B3463" s="812"/>
      <c r="C3463" s="812"/>
      <c r="D3463" s="812"/>
      <c r="E3463" s="812"/>
      <c r="F3463" s="812"/>
      <c r="G3463" s="812"/>
      <c r="H3463" s="812"/>
    </row>
    <row r="3464" spans="1:8">
      <c r="A3464" s="812"/>
      <c r="B3464" s="812"/>
      <c r="C3464" s="812"/>
      <c r="D3464" s="812"/>
      <c r="E3464" s="812"/>
      <c r="F3464" s="812"/>
      <c r="G3464" s="812"/>
      <c r="H3464" s="812"/>
    </row>
    <row r="3465" spans="1:8">
      <c r="A3465" s="812"/>
      <c r="B3465" s="812"/>
      <c r="C3465" s="812"/>
      <c r="D3465" s="812"/>
      <c r="E3465" s="812"/>
      <c r="F3465" s="812"/>
      <c r="G3465" s="812"/>
      <c r="H3465" s="812"/>
    </row>
    <row r="3466" spans="1:8">
      <c r="A3466" s="812"/>
      <c r="B3466" s="812"/>
      <c r="C3466" s="812"/>
      <c r="D3466" s="812"/>
      <c r="E3466" s="812"/>
      <c r="F3466" s="812"/>
      <c r="G3466" s="812"/>
      <c r="H3466" s="812"/>
    </row>
    <row r="3467" spans="1:8">
      <c r="A3467" s="812"/>
      <c r="B3467" s="812"/>
      <c r="C3467" s="812"/>
      <c r="D3467" s="812"/>
      <c r="E3467" s="812"/>
      <c r="F3467" s="812"/>
      <c r="G3467" s="812"/>
      <c r="H3467" s="812"/>
    </row>
    <row r="3468" spans="1:8">
      <c r="A3468" s="812"/>
      <c r="B3468" s="812"/>
      <c r="C3468" s="812"/>
      <c r="D3468" s="812"/>
      <c r="E3468" s="812"/>
      <c r="F3468" s="812"/>
      <c r="G3468" s="812"/>
      <c r="H3468" s="812"/>
    </row>
    <row r="3469" spans="1:8">
      <c r="A3469" s="812"/>
      <c r="B3469" s="812"/>
      <c r="C3469" s="812"/>
      <c r="D3469" s="812"/>
      <c r="E3469" s="812"/>
      <c r="F3469" s="812"/>
      <c r="G3469" s="812"/>
      <c r="H3469" s="812"/>
    </row>
    <row r="3470" spans="1:8">
      <c r="A3470" s="812"/>
      <c r="B3470" s="812"/>
      <c r="C3470" s="812"/>
      <c r="D3470" s="812"/>
      <c r="E3470" s="812"/>
      <c r="F3470" s="812"/>
      <c r="G3470" s="812"/>
      <c r="H3470" s="812"/>
    </row>
    <row r="3471" spans="1:8">
      <c r="A3471" s="812"/>
      <c r="B3471" s="812"/>
      <c r="C3471" s="812"/>
      <c r="D3471" s="812"/>
      <c r="E3471" s="812"/>
      <c r="F3471" s="812"/>
      <c r="G3471" s="812"/>
      <c r="H3471" s="812"/>
    </row>
    <row r="3472" spans="1:8">
      <c r="A3472" s="812"/>
      <c r="B3472" s="812"/>
      <c r="C3472" s="812"/>
      <c r="D3472" s="812"/>
      <c r="E3472" s="812"/>
      <c r="F3472" s="812"/>
      <c r="G3472" s="812"/>
      <c r="H3472" s="812"/>
    </row>
    <row r="3473" spans="1:8">
      <c r="A3473" s="812"/>
      <c r="B3473" s="812"/>
      <c r="C3473" s="812"/>
      <c r="D3473" s="812"/>
      <c r="E3473" s="812"/>
      <c r="F3473" s="812"/>
      <c r="G3473" s="812"/>
      <c r="H3473" s="812"/>
    </row>
    <row r="3474" spans="1:8">
      <c r="A3474" s="812"/>
      <c r="B3474" s="812"/>
      <c r="C3474" s="812"/>
      <c r="D3474" s="812"/>
      <c r="E3474" s="812"/>
      <c r="F3474" s="812"/>
      <c r="G3474" s="812"/>
      <c r="H3474" s="812"/>
    </row>
    <row r="3475" spans="1:8">
      <c r="A3475" s="812"/>
      <c r="B3475" s="812"/>
      <c r="C3475" s="812"/>
      <c r="D3475" s="812"/>
      <c r="E3475" s="812"/>
      <c r="F3475" s="812"/>
      <c r="G3475" s="812"/>
      <c r="H3475" s="812"/>
    </row>
    <row r="3476" spans="1:8">
      <c r="A3476" s="812"/>
      <c r="B3476" s="812"/>
      <c r="C3476" s="812"/>
      <c r="D3476" s="812"/>
      <c r="E3476" s="812"/>
      <c r="F3476" s="812"/>
      <c r="G3476" s="812"/>
      <c r="H3476" s="812"/>
    </row>
    <row r="3477" spans="1:8">
      <c r="A3477" s="812"/>
      <c r="B3477" s="812"/>
      <c r="C3477" s="812"/>
      <c r="D3477" s="812"/>
      <c r="E3477" s="812"/>
      <c r="F3477" s="812"/>
      <c r="G3477" s="812"/>
      <c r="H3477" s="812"/>
    </row>
    <row r="3478" spans="1:8">
      <c r="A3478" s="812"/>
      <c r="B3478" s="812"/>
      <c r="C3478" s="812"/>
      <c r="D3478" s="812"/>
      <c r="E3478" s="812"/>
      <c r="F3478" s="812"/>
      <c r="G3478" s="812"/>
      <c r="H3478" s="812"/>
    </row>
    <row r="3479" spans="1:8">
      <c r="A3479" s="812"/>
      <c r="B3479" s="812"/>
      <c r="C3479" s="812"/>
      <c r="D3479" s="812"/>
      <c r="E3479" s="812"/>
      <c r="F3479" s="812"/>
      <c r="G3479" s="812"/>
      <c r="H3479" s="812"/>
    </row>
    <row r="3480" spans="1:8">
      <c r="A3480" s="812"/>
      <c r="B3480" s="812"/>
      <c r="C3480" s="812"/>
      <c r="D3480" s="812"/>
      <c r="E3480" s="812"/>
      <c r="F3480" s="812"/>
      <c r="G3480" s="812"/>
      <c r="H3480" s="812"/>
    </row>
    <row r="3481" spans="1:8">
      <c r="A3481" s="812"/>
      <c r="B3481" s="812"/>
      <c r="C3481" s="812"/>
      <c r="D3481" s="812"/>
      <c r="E3481" s="812"/>
      <c r="F3481" s="812"/>
      <c r="G3481" s="812"/>
      <c r="H3481" s="812"/>
    </row>
    <row r="3482" spans="1:8">
      <c r="A3482" s="812"/>
      <c r="B3482" s="812"/>
      <c r="C3482" s="812"/>
      <c r="D3482" s="812"/>
      <c r="E3482" s="812"/>
      <c r="F3482" s="812"/>
      <c r="G3482" s="812"/>
      <c r="H3482" s="812"/>
    </row>
    <row r="3483" spans="1:8">
      <c r="A3483" s="812"/>
      <c r="B3483" s="812"/>
      <c r="C3483" s="812"/>
      <c r="D3483" s="812"/>
      <c r="E3483" s="812"/>
      <c r="F3483" s="812"/>
      <c r="G3483" s="812"/>
      <c r="H3483" s="812"/>
    </row>
    <row r="3484" spans="1:8">
      <c r="A3484" s="812"/>
      <c r="B3484" s="812"/>
      <c r="C3484" s="812"/>
      <c r="D3484" s="812"/>
      <c r="E3484" s="812"/>
      <c r="F3484" s="812"/>
      <c r="G3484" s="812"/>
      <c r="H3484" s="812"/>
    </row>
    <row r="3485" spans="1:8">
      <c r="A3485" s="812"/>
      <c r="B3485" s="812"/>
      <c r="C3485" s="812"/>
      <c r="D3485" s="812"/>
      <c r="E3485" s="812"/>
      <c r="F3485" s="812"/>
      <c r="G3485" s="812"/>
      <c r="H3485" s="812"/>
    </row>
    <row r="3486" spans="1:8">
      <c r="A3486" s="812"/>
      <c r="B3486" s="812"/>
      <c r="C3486" s="812"/>
      <c r="D3486" s="812"/>
      <c r="E3486" s="812"/>
      <c r="F3486" s="812"/>
      <c r="G3486" s="812"/>
      <c r="H3486" s="812"/>
    </row>
    <row r="3487" spans="1:8">
      <c r="A3487" s="812"/>
      <c r="B3487" s="812"/>
      <c r="C3487" s="812"/>
      <c r="D3487" s="812"/>
      <c r="E3487" s="812"/>
      <c r="F3487" s="812"/>
      <c r="G3487" s="812"/>
      <c r="H3487" s="812"/>
    </row>
    <row r="3488" spans="1:8">
      <c r="A3488" s="812"/>
      <c r="B3488" s="812"/>
      <c r="C3488" s="812"/>
      <c r="D3488" s="812"/>
      <c r="E3488" s="812"/>
      <c r="F3488" s="812"/>
      <c r="G3488" s="812"/>
      <c r="H3488" s="812"/>
    </row>
    <row r="3489" spans="1:8">
      <c r="A3489" s="812"/>
      <c r="B3489" s="812"/>
      <c r="C3489" s="812"/>
      <c r="D3489" s="812"/>
      <c r="E3489" s="812"/>
      <c r="F3489" s="812"/>
      <c r="G3489" s="812"/>
      <c r="H3489" s="812"/>
    </row>
    <row r="3490" spans="1:8">
      <c r="A3490" s="812"/>
      <c r="B3490" s="812"/>
      <c r="C3490" s="812"/>
      <c r="D3490" s="812"/>
      <c r="E3490" s="812"/>
      <c r="F3490" s="812"/>
      <c r="G3490" s="812"/>
      <c r="H3490" s="812"/>
    </row>
    <row r="3491" spans="1:8">
      <c r="A3491" s="812"/>
      <c r="B3491" s="812"/>
      <c r="C3491" s="812"/>
      <c r="D3491" s="812"/>
      <c r="E3491" s="812"/>
      <c r="F3491" s="812"/>
      <c r="G3491" s="812"/>
      <c r="H3491" s="812"/>
    </row>
    <row r="3492" spans="1:8">
      <c r="A3492" s="812"/>
      <c r="B3492" s="812"/>
      <c r="C3492" s="812"/>
      <c r="D3492" s="812"/>
      <c r="E3492" s="812"/>
      <c r="F3492" s="812"/>
      <c r="G3492" s="812"/>
      <c r="H3492" s="812"/>
    </row>
    <row r="3493" spans="1:8">
      <c r="A3493" s="812"/>
      <c r="B3493" s="812"/>
      <c r="C3493" s="812"/>
      <c r="D3493" s="812"/>
      <c r="E3493" s="812"/>
      <c r="F3493" s="812"/>
      <c r="G3493" s="812"/>
      <c r="H3493" s="812"/>
    </row>
    <row r="3494" spans="1:8">
      <c r="A3494" s="812"/>
      <c r="B3494" s="812"/>
      <c r="C3494" s="812"/>
      <c r="D3494" s="812"/>
      <c r="E3494" s="812"/>
      <c r="F3494" s="812"/>
      <c r="G3494" s="812"/>
      <c r="H3494" s="812"/>
    </row>
    <row r="3495" spans="1:8">
      <c r="A3495" s="812"/>
      <c r="B3495" s="812"/>
      <c r="C3495" s="812"/>
      <c r="D3495" s="812"/>
      <c r="E3495" s="812"/>
      <c r="F3495" s="812"/>
      <c r="G3495" s="812"/>
      <c r="H3495" s="812"/>
    </row>
    <row r="3496" spans="1:8">
      <c r="A3496" s="812"/>
      <c r="B3496" s="812"/>
      <c r="C3496" s="812"/>
      <c r="D3496" s="812"/>
      <c r="E3496" s="812"/>
      <c r="F3496" s="812"/>
      <c r="G3496" s="812"/>
      <c r="H3496" s="812"/>
    </row>
    <row r="3497" spans="1:8">
      <c r="A3497" s="812"/>
      <c r="B3497" s="812"/>
      <c r="C3497" s="812"/>
      <c r="D3497" s="812"/>
      <c r="E3497" s="812"/>
      <c r="F3497" s="812"/>
      <c r="G3497" s="812"/>
      <c r="H3497" s="812"/>
    </row>
    <row r="3498" spans="1:8">
      <c r="A3498" s="812"/>
      <c r="B3498" s="812"/>
      <c r="C3498" s="812"/>
      <c r="D3498" s="812"/>
      <c r="E3498" s="812"/>
      <c r="F3498" s="812"/>
      <c r="G3498" s="812"/>
      <c r="H3498" s="812"/>
    </row>
    <row r="3499" spans="1:8">
      <c r="A3499" s="812"/>
      <c r="B3499" s="812"/>
      <c r="C3499" s="812"/>
      <c r="D3499" s="812"/>
      <c r="E3499" s="812"/>
      <c r="F3499" s="812"/>
      <c r="G3499" s="812"/>
      <c r="H3499" s="812"/>
    </row>
    <row r="3500" spans="1:8">
      <c r="A3500" s="812"/>
      <c r="B3500" s="812"/>
      <c r="C3500" s="812"/>
      <c r="D3500" s="812"/>
      <c r="E3500" s="812"/>
      <c r="F3500" s="812"/>
      <c r="G3500" s="812"/>
      <c r="H3500" s="812"/>
    </row>
    <row r="3501" spans="1:8">
      <c r="A3501" s="812"/>
      <c r="B3501" s="812"/>
      <c r="C3501" s="812"/>
      <c r="D3501" s="812"/>
      <c r="E3501" s="812"/>
      <c r="F3501" s="812"/>
      <c r="G3501" s="812"/>
      <c r="H3501" s="812"/>
    </row>
    <row r="3502" spans="1:8">
      <c r="A3502" s="812"/>
      <c r="B3502" s="812"/>
      <c r="C3502" s="812"/>
      <c r="D3502" s="812"/>
      <c r="E3502" s="812"/>
      <c r="F3502" s="812"/>
      <c r="G3502" s="812"/>
      <c r="H3502" s="812"/>
    </row>
    <row r="3503" spans="1:8">
      <c r="A3503" s="812"/>
      <c r="B3503" s="812"/>
      <c r="C3503" s="812"/>
      <c r="D3503" s="812"/>
      <c r="E3503" s="812"/>
      <c r="F3503" s="812"/>
      <c r="G3503" s="812"/>
      <c r="H3503" s="812"/>
    </row>
    <row r="3504" spans="1:8">
      <c r="A3504" s="812"/>
      <c r="B3504" s="812"/>
      <c r="C3504" s="812"/>
      <c r="D3504" s="812"/>
      <c r="E3504" s="812"/>
      <c r="F3504" s="812"/>
      <c r="G3504" s="812"/>
      <c r="H3504" s="812"/>
    </row>
    <row r="3505" spans="1:8">
      <c r="A3505" s="812"/>
      <c r="B3505" s="812"/>
      <c r="C3505" s="812"/>
      <c r="D3505" s="812"/>
      <c r="E3505" s="812"/>
      <c r="F3505" s="812"/>
      <c r="G3505" s="812"/>
      <c r="H3505" s="812"/>
    </row>
    <row r="3506" spans="1:8">
      <c r="A3506" s="812"/>
      <c r="B3506" s="812"/>
      <c r="C3506" s="812"/>
      <c r="D3506" s="812"/>
      <c r="E3506" s="812"/>
      <c r="F3506" s="812"/>
      <c r="G3506" s="812"/>
      <c r="H3506" s="812"/>
    </row>
    <row r="3507" spans="1:8">
      <c r="A3507" s="812"/>
      <c r="B3507" s="812"/>
      <c r="C3507" s="812"/>
      <c r="D3507" s="812"/>
      <c r="E3507" s="812"/>
      <c r="F3507" s="812"/>
      <c r="G3507" s="812"/>
      <c r="H3507" s="812"/>
    </row>
    <row r="3508" spans="1:8">
      <c r="A3508" s="812"/>
      <c r="B3508" s="812"/>
      <c r="C3508" s="812"/>
      <c r="D3508" s="812"/>
      <c r="E3508" s="812"/>
      <c r="F3508" s="812"/>
      <c r="G3508" s="812"/>
      <c r="H3508" s="812"/>
    </row>
    <row r="3509" spans="1:8">
      <c r="A3509" s="812"/>
      <c r="B3509" s="812"/>
      <c r="C3509" s="812"/>
      <c r="D3509" s="812"/>
      <c r="E3509" s="812"/>
      <c r="F3509" s="812"/>
      <c r="G3509" s="812"/>
      <c r="H3509" s="812"/>
    </row>
    <row r="3510" spans="1:8">
      <c r="A3510" s="812"/>
      <c r="B3510" s="812"/>
      <c r="C3510" s="812"/>
      <c r="D3510" s="812"/>
      <c r="E3510" s="812"/>
      <c r="F3510" s="812"/>
      <c r="G3510" s="812"/>
      <c r="H3510" s="812"/>
    </row>
    <row r="3511" spans="1:8">
      <c r="A3511" s="812"/>
      <c r="B3511" s="812"/>
      <c r="C3511" s="812"/>
      <c r="D3511" s="812"/>
      <c r="E3511" s="812"/>
      <c r="F3511" s="812"/>
      <c r="G3511" s="812"/>
      <c r="H3511" s="812"/>
    </row>
    <row r="3512" spans="1:8">
      <c r="A3512" s="812"/>
      <c r="B3512" s="812"/>
      <c r="C3512" s="812"/>
      <c r="D3512" s="812"/>
      <c r="E3512" s="812"/>
      <c r="F3512" s="812"/>
      <c r="G3512" s="812"/>
      <c r="H3512" s="812"/>
    </row>
    <row r="3513" spans="1:8">
      <c r="A3513" s="812"/>
      <c r="B3513" s="812"/>
      <c r="C3513" s="812"/>
      <c r="D3513" s="812"/>
      <c r="E3513" s="812"/>
      <c r="F3513" s="812"/>
      <c r="G3513" s="812"/>
      <c r="H3513" s="812"/>
    </row>
    <row r="3514" spans="1:8">
      <c r="A3514" s="812"/>
      <c r="B3514" s="812"/>
      <c r="C3514" s="812"/>
      <c r="D3514" s="812"/>
      <c r="E3514" s="812"/>
      <c r="F3514" s="812"/>
      <c r="G3514" s="812"/>
      <c r="H3514" s="812"/>
    </row>
    <row r="3515" spans="1:8">
      <c r="A3515" s="812"/>
      <c r="B3515" s="812"/>
      <c r="C3515" s="812"/>
      <c r="D3515" s="812"/>
      <c r="E3515" s="812"/>
      <c r="F3515" s="812"/>
      <c r="G3515" s="812"/>
      <c r="H3515" s="812"/>
    </row>
    <row r="3516" spans="1:8">
      <c r="A3516" s="812"/>
      <c r="B3516" s="812"/>
      <c r="C3516" s="812"/>
      <c r="D3516" s="812"/>
      <c r="E3516" s="812"/>
      <c r="F3516" s="812"/>
      <c r="G3516" s="812"/>
      <c r="H3516" s="812"/>
    </row>
    <row r="3517" spans="1:8">
      <c r="A3517" s="812"/>
      <c r="B3517" s="812"/>
      <c r="C3517" s="812"/>
      <c r="D3517" s="812"/>
      <c r="E3517" s="812"/>
      <c r="F3517" s="812"/>
      <c r="G3517" s="812"/>
      <c r="H3517" s="812"/>
    </row>
    <row r="3518" spans="1:8">
      <c r="A3518" s="812"/>
      <c r="B3518" s="812"/>
      <c r="C3518" s="812"/>
      <c r="D3518" s="812"/>
      <c r="E3518" s="812"/>
      <c r="F3518" s="812"/>
      <c r="G3518" s="812"/>
      <c r="H3518" s="812"/>
    </row>
    <row r="3519" spans="1:8">
      <c r="A3519" s="812"/>
      <c r="B3519" s="812"/>
      <c r="C3519" s="812"/>
      <c r="D3519" s="812"/>
      <c r="E3519" s="812"/>
      <c r="F3519" s="812"/>
      <c r="G3519" s="812"/>
      <c r="H3519" s="812"/>
    </row>
    <row r="3520" spans="1:8">
      <c r="A3520" s="812"/>
      <c r="B3520" s="812"/>
      <c r="C3520" s="812"/>
      <c r="D3520" s="812"/>
      <c r="E3520" s="812"/>
      <c r="F3520" s="812"/>
      <c r="G3520" s="812"/>
      <c r="H3520" s="812"/>
    </row>
    <row r="3521" spans="1:8">
      <c r="A3521" s="812"/>
      <c r="B3521" s="812"/>
      <c r="C3521" s="812"/>
      <c r="D3521" s="812"/>
      <c r="E3521" s="812"/>
      <c r="F3521" s="812"/>
      <c r="G3521" s="812"/>
      <c r="H3521" s="812"/>
    </row>
    <row r="3522" spans="1:8">
      <c r="A3522" s="812"/>
      <c r="B3522" s="812"/>
      <c r="C3522" s="812"/>
      <c r="D3522" s="812"/>
      <c r="E3522" s="812"/>
      <c r="F3522" s="812"/>
      <c r="G3522" s="812"/>
      <c r="H3522" s="812"/>
    </row>
    <row r="3523" spans="1:8">
      <c r="A3523" s="812"/>
      <c r="B3523" s="812"/>
      <c r="C3523" s="812"/>
      <c r="D3523" s="812"/>
      <c r="E3523" s="812"/>
      <c r="F3523" s="812"/>
      <c r="G3523" s="812"/>
      <c r="H3523" s="812"/>
    </row>
    <row r="3524" spans="1:8">
      <c r="A3524" s="812"/>
      <c r="B3524" s="812"/>
      <c r="C3524" s="812"/>
      <c r="D3524" s="812"/>
      <c r="E3524" s="812"/>
      <c r="F3524" s="812"/>
      <c r="G3524" s="812"/>
      <c r="H3524" s="812"/>
    </row>
    <row r="3525" spans="1:8">
      <c r="A3525" s="812"/>
      <c r="B3525" s="812"/>
      <c r="C3525" s="812"/>
      <c r="D3525" s="812"/>
      <c r="E3525" s="812"/>
      <c r="F3525" s="812"/>
      <c r="G3525" s="812"/>
      <c r="H3525" s="812"/>
    </row>
    <row r="3526" spans="1:8">
      <c r="A3526" s="812"/>
      <c r="B3526" s="812"/>
      <c r="C3526" s="812"/>
      <c r="D3526" s="812"/>
      <c r="E3526" s="812"/>
      <c r="F3526" s="812"/>
      <c r="G3526" s="812"/>
      <c r="H3526" s="812"/>
    </row>
    <row r="3527" spans="1:8">
      <c r="A3527" s="812"/>
      <c r="B3527" s="812"/>
      <c r="C3527" s="812"/>
      <c r="D3527" s="812"/>
      <c r="E3527" s="812"/>
      <c r="F3527" s="812"/>
      <c r="G3527" s="812"/>
      <c r="H3527" s="812"/>
    </row>
    <row r="3528" spans="1:8">
      <c r="A3528" s="812"/>
      <c r="B3528" s="812"/>
      <c r="C3528" s="812"/>
      <c r="D3528" s="812"/>
      <c r="E3528" s="812"/>
      <c r="F3528" s="812"/>
      <c r="G3528" s="812"/>
      <c r="H3528" s="812"/>
    </row>
    <row r="3529" spans="1:8">
      <c r="A3529" s="812"/>
      <c r="B3529" s="812"/>
      <c r="C3529" s="812"/>
      <c r="D3529" s="812"/>
      <c r="E3529" s="812"/>
      <c r="F3529" s="812"/>
      <c r="G3529" s="812"/>
      <c r="H3529" s="812"/>
    </row>
    <row r="3530" spans="1:8">
      <c r="A3530" s="812"/>
      <c r="B3530" s="812"/>
      <c r="C3530" s="812"/>
      <c r="D3530" s="812"/>
      <c r="E3530" s="812"/>
      <c r="F3530" s="812"/>
      <c r="G3530" s="812"/>
      <c r="H3530" s="812"/>
    </row>
    <row r="3531" spans="1:8">
      <c r="A3531" s="812"/>
      <c r="B3531" s="812"/>
      <c r="C3531" s="812"/>
      <c r="D3531" s="812"/>
      <c r="E3531" s="812"/>
      <c r="F3531" s="812"/>
      <c r="G3531" s="812"/>
      <c r="H3531" s="812"/>
    </row>
    <row r="3532" spans="1:8">
      <c r="A3532" s="812"/>
      <c r="B3532" s="812"/>
      <c r="C3532" s="812"/>
      <c r="D3532" s="812"/>
      <c r="E3532" s="812"/>
      <c r="F3532" s="812"/>
      <c r="G3532" s="812"/>
      <c r="H3532" s="812"/>
    </row>
    <row r="3533" spans="1:8">
      <c r="A3533" s="812"/>
      <c r="B3533" s="812"/>
      <c r="C3533" s="812"/>
      <c r="D3533" s="812"/>
      <c r="E3533" s="812"/>
      <c r="F3533" s="812"/>
      <c r="G3533" s="812"/>
      <c r="H3533" s="812"/>
    </row>
    <row r="3534" spans="1:8">
      <c r="A3534" s="812"/>
      <c r="B3534" s="812"/>
      <c r="C3534" s="812"/>
      <c r="D3534" s="812"/>
      <c r="E3534" s="812"/>
      <c r="F3534" s="812"/>
      <c r="G3534" s="812"/>
      <c r="H3534" s="812"/>
    </row>
    <row r="3535" spans="1:8">
      <c r="A3535" s="812"/>
      <c r="B3535" s="812"/>
      <c r="C3535" s="812"/>
      <c r="D3535" s="812"/>
      <c r="E3535" s="812"/>
      <c r="F3535" s="812"/>
      <c r="G3535" s="812"/>
      <c r="H3535" s="812"/>
    </row>
    <row r="3536" spans="1:8">
      <c r="A3536" s="812"/>
      <c r="B3536" s="812"/>
      <c r="C3536" s="812"/>
      <c r="D3536" s="812"/>
      <c r="E3536" s="812"/>
      <c r="F3536" s="812"/>
      <c r="G3536" s="812"/>
      <c r="H3536" s="812"/>
    </row>
    <row r="3537" spans="1:8">
      <c r="A3537" s="812"/>
      <c r="B3537" s="812"/>
      <c r="C3537" s="812"/>
      <c r="D3537" s="812"/>
      <c r="E3537" s="812"/>
      <c r="F3537" s="812"/>
      <c r="G3537" s="812"/>
      <c r="H3537" s="812"/>
    </row>
    <row r="3538" spans="1:8">
      <c r="A3538" s="812"/>
      <c r="B3538" s="812"/>
      <c r="C3538" s="812"/>
      <c r="D3538" s="812"/>
      <c r="E3538" s="812"/>
      <c r="F3538" s="812"/>
      <c r="G3538" s="812"/>
      <c r="H3538" s="812"/>
    </row>
    <row r="3539" spans="1:8">
      <c r="A3539" s="812"/>
      <c r="B3539" s="812"/>
      <c r="C3539" s="812"/>
      <c r="D3539" s="812"/>
      <c r="E3539" s="812"/>
      <c r="F3539" s="812"/>
      <c r="G3539" s="812"/>
      <c r="H3539" s="812"/>
    </row>
    <row r="3540" spans="1:8">
      <c r="A3540" s="812"/>
      <c r="B3540" s="812"/>
      <c r="C3540" s="812"/>
      <c r="D3540" s="812"/>
      <c r="E3540" s="812"/>
      <c r="F3540" s="812"/>
      <c r="G3540" s="812"/>
      <c r="H3540" s="812"/>
    </row>
    <row r="3541" spans="1:8">
      <c r="A3541" s="812"/>
      <c r="B3541" s="812"/>
      <c r="C3541" s="812"/>
      <c r="D3541" s="812"/>
      <c r="E3541" s="812"/>
      <c r="F3541" s="812"/>
      <c r="G3541" s="812"/>
      <c r="H3541" s="812"/>
    </row>
    <row r="3542" spans="1:8">
      <c r="A3542" s="812"/>
      <c r="B3542" s="812"/>
      <c r="C3542" s="812"/>
      <c r="D3542" s="812"/>
      <c r="E3542" s="812"/>
      <c r="F3542" s="812"/>
      <c r="G3542" s="812"/>
      <c r="H3542" s="812"/>
    </row>
    <row r="3543" spans="1:8">
      <c r="A3543" s="812"/>
      <c r="B3543" s="812"/>
      <c r="C3543" s="812"/>
      <c r="D3543" s="812"/>
      <c r="E3543" s="812"/>
      <c r="F3543" s="812"/>
      <c r="G3543" s="812"/>
      <c r="H3543" s="812"/>
    </row>
    <row r="3544" spans="1:8">
      <c r="A3544" s="812"/>
      <c r="B3544" s="812"/>
      <c r="C3544" s="812"/>
      <c r="D3544" s="812"/>
      <c r="E3544" s="812"/>
      <c r="F3544" s="812"/>
      <c r="G3544" s="812"/>
      <c r="H3544" s="812"/>
    </row>
    <row r="3545" spans="1:8">
      <c r="A3545" s="812"/>
      <c r="B3545" s="812"/>
      <c r="C3545" s="812"/>
      <c r="D3545" s="812"/>
      <c r="E3545" s="812"/>
      <c r="F3545" s="812"/>
      <c r="G3545" s="812"/>
      <c r="H3545" s="812"/>
    </row>
    <row r="3546" spans="1:8">
      <c r="A3546" s="812"/>
      <c r="B3546" s="812"/>
      <c r="C3546" s="812"/>
      <c r="D3546" s="812"/>
      <c r="E3546" s="812"/>
      <c r="F3546" s="812"/>
      <c r="G3546" s="812"/>
      <c r="H3546" s="812"/>
    </row>
    <row r="3547" spans="1:8">
      <c r="A3547" s="812"/>
      <c r="B3547" s="812"/>
      <c r="C3547" s="812"/>
      <c r="D3547" s="812"/>
      <c r="E3547" s="812"/>
      <c r="F3547" s="812"/>
      <c r="G3547" s="812"/>
      <c r="H3547" s="812"/>
    </row>
    <row r="3548" spans="1:8">
      <c r="A3548" s="812"/>
      <c r="B3548" s="812"/>
      <c r="C3548" s="812"/>
      <c r="D3548" s="812"/>
      <c r="E3548" s="812"/>
      <c r="F3548" s="812"/>
      <c r="G3548" s="812"/>
      <c r="H3548" s="812"/>
    </row>
    <row r="3549" spans="1:8">
      <c r="A3549" s="812"/>
      <c r="B3549" s="812"/>
      <c r="C3549" s="812"/>
      <c r="D3549" s="812"/>
      <c r="E3549" s="812"/>
      <c r="F3549" s="812"/>
      <c r="G3549" s="812"/>
      <c r="H3549" s="812"/>
    </row>
    <row r="3550" spans="1:8">
      <c r="A3550" s="812"/>
      <c r="B3550" s="812"/>
      <c r="C3550" s="812"/>
      <c r="D3550" s="812"/>
      <c r="E3550" s="812"/>
      <c r="F3550" s="812"/>
      <c r="G3550" s="812"/>
      <c r="H3550" s="812"/>
    </row>
    <row r="3551" spans="1:8">
      <c r="A3551" s="812"/>
      <c r="B3551" s="812"/>
      <c r="C3551" s="812"/>
      <c r="D3551" s="812"/>
      <c r="E3551" s="812"/>
      <c r="F3551" s="812"/>
      <c r="G3551" s="812"/>
      <c r="H3551" s="812"/>
    </row>
    <row r="3552" spans="1:8">
      <c r="A3552" s="812"/>
      <c r="B3552" s="812"/>
      <c r="C3552" s="812"/>
      <c r="D3552" s="812"/>
      <c r="E3552" s="812"/>
      <c r="F3552" s="812"/>
      <c r="G3552" s="812"/>
      <c r="H3552" s="812"/>
    </row>
    <row r="3553" spans="1:8">
      <c r="A3553" s="812"/>
      <c r="B3553" s="812"/>
      <c r="C3553" s="812"/>
      <c r="D3553" s="812"/>
      <c r="E3553" s="812"/>
      <c r="F3553" s="812"/>
      <c r="G3553" s="812"/>
      <c r="H3553" s="812"/>
    </row>
    <row r="3554" spans="1:8">
      <c r="A3554" s="812"/>
      <c r="B3554" s="812"/>
      <c r="C3554" s="812"/>
      <c r="D3554" s="812"/>
      <c r="E3554" s="812"/>
      <c r="F3554" s="812"/>
      <c r="G3554" s="812"/>
      <c r="H3554" s="812"/>
    </row>
    <row r="3555" spans="1:8">
      <c r="A3555" s="812"/>
      <c r="B3555" s="812"/>
      <c r="C3555" s="812"/>
      <c r="D3555" s="812"/>
      <c r="E3555" s="812"/>
      <c r="F3555" s="812"/>
      <c r="G3555" s="812"/>
      <c r="H3555" s="812"/>
    </row>
    <row r="3556" spans="1:8">
      <c r="A3556" s="812"/>
      <c r="B3556" s="812"/>
      <c r="C3556" s="812"/>
      <c r="D3556" s="812"/>
      <c r="E3556" s="812"/>
      <c r="F3556" s="812"/>
      <c r="G3556" s="812"/>
      <c r="H3556" s="812"/>
    </row>
    <row r="3557" spans="1:8">
      <c r="A3557" s="812"/>
      <c r="B3557" s="812"/>
      <c r="C3557" s="812"/>
      <c r="D3557" s="812"/>
      <c r="E3557" s="812"/>
      <c r="F3557" s="812"/>
      <c r="G3557" s="812"/>
      <c r="H3557" s="812"/>
    </row>
    <row r="3558" spans="1:8">
      <c r="A3558" s="812"/>
      <c r="B3558" s="812"/>
      <c r="C3558" s="812"/>
      <c r="D3558" s="812"/>
      <c r="E3558" s="812"/>
      <c r="F3558" s="812"/>
      <c r="G3558" s="812"/>
      <c r="H3558" s="812"/>
    </row>
    <row r="3559" spans="1:8">
      <c r="A3559" s="812"/>
      <c r="B3559" s="812"/>
      <c r="C3559" s="812"/>
      <c r="D3559" s="812"/>
      <c r="E3559" s="812"/>
      <c r="F3559" s="812"/>
      <c r="G3559" s="812"/>
      <c r="H3559" s="812"/>
    </row>
    <row r="3560" spans="1:8">
      <c r="A3560" s="812"/>
      <c r="B3560" s="812"/>
      <c r="C3560" s="812"/>
      <c r="D3560" s="812"/>
      <c r="E3560" s="812"/>
      <c r="F3560" s="812"/>
      <c r="G3560" s="812"/>
      <c r="H3560" s="812"/>
    </row>
    <row r="3561" spans="1:8">
      <c r="A3561" s="812"/>
      <c r="B3561" s="812"/>
      <c r="C3561" s="812"/>
      <c r="D3561" s="812"/>
      <c r="E3561" s="812"/>
      <c r="F3561" s="812"/>
      <c r="G3561" s="812"/>
      <c r="H3561" s="812"/>
    </row>
    <row r="3562" spans="1:8">
      <c r="A3562" s="812"/>
      <c r="B3562" s="812"/>
      <c r="C3562" s="812"/>
      <c r="D3562" s="812"/>
      <c r="E3562" s="812"/>
      <c r="F3562" s="812"/>
      <c r="G3562" s="812"/>
      <c r="H3562" s="812"/>
    </row>
    <row r="3563" spans="1:8">
      <c r="A3563" s="812"/>
      <c r="B3563" s="812"/>
      <c r="C3563" s="812"/>
      <c r="D3563" s="812"/>
      <c r="E3563" s="812"/>
      <c r="F3563" s="812"/>
      <c r="G3563" s="812"/>
      <c r="H3563" s="812"/>
    </row>
    <row r="3564" spans="1:8">
      <c r="A3564" s="812"/>
      <c r="B3564" s="812"/>
      <c r="C3564" s="812"/>
      <c r="D3564" s="812"/>
      <c r="E3564" s="812"/>
      <c r="F3564" s="812"/>
      <c r="G3564" s="812"/>
      <c r="H3564" s="812"/>
    </row>
    <row r="3565" spans="1:8">
      <c r="A3565" s="812"/>
      <c r="B3565" s="812"/>
      <c r="C3565" s="812"/>
      <c r="D3565" s="812"/>
      <c r="E3565" s="812"/>
      <c r="F3565" s="812"/>
      <c r="G3565" s="812"/>
      <c r="H3565" s="812"/>
    </row>
    <row r="3566" spans="1:8">
      <c r="A3566" s="812"/>
      <c r="B3566" s="812"/>
      <c r="C3566" s="812"/>
      <c r="D3566" s="812"/>
      <c r="E3566" s="812"/>
      <c r="F3566" s="812"/>
      <c r="G3566" s="812"/>
      <c r="H3566" s="812"/>
    </row>
    <row r="3567" spans="1:8">
      <c r="A3567" s="812"/>
      <c r="B3567" s="812"/>
      <c r="C3567" s="812"/>
      <c r="D3567" s="812"/>
      <c r="E3567" s="812"/>
      <c r="F3567" s="812"/>
      <c r="G3567" s="812"/>
      <c r="H3567" s="812"/>
    </row>
    <row r="3568" spans="1:8">
      <c r="A3568" s="812"/>
      <c r="B3568" s="812"/>
      <c r="C3568" s="812"/>
      <c r="D3568" s="812"/>
      <c r="E3568" s="812"/>
      <c r="F3568" s="812"/>
      <c r="G3568" s="812"/>
      <c r="H3568" s="812"/>
    </row>
    <row r="3569" spans="1:8">
      <c r="A3569" s="812"/>
      <c r="B3569" s="812"/>
      <c r="C3569" s="812"/>
      <c r="D3569" s="812"/>
      <c r="E3569" s="812"/>
      <c r="F3569" s="812"/>
      <c r="G3569" s="812"/>
      <c r="H3569" s="812"/>
    </row>
    <row r="3570" spans="1:8">
      <c r="A3570" s="812"/>
      <c r="B3570" s="812"/>
      <c r="C3570" s="812"/>
      <c r="D3570" s="812"/>
      <c r="E3570" s="812"/>
      <c r="F3570" s="812"/>
      <c r="G3570" s="812"/>
      <c r="H3570" s="812"/>
    </row>
    <row r="3571" spans="1:8">
      <c r="A3571" s="812"/>
      <c r="B3571" s="812"/>
      <c r="C3571" s="812"/>
      <c r="D3571" s="812"/>
      <c r="E3571" s="812"/>
      <c r="F3571" s="812"/>
      <c r="G3571" s="812"/>
      <c r="H3571" s="812"/>
    </row>
    <row r="3572" spans="1:8">
      <c r="A3572" s="812"/>
      <c r="B3572" s="812"/>
      <c r="C3572" s="812"/>
      <c r="D3572" s="812"/>
      <c r="E3572" s="812"/>
      <c r="F3572" s="812"/>
      <c r="G3572" s="812"/>
      <c r="H3572" s="812"/>
    </row>
    <row r="3573" spans="1:8">
      <c r="A3573" s="812"/>
      <c r="B3573" s="812"/>
      <c r="C3573" s="812"/>
      <c r="D3573" s="812"/>
      <c r="E3573" s="812"/>
      <c r="F3573" s="812"/>
      <c r="G3573" s="812"/>
      <c r="H3573" s="812"/>
    </row>
    <row r="3574" spans="1:8">
      <c r="A3574" s="812"/>
      <c r="B3574" s="812"/>
      <c r="C3574" s="812"/>
      <c r="D3574" s="812"/>
      <c r="E3574" s="812"/>
      <c r="F3574" s="812"/>
      <c r="G3574" s="812"/>
      <c r="H3574" s="812"/>
    </row>
    <row r="3575" spans="1:8">
      <c r="A3575" s="812"/>
      <c r="B3575" s="812"/>
      <c r="C3575" s="812"/>
      <c r="D3575" s="812"/>
      <c r="E3575" s="812"/>
      <c r="F3575" s="812"/>
      <c r="G3575" s="812"/>
      <c r="H3575" s="812"/>
    </row>
    <row r="3576" spans="1:8">
      <c r="A3576" s="812"/>
      <c r="B3576" s="812"/>
      <c r="C3576" s="812"/>
      <c r="D3576" s="812"/>
      <c r="E3576" s="812"/>
      <c r="F3576" s="812"/>
      <c r="G3576" s="812"/>
      <c r="H3576" s="812"/>
    </row>
    <row r="3577" spans="1:8">
      <c r="A3577" s="812"/>
      <c r="B3577" s="812"/>
      <c r="C3577" s="812"/>
      <c r="D3577" s="812"/>
      <c r="E3577" s="812"/>
      <c r="F3577" s="812"/>
      <c r="G3577" s="812"/>
      <c r="H3577" s="812"/>
    </row>
    <row r="3578" spans="1:8">
      <c r="A3578" s="812"/>
      <c r="B3578" s="812"/>
      <c r="C3578" s="812"/>
      <c r="D3578" s="812"/>
      <c r="E3578" s="812"/>
      <c r="F3578" s="812"/>
      <c r="G3578" s="812"/>
      <c r="H3578" s="812"/>
    </row>
    <row r="3579" spans="1:8">
      <c r="A3579" s="812"/>
      <c r="B3579" s="812"/>
      <c r="C3579" s="812"/>
      <c r="D3579" s="812"/>
      <c r="E3579" s="812"/>
      <c r="F3579" s="812"/>
      <c r="G3579" s="812"/>
      <c r="H3579" s="812"/>
    </row>
    <row r="3580" spans="1:8">
      <c r="A3580" s="812"/>
      <c r="B3580" s="812"/>
      <c r="C3580" s="812"/>
      <c r="D3580" s="812"/>
      <c r="E3580" s="812"/>
      <c r="F3580" s="812"/>
      <c r="G3580" s="812"/>
      <c r="H3580" s="812"/>
    </row>
    <row r="3581" spans="1:8">
      <c r="A3581" s="812"/>
      <c r="B3581" s="812"/>
      <c r="C3581" s="812"/>
      <c r="D3581" s="812"/>
      <c r="E3581" s="812"/>
      <c r="F3581" s="812"/>
      <c r="G3581" s="812"/>
      <c r="H3581" s="812"/>
    </row>
    <row r="3582" spans="1:8">
      <c r="A3582" s="812"/>
      <c r="B3582" s="812"/>
      <c r="C3582" s="812"/>
      <c r="D3582" s="812"/>
      <c r="E3582" s="812"/>
      <c r="F3582" s="812"/>
      <c r="G3582" s="812"/>
      <c r="H3582" s="812"/>
    </row>
    <row r="3583" spans="1:8">
      <c r="A3583" s="812"/>
      <c r="B3583" s="812"/>
      <c r="C3583" s="812"/>
      <c r="D3583" s="812"/>
      <c r="E3583" s="812"/>
      <c r="F3583" s="812"/>
      <c r="G3583" s="812"/>
      <c r="H3583" s="812"/>
    </row>
    <row r="3584" spans="1:8">
      <c r="A3584" s="812"/>
      <c r="B3584" s="812"/>
      <c r="C3584" s="812"/>
      <c r="D3584" s="812"/>
      <c r="E3584" s="812"/>
      <c r="F3584" s="812"/>
      <c r="G3584" s="812"/>
      <c r="H3584" s="812"/>
    </row>
    <row r="3585" spans="1:8">
      <c r="A3585" s="812"/>
      <c r="B3585" s="812"/>
      <c r="C3585" s="812"/>
      <c r="D3585" s="812"/>
      <c r="E3585" s="812"/>
      <c r="F3585" s="812"/>
      <c r="G3585" s="812"/>
      <c r="H3585" s="812"/>
    </row>
    <row r="3586" spans="1:8">
      <c r="A3586" s="812"/>
      <c r="B3586" s="812"/>
      <c r="C3586" s="812"/>
      <c r="D3586" s="812"/>
      <c r="E3586" s="812"/>
      <c r="F3586" s="812"/>
      <c r="G3586" s="812"/>
      <c r="H3586" s="812"/>
    </row>
    <row r="3587" spans="1:8">
      <c r="A3587" s="812"/>
      <c r="B3587" s="812"/>
      <c r="C3587" s="812"/>
      <c r="D3587" s="812"/>
      <c r="E3587" s="812"/>
      <c r="F3587" s="812"/>
      <c r="G3587" s="812"/>
      <c r="H3587" s="812"/>
    </row>
    <row r="3588" spans="1:8">
      <c r="A3588" s="812"/>
      <c r="B3588" s="812"/>
      <c r="C3588" s="812"/>
      <c r="D3588" s="812"/>
      <c r="E3588" s="812"/>
      <c r="F3588" s="812"/>
      <c r="G3588" s="812"/>
      <c r="H3588" s="812"/>
    </row>
    <row r="3589" spans="1:8">
      <c r="A3589" s="812"/>
      <c r="B3589" s="812"/>
      <c r="C3589" s="812"/>
      <c r="D3589" s="812"/>
      <c r="E3589" s="812"/>
      <c r="F3589" s="812"/>
      <c r="G3589" s="812"/>
      <c r="H3589" s="812"/>
    </row>
    <row r="3590" spans="1:8">
      <c r="A3590" s="812"/>
      <c r="B3590" s="812"/>
      <c r="C3590" s="812"/>
      <c r="D3590" s="812"/>
      <c r="E3590" s="812"/>
      <c r="F3590" s="812"/>
      <c r="G3590" s="812"/>
      <c r="H3590" s="812"/>
    </row>
    <row r="3591" spans="1:8">
      <c r="A3591" s="812"/>
      <c r="B3591" s="812"/>
      <c r="C3591" s="812"/>
      <c r="D3591" s="812"/>
      <c r="E3591" s="812"/>
      <c r="F3591" s="812"/>
      <c r="G3591" s="812"/>
      <c r="H3591" s="812"/>
    </row>
    <row r="3592" spans="1:8">
      <c r="A3592" s="812"/>
      <c r="B3592" s="812"/>
      <c r="C3592" s="812"/>
      <c r="D3592" s="812"/>
      <c r="E3592" s="812"/>
      <c r="F3592" s="812"/>
      <c r="G3592" s="812"/>
      <c r="H3592" s="812"/>
    </row>
    <row r="3593" spans="1:8">
      <c r="A3593" s="812"/>
      <c r="B3593" s="812"/>
      <c r="C3593" s="812"/>
      <c r="D3593" s="812"/>
      <c r="E3593" s="812"/>
      <c r="F3593" s="812"/>
      <c r="G3593" s="812"/>
      <c r="H3593" s="812"/>
    </row>
    <row r="3594" spans="1:8">
      <c r="A3594" s="812"/>
      <c r="B3594" s="812"/>
      <c r="C3594" s="812"/>
      <c r="D3594" s="812"/>
      <c r="E3594" s="812"/>
      <c r="F3594" s="812"/>
      <c r="G3594" s="812"/>
      <c r="H3594" s="812"/>
    </row>
    <row r="3595" spans="1:8">
      <c r="A3595" s="812"/>
      <c r="B3595" s="812"/>
      <c r="C3595" s="812"/>
      <c r="D3595" s="812"/>
      <c r="E3595" s="812"/>
      <c r="F3595" s="812"/>
      <c r="G3595" s="812"/>
      <c r="H3595" s="812"/>
    </row>
    <row r="3596" spans="1:8">
      <c r="A3596" s="812"/>
      <c r="B3596" s="812"/>
      <c r="C3596" s="812"/>
      <c r="D3596" s="812"/>
      <c r="E3596" s="812"/>
      <c r="F3596" s="812"/>
      <c r="G3596" s="812"/>
      <c r="H3596" s="812"/>
    </row>
    <row r="3597" spans="1:8">
      <c r="A3597" s="812"/>
      <c r="B3597" s="812"/>
      <c r="C3597" s="812"/>
      <c r="D3597" s="812"/>
      <c r="E3597" s="812"/>
      <c r="F3597" s="812"/>
      <c r="G3597" s="812"/>
      <c r="H3597" s="812"/>
    </row>
    <row r="3598" spans="1:8">
      <c r="A3598" s="812"/>
      <c r="B3598" s="812"/>
      <c r="C3598" s="812"/>
      <c r="D3598" s="812"/>
      <c r="E3598" s="812"/>
      <c r="F3598" s="812"/>
      <c r="G3598" s="812"/>
      <c r="H3598" s="812"/>
    </row>
    <row r="3599" spans="1:8">
      <c r="A3599" s="812"/>
      <c r="B3599" s="812"/>
      <c r="C3599" s="812"/>
      <c r="D3599" s="812"/>
      <c r="E3599" s="812"/>
      <c r="F3599" s="812"/>
      <c r="G3599" s="812"/>
      <c r="H3599" s="812"/>
    </row>
    <row r="3600" spans="1:8">
      <c r="A3600" s="812"/>
      <c r="B3600" s="812"/>
      <c r="C3600" s="812"/>
      <c r="D3600" s="812"/>
      <c r="E3600" s="812"/>
      <c r="F3600" s="812"/>
      <c r="G3600" s="812"/>
      <c r="H3600" s="812"/>
    </row>
    <row r="3601" spans="1:8">
      <c r="A3601" s="812"/>
      <c r="B3601" s="812"/>
      <c r="C3601" s="812"/>
      <c r="D3601" s="812"/>
      <c r="E3601" s="812"/>
      <c r="F3601" s="812"/>
      <c r="G3601" s="812"/>
      <c r="H3601" s="812"/>
    </row>
    <row r="3602" spans="1:8">
      <c r="A3602" s="812"/>
      <c r="B3602" s="812"/>
      <c r="C3602" s="812"/>
      <c r="D3602" s="812"/>
      <c r="E3602" s="812"/>
      <c r="F3602" s="812"/>
      <c r="G3602" s="812"/>
      <c r="H3602" s="812"/>
    </row>
    <row r="3603" spans="1:8">
      <c r="A3603" s="812"/>
      <c r="B3603" s="812"/>
      <c r="C3603" s="812"/>
      <c r="D3603" s="812"/>
      <c r="E3603" s="812"/>
      <c r="F3603" s="812"/>
      <c r="G3603" s="812"/>
      <c r="H3603" s="812"/>
    </row>
    <row r="3604" spans="1:8">
      <c r="A3604" s="812"/>
      <c r="B3604" s="812"/>
      <c r="C3604" s="812"/>
      <c r="D3604" s="812"/>
      <c r="E3604" s="812"/>
      <c r="F3604" s="812"/>
      <c r="G3604" s="812"/>
      <c r="H3604" s="812"/>
    </row>
    <row r="3605" spans="1:8">
      <c r="A3605" s="812"/>
      <c r="B3605" s="812"/>
      <c r="C3605" s="812"/>
      <c r="D3605" s="812"/>
      <c r="E3605" s="812"/>
      <c r="F3605" s="812"/>
      <c r="G3605" s="812"/>
      <c r="H3605" s="812"/>
    </row>
    <row r="3606" spans="1:8">
      <c r="A3606" s="812"/>
      <c r="B3606" s="812"/>
      <c r="C3606" s="812"/>
      <c r="D3606" s="812"/>
      <c r="E3606" s="812"/>
      <c r="F3606" s="812"/>
      <c r="G3606" s="812"/>
      <c r="H3606" s="812"/>
    </row>
    <row r="3607" spans="1:8">
      <c r="A3607" s="812"/>
      <c r="B3607" s="812"/>
      <c r="C3607" s="812"/>
      <c r="D3607" s="812"/>
      <c r="E3607" s="812"/>
      <c r="F3607" s="812"/>
      <c r="G3607" s="812"/>
      <c r="H3607" s="812"/>
    </row>
    <row r="3608" spans="1:8">
      <c r="A3608" s="812"/>
      <c r="B3608" s="812"/>
      <c r="C3608" s="812"/>
      <c r="D3608" s="812"/>
      <c r="E3608" s="812"/>
      <c r="F3608" s="812"/>
      <c r="G3608" s="812"/>
      <c r="H3608" s="812"/>
    </row>
    <row r="3609" spans="1:8">
      <c r="A3609" s="812"/>
      <c r="B3609" s="812"/>
      <c r="C3609" s="812"/>
      <c r="D3609" s="812"/>
      <c r="E3609" s="812"/>
      <c r="F3609" s="812"/>
      <c r="G3609" s="812"/>
      <c r="H3609" s="812"/>
    </row>
    <row r="3610" spans="1:8">
      <c r="A3610" s="812"/>
      <c r="B3610" s="812"/>
      <c r="C3610" s="812"/>
      <c r="D3610" s="812"/>
      <c r="E3610" s="812"/>
      <c r="F3610" s="812"/>
      <c r="G3610" s="812"/>
      <c r="H3610" s="812"/>
    </row>
    <row r="3611" spans="1:8">
      <c r="A3611" s="812"/>
      <c r="B3611" s="812"/>
      <c r="C3611" s="812"/>
      <c r="D3611" s="812"/>
      <c r="E3611" s="812"/>
      <c r="F3611" s="812"/>
      <c r="G3611" s="812"/>
      <c r="H3611" s="812"/>
    </row>
    <row r="3612" spans="1:8">
      <c r="A3612" s="812"/>
      <c r="B3612" s="812"/>
      <c r="C3612" s="812"/>
      <c r="D3612" s="812"/>
      <c r="E3612" s="812"/>
      <c r="F3612" s="812"/>
      <c r="G3612" s="812"/>
      <c r="H3612" s="812"/>
    </row>
    <row r="3613" spans="1:8">
      <c r="A3613" s="812"/>
      <c r="B3613" s="812"/>
      <c r="C3613" s="812"/>
      <c r="D3613" s="812"/>
      <c r="E3613" s="812"/>
      <c r="F3613" s="812"/>
      <c r="G3613" s="812"/>
      <c r="H3613" s="812"/>
    </row>
    <row r="3614" spans="1:8">
      <c r="A3614" s="812"/>
      <c r="B3614" s="812"/>
      <c r="C3614" s="812"/>
      <c r="D3614" s="812"/>
      <c r="E3614" s="812"/>
      <c r="F3614" s="812"/>
      <c r="G3614" s="812"/>
      <c r="H3614" s="812"/>
    </row>
    <row r="3615" spans="1:8">
      <c r="A3615" s="812"/>
      <c r="B3615" s="812"/>
      <c r="C3615" s="812"/>
      <c r="D3615" s="812"/>
      <c r="E3615" s="812"/>
      <c r="F3615" s="812"/>
      <c r="G3615" s="812"/>
      <c r="H3615" s="812"/>
    </row>
    <row r="3616" spans="1:8">
      <c r="A3616" s="812"/>
      <c r="B3616" s="812"/>
      <c r="C3616" s="812"/>
      <c r="D3616" s="812"/>
      <c r="E3616" s="812"/>
      <c r="F3616" s="812"/>
      <c r="G3616" s="812"/>
      <c r="H3616" s="812"/>
    </row>
    <row r="3617" spans="1:8">
      <c r="A3617" s="812"/>
      <c r="B3617" s="812"/>
      <c r="C3617" s="812"/>
      <c r="D3617" s="812"/>
      <c r="E3617" s="812"/>
      <c r="F3617" s="812"/>
      <c r="G3617" s="812"/>
      <c r="H3617" s="812"/>
    </row>
    <row r="3618" spans="1:8">
      <c r="A3618" s="812"/>
      <c r="B3618" s="812"/>
      <c r="C3618" s="812"/>
      <c r="D3618" s="812"/>
      <c r="E3618" s="812"/>
      <c r="F3618" s="812"/>
      <c r="G3618" s="812"/>
      <c r="H3618" s="812"/>
    </row>
    <row r="3619" spans="1:8">
      <c r="A3619" s="812"/>
      <c r="B3619" s="812"/>
      <c r="C3619" s="812"/>
      <c r="D3619" s="812"/>
      <c r="E3619" s="812"/>
      <c r="F3619" s="812"/>
      <c r="G3619" s="812"/>
      <c r="H3619" s="812"/>
    </row>
    <row r="3620" spans="1:8">
      <c r="A3620" s="812"/>
      <c r="B3620" s="812"/>
      <c r="C3620" s="812"/>
      <c r="D3620" s="812"/>
      <c r="E3620" s="812"/>
      <c r="F3620" s="812"/>
      <c r="G3620" s="812"/>
      <c r="H3620" s="812"/>
    </row>
    <row r="3621" spans="1:8">
      <c r="A3621" s="812"/>
      <c r="B3621" s="812"/>
      <c r="C3621" s="812"/>
      <c r="D3621" s="812"/>
      <c r="E3621" s="812"/>
      <c r="F3621" s="812"/>
      <c r="G3621" s="812"/>
      <c r="H3621" s="812"/>
    </row>
    <row r="3622" spans="1:8">
      <c r="A3622" s="812"/>
      <c r="B3622" s="812"/>
      <c r="C3622" s="812"/>
      <c r="D3622" s="812"/>
      <c r="E3622" s="812"/>
      <c r="F3622" s="812"/>
      <c r="G3622" s="812"/>
      <c r="H3622" s="812"/>
    </row>
    <row r="3623" spans="1:8">
      <c r="A3623" s="812"/>
      <c r="B3623" s="812"/>
      <c r="C3623" s="812"/>
      <c r="D3623" s="812"/>
      <c r="E3623" s="812"/>
      <c r="F3623" s="812"/>
      <c r="G3623" s="812"/>
      <c r="H3623" s="812"/>
    </row>
    <row r="3624" spans="1:8">
      <c r="A3624" s="812"/>
      <c r="B3624" s="812"/>
      <c r="C3624" s="812"/>
      <c r="D3624" s="812"/>
      <c r="E3624" s="812"/>
      <c r="F3624" s="812"/>
      <c r="G3624" s="812"/>
      <c r="H3624" s="812"/>
    </row>
    <row r="3625" spans="1:8">
      <c r="A3625" s="812"/>
      <c r="B3625" s="812"/>
      <c r="C3625" s="812"/>
      <c r="D3625" s="812"/>
      <c r="E3625" s="812"/>
      <c r="F3625" s="812"/>
      <c r="G3625" s="812"/>
      <c r="H3625" s="812"/>
    </row>
    <row r="3626" spans="1:8">
      <c r="A3626" s="812"/>
      <c r="B3626" s="812"/>
      <c r="C3626" s="812"/>
      <c r="D3626" s="812"/>
      <c r="E3626" s="812"/>
      <c r="F3626" s="812"/>
      <c r="G3626" s="812"/>
      <c r="H3626" s="812"/>
    </row>
    <row r="3627" spans="1:8">
      <c r="A3627" s="812"/>
      <c r="B3627" s="812"/>
      <c r="C3627" s="812"/>
      <c r="D3627" s="812"/>
      <c r="E3627" s="812"/>
      <c r="F3627" s="812"/>
      <c r="G3627" s="812"/>
      <c r="H3627" s="812"/>
    </row>
    <row r="3628" spans="1:8">
      <c r="A3628" s="812"/>
      <c r="B3628" s="812"/>
      <c r="C3628" s="812"/>
      <c r="D3628" s="812"/>
      <c r="E3628" s="812"/>
      <c r="F3628" s="812"/>
      <c r="G3628" s="812"/>
      <c r="H3628" s="812"/>
    </row>
    <row r="3629" spans="1:8">
      <c r="A3629" s="812"/>
      <c r="B3629" s="812"/>
      <c r="C3629" s="812"/>
      <c r="D3629" s="812"/>
      <c r="E3629" s="812"/>
      <c r="F3629" s="812"/>
      <c r="G3629" s="812"/>
      <c r="H3629" s="812"/>
    </row>
    <row r="3630" spans="1:8">
      <c r="A3630" s="812"/>
      <c r="B3630" s="812"/>
      <c r="C3630" s="812"/>
      <c r="D3630" s="812"/>
      <c r="E3630" s="812"/>
      <c r="F3630" s="812"/>
      <c r="G3630" s="812"/>
      <c r="H3630" s="812"/>
    </row>
    <row r="3631" spans="1:8">
      <c r="A3631" s="812"/>
      <c r="B3631" s="812"/>
      <c r="C3631" s="812"/>
      <c r="D3631" s="812"/>
      <c r="E3631" s="812"/>
      <c r="F3631" s="812"/>
      <c r="G3631" s="812"/>
      <c r="H3631" s="812"/>
    </row>
    <row r="3632" spans="1:8">
      <c r="A3632" s="812"/>
      <c r="B3632" s="812"/>
      <c r="C3632" s="812"/>
      <c r="D3632" s="812"/>
      <c r="E3632" s="812"/>
      <c r="F3632" s="812"/>
      <c r="G3632" s="812"/>
      <c r="H3632" s="812"/>
    </row>
    <row r="3633" spans="1:8">
      <c r="A3633" s="812"/>
      <c r="B3633" s="812"/>
      <c r="C3633" s="812"/>
      <c r="D3633" s="812"/>
      <c r="E3633" s="812"/>
      <c r="F3633" s="812"/>
      <c r="G3633" s="812"/>
      <c r="H3633" s="812"/>
    </row>
    <row r="3634" spans="1:8">
      <c r="A3634" s="812"/>
      <c r="B3634" s="812"/>
      <c r="C3634" s="812"/>
      <c r="D3634" s="812"/>
      <c r="E3634" s="812"/>
      <c r="F3634" s="812"/>
      <c r="G3634" s="812"/>
      <c r="H3634" s="812"/>
    </row>
    <row r="3635" spans="1:8">
      <c r="A3635" s="812"/>
      <c r="B3635" s="812"/>
      <c r="C3635" s="812"/>
      <c r="D3635" s="812"/>
      <c r="E3635" s="812"/>
      <c r="F3635" s="812"/>
      <c r="G3635" s="812"/>
      <c r="H3635" s="812"/>
    </row>
    <row r="3636" spans="1:8">
      <c r="A3636" s="812"/>
      <c r="B3636" s="812"/>
      <c r="C3636" s="812"/>
      <c r="D3636" s="812"/>
      <c r="E3636" s="812"/>
      <c r="F3636" s="812"/>
      <c r="G3636" s="812"/>
      <c r="H3636" s="812"/>
    </row>
    <row r="3637" spans="1:8">
      <c r="A3637" s="812"/>
      <c r="B3637" s="812"/>
      <c r="C3637" s="812"/>
      <c r="D3637" s="812"/>
      <c r="E3637" s="812"/>
      <c r="F3637" s="812"/>
      <c r="G3637" s="812"/>
      <c r="H3637" s="812"/>
    </row>
    <row r="3638" spans="1:8">
      <c r="A3638" s="812"/>
      <c r="B3638" s="812"/>
      <c r="C3638" s="812"/>
      <c r="D3638" s="812"/>
      <c r="E3638" s="812"/>
      <c r="F3638" s="812"/>
      <c r="G3638" s="812"/>
      <c r="H3638" s="812"/>
    </row>
    <row r="3639" spans="1:8">
      <c r="A3639" s="812"/>
      <c r="B3639" s="812"/>
      <c r="C3639" s="812"/>
      <c r="D3639" s="812"/>
      <c r="E3639" s="812"/>
      <c r="F3639" s="812"/>
      <c r="G3639" s="812"/>
      <c r="H3639" s="812"/>
    </row>
    <row r="3640" spans="1:8">
      <c r="A3640" s="812"/>
      <c r="B3640" s="812"/>
      <c r="C3640" s="812"/>
      <c r="D3640" s="812"/>
      <c r="E3640" s="812"/>
      <c r="F3640" s="812"/>
      <c r="G3640" s="812"/>
      <c r="H3640" s="812"/>
    </row>
    <row r="3641" spans="1:8">
      <c r="A3641" s="812"/>
      <c r="B3641" s="812"/>
      <c r="C3641" s="812"/>
      <c r="D3641" s="812"/>
      <c r="E3641" s="812"/>
      <c r="F3641" s="812"/>
      <c r="G3641" s="812"/>
      <c r="H3641" s="812"/>
    </row>
    <row r="3642" spans="1:8">
      <c r="A3642" s="812"/>
      <c r="B3642" s="812"/>
      <c r="C3642" s="812"/>
      <c r="D3642" s="812"/>
      <c r="E3642" s="812"/>
      <c r="F3642" s="812"/>
      <c r="G3642" s="812"/>
      <c r="H3642" s="812"/>
    </row>
    <row r="3643" spans="1:8">
      <c r="A3643" s="812"/>
      <c r="B3643" s="812"/>
      <c r="C3643" s="812"/>
      <c r="D3643" s="812"/>
      <c r="E3643" s="812"/>
      <c r="F3643" s="812"/>
      <c r="G3643" s="812"/>
      <c r="H3643" s="812"/>
    </row>
    <row r="3644" spans="1:8">
      <c r="A3644" s="812"/>
      <c r="B3644" s="812"/>
      <c r="C3644" s="812"/>
      <c r="D3644" s="812"/>
      <c r="E3644" s="812"/>
      <c r="F3644" s="812"/>
      <c r="G3644" s="812"/>
      <c r="H3644" s="812"/>
    </row>
    <row r="3645" spans="1:8">
      <c r="A3645" s="812"/>
      <c r="B3645" s="812"/>
      <c r="C3645" s="812"/>
      <c r="D3645" s="812"/>
      <c r="E3645" s="812"/>
      <c r="F3645" s="812"/>
      <c r="G3645" s="812"/>
      <c r="H3645" s="812"/>
    </row>
    <row r="3646" spans="1:8">
      <c r="A3646" s="812"/>
      <c r="B3646" s="812"/>
      <c r="C3646" s="812"/>
      <c r="D3646" s="812"/>
      <c r="E3646" s="812"/>
      <c r="F3646" s="812"/>
      <c r="G3646" s="812"/>
      <c r="H3646" s="812"/>
    </row>
    <row r="3647" spans="1:8">
      <c r="A3647" s="812"/>
      <c r="B3647" s="812"/>
      <c r="C3647" s="812"/>
      <c r="D3647" s="812"/>
      <c r="E3647" s="812"/>
      <c r="F3647" s="812"/>
      <c r="G3647" s="812"/>
      <c r="H3647" s="812"/>
    </row>
    <row r="3648" spans="1:8">
      <c r="A3648" s="812"/>
      <c r="B3648" s="812"/>
      <c r="C3648" s="812"/>
      <c r="D3648" s="812"/>
      <c r="E3648" s="812"/>
      <c r="F3648" s="812"/>
      <c r="G3648" s="812"/>
      <c r="H3648" s="812"/>
    </row>
    <row r="3649" spans="1:8">
      <c r="A3649" s="812"/>
      <c r="B3649" s="812"/>
      <c r="C3649" s="812"/>
      <c r="D3649" s="812"/>
      <c r="E3649" s="812"/>
      <c r="F3649" s="812"/>
      <c r="G3649" s="812"/>
      <c r="H3649" s="812"/>
    </row>
    <row r="3650" spans="1:8">
      <c r="A3650" s="812"/>
      <c r="B3650" s="812"/>
      <c r="C3650" s="812"/>
      <c r="D3650" s="812"/>
      <c r="E3650" s="812"/>
      <c r="F3650" s="812"/>
      <c r="G3650" s="812"/>
      <c r="H3650" s="812"/>
    </row>
    <row r="3651" spans="1:8">
      <c r="A3651" s="812"/>
      <c r="B3651" s="812"/>
      <c r="C3651" s="812"/>
      <c r="D3651" s="812"/>
      <c r="E3651" s="812"/>
      <c r="F3651" s="812"/>
      <c r="G3651" s="812"/>
      <c r="H3651" s="812"/>
    </row>
    <row r="3652" spans="1:8">
      <c r="A3652" s="812"/>
      <c r="B3652" s="812"/>
      <c r="C3652" s="812"/>
      <c r="D3652" s="812"/>
      <c r="E3652" s="812"/>
      <c r="F3652" s="812"/>
      <c r="G3652" s="812"/>
      <c r="H3652" s="812"/>
    </row>
    <row r="3653" spans="1:8">
      <c r="A3653" s="812"/>
      <c r="B3653" s="812"/>
      <c r="C3653" s="812"/>
      <c r="D3653" s="812"/>
      <c r="E3653" s="812"/>
      <c r="F3653" s="812"/>
      <c r="G3653" s="812"/>
      <c r="H3653" s="812"/>
    </row>
    <row r="3654" spans="1:8">
      <c r="A3654" s="812"/>
      <c r="B3654" s="812"/>
      <c r="C3654" s="812"/>
      <c r="D3654" s="812"/>
      <c r="E3654" s="812"/>
      <c r="F3654" s="812"/>
      <c r="G3654" s="812"/>
      <c r="H3654" s="812"/>
    </row>
    <row r="3655" spans="1:8">
      <c r="A3655" s="812"/>
      <c r="B3655" s="812"/>
      <c r="C3655" s="812"/>
      <c r="D3655" s="812"/>
      <c r="E3655" s="812"/>
      <c r="F3655" s="812"/>
      <c r="G3655" s="812"/>
      <c r="H3655" s="812"/>
    </row>
    <row r="3656" spans="1:8">
      <c r="A3656" s="812"/>
      <c r="B3656" s="812"/>
      <c r="C3656" s="812"/>
      <c r="D3656" s="812"/>
      <c r="E3656" s="812"/>
      <c r="F3656" s="812"/>
      <c r="G3656" s="812"/>
      <c r="H3656" s="812"/>
    </row>
    <row r="3657" spans="1:8">
      <c r="A3657" s="812"/>
      <c r="B3657" s="812"/>
      <c r="C3657" s="812"/>
      <c r="D3657" s="812"/>
      <c r="E3657" s="812"/>
      <c r="F3657" s="812"/>
      <c r="G3657" s="812"/>
      <c r="H3657" s="812"/>
    </row>
    <row r="3658" spans="1:8">
      <c r="A3658" s="812"/>
      <c r="B3658" s="812"/>
      <c r="C3658" s="812"/>
      <c r="D3658" s="812"/>
      <c r="E3658" s="812"/>
      <c r="F3658" s="812"/>
      <c r="G3658" s="812"/>
      <c r="H3658" s="812"/>
    </row>
    <row r="3659" spans="1:8">
      <c r="A3659" s="812"/>
      <c r="B3659" s="812"/>
      <c r="C3659" s="812"/>
      <c r="D3659" s="812"/>
      <c r="E3659" s="812"/>
      <c r="F3659" s="812"/>
      <c r="G3659" s="812"/>
      <c r="H3659" s="812"/>
    </row>
    <row r="3660" spans="1:8">
      <c r="A3660" s="812"/>
      <c r="B3660" s="812"/>
      <c r="C3660" s="812"/>
      <c r="D3660" s="812"/>
      <c r="E3660" s="812"/>
      <c r="F3660" s="812"/>
      <c r="G3660" s="812"/>
      <c r="H3660" s="812"/>
    </row>
    <row r="3661" spans="1:8">
      <c r="A3661" s="812"/>
      <c r="B3661" s="812"/>
      <c r="C3661" s="812"/>
      <c r="D3661" s="812"/>
      <c r="E3661" s="812"/>
      <c r="F3661" s="812"/>
      <c r="G3661" s="812"/>
      <c r="H3661" s="812"/>
    </row>
    <row r="3662" spans="1:8">
      <c r="A3662" s="812"/>
      <c r="B3662" s="812"/>
      <c r="C3662" s="812"/>
      <c r="D3662" s="812"/>
      <c r="E3662" s="812"/>
      <c r="F3662" s="812"/>
      <c r="G3662" s="812"/>
      <c r="H3662" s="812"/>
    </row>
    <row r="3663" spans="1:8">
      <c r="A3663" s="812"/>
      <c r="B3663" s="812"/>
      <c r="C3663" s="812"/>
      <c r="D3663" s="812"/>
      <c r="E3663" s="812"/>
      <c r="F3663" s="812"/>
      <c r="G3663" s="812"/>
      <c r="H3663" s="812"/>
    </row>
    <row r="3664" spans="1:8">
      <c r="A3664" s="812"/>
      <c r="B3664" s="812"/>
      <c r="C3664" s="812"/>
      <c r="D3664" s="812"/>
      <c r="E3664" s="812"/>
      <c r="F3664" s="812"/>
      <c r="G3664" s="812"/>
      <c r="H3664" s="812"/>
    </row>
    <row r="3665" spans="1:8">
      <c r="A3665" s="812"/>
      <c r="B3665" s="812"/>
      <c r="C3665" s="812"/>
      <c r="D3665" s="812"/>
      <c r="E3665" s="812"/>
      <c r="F3665" s="812"/>
      <c r="G3665" s="812"/>
      <c r="H3665" s="812"/>
    </row>
    <row r="3666" spans="1:8">
      <c r="A3666" s="812"/>
      <c r="B3666" s="812"/>
      <c r="C3666" s="812"/>
      <c r="D3666" s="812"/>
      <c r="E3666" s="812"/>
      <c r="F3666" s="812"/>
      <c r="G3666" s="812"/>
      <c r="H3666" s="812"/>
    </row>
    <row r="3667" spans="1:8">
      <c r="A3667" s="812"/>
      <c r="B3667" s="812"/>
      <c r="C3667" s="812"/>
      <c r="D3667" s="812"/>
      <c r="E3667" s="812"/>
      <c r="F3667" s="812"/>
      <c r="G3667" s="812"/>
      <c r="H3667" s="812"/>
    </row>
    <row r="3668" spans="1:8">
      <c r="A3668" s="812"/>
      <c r="B3668" s="812"/>
      <c r="C3668" s="812"/>
      <c r="D3668" s="812"/>
      <c r="E3668" s="812"/>
      <c r="F3668" s="812"/>
      <c r="G3668" s="812"/>
      <c r="H3668" s="812"/>
    </row>
    <row r="3669" spans="1:8">
      <c r="A3669" s="812"/>
      <c r="B3669" s="812"/>
      <c r="C3669" s="812"/>
      <c r="D3669" s="812"/>
      <c r="E3669" s="812"/>
      <c r="F3669" s="812"/>
      <c r="G3669" s="812"/>
      <c r="H3669" s="812"/>
    </row>
    <row r="3670" spans="1:8">
      <c r="A3670" s="812"/>
      <c r="B3670" s="812"/>
      <c r="C3670" s="812"/>
      <c r="D3670" s="812"/>
      <c r="E3670" s="812"/>
      <c r="F3670" s="812"/>
      <c r="G3670" s="812"/>
      <c r="H3670" s="812"/>
    </row>
    <row r="3671" spans="1:8">
      <c r="A3671" s="812"/>
      <c r="B3671" s="812"/>
      <c r="C3671" s="812"/>
      <c r="D3671" s="812"/>
      <c r="E3671" s="812"/>
      <c r="F3671" s="812"/>
      <c r="G3671" s="812"/>
      <c r="H3671" s="812"/>
    </row>
    <row r="3672" spans="1:8">
      <c r="A3672" s="812"/>
      <c r="B3672" s="812"/>
      <c r="C3672" s="812"/>
      <c r="D3672" s="812"/>
      <c r="E3672" s="812"/>
      <c r="F3672" s="812"/>
      <c r="G3672" s="812"/>
      <c r="H3672" s="812"/>
    </row>
    <row r="3673" spans="1:8">
      <c r="A3673" s="812"/>
      <c r="B3673" s="812"/>
      <c r="C3673" s="812"/>
      <c r="D3673" s="812"/>
      <c r="E3673" s="812"/>
      <c r="F3673" s="812"/>
      <c r="G3673" s="812"/>
      <c r="H3673" s="812"/>
    </row>
    <row r="3674" spans="1:8">
      <c r="A3674" s="812"/>
      <c r="B3674" s="812"/>
      <c r="C3674" s="812"/>
      <c r="D3674" s="812"/>
      <c r="E3674" s="812"/>
      <c r="F3674" s="812"/>
      <c r="G3674" s="812"/>
      <c r="H3674" s="812"/>
    </row>
    <row r="3675" spans="1:8">
      <c r="A3675" s="812"/>
      <c r="B3675" s="812"/>
      <c r="C3675" s="812"/>
      <c r="D3675" s="812"/>
      <c r="E3675" s="812"/>
      <c r="F3675" s="812"/>
      <c r="G3675" s="812"/>
      <c r="H3675" s="812"/>
    </row>
    <row r="3676" spans="1:8">
      <c r="A3676" s="812"/>
      <c r="B3676" s="812"/>
      <c r="C3676" s="812"/>
      <c r="D3676" s="812"/>
      <c r="E3676" s="812"/>
      <c r="F3676" s="812"/>
      <c r="G3676" s="812"/>
      <c r="H3676" s="812"/>
    </row>
    <row r="3677" spans="1:8">
      <c r="A3677" s="812"/>
      <c r="B3677" s="812"/>
      <c r="C3677" s="812"/>
      <c r="D3677" s="812"/>
      <c r="E3677" s="812"/>
      <c r="F3677" s="812"/>
      <c r="G3677" s="812"/>
      <c r="H3677" s="812"/>
    </row>
    <row r="3678" spans="1:8">
      <c r="A3678" s="812"/>
      <c r="B3678" s="812"/>
      <c r="C3678" s="812"/>
      <c r="D3678" s="812"/>
      <c r="E3678" s="812"/>
      <c r="F3678" s="812"/>
      <c r="G3678" s="812"/>
      <c r="H3678" s="812"/>
    </row>
    <row r="3679" spans="1:8">
      <c r="A3679" s="812"/>
      <c r="B3679" s="812"/>
      <c r="C3679" s="812"/>
      <c r="D3679" s="812"/>
      <c r="E3679" s="812"/>
      <c r="F3679" s="812"/>
      <c r="G3679" s="812"/>
      <c r="H3679" s="812"/>
    </row>
    <row r="3680" spans="1:8">
      <c r="A3680" s="812"/>
      <c r="B3680" s="812"/>
      <c r="C3680" s="812"/>
      <c r="D3680" s="812"/>
      <c r="E3680" s="812"/>
      <c r="F3680" s="812"/>
      <c r="G3680" s="812"/>
      <c r="H3680" s="812"/>
    </row>
    <row r="3681" spans="1:8">
      <c r="A3681" s="812"/>
      <c r="B3681" s="812"/>
      <c r="C3681" s="812"/>
      <c r="D3681" s="812"/>
      <c r="E3681" s="812"/>
      <c r="F3681" s="812"/>
      <c r="G3681" s="812"/>
      <c r="H3681" s="812"/>
    </row>
    <row r="3682" spans="1:8">
      <c r="A3682" s="812"/>
      <c r="B3682" s="812"/>
      <c r="C3682" s="812"/>
      <c r="D3682" s="812"/>
      <c r="E3682" s="812"/>
      <c r="F3682" s="812"/>
      <c r="G3682" s="812"/>
      <c r="H3682" s="812"/>
    </row>
    <row r="3683" spans="1:8">
      <c r="A3683" s="812"/>
      <c r="B3683" s="812"/>
      <c r="C3683" s="812"/>
      <c r="D3683" s="812"/>
      <c r="E3683" s="812"/>
      <c r="F3683" s="812"/>
      <c r="G3683" s="812"/>
      <c r="H3683" s="812"/>
    </row>
    <row r="3684" spans="1:8">
      <c r="A3684" s="812"/>
      <c r="B3684" s="812"/>
      <c r="C3684" s="812"/>
      <c r="D3684" s="812"/>
      <c r="E3684" s="812"/>
      <c r="F3684" s="812"/>
      <c r="G3684" s="812"/>
      <c r="H3684" s="812"/>
    </row>
    <row r="3685" spans="1:8">
      <c r="A3685" s="812"/>
      <c r="B3685" s="812"/>
      <c r="C3685" s="812"/>
      <c r="D3685" s="812"/>
      <c r="E3685" s="812"/>
      <c r="F3685" s="812"/>
      <c r="G3685" s="812"/>
      <c r="H3685" s="812"/>
    </row>
    <row r="3686" spans="1:8">
      <c r="A3686" s="812"/>
      <c r="B3686" s="812"/>
      <c r="C3686" s="812"/>
      <c r="D3686" s="812"/>
      <c r="E3686" s="812"/>
      <c r="F3686" s="812"/>
      <c r="G3686" s="812"/>
      <c r="H3686" s="812"/>
    </row>
    <row r="3687" spans="1:8">
      <c r="A3687" s="812"/>
      <c r="B3687" s="812"/>
      <c r="C3687" s="812"/>
      <c r="D3687" s="812"/>
      <c r="E3687" s="812"/>
      <c r="F3687" s="812"/>
      <c r="G3687" s="812"/>
      <c r="H3687" s="812"/>
    </row>
    <row r="3688" spans="1:8">
      <c r="A3688" s="812"/>
      <c r="B3688" s="812"/>
      <c r="C3688" s="812"/>
      <c r="D3688" s="812"/>
      <c r="E3688" s="812"/>
      <c r="F3688" s="812"/>
      <c r="G3688" s="812"/>
      <c r="H3688" s="812"/>
    </row>
    <row r="3689" spans="1:8">
      <c r="A3689" s="812"/>
      <c r="B3689" s="812"/>
      <c r="C3689" s="812"/>
      <c r="D3689" s="812"/>
      <c r="E3689" s="812"/>
      <c r="F3689" s="812"/>
      <c r="G3689" s="812"/>
      <c r="H3689" s="812"/>
    </row>
    <row r="3690" spans="1:8">
      <c r="A3690" s="812"/>
      <c r="B3690" s="812"/>
      <c r="C3690" s="812"/>
      <c r="D3690" s="812"/>
      <c r="E3690" s="812"/>
      <c r="F3690" s="812"/>
      <c r="G3690" s="812"/>
      <c r="H3690" s="812"/>
    </row>
    <row r="3691" spans="1:8">
      <c r="A3691" s="812"/>
      <c r="B3691" s="812"/>
      <c r="C3691" s="812"/>
      <c r="D3691" s="812"/>
      <c r="E3691" s="812"/>
      <c r="F3691" s="812"/>
      <c r="G3691" s="812"/>
      <c r="H3691" s="812"/>
    </row>
    <row r="3692" spans="1:8">
      <c r="A3692" s="812"/>
      <c r="B3692" s="812"/>
      <c r="C3692" s="812"/>
      <c r="D3692" s="812"/>
      <c r="E3692" s="812"/>
      <c r="F3692" s="812"/>
      <c r="G3692" s="812"/>
      <c r="H3692" s="812"/>
    </row>
    <row r="3693" spans="1:8">
      <c r="A3693" s="812"/>
      <c r="B3693" s="812"/>
      <c r="C3693" s="812"/>
      <c r="D3693" s="812"/>
      <c r="E3693" s="812"/>
      <c r="F3693" s="812"/>
      <c r="G3693" s="812"/>
      <c r="H3693" s="812"/>
    </row>
    <row r="3694" spans="1:8">
      <c r="A3694" s="812"/>
      <c r="B3694" s="812"/>
      <c r="C3694" s="812"/>
      <c r="D3694" s="812"/>
      <c r="E3694" s="812"/>
      <c r="F3694" s="812"/>
      <c r="G3694" s="812"/>
      <c r="H3694" s="812"/>
    </row>
    <row r="3695" spans="1:8">
      <c r="A3695" s="812"/>
      <c r="B3695" s="812"/>
      <c r="C3695" s="812"/>
      <c r="D3695" s="812"/>
      <c r="E3695" s="812"/>
      <c r="F3695" s="812"/>
      <c r="G3695" s="812"/>
      <c r="H3695" s="812"/>
    </row>
    <row r="3696" spans="1:8">
      <c r="A3696" s="812"/>
      <c r="B3696" s="812"/>
      <c r="C3696" s="812"/>
      <c r="D3696" s="812"/>
      <c r="E3696" s="812"/>
      <c r="F3696" s="812"/>
      <c r="G3696" s="812"/>
      <c r="H3696" s="812"/>
    </row>
    <row r="3697" spans="1:8">
      <c r="A3697" s="812"/>
      <c r="B3697" s="812"/>
      <c r="C3697" s="812"/>
      <c r="D3697" s="812"/>
      <c r="E3697" s="812"/>
      <c r="F3697" s="812"/>
      <c r="G3697" s="812"/>
      <c r="H3697" s="812"/>
    </row>
    <row r="3698" spans="1:8">
      <c r="A3698" s="812"/>
      <c r="B3698" s="812"/>
      <c r="C3698" s="812"/>
      <c r="D3698" s="812"/>
      <c r="E3698" s="812"/>
      <c r="F3698" s="812"/>
      <c r="G3698" s="812"/>
      <c r="H3698" s="812"/>
    </row>
    <row r="3699" spans="1:8">
      <c r="A3699" s="812"/>
      <c r="B3699" s="812"/>
      <c r="C3699" s="812"/>
      <c r="D3699" s="812"/>
      <c r="E3699" s="812"/>
      <c r="F3699" s="812"/>
      <c r="G3699" s="812"/>
      <c r="H3699" s="812"/>
    </row>
    <row r="3700" spans="1:8">
      <c r="A3700" s="812"/>
      <c r="B3700" s="812"/>
      <c r="C3700" s="812"/>
      <c r="D3700" s="812"/>
      <c r="E3700" s="812"/>
      <c r="F3700" s="812"/>
      <c r="G3700" s="812"/>
      <c r="H3700" s="812"/>
    </row>
    <row r="3701" spans="1:8">
      <c r="A3701" s="812"/>
      <c r="B3701" s="812"/>
      <c r="C3701" s="812"/>
      <c r="D3701" s="812"/>
      <c r="E3701" s="812"/>
      <c r="F3701" s="812"/>
      <c r="G3701" s="812"/>
      <c r="H3701" s="812"/>
    </row>
    <row r="3702" spans="1:8">
      <c r="A3702" s="812"/>
      <c r="B3702" s="812"/>
      <c r="C3702" s="812"/>
      <c r="D3702" s="812"/>
      <c r="E3702" s="812"/>
      <c r="F3702" s="812"/>
      <c r="G3702" s="812"/>
      <c r="H3702" s="812"/>
    </row>
    <row r="3703" spans="1:8">
      <c r="A3703" s="812"/>
      <c r="B3703" s="812"/>
      <c r="C3703" s="812"/>
      <c r="D3703" s="812"/>
      <c r="E3703" s="812"/>
      <c r="F3703" s="812"/>
      <c r="G3703" s="812"/>
      <c r="H3703" s="812"/>
    </row>
    <row r="3704" spans="1:8">
      <c r="A3704" s="812"/>
      <c r="B3704" s="812"/>
      <c r="C3704" s="812"/>
      <c r="D3704" s="812"/>
      <c r="E3704" s="812"/>
      <c r="F3704" s="812"/>
      <c r="G3704" s="812"/>
      <c r="H3704" s="812"/>
    </row>
    <row r="3705" spans="1:8">
      <c r="A3705" s="812"/>
      <c r="B3705" s="812"/>
      <c r="C3705" s="812"/>
      <c r="D3705" s="812"/>
      <c r="E3705" s="812"/>
      <c r="F3705" s="812"/>
      <c r="G3705" s="812"/>
      <c r="H3705" s="812"/>
    </row>
    <row r="3706" spans="1:8">
      <c r="A3706" s="812"/>
      <c r="B3706" s="812"/>
      <c r="C3706" s="812"/>
      <c r="D3706" s="812"/>
      <c r="E3706" s="812"/>
      <c r="F3706" s="812"/>
      <c r="G3706" s="812"/>
      <c r="H3706" s="812"/>
    </row>
    <row r="3707" spans="1:8">
      <c r="A3707" s="812"/>
      <c r="B3707" s="812"/>
      <c r="C3707" s="812"/>
      <c r="D3707" s="812"/>
      <c r="E3707" s="812"/>
      <c r="F3707" s="812"/>
      <c r="G3707" s="812"/>
      <c r="H3707" s="812"/>
    </row>
    <row r="3708" spans="1:8">
      <c r="A3708" s="812"/>
      <c r="B3708" s="812"/>
      <c r="C3708" s="812"/>
      <c r="D3708" s="812"/>
      <c r="E3708" s="812"/>
      <c r="F3708" s="812"/>
      <c r="G3708" s="812"/>
      <c r="H3708" s="812"/>
    </row>
    <row r="3709" spans="1:8">
      <c r="A3709" s="812"/>
      <c r="B3709" s="812"/>
      <c r="C3709" s="812"/>
      <c r="D3709" s="812"/>
      <c r="E3709" s="812"/>
      <c r="F3709" s="812"/>
      <c r="G3709" s="812"/>
      <c r="H3709" s="812"/>
    </row>
    <row r="3710" spans="1:8">
      <c r="A3710" s="812"/>
      <c r="B3710" s="812"/>
      <c r="C3710" s="812"/>
      <c r="D3710" s="812"/>
      <c r="E3710" s="812"/>
      <c r="F3710" s="812"/>
      <c r="G3710" s="812"/>
      <c r="H3710" s="812"/>
    </row>
    <row r="3711" spans="1:8">
      <c r="A3711" s="812"/>
      <c r="B3711" s="812"/>
      <c r="C3711" s="812"/>
      <c r="D3711" s="812"/>
      <c r="E3711" s="812"/>
      <c r="F3711" s="812"/>
      <c r="G3711" s="812"/>
      <c r="H3711" s="812"/>
    </row>
    <row r="3712" spans="1:8">
      <c r="A3712" s="812"/>
      <c r="B3712" s="812"/>
      <c r="C3712" s="812"/>
      <c r="D3712" s="812"/>
      <c r="E3712" s="812"/>
      <c r="F3712" s="812"/>
      <c r="G3712" s="812"/>
      <c r="H3712" s="812"/>
    </row>
    <row r="3713" spans="1:8">
      <c r="A3713" s="812"/>
      <c r="B3713" s="812"/>
      <c r="C3713" s="812"/>
      <c r="D3713" s="812"/>
      <c r="E3713" s="812"/>
      <c r="F3713" s="812"/>
      <c r="G3713" s="812"/>
      <c r="H3713" s="812"/>
    </row>
    <row r="3714" spans="1:8">
      <c r="A3714" s="812"/>
      <c r="B3714" s="812"/>
      <c r="C3714" s="812"/>
      <c r="D3714" s="812"/>
      <c r="E3714" s="812"/>
      <c r="F3714" s="812"/>
      <c r="G3714" s="812"/>
      <c r="H3714" s="812"/>
    </row>
    <row r="3715" spans="1:8">
      <c r="A3715" s="812"/>
      <c r="B3715" s="812"/>
      <c r="C3715" s="812"/>
      <c r="D3715" s="812"/>
      <c r="E3715" s="812"/>
      <c r="F3715" s="812"/>
      <c r="G3715" s="812"/>
      <c r="H3715" s="812"/>
    </row>
    <row r="3716" spans="1:8">
      <c r="A3716" s="812"/>
      <c r="B3716" s="812"/>
      <c r="C3716" s="812"/>
      <c r="D3716" s="812"/>
      <c r="E3716" s="812"/>
      <c r="F3716" s="812"/>
      <c r="G3716" s="812"/>
      <c r="H3716" s="812"/>
    </row>
    <row r="3717" spans="1:8">
      <c r="A3717" s="812"/>
      <c r="B3717" s="812"/>
      <c r="C3717" s="812"/>
      <c r="D3717" s="812"/>
      <c r="E3717" s="812"/>
      <c r="F3717" s="812"/>
      <c r="G3717" s="812"/>
      <c r="H3717" s="812"/>
    </row>
    <row r="3718" spans="1:8">
      <c r="A3718" s="812"/>
      <c r="B3718" s="812"/>
      <c r="C3718" s="812"/>
      <c r="D3718" s="812"/>
      <c r="E3718" s="812"/>
      <c r="F3718" s="812"/>
      <c r="G3718" s="812"/>
      <c r="H3718" s="812"/>
    </row>
    <row r="3719" spans="1:8">
      <c r="A3719" s="812"/>
      <c r="B3719" s="812"/>
      <c r="C3719" s="812"/>
      <c r="D3719" s="812"/>
      <c r="E3719" s="812"/>
      <c r="F3719" s="812"/>
      <c r="G3719" s="812"/>
      <c r="H3719" s="812"/>
    </row>
    <row r="3720" spans="1:8">
      <c r="A3720" s="812"/>
      <c r="B3720" s="812"/>
      <c r="C3720" s="812"/>
      <c r="D3720" s="812"/>
      <c r="E3720" s="812"/>
      <c r="F3720" s="812"/>
      <c r="G3720" s="812"/>
      <c r="H3720" s="812"/>
    </row>
    <row r="3721" spans="1:8">
      <c r="A3721" s="812"/>
      <c r="B3721" s="812"/>
      <c r="C3721" s="812"/>
      <c r="D3721" s="812"/>
      <c r="E3721" s="812"/>
      <c r="F3721" s="812"/>
      <c r="G3721" s="812"/>
      <c r="H3721" s="812"/>
    </row>
    <row r="3722" spans="1:8">
      <c r="A3722" s="812"/>
      <c r="B3722" s="812"/>
      <c r="C3722" s="812"/>
      <c r="D3722" s="812"/>
      <c r="E3722" s="812"/>
      <c r="F3722" s="812"/>
      <c r="G3722" s="812"/>
      <c r="H3722" s="812"/>
    </row>
    <row r="3723" spans="1:8">
      <c r="A3723" s="812"/>
      <c r="B3723" s="812"/>
      <c r="C3723" s="812"/>
      <c r="D3723" s="812"/>
      <c r="E3723" s="812"/>
      <c r="F3723" s="812"/>
      <c r="G3723" s="812"/>
      <c r="H3723" s="812"/>
    </row>
    <row r="3724" spans="1:8">
      <c r="A3724" s="812"/>
      <c r="B3724" s="812"/>
      <c r="C3724" s="812"/>
      <c r="D3724" s="812"/>
      <c r="E3724" s="812"/>
      <c r="F3724" s="812"/>
      <c r="G3724" s="812"/>
      <c r="H3724" s="812"/>
    </row>
    <row r="3725" spans="1:8">
      <c r="A3725" s="812"/>
      <c r="B3725" s="812"/>
      <c r="C3725" s="812"/>
      <c r="D3725" s="812"/>
      <c r="E3725" s="812"/>
      <c r="F3725" s="812"/>
      <c r="G3725" s="812"/>
      <c r="H3725" s="812"/>
    </row>
    <row r="3726" spans="1:8">
      <c r="A3726" s="812"/>
      <c r="B3726" s="812"/>
      <c r="C3726" s="812"/>
      <c r="D3726" s="812"/>
      <c r="E3726" s="812"/>
      <c r="F3726" s="812"/>
      <c r="G3726" s="812"/>
      <c r="H3726" s="812"/>
    </row>
    <row r="3727" spans="1:8">
      <c r="A3727" s="812"/>
      <c r="B3727" s="812"/>
      <c r="C3727" s="812"/>
      <c r="D3727" s="812"/>
      <c r="E3727" s="812"/>
      <c r="F3727" s="812"/>
      <c r="G3727" s="812"/>
      <c r="H3727" s="812"/>
    </row>
    <row r="3728" spans="1:8">
      <c r="A3728" s="812"/>
      <c r="B3728" s="812"/>
      <c r="C3728" s="812"/>
      <c r="D3728" s="812"/>
      <c r="E3728" s="812"/>
      <c r="F3728" s="812"/>
      <c r="G3728" s="812"/>
      <c r="H3728" s="812"/>
    </row>
    <row r="3729" spans="1:8">
      <c r="A3729" s="812"/>
      <c r="B3729" s="812"/>
      <c r="C3729" s="812"/>
      <c r="D3729" s="812"/>
      <c r="E3729" s="812"/>
      <c r="F3729" s="812"/>
      <c r="G3729" s="812"/>
      <c r="H3729" s="812"/>
    </row>
    <row r="3730" spans="1:8">
      <c r="A3730" s="812"/>
      <c r="B3730" s="812"/>
      <c r="C3730" s="812"/>
      <c r="D3730" s="812"/>
      <c r="E3730" s="812"/>
      <c r="F3730" s="812"/>
      <c r="G3730" s="812"/>
      <c r="H3730" s="812"/>
    </row>
    <row r="3731" spans="1:8">
      <c r="A3731" s="812"/>
      <c r="B3731" s="812"/>
      <c r="C3731" s="812"/>
      <c r="D3731" s="812"/>
      <c r="E3731" s="812"/>
      <c r="F3731" s="812"/>
      <c r="G3731" s="812"/>
      <c r="H3731" s="812"/>
    </row>
    <row r="3732" spans="1:8">
      <c r="A3732" s="812"/>
      <c r="B3732" s="812"/>
      <c r="C3732" s="812"/>
      <c r="D3732" s="812"/>
      <c r="E3732" s="812"/>
      <c r="F3732" s="812"/>
      <c r="G3732" s="812"/>
      <c r="H3732" s="812"/>
    </row>
    <row r="3733" spans="1:8">
      <c r="A3733" s="812"/>
      <c r="B3733" s="812"/>
      <c r="C3733" s="812"/>
      <c r="D3733" s="812"/>
      <c r="E3733" s="812"/>
      <c r="F3733" s="812"/>
      <c r="G3733" s="812"/>
      <c r="H3733" s="812"/>
    </row>
    <row r="3734" spans="1:8">
      <c r="A3734" s="812"/>
      <c r="B3734" s="812"/>
      <c r="C3734" s="812"/>
      <c r="D3734" s="812"/>
      <c r="E3734" s="812"/>
      <c r="F3734" s="812"/>
      <c r="G3734" s="812"/>
      <c r="H3734" s="812"/>
    </row>
    <row r="3735" spans="1:8">
      <c r="A3735" s="812"/>
      <c r="B3735" s="812"/>
      <c r="C3735" s="812"/>
      <c r="D3735" s="812"/>
      <c r="E3735" s="812"/>
      <c r="F3735" s="812"/>
      <c r="G3735" s="812"/>
      <c r="H3735" s="812"/>
    </row>
    <row r="3736" spans="1:8">
      <c r="A3736" s="812"/>
      <c r="B3736" s="812"/>
      <c r="C3736" s="812"/>
      <c r="D3736" s="812"/>
      <c r="E3736" s="812"/>
      <c r="F3736" s="812"/>
      <c r="G3736" s="812"/>
      <c r="H3736" s="812"/>
    </row>
    <row r="3737" spans="1:8">
      <c r="A3737" s="812"/>
      <c r="B3737" s="812"/>
      <c r="C3737" s="812"/>
      <c r="D3737" s="812"/>
      <c r="E3737" s="812"/>
      <c r="F3737" s="812"/>
      <c r="G3737" s="812"/>
      <c r="H3737" s="812"/>
    </row>
    <row r="3738" spans="1:8">
      <c r="A3738" s="812"/>
      <c r="B3738" s="812"/>
      <c r="C3738" s="812"/>
      <c r="D3738" s="812"/>
      <c r="E3738" s="812"/>
      <c r="F3738" s="812"/>
      <c r="G3738" s="812"/>
      <c r="H3738" s="812"/>
    </row>
    <row r="3739" spans="1:8">
      <c r="A3739" s="812"/>
      <c r="B3739" s="812"/>
      <c r="C3739" s="812"/>
      <c r="D3739" s="812"/>
      <c r="E3739" s="812"/>
      <c r="F3739" s="812"/>
      <c r="G3739" s="812"/>
      <c r="H3739" s="812"/>
    </row>
    <row r="3740" spans="1:8">
      <c r="A3740" s="812"/>
      <c r="B3740" s="812"/>
      <c r="C3740" s="812"/>
      <c r="D3740" s="812"/>
      <c r="E3740" s="812"/>
      <c r="F3740" s="812"/>
      <c r="G3740" s="812"/>
      <c r="H3740" s="812"/>
    </row>
    <row r="3741" spans="1:8">
      <c r="A3741" s="812"/>
      <c r="B3741" s="812"/>
      <c r="C3741" s="812"/>
      <c r="D3741" s="812"/>
      <c r="E3741" s="812"/>
      <c r="F3741" s="812"/>
      <c r="G3741" s="812"/>
      <c r="H3741" s="812"/>
    </row>
    <row r="3742" spans="1:8">
      <c r="A3742" s="812"/>
      <c r="B3742" s="812"/>
      <c r="C3742" s="812"/>
      <c r="D3742" s="812"/>
      <c r="E3742" s="812"/>
      <c r="F3742" s="812"/>
      <c r="G3742" s="812"/>
      <c r="H3742" s="812"/>
    </row>
    <row r="3743" spans="1:8">
      <c r="A3743" s="812"/>
      <c r="B3743" s="812"/>
      <c r="C3743" s="812"/>
      <c r="D3743" s="812"/>
      <c r="E3743" s="812"/>
      <c r="F3743" s="812"/>
      <c r="G3743" s="812"/>
      <c r="H3743" s="812"/>
    </row>
    <row r="3744" spans="1:8">
      <c r="A3744" s="812"/>
      <c r="B3744" s="812"/>
      <c r="C3744" s="812"/>
      <c r="D3744" s="812"/>
      <c r="E3744" s="812"/>
      <c r="F3744" s="812"/>
      <c r="G3744" s="812"/>
      <c r="H3744" s="812"/>
    </row>
    <row r="3745" spans="1:8">
      <c r="A3745" s="812"/>
      <c r="B3745" s="812"/>
      <c r="C3745" s="812"/>
      <c r="D3745" s="812"/>
      <c r="E3745" s="812"/>
      <c r="F3745" s="812"/>
      <c r="G3745" s="812"/>
      <c r="H3745" s="812"/>
    </row>
    <row r="3746" spans="1:8">
      <c r="A3746" s="812"/>
      <c r="B3746" s="812"/>
      <c r="C3746" s="812"/>
      <c r="D3746" s="812"/>
      <c r="E3746" s="812"/>
      <c r="F3746" s="812"/>
      <c r="G3746" s="812"/>
      <c r="H3746" s="812"/>
    </row>
    <row r="3747" spans="1:8">
      <c r="A3747" s="812"/>
      <c r="B3747" s="812"/>
      <c r="C3747" s="812"/>
      <c r="D3747" s="812"/>
      <c r="E3747" s="812"/>
      <c r="F3747" s="812"/>
      <c r="G3747" s="812"/>
      <c r="H3747" s="812"/>
    </row>
    <row r="3748" spans="1:8">
      <c r="A3748" s="812"/>
      <c r="B3748" s="812"/>
      <c r="C3748" s="812"/>
      <c r="D3748" s="812"/>
      <c r="E3748" s="812"/>
      <c r="F3748" s="812"/>
      <c r="G3748" s="812"/>
      <c r="H3748" s="812"/>
    </row>
    <row r="3749" spans="1:8">
      <c r="A3749" s="812"/>
      <c r="B3749" s="812"/>
      <c r="C3749" s="812"/>
      <c r="D3749" s="812"/>
      <c r="E3749" s="812"/>
      <c r="F3749" s="812"/>
      <c r="G3749" s="812"/>
      <c r="H3749" s="812"/>
    </row>
    <row r="3750" spans="1:8">
      <c r="A3750" s="812"/>
      <c r="B3750" s="812"/>
      <c r="C3750" s="812"/>
      <c r="D3750" s="812"/>
      <c r="E3750" s="812"/>
      <c r="F3750" s="812"/>
      <c r="G3750" s="812"/>
      <c r="H3750" s="812"/>
    </row>
    <row r="3751" spans="1:8">
      <c r="A3751" s="812"/>
      <c r="B3751" s="812"/>
      <c r="C3751" s="812"/>
      <c r="D3751" s="812"/>
      <c r="E3751" s="812"/>
      <c r="F3751" s="812"/>
      <c r="G3751" s="812"/>
      <c r="H3751" s="812"/>
    </row>
    <row r="3752" spans="1:8">
      <c r="A3752" s="812"/>
      <c r="B3752" s="812"/>
      <c r="C3752" s="812"/>
      <c r="D3752" s="812"/>
      <c r="E3752" s="812"/>
      <c r="F3752" s="812"/>
      <c r="G3752" s="812"/>
      <c r="H3752" s="812"/>
    </row>
    <row r="3753" spans="1:8">
      <c r="A3753" s="812"/>
      <c r="B3753" s="812"/>
      <c r="C3753" s="812"/>
      <c r="D3753" s="812"/>
      <c r="E3753" s="812"/>
      <c r="F3753" s="812"/>
      <c r="G3753" s="812"/>
      <c r="H3753" s="812"/>
    </row>
    <row r="3754" spans="1:8">
      <c r="A3754" s="812"/>
      <c r="B3754" s="812"/>
      <c r="C3754" s="812"/>
      <c r="D3754" s="812"/>
      <c r="E3754" s="812"/>
      <c r="F3754" s="812"/>
      <c r="G3754" s="812"/>
      <c r="H3754" s="812"/>
    </row>
    <row r="3755" spans="1:8">
      <c r="A3755" s="812"/>
      <c r="B3755" s="812"/>
      <c r="C3755" s="812"/>
      <c r="D3755" s="812"/>
      <c r="E3755" s="812"/>
      <c r="F3755" s="812"/>
      <c r="G3755" s="812"/>
      <c r="H3755" s="812"/>
    </row>
    <row r="3756" spans="1:8">
      <c r="A3756" s="812"/>
      <c r="B3756" s="812"/>
      <c r="C3756" s="812"/>
      <c r="D3756" s="812"/>
      <c r="E3756" s="812"/>
      <c r="F3756" s="812"/>
      <c r="G3756" s="812"/>
      <c r="H3756" s="812"/>
    </row>
    <row r="3757" spans="1:8">
      <c r="A3757" s="812"/>
      <c r="B3757" s="812"/>
      <c r="C3757" s="812"/>
      <c r="D3757" s="812"/>
      <c r="E3757" s="812"/>
      <c r="F3757" s="812"/>
      <c r="G3757" s="812"/>
      <c r="H3757" s="812"/>
    </row>
    <row r="3758" spans="1:8">
      <c r="A3758" s="812"/>
      <c r="B3758" s="812"/>
      <c r="C3758" s="812"/>
      <c r="D3758" s="812"/>
      <c r="E3758" s="812"/>
      <c r="F3758" s="812"/>
      <c r="G3758" s="812"/>
      <c r="H3758" s="812"/>
    </row>
    <row r="3759" spans="1:8">
      <c r="A3759" s="812"/>
      <c r="B3759" s="812"/>
      <c r="C3759" s="812"/>
      <c r="D3759" s="812"/>
      <c r="E3759" s="812"/>
      <c r="F3759" s="812"/>
      <c r="G3759" s="812"/>
      <c r="H3759" s="812"/>
    </row>
    <row r="3760" spans="1:8">
      <c r="A3760" s="812"/>
      <c r="B3760" s="812"/>
      <c r="C3760" s="812"/>
      <c r="D3760" s="812"/>
      <c r="E3760" s="812"/>
      <c r="F3760" s="812"/>
      <c r="G3760" s="812"/>
      <c r="H3760" s="812"/>
    </row>
    <row r="3761" spans="1:8">
      <c r="A3761" s="812"/>
      <c r="B3761" s="812"/>
      <c r="C3761" s="812"/>
      <c r="D3761" s="812"/>
      <c r="E3761" s="812"/>
      <c r="F3761" s="812"/>
      <c r="G3761" s="812"/>
      <c r="H3761" s="812"/>
    </row>
    <row r="3762" spans="1:8">
      <c r="A3762" s="812"/>
      <c r="B3762" s="812"/>
      <c r="C3762" s="812"/>
      <c r="D3762" s="812"/>
      <c r="E3762" s="812"/>
      <c r="F3762" s="812"/>
      <c r="G3762" s="812"/>
      <c r="H3762" s="812"/>
    </row>
    <row r="3763" spans="1:8">
      <c r="A3763" s="812"/>
      <c r="B3763" s="812"/>
      <c r="C3763" s="812"/>
      <c r="D3763" s="812"/>
      <c r="E3763" s="812"/>
      <c r="F3763" s="812"/>
      <c r="G3763" s="812"/>
      <c r="H3763" s="812"/>
    </row>
    <row r="3764" spans="1:8">
      <c r="A3764" s="812"/>
      <c r="B3764" s="812"/>
      <c r="C3764" s="812"/>
      <c r="D3764" s="812"/>
      <c r="E3764" s="812"/>
      <c r="F3764" s="812"/>
      <c r="G3764" s="812"/>
      <c r="H3764" s="812"/>
    </row>
    <row r="3765" spans="1:8">
      <c r="A3765" s="812"/>
      <c r="B3765" s="812"/>
      <c r="C3765" s="812"/>
      <c r="D3765" s="812"/>
      <c r="E3765" s="812"/>
      <c r="F3765" s="812"/>
      <c r="G3765" s="812"/>
      <c r="H3765" s="812"/>
    </row>
    <row r="3766" spans="1:8">
      <c r="A3766" s="812"/>
      <c r="B3766" s="812"/>
      <c r="C3766" s="812"/>
      <c r="D3766" s="812"/>
      <c r="E3766" s="812"/>
      <c r="F3766" s="812"/>
      <c r="G3766" s="812"/>
      <c r="H3766" s="812"/>
    </row>
    <row r="3767" spans="1:8">
      <c r="A3767" s="812"/>
      <c r="B3767" s="812"/>
      <c r="C3767" s="812"/>
      <c r="D3767" s="812"/>
      <c r="E3767" s="812"/>
      <c r="F3767" s="812"/>
      <c r="G3767" s="812"/>
      <c r="H3767" s="812"/>
    </row>
    <row r="3768" spans="1:8">
      <c r="A3768" s="812"/>
      <c r="B3768" s="812"/>
      <c r="C3768" s="812"/>
      <c r="D3768" s="812"/>
      <c r="E3768" s="812"/>
      <c r="F3768" s="812"/>
      <c r="G3768" s="812"/>
      <c r="H3768" s="812"/>
    </row>
    <row r="3769" spans="1:8">
      <c r="A3769" s="812"/>
      <c r="B3769" s="812"/>
      <c r="C3769" s="812"/>
      <c r="D3769" s="812"/>
      <c r="E3769" s="812"/>
      <c r="F3769" s="812"/>
      <c r="G3769" s="812"/>
      <c r="H3769" s="812"/>
    </row>
    <row r="3770" spans="1:8">
      <c r="A3770" s="812"/>
      <c r="B3770" s="812"/>
      <c r="C3770" s="812"/>
      <c r="D3770" s="812"/>
      <c r="E3770" s="812"/>
      <c r="F3770" s="812"/>
      <c r="G3770" s="812"/>
      <c r="H3770" s="812"/>
    </row>
    <row r="3771" spans="1:8">
      <c r="A3771" s="812"/>
      <c r="B3771" s="812"/>
      <c r="C3771" s="812"/>
      <c r="D3771" s="812"/>
      <c r="E3771" s="812"/>
      <c r="F3771" s="812"/>
      <c r="G3771" s="812"/>
      <c r="H3771" s="812"/>
    </row>
    <row r="3772" spans="1:8">
      <c r="A3772" s="812"/>
      <c r="B3772" s="812"/>
      <c r="C3772" s="812"/>
      <c r="D3772" s="812"/>
      <c r="E3772" s="812"/>
      <c r="F3772" s="812"/>
      <c r="G3772" s="812"/>
      <c r="H3772" s="812"/>
    </row>
    <row r="3773" spans="1:8">
      <c r="A3773" s="812"/>
      <c r="B3773" s="812"/>
      <c r="C3773" s="812"/>
      <c r="D3773" s="812"/>
      <c r="E3773" s="812"/>
      <c r="F3773" s="812"/>
      <c r="G3773" s="812"/>
      <c r="H3773" s="812"/>
    </row>
    <row r="3774" spans="1:8">
      <c r="A3774" s="812"/>
      <c r="B3774" s="812"/>
      <c r="C3774" s="812"/>
      <c r="D3774" s="812"/>
      <c r="E3774" s="812"/>
      <c r="F3774" s="812"/>
      <c r="G3774" s="812"/>
      <c r="H3774" s="812"/>
    </row>
    <row r="3775" spans="1:8">
      <c r="A3775" s="812"/>
      <c r="B3775" s="812"/>
      <c r="C3775" s="812"/>
      <c r="D3775" s="812"/>
      <c r="E3775" s="812"/>
      <c r="F3775" s="812"/>
      <c r="G3775" s="812"/>
      <c r="H3775" s="812"/>
    </row>
    <row r="3776" spans="1:8">
      <c r="A3776" s="812"/>
      <c r="B3776" s="812"/>
      <c r="C3776" s="812"/>
      <c r="D3776" s="812"/>
      <c r="E3776" s="812"/>
      <c r="F3776" s="812"/>
      <c r="G3776" s="812"/>
      <c r="H3776" s="812"/>
    </row>
    <row r="3777" spans="1:8">
      <c r="A3777" s="812"/>
      <c r="B3777" s="812"/>
      <c r="C3777" s="812"/>
      <c r="D3777" s="812"/>
      <c r="E3777" s="812"/>
      <c r="F3777" s="812"/>
      <c r="G3777" s="812"/>
      <c r="H3777" s="812"/>
    </row>
    <row r="3778" spans="1:8">
      <c r="A3778" s="812"/>
      <c r="B3778" s="812"/>
      <c r="C3778" s="812"/>
      <c r="D3778" s="812"/>
      <c r="E3778" s="812"/>
      <c r="F3778" s="812"/>
      <c r="G3778" s="812"/>
      <c r="H3778" s="812"/>
    </row>
    <row r="3779" spans="1:8">
      <c r="A3779" s="812"/>
      <c r="B3779" s="812"/>
      <c r="C3779" s="812"/>
      <c r="D3779" s="812"/>
      <c r="E3779" s="812"/>
      <c r="F3779" s="812"/>
      <c r="G3779" s="812"/>
      <c r="H3779" s="812"/>
    </row>
    <row r="3780" spans="1:8">
      <c r="A3780" s="812"/>
      <c r="B3780" s="812"/>
      <c r="C3780" s="812"/>
      <c r="D3780" s="812"/>
      <c r="E3780" s="812"/>
      <c r="F3780" s="812"/>
      <c r="G3780" s="812"/>
      <c r="H3780" s="812"/>
    </row>
    <row r="3781" spans="1:8">
      <c r="A3781" s="812"/>
      <c r="B3781" s="812"/>
      <c r="C3781" s="812"/>
      <c r="D3781" s="812"/>
      <c r="E3781" s="812"/>
      <c r="F3781" s="812"/>
      <c r="G3781" s="812"/>
      <c r="H3781" s="812"/>
    </row>
    <row r="3782" spans="1:8">
      <c r="A3782" s="812"/>
      <c r="B3782" s="812"/>
      <c r="C3782" s="812"/>
      <c r="D3782" s="812"/>
      <c r="E3782" s="812"/>
      <c r="F3782" s="812"/>
      <c r="G3782" s="812"/>
      <c r="H3782" s="812"/>
    </row>
    <row r="3783" spans="1:8">
      <c r="A3783" s="812"/>
      <c r="B3783" s="812"/>
      <c r="C3783" s="812"/>
      <c r="D3783" s="812"/>
      <c r="E3783" s="812"/>
      <c r="F3783" s="812"/>
      <c r="G3783" s="812"/>
      <c r="H3783" s="812"/>
    </row>
    <row r="3784" spans="1:8">
      <c r="A3784" s="812"/>
      <c r="B3784" s="812"/>
      <c r="C3784" s="812"/>
      <c r="D3784" s="812"/>
      <c r="E3784" s="812"/>
      <c r="F3784" s="812"/>
      <c r="G3784" s="812"/>
      <c r="H3784" s="812"/>
    </row>
    <row r="3785" spans="1:8">
      <c r="A3785" s="812"/>
      <c r="B3785" s="812"/>
      <c r="C3785" s="812"/>
      <c r="D3785" s="812"/>
      <c r="E3785" s="812"/>
      <c r="F3785" s="812"/>
      <c r="G3785" s="812"/>
      <c r="H3785" s="812"/>
    </row>
    <row r="3786" spans="1:8">
      <c r="A3786" s="812"/>
      <c r="B3786" s="812"/>
      <c r="C3786" s="812"/>
      <c r="D3786" s="812"/>
      <c r="E3786" s="812"/>
      <c r="F3786" s="812"/>
      <c r="G3786" s="812"/>
      <c r="H3786" s="812"/>
    </row>
    <row r="3787" spans="1:8">
      <c r="A3787" s="812"/>
      <c r="B3787" s="812"/>
      <c r="C3787" s="812"/>
      <c r="D3787" s="812"/>
      <c r="E3787" s="812"/>
      <c r="F3787" s="812"/>
      <c r="G3787" s="812"/>
      <c r="H3787" s="812"/>
    </row>
    <row r="3788" spans="1:8">
      <c r="A3788" s="812"/>
      <c r="B3788" s="812"/>
      <c r="C3788" s="812"/>
      <c r="D3788" s="812"/>
      <c r="E3788" s="812"/>
      <c r="F3788" s="812"/>
      <c r="G3788" s="812"/>
      <c r="H3788" s="812"/>
    </row>
    <row r="3789" spans="1:8">
      <c r="A3789" s="812"/>
      <c r="B3789" s="812"/>
      <c r="C3789" s="812"/>
      <c r="D3789" s="812"/>
      <c r="E3789" s="812"/>
      <c r="F3789" s="812"/>
      <c r="G3789" s="812"/>
      <c r="H3789" s="812"/>
    </row>
    <row r="3790" spans="1:8">
      <c r="A3790" s="812"/>
      <c r="B3790" s="812"/>
      <c r="C3790" s="812"/>
      <c r="D3790" s="812"/>
      <c r="E3790" s="812"/>
      <c r="F3790" s="812"/>
      <c r="G3790" s="812"/>
      <c r="H3790" s="812"/>
    </row>
    <row r="3791" spans="1:8">
      <c r="A3791" s="812"/>
      <c r="B3791" s="812"/>
      <c r="C3791" s="812"/>
      <c r="D3791" s="812"/>
      <c r="E3791" s="812"/>
      <c r="F3791" s="812"/>
      <c r="G3791" s="812"/>
      <c r="H3791" s="812"/>
    </row>
    <row r="3792" spans="1:8">
      <c r="A3792" s="812"/>
      <c r="B3792" s="812"/>
      <c r="C3792" s="812"/>
      <c r="D3792" s="812"/>
      <c r="E3792" s="812"/>
      <c r="F3792" s="812"/>
      <c r="G3792" s="812"/>
      <c r="H3792" s="812"/>
    </row>
    <row r="3793" spans="1:8">
      <c r="A3793" s="812"/>
      <c r="B3793" s="812"/>
      <c r="C3793" s="812"/>
      <c r="D3793" s="812"/>
      <c r="E3793" s="812"/>
      <c r="F3793" s="812"/>
      <c r="G3793" s="812"/>
      <c r="H3793" s="812"/>
    </row>
    <row r="3794" spans="1:8">
      <c r="A3794" s="812"/>
      <c r="B3794" s="812"/>
      <c r="C3794" s="812"/>
      <c r="D3794" s="812"/>
      <c r="E3794" s="812"/>
      <c r="F3794" s="812"/>
      <c r="G3794" s="812"/>
      <c r="H3794" s="812"/>
    </row>
    <row r="3795" spans="1:8">
      <c r="A3795" s="812"/>
      <c r="B3795" s="812"/>
      <c r="C3795" s="812"/>
      <c r="D3795" s="812"/>
      <c r="E3795" s="812"/>
      <c r="F3795" s="812"/>
      <c r="G3795" s="812"/>
      <c r="H3795" s="812"/>
    </row>
    <row r="3796" spans="1:8">
      <c r="A3796" s="812"/>
      <c r="B3796" s="812"/>
      <c r="C3796" s="812"/>
      <c r="D3796" s="812"/>
      <c r="E3796" s="812"/>
      <c r="F3796" s="812"/>
      <c r="G3796" s="812"/>
      <c r="H3796" s="812"/>
    </row>
    <row r="3797" spans="1:8">
      <c r="A3797" s="812"/>
      <c r="B3797" s="812"/>
      <c r="C3797" s="812"/>
      <c r="D3797" s="812"/>
      <c r="E3797" s="812"/>
      <c r="F3797" s="812"/>
      <c r="G3797" s="812"/>
      <c r="H3797" s="812"/>
    </row>
    <row r="3798" spans="1:8">
      <c r="A3798" s="812"/>
      <c r="B3798" s="812"/>
      <c r="C3798" s="812"/>
      <c r="D3798" s="812"/>
      <c r="E3798" s="812"/>
      <c r="F3798" s="812"/>
      <c r="G3798" s="812"/>
      <c r="H3798" s="812"/>
    </row>
    <row r="3799" spans="1:8">
      <c r="A3799" s="812"/>
      <c r="B3799" s="812"/>
      <c r="C3799" s="812"/>
      <c r="D3799" s="812"/>
      <c r="E3799" s="812"/>
      <c r="F3799" s="812"/>
      <c r="G3799" s="812"/>
      <c r="H3799" s="812"/>
    </row>
    <row r="3800" spans="1:8">
      <c r="A3800" s="812"/>
      <c r="B3800" s="812"/>
      <c r="C3800" s="812"/>
      <c r="D3800" s="812"/>
      <c r="E3800" s="812"/>
      <c r="F3800" s="812"/>
      <c r="G3800" s="812"/>
      <c r="H3800" s="812"/>
    </row>
    <row r="3801" spans="1:8">
      <c r="A3801" s="812"/>
      <c r="B3801" s="812"/>
      <c r="C3801" s="812"/>
      <c r="D3801" s="812"/>
      <c r="E3801" s="812"/>
      <c r="F3801" s="812"/>
      <c r="G3801" s="812"/>
      <c r="H3801" s="812"/>
    </row>
    <row r="3802" spans="1:8">
      <c r="A3802" s="812"/>
      <c r="B3802" s="812"/>
      <c r="C3802" s="812"/>
      <c r="D3802" s="812"/>
      <c r="E3802" s="812"/>
      <c r="F3802" s="812"/>
      <c r="G3802" s="812"/>
      <c r="H3802" s="812"/>
    </row>
    <row r="3803" spans="1:8">
      <c r="A3803" s="812"/>
      <c r="B3803" s="812"/>
      <c r="C3803" s="812"/>
      <c r="D3803" s="812"/>
      <c r="E3803" s="812"/>
      <c r="F3803" s="812"/>
      <c r="G3803" s="812"/>
      <c r="H3803" s="812"/>
    </row>
    <row r="3804" spans="1:8">
      <c r="A3804" s="812"/>
      <c r="B3804" s="812"/>
      <c r="C3804" s="812"/>
      <c r="D3804" s="812"/>
      <c r="E3804" s="812"/>
      <c r="F3804" s="812"/>
      <c r="G3804" s="812"/>
      <c r="H3804" s="812"/>
    </row>
    <row r="3805" spans="1:8">
      <c r="A3805" s="812"/>
      <c r="B3805" s="812"/>
      <c r="C3805" s="812"/>
      <c r="D3805" s="812"/>
      <c r="E3805" s="812"/>
      <c r="F3805" s="812"/>
      <c r="G3805" s="812"/>
      <c r="H3805" s="812"/>
    </row>
    <row r="3806" spans="1:8">
      <c r="A3806" s="812"/>
      <c r="B3806" s="812"/>
      <c r="C3806" s="812"/>
      <c r="D3806" s="812"/>
      <c r="E3806" s="812"/>
      <c r="F3806" s="812"/>
      <c r="G3806" s="812"/>
      <c r="H3806" s="812"/>
    </row>
    <row r="3807" spans="1:8">
      <c r="A3807" s="812"/>
      <c r="B3807" s="812"/>
      <c r="C3807" s="812"/>
      <c r="D3807" s="812"/>
      <c r="E3807" s="812"/>
      <c r="F3807" s="812"/>
      <c r="G3807" s="812"/>
      <c r="H3807" s="812"/>
    </row>
    <row r="3808" spans="1:8">
      <c r="A3808" s="812"/>
      <c r="B3808" s="812"/>
      <c r="C3808" s="812"/>
      <c r="D3808" s="812"/>
      <c r="E3808" s="812"/>
      <c r="F3808" s="812"/>
      <c r="G3808" s="812"/>
      <c r="H3808" s="812"/>
    </row>
    <row r="3809" spans="1:8">
      <c r="A3809" s="812"/>
      <c r="B3809" s="812"/>
      <c r="C3809" s="812"/>
      <c r="D3809" s="812"/>
      <c r="E3809" s="812"/>
      <c r="F3809" s="812"/>
      <c r="G3809" s="812"/>
      <c r="H3809" s="812"/>
    </row>
    <row r="3810" spans="1:8">
      <c r="A3810" s="812"/>
      <c r="B3810" s="812"/>
      <c r="C3810" s="812"/>
      <c r="D3810" s="812"/>
      <c r="E3810" s="812"/>
      <c r="F3810" s="812"/>
      <c r="G3810" s="812"/>
      <c r="H3810" s="812"/>
    </row>
    <row r="3811" spans="1:8">
      <c r="A3811" s="812"/>
      <c r="B3811" s="812"/>
      <c r="C3811" s="812"/>
      <c r="D3811" s="812"/>
      <c r="E3811" s="812"/>
      <c r="F3811" s="812"/>
      <c r="G3811" s="812"/>
      <c r="H3811" s="812"/>
    </row>
    <row r="3812" spans="1:8">
      <c r="A3812" s="812"/>
      <c r="B3812" s="812"/>
      <c r="C3812" s="812"/>
      <c r="D3812" s="812"/>
      <c r="E3812" s="812"/>
      <c r="F3812" s="812"/>
      <c r="G3812" s="812"/>
      <c r="H3812" s="812"/>
    </row>
    <row r="3813" spans="1:8">
      <c r="A3813" s="812"/>
      <c r="B3813" s="812"/>
      <c r="C3813" s="812"/>
      <c r="D3813" s="812"/>
      <c r="E3813" s="812"/>
      <c r="F3813" s="812"/>
      <c r="G3813" s="812"/>
      <c r="H3813" s="812"/>
    </row>
    <row r="3814" spans="1:8">
      <c r="A3814" s="812"/>
      <c r="B3814" s="812"/>
      <c r="C3814" s="812"/>
      <c r="D3814" s="812"/>
      <c r="E3814" s="812"/>
      <c r="F3814" s="812"/>
      <c r="G3814" s="812"/>
      <c r="H3814" s="812"/>
    </row>
    <row r="3815" spans="1:8">
      <c r="A3815" s="812"/>
      <c r="B3815" s="812"/>
      <c r="C3815" s="812"/>
      <c r="D3815" s="812"/>
      <c r="E3815" s="812"/>
      <c r="F3815" s="812"/>
      <c r="G3815" s="812"/>
      <c r="H3815" s="812"/>
    </row>
    <row r="3816" spans="1:8">
      <c r="A3816" s="812"/>
      <c r="B3816" s="812"/>
      <c r="C3816" s="812"/>
      <c r="D3816" s="812"/>
      <c r="E3816" s="812"/>
      <c r="F3816" s="812"/>
      <c r="G3816" s="812"/>
      <c r="H3816" s="812"/>
    </row>
    <row r="3817" spans="1:8">
      <c r="A3817" s="812"/>
      <c r="B3817" s="812"/>
      <c r="C3817" s="812"/>
      <c r="D3817" s="812"/>
      <c r="E3817" s="812"/>
      <c r="F3817" s="812"/>
      <c r="G3817" s="812"/>
      <c r="H3817" s="812"/>
    </row>
    <row r="3818" spans="1:8">
      <c r="A3818" s="812"/>
      <c r="B3818" s="812"/>
      <c r="C3818" s="812"/>
      <c r="D3818" s="812"/>
      <c r="E3818" s="812"/>
      <c r="F3818" s="812"/>
      <c r="G3818" s="812"/>
      <c r="H3818" s="812"/>
    </row>
    <row r="3819" spans="1:8">
      <c r="A3819" s="812"/>
      <c r="B3819" s="812"/>
      <c r="C3819" s="812"/>
      <c r="D3819" s="812"/>
      <c r="E3819" s="812"/>
      <c r="F3819" s="812"/>
      <c r="G3819" s="812"/>
      <c r="H3819" s="812"/>
    </row>
    <row r="3820" spans="1:8">
      <c r="A3820" s="812"/>
      <c r="B3820" s="812"/>
      <c r="C3820" s="812"/>
      <c r="D3820" s="812"/>
      <c r="E3820" s="812"/>
      <c r="F3820" s="812"/>
      <c r="G3820" s="812"/>
      <c r="H3820" s="812"/>
    </row>
    <row r="3821" spans="1:8">
      <c r="A3821" s="812"/>
      <c r="B3821" s="812"/>
      <c r="C3821" s="812"/>
      <c r="D3821" s="812"/>
      <c r="E3821" s="812"/>
      <c r="F3821" s="812"/>
      <c r="G3821" s="812"/>
      <c r="H3821" s="812"/>
    </row>
    <row r="3822" spans="1:8">
      <c r="A3822" s="812"/>
      <c r="B3822" s="812"/>
      <c r="C3822" s="812"/>
      <c r="D3822" s="812"/>
      <c r="E3822" s="812"/>
      <c r="F3822" s="812"/>
      <c r="G3822" s="812"/>
      <c r="H3822" s="812"/>
    </row>
    <row r="3823" spans="1:8">
      <c r="A3823" s="812"/>
      <c r="B3823" s="812"/>
      <c r="C3823" s="812"/>
      <c r="D3823" s="812"/>
      <c r="E3823" s="812"/>
      <c r="F3823" s="812"/>
      <c r="G3823" s="812"/>
      <c r="H3823" s="812"/>
    </row>
    <row r="3824" spans="1:8">
      <c r="A3824" s="812"/>
      <c r="B3824" s="812"/>
      <c r="C3824" s="812"/>
      <c r="D3824" s="812"/>
      <c r="E3824" s="812"/>
      <c r="F3824" s="812"/>
      <c r="G3824" s="812"/>
      <c r="H3824" s="812"/>
    </row>
    <row r="3825" spans="1:8">
      <c r="A3825" s="812"/>
      <c r="B3825" s="812"/>
      <c r="C3825" s="812"/>
      <c r="D3825" s="812"/>
      <c r="E3825" s="812"/>
      <c r="F3825" s="812"/>
      <c r="G3825" s="812"/>
      <c r="H3825" s="812"/>
    </row>
    <row r="3826" spans="1:8">
      <c r="A3826" s="812"/>
      <c r="B3826" s="812"/>
      <c r="C3826" s="812"/>
      <c r="D3826" s="812"/>
      <c r="E3826" s="812"/>
      <c r="F3826" s="812"/>
      <c r="G3826" s="812"/>
      <c r="H3826" s="812"/>
    </row>
    <row r="3827" spans="1:8">
      <c r="A3827" s="812"/>
      <c r="B3827" s="812"/>
      <c r="C3827" s="812"/>
      <c r="D3827" s="812"/>
      <c r="E3827" s="812"/>
      <c r="F3827" s="812"/>
      <c r="G3827" s="812"/>
      <c r="H3827" s="812"/>
    </row>
    <row r="3828" spans="1:8">
      <c r="A3828" s="812"/>
      <c r="B3828" s="812"/>
      <c r="C3828" s="812"/>
      <c r="D3828" s="812"/>
      <c r="E3828" s="812"/>
      <c r="F3828" s="812"/>
      <c r="G3828" s="812"/>
      <c r="H3828" s="812"/>
    </row>
    <row r="3829" spans="1:8">
      <c r="A3829" s="812"/>
      <c r="B3829" s="812"/>
      <c r="C3829" s="812"/>
      <c r="D3829" s="812"/>
      <c r="E3829" s="812"/>
      <c r="F3829" s="812"/>
      <c r="G3829" s="812"/>
      <c r="H3829" s="812"/>
    </row>
    <row r="3830" spans="1:8">
      <c r="A3830" s="812"/>
      <c r="B3830" s="812"/>
      <c r="C3830" s="812"/>
      <c r="D3830" s="812"/>
      <c r="E3830" s="812"/>
      <c r="F3830" s="812"/>
      <c r="G3830" s="812"/>
      <c r="H3830" s="812"/>
    </row>
    <row r="3831" spans="1:8">
      <c r="A3831" s="812"/>
      <c r="B3831" s="812"/>
      <c r="C3831" s="812"/>
      <c r="D3831" s="812"/>
      <c r="E3831" s="812"/>
      <c r="F3831" s="812"/>
      <c r="G3831" s="812"/>
      <c r="H3831" s="812"/>
    </row>
    <row r="3832" spans="1:8">
      <c r="A3832" s="812"/>
      <c r="B3832" s="812"/>
      <c r="C3832" s="812"/>
      <c r="D3832" s="812"/>
      <c r="E3832" s="812"/>
      <c r="F3832" s="812"/>
      <c r="G3832" s="812"/>
      <c r="H3832" s="812"/>
    </row>
    <row r="3833" spans="1:8">
      <c r="A3833" s="812"/>
      <c r="B3833" s="812"/>
      <c r="C3833" s="812"/>
      <c r="D3833" s="812"/>
      <c r="E3833" s="812"/>
      <c r="F3833" s="812"/>
      <c r="G3833" s="812"/>
      <c r="H3833" s="812"/>
    </row>
    <row r="3834" spans="1:8">
      <c r="A3834" s="812"/>
      <c r="B3834" s="812"/>
      <c r="C3834" s="812"/>
      <c r="D3834" s="812"/>
      <c r="E3834" s="812"/>
      <c r="F3834" s="812"/>
      <c r="G3834" s="812"/>
      <c r="H3834" s="812"/>
    </row>
    <row r="3835" spans="1:8">
      <c r="A3835" s="812"/>
      <c r="B3835" s="812"/>
      <c r="C3835" s="812"/>
      <c r="D3835" s="812"/>
      <c r="E3835" s="812"/>
      <c r="F3835" s="812"/>
      <c r="G3835" s="812"/>
      <c r="H3835" s="812"/>
    </row>
    <row r="3836" spans="1:8">
      <c r="A3836" s="812"/>
      <c r="B3836" s="812"/>
      <c r="C3836" s="812"/>
      <c r="D3836" s="812"/>
      <c r="E3836" s="812"/>
      <c r="F3836" s="812"/>
      <c r="G3836" s="812"/>
      <c r="H3836" s="812"/>
    </row>
    <row r="3837" spans="1:8">
      <c r="A3837" s="812"/>
      <c r="B3837" s="812"/>
      <c r="C3837" s="812"/>
      <c r="D3837" s="812"/>
      <c r="E3837" s="812"/>
      <c r="F3837" s="812"/>
      <c r="G3837" s="812"/>
      <c r="H3837" s="812"/>
    </row>
    <row r="3838" spans="1:8">
      <c r="A3838" s="812"/>
      <c r="B3838" s="812"/>
      <c r="C3838" s="812"/>
      <c r="D3838" s="812"/>
      <c r="E3838" s="812"/>
      <c r="F3838" s="812"/>
      <c r="G3838" s="812"/>
      <c r="H3838" s="812"/>
    </row>
    <row r="3839" spans="1:8">
      <c r="A3839" s="812"/>
      <c r="B3839" s="812"/>
      <c r="C3839" s="812"/>
      <c r="D3839" s="812"/>
      <c r="E3839" s="812"/>
      <c r="F3839" s="812"/>
      <c r="G3839" s="812"/>
      <c r="H3839" s="812"/>
    </row>
    <row r="3840" spans="1:8">
      <c r="A3840" s="812"/>
      <c r="B3840" s="812"/>
      <c r="C3840" s="812"/>
      <c r="D3840" s="812"/>
      <c r="E3840" s="812"/>
      <c r="F3840" s="812"/>
      <c r="G3840" s="812"/>
      <c r="H3840" s="812"/>
    </row>
    <row r="3841" spans="1:8">
      <c r="A3841" s="812"/>
      <c r="B3841" s="812"/>
      <c r="C3841" s="812"/>
      <c r="D3841" s="812"/>
      <c r="E3841" s="812"/>
      <c r="F3841" s="812"/>
      <c r="G3841" s="812"/>
      <c r="H3841" s="812"/>
    </row>
    <row r="3842" spans="1:8">
      <c r="A3842" s="812"/>
      <c r="B3842" s="812"/>
      <c r="C3842" s="812"/>
      <c r="D3842" s="812"/>
      <c r="E3842" s="812"/>
      <c r="F3842" s="812"/>
      <c r="G3842" s="812"/>
      <c r="H3842" s="812"/>
    </row>
    <row r="3843" spans="1:8">
      <c r="A3843" s="812"/>
      <c r="B3843" s="812"/>
      <c r="C3843" s="812"/>
      <c r="D3843" s="812"/>
      <c r="E3843" s="812"/>
      <c r="F3843" s="812"/>
      <c r="G3843" s="812"/>
      <c r="H3843" s="812"/>
    </row>
    <row r="3844" spans="1:8">
      <c r="A3844" s="812"/>
      <c r="B3844" s="812"/>
      <c r="C3844" s="812"/>
      <c r="D3844" s="812"/>
      <c r="E3844" s="812"/>
      <c r="F3844" s="812"/>
      <c r="G3844" s="812"/>
      <c r="H3844" s="812"/>
    </row>
    <row r="3845" spans="1:8">
      <c r="A3845" s="812"/>
      <c r="B3845" s="812"/>
      <c r="C3845" s="812"/>
      <c r="D3845" s="812"/>
      <c r="E3845" s="812"/>
      <c r="F3845" s="812"/>
      <c r="G3845" s="812"/>
      <c r="H3845" s="812"/>
    </row>
    <row r="3846" spans="1:8">
      <c r="A3846" s="812"/>
      <c r="B3846" s="812"/>
      <c r="C3846" s="812"/>
      <c r="D3846" s="812"/>
      <c r="E3846" s="812"/>
      <c r="F3846" s="812"/>
      <c r="G3846" s="812"/>
      <c r="H3846" s="812"/>
    </row>
    <row r="3847" spans="1:8">
      <c r="A3847" s="812"/>
      <c r="B3847" s="812"/>
      <c r="C3847" s="812"/>
      <c r="D3847" s="812"/>
      <c r="E3847" s="812"/>
      <c r="F3847" s="812"/>
      <c r="G3847" s="812"/>
      <c r="H3847" s="812"/>
    </row>
    <row r="3848" spans="1:8">
      <c r="A3848" s="812"/>
      <c r="B3848" s="812"/>
      <c r="C3848" s="812"/>
      <c r="D3848" s="812"/>
      <c r="E3848" s="812"/>
      <c r="F3848" s="812"/>
      <c r="G3848" s="812"/>
      <c r="H3848" s="812"/>
    </row>
    <row r="3849" spans="1:8">
      <c r="A3849" s="812"/>
      <c r="B3849" s="812"/>
      <c r="C3849" s="812"/>
      <c r="D3849" s="812"/>
      <c r="E3849" s="812"/>
      <c r="F3849" s="812"/>
      <c r="G3849" s="812"/>
      <c r="H3849" s="812"/>
    </row>
    <row r="3850" spans="1:8">
      <c r="A3850" s="812"/>
      <c r="B3850" s="812"/>
      <c r="C3850" s="812"/>
      <c r="D3850" s="812"/>
      <c r="E3850" s="812"/>
      <c r="F3850" s="812"/>
      <c r="G3850" s="812"/>
      <c r="H3850" s="812"/>
    </row>
    <row r="3851" spans="1:8">
      <c r="A3851" s="812"/>
      <c r="B3851" s="812"/>
      <c r="C3851" s="812"/>
      <c r="D3851" s="812"/>
      <c r="E3851" s="812"/>
      <c r="F3851" s="812"/>
      <c r="G3851" s="812"/>
      <c r="H3851" s="812"/>
    </row>
    <row r="3852" spans="1:8">
      <c r="A3852" s="812"/>
      <c r="B3852" s="812"/>
      <c r="C3852" s="812"/>
      <c r="D3852" s="812"/>
      <c r="E3852" s="812"/>
      <c r="F3852" s="812"/>
      <c r="G3852" s="812"/>
      <c r="H3852" s="812"/>
    </row>
    <row r="3853" spans="1:8">
      <c r="A3853" s="812"/>
      <c r="B3853" s="812"/>
      <c r="C3853" s="812"/>
      <c r="D3853" s="812"/>
      <c r="E3853" s="812"/>
      <c r="F3853" s="812"/>
      <c r="G3853" s="812"/>
      <c r="H3853" s="812"/>
    </row>
    <row r="3854" spans="1:8">
      <c r="A3854" s="812"/>
      <c r="B3854" s="812"/>
      <c r="C3854" s="812"/>
      <c r="D3854" s="812"/>
      <c r="E3854" s="812"/>
      <c r="F3854" s="812"/>
      <c r="G3854" s="812"/>
      <c r="H3854" s="812"/>
    </row>
    <row r="3855" spans="1:8">
      <c r="A3855" s="812"/>
      <c r="B3855" s="812"/>
      <c r="C3855" s="812"/>
      <c r="D3855" s="812"/>
      <c r="E3855" s="812"/>
      <c r="F3855" s="812"/>
      <c r="G3855" s="812"/>
      <c r="H3855" s="812"/>
    </row>
    <row r="3856" spans="1:8">
      <c r="A3856" s="812"/>
      <c r="B3856" s="812"/>
      <c r="C3856" s="812"/>
      <c r="D3856" s="812"/>
      <c r="E3856" s="812"/>
      <c r="F3856" s="812"/>
      <c r="G3856" s="812"/>
      <c r="H3856" s="812"/>
    </row>
    <row r="3857" spans="1:8">
      <c r="A3857" s="812"/>
      <c r="B3857" s="812"/>
      <c r="C3857" s="812"/>
      <c r="D3857" s="812"/>
      <c r="E3857" s="812"/>
      <c r="F3857" s="812"/>
      <c r="G3857" s="812"/>
      <c r="H3857" s="812"/>
    </row>
    <row r="3858" spans="1:8">
      <c r="A3858" s="812"/>
      <c r="B3858" s="812"/>
      <c r="C3858" s="812"/>
      <c r="D3858" s="812"/>
      <c r="E3858" s="812"/>
      <c r="F3858" s="812"/>
      <c r="G3858" s="812"/>
      <c r="H3858" s="812"/>
    </row>
    <row r="3859" spans="1:8">
      <c r="A3859" s="812"/>
      <c r="B3859" s="812"/>
      <c r="C3859" s="812"/>
      <c r="D3859" s="812"/>
      <c r="E3859" s="812"/>
      <c r="F3859" s="812"/>
      <c r="G3859" s="812"/>
      <c r="H3859" s="812"/>
    </row>
    <row r="3860" spans="1:8">
      <c r="A3860" s="812"/>
      <c r="B3860" s="812"/>
      <c r="C3860" s="812"/>
      <c r="D3860" s="812"/>
      <c r="E3860" s="812"/>
      <c r="F3860" s="812"/>
      <c r="G3860" s="812"/>
      <c r="H3860" s="812"/>
    </row>
    <row r="3861" spans="1:8">
      <c r="A3861" s="812"/>
      <c r="B3861" s="812"/>
      <c r="C3861" s="812"/>
      <c r="D3861" s="812"/>
      <c r="E3861" s="812"/>
      <c r="F3861" s="812"/>
      <c r="G3861" s="812"/>
      <c r="H3861" s="812"/>
    </row>
    <row r="3862" spans="1:8">
      <c r="A3862" s="812"/>
      <c r="B3862" s="812"/>
      <c r="C3862" s="812"/>
      <c r="D3862" s="812"/>
      <c r="E3862" s="812"/>
      <c r="F3862" s="812"/>
      <c r="G3862" s="812"/>
      <c r="H3862" s="812"/>
    </row>
    <row r="3863" spans="1:8">
      <c r="A3863" s="812"/>
      <c r="B3863" s="812"/>
      <c r="C3863" s="812"/>
      <c r="D3863" s="812"/>
      <c r="E3863" s="812"/>
      <c r="F3863" s="812"/>
      <c r="G3863" s="812"/>
      <c r="H3863" s="812"/>
    </row>
    <row r="3864" spans="1:8">
      <c r="A3864" s="812"/>
      <c r="B3864" s="812"/>
      <c r="C3864" s="812"/>
      <c r="D3864" s="812"/>
      <c r="E3864" s="812"/>
      <c r="F3864" s="812"/>
      <c r="G3864" s="812"/>
      <c r="H3864" s="812"/>
    </row>
    <row r="3865" spans="1:8">
      <c r="A3865" s="812"/>
      <c r="B3865" s="812"/>
      <c r="C3865" s="812"/>
      <c r="D3865" s="812"/>
      <c r="E3865" s="812"/>
      <c r="F3865" s="812"/>
      <c r="G3865" s="812"/>
      <c r="H3865" s="812"/>
    </row>
    <row r="3866" spans="1:8">
      <c r="A3866" s="812"/>
      <c r="B3866" s="812"/>
      <c r="C3866" s="812"/>
      <c r="D3866" s="812"/>
      <c r="E3866" s="812"/>
      <c r="F3866" s="812"/>
      <c r="G3866" s="812"/>
      <c r="H3866" s="812"/>
    </row>
    <row r="3867" spans="1:8">
      <c r="A3867" s="812"/>
      <c r="B3867" s="812"/>
      <c r="C3867" s="812"/>
      <c r="D3867" s="812"/>
      <c r="E3867" s="812"/>
      <c r="F3867" s="812"/>
      <c r="G3867" s="812"/>
      <c r="H3867" s="812"/>
    </row>
    <row r="3868" spans="1:8">
      <c r="A3868" s="812"/>
      <c r="B3868" s="812"/>
      <c r="C3868" s="812"/>
      <c r="D3868" s="812"/>
      <c r="E3868" s="812"/>
      <c r="F3868" s="812"/>
      <c r="G3868" s="812"/>
      <c r="H3868" s="812"/>
    </row>
    <row r="3869" spans="1:8">
      <c r="A3869" s="812"/>
      <c r="B3869" s="812"/>
      <c r="C3869" s="812"/>
      <c r="D3869" s="812"/>
      <c r="E3869" s="812"/>
      <c r="F3869" s="812"/>
      <c r="G3869" s="812"/>
      <c r="H3869" s="812"/>
    </row>
    <row r="3870" spans="1:8">
      <c r="A3870" s="812"/>
      <c r="B3870" s="812"/>
      <c r="C3870" s="812"/>
      <c r="D3870" s="812"/>
      <c r="E3870" s="812"/>
      <c r="F3870" s="812"/>
      <c r="G3870" s="812"/>
      <c r="H3870" s="812"/>
    </row>
    <row r="3871" spans="1:8">
      <c r="A3871" s="812"/>
      <c r="B3871" s="812"/>
      <c r="C3871" s="812"/>
      <c r="D3871" s="812"/>
      <c r="E3871" s="812"/>
      <c r="F3871" s="812"/>
      <c r="G3871" s="812"/>
      <c r="H3871" s="812"/>
    </row>
    <row r="3872" spans="1:8">
      <c r="A3872" s="812"/>
      <c r="B3872" s="812"/>
      <c r="C3872" s="812"/>
      <c r="D3872" s="812"/>
      <c r="E3872" s="812"/>
      <c r="F3872" s="812"/>
      <c r="G3872" s="812"/>
      <c r="H3872" s="812"/>
    </row>
    <row r="3873" spans="1:8">
      <c r="A3873" s="812"/>
      <c r="B3873" s="812"/>
      <c r="C3873" s="812"/>
      <c r="D3873" s="812"/>
      <c r="E3873" s="812"/>
      <c r="F3873" s="812"/>
      <c r="G3873" s="812"/>
      <c r="H3873" s="812"/>
    </row>
    <row r="3874" spans="1:8">
      <c r="A3874" s="812"/>
      <c r="B3874" s="812"/>
      <c r="C3874" s="812"/>
      <c r="D3874" s="812"/>
      <c r="E3874" s="812"/>
      <c r="F3874" s="812"/>
      <c r="G3874" s="812"/>
      <c r="H3874" s="812"/>
    </row>
    <row r="3875" spans="1:8">
      <c r="A3875" s="812"/>
      <c r="B3875" s="812"/>
      <c r="C3875" s="812"/>
      <c r="D3875" s="812"/>
      <c r="E3875" s="812"/>
      <c r="F3875" s="812"/>
      <c r="G3875" s="812"/>
      <c r="H3875" s="812"/>
    </row>
    <row r="3876" spans="1:8">
      <c r="A3876" s="812"/>
      <c r="B3876" s="812"/>
      <c r="C3876" s="812"/>
      <c r="D3876" s="812"/>
      <c r="E3876" s="812"/>
      <c r="F3876" s="812"/>
      <c r="G3876" s="812"/>
      <c r="H3876" s="812"/>
    </row>
    <row r="3877" spans="1:8">
      <c r="A3877" s="812"/>
      <c r="B3877" s="812"/>
      <c r="C3877" s="812"/>
      <c r="D3877" s="812"/>
      <c r="E3877" s="812"/>
      <c r="F3877" s="812"/>
      <c r="G3877" s="812"/>
      <c r="H3877" s="812"/>
    </row>
    <row r="3878" spans="1:8">
      <c r="A3878" s="812"/>
      <c r="B3878" s="812"/>
      <c r="C3878" s="812"/>
      <c r="D3878" s="812"/>
      <c r="E3878" s="812"/>
      <c r="F3878" s="812"/>
      <c r="G3878" s="812"/>
      <c r="H3878" s="812"/>
    </row>
    <row r="3879" spans="1:8">
      <c r="A3879" s="812"/>
      <c r="B3879" s="812"/>
      <c r="C3879" s="812"/>
      <c r="D3879" s="812"/>
      <c r="E3879" s="812"/>
      <c r="F3879" s="812"/>
      <c r="G3879" s="812"/>
      <c r="H3879" s="812"/>
    </row>
    <row r="3880" spans="1:8">
      <c r="A3880" s="812"/>
      <c r="B3880" s="812"/>
      <c r="C3880" s="812"/>
      <c r="D3880" s="812"/>
      <c r="E3880" s="812"/>
      <c r="F3880" s="812"/>
      <c r="G3880" s="812"/>
      <c r="H3880" s="812"/>
    </row>
    <row r="3881" spans="1:8">
      <c r="A3881" s="812"/>
      <c r="B3881" s="812"/>
      <c r="C3881" s="812"/>
      <c r="D3881" s="812"/>
      <c r="E3881" s="812"/>
      <c r="F3881" s="812"/>
      <c r="G3881" s="812"/>
      <c r="H3881" s="812"/>
    </row>
    <row r="3882" spans="1:8">
      <c r="A3882" s="812"/>
      <c r="B3882" s="812"/>
      <c r="C3882" s="812"/>
      <c r="D3882" s="812"/>
      <c r="E3882" s="812"/>
      <c r="F3882" s="812"/>
      <c r="G3882" s="812"/>
      <c r="H3882" s="812"/>
    </row>
    <row r="3883" spans="1:8">
      <c r="A3883" s="812"/>
      <c r="B3883" s="812"/>
      <c r="C3883" s="812"/>
      <c r="D3883" s="812"/>
      <c r="E3883" s="812"/>
      <c r="F3883" s="812"/>
      <c r="G3883" s="812"/>
      <c r="H3883" s="812"/>
    </row>
    <row r="3884" spans="1:8">
      <c r="A3884" s="812"/>
      <c r="B3884" s="812"/>
      <c r="C3884" s="812"/>
      <c r="D3884" s="812"/>
      <c r="E3884" s="812"/>
      <c r="F3884" s="812"/>
      <c r="G3884" s="812"/>
      <c r="H3884" s="812"/>
    </row>
    <row r="3885" spans="1:8">
      <c r="A3885" s="812"/>
      <c r="B3885" s="812"/>
      <c r="C3885" s="812"/>
      <c r="D3885" s="812"/>
      <c r="E3885" s="812"/>
      <c r="F3885" s="812"/>
      <c r="G3885" s="812"/>
      <c r="H3885" s="812"/>
    </row>
    <row r="3886" spans="1:8">
      <c r="A3886" s="812"/>
      <c r="B3886" s="812"/>
      <c r="C3886" s="812"/>
      <c r="D3886" s="812"/>
      <c r="E3886" s="812"/>
      <c r="F3886" s="812"/>
      <c r="G3886" s="812"/>
      <c r="H3886" s="812"/>
    </row>
    <row r="3887" spans="1:8">
      <c r="A3887" s="812"/>
      <c r="B3887" s="812"/>
      <c r="C3887" s="812"/>
      <c r="D3887" s="812"/>
      <c r="E3887" s="812"/>
      <c r="F3887" s="812"/>
      <c r="G3887" s="812"/>
      <c r="H3887" s="812"/>
    </row>
    <row r="3888" spans="1:8">
      <c r="A3888" s="812"/>
      <c r="B3888" s="812"/>
      <c r="C3888" s="812"/>
      <c r="D3888" s="812"/>
      <c r="E3888" s="812"/>
      <c r="F3888" s="812"/>
      <c r="G3888" s="812"/>
      <c r="H3888" s="812"/>
    </row>
    <row r="3889" spans="1:8">
      <c r="A3889" s="812"/>
      <c r="B3889" s="812"/>
      <c r="C3889" s="812"/>
      <c r="D3889" s="812"/>
      <c r="E3889" s="812"/>
      <c r="F3889" s="812"/>
      <c r="G3889" s="812"/>
      <c r="H3889" s="812"/>
    </row>
    <row r="3890" spans="1:8">
      <c r="A3890" s="812"/>
      <c r="B3890" s="812"/>
      <c r="C3890" s="812"/>
      <c r="D3890" s="812"/>
      <c r="E3890" s="812"/>
      <c r="F3890" s="812"/>
      <c r="G3890" s="812"/>
      <c r="H3890" s="812"/>
    </row>
    <row r="3891" spans="1:8">
      <c r="A3891" s="812"/>
      <c r="B3891" s="812"/>
      <c r="C3891" s="812"/>
      <c r="D3891" s="812"/>
      <c r="E3891" s="812"/>
      <c r="F3891" s="812"/>
      <c r="G3891" s="812"/>
      <c r="H3891" s="812"/>
    </row>
    <row r="3892" spans="1:8">
      <c r="A3892" s="812"/>
      <c r="B3892" s="812"/>
      <c r="C3892" s="812"/>
      <c r="D3892" s="812"/>
      <c r="E3892" s="812"/>
      <c r="F3892" s="812"/>
      <c r="G3892" s="812"/>
      <c r="H3892" s="812"/>
    </row>
    <row r="3893" spans="1:8">
      <c r="A3893" s="812"/>
      <c r="B3893" s="812"/>
      <c r="C3893" s="812"/>
      <c r="D3893" s="812"/>
      <c r="E3893" s="812"/>
      <c r="F3893" s="812"/>
      <c r="G3893" s="812"/>
      <c r="H3893" s="812"/>
    </row>
    <row r="3894" spans="1:8">
      <c r="A3894" s="812"/>
      <c r="B3894" s="812"/>
      <c r="C3894" s="812"/>
      <c r="D3894" s="812"/>
      <c r="E3894" s="812"/>
      <c r="F3894" s="812"/>
      <c r="G3894" s="812"/>
      <c r="H3894" s="812"/>
    </row>
    <row r="3895" spans="1:8">
      <c r="A3895" s="812"/>
      <c r="B3895" s="812"/>
      <c r="C3895" s="812"/>
      <c r="D3895" s="812"/>
      <c r="E3895" s="812"/>
      <c r="F3895" s="812"/>
      <c r="G3895" s="812"/>
      <c r="H3895" s="812"/>
    </row>
    <row r="3896" spans="1:8">
      <c r="A3896" s="812"/>
      <c r="B3896" s="812"/>
      <c r="C3896" s="812"/>
      <c r="D3896" s="812"/>
      <c r="E3896" s="812"/>
      <c r="F3896" s="812"/>
      <c r="G3896" s="812"/>
      <c r="H3896" s="812"/>
    </row>
    <row r="3897" spans="1:8">
      <c r="A3897" s="812"/>
      <c r="B3897" s="812"/>
      <c r="C3897" s="812"/>
      <c r="D3897" s="812"/>
      <c r="E3897" s="812"/>
      <c r="F3897" s="812"/>
      <c r="G3897" s="812"/>
      <c r="H3897" s="812"/>
    </row>
    <row r="3898" spans="1:8">
      <c r="A3898" s="812"/>
      <c r="B3898" s="812"/>
      <c r="C3898" s="812"/>
      <c r="D3898" s="812"/>
      <c r="E3898" s="812"/>
      <c r="F3898" s="812"/>
      <c r="G3898" s="812"/>
      <c r="H3898" s="812"/>
    </row>
    <row r="3899" spans="1:8">
      <c r="A3899" s="812"/>
      <c r="B3899" s="812"/>
      <c r="C3899" s="812"/>
      <c r="D3899" s="812"/>
      <c r="E3899" s="812"/>
      <c r="F3899" s="812"/>
      <c r="G3899" s="812"/>
      <c r="H3899" s="812"/>
    </row>
    <row r="3900" spans="1:8">
      <c r="A3900" s="812"/>
      <c r="B3900" s="812"/>
      <c r="C3900" s="812"/>
      <c r="D3900" s="812"/>
      <c r="E3900" s="812"/>
      <c r="F3900" s="812"/>
      <c r="G3900" s="812"/>
      <c r="H3900" s="812"/>
    </row>
    <row r="3901" spans="1:8">
      <c r="A3901" s="812"/>
      <c r="B3901" s="812"/>
      <c r="C3901" s="812"/>
      <c r="D3901" s="812"/>
      <c r="E3901" s="812"/>
      <c r="F3901" s="812"/>
      <c r="G3901" s="812"/>
      <c r="H3901" s="812"/>
    </row>
    <row r="3902" spans="1:8">
      <c r="A3902" s="812"/>
      <c r="B3902" s="812"/>
      <c r="C3902" s="812"/>
      <c r="D3902" s="812"/>
      <c r="E3902" s="812"/>
      <c r="F3902" s="812"/>
      <c r="G3902" s="812"/>
      <c r="H3902" s="812"/>
    </row>
    <row r="3903" spans="1:8">
      <c r="A3903" s="812"/>
      <c r="B3903" s="812"/>
      <c r="C3903" s="812"/>
      <c r="D3903" s="812"/>
      <c r="E3903" s="812"/>
      <c r="F3903" s="812"/>
      <c r="G3903" s="812"/>
      <c r="H3903" s="812"/>
    </row>
    <row r="3904" spans="1:8">
      <c r="A3904" s="812"/>
      <c r="B3904" s="812"/>
      <c r="C3904" s="812"/>
      <c r="D3904" s="812"/>
      <c r="E3904" s="812"/>
      <c r="F3904" s="812"/>
      <c r="G3904" s="812"/>
      <c r="H3904" s="812"/>
    </row>
    <row r="3905" spans="1:8">
      <c r="A3905" s="812"/>
      <c r="B3905" s="812"/>
      <c r="C3905" s="812"/>
      <c r="D3905" s="812"/>
      <c r="E3905" s="812"/>
      <c r="F3905" s="812"/>
      <c r="G3905" s="812"/>
      <c r="H3905" s="812"/>
    </row>
    <row r="3906" spans="1:8">
      <c r="A3906" s="812"/>
      <c r="B3906" s="812"/>
      <c r="C3906" s="812"/>
      <c r="D3906" s="812"/>
      <c r="E3906" s="812"/>
      <c r="F3906" s="812"/>
      <c r="G3906" s="812"/>
      <c r="H3906" s="812"/>
    </row>
    <row r="3907" spans="1:8">
      <c r="A3907" s="812"/>
      <c r="B3907" s="812"/>
      <c r="C3907" s="812"/>
      <c r="D3907" s="812"/>
      <c r="E3907" s="812"/>
      <c r="F3907" s="812"/>
      <c r="G3907" s="812"/>
      <c r="H3907" s="812"/>
    </row>
    <row r="3908" spans="1:8">
      <c r="A3908" s="812"/>
      <c r="B3908" s="812"/>
      <c r="C3908" s="812"/>
      <c r="D3908" s="812"/>
      <c r="E3908" s="812"/>
      <c r="F3908" s="812"/>
      <c r="G3908" s="812"/>
      <c r="H3908" s="812"/>
    </row>
    <row r="3909" spans="1:8">
      <c r="A3909" s="812"/>
      <c r="B3909" s="812"/>
      <c r="C3909" s="812"/>
      <c r="D3909" s="812"/>
      <c r="E3909" s="812"/>
      <c r="F3909" s="812"/>
      <c r="G3909" s="812"/>
      <c r="H3909" s="812"/>
    </row>
    <row r="3910" spans="1:8">
      <c r="A3910" s="812"/>
      <c r="B3910" s="812"/>
      <c r="C3910" s="812"/>
      <c r="D3910" s="812"/>
      <c r="E3910" s="812"/>
      <c r="F3910" s="812"/>
      <c r="G3910" s="812"/>
      <c r="H3910" s="812"/>
    </row>
    <row r="3911" spans="1:8">
      <c r="A3911" s="812"/>
      <c r="B3911" s="812"/>
      <c r="C3911" s="812"/>
      <c r="D3911" s="812"/>
      <c r="E3911" s="812"/>
      <c r="F3911" s="812"/>
      <c r="G3911" s="812"/>
      <c r="H3911" s="812"/>
    </row>
    <row r="3912" spans="1:8">
      <c r="A3912" s="812"/>
      <c r="B3912" s="812"/>
      <c r="C3912" s="812"/>
      <c r="D3912" s="812"/>
      <c r="E3912" s="812"/>
      <c r="F3912" s="812"/>
      <c r="G3912" s="812"/>
      <c r="H3912" s="812"/>
    </row>
    <row r="3913" spans="1:8">
      <c r="A3913" s="812"/>
      <c r="B3913" s="812"/>
      <c r="C3913" s="812"/>
      <c r="D3913" s="812"/>
      <c r="E3913" s="812"/>
      <c r="F3913" s="812"/>
      <c r="G3913" s="812"/>
      <c r="H3913" s="812"/>
    </row>
    <row r="3914" spans="1:8">
      <c r="A3914" s="812"/>
      <c r="B3914" s="812"/>
      <c r="C3914" s="812"/>
      <c r="D3914" s="812"/>
      <c r="E3914" s="812"/>
      <c r="F3914" s="812"/>
      <c r="G3914" s="812"/>
      <c r="H3914" s="812"/>
    </row>
    <row r="3915" spans="1:8">
      <c r="A3915" s="812"/>
      <c r="B3915" s="812"/>
      <c r="C3915" s="812"/>
      <c r="D3915" s="812"/>
      <c r="E3915" s="812"/>
      <c r="F3915" s="812"/>
      <c r="G3915" s="812"/>
      <c r="H3915" s="812"/>
    </row>
    <row r="3916" spans="1:8">
      <c r="A3916" s="812"/>
      <c r="B3916" s="812"/>
      <c r="C3916" s="812"/>
      <c r="D3916" s="812"/>
      <c r="E3916" s="812"/>
      <c r="F3916" s="812"/>
      <c r="G3916" s="812"/>
      <c r="H3916" s="812"/>
    </row>
    <row r="3917" spans="1:8">
      <c r="A3917" s="812"/>
      <c r="B3917" s="812"/>
      <c r="C3917" s="812"/>
      <c r="D3917" s="812"/>
      <c r="E3917" s="812"/>
      <c r="F3917" s="812"/>
      <c r="G3917" s="812"/>
      <c r="H3917" s="812"/>
    </row>
    <row r="3918" spans="1:8">
      <c r="A3918" s="812"/>
      <c r="B3918" s="812"/>
      <c r="C3918" s="812"/>
      <c r="D3918" s="812"/>
      <c r="E3918" s="812"/>
      <c r="F3918" s="812"/>
      <c r="G3918" s="812"/>
      <c r="H3918" s="812"/>
    </row>
    <row r="3919" spans="1:8">
      <c r="A3919" s="812"/>
      <c r="B3919" s="812"/>
      <c r="C3919" s="812"/>
      <c r="D3919" s="812"/>
      <c r="E3919" s="812"/>
      <c r="F3919" s="812"/>
      <c r="G3919" s="812"/>
      <c r="H3919" s="812"/>
    </row>
    <row r="3920" spans="1:8">
      <c r="A3920" s="812"/>
      <c r="B3920" s="812"/>
      <c r="C3920" s="812"/>
      <c r="D3920" s="812"/>
      <c r="E3920" s="812"/>
      <c r="F3920" s="812"/>
      <c r="G3920" s="812"/>
      <c r="H3920" s="812"/>
    </row>
    <row r="3921" spans="1:8">
      <c r="A3921" s="812"/>
      <c r="B3921" s="812"/>
      <c r="C3921" s="812"/>
      <c r="D3921" s="812"/>
      <c r="E3921" s="812"/>
      <c r="F3921" s="812"/>
      <c r="G3921" s="812"/>
      <c r="H3921" s="812"/>
    </row>
    <row r="3922" spans="1:8">
      <c r="A3922" s="812"/>
      <c r="B3922" s="812"/>
      <c r="C3922" s="812"/>
      <c r="D3922" s="812"/>
      <c r="E3922" s="812"/>
      <c r="F3922" s="812"/>
      <c r="G3922" s="812"/>
      <c r="H3922" s="812"/>
    </row>
    <row r="3923" spans="1:8">
      <c r="A3923" s="812"/>
      <c r="B3923" s="812"/>
      <c r="C3923" s="812"/>
      <c r="D3923" s="812"/>
      <c r="E3923" s="812"/>
      <c r="F3923" s="812"/>
      <c r="G3923" s="812"/>
      <c r="H3923" s="812"/>
    </row>
    <row r="3924" spans="1:8">
      <c r="A3924" s="812"/>
      <c r="B3924" s="812"/>
      <c r="C3924" s="812"/>
      <c r="D3924" s="812"/>
      <c r="E3924" s="812"/>
      <c r="F3924" s="812"/>
      <c r="G3924" s="812"/>
      <c r="H3924" s="812"/>
    </row>
    <row r="3925" spans="1:8">
      <c r="A3925" s="812"/>
      <c r="B3925" s="812"/>
      <c r="C3925" s="812"/>
      <c r="D3925" s="812"/>
      <c r="E3925" s="812"/>
      <c r="F3925" s="812"/>
      <c r="G3925" s="812"/>
      <c r="H3925" s="812"/>
    </row>
    <row r="3926" spans="1:8">
      <c r="A3926" s="812"/>
      <c r="B3926" s="812"/>
      <c r="C3926" s="812"/>
      <c r="D3926" s="812"/>
      <c r="E3926" s="812"/>
      <c r="F3926" s="812"/>
      <c r="G3926" s="812"/>
      <c r="H3926" s="812"/>
    </row>
    <row r="3927" spans="1:8">
      <c r="A3927" s="812"/>
      <c r="B3927" s="812"/>
      <c r="C3927" s="812"/>
      <c r="D3927" s="812"/>
      <c r="E3927" s="812"/>
      <c r="F3927" s="812"/>
      <c r="G3927" s="812"/>
      <c r="H3927" s="812"/>
    </row>
    <row r="3928" spans="1:8">
      <c r="A3928" s="812"/>
      <c r="B3928" s="812"/>
      <c r="C3928" s="812"/>
      <c r="D3928" s="812"/>
      <c r="E3928" s="812"/>
      <c r="F3928" s="812"/>
      <c r="G3928" s="812"/>
      <c r="H3928" s="812"/>
    </row>
    <row r="3929" spans="1:8">
      <c r="A3929" s="812"/>
      <c r="B3929" s="812"/>
      <c r="C3929" s="812"/>
      <c r="D3929" s="812"/>
      <c r="E3929" s="812"/>
      <c r="F3929" s="812"/>
      <c r="G3929" s="812"/>
      <c r="H3929" s="812"/>
    </row>
    <row r="3930" spans="1:8">
      <c r="A3930" s="812"/>
      <c r="B3930" s="812"/>
      <c r="C3930" s="812"/>
      <c r="D3930" s="812"/>
      <c r="E3930" s="812"/>
      <c r="F3930" s="812"/>
      <c r="G3930" s="812"/>
      <c r="H3930" s="812"/>
    </row>
    <row r="3931" spans="1:8">
      <c r="A3931" s="812"/>
      <c r="B3931" s="812"/>
      <c r="C3931" s="812"/>
      <c r="D3931" s="812"/>
      <c r="E3931" s="812"/>
      <c r="F3931" s="812"/>
      <c r="G3931" s="812"/>
      <c r="H3931" s="812"/>
    </row>
    <row r="3932" spans="1:8">
      <c r="A3932" s="812"/>
      <c r="B3932" s="812"/>
      <c r="C3932" s="812"/>
      <c r="D3932" s="812"/>
      <c r="E3932" s="812"/>
      <c r="F3932" s="812"/>
      <c r="G3932" s="812"/>
      <c r="H3932" s="812"/>
    </row>
    <row r="3933" spans="1:8">
      <c r="A3933" s="812"/>
      <c r="B3933" s="812"/>
      <c r="C3933" s="812"/>
      <c r="D3933" s="812"/>
      <c r="E3933" s="812"/>
      <c r="F3933" s="812"/>
      <c r="G3933" s="812"/>
      <c r="H3933" s="812"/>
    </row>
    <row r="3934" spans="1:8">
      <c r="A3934" s="812"/>
      <c r="B3934" s="812"/>
      <c r="C3934" s="812"/>
      <c r="D3934" s="812"/>
      <c r="E3934" s="812"/>
      <c r="F3934" s="812"/>
      <c r="G3934" s="812"/>
      <c r="H3934" s="812"/>
    </row>
    <row r="3935" spans="1:8">
      <c r="A3935" s="812"/>
      <c r="B3935" s="812"/>
      <c r="C3935" s="812"/>
      <c r="D3935" s="812"/>
      <c r="E3935" s="812"/>
      <c r="F3935" s="812"/>
      <c r="G3935" s="812"/>
      <c r="H3935" s="812"/>
    </row>
    <row r="3936" spans="1:8">
      <c r="A3936" s="812"/>
      <c r="B3936" s="812"/>
      <c r="C3936" s="812"/>
      <c r="D3936" s="812"/>
      <c r="E3936" s="812"/>
      <c r="F3936" s="812"/>
      <c r="G3936" s="812"/>
      <c r="H3936" s="812"/>
    </row>
    <row r="3937" spans="1:8">
      <c r="A3937" s="812"/>
      <c r="B3937" s="812"/>
      <c r="C3937" s="812"/>
      <c r="D3937" s="812"/>
      <c r="E3937" s="812"/>
      <c r="F3937" s="812"/>
      <c r="G3937" s="812"/>
      <c r="H3937" s="812"/>
    </row>
    <row r="3938" spans="1:8">
      <c r="A3938" s="812"/>
      <c r="B3938" s="812"/>
      <c r="C3938" s="812"/>
      <c r="D3938" s="812"/>
      <c r="E3938" s="812"/>
      <c r="F3938" s="812"/>
      <c r="G3938" s="812"/>
      <c r="H3938" s="812"/>
    </row>
    <row r="3939" spans="1:8">
      <c r="A3939" s="812"/>
      <c r="B3939" s="812"/>
      <c r="C3939" s="812"/>
      <c r="D3939" s="812"/>
      <c r="E3939" s="812"/>
      <c r="F3939" s="812"/>
      <c r="G3939" s="812"/>
      <c r="H3939" s="812"/>
    </row>
    <row r="3940" spans="1:8">
      <c r="A3940" s="812"/>
      <c r="B3940" s="812"/>
      <c r="C3940" s="812"/>
      <c r="D3940" s="812"/>
      <c r="E3940" s="812"/>
      <c r="F3940" s="812"/>
      <c r="G3940" s="812"/>
      <c r="H3940" s="812"/>
    </row>
    <row r="3941" spans="1:8">
      <c r="A3941" s="812"/>
      <c r="B3941" s="812"/>
      <c r="C3941" s="812"/>
      <c r="D3941" s="812"/>
      <c r="E3941" s="812"/>
      <c r="F3941" s="812"/>
      <c r="G3941" s="812"/>
      <c r="H3941" s="812"/>
    </row>
    <row r="3942" spans="1:8">
      <c r="A3942" s="812"/>
      <c r="B3942" s="812"/>
      <c r="C3942" s="812"/>
      <c r="D3942" s="812"/>
      <c r="E3942" s="812"/>
      <c r="F3942" s="812"/>
      <c r="G3942" s="812"/>
      <c r="H3942" s="812"/>
    </row>
    <row r="3943" spans="1:8">
      <c r="A3943" s="812"/>
      <c r="B3943" s="812"/>
      <c r="C3943" s="812"/>
      <c r="D3943" s="812"/>
      <c r="E3943" s="812"/>
      <c r="F3943" s="812"/>
      <c r="G3943" s="812"/>
      <c r="H3943" s="812"/>
    </row>
    <row r="3944" spans="1:8">
      <c r="A3944" s="812"/>
      <c r="B3944" s="812"/>
      <c r="C3944" s="812"/>
      <c r="D3944" s="812"/>
      <c r="E3944" s="812"/>
      <c r="F3944" s="812"/>
      <c r="G3944" s="812"/>
      <c r="H3944" s="812"/>
    </row>
    <row r="3945" spans="1:8">
      <c r="A3945" s="812"/>
      <c r="B3945" s="812"/>
      <c r="C3945" s="812"/>
      <c r="D3945" s="812"/>
      <c r="E3945" s="812"/>
      <c r="F3945" s="812"/>
      <c r="G3945" s="812"/>
      <c r="H3945" s="812"/>
    </row>
    <row r="3946" spans="1:8">
      <c r="A3946" s="812"/>
      <c r="B3946" s="812"/>
      <c r="C3946" s="812"/>
      <c r="D3946" s="812"/>
      <c r="E3946" s="812"/>
      <c r="F3946" s="812"/>
      <c r="G3946" s="812"/>
      <c r="H3946" s="812"/>
    </row>
    <row r="3947" spans="1:8">
      <c r="A3947" s="812"/>
      <c r="B3947" s="812"/>
      <c r="C3947" s="812"/>
      <c r="D3947" s="812"/>
      <c r="E3947" s="812"/>
      <c r="F3947" s="812"/>
      <c r="G3947" s="812"/>
      <c r="H3947" s="812"/>
    </row>
    <row r="3948" spans="1:8">
      <c r="A3948" s="812"/>
      <c r="B3948" s="812"/>
      <c r="C3948" s="812"/>
      <c r="D3948" s="812"/>
      <c r="E3948" s="812"/>
      <c r="F3948" s="812"/>
      <c r="G3948" s="812"/>
      <c r="H3948" s="812"/>
    </row>
    <row r="3949" spans="1:8">
      <c r="A3949" s="812"/>
      <c r="B3949" s="812"/>
      <c r="C3949" s="812"/>
      <c r="D3949" s="812"/>
      <c r="E3949" s="812"/>
      <c r="F3949" s="812"/>
      <c r="G3949" s="812"/>
      <c r="H3949" s="812"/>
    </row>
    <row r="3950" spans="1:8">
      <c r="A3950" s="812"/>
      <c r="B3950" s="812"/>
      <c r="C3950" s="812"/>
      <c r="D3950" s="812"/>
      <c r="E3950" s="812"/>
      <c r="F3950" s="812"/>
      <c r="G3950" s="812"/>
      <c r="H3950" s="812"/>
    </row>
    <row r="3951" spans="1:8">
      <c r="A3951" s="812"/>
      <c r="B3951" s="812"/>
      <c r="C3951" s="812"/>
      <c r="D3951" s="812"/>
      <c r="E3951" s="812"/>
      <c r="F3951" s="812"/>
      <c r="G3951" s="812"/>
      <c r="H3951" s="812"/>
    </row>
    <row r="3952" spans="1:8">
      <c r="A3952" s="812"/>
      <c r="B3952" s="812"/>
      <c r="C3952" s="812"/>
      <c r="D3952" s="812"/>
      <c r="E3952" s="812"/>
      <c r="F3952" s="812"/>
      <c r="G3952" s="812"/>
      <c r="H3952" s="812"/>
    </row>
    <row r="3953" spans="1:8">
      <c r="A3953" s="812"/>
      <c r="B3953" s="812"/>
      <c r="C3953" s="812"/>
      <c r="D3953" s="812"/>
      <c r="E3953" s="812"/>
      <c r="F3953" s="812"/>
      <c r="G3953" s="812"/>
      <c r="H3953" s="812"/>
    </row>
    <row r="3954" spans="1:8">
      <c r="A3954" s="812"/>
      <c r="B3954" s="812"/>
      <c r="C3954" s="812"/>
      <c r="D3954" s="812"/>
      <c r="E3954" s="812"/>
      <c r="F3954" s="812"/>
      <c r="G3954" s="812"/>
      <c r="H3954" s="812"/>
    </row>
    <row r="3955" spans="1:8">
      <c r="A3955" s="812"/>
      <c r="B3955" s="812"/>
      <c r="C3955" s="812"/>
      <c r="D3955" s="812"/>
      <c r="E3955" s="812"/>
      <c r="F3955" s="812"/>
      <c r="G3955" s="812"/>
      <c r="H3955" s="812"/>
    </row>
    <row r="3956" spans="1:8">
      <c r="A3956" s="812"/>
      <c r="B3956" s="812"/>
      <c r="C3956" s="812"/>
      <c r="D3956" s="812"/>
      <c r="E3956" s="812"/>
      <c r="F3956" s="812"/>
      <c r="G3956" s="812"/>
      <c r="H3956" s="812"/>
    </row>
    <row r="3957" spans="1:8">
      <c r="A3957" s="812"/>
      <c r="B3957" s="812"/>
      <c r="C3957" s="812"/>
      <c r="D3957" s="812"/>
      <c r="E3957" s="812"/>
      <c r="F3957" s="812"/>
      <c r="G3957" s="812"/>
      <c r="H3957" s="812"/>
    </row>
    <row r="3958" spans="1:8">
      <c r="A3958" s="812"/>
      <c r="B3958" s="812"/>
      <c r="C3958" s="812"/>
      <c r="D3958" s="812"/>
      <c r="E3958" s="812"/>
      <c r="F3958" s="812"/>
      <c r="G3958" s="812"/>
      <c r="H3958" s="812"/>
    </row>
    <row r="3959" spans="1:8">
      <c r="A3959" s="812"/>
      <c r="B3959" s="812"/>
      <c r="C3959" s="812"/>
      <c r="D3959" s="812"/>
      <c r="E3959" s="812"/>
      <c r="F3959" s="812"/>
      <c r="G3959" s="812"/>
      <c r="H3959" s="812"/>
    </row>
    <row r="3960" spans="1:8">
      <c r="A3960" s="812"/>
      <c r="B3960" s="812"/>
      <c r="C3960" s="812"/>
      <c r="D3960" s="812"/>
      <c r="E3960" s="812"/>
      <c r="F3960" s="812"/>
      <c r="G3960" s="812"/>
      <c r="H3960" s="812"/>
    </row>
    <row r="3961" spans="1:8">
      <c r="A3961" s="812"/>
      <c r="B3961" s="812"/>
      <c r="C3961" s="812"/>
      <c r="D3961" s="812"/>
      <c r="E3961" s="812"/>
      <c r="F3961" s="812"/>
      <c r="G3961" s="812"/>
      <c r="H3961" s="812"/>
    </row>
    <row r="3962" spans="1:8">
      <c r="A3962" s="812"/>
      <c r="B3962" s="812"/>
      <c r="C3962" s="812"/>
      <c r="D3962" s="812"/>
      <c r="E3962" s="812"/>
      <c r="F3962" s="812"/>
      <c r="G3962" s="812"/>
      <c r="H3962" s="812"/>
    </row>
    <row r="3963" spans="1:8">
      <c r="A3963" s="812"/>
      <c r="B3963" s="812"/>
      <c r="C3963" s="812"/>
      <c r="D3963" s="812"/>
      <c r="E3963" s="812"/>
      <c r="F3963" s="812"/>
      <c r="G3963" s="812"/>
      <c r="H3963" s="812"/>
    </row>
    <row r="3964" spans="1:8">
      <c r="A3964" s="812"/>
      <c r="B3964" s="812"/>
      <c r="C3964" s="812"/>
      <c r="D3964" s="812"/>
      <c r="E3964" s="812"/>
      <c r="F3964" s="812"/>
      <c r="G3964" s="812"/>
      <c r="H3964" s="812"/>
    </row>
    <row r="3965" spans="1:8">
      <c r="A3965" s="812"/>
      <c r="B3965" s="812"/>
      <c r="C3965" s="812"/>
      <c r="D3965" s="812"/>
      <c r="E3965" s="812"/>
      <c r="F3965" s="812"/>
      <c r="G3965" s="812"/>
      <c r="H3965" s="812"/>
    </row>
    <row r="3966" spans="1:8">
      <c r="A3966" s="812"/>
      <c r="B3966" s="812"/>
      <c r="C3966" s="812"/>
      <c r="D3966" s="812"/>
      <c r="E3966" s="812"/>
      <c r="F3966" s="812"/>
      <c r="G3966" s="812"/>
      <c r="H3966" s="812"/>
    </row>
    <row r="3967" spans="1:8">
      <c r="A3967" s="812"/>
      <c r="B3967" s="812"/>
      <c r="C3967" s="812"/>
      <c r="D3967" s="812"/>
      <c r="E3967" s="812"/>
      <c r="F3967" s="812"/>
      <c r="G3967" s="812"/>
      <c r="H3967" s="812"/>
    </row>
    <row r="3968" spans="1:8">
      <c r="A3968" s="812"/>
      <c r="B3968" s="812"/>
      <c r="C3968" s="812"/>
      <c r="D3968" s="812"/>
      <c r="E3968" s="812"/>
      <c r="F3968" s="812"/>
      <c r="G3968" s="812"/>
      <c r="H3968" s="812"/>
    </row>
    <row r="3969" spans="1:8">
      <c r="A3969" s="812"/>
      <c r="B3969" s="812"/>
      <c r="C3969" s="812"/>
      <c r="D3969" s="812"/>
      <c r="E3969" s="812"/>
      <c r="F3969" s="812"/>
      <c r="G3969" s="812"/>
      <c r="H3969" s="812"/>
    </row>
    <row r="3970" spans="1:8">
      <c r="A3970" s="812"/>
      <c r="B3970" s="812"/>
      <c r="C3970" s="812"/>
      <c r="D3970" s="812"/>
      <c r="E3970" s="812"/>
      <c r="F3970" s="812"/>
      <c r="G3970" s="812"/>
      <c r="H3970" s="812"/>
    </row>
    <row r="3971" spans="1:8">
      <c r="A3971" s="812"/>
      <c r="B3971" s="812"/>
      <c r="C3971" s="812"/>
      <c r="D3971" s="812"/>
      <c r="E3971" s="812"/>
      <c r="F3971" s="812"/>
      <c r="G3971" s="812"/>
      <c r="H3971" s="812"/>
    </row>
    <row r="3972" spans="1:8">
      <c r="A3972" s="812"/>
      <c r="B3972" s="812"/>
      <c r="C3972" s="812"/>
      <c r="D3972" s="812"/>
      <c r="E3972" s="812"/>
      <c r="F3972" s="812"/>
      <c r="G3972" s="812"/>
      <c r="H3972" s="812"/>
    </row>
    <row r="3973" spans="1:8">
      <c r="A3973" s="812"/>
      <c r="B3973" s="812"/>
      <c r="C3973" s="812"/>
      <c r="D3973" s="812"/>
      <c r="E3973" s="812"/>
      <c r="F3973" s="812"/>
      <c r="G3973" s="812"/>
      <c r="H3973" s="812"/>
    </row>
    <row r="3974" spans="1:8">
      <c r="A3974" s="812"/>
      <c r="B3974" s="812"/>
      <c r="C3974" s="812"/>
      <c r="D3974" s="812"/>
      <c r="E3974" s="812"/>
      <c r="F3974" s="812"/>
      <c r="G3974" s="812"/>
      <c r="H3974" s="812"/>
    </row>
    <row r="3975" spans="1:8">
      <c r="A3975" s="812"/>
      <c r="B3975" s="812"/>
      <c r="C3975" s="812"/>
      <c r="D3975" s="812"/>
      <c r="E3975" s="812"/>
      <c r="F3975" s="812"/>
      <c r="G3975" s="812"/>
      <c r="H3975" s="812"/>
    </row>
    <row r="3976" spans="1:8">
      <c r="A3976" s="812"/>
      <c r="B3976" s="812"/>
      <c r="C3976" s="812"/>
      <c r="D3976" s="812"/>
      <c r="E3976" s="812"/>
      <c r="F3976" s="812"/>
      <c r="G3976" s="812"/>
      <c r="H3976" s="812"/>
    </row>
    <row r="3977" spans="1:8">
      <c r="A3977" s="812"/>
      <c r="B3977" s="812"/>
      <c r="C3977" s="812"/>
      <c r="D3977" s="812"/>
      <c r="E3977" s="812"/>
      <c r="F3977" s="812"/>
      <c r="G3977" s="812"/>
      <c r="H3977" s="812"/>
    </row>
    <row r="3978" spans="1:8">
      <c r="A3978" s="812"/>
      <c r="B3978" s="812"/>
      <c r="C3978" s="812"/>
      <c r="D3978" s="812"/>
      <c r="E3978" s="812"/>
      <c r="F3978" s="812"/>
      <c r="G3978" s="812"/>
      <c r="H3978" s="812"/>
    </row>
    <row r="3979" spans="1:8">
      <c r="A3979" s="812"/>
      <c r="B3979" s="812"/>
      <c r="C3979" s="812"/>
      <c r="D3979" s="812"/>
      <c r="E3979" s="812"/>
      <c r="F3979" s="812"/>
      <c r="G3979" s="812"/>
      <c r="H3979" s="812"/>
    </row>
    <row r="3980" spans="1:8">
      <c r="A3980" s="812"/>
      <c r="B3980" s="812"/>
      <c r="C3980" s="812"/>
      <c r="D3980" s="812"/>
      <c r="E3980" s="812"/>
      <c r="F3980" s="812"/>
      <c r="G3980" s="812"/>
      <c r="H3980" s="812"/>
    </row>
    <row r="3981" spans="1:8">
      <c r="A3981" s="812"/>
      <c r="B3981" s="812"/>
      <c r="C3981" s="812"/>
      <c r="D3981" s="812"/>
      <c r="E3981" s="812"/>
      <c r="F3981" s="812"/>
      <c r="G3981" s="812"/>
      <c r="H3981" s="812"/>
    </row>
    <row r="3982" spans="1:8">
      <c r="A3982" s="812"/>
      <c r="B3982" s="812"/>
      <c r="C3982" s="812"/>
      <c r="D3982" s="812"/>
      <c r="E3982" s="812"/>
      <c r="F3982" s="812"/>
      <c r="G3982" s="812"/>
      <c r="H3982" s="812"/>
    </row>
    <row r="3983" spans="1:8">
      <c r="A3983" s="812"/>
      <c r="B3983" s="812"/>
      <c r="C3983" s="812"/>
      <c r="D3983" s="812"/>
      <c r="E3983" s="812"/>
      <c r="F3983" s="812"/>
      <c r="G3983" s="812"/>
      <c r="H3983" s="812"/>
    </row>
    <row r="3984" spans="1:8">
      <c r="A3984" s="812"/>
      <c r="B3984" s="812"/>
      <c r="C3984" s="812"/>
      <c r="D3984" s="812"/>
      <c r="E3984" s="812"/>
      <c r="F3984" s="812"/>
      <c r="G3984" s="812"/>
      <c r="H3984" s="812"/>
    </row>
    <row r="3985" spans="1:8">
      <c r="A3985" s="812"/>
      <c r="B3985" s="812"/>
      <c r="C3985" s="812"/>
      <c r="D3985" s="812"/>
      <c r="E3985" s="812"/>
      <c r="F3985" s="812"/>
      <c r="G3985" s="812"/>
      <c r="H3985" s="812"/>
    </row>
    <row r="3986" spans="1:8">
      <c r="A3986" s="812"/>
      <c r="B3986" s="812"/>
      <c r="C3986" s="812"/>
      <c r="D3986" s="812"/>
      <c r="E3986" s="812"/>
      <c r="F3986" s="812"/>
      <c r="G3986" s="812"/>
      <c r="H3986" s="812"/>
    </row>
    <row r="3987" spans="1:8">
      <c r="A3987" s="812"/>
      <c r="B3987" s="812"/>
      <c r="C3987" s="812"/>
      <c r="D3987" s="812"/>
      <c r="E3987" s="812"/>
      <c r="F3987" s="812"/>
      <c r="G3987" s="812"/>
      <c r="H3987" s="812"/>
    </row>
    <row r="3988" spans="1:8">
      <c r="A3988" s="812"/>
      <c r="B3988" s="812"/>
      <c r="C3988" s="812"/>
      <c r="D3988" s="812"/>
      <c r="E3988" s="812"/>
      <c r="F3988" s="812"/>
      <c r="G3988" s="812"/>
      <c r="H3988" s="812"/>
    </row>
    <row r="3989" spans="1:8">
      <c r="A3989" s="812"/>
      <c r="B3989" s="812"/>
      <c r="C3989" s="812"/>
      <c r="D3989" s="812"/>
      <c r="E3989" s="812"/>
      <c r="F3989" s="812"/>
      <c r="G3989" s="812"/>
      <c r="H3989" s="812"/>
    </row>
    <row r="3990" spans="1:8">
      <c r="A3990" s="812"/>
      <c r="B3990" s="812"/>
      <c r="C3990" s="812"/>
      <c r="D3990" s="812"/>
      <c r="E3990" s="812"/>
      <c r="F3990" s="812"/>
      <c r="G3990" s="812"/>
      <c r="H3990" s="812"/>
    </row>
    <row r="3991" spans="1:8">
      <c r="A3991" s="812"/>
      <c r="B3991" s="812"/>
      <c r="C3991" s="812"/>
      <c r="D3991" s="812"/>
      <c r="E3991" s="812"/>
      <c r="F3991" s="812"/>
      <c r="G3991" s="812"/>
      <c r="H3991" s="812"/>
    </row>
    <row r="3992" spans="1:8">
      <c r="A3992" s="812"/>
      <c r="B3992" s="812"/>
      <c r="C3992" s="812"/>
      <c r="D3992" s="812"/>
      <c r="E3992" s="812"/>
      <c r="F3992" s="812"/>
      <c r="G3992" s="812"/>
      <c r="H3992" s="812"/>
    </row>
    <row r="3993" spans="1:8">
      <c r="A3993" s="812"/>
      <c r="B3993" s="812"/>
      <c r="C3993" s="812"/>
      <c r="D3993" s="812"/>
      <c r="E3993" s="812"/>
      <c r="F3993" s="812"/>
      <c r="G3993" s="812"/>
      <c r="H3993" s="812"/>
    </row>
    <row r="3994" spans="1:8">
      <c r="A3994" s="812"/>
      <c r="B3994" s="812"/>
      <c r="C3994" s="812"/>
      <c r="D3994" s="812"/>
      <c r="E3994" s="812"/>
      <c r="F3994" s="812"/>
      <c r="G3994" s="812"/>
      <c r="H3994" s="812"/>
    </row>
    <row r="3995" spans="1:8">
      <c r="A3995" s="812"/>
      <c r="B3995" s="812"/>
      <c r="C3995" s="812"/>
      <c r="D3995" s="812"/>
      <c r="E3995" s="812"/>
      <c r="F3995" s="812"/>
      <c r="G3995" s="812"/>
      <c r="H3995" s="812"/>
    </row>
    <row r="3996" spans="1:8">
      <c r="A3996" s="812"/>
      <c r="B3996" s="812"/>
      <c r="C3996" s="812"/>
      <c r="D3996" s="812"/>
      <c r="E3996" s="812"/>
      <c r="F3996" s="812"/>
      <c r="G3996" s="812"/>
      <c r="H3996" s="812"/>
    </row>
    <row r="3997" spans="1:8">
      <c r="A3997" s="812"/>
      <c r="B3997" s="812"/>
      <c r="C3997" s="812"/>
      <c r="D3997" s="812"/>
      <c r="E3997" s="812"/>
      <c r="F3997" s="812"/>
      <c r="G3997" s="812"/>
      <c r="H3997" s="812"/>
    </row>
    <row r="3998" spans="1:8">
      <c r="A3998" s="812"/>
      <c r="B3998" s="812"/>
      <c r="C3998" s="812"/>
      <c r="D3998" s="812"/>
      <c r="E3998" s="812"/>
      <c r="F3998" s="812"/>
      <c r="G3998" s="812"/>
      <c r="H3998" s="812"/>
    </row>
    <row r="3999" spans="1:8">
      <c r="A3999" s="812"/>
      <c r="B3999" s="812"/>
      <c r="C3999" s="812"/>
      <c r="D3999" s="812"/>
      <c r="E3999" s="812"/>
      <c r="F3999" s="812"/>
      <c r="G3999" s="812"/>
      <c r="H3999" s="812"/>
    </row>
    <row r="4000" spans="1:8">
      <c r="A4000" s="812"/>
      <c r="B4000" s="812"/>
      <c r="C4000" s="812"/>
      <c r="D4000" s="812"/>
      <c r="E4000" s="812"/>
      <c r="F4000" s="812"/>
      <c r="G4000" s="812"/>
      <c r="H4000" s="812"/>
    </row>
    <row r="4001" spans="1:8">
      <c r="A4001" s="812"/>
      <c r="B4001" s="812"/>
      <c r="C4001" s="812"/>
      <c r="D4001" s="812"/>
      <c r="E4001" s="812"/>
      <c r="F4001" s="812"/>
      <c r="G4001" s="812"/>
      <c r="H4001" s="812"/>
    </row>
    <row r="4002" spans="1:8">
      <c r="A4002" s="812"/>
      <c r="B4002" s="812"/>
      <c r="C4002" s="812"/>
      <c r="D4002" s="812"/>
      <c r="E4002" s="812"/>
      <c r="F4002" s="812"/>
      <c r="G4002" s="812"/>
      <c r="H4002" s="812"/>
    </row>
    <row r="4003" spans="1:8">
      <c r="A4003" s="812"/>
      <c r="B4003" s="812"/>
      <c r="C4003" s="812"/>
      <c r="D4003" s="812"/>
      <c r="E4003" s="812"/>
      <c r="F4003" s="812"/>
      <c r="G4003" s="812"/>
      <c r="H4003" s="812"/>
    </row>
    <row r="4004" spans="1:8">
      <c r="A4004" s="812"/>
      <c r="B4004" s="812"/>
      <c r="C4004" s="812"/>
      <c r="D4004" s="812"/>
      <c r="E4004" s="812"/>
      <c r="F4004" s="812"/>
      <c r="G4004" s="812"/>
      <c r="H4004" s="812"/>
    </row>
    <row r="4005" spans="1:8">
      <c r="A4005" s="812"/>
      <c r="B4005" s="812"/>
      <c r="C4005" s="812"/>
      <c r="D4005" s="812"/>
      <c r="E4005" s="812"/>
      <c r="F4005" s="812"/>
      <c r="G4005" s="812"/>
      <c r="H4005" s="812"/>
    </row>
    <row r="4006" spans="1:8">
      <c r="A4006" s="812"/>
      <c r="B4006" s="812"/>
      <c r="C4006" s="812"/>
      <c r="D4006" s="812"/>
      <c r="E4006" s="812"/>
      <c r="F4006" s="812"/>
      <c r="G4006" s="812"/>
      <c r="H4006" s="812"/>
    </row>
    <row r="4007" spans="1:8">
      <c r="A4007" s="812"/>
      <c r="B4007" s="812"/>
      <c r="C4007" s="812"/>
      <c r="D4007" s="812"/>
      <c r="E4007" s="812"/>
      <c r="F4007" s="812"/>
      <c r="G4007" s="812"/>
      <c r="H4007" s="812"/>
    </row>
    <row r="4008" spans="1:8">
      <c r="A4008" s="812"/>
      <c r="B4008" s="812"/>
      <c r="C4008" s="812"/>
      <c r="D4008" s="812"/>
      <c r="E4008" s="812"/>
      <c r="F4008" s="812"/>
      <c r="G4008" s="812"/>
      <c r="H4008" s="812"/>
    </row>
    <row r="4009" spans="1:8">
      <c r="A4009" s="812"/>
      <c r="B4009" s="812"/>
      <c r="C4009" s="812"/>
      <c r="D4009" s="812"/>
      <c r="E4009" s="812"/>
      <c r="F4009" s="812"/>
      <c r="G4009" s="812"/>
      <c r="H4009" s="812"/>
    </row>
    <row r="4010" spans="1:8">
      <c r="A4010" s="812"/>
      <c r="B4010" s="812"/>
      <c r="C4010" s="812"/>
      <c r="D4010" s="812"/>
      <c r="E4010" s="812"/>
      <c r="F4010" s="812"/>
      <c r="G4010" s="812"/>
      <c r="H4010" s="812"/>
    </row>
    <row r="4011" spans="1:8">
      <c r="A4011" s="812"/>
      <c r="B4011" s="812"/>
      <c r="C4011" s="812"/>
      <c r="D4011" s="812"/>
      <c r="E4011" s="812"/>
      <c r="F4011" s="812"/>
      <c r="G4011" s="812"/>
      <c r="H4011" s="812"/>
    </row>
    <row r="4012" spans="1:8">
      <c r="A4012" s="812"/>
      <c r="B4012" s="812"/>
      <c r="C4012" s="812"/>
      <c r="D4012" s="812"/>
      <c r="E4012" s="812"/>
      <c r="F4012" s="812"/>
      <c r="G4012" s="812"/>
      <c r="H4012" s="812"/>
    </row>
    <row r="4013" spans="1:8">
      <c r="A4013" s="812"/>
      <c r="B4013" s="812"/>
      <c r="C4013" s="812"/>
      <c r="D4013" s="812"/>
      <c r="E4013" s="812"/>
      <c r="F4013" s="812"/>
      <c r="G4013" s="812"/>
      <c r="H4013" s="812"/>
    </row>
    <row r="4014" spans="1:8">
      <c r="A4014" s="812"/>
      <c r="B4014" s="812"/>
      <c r="C4014" s="812"/>
      <c r="D4014" s="812"/>
      <c r="E4014" s="812"/>
      <c r="F4014" s="812"/>
      <c r="G4014" s="812"/>
      <c r="H4014" s="812"/>
    </row>
    <row r="4015" spans="1:8">
      <c r="A4015" s="812"/>
      <c r="B4015" s="812"/>
      <c r="C4015" s="812"/>
      <c r="D4015" s="812"/>
      <c r="E4015" s="812"/>
      <c r="F4015" s="812"/>
      <c r="G4015" s="812"/>
      <c r="H4015" s="812"/>
    </row>
    <row r="4016" spans="1:8">
      <c r="A4016" s="812"/>
      <c r="B4016" s="812"/>
      <c r="C4016" s="812"/>
      <c r="D4016" s="812"/>
      <c r="E4016" s="812"/>
      <c r="F4016" s="812"/>
      <c r="G4016" s="812"/>
      <c r="H4016" s="812"/>
    </row>
    <row r="4017" spans="1:8">
      <c r="A4017" s="812"/>
      <c r="B4017" s="812"/>
      <c r="C4017" s="812"/>
      <c r="D4017" s="812"/>
      <c r="E4017" s="812"/>
      <c r="F4017" s="812"/>
      <c r="G4017" s="812"/>
      <c r="H4017" s="812"/>
    </row>
    <row r="4018" spans="1:8">
      <c r="A4018" s="812"/>
      <c r="B4018" s="812"/>
      <c r="C4018" s="812"/>
      <c r="D4018" s="812"/>
      <c r="E4018" s="812"/>
      <c r="F4018" s="812"/>
      <c r="G4018" s="812"/>
      <c r="H4018" s="812"/>
    </row>
    <row r="4019" spans="1:8">
      <c r="A4019" s="812"/>
      <c r="B4019" s="812"/>
      <c r="C4019" s="812"/>
      <c r="D4019" s="812"/>
      <c r="E4019" s="812"/>
      <c r="F4019" s="812"/>
      <c r="G4019" s="812"/>
      <c r="H4019" s="812"/>
    </row>
    <row r="4020" spans="1:8">
      <c r="A4020" s="812"/>
      <c r="B4020" s="812"/>
      <c r="C4020" s="812"/>
      <c r="D4020" s="812"/>
      <c r="E4020" s="812"/>
      <c r="F4020" s="812"/>
      <c r="G4020" s="812"/>
      <c r="H4020" s="812"/>
    </row>
    <row r="4021" spans="1:8">
      <c r="A4021" s="812"/>
      <c r="B4021" s="812"/>
      <c r="C4021" s="812"/>
      <c r="D4021" s="812"/>
      <c r="E4021" s="812"/>
      <c r="F4021" s="812"/>
      <c r="G4021" s="812"/>
      <c r="H4021" s="812"/>
    </row>
    <row r="4022" spans="1:8">
      <c r="A4022" s="812"/>
      <c r="B4022" s="812"/>
      <c r="C4022" s="812"/>
      <c r="D4022" s="812"/>
      <c r="E4022" s="812"/>
      <c r="F4022" s="812"/>
      <c r="G4022" s="812"/>
      <c r="H4022" s="812"/>
    </row>
    <row r="4023" spans="1:8">
      <c r="A4023" s="812"/>
      <c r="B4023" s="812"/>
      <c r="C4023" s="812"/>
      <c r="D4023" s="812"/>
      <c r="E4023" s="812"/>
      <c r="F4023" s="812"/>
      <c r="G4023" s="812"/>
      <c r="H4023" s="812"/>
    </row>
    <row r="4024" spans="1:8">
      <c r="A4024" s="812"/>
      <c r="B4024" s="812"/>
      <c r="C4024" s="812"/>
      <c r="D4024" s="812"/>
      <c r="E4024" s="812"/>
      <c r="F4024" s="812"/>
      <c r="G4024" s="812"/>
      <c r="H4024" s="812"/>
    </row>
    <row r="4025" spans="1:8">
      <c r="A4025" s="812"/>
      <c r="B4025" s="812"/>
      <c r="C4025" s="812"/>
      <c r="D4025" s="812"/>
      <c r="E4025" s="812"/>
      <c r="F4025" s="812"/>
      <c r="G4025" s="812"/>
      <c r="H4025" s="812"/>
    </row>
    <row r="4026" spans="1:8">
      <c r="A4026" s="812"/>
      <c r="B4026" s="812"/>
      <c r="C4026" s="812"/>
      <c r="D4026" s="812"/>
      <c r="E4026" s="812"/>
      <c r="F4026" s="812"/>
      <c r="G4026" s="812"/>
      <c r="H4026" s="812"/>
    </row>
    <row r="4027" spans="1:8">
      <c r="A4027" s="812"/>
      <c r="B4027" s="812"/>
      <c r="C4027" s="812"/>
      <c r="D4027" s="812"/>
      <c r="E4027" s="812"/>
      <c r="F4027" s="812"/>
      <c r="G4027" s="812"/>
      <c r="H4027" s="812"/>
    </row>
    <row r="4028" spans="1:8">
      <c r="A4028" s="812"/>
      <c r="B4028" s="812"/>
      <c r="C4028" s="812"/>
      <c r="D4028" s="812"/>
      <c r="E4028" s="812"/>
      <c r="F4028" s="812"/>
      <c r="G4028" s="812"/>
      <c r="H4028" s="812"/>
    </row>
    <row r="4029" spans="1:8">
      <c r="A4029" s="812"/>
      <c r="B4029" s="812"/>
      <c r="C4029" s="812"/>
      <c r="D4029" s="812"/>
      <c r="E4029" s="812"/>
      <c r="F4029" s="812"/>
      <c r="G4029" s="812"/>
      <c r="H4029" s="812"/>
    </row>
    <row r="4030" spans="1:8">
      <c r="A4030" s="812"/>
      <c r="B4030" s="812"/>
      <c r="C4030" s="812"/>
      <c r="D4030" s="812"/>
      <c r="E4030" s="812"/>
      <c r="F4030" s="812"/>
      <c r="G4030" s="812"/>
      <c r="H4030" s="812"/>
    </row>
    <row r="4031" spans="1:8">
      <c r="A4031" s="812"/>
      <c r="B4031" s="812"/>
      <c r="C4031" s="812"/>
      <c r="D4031" s="812"/>
      <c r="E4031" s="812"/>
      <c r="F4031" s="812"/>
      <c r="G4031" s="812"/>
      <c r="H4031" s="812"/>
    </row>
    <row r="4032" spans="1:8">
      <c r="A4032" s="812"/>
      <c r="B4032" s="812"/>
      <c r="C4032" s="812"/>
      <c r="D4032" s="812"/>
      <c r="E4032" s="812"/>
      <c r="F4032" s="812"/>
      <c r="G4032" s="812"/>
      <c r="H4032" s="812"/>
    </row>
    <row r="4033" spans="1:8">
      <c r="A4033" s="812"/>
      <c r="B4033" s="812"/>
      <c r="C4033" s="812"/>
      <c r="D4033" s="812"/>
      <c r="E4033" s="812"/>
      <c r="F4033" s="812"/>
      <c r="G4033" s="812"/>
      <c r="H4033" s="812"/>
    </row>
    <row r="4034" spans="1:8">
      <c r="A4034" s="812"/>
      <c r="B4034" s="812"/>
      <c r="C4034" s="812"/>
      <c r="D4034" s="812"/>
      <c r="E4034" s="812"/>
      <c r="F4034" s="812"/>
      <c r="G4034" s="812"/>
      <c r="H4034" s="812"/>
    </row>
    <row r="4035" spans="1:8">
      <c r="A4035" s="812"/>
      <c r="B4035" s="812"/>
      <c r="C4035" s="812"/>
      <c r="D4035" s="812"/>
      <c r="E4035" s="812"/>
      <c r="F4035" s="812"/>
      <c r="G4035" s="812"/>
      <c r="H4035" s="812"/>
    </row>
    <row r="4036" spans="1:8">
      <c r="A4036" s="812"/>
      <c r="B4036" s="812"/>
      <c r="C4036" s="812"/>
      <c r="D4036" s="812"/>
      <c r="E4036" s="812"/>
      <c r="F4036" s="812"/>
      <c r="G4036" s="812"/>
      <c r="H4036" s="812"/>
    </row>
    <row r="4037" spans="1:8">
      <c r="A4037" s="812"/>
      <c r="B4037" s="812"/>
      <c r="C4037" s="812"/>
      <c r="D4037" s="812"/>
      <c r="E4037" s="812"/>
      <c r="F4037" s="812"/>
      <c r="G4037" s="812"/>
      <c r="H4037" s="812"/>
    </row>
    <row r="4038" spans="1:8">
      <c r="A4038" s="812"/>
      <c r="B4038" s="812"/>
      <c r="C4038" s="812"/>
      <c r="D4038" s="812"/>
      <c r="E4038" s="812"/>
      <c r="F4038" s="812"/>
      <c r="G4038" s="812"/>
      <c r="H4038" s="812"/>
    </row>
    <row r="4039" spans="1:8">
      <c r="A4039" s="812"/>
      <c r="B4039" s="812"/>
      <c r="C4039" s="812"/>
      <c r="D4039" s="812"/>
      <c r="E4039" s="812"/>
      <c r="F4039" s="812"/>
      <c r="G4039" s="812"/>
      <c r="H4039" s="812"/>
    </row>
    <row r="4040" spans="1:8">
      <c r="A4040" s="812"/>
      <c r="B4040" s="812"/>
      <c r="C4040" s="812"/>
      <c r="D4040" s="812"/>
      <c r="E4040" s="812"/>
      <c r="F4040" s="812"/>
      <c r="G4040" s="812"/>
      <c r="H4040" s="812"/>
    </row>
    <row r="4041" spans="1:8">
      <c r="A4041" s="812"/>
      <c r="B4041" s="812"/>
      <c r="C4041" s="812"/>
      <c r="D4041" s="812"/>
      <c r="E4041" s="812"/>
      <c r="F4041" s="812"/>
      <c r="G4041" s="812"/>
      <c r="H4041" s="812"/>
    </row>
    <row r="4042" spans="1:8">
      <c r="A4042" s="812"/>
      <c r="B4042" s="812"/>
      <c r="C4042" s="812"/>
      <c r="D4042" s="812"/>
      <c r="E4042" s="812"/>
      <c r="F4042" s="812"/>
      <c r="G4042" s="812"/>
      <c r="H4042" s="812"/>
    </row>
    <row r="4043" spans="1:8">
      <c r="A4043" s="812"/>
      <c r="B4043" s="812"/>
      <c r="C4043" s="812"/>
      <c r="D4043" s="812"/>
      <c r="E4043" s="812"/>
      <c r="F4043" s="812"/>
      <c r="G4043" s="812"/>
      <c r="H4043" s="812"/>
    </row>
    <row r="4044" spans="1:8">
      <c r="A4044" s="812"/>
      <c r="B4044" s="812"/>
      <c r="C4044" s="812"/>
      <c r="D4044" s="812"/>
      <c r="E4044" s="812"/>
      <c r="F4044" s="812"/>
      <c r="G4044" s="812"/>
      <c r="H4044" s="812"/>
    </row>
    <row r="4045" spans="1:8">
      <c r="A4045" s="812"/>
      <c r="B4045" s="812"/>
      <c r="C4045" s="812"/>
      <c r="D4045" s="812"/>
      <c r="E4045" s="812"/>
      <c r="F4045" s="812"/>
      <c r="G4045" s="812"/>
      <c r="H4045" s="812"/>
    </row>
    <row r="4046" spans="1:8">
      <c r="A4046" s="812"/>
      <c r="B4046" s="812"/>
      <c r="C4046" s="812"/>
      <c r="D4046" s="812"/>
      <c r="E4046" s="812"/>
      <c r="F4046" s="812"/>
      <c r="G4046" s="812"/>
      <c r="H4046" s="812"/>
    </row>
    <row r="4047" spans="1:8">
      <c r="A4047" s="812"/>
      <c r="B4047" s="812"/>
      <c r="C4047" s="812"/>
      <c r="D4047" s="812"/>
      <c r="E4047" s="812"/>
      <c r="F4047" s="812"/>
      <c r="G4047" s="812"/>
      <c r="H4047" s="812"/>
    </row>
    <row r="4048" spans="1:8">
      <c r="A4048" s="812"/>
      <c r="B4048" s="812"/>
      <c r="C4048" s="812"/>
      <c r="D4048" s="812"/>
      <c r="E4048" s="812"/>
      <c r="F4048" s="812"/>
      <c r="G4048" s="812"/>
      <c r="H4048" s="812"/>
    </row>
    <row r="4049" spans="1:8">
      <c r="A4049" s="812"/>
      <c r="B4049" s="812"/>
      <c r="C4049" s="812"/>
      <c r="D4049" s="812"/>
      <c r="E4049" s="812"/>
      <c r="F4049" s="812"/>
      <c r="G4049" s="812"/>
      <c r="H4049" s="812"/>
    </row>
    <row r="4050" spans="1:8">
      <c r="A4050" s="812"/>
      <c r="B4050" s="812"/>
      <c r="C4050" s="812"/>
      <c r="D4050" s="812"/>
      <c r="E4050" s="812"/>
      <c r="F4050" s="812"/>
      <c r="G4050" s="812"/>
      <c r="H4050" s="812"/>
    </row>
    <row r="4051" spans="1:8">
      <c r="A4051" s="812"/>
      <c r="B4051" s="812"/>
      <c r="C4051" s="812"/>
      <c r="D4051" s="812"/>
      <c r="E4051" s="812"/>
      <c r="F4051" s="812"/>
      <c r="G4051" s="812"/>
      <c r="H4051" s="812"/>
    </row>
    <row r="4052" spans="1:8">
      <c r="A4052" s="812"/>
      <c r="B4052" s="812"/>
      <c r="C4052" s="812"/>
      <c r="D4052" s="812"/>
      <c r="E4052" s="812"/>
      <c r="F4052" s="812"/>
      <c r="G4052" s="812"/>
      <c r="H4052" s="812"/>
    </row>
    <row r="4053" spans="1:8">
      <c r="A4053" s="812"/>
      <c r="B4053" s="812"/>
      <c r="C4053" s="812"/>
      <c r="D4053" s="812"/>
      <c r="E4053" s="812"/>
      <c r="F4053" s="812"/>
      <c r="G4053" s="812"/>
      <c r="H4053" s="812"/>
    </row>
    <row r="4054" spans="1:8">
      <c r="A4054" s="812"/>
      <c r="B4054" s="812"/>
      <c r="C4054" s="812"/>
      <c r="D4054" s="812"/>
      <c r="E4054" s="812"/>
      <c r="F4054" s="812"/>
      <c r="G4054" s="812"/>
      <c r="H4054" s="812"/>
    </row>
    <row r="4055" spans="1:8">
      <c r="A4055" s="812"/>
      <c r="B4055" s="812"/>
      <c r="C4055" s="812"/>
      <c r="D4055" s="812"/>
      <c r="E4055" s="812"/>
      <c r="F4055" s="812"/>
      <c r="G4055" s="812"/>
      <c r="H4055" s="812"/>
    </row>
    <row r="4056" spans="1:8">
      <c r="A4056" s="812"/>
      <c r="B4056" s="812"/>
      <c r="C4056" s="812"/>
      <c r="D4056" s="812"/>
      <c r="E4056" s="812"/>
      <c r="F4056" s="812"/>
      <c r="G4056" s="812"/>
      <c r="H4056" s="812"/>
    </row>
    <row r="4057" spans="1:8">
      <c r="A4057" s="812"/>
      <c r="B4057" s="812"/>
      <c r="C4057" s="812"/>
      <c r="D4057" s="812"/>
      <c r="E4057" s="812"/>
      <c r="F4057" s="812"/>
      <c r="G4057" s="812"/>
      <c r="H4057" s="812"/>
    </row>
    <row r="4058" spans="1:8">
      <c r="A4058" s="812"/>
      <c r="B4058" s="812"/>
      <c r="C4058" s="812"/>
      <c r="D4058" s="812"/>
      <c r="E4058" s="812"/>
      <c r="F4058" s="812"/>
      <c r="G4058" s="812"/>
      <c r="H4058" s="812"/>
    </row>
    <row r="4059" spans="1:8">
      <c r="A4059" s="812"/>
      <c r="B4059" s="812"/>
      <c r="C4059" s="812"/>
      <c r="D4059" s="812"/>
      <c r="E4059" s="812"/>
      <c r="F4059" s="812"/>
      <c r="G4059" s="812"/>
      <c r="H4059" s="812"/>
    </row>
    <row r="4060" spans="1:8">
      <c r="A4060" s="812"/>
      <c r="B4060" s="812"/>
      <c r="C4060" s="812"/>
      <c r="D4060" s="812"/>
      <c r="E4060" s="812"/>
      <c r="F4060" s="812"/>
      <c r="G4060" s="812"/>
      <c r="H4060" s="812"/>
    </row>
    <row r="4061" spans="1:8">
      <c r="A4061" s="812"/>
      <c r="B4061" s="812"/>
      <c r="C4061" s="812"/>
      <c r="D4061" s="812"/>
      <c r="E4061" s="812"/>
      <c r="F4061" s="812"/>
      <c r="G4061" s="812"/>
      <c r="H4061" s="812"/>
    </row>
    <row r="4062" spans="1:8">
      <c r="A4062" s="812"/>
      <c r="B4062" s="812"/>
      <c r="C4062" s="812"/>
      <c r="D4062" s="812"/>
      <c r="E4062" s="812"/>
      <c r="F4062" s="812"/>
      <c r="G4062" s="812"/>
      <c r="H4062" s="812"/>
    </row>
    <row r="4063" spans="1:8">
      <c r="A4063" s="812"/>
      <c r="B4063" s="812"/>
      <c r="C4063" s="812"/>
      <c r="D4063" s="812"/>
      <c r="E4063" s="812"/>
      <c r="F4063" s="812"/>
      <c r="G4063" s="812"/>
      <c r="H4063" s="812"/>
    </row>
    <row r="4064" spans="1:8">
      <c r="A4064" s="812"/>
      <c r="B4064" s="812"/>
      <c r="C4064" s="812"/>
      <c r="D4064" s="812"/>
      <c r="E4064" s="812"/>
      <c r="F4064" s="812"/>
      <c r="G4064" s="812"/>
      <c r="H4064" s="812"/>
    </row>
    <row r="4065" spans="1:8">
      <c r="A4065" s="812"/>
      <c r="B4065" s="812"/>
      <c r="C4065" s="812"/>
      <c r="D4065" s="812"/>
      <c r="E4065" s="812"/>
      <c r="F4065" s="812"/>
      <c r="G4065" s="812"/>
      <c r="H4065" s="812"/>
    </row>
    <row r="4066" spans="1:8">
      <c r="A4066" s="812"/>
      <c r="B4066" s="812"/>
      <c r="C4066" s="812"/>
      <c r="D4066" s="812"/>
      <c r="E4066" s="812"/>
      <c r="F4066" s="812"/>
      <c r="G4066" s="812"/>
      <c r="H4066" s="812"/>
    </row>
    <row r="4067" spans="1:8">
      <c r="A4067" s="812"/>
      <c r="B4067" s="812"/>
      <c r="C4067" s="812"/>
      <c r="D4067" s="812"/>
      <c r="E4067" s="812"/>
      <c r="F4067" s="812"/>
      <c r="G4067" s="812"/>
      <c r="H4067" s="812"/>
    </row>
    <row r="4068" spans="1:8">
      <c r="A4068" s="812"/>
      <c r="B4068" s="812"/>
      <c r="C4068" s="812"/>
      <c r="D4068" s="812"/>
      <c r="E4068" s="812"/>
      <c r="F4068" s="812"/>
      <c r="G4068" s="812"/>
      <c r="H4068" s="812"/>
    </row>
    <row r="4069" spans="1:8">
      <c r="A4069" s="812"/>
      <c r="B4069" s="812"/>
      <c r="C4069" s="812"/>
      <c r="D4069" s="812"/>
      <c r="E4069" s="812"/>
      <c r="F4069" s="812"/>
      <c r="G4069" s="812"/>
      <c r="H4069" s="812"/>
    </row>
    <row r="4070" spans="1:8">
      <c r="A4070" s="812"/>
      <c r="B4070" s="812"/>
      <c r="C4070" s="812"/>
      <c r="D4070" s="812"/>
      <c r="E4070" s="812"/>
      <c r="F4070" s="812"/>
      <c r="G4070" s="812"/>
      <c r="H4070" s="812"/>
    </row>
    <row r="4071" spans="1:8">
      <c r="A4071" s="812"/>
      <c r="B4071" s="812"/>
      <c r="C4071" s="812"/>
      <c r="D4071" s="812"/>
      <c r="E4071" s="812"/>
      <c r="F4071" s="812"/>
      <c r="G4071" s="812"/>
      <c r="H4071" s="812"/>
    </row>
    <row r="4072" spans="1:8">
      <c r="A4072" s="812"/>
      <c r="B4072" s="812"/>
      <c r="C4072" s="812"/>
      <c r="D4072" s="812"/>
      <c r="E4072" s="812"/>
      <c r="F4072" s="812"/>
      <c r="G4072" s="812"/>
      <c r="H4072" s="812"/>
    </row>
    <row r="4073" spans="1:8">
      <c r="A4073" s="812"/>
      <c r="B4073" s="812"/>
      <c r="C4073" s="812"/>
      <c r="D4073" s="812"/>
      <c r="E4073" s="812"/>
      <c r="F4073" s="812"/>
      <c r="G4073" s="812"/>
      <c r="H4073" s="812"/>
    </row>
    <row r="4074" spans="1:8">
      <c r="A4074" s="812"/>
      <c r="B4074" s="812"/>
      <c r="C4074" s="812"/>
      <c r="D4074" s="812"/>
      <c r="E4074" s="812"/>
      <c r="F4074" s="812"/>
      <c r="G4074" s="812"/>
      <c r="H4074" s="812"/>
    </row>
    <row r="4075" spans="1:8">
      <c r="A4075" s="812"/>
      <c r="B4075" s="812"/>
      <c r="C4075" s="812"/>
      <c r="D4075" s="812"/>
      <c r="E4075" s="812"/>
      <c r="F4075" s="812"/>
      <c r="G4075" s="812"/>
      <c r="H4075" s="812"/>
    </row>
    <row r="4076" spans="1:8">
      <c r="A4076" s="812"/>
      <c r="B4076" s="812"/>
      <c r="C4076" s="812"/>
      <c r="D4076" s="812"/>
      <c r="E4076" s="812"/>
      <c r="F4076" s="812"/>
      <c r="G4076" s="812"/>
      <c r="H4076" s="812"/>
    </row>
    <row r="4077" spans="1:8">
      <c r="A4077" s="812"/>
      <c r="B4077" s="812"/>
      <c r="C4077" s="812"/>
      <c r="D4077" s="812"/>
      <c r="E4077" s="812"/>
      <c r="F4077" s="812"/>
      <c r="G4077" s="812"/>
      <c r="H4077" s="812"/>
    </row>
    <row r="4078" spans="1:8">
      <c r="A4078" s="812"/>
      <c r="B4078" s="812"/>
      <c r="C4078" s="812"/>
      <c r="D4078" s="812"/>
      <c r="E4078" s="812"/>
      <c r="F4078" s="812"/>
      <c r="G4078" s="812"/>
      <c r="H4078" s="812"/>
    </row>
    <row r="4079" spans="1:8">
      <c r="A4079" s="812"/>
      <c r="B4079" s="812"/>
      <c r="C4079" s="812"/>
      <c r="D4079" s="812"/>
      <c r="E4079" s="812"/>
      <c r="F4079" s="812"/>
      <c r="G4079" s="812"/>
      <c r="H4079" s="812"/>
    </row>
    <row r="4080" spans="1:8">
      <c r="A4080" s="812"/>
      <c r="B4080" s="812"/>
      <c r="C4080" s="812"/>
      <c r="D4080" s="812"/>
      <c r="E4080" s="812"/>
      <c r="F4080" s="812"/>
      <c r="G4080" s="812"/>
      <c r="H4080" s="812"/>
    </row>
    <row r="4081" spans="1:8">
      <c r="A4081" s="812"/>
      <c r="B4081" s="812"/>
      <c r="C4081" s="812"/>
      <c r="D4081" s="812"/>
      <c r="E4081" s="812"/>
      <c r="F4081" s="812"/>
      <c r="G4081" s="812"/>
      <c r="H4081" s="812"/>
    </row>
    <row r="4082" spans="1:8">
      <c r="A4082" s="812"/>
      <c r="B4082" s="812"/>
      <c r="C4082" s="812"/>
      <c r="D4082" s="812"/>
      <c r="E4082" s="812"/>
      <c r="F4082" s="812"/>
      <c r="G4082" s="812"/>
      <c r="H4082" s="812"/>
    </row>
    <row r="4083" spans="1:8">
      <c r="A4083" s="812"/>
      <c r="B4083" s="812"/>
      <c r="C4083" s="812"/>
      <c r="D4083" s="812"/>
      <c r="E4083" s="812"/>
      <c r="F4083" s="812"/>
      <c r="G4083" s="812"/>
      <c r="H4083" s="812"/>
    </row>
    <row r="4084" spans="1:8">
      <c r="A4084" s="812"/>
      <c r="B4084" s="812"/>
      <c r="C4084" s="812"/>
      <c r="D4084" s="812"/>
      <c r="E4084" s="812"/>
      <c r="F4084" s="812"/>
      <c r="G4084" s="812"/>
      <c r="H4084" s="812"/>
    </row>
    <row r="4085" spans="1:8">
      <c r="A4085" s="812"/>
      <c r="B4085" s="812"/>
      <c r="C4085" s="812"/>
      <c r="D4085" s="812"/>
      <c r="E4085" s="812"/>
      <c r="F4085" s="812"/>
      <c r="G4085" s="812"/>
      <c r="H4085" s="812"/>
    </row>
    <row r="4086" spans="1:8">
      <c r="A4086" s="812"/>
      <c r="B4086" s="812"/>
      <c r="C4086" s="812"/>
      <c r="D4086" s="812"/>
      <c r="E4086" s="812"/>
      <c r="F4086" s="812"/>
      <c r="G4086" s="812"/>
      <c r="H4086" s="812"/>
    </row>
    <row r="4087" spans="1:8">
      <c r="A4087" s="812"/>
      <c r="B4087" s="812"/>
      <c r="C4087" s="812"/>
      <c r="D4087" s="812"/>
      <c r="E4087" s="812"/>
      <c r="F4087" s="812"/>
      <c r="G4087" s="812"/>
      <c r="H4087" s="812"/>
    </row>
    <row r="4088" spans="1:8">
      <c r="A4088" s="812"/>
      <c r="B4088" s="812"/>
      <c r="C4088" s="812"/>
      <c r="D4088" s="812"/>
      <c r="E4088" s="812"/>
      <c r="F4088" s="812"/>
      <c r="G4088" s="812"/>
      <c r="H4088" s="812"/>
    </row>
    <row r="4089" spans="1:8">
      <c r="A4089" s="812"/>
      <c r="B4089" s="812"/>
      <c r="C4089" s="812"/>
      <c r="D4089" s="812"/>
      <c r="E4089" s="812"/>
      <c r="F4089" s="812"/>
      <c r="G4089" s="812"/>
      <c r="H4089" s="812"/>
    </row>
    <row r="4090" spans="1:8">
      <c r="A4090" s="812"/>
      <c r="B4090" s="812"/>
      <c r="C4090" s="812"/>
      <c r="D4090" s="812"/>
      <c r="E4090" s="812"/>
      <c r="F4090" s="812"/>
      <c r="G4090" s="812"/>
      <c r="H4090" s="812"/>
    </row>
    <row r="4091" spans="1:8">
      <c r="A4091" s="812"/>
      <c r="B4091" s="812"/>
      <c r="C4091" s="812"/>
      <c r="D4091" s="812"/>
      <c r="E4091" s="812"/>
      <c r="F4091" s="812"/>
      <c r="G4091" s="812"/>
      <c r="H4091" s="812"/>
    </row>
    <row r="4092" spans="1:8">
      <c r="A4092" s="812"/>
      <c r="B4092" s="812"/>
      <c r="C4092" s="812"/>
      <c r="D4092" s="812"/>
      <c r="E4092" s="812"/>
      <c r="F4092" s="812"/>
      <c r="G4092" s="812"/>
      <c r="H4092" s="812"/>
    </row>
    <row r="4093" spans="1:8">
      <c r="A4093" s="812"/>
      <c r="B4093" s="812"/>
      <c r="C4093" s="812"/>
      <c r="D4093" s="812"/>
      <c r="E4093" s="812"/>
      <c r="F4093" s="812"/>
      <c r="G4093" s="812"/>
      <c r="H4093" s="812"/>
    </row>
    <row r="4094" spans="1:8">
      <c r="A4094" s="812"/>
      <c r="B4094" s="812"/>
      <c r="C4094" s="812"/>
      <c r="D4094" s="812"/>
      <c r="E4094" s="812"/>
      <c r="F4094" s="812"/>
      <c r="G4094" s="812"/>
      <c r="H4094" s="812"/>
    </row>
    <row r="4095" spans="1:8">
      <c r="A4095" s="812"/>
      <c r="B4095" s="812"/>
      <c r="C4095" s="812"/>
      <c r="D4095" s="812"/>
      <c r="E4095" s="812"/>
      <c r="F4095" s="812"/>
      <c r="G4095" s="812"/>
      <c r="H4095" s="812"/>
    </row>
    <row r="4096" spans="1:8">
      <c r="A4096" s="812"/>
      <c r="B4096" s="812"/>
      <c r="C4096" s="812"/>
      <c r="D4096" s="812"/>
      <c r="E4096" s="812"/>
      <c r="F4096" s="812"/>
      <c r="G4096" s="812"/>
      <c r="H4096" s="812"/>
    </row>
    <row r="4097" spans="1:8">
      <c r="A4097" s="812"/>
      <c r="B4097" s="812"/>
      <c r="C4097" s="812"/>
      <c r="D4097" s="812"/>
      <c r="E4097" s="812"/>
      <c r="F4097" s="812"/>
      <c r="G4097" s="812"/>
      <c r="H4097" s="812"/>
    </row>
    <row r="4098" spans="1:8">
      <c r="A4098" s="812"/>
      <c r="B4098" s="812"/>
      <c r="C4098" s="812"/>
      <c r="D4098" s="812"/>
      <c r="E4098" s="812"/>
      <c r="F4098" s="812"/>
      <c r="G4098" s="812"/>
      <c r="H4098" s="812"/>
    </row>
    <row r="4099" spans="1:8">
      <c r="A4099" s="812"/>
      <c r="B4099" s="812"/>
      <c r="C4099" s="812"/>
      <c r="D4099" s="812"/>
      <c r="E4099" s="812"/>
      <c r="F4099" s="812"/>
      <c r="G4099" s="812"/>
      <c r="H4099" s="812"/>
    </row>
    <row r="4100" spans="1:8">
      <c r="A4100" s="812"/>
      <c r="B4100" s="812"/>
      <c r="C4100" s="812"/>
      <c r="D4100" s="812"/>
      <c r="E4100" s="812"/>
      <c r="F4100" s="812"/>
      <c r="G4100" s="812"/>
      <c r="H4100" s="812"/>
    </row>
    <row r="4101" spans="1:8">
      <c r="A4101" s="812"/>
      <c r="B4101" s="812"/>
      <c r="C4101" s="812"/>
      <c r="D4101" s="812"/>
      <c r="E4101" s="812"/>
      <c r="F4101" s="812"/>
      <c r="G4101" s="812"/>
      <c r="H4101" s="812"/>
    </row>
    <row r="4102" spans="1:8">
      <c r="A4102" s="812"/>
      <c r="B4102" s="812"/>
      <c r="C4102" s="812"/>
      <c r="D4102" s="812"/>
      <c r="E4102" s="812"/>
      <c r="F4102" s="812"/>
      <c r="G4102" s="812"/>
      <c r="H4102" s="812"/>
    </row>
    <row r="4103" spans="1:8">
      <c r="A4103" s="812"/>
      <c r="B4103" s="812"/>
      <c r="C4103" s="812"/>
      <c r="D4103" s="812"/>
      <c r="E4103" s="812"/>
      <c r="F4103" s="812"/>
      <c r="G4103" s="812"/>
      <c r="H4103" s="812"/>
    </row>
    <row r="4104" spans="1:8">
      <c r="A4104" s="812"/>
      <c r="B4104" s="812"/>
      <c r="C4104" s="812"/>
      <c r="D4104" s="812"/>
      <c r="E4104" s="812"/>
      <c r="F4104" s="812"/>
      <c r="G4104" s="812"/>
      <c r="H4104" s="812"/>
    </row>
    <row r="4105" spans="1:8">
      <c r="A4105" s="812"/>
      <c r="B4105" s="812"/>
      <c r="C4105" s="812"/>
      <c r="D4105" s="812"/>
      <c r="E4105" s="812"/>
      <c r="F4105" s="812"/>
      <c r="G4105" s="812"/>
      <c r="H4105" s="812"/>
    </row>
    <row r="4106" spans="1:8">
      <c r="A4106" s="812"/>
      <c r="B4106" s="812"/>
      <c r="C4106" s="812"/>
      <c r="D4106" s="812"/>
      <c r="E4106" s="812"/>
      <c r="F4106" s="812"/>
      <c r="G4106" s="812"/>
      <c r="H4106" s="812"/>
    </row>
    <row r="4107" spans="1:8">
      <c r="A4107" s="812"/>
      <c r="B4107" s="812"/>
      <c r="C4107" s="812"/>
      <c r="D4107" s="812"/>
      <c r="E4107" s="812"/>
      <c r="F4107" s="812"/>
      <c r="G4107" s="812"/>
      <c r="H4107" s="812"/>
    </row>
    <row r="4108" spans="1:8">
      <c r="A4108" s="812"/>
      <c r="B4108" s="812"/>
      <c r="C4108" s="812"/>
      <c r="D4108" s="812"/>
      <c r="E4108" s="812"/>
      <c r="F4108" s="812"/>
      <c r="G4108" s="812"/>
      <c r="H4108" s="812"/>
    </row>
    <row r="4109" spans="1:8">
      <c r="A4109" s="812"/>
      <c r="B4109" s="812"/>
      <c r="C4109" s="812"/>
      <c r="D4109" s="812"/>
      <c r="E4109" s="812"/>
      <c r="F4109" s="812"/>
      <c r="G4109" s="812"/>
      <c r="H4109" s="812"/>
    </row>
    <row r="4110" spans="1:8">
      <c r="A4110" s="812"/>
      <c r="B4110" s="812"/>
      <c r="C4110" s="812"/>
      <c r="D4110" s="812"/>
      <c r="E4110" s="812"/>
      <c r="F4110" s="812"/>
      <c r="G4110" s="812"/>
      <c r="H4110" s="812"/>
    </row>
    <row r="4111" spans="1:8">
      <c r="A4111" s="812"/>
      <c r="B4111" s="812"/>
      <c r="C4111" s="812"/>
      <c r="D4111" s="812"/>
      <c r="E4111" s="812"/>
      <c r="F4111" s="812"/>
      <c r="G4111" s="812"/>
      <c r="H4111" s="812"/>
    </row>
    <row r="4112" spans="1:8">
      <c r="A4112" s="812"/>
      <c r="B4112" s="812"/>
      <c r="C4112" s="812"/>
      <c r="D4112" s="812"/>
      <c r="E4112" s="812"/>
      <c r="F4112" s="812"/>
      <c r="G4112" s="812"/>
      <c r="H4112" s="812"/>
    </row>
    <row r="4113" spans="1:8">
      <c r="A4113" s="812"/>
      <c r="B4113" s="812"/>
      <c r="C4113" s="812"/>
      <c r="D4113" s="812"/>
      <c r="E4113" s="812"/>
      <c r="F4113" s="812"/>
      <c r="G4113" s="812"/>
      <c r="H4113" s="812"/>
    </row>
    <row r="4114" spans="1:8">
      <c r="A4114" s="812"/>
      <c r="B4114" s="812"/>
      <c r="C4114" s="812"/>
      <c r="D4114" s="812"/>
      <c r="E4114" s="812"/>
      <c r="F4114" s="812"/>
      <c r="G4114" s="812"/>
      <c r="H4114" s="812"/>
    </row>
    <row r="4115" spans="1:8">
      <c r="A4115" s="812"/>
      <c r="B4115" s="812"/>
      <c r="C4115" s="812"/>
      <c r="D4115" s="812"/>
      <c r="E4115" s="812"/>
      <c r="F4115" s="812"/>
      <c r="G4115" s="812"/>
      <c r="H4115" s="812"/>
    </row>
    <row r="4116" spans="1:8">
      <c r="A4116" s="812"/>
      <c r="B4116" s="812"/>
      <c r="C4116" s="812"/>
      <c r="D4116" s="812"/>
      <c r="E4116" s="812"/>
      <c r="F4116" s="812"/>
      <c r="G4116" s="812"/>
      <c r="H4116" s="812"/>
    </row>
    <row r="4117" spans="1:8">
      <c r="A4117" s="812"/>
      <c r="B4117" s="812"/>
      <c r="C4117" s="812"/>
      <c r="D4117" s="812"/>
      <c r="E4117" s="812"/>
      <c r="F4117" s="812"/>
      <c r="G4117" s="812"/>
      <c r="H4117" s="812"/>
    </row>
    <row r="4118" spans="1:8">
      <c r="A4118" s="812"/>
      <c r="B4118" s="812"/>
      <c r="C4118" s="812"/>
      <c r="D4118" s="812"/>
      <c r="E4118" s="812"/>
      <c r="F4118" s="812"/>
      <c r="G4118" s="812"/>
      <c r="H4118" s="812"/>
    </row>
    <row r="4119" spans="1:8">
      <c r="A4119" s="812"/>
      <c r="B4119" s="812"/>
      <c r="C4119" s="812"/>
      <c r="D4119" s="812"/>
      <c r="E4119" s="812"/>
      <c r="F4119" s="812"/>
      <c r="G4119" s="812"/>
      <c r="H4119" s="812"/>
    </row>
    <row r="4120" spans="1:8">
      <c r="A4120" s="812"/>
      <c r="B4120" s="812"/>
      <c r="C4120" s="812"/>
      <c r="D4120" s="812"/>
      <c r="E4120" s="812"/>
      <c r="F4120" s="812"/>
      <c r="G4120" s="812"/>
      <c r="H4120" s="812"/>
    </row>
    <row r="4121" spans="1:8">
      <c r="A4121" s="812"/>
      <c r="B4121" s="812"/>
      <c r="C4121" s="812"/>
      <c r="D4121" s="812"/>
      <c r="E4121" s="812"/>
      <c r="F4121" s="812"/>
      <c r="G4121" s="812"/>
      <c r="H4121" s="812"/>
    </row>
    <row r="4122" spans="1:8">
      <c r="A4122" s="812"/>
      <c r="B4122" s="812"/>
      <c r="C4122" s="812"/>
      <c r="D4122" s="812"/>
      <c r="E4122" s="812"/>
      <c r="F4122" s="812"/>
      <c r="G4122" s="812"/>
      <c r="H4122" s="812"/>
    </row>
    <row r="4123" spans="1:8">
      <c r="A4123" s="812"/>
      <c r="B4123" s="812"/>
      <c r="C4123" s="812"/>
      <c r="D4123" s="812"/>
      <c r="E4123" s="812"/>
      <c r="F4123" s="812"/>
      <c r="G4123" s="812"/>
      <c r="H4123" s="812"/>
    </row>
    <row r="4124" spans="1:8">
      <c r="A4124" s="812"/>
      <c r="B4124" s="812"/>
      <c r="C4124" s="812"/>
      <c r="D4124" s="812"/>
      <c r="E4124" s="812"/>
      <c r="F4124" s="812"/>
      <c r="G4124" s="812"/>
      <c r="H4124" s="812"/>
    </row>
    <row r="4125" spans="1:8">
      <c r="A4125" s="812"/>
      <c r="B4125" s="812"/>
      <c r="C4125" s="812"/>
      <c r="D4125" s="812"/>
      <c r="E4125" s="812"/>
      <c r="F4125" s="812"/>
      <c r="G4125" s="812"/>
      <c r="H4125" s="812"/>
    </row>
    <row r="4126" spans="1:8">
      <c r="A4126" s="812"/>
      <c r="B4126" s="812"/>
      <c r="C4126" s="812"/>
      <c r="D4126" s="812"/>
      <c r="E4126" s="812"/>
      <c r="F4126" s="812"/>
      <c r="G4126" s="812"/>
      <c r="H4126" s="812"/>
    </row>
    <row r="4127" spans="1:8">
      <c r="A4127" s="812"/>
      <c r="B4127" s="812"/>
      <c r="C4127" s="812"/>
      <c r="D4127" s="812"/>
      <c r="E4127" s="812"/>
      <c r="F4127" s="812"/>
      <c r="G4127" s="812"/>
      <c r="H4127" s="812"/>
    </row>
    <row r="4128" spans="1:8">
      <c r="A4128" s="812"/>
      <c r="B4128" s="812"/>
      <c r="C4128" s="812"/>
      <c r="D4128" s="812"/>
      <c r="E4128" s="812"/>
      <c r="F4128" s="812"/>
      <c r="G4128" s="812"/>
      <c r="H4128" s="812"/>
    </row>
    <row r="4129" spans="1:8">
      <c r="A4129" s="812"/>
      <c r="B4129" s="812"/>
      <c r="C4129" s="812"/>
      <c r="D4129" s="812"/>
      <c r="E4129" s="812"/>
      <c r="F4129" s="812"/>
      <c r="G4129" s="812"/>
      <c r="H4129" s="812"/>
    </row>
    <row r="4130" spans="1:8">
      <c r="A4130" s="812"/>
      <c r="B4130" s="812"/>
      <c r="C4130" s="812"/>
      <c r="D4130" s="812"/>
      <c r="E4130" s="812"/>
      <c r="F4130" s="812"/>
      <c r="G4130" s="812"/>
      <c r="H4130" s="812"/>
    </row>
    <row r="4131" spans="1:8">
      <c r="A4131" s="812"/>
      <c r="B4131" s="812"/>
      <c r="C4131" s="812"/>
      <c r="D4131" s="812"/>
      <c r="E4131" s="812"/>
      <c r="F4131" s="812"/>
      <c r="G4131" s="812"/>
      <c r="H4131" s="812"/>
    </row>
    <row r="4132" spans="1:8">
      <c r="A4132" s="812"/>
      <c r="B4132" s="812"/>
      <c r="C4132" s="812"/>
      <c r="D4132" s="812"/>
      <c r="E4132" s="812"/>
      <c r="F4132" s="812"/>
      <c r="G4132" s="812"/>
      <c r="H4132" s="812"/>
    </row>
    <row r="4133" spans="1:8">
      <c r="A4133" s="812"/>
      <c r="B4133" s="812"/>
      <c r="C4133" s="812"/>
      <c r="D4133" s="812"/>
      <c r="E4133" s="812"/>
      <c r="F4133" s="812"/>
      <c r="G4133" s="812"/>
      <c r="H4133" s="812"/>
    </row>
    <row r="4134" spans="1:8">
      <c r="A4134" s="812"/>
      <c r="B4134" s="812"/>
      <c r="C4134" s="812"/>
      <c r="D4134" s="812"/>
      <c r="E4134" s="812"/>
      <c r="F4134" s="812"/>
      <c r="G4134" s="812"/>
      <c r="H4134" s="812"/>
    </row>
    <row r="4135" spans="1:8">
      <c r="A4135" s="812"/>
      <c r="B4135" s="812"/>
      <c r="C4135" s="812"/>
      <c r="D4135" s="812"/>
      <c r="E4135" s="812"/>
      <c r="F4135" s="812"/>
      <c r="G4135" s="812"/>
      <c r="H4135" s="812"/>
    </row>
    <row r="4136" spans="1:8">
      <c r="A4136" s="812"/>
      <c r="B4136" s="812"/>
      <c r="C4136" s="812"/>
      <c r="D4136" s="812"/>
      <c r="E4136" s="812"/>
      <c r="F4136" s="812"/>
      <c r="G4136" s="812"/>
      <c r="H4136" s="812"/>
    </row>
    <row r="4137" spans="1:8">
      <c r="A4137" s="812"/>
      <c r="B4137" s="812"/>
      <c r="C4137" s="812"/>
      <c r="D4137" s="812"/>
      <c r="E4137" s="812"/>
      <c r="F4137" s="812"/>
      <c r="G4137" s="812"/>
      <c r="H4137" s="812"/>
    </row>
    <row r="4138" spans="1:8">
      <c r="A4138" s="812"/>
      <c r="B4138" s="812"/>
      <c r="C4138" s="812"/>
      <c r="D4138" s="812"/>
      <c r="E4138" s="812"/>
      <c r="F4138" s="812"/>
      <c r="G4138" s="812"/>
      <c r="H4138" s="812"/>
    </row>
    <row r="4139" spans="1:8">
      <c r="A4139" s="812"/>
      <c r="B4139" s="812"/>
      <c r="C4139" s="812"/>
      <c r="D4139" s="812"/>
      <c r="E4139" s="812"/>
      <c r="F4139" s="812"/>
      <c r="G4139" s="812"/>
      <c r="H4139" s="812"/>
    </row>
    <row r="4140" spans="1:8">
      <c r="A4140" s="812"/>
      <c r="B4140" s="812"/>
      <c r="C4140" s="812"/>
      <c r="D4140" s="812"/>
      <c r="E4140" s="812"/>
      <c r="F4140" s="812"/>
      <c r="G4140" s="812"/>
      <c r="H4140" s="812"/>
    </row>
    <row r="4141" spans="1:8">
      <c r="A4141" s="812"/>
      <c r="B4141" s="812"/>
      <c r="C4141" s="812"/>
      <c r="D4141" s="812"/>
      <c r="E4141" s="812"/>
      <c r="F4141" s="812"/>
      <c r="G4141" s="812"/>
      <c r="H4141" s="812"/>
    </row>
    <row r="4142" spans="1:8">
      <c r="A4142" s="812"/>
      <c r="B4142" s="812"/>
      <c r="C4142" s="812"/>
      <c r="D4142" s="812"/>
      <c r="E4142" s="812"/>
      <c r="F4142" s="812"/>
      <c r="G4142" s="812"/>
      <c r="H4142" s="812"/>
    </row>
    <row r="4143" spans="1:8">
      <c r="A4143" s="812"/>
      <c r="B4143" s="812"/>
      <c r="C4143" s="812"/>
      <c r="D4143" s="812"/>
      <c r="E4143" s="812"/>
      <c r="F4143" s="812"/>
      <c r="G4143" s="812"/>
      <c r="H4143" s="812"/>
    </row>
    <row r="4144" spans="1:8">
      <c r="A4144" s="812"/>
      <c r="B4144" s="812"/>
      <c r="C4144" s="812"/>
      <c r="D4144" s="812"/>
      <c r="E4144" s="812"/>
      <c r="F4144" s="812"/>
      <c r="G4144" s="812"/>
      <c r="H4144" s="812"/>
    </row>
    <row r="4145" spans="1:8">
      <c r="A4145" s="812"/>
      <c r="B4145" s="812"/>
      <c r="C4145" s="812"/>
      <c r="D4145" s="812"/>
      <c r="E4145" s="812"/>
      <c r="F4145" s="812"/>
      <c r="G4145" s="812"/>
      <c r="H4145" s="812"/>
    </row>
    <row r="4146" spans="1:8">
      <c r="A4146" s="812"/>
      <c r="B4146" s="812"/>
      <c r="C4146" s="812"/>
      <c r="D4146" s="812"/>
      <c r="E4146" s="812"/>
      <c r="F4146" s="812"/>
      <c r="G4146" s="812"/>
      <c r="H4146" s="812"/>
    </row>
    <row r="4147" spans="1:8">
      <c r="A4147" s="812"/>
      <c r="B4147" s="812"/>
      <c r="C4147" s="812"/>
      <c r="D4147" s="812"/>
      <c r="E4147" s="812"/>
      <c r="F4147" s="812"/>
      <c r="G4147" s="812"/>
      <c r="H4147" s="812"/>
    </row>
    <row r="4148" spans="1:8">
      <c r="A4148" s="812"/>
      <c r="B4148" s="812"/>
      <c r="C4148" s="812"/>
      <c r="D4148" s="812"/>
      <c r="E4148" s="812"/>
      <c r="F4148" s="812"/>
      <c r="G4148" s="812"/>
      <c r="H4148" s="812"/>
    </row>
    <row r="4149" spans="1:8">
      <c r="A4149" s="812"/>
      <c r="B4149" s="812"/>
      <c r="C4149" s="812"/>
      <c r="D4149" s="812"/>
      <c r="E4149" s="812"/>
      <c r="F4149" s="812"/>
      <c r="G4149" s="812"/>
      <c r="H4149" s="812"/>
    </row>
    <row r="4150" spans="1:8">
      <c r="A4150" s="812"/>
      <c r="B4150" s="812"/>
      <c r="C4150" s="812"/>
      <c r="D4150" s="812"/>
      <c r="E4150" s="812"/>
      <c r="F4150" s="812"/>
      <c r="G4150" s="812"/>
      <c r="H4150" s="812"/>
    </row>
    <row r="4151" spans="1:8">
      <c r="A4151" s="812"/>
      <c r="B4151" s="812"/>
      <c r="C4151" s="812"/>
      <c r="D4151" s="812"/>
      <c r="E4151" s="812"/>
      <c r="F4151" s="812"/>
      <c r="G4151" s="812"/>
      <c r="H4151" s="812"/>
    </row>
    <row r="4152" spans="1:8">
      <c r="A4152" s="812"/>
      <c r="B4152" s="812"/>
      <c r="C4152" s="812"/>
      <c r="D4152" s="812"/>
      <c r="E4152" s="812"/>
      <c r="F4152" s="812"/>
      <c r="G4152" s="812"/>
      <c r="H4152" s="812"/>
    </row>
    <row r="4153" spans="1:8">
      <c r="A4153" s="812"/>
      <c r="B4153" s="812"/>
      <c r="C4153" s="812"/>
      <c r="D4153" s="812"/>
      <c r="E4153" s="812"/>
      <c r="F4153" s="812"/>
      <c r="G4153" s="812"/>
      <c r="H4153" s="812"/>
    </row>
    <row r="4154" spans="1:8">
      <c r="A4154" s="812"/>
      <c r="B4154" s="812"/>
      <c r="C4154" s="812"/>
      <c r="D4154" s="812"/>
      <c r="E4154" s="812"/>
      <c r="F4154" s="812"/>
      <c r="G4154" s="812"/>
      <c r="H4154" s="812"/>
    </row>
    <row r="4155" spans="1:8">
      <c r="A4155" s="812"/>
      <c r="B4155" s="812"/>
      <c r="C4155" s="812"/>
      <c r="D4155" s="812"/>
      <c r="E4155" s="812"/>
      <c r="F4155" s="812"/>
      <c r="G4155" s="812"/>
      <c r="H4155" s="812"/>
    </row>
    <row r="4156" spans="1:8">
      <c r="A4156" s="812"/>
      <c r="B4156" s="812"/>
      <c r="C4156" s="812"/>
      <c r="D4156" s="812"/>
      <c r="E4156" s="812"/>
      <c r="F4156" s="812"/>
      <c r="G4156" s="812"/>
      <c r="H4156" s="812"/>
    </row>
    <row r="4157" spans="1:8">
      <c r="A4157" s="812"/>
      <c r="B4157" s="812"/>
      <c r="C4157" s="812"/>
      <c r="D4157" s="812"/>
      <c r="E4157" s="812"/>
      <c r="F4157" s="812"/>
      <c r="G4157" s="812"/>
      <c r="H4157" s="812"/>
    </row>
    <row r="4158" spans="1:8">
      <c r="A4158" s="812"/>
      <c r="B4158" s="812"/>
      <c r="C4158" s="812"/>
      <c r="D4158" s="812"/>
      <c r="E4158" s="812"/>
      <c r="F4158" s="812"/>
      <c r="G4158" s="812"/>
      <c r="H4158" s="812"/>
    </row>
    <row r="4159" spans="1:8">
      <c r="A4159" s="812"/>
      <c r="B4159" s="812"/>
      <c r="C4159" s="812"/>
      <c r="D4159" s="812"/>
      <c r="E4159" s="812"/>
      <c r="F4159" s="812"/>
      <c r="G4159" s="812"/>
      <c r="H4159" s="812"/>
    </row>
    <row r="4160" spans="1:8">
      <c r="A4160" s="812"/>
      <c r="B4160" s="812"/>
      <c r="C4160" s="812"/>
      <c r="D4160" s="812"/>
      <c r="E4160" s="812"/>
      <c r="F4160" s="812"/>
      <c r="G4160" s="812"/>
      <c r="H4160" s="812"/>
    </row>
    <row r="4161" spans="1:8">
      <c r="A4161" s="812"/>
      <c r="B4161" s="812"/>
      <c r="C4161" s="812"/>
      <c r="D4161" s="812"/>
      <c r="E4161" s="812"/>
      <c r="F4161" s="812"/>
      <c r="G4161" s="812"/>
      <c r="H4161" s="812"/>
    </row>
    <row r="4162" spans="1:8">
      <c r="A4162" s="812"/>
      <c r="B4162" s="812"/>
      <c r="C4162" s="812"/>
      <c r="D4162" s="812"/>
      <c r="E4162" s="812"/>
      <c r="F4162" s="812"/>
      <c r="G4162" s="812"/>
      <c r="H4162" s="812"/>
    </row>
    <row r="4163" spans="1:8">
      <c r="A4163" s="812"/>
      <c r="B4163" s="812"/>
      <c r="C4163" s="812"/>
      <c r="D4163" s="812"/>
      <c r="E4163" s="812"/>
      <c r="F4163" s="812"/>
      <c r="G4163" s="812"/>
      <c r="H4163" s="812"/>
    </row>
    <row r="4164" spans="1:8">
      <c r="A4164" s="812"/>
      <c r="B4164" s="812"/>
      <c r="C4164" s="812"/>
      <c r="D4164" s="812"/>
      <c r="E4164" s="812"/>
      <c r="F4164" s="812"/>
      <c r="G4164" s="812"/>
      <c r="H4164" s="812"/>
    </row>
    <row r="4165" spans="1:8">
      <c r="A4165" s="812"/>
      <c r="B4165" s="812"/>
      <c r="C4165" s="812"/>
      <c r="D4165" s="812"/>
      <c r="E4165" s="812"/>
      <c r="F4165" s="812"/>
      <c r="G4165" s="812"/>
      <c r="H4165" s="812"/>
    </row>
    <row r="4166" spans="1:8">
      <c r="A4166" s="812"/>
      <c r="B4166" s="812"/>
      <c r="C4166" s="812"/>
      <c r="D4166" s="812"/>
      <c r="E4166" s="812"/>
      <c r="F4166" s="812"/>
      <c r="G4166" s="812"/>
      <c r="H4166" s="812"/>
    </row>
    <row r="4167" spans="1:8">
      <c r="A4167" s="812"/>
      <c r="B4167" s="812"/>
      <c r="C4167" s="812"/>
      <c r="D4167" s="812"/>
      <c r="E4167" s="812"/>
      <c r="F4167" s="812"/>
      <c r="G4167" s="812"/>
      <c r="H4167" s="812"/>
    </row>
    <row r="4168" spans="1:8">
      <c r="A4168" s="812"/>
      <c r="B4168" s="812"/>
      <c r="C4168" s="812"/>
      <c r="D4168" s="812"/>
      <c r="E4168" s="812"/>
      <c r="F4168" s="812"/>
      <c r="G4168" s="812"/>
      <c r="H4168" s="812"/>
    </row>
    <row r="4169" spans="1:8">
      <c r="A4169" s="812"/>
      <c r="B4169" s="812"/>
      <c r="C4169" s="812"/>
      <c r="D4169" s="812"/>
      <c r="E4169" s="812"/>
      <c r="F4169" s="812"/>
      <c r="G4169" s="812"/>
      <c r="H4169" s="812"/>
    </row>
    <row r="4170" spans="1:8">
      <c r="A4170" s="812"/>
      <c r="B4170" s="812"/>
      <c r="C4170" s="812"/>
      <c r="D4170" s="812"/>
      <c r="E4170" s="812"/>
      <c r="F4170" s="812"/>
      <c r="G4170" s="812"/>
      <c r="H4170" s="812"/>
    </row>
    <row r="4171" spans="1:8">
      <c r="A4171" s="812"/>
      <c r="B4171" s="812"/>
      <c r="C4171" s="812"/>
      <c r="D4171" s="812"/>
      <c r="E4171" s="812"/>
      <c r="F4171" s="812"/>
      <c r="G4171" s="812"/>
      <c r="H4171" s="812"/>
    </row>
    <row r="4172" spans="1:8">
      <c r="A4172" s="812"/>
      <c r="B4172" s="812"/>
      <c r="C4172" s="812"/>
      <c r="D4172" s="812"/>
      <c r="E4172" s="812"/>
      <c r="F4172" s="812"/>
      <c r="G4172" s="812"/>
      <c r="H4172" s="812"/>
    </row>
    <row r="4173" spans="1:8">
      <c r="A4173" s="812"/>
      <c r="B4173" s="812"/>
      <c r="C4173" s="812"/>
      <c r="D4173" s="812"/>
      <c r="E4173" s="812"/>
      <c r="F4173" s="812"/>
      <c r="G4173" s="812"/>
      <c r="H4173" s="812"/>
    </row>
    <row r="4174" spans="1:8">
      <c r="A4174" s="812"/>
      <c r="B4174" s="812"/>
      <c r="C4174" s="812"/>
      <c r="D4174" s="812"/>
      <c r="E4174" s="812"/>
      <c r="F4174" s="812"/>
      <c r="G4174" s="812"/>
      <c r="H4174" s="812"/>
    </row>
    <row r="4175" spans="1:8">
      <c r="A4175" s="812"/>
      <c r="B4175" s="812"/>
      <c r="C4175" s="812"/>
      <c r="D4175" s="812"/>
      <c r="E4175" s="812"/>
      <c r="F4175" s="812"/>
      <c r="G4175" s="812"/>
      <c r="H4175" s="812"/>
    </row>
    <row r="4176" spans="1:8">
      <c r="A4176" s="812"/>
      <c r="B4176" s="812"/>
      <c r="C4176" s="812"/>
      <c r="D4176" s="812"/>
      <c r="E4176" s="812"/>
      <c r="F4176" s="812"/>
      <c r="G4176" s="812"/>
      <c r="H4176" s="812"/>
    </row>
    <row r="4177" spans="1:8">
      <c r="A4177" s="812"/>
      <c r="B4177" s="812"/>
      <c r="C4177" s="812"/>
      <c r="D4177" s="812"/>
      <c r="E4177" s="812"/>
      <c r="F4177" s="812"/>
      <c r="G4177" s="812"/>
      <c r="H4177" s="812"/>
    </row>
    <row r="4178" spans="1:8">
      <c r="A4178" s="812"/>
      <c r="B4178" s="812"/>
      <c r="C4178" s="812"/>
      <c r="D4178" s="812"/>
      <c r="E4178" s="812"/>
      <c r="F4178" s="812"/>
      <c r="G4178" s="812"/>
      <c r="H4178" s="812"/>
    </row>
    <row r="4179" spans="1:8">
      <c r="A4179" s="812"/>
      <c r="B4179" s="812"/>
      <c r="C4179" s="812"/>
      <c r="D4179" s="812"/>
      <c r="E4179" s="812"/>
      <c r="F4179" s="812"/>
      <c r="G4179" s="812"/>
      <c r="H4179" s="812"/>
    </row>
    <row r="4180" spans="1:8">
      <c r="A4180" s="812"/>
      <c r="B4180" s="812"/>
      <c r="C4180" s="812"/>
      <c r="D4180" s="812"/>
      <c r="E4180" s="812"/>
      <c r="F4180" s="812"/>
      <c r="G4180" s="812"/>
      <c r="H4180" s="812"/>
    </row>
    <row r="4181" spans="1:8">
      <c r="A4181" s="812"/>
      <c r="B4181" s="812"/>
      <c r="C4181" s="812"/>
      <c r="D4181" s="812"/>
      <c r="E4181" s="812"/>
      <c r="F4181" s="812"/>
      <c r="G4181" s="812"/>
      <c r="H4181" s="812"/>
    </row>
    <row r="4182" spans="1:8">
      <c r="A4182" s="812"/>
      <c r="B4182" s="812"/>
      <c r="C4182" s="812"/>
      <c r="D4182" s="812"/>
      <c r="E4182" s="812"/>
      <c r="F4182" s="812"/>
      <c r="G4182" s="812"/>
      <c r="H4182" s="812"/>
    </row>
    <row r="4183" spans="1:8">
      <c r="A4183" s="812"/>
      <c r="B4183" s="812"/>
      <c r="C4183" s="812"/>
      <c r="D4183" s="812"/>
      <c r="E4183" s="812"/>
      <c r="F4183" s="812"/>
      <c r="G4183" s="812"/>
      <c r="H4183" s="812"/>
    </row>
    <row r="4184" spans="1:8">
      <c r="A4184" s="812"/>
      <c r="B4184" s="812"/>
      <c r="C4184" s="812"/>
      <c r="D4184" s="812"/>
      <c r="E4184" s="812"/>
      <c r="F4184" s="812"/>
      <c r="G4184" s="812"/>
      <c r="H4184" s="812"/>
    </row>
    <row r="4185" spans="1:8">
      <c r="A4185" s="812"/>
      <c r="B4185" s="812"/>
      <c r="C4185" s="812"/>
      <c r="D4185" s="812"/>
      <c r="E4185" s="812"/>
      <c r="F4185" s="812"/>
      <c r="G4185" s="812"/>
      <c r="H4185" s="812"/>
    </row>
    <row r="4186" spans="1:8">
      <c r="A4186" s="812"/>
      <c r="B4186" s="812"/>
      <c r="C4186" s="812"/>
      <c r="D4186" s="812"/>
      <c r="E4186" s="812"/>
      <c r="F4186" s="812"/>
      <c r="G4186" s="812"/>
      <c r="H4186" s="812"/>
    </row>
    <row r="4187" spans="1:8">
      <c r="A4187" s="812"/>
      <c r="B4187" s="812"/>
      <c r="C4187" s="812"/>
      <c r="D4187" s="812"/>
      <c r="E4187" s="812"/>
      <c r="F4187" s="812"/>
      <c r="G4187" s="812"/>
      <c r="H4187" s="812"/>
    </row>
    <row r="4188" spans="1:8">
      <c r="A4188" s="812"/>
      <c r="B4188" s="812"/>
      <c r="C4188" s="812"/>
      <c r="D4188" s="812"/>
      <c r="E4188" s="812"/>
      <c r="F4188" s="812"/>
      <c r="G4188" s="812"/>
      <c r="H4188" s="812"/>
    </row>
    <row r="4189" spans="1:8">
      <c r="A4189" s="812"/>
      <c r="B4189" s="812"/>
      <c r="C4189" s="812"/>
      <c r="D4189" s="812"/>
      <c r="E4189" s="812"/>
      <c r="F4189" s="812"/>
      <c r="G4189" s="812"/>
      <c r="H4189" s="812"/>
    </row>
    <row r="4190" spans="1:8">
      <c r="A4190" s="812"/>
      <c r="B4190" s="812"/>
      <c r="C4190" s="812"/>
      <c r="D4190" s="812"/>
      <c r="E4190" s="812"/>
      <c r="F4190" s="812"/>
      <c r="G4190" s="812"/>
      <c r="H4190" s="812"/>
    </row>
    <row r="4191" spans="1:8">
      <c r="A4191" s="812"/>
      <c r="B4191" s="812"/>
      <c r="C4191" s="812"/>
      <c r="D4191" s="812"/>
      <c r="E4191" s="812"/>
      <c r="F4191" s="812"/>
      <c r="G4191" s="812"/>
      <c r="H4191" s="812"/>
    </row>
    <row r="4192" spans="1:8">
      <c r="A4192" s="812"/>
      <c r="B4192" s="812"/>
      <c r="C4192" s="812"/>
      <c r="D4192" s="812"/>
      <c r="E4192" s="812"/>
      <c r="F4192" s="812"/>
      <c r="G4192" s="812"/>
      <c r="H4192" s="812"/>
    </row>
    <row r="4193" spans="1:8">
      <c r="A4193" s="812"/>
      <c r="B4193" s="812"/>
      <c r="C4193" s="812"/>
      <c r="D4193" s="812"/>
      <c r="E4193" s="812"/>
      <c r="F4193" s="812"/>
      <c r="G4193" s="812"/>
      <c r="H4193" s="812"/>
    </row>
    <row r="4194" spans="1:8">
      <c r="A4194" s="812"/>
      <c r="B4194" s="812"/>
      <c r="C4194" s="812"/>
      <c r="D4194" s="812"/>
      <c r="E4194" s="812"/>
      <c r="F4194" s="812"/>
      <c r="G4194" s="812"/>
      <c r="H4194" s="812"/>
    </row>
    <row r="4195" spans="1:8">
      <c r="A4195" s="812"/>
      <c r="B4195" s="812"/>
      <c r="C4195" s="812"/>
      <c r="D4195" s="812"/>
      <c r="E4195" s="812"/>
      <c r="F4195" s="812"/>
      <c r="G4195" s="812"/>
      <c r="H4195" s="812"/>
    </row>
    <row r="4196" spans="1:8">
      <c r="A4196" s="812"/>
      <c r="B4196" s="812"/>
      <c r="C4196" s="812"/>
      <c r="D4196" s="812"/>
      <c r="E4196" s="812"/>
      <c r="F4196" s="812"/>
      <c r="G4196" s="812"/>
      <c r="H4196" s="812"/>
    </row>
    <row r="4197" spans="1:8">
      <c r="A4197" s="812"/>
      <c r="B4197" s="812"/>
      <c r="C4197" s="812"/>
      <c r="D4197" s="812"/>
      <c r="E4197" s="812"/>
      <c r="F4197" s="812"/>
      <c r="G4197" s="812"/>
      <c r="H4197" s="812"/>
    </row>
    <row r="4198" spans="1:8">
      <c r="A4198" s="812"/>
      <c r="B4198" s="812"/>
      <c r="C4198" s="812"/>
      <c r="D4198" s="812"/>
      <c r="E4198" s="812"/>
      <c r="F4198" s="812"/>
      <c r="G4198" s="812"/>
      <c r="H4198" s="812"/>
    </row>
    <row r="4199" spans="1:8">
      <c r="A4199" s="812"/>
      <c r="B4199" s="812"/>
      <c r="C4199" s="812"/>
      <c r="D4199" s="812"/>
      <c r="E4199" s="812"/>
      <c r="F4199" s="812"/>
      <c r="G4199" s="812"/>
      <c r="H4199" s="812"/>
    </row>
    <row r="4200" spans="1:8">
      <c r="A4200" s="812"/>
      <c r="B4200" s="812"/>
      <c r="C4200" s="812"/>
      <c r="D4200" s="812"/>
      <c r="E4200" s="812"/>
      <c r="F4200" s="812"/>
      <c r="G4200" s="812"/>
      <c r="H4200" s="812"/>
    </row>
    <row r="4201" spans="1:8">
      <c r="A4201" s="812"/>
      <c r="B4201" s="812"/>
      <c r="C4201" s="812"/>
      <c r="D4201" s="812"/>
      <c r="E4201" s="812"/>
      <c r="F4201" s="812"/>
      <c r="G4201" s="812"/>
      <c r="H4201" s="812"/>
    </row>
    <row r="4202" spans="1:8">
      <c r="A4202" s="812"/>
      <c r="B4202" s="812"/>
      <c r="C4202" s="812"/>
      <c r="D4202" s="812"/>
      <c r="E4202" s="812"/>
      <c r="F4202" s="812"/>
      <c r="G4202" s="812"/>
      <c r="H4202" s="812"/>
    </row>
    <row r="4203" spans="1:8">
      <c r="A4203" s="812"/>
      <c r="B4203" s="812"/>
      <c r="C4203" s="812"/>
      <c r="D4203" s="812"/>
      <c r="E4203" s="812"/>
      <c r="F4203" s="812"/>
      <c r="G4203" s="812"/>
      <c r="H4203" s="812"/>
    </row>
    <row r="4204" spans="1:8">
      <c r="A4204" s="812"/>
      <c r="B4204" s="812"/>
      <c r="C4204" s="812"/>
      <c r="D4204" s="812"/>
      <c r="E4204" s="812"/>
      <c r="F4204" s="812"/>
      <c r="G4204" s="812"/>
      <c r="H4204" s="812"/>
    </row>
    <row r="4205" spans="1:8">
      <c r="A4205" s="812"/>
      <c r="B4205" s="812"/>
      <c r="C4205" s="812"/>
      <c r="D4205" s="812"/>
      <c r="E4205" s="812"/>
      <c r="F4205" s="812"/>
      <c r="G4205" s="812"/>
      <c r="H4205" s="812"/>
    </row>
    <row r="4206" spans="1:8">
      <c r="A4206" s="812"/>
      <c r="B4206" s="812"/>
      <c r="C4206" s="812"/>
      <c r="D4206" s="812"/>
      <c r="E4206" s="812"/>
      <c r="F4206" s="812"/>
      <c r="G4206" s="812"/>
      <c r="H4206" s="812"/>
    </row>
    <row r="4207" spans="1:8">
      <c r="A4207" s="812"/>
      <c r="B4207" s="812"/>
      <c r="C4207" s="812"/>
      <c r="D4207" s="812"/>
      <c r="E4207" s="812"/>
      <c r="F4207" s="812"/>
      <c r="G4207" s="812"/>
      <c r="H4207" s="812"/>
    </row>
    <row r="4208" spans="1:8">
      <c r="A4208" s="812"/>
      <c r="B4208" s="812"/>
      <c r="C4208" s="812"/>
      <c r="D4208" s="812"/>
      <c r="E4208" s="812"/>
      <c r="F4208" s="812"/>
      <c r="G4208" s="812"/>
      <c r="H4208" s="812"/>
    </row>
    <row r="4209" spans="1:8">
      <c r="A4209" s="812"/>
      <c r="B4209" s="812"/>
      <c r="C4209" s="812"/>
      <c r="D4209" s="812"/>
      <c r="E4209" s="812"/>
      <c r="F4209" s="812"/>
      <c r="G4209" s="812"/>
      <c r="H4209" s="812"/>
    </row>
    <row r="4210" spans="1:8">
      <c r="A4210" s="812"/>
      <c r="B4210" s="812"/>
      <c r="C4210" s="812"/>
      <c r="D4210" s="812"/>
      <c r="E4210" s="812"/>
      <c r="F4210" s="812"/>
      <c r="G4210" s="812"/>
      <c r="H4210" s="812"/>
    </row>
    <row r="4211" spans="1:8">
      <c r="A4211" s="812"/>
      <c r="B4211" s="812"/>
      <c r="C4211" s="812"/>
      <c r="D4211" s="812"/>
      <c r="E4211" s="812"/>
      <c r="F4211" s="812"/>
      <c r="G4211" s="812"/>
      <c r="H4211" s="812"/>
    </row>
    <row r="4212" spans="1:8">
      <c r="A4212" s="812"/>
      <c r="B4212" s="812"/>
      <c r="C4212" s="812"/>
      <c r="D4212" s="812"/>
      <c r="E4212" s="812"/>
      <c r="F4212" s="812"/>
      <c r="G4212" s="812"/>
      <c r="H4212" s="812"/>
    </row>
    <row r="4213" spans="1:8">
      <c r="A4213" s="812"/>
      <c r="B4213" s="812"/>
      <c r="C4213" s="812"/>
      <c r="D4213" s="812"/>
      <c r="E4213" s="812"/>
      <c r="F4213" s="812"/>
      <c r="G4213" s="812"/>
      <c r="H4213" s="812"/>
    </row>
    <row r="4214" spans="1:8">
      <c r="A4214" s="812"/>
      <c r="B4214" s="812"/>
      <c r="C4214" s="812"/>
      <c r="D4214" s="812"/>
      <c r="E4214" s="812"/>
      <c r="F4214" s="812"/>
      <c r="G4214" s="812"/>
      <c r="H4214" s="812"/>
    </row>
    <row r="4215" spans="1:8">
      <c r="A4215" s="812"/>
      <c r="B4215" s="812"/>
      <c r="C4215" s="812"/>
      <c r="D4215" s="812"/>
      <c r="E4215" s="812"/>
      <c r="F4215" s="812"/>
      <c r="G4215" s="812"/>
      <c r="H4215" s="812"/>
    </row>
    <row r="4216" spans="1:8">
      <c r="A4216" s="812"/>
      <c r="B4216" s="812"/>
      <c r="C4216" s="812"/>
      <c r="D4216" s="812"/>
      <c r="E4216" s="812"/>
      <c r="F4216" s="812"/>
      <c r="G4216" s="812"/>
      <c r="H4216" s="812"/>
    </row>
    <row r="4217" spans="1:8">
      <c r="A4217" s="812"/>
      <c r="B4217" s="812"/>
      <c r="C4217" s="812"/>
      <c r="D4217" s="812"/>
      <c r="E4217" s="812"/>
      <c r="F4217" s="812"/>
      <c r="G4217" s="812"/>
      <c r="H4217" s="812"/>
    </row>
    <row r="4218" spans="1:8">
      <c r="A4218" s="812"/>
      <c r="B4218" s="812"/>
      <c r="C4218" s="812"/>
      <c r="D4218" s="812"/>
      <c r="E4218" s="812"/>
      <c r="F4218" s="812"/>
      <c r="G4218" s="812"/>
      <c r="H4218" s="812"/>
    </row>
    <row r="4219" spans="1:8">
      <c r="A4219" s="812"/>
      <c r="B4219" s="812"/>
      <c r="C4219" s="812"/>
      <c r="D4219" s="812"/>
      <c r="E4219" s="812"/>
      <c r="F4219" s="812"/>
      <c r="G4219" s="812"/>
      <c r="H4219" s="812"/>
    </row>
    <row r="4220" spans="1:8">
      <c r="A4220" s="812"/>
      <c r="B4220" s="812"/>
      <c r="C4220" s="812"/>
      <c r="D4220" s="812"/>
      <c r="E4220" s="812"/>
      <c r="F4220" s="812"/>
      <c r="G4220" s="812"/>
      <c r="H4220" s="812"/>
    </row>
    <row r="4221" spans="1:8">
      <c r="A4221" s="812"/>
      <c r="B4221" s="812"/>
      <c r="C4221" s="812"/>
      <c r="D4221" s="812"/>
      <c r="E4221" s="812"/>
      <c r="F4221" s="812"/>
      <c r="G4221" s="812"/>
      <c r="H4221" s="812"/>
    </row>
    <row r="4222" spans="1:8">
      <c r="A4222" s="812"/>
      <c r="B4222" s="812"/>
      <c r="C4222" s="812"/>
      <c r="D4222" s="812"/>
      <c r="E4222" s="812"/>
      <c r="F4222" s="812"/>
      <c r="G4222" s="812"/>
      <c r="H4222" s="812"/>
    </row>
    <row r="4223" spans="1:8">
      <c r="A4223" s="812"/>
      <c r="B4223" s="812"/>
      <c r="C4223" s="812"/>
      <c r="D4223" s="812"/>
      <c r="E4223" s="812"/>
      <c r="F4223" s="812"/>
      <c r="G4223" s="812"/>
      <c r="H4223" s="812"/>
    </row>
    <row r="4224" spans="1:8">
      <c r="A4224" s="812"/>
      <c r="B4224" s="812"/>
      <c r="C4224" s="812"/>
      <c r="D4224" s="812"/>
      <c r="E4224" s="812"/>
      <c r="F4224" s="812"/>
      <c r="G4224" s="812"/>
      <c r="H4224" s="812"/>
    </row>
    <row r="4225" spans="1:8">
      <c r="A4225" s="812"/>
      <c r="B4225" s="812"/>
      <c r="C4225" s="812"/>
      <c r="D4225" s="812"/>
      <c r="E4225" s="812"/>
      <c r="F4225" s="812"/>
      <c r="G4225" s="812"/>
      <c r="H4225" s="812"/>
    </row>
    <row r="4226" spans="1:8">
      <c r="A4226" s="812"/>
      <c r="B4226" s="812"/>
      <c r="C4226" s="812"/>
      <c r="D4226" s="812"/>
      <c r="E4226" s="812"/>
      <c r="F4226" s="812"/>
      <c r="G4226" s="812"/>
      <c r="H4226" s="812"/>
    </row>
    <row r="4227" spans="1:8">
      <c r="A4227" s="812"/>
      <c r="B4227" s="812"/>
      <c r="C4227" s="812"/>
      <c r="D4227" s="812"/>
      <c r="E4227" s="812"/>
      <c r="F4227" s="812"/>
      <c r="G4227" s="812"/>
      <c r="H4227" s="812"/>
    </row>
    <row r="4228" spans="1:8">
      <c r="A4228" s="812"/>
      <c r="B4228" s="812"/>
      <c r="C4228" s="812"/>
      <c r="D4228" s="812"/>
      <c r="E4228" s="812"/>
      <c r="F4228" s="812"/>
      <c r="G4228" s="812"/>
      <c r="H4228" s="812"/>
    </row>
    <row r="4229" spans="1:8">
      <c r="A4229" s="812"/>
      <c r="B4229" s="812"/>
      <c r="C4229" s="812"/>
      <c r="D4229" s="812"/>
      <c r="E4229" s="812"/>
      <c r="F4229" s="812"/>
      <c r="G4229" s="812"/>
      <c r="H4229" s="812"/>
    </row>
    <row r="4230" spans="1:8">
      <c r="A4230" s="812"/>
      <c r="B4230" s="812"/>
      <c r="C4230" s="812"/>
      <c r="D4230" s="812"/>
      <c r="E4230" s="812"/>
      <c r="F4230" s="812"/>
      <c r="G4230" s="812"/>
      <c r="H4230" s="812"/>
    </row>
    <row r="4231" spans="1:8">
      <c r="A4231" s="812"/>
      <c r="B4231" s="812"/>
      <c r="C4231" s="812"/>
      <c r="D4231" s="812"/>
      <c r="E4231" s="812"/>
      <c r="F4231" s="812"/>
      <c r="G4231" s="812"/>
      <c r="H4231" s="812"/>
    </row>
    <row r="4232" spans="1:8">
      <c r="A4232" s="812"/>
      <c r="B4232" s="812"/>
      <c r="C4232" s="812"/>
      <c r="D4232" s="812"/>
      <c r="E4232" s="812"/>
      <c r="F4232" s="812"/>
      <c r="G4232" s="812"/>
      <c r="H4232" s="812"/>
    </row>
    <row r="4233" spans="1:8">
      <c r="A4233" s="812"/>
      <c r="B4233" s="812"/>
      <c r="C4233" s="812"/>
      <c r="D4233" s="812"/>
      <c r="E4233" s="812"/>
      <c r="F4233" s="812"/>
      <c r="G4233" s="812"/>
      <c r="H4233" s="812"/>
    </row>
    <row r="4234" spans="1:8">
      <c r="A4234" s="812"/>
      <c r="B4234" s="812"/>
      <c r="C4234" s="812"/>
      <c r="D4234" s="812"/>
      <c r="E4234" s="812"/>
      <c r="F4234" s="812"/>
      <c r="G4234" s="812"/>
      <c r="H4234" s="812"/>
    </row>
    <row r="4235" spans="1:8">
      <c r="A4235" s="812"/>
      <c r="B4235" s="812"/>
      <c r="C4235" s="812"/>
      <c r="D4235" s="812"/>
      <c r="E4235" s="812"/>
      <c r="F4235" s="812"/>
      <c r="G4235" s="812"/>
      <c r="H4235" s="812"/>
    </row>
    <row r="4236" spans="1:8">
      <c r="A4236" s="812"/>
      <c r="B4236" s="812"/>
      <c r="C4236" s="812"/>
      <c r="D4236" s="812"/>
      <c r="E4236" s="812"/>
      <c r="F4236" s="812"/>
      <c r="G4236" s="812"/>
      <c r="H4236" s="812"/>
    </row>
    <row r="4237" spans="1:8">
      <c r="A4237" s="812"/>
      <c r="B4237" s="812"/>
      <c r="C4237" s="812"/>
      <c r="D4237" s="812"/>
      <c r="E4237" s="812"/>
      <c r="F4237" s="812"/>
      <c r="G4237" s="812"/>
      <c r="H4237" s="812"/>
    </row>
    <row r="4238" spans="1:8">
      <c r="A4238" s="812"/>
      <c r="B4238" s="812"/>
      <c r="C4238" s="812"/>
      <c r="D4238" s="812"/>
      <c r="E4238" s="812"/>
      <c r="F4238" s="812"/>
      <c r="G4238" s="812"/>
      <c r="H4238" s="812"/>
    </row>
    <row r="4239" spans="1:8">
      <c r="A4239" s="812"/>
      <c r="B4239" s="812"/>
      <c r="C4239" s="812"/>
      <c r="D4239" s="812"/>
      <c r="E4239" s="812"/>
      <c r="F4239" s="812"/>
      <c r="G4239" s="812"/>
      <c r="H4239" s="812"/>
    </row>
    <row r="4240" spans="1:8">
      <c r="A4240" s="812"/>
      <c r="B4240" s="812"/>
      <c r="C4240" s="812"/>
      <c r="D4240" s="812"/>
      <c r="E4240" s="812"/>
      <c r="F4240" s="812"/>
      <c r="G4240" s="812"/>
      <c r="H4240" s="812"/>
    </row>
    <row r="4241" spans="1:8">
      <c r="A4241" s="812"/>
      <c r="B4241" s="812"/>
      <c r="C4241" s="812"/>
      <c r="D4241" s="812"/>
      <c r="E4241" s="812"/>
      <c r="F4241" s="812"/>
      <c r="G4241" s="812"/>
      <c r="H4241" s="812"/>
    </row>
    <row r="4242" spans="1:8">
      <c r="A4242" s="812"/>
      <c r="B4242" s="812"/>
      <c r="C4242" s="812"/>
      <c r="D4242" s="812"/>
      <c r="E4242" s="812"/>
      <c r="F4242" s="812"/>
      <c r="G4242" s="812"/>
      <c r="H4242" s="812"/>
    </row>
    <row r="4243" spans="1:8">
      <c r="A4243" s="812"/>
      <c r="B4243" s="812"/>
      <c r="C4243" s="812"/>
      <c r="D4243" s="812"/>
      <c r="E4243" s="812"/>
      <c r="F4243" s="812"/>
      <c r="G4243" s="812"/>
      <c r="H4243" s="812"/>
    </row>
    <row r="4244" spans="1:8">
      <c r="A4244" s="812"/>
      <c r="B4244" s="812"/>
      <c r="C4244" s="812"/>
      <c r="D4244" s="812"/>
      <c r="E4244" s="812"/>
      <c r="F4244" s="812"/>
      <c r="G4244" s="812"/>
      <c r="H4244" s="812"/>
    </row>
    <row r="4245" spans="1:8">
      <c r="A4245" s="812"/>
      <c r="B4245" s="812"/>
      <c r="C4245" s="812"/>
      <c r="D4245" s="812"/>
      <c r="E4245" s="812"/>
      <c r="F4245" s="812"/>
      <c r="G4245" s="812"/>
      <c r="H4245" s="812"/>
    </row>
    <row r="4246" spans="1:8">
      <c r="A4246" s="812"/>
      <c r="B4246" s="812"/>
      <c r="C4246" s="812"/>
      <c r="D4246" s="812"/>
      <c r="E4246" s="812"/>
      <c r="F4246" s="812"/>
      <c r="G4246" s="812"/>
      <c r="H4246" s="812"/>
    </row>
    <row r="4247" spans="1:8">
      <c r="A4247" s="812"/>
      <c r="B4247" s="812"/>
      <c r="C4247" s="812"/>
      <c r="D4247" s="812"/>
      <c r="E4247" s="812"/>
      <c r="F4247" s="812"/>
      <c r="G4247" s="812"/>
      <c r="H4247" s="812"/>
    </row>
    <row r="4248" spans="1:8">
      <c r="A4248" s="812"/>
      <c r="B4248" s="812"/>
      <c r="C4248" s="812"/>
      <c r="D4248" s="812"/>
      <c r="E4248" s="812"/>
      <c r="F4248" s="812"/>
      <c r="G4248" s="812"/>
      <c r="H4248" s="812"/>
    </row>
    <row r="4249" spans="1:8">
      <c r="A4249" s="812"/>
      <c r="B4249" s="812"/>
      <c r="C4249" s="812"/>
      <c r="D4249" s="812"/>
      <c r="E4249" s="812"/>
      <c r="F4249" s="812"/>
      <c r="G4249" s="812"/>
      <c r="H4249" s="812"/>
    </row>
    <row r="4250" spans="1:8">
      <c r="A4250" s="812"/>
      <c r="B4250" s="812"/>
      <c r="C4250" s="812"/>
      <c r="D4250" s="812"/>
      <c r="E4250" s="812"/>
      <c r="F4250" s="812"/>
      <c r="G4250" s="812"/>
      <c r="H4250" s="812"/>
    </row>
    <row r="4251" spans="1:8">
      <c r="A4251" s="812"/>
      <c r="B4251" s="812"/>
      <c r="C4251" s="812"/>
      <c r="D4251" s="812"/>
      <c r="E4251" s="812"/>
      <c r="F4251" s="812"/>
      <c r="G4251" s="812"/>
      <c r="H4251" s="812"/>
    </row>
    <row r="4252" spans="1:8">
      <c r="A4252" s="812"/>
      <c r="B4252" s="812"/>
      <c r="C4252" s="812"/>
      <c r="D4252" s="812"/>
      <c r="E4252" s="812"/>
      <c r="F4252" s="812"/>
      <c r="G4252" s="812"/>
      <c r="H4252" s="812"/>
    </row>
    <row r="4253" spans="1:8">
      <c r="A4253" s="812"/>
      <c r="B4253" s="812"/>
      <c r="C4253" s="812"/>
      <c r="D4253" s="812"/>
      <c r="E4253" s="812"/>
      <c r="F4253" s="812"/>
      <c r="G4253" s="812"/>
      <c r="H4253" s="812"/>
    </row>
    <row r="4254" spans="1:8">
      <c r="A4254" s="812"/>
      <c r="B4254" s="812"/>
      <c r="C4254" s="812"/>
      <c r="D4254" s="812"/>
      <c r="E4254" s="812"/>
      <c r="F4254" s="812"/>
      <c r="G4254" s="812"/>
      <c r="H4254" s="812"/>
    </row>
    <row r="4255" spans="1:8">
      <c r="A4255" s="812"/>
      <c r="B4255" s="812"/>
      <c r="C4255" s="812"/>
      <c r="D4255" s="812"/>
      <c r="E4255" s="812"/>
      <c r="F4255" s="812"/>
      <c r="G4255" s="812"/>
      <c r="H4255" s="812"/>
    </row>
    <row r="4256" spans="1:8">
      <c r="A4256" s="812"/>
      <c r="B4256" s="812"/>
      <c r="C4256" s="812"/>
      <c r="D4256" s="812"/>
      <c r="E4256" s="812"/>
      <c r="F4256" s="812"/>
      <c r="G4256" s="812"/>
      <c r="H4256" s="812"/>
    </row>
    <row r="4257" spans="1:8">
      <c r="A4257" s="812"/>
      <c r="B4257" s="812"/>
      <c r="C4257" s="812"/>
      <c r="D4257" s="812"/>
      <c r="E4257" s="812"/>
      <c r="F4257" s="812"/>
      <c r="G4257" s="812"/>
      <c r="H4257" s="812"/>
    </row>
    <row r="4258" spans="1:8">
      <c r="A4258" s="812"/>
      <c r="B4258" s="812"/>
      <c r="C4258" s="812"/>
      <c r="D4258" s="812"/>
      <c r="E4258" s="812"/>
      <c r="F4258" s="812"/>
      <c r="G4258" s="812"/>
      <c r="H4258" s="812"/>
    </row>
    <row r="4259" spans="1:8">
      <c r="A4259" s="812"/>
      <c r="B4259" s="812"/>
      <c r="C4259" s="812"/>
      <c r="D4259" s="812"/>
      <c r="E4259" s="812"/>
      <c r="F4259" s="812"/>
      <c r="G4259" s="812"/>
      <c r="H4259" s="812"/>
    </row>
    <row r="4260" spans="1:8">
      <c r="A4260" s="812"/>
      <c r="B4260" s="812"/>
      <c r="C4260" s="812"/>
      <c r="D4260" s="812"/>
      <c r="E4260" s="812"/>
      <c r="F4260" s="812"/>
      <c r="G4260" s="812"/>
      <c r="H4260" s="812"/>
    </row>
    <row r="4261" spans="1:8">
      <c r="A4261" s="812"/>
      <c r="B4261" s="812"/>
      <c r="C4261" s="812"/>
      <c r="D4261" s="812"/>
      <c r="E4261" s="812"/>
      <c r="F4261" s="812"/>
      <c r="G4261" s="812"/>
      <c r="H4261" s="812"/>
    </row>
    <row r="4262" spans="1:8">
      <c r="A4262" s="812"/>
      <c r="B4262" s="812"/>
      <c r="C4262" s="812"/>
      <c r="D4262" s="812"/>
      <c r="E4262" s="812"/>
      <c r="F4262" s="812"/>
      <c r="G4262" s="812"/>
      <c r="H4262" s="812"/>
    </row>
    <row r="4263" spans="1:8">
      <c r="A4263" s="812"/>
      <c r="B4263" s="812"/>
      <c r="C4263" s="812"/>
      <c r="D4263" s="812"/>
      <c r="E4263" s="812"/>
      <c r="F4263" s="812"/>
      <c r="G4263" s="812"/>
      <c r="H4263" s="812"/>
    </row>
    <row r="4264" spans="1:8">
      <c r="A4264" s="812"/>
      <c r="B4264" s="812"/>
      <c r="C4264" s="812"/>
      <c r="D4264" s="812"/>
      <c r="E4264" s="812"/>
      <c r="F4264" s="812"/>
      <c r="G4264" s="812"/>
      <c r="H4264" s="812"/>
    </row>
    <row r="4265" spans="1:8">
      <c r="A4265" s="812"/>
      <c r="B4265" s="812"/>
      <c r="C4265" s="812"/>
      <c r="D4265" s="812"/>
      <c r="E4265" s="812"/>
      <c r="F4265" s="812"/>
      <c r="G4265" s="812"/>
      <c r="H4265" s="812"/>
    </row>
    <row r="4266" spans="1:8">
      <c r="A4266" s="812"/>
      <c r="B4266" s="812"/>
      <c r="C4266" s="812"/>
      <c r="D4266" s="812"/>
      <c r="E4266" s="812"/>
      <c r="F4266" s="812"/>
      <c r="G4266" s="812"/>
      <c r="H4266" s="812"/>
    </row>
    <row r="4267" spans="1:8">
      <c r="A4267" s="812"/>
      <c r="B4267" s="812"/>
      <c r="C4267" s="812"/>
      <c r="D4267" s="812"/>
      <c r="E4267" s="812"/>
      <c r="F4267" s="812"/>
      <c r="G4267" s="812"/>
      <c r="H4267" s="812"/>
    </row>
    <row r="4268" spans="1:8">
      <c r="A4268" s="812"/>
      <c r="B4268" s="812"/>
      <c r="C4268" s="812"/>
      <c r="D4268" s="812"/>
      <c r="E4268" s="812"/>
      <c r="F4268" s="812"/>
      <c r="G4268" s="812"/>
      <c r="H4268" s="812"/>
    </row>
    <row r="4269" spans="1:8">
      <c r="A4269" s="812"/>
      <c r="B4269" s="812"/>
      <c r="C4269" s="812"/>
      <c r="D4269" s="812"/>
      <c r="E4269" s="812"/>
      <c r="F4269" s="812"/>
      <c r="G4269" s="812"/>
      <c r="H4269" s="812"/>
    </row>
    <row r="4270" spans="1:8">
      <c r="A4270" s="812"/>
      <c r="B4270" s="812"/>
      <c r="C4270" s="812"/>
      <c r="D4270" s="812"/>
      <c r="E4270" s="812"/>
      <c r="F4270" s="812"/>
      <c r="G4270" s="812"/>
      <c r="H4270" s="812"/>
    </row>
    <row r="4271" spans="1:8">
      <c r="A4271" s="812"/>
      <c r="B4271" s="812"/>
      <c r="C4271" s="812"/>
      <c r="D4271" s="812"/>
      <c r="E4271" s="812"/>
      <c r="F4271" s="812"/>
      <c r="G4271" s="812"/>
      <c r="H4271" s="812"/>
    </row>
    <row r="4272" spans="1:8">
      <c r="A4272" s="812"/>
      <c r="B4272" s="812"/>
      <c r="C4272" s="812"/>
      <c r="D4272" s="812"/>
      <c r="E4272" s="812"/>
      <c r="F4272" s="812"/>
      <c r="G4272" s="812"/>
      <c r="H4272" s="812"/>
    </row>
    <row r="4273" spans="1:8">
      <c r="A4273" s="812"/>
      <c r="B4273" s="812"/>
      <c r="C4273" s="812"/>
      <c r="D4273" s="812"/>
      <c r="E4273" s="812"/>
      <c r="F4273" s="812"/>
      <c r="G4273" s="812"/>
      <c r="H4273" s="812"/>
    </row>
    <row r="4274" spans="1:8">
      <c r="A4274" s="812"/>
      <c r="B4274" s="812"/>
      <c r="C4274" s="812"/>
      <c r="D4274" s="812"/>
      <c r="E4274" s="812"/>
      <c r="F4274" s="812"/>
      <c r="G4274" s="812"/>
      <c r="H4274" s="812"/>
    </row>
    <row r="4275" spans="1:8">
      <c r="A4275" s="812"/>
      <c r="B4275" s="812"/>
      <c r="C4275" s="812"/>
      <c r="D4275" s="812"/>
      <c r="E4275" s="812"/>
      <c r="F4275" s="812"/>
      <c r="G4275" s="812"/>
      <c r="H4275" s="812"/>
    </row>
    <row r="4276" spans="1:8">
      <c r="A4276" s="812"/>
      <c r="B4276" s="812"/>
      <c r="C4276" s="812"/>
      <c r="D4276" s="812"/>
      <c r="E4276" s="812"/>
      <c r="F4276" s="812"/>
      <c r="G4276" s="812"/>
      <c r="H4276" s="812"/>
    </row>
    <row r="4277" spans="1:8">
      <c r="A4277" s="812"/>
      <c r="B4277" s="812"/>
      <c r="C4277" s="812"/>
      <c r="D4277" s="812"/>
      <c r="E4277" s="812"/>
      <c r="F4277" s="812"/>
      <c r="G4277" s="812"/>
      <c r="H4277" s="812"/>
    </row>
    <row r="4278" spans="1:8">
      <c r="A4278" s="812"/>
      <c r="B4278" s="812"/>
      <c r="C4278" s="812"/>
      <c r="D4278" s="812"/>
      <c r="E4278" s="812"/>
      <c r="F4278" s="812"/>
      <c r="G4278" s="812"/>
      <c r="H4278" s="812"/>
    </row>
    <row r="4279" spans="1:8">
      <c r="A4279" s="812"/>
      <c r="B4279" s="812"/>
      <c r="C4279" s="812"/>
      <c r="D4279" s="812"/>
      <c r="E4279" s="812"/>
      <c r="F4279" s="812"/>
      <c r="G4279" s="812"/>
      <c r="H4279" s="812"/>
    </row>
    <row r="4280" spans="1:8">
      <c r="A4280" s="812"/>
      <c r="B4280" s="812"/>
      <c r="C4280" s="812"/>
      <c r="D4280" s="812"/>
      <c r="E4280" s="812"/>
      <c r="F4280" s="812"/>
      <c r="G4280" s="812"/>
      <c r="H4280" s="812"/>
    </row>
    <row r="4281" spans="1:8">
      <c r="A4281" s="812"/>
      <c r="B4281" s="812"/>
      <c r="C4281" s="812"/>
      <c r="D4281" s="812"/>
      <c r="E4281" s="812"/>
      <c r="F4281" s="812"/>
      <c r="G4281" s="812"/>
      <c r="H4281" s="812"/>
    </row>
    <row r="4282" spans="1:8">
      <c r="A4282" s="812"/>
      <c r="B4282" s="812"/>
      <c r="C4282" s="812"/>
      <c r="D4282" s="812"/>
      <c r="E4282" s="812"/>
      <c r="F4282" s="812"/>
      <c r="G4282" s="812"/>
      <c r="H4282" s="812"/>
    </row>
    <row r="4283" spans="1:8">
      <c r="A4283" s="812"/>
      <c r="B4283" s="812"/>
      <c r="C4283" s="812"/>
      <c r="D4283" s="812"/>
      <c r="E4283" s="812"/>
      <c r="F4283" s="812"/>
      <c r="G4283" s="812"/>
      <c r="H4283" s="812"/>
    </row>
    <row r="4284" spans="1:8">
      <c r="A4284" s="812"/>
      <c r="B4284" s="812"/>
      <c r="C4284" s="812"/>
      <c r="D4284" s="812"/>
      <c r="E4284" s="812"/>
      <c r="F4284" s="812"/>
      <c r="G4284" s="812"/>
      <c r="H4284" s="812"/>
    </row>
    <row r="4285" spans="1:8">
      <c r="A4285" s="812"/>
      <c r="B4285" s="812"/>
      <c r="C4285" s="812"/>
      <c r="D4285" s="812"/>
      <c r="E4285" s="812"/>
      <c r="F4285" s="812"/>
      <c r="G4285" s="812"/>
      <c r="H4285" s="812"/>
    </row>
    <row r="4286" spans="1:8">
      <c r="A4286" s="812"/>
      <c r="B4286" s="812"/>
      <c r="C4286" s="812"/>
      <c r="D4286" s="812"/>
      <c r="E4286" s="812"/>
      <c r="F4286" s="812"/>
      <c r="G4286" s="812"/>
      <c r="H4286" s="812"/>
    </row>
    <row r="4287" spans="1:8">
      <c r="A4287" s="812"/>
      <c r="B4287" s="812"/>
      <c r="C4287" s="812"/>
      <c r="D4287" s="812"/>
      <c r="E4287" s="812"/>
      <c r="F4287" s="812"/>
      <c r="G4287" s="812"/>
      <c r="H4287" s="812"/>
    </row>
    <row r="4288" spans="1:8">
      <c r="A4288" s="812"/>
      <c r="B4288" s="812"/>
      <c r="C4288" s="812"/>
      <c r="D4288" s="812"/>
      <c r="E4288" s="812"/>
      <c r="F4288" s="812"/>
      <c r="G4288" s="812"/>
      <c r="H4288" s="812"/>
    </row>
    <row r="4289" spans="1:8">
      <c r="A4289" s="812"/>
      <c r="B4289" s="812"/>
      <c r="C4289" s="812"/>
      <c r="D4289" s="812"/>
      <c r="E4289" s="812"/>
      <c r="F4289" s="812"/>
      <c r="G4289" s="812"/>
      <c r="H4289" s="812"/>
    </row>
    <row r="4290" spans="1:8">
      <c r="A4290" s="812"/>
      <c r="B4290" s="812"/>
      <c r="C4290" s="812"/>
      <c r="D4290" s="812"/>
      <c r="E4290" s="812"/>
      <c r="F4290" s="812"/>
      <c r="G4290" s="812"/>
      <c r="H4290" s="812"/>
    </row>
    <row r="4291" spans="1:8">
      <c r="A4291" s="812"/>
      <c r="B4291" s="812"/>
      <c r="C4291" s="812"/>
      <c r="D4291" s="812"/>
      <c r="E4291" s="812"/>
      <c r="F4291" s="812"/>
      <c r="G4291" s="812"/>
      <c r="H4291" s="812"/>
    </row>
    <row r="4292" spans="1:8">
      <c r="A4292" s="812"/>
      <c r="B4292" s="812"/>
      <c r="C4292" s="812"/>
      <c r="D4292" s="812"/>
      <c r="E4292" s="812"/>
      <c r="F4292" s="812"/>
      <c r="G4292" s="812"/>
      <c r="H4292" s="812"/>
    </row>
    <row r="4293" spans="1:8">
      <c r="A4293" s="812"/>
      <c r="B4293" s="812"/>
      <c r="C4293" s="812"/>
      <c r="D4293" s="812"/>
      <c r="E4293" s="812"/>
      <c r="F4293" s="812"/>
      <c r="G4293" s="812"/>
      <c r="H4293" s="812"/>
    </row>
    <row r="4294" spans="1:8">
      <c r="A4294" s="812"/>
      <c r="B4294" s="812"/>
      <c r="C4294" s="812"/>
      <c r="D4294" s="812"/>
      <c r="E4294" s="812"/>
      <c r="F4294" s="812"/>
      <c r="G4294" s="812"/>
      <c r="H4294" s="812"/>
    </row>
    <row r="4295" spans="1:8">
      <c r="A4295" s="812"/>
      <c r="B4295" s="812"/>
      <c r="C4295" s="812"/>
      <c r="D4295" s="812"/>
      <c r="E4295" s="812"/>
      <c r="F4295" s="812"/>
      <c r="G4295" s="812"/>
      <c r="H4295" s="812"/>
    </row>
    <row r="4296" spans="1:8">
      <c r="A4296" s="812"/>
      <c r="B4296" s="812"/>
      <c r="C4296" s="812"/>
      <c r="D4296" s="812"/>
      <c r="E4296" s="812"/>
      <c r="F4296" s="812"/>
      <c r="G4296" s="812"/>
      <c r="H4296" s="812"/>
    </row>
    <row r="4297" spans="1:8">
      <c r="A4297" s="812"/>
      <c r="B4297" s="812"/>
      <c r="C4297" s="812"/>
      <c r="D4297" s="812"/>
      <c r="E4297" s="812"/>
      <c r="F4297" s="812"/>
      <c r="G4297" s="812"/>
      <c r="H4297" s="812"/>
    </row>
    <row r="4298" spans="1:8">
      <c r="A4298" s="812"/>
      <c r="B4298" s="812"/>
      <c r="C4298" s="812"/>
      <c r="D4298" s="812"/>
      <c r="E4298" s="812"/>
      <c r="F4298" s="812"/>
      <c r="G4298" s="812"/>
      <c r="H4298" s="812"/>
    </row>
    <row r="4299" spans="1:8">
      <c r="A4299" s="812"/>
      <c r="B4299" s="812"/>
      <c r="C4299" s="812"/>
      <c r="D4299" s="812"/>
      <c r="E4299" s="812"/>
      <c r="F4299" s="812"/>
      <c r="G4299" s="812"/>
      <c r="H4299" s="812"/>
    </row>
    <row r="4300" spans="1:8">
      <c r="A4300" s="812"/>
      <c r="B4300" s="812"/>
      <c r="C4300" s="812"/>
      <c r="D4300" s="812"/>
      <c r="E4300" s="812"/>
      <c r="F4300" s="812"/>
      <c r="G4300" s="812"/>
      <c r="H4300" s="812"/>
    </row>
    <row r="4301" spans="1:8">
      <c r="A4301" s="812"/>
      <c r="B4301" s="812"/>
      <c r="C4301" s="812"/>
      <c r="D4301" s="812"/>
      <c r="E4301" s="812"/>
      <c r="F4301" s="812"/>
      <c r="G4301" s="812"/>
      <c r="H4301" s="812"/>
    </row>
    <row r="4302" spans="1:8">
      <c r="A4302" s="812"/>
      <c r="B4302" s="812"/>
      <c r="C4302" s="812"/>
      <c r="D4302" s="812"/>
      <c r="E4302" s="812"/>
      <c r="F4302" s="812"/>
      <c r="G4302" s="812"/>
      <c r="H4302" s="812"/>
    </row>
    <row r="4303" spans="1:8">
      <c r="A4303" s="812"/>
      <c r="B4303" s="812"/>
      <c r="C4303" s="812"/>
      <c r="D4303" s="812"/>
      <c r="E4303" s="812"/>
      <c r="F4303" s="812"/>
      <c r="G4303" s="812"/>
      <c r="H4303" s="812"/>
    </row>
    <row r="4304" spans="1:8">
      <c r="A4304" s="812"/>
      <c r="B4304" s="812"/>
      <c r="C4304" s="812"/>
      <c r="D4304" s="812"/>
      <c r="E4304" s="812"/>
      <c r="F4304" s="812"/>
      <c r="G4304" s="812"/>
      <c r="H4304" s="812"/>
    </row>
    <row r="4305" spans="1:8">
      <c r="A4305" s="812"/>
      <c r="B4305" s="812"/>
      <c r="C4305" s="812"/>
      <c r="D4305" s="812"/>
      <c r="E4305" s="812"/>
      <c r="F4305" s="812"/>
      <c r="G4305" s="812"/>
      <c r="H4305" s="812"/>
    </row>
    <row r="4306" spans="1:8">
      <c r="A4306" s="812"/>
      <c r="B4306" s="812"/>
      <c r="C4306" s="812"/>
      <c r="D4306" s="812"/>
      <c r="E4306" s="812"/>
      <c r="F4306" s="812"/>
      <c r="G4306" s="812"/>
      <c r="H4306" s="812"/>
    </row>
    <row r="4307" spans="1:8">
      <c r="A4307" s="812"/>
      <c r="B4307" s="812"/>
      <c r="C4307" s="812"/>
      <c r="D4307" s="812"/>
      <c r="E4307" s="812"/>
      <c r="F4307" s="812"/>
      <c r="G4307" s="812"/>
      <c r="H4307" s="812"/>
    </row>
    <row r="4308" spans="1:8">
      <c r="A4308" s="812"/>
      <c r="B4308" s="812"/>
      <c r="C4308" s="812"/>
      <c r="D4308" s="812"/>
      <c r="E4308" s="812"/>
      <c r="F4308" s="812"/>
      <c r="G4308" s="812"/>
      <c r="H4308" s="812"/>
    </row>
    <row r="4309" spans="1:8">
      <c r="A4309" s="812"/>
      <c r="B4309" s="812"/>
      <c r="C4309" s="812"/>
      <c r="D4309" s="812"/>
      <c r="E4309" s="812"/>
      <c r="F4309" s="812"/>
      <c r="G4309" s="812"/>
      <c r="H4309" s="812"/>
    </row>
    <row r="4310" spans="1:8">
      <c r="A4310" s="812"/>
      <c r="B4310" s="812"/>
      <c r="C4310" s="812"/>
      <c r="D4310" s="812"/>
      <c r="E4310" s="812"/>
      <c r="F4310" s="812"/>
      <c r="G4310" s="812"/>
      <c r="H4310" s="812"/>
    </row>
    <row r="4311" spans="1:8">
      <c r="A4311" s="812"/>
      <c r="B4311" s="812"/>
      <c r="C4311" s="812"/>
      <c r="D4311" s="812"/>
      <c r="E4311" s="812"/>
      <c r="F4311" s="812"/>
      <c r="G4311" s="812"/>
      <c r="H4311" s="812"/>
    </row>
    <row r="4312" spans="1:8">
      <c r="A4312" s="812"/>
      <c r="B4312" s="812"/>
      <c r="C4312" s="812"/>
      <c r="D4312" s="812"/>
      <c r="E4312" s="812"/>
      <c r="F4312" s="812"/>
      <c r="G4312" s="812"/>
      <c r="H4312" s="812"/>
    </row>
    <row r="4313" spans="1:8">
      <c r="A4313" s="812"/>
      <c r="B4313" s="812"/>
      <c r="C4313" s="812"/>
      <c r="D4313" s="812"/>
      <c r="E4313" s="812"/>
      <c r="F4313" s="812"/>
      <c r="G4313" s="812"/>
      <c r="H4313" s="812"/>
    </row>
    <row r="4314" spans="1:8">
      <c r="A4314" s="812"/>
      <c r="B4314" s="812"/>
      <c r="C4314" s="812"/>
      <c r="D4314" s="812"/>
      <c r="E4314" s="812"/>
      <c r="F4314" s="812"/>
      <c r="G4314" s="812"/>
      <c r="H4314" s="812"/>
    </row>
    <row r="4315" spans="1:8">
      <c r="A4315" s="812"/>
      <c r="B4315" s="812"/>
      <c r="C4315" s="812"/>
      <c r="D4315" s="812"/>
      <c r="E4315" s="812"/>
      <c r="F4315" s="812"/>
      <c r="G4315" s="812"/>
      <c r="H4315" s="812"/>
    </row>
    <row r="4316" spans="1:8">
      <c r="A4316" s="812"/>
      <c r="B4316" s="812"/>
      <c r="C4316" s="812"/>
      <c r="D4316" s="812"/>
      <c r="E4316" s="812"/>
      <c r="F4316" s="812"/>
      <c r="G4316" s="812"/>
      <c r="H4316" s="812"/>
    </row>
    <row r="4317" spans="1:8">
      <c r="A4317" s="812"/>
      <c r="B4317" s="812"/>
      <c r="C4317" s="812"/>
      <c r="D4317" s="812"/>
      <c r="E4317" s="812"/>
      <c r="F4317" s="812"/>
      <c r="G4317" s="812"/>
      <c r="H4317" s="812"/>
    </row>
    <row r="4318" spans="1:8">
      <c r="A4318" s="812"/>
      <c r="B4318" s="812"/>
      <c r="C4318" s="812"/>
      <c r="D4318" s="812"/>
      <c r="E4318" s="812"/>
      <c r="F4318" s="812"/>
      <c r="G4318" s="812"/>
      <c r="H4318" s="812"/>
    </row>
    <row r="4319" spans="1:8">
      <c r="A4319" s="812"/>
      <c r="B4319" s="812"/>
      <c r="C4319" s="812"/>
      <c r="D4319" s="812"/>
      <c r="E4319" s="812"/>
      <c r="F4319" s="812"/>
      <c r="G4319" s="812"/>
      <c r="H4319" s="812"/>
    </row>
    <row r="4320" spans="1:8">
      <c r="A4320" s="812"/>
      <c r="B4320" s="812"/>
      <c r="C4320" s="812"/>
      <c r="D4320" s="812"/>
      <c r="E4320" s="812"/>
      <c r="F4320" s="812"/>
      <c r="G4320" s="812"/>
      <c r="H4320" s="812"/>
    </row>
    <row r="4321" spans="1:8">
      <c r="A4321" s="812"/>
      <c r="B4321" s="812"/>
      <c r="C4321" s="812"/>
      <c r="D4321" s="812"/>
      <c r="E4321" s="812"/>
      <c r="F4321" s="812"/>
      <c r="G4321" s="812"/>
      <c r="H4321" s="812"/>
    </row>
    <row r="4322" spans="1:8">
      <c r="A4322" s="812"/>
      <c r="B4322" s="812"/>
      <c r="C4322" s="812"/>
      <c r="D4322" s="812"/>
      <c r="E4322" s="812"/>
      <c r="F4322" s="812"/>
      <c r="G4322" s="812"/>
      <c r="H4322" s="812"/>
    </row>
    <row r="4323" spans="1:8">
      <c r="A4323" s="812"/>
      <c r="B4323" s="812"/>
      <c r="C4323" s="812"/>
      <c r="D4323" s="812"/>
      <c r="E4323" s="812"/>
      <c r="F4323" s="812"/>
      <c r="G4323" s="812"/>
      <c r="H4323" s="812"/>
    </row>
    <row r="4324" spans="1:8">
      <c r="A4324" s="812"/>
      <c r="B4324" s="812"/>
      <c r="C4324" s="812"/>
      <c r="D4324" s="812"/>
      <c r="E4324" s="812"/>
      <c r="F4324" s="812"/>
      <c r="G4324" s="812"/>
      <c r="H4324" s="812"/>
    </row>
    <row r="4325" spans="1:8">
      <c r="A4325" s="812"/>
      <c r="B4325" s="812"/>
      <c r="C4325" s="812"/>
      <c r="D4325" s="812"/>
      <c r="E4325" s="812"/>
      <c r="F4325" s="812"/>
      <c r="G4325" s="812"/>
      <c r="H4325" s="812"/>
    </row>
    <row r="4326" spans="1:8">
      <c r="A4326" s="812"/>
      <c r="B4326" s="812"/>
      <c r="C4326" s="812"/>
      <c r="D4326" s="812"/>
      <c r="E4326" s="812"/>
      <c r="F4326" s="812"/>
      <c r="G4326" s="812"/>
      <c r="H4326" s="812"/>
    </row>
    <row r="4327" spans="1:8">
      <c r="A4327" s="812"/>
      <c r="B4327" s="812"/>
      <c r="C4327" s="812"/>
      <c r="D4327" s="812"/>
      <c r="E4327" s="812"/>
      <c r="F4327" s="812"/>
      <c r="G4327" s="812"/>
      <c r="H4327" s="812"/>
    </row>
    <row r="4328" spans="1:8">
      <c r="A4328" s="812"/>
      <c r="B4328" s="812"/>
      <c r="C4328" s="812"/>
      <c r="D4328" s="812"/>
      <c r="E4328" s="812"/>
      <c r="F4328" s="812"/>
      <c r="G4328" s="812"/>
      <c r="H4328" s="812"/>
    </row>
    <row r="4329" spans="1:8">
      <c r="A4329" s="812"/>
      <c r="B4329" s="812"/>
      <c r="C4329" s="812"/>
      <c r="D4329" s="812"/>
      <c r="E4329" s="812"/>
      <c r="F4329" s="812"/>
      <c r="G4329" s="812"/>
      <c r="H4329" s="812"/>
    </row>
    <row r="4330" spans="1:8">
      <c r="A4330" s="812"/>
      <c r="B4330" s="812"/>
      <c r="C4330" s="812"/>
      <c r="D4330" s="812"/>
      <c r="E4330" s="812"/>
      <c r="F4330" s="812"/>
      <c r="G4330" s="812"/>
      <c r="H4330" s="812"/>
    </row>
    <row r="4331" spans="1:8">
      <c r="A4331" s="812"/>
      <c r="B4331" s="812"/>
      <c r="C4331" s="812"/>
      <c r="D4331" s="812"/>
      <c r="E4331" s="812"/>
      <c r="F4331" s="812"/>
      <c r="G4331" s="812"/>
      <c r="H4331" s="812"/>
    </row>
    <row r="4332" spans="1:8">
      <c r="A4332" s="812"/>
      <c r="B4332" s="812"/>
      <c r="C4332" s="812"/>
      <c r="D4332" s="812"/>
      <c r="E4332" s="812"/>
      <c r="F4332" s="812"/>
      <c r="G4332" s="812"/>
      <c r="H4332" s="812"/>
    </row>
    <row r="4333" spans="1:8">
      <c r="A4333" s="812"/>
      <c r="B4333" s="812"/>
      <c r="C4333" s="812"/>
      <c r="D4333" s="812"/>
      <c r="E4333" s="812"/>
      <c r="F4333" s="812"/>
      <c r="G4333" s="812"/>
      <c r="H4333" s="812"/>
    </row>
    <row r="4334" spans="1:8">
      <c r="A4334" s="812"/>
      <c r="B4334" s="812"/>
      <c r="C4334" s="812"/>
      <c r="D4334" s="812"/>
      <c r="E4334" s="812"/>
      <c r="F4334" s="812"/>
      <c r="G4334" s="812"/>
      <c r="H4334" s="812"/>
    </row>
    <row r="4335" spans="1:8">
      <c r="A4335" s="812"/>
      <c r="B4335" s="812"/>
      <c r="C4335" s="812"/>
      <c r="D4335" s="812"/>
      <c r="E4335" s="812"/>
      <c r="F4335" s="812"/>
      <c r="G4335" s="812"/>
      <c r="H4335" s="812"/>
    </row>
    <row r="4336" spans="1:8">
      <c r="A4336" s="812"/>
      <c r="B4336" s="812"/>
      <c r="C4336" s="812"/>
      <c r="D4336" s="812"/>
      <c r="E4336" s="812"/>
      <c r="F4336" s="812"/>
      <c r="G4336" s="812"/>
      <c r="H4336" s="812"/>
    </row>
    <row r="4337" spans="1:8">
      <c r="A4337" s="812"/>
      <c r="B4337" s="812"/>
      <c r="C4337" s="812"/>
      <c r="D4337" s="812"/>
      <c r="E4337" s="812"/>
      <c r="F4337" s="812"/>
      <c r="G4337" s="812"/>
      <c r="H4337" s="812"/>
    </row>
    <row r="4338" spans="1:8">
      <c r="A4338" s="812"/>
      <c r="B4338" s="812"/>
      <c r="C4338" s="812"/>
      <c r="D4338" s="812"/>
      <c r="E4338" s="812"/>
      <c r="F4338" s="812"/>
      <c r="G4338" s="812"/>
      <c r="H4338" s="812"/>
    </row>
    <row r="4339" spans="1:8">
      <c r="A4339" s="812"/>
      <c r="B4339" s="812"/>
      <c r="C4339" s="812"/>
      <c r="D4339" s="812"/>
      <c r="E4339" s="812"/>
      <c r="F4339" s="812"/>
      <c r="G4339" s="812"/>
      <c r="H4339" s="812"/>
    </row>
    <row r="4340" spans="1:8">
      <c r="A4340" s="812"/>
      <c r="B4340" s="812"/>
      <c r="C4340" s="812"/>
      <c r="D4340" s="812"/>
      <c r="E4340" s="812"/>
      <c r="F4340" s="812"/>
      <c r="G4340" s="812"/>
      <c r="H4340" s="812"/>
    </row>
    <row r="4341" spans="1:8">
      <c r="A4341" s="812"/>
      <c r="B4341" s="812"/>
      <c r="C4341" s="812"/>
      <c r="D4341" s="812"/>
      <c r="E4341" s="812"/>
      <c r="F4341" s="812"/>
      <c r="G4341" s="812"/>
      <c r="H4341" s="812"/>
    </row>
    <row r="4342" spans="1:8">
      <c r="A4342" s="812"/>
      <c r="B4342" s="812"/>
      <c r="C4342" s="812"/>
      <c r="D4342" s="812"/>
      <c r="E4342" s="812"/>
      <c r="F4342" s="812"/>
      <c r="G4342" s="812"/>
      <c r="H4342" s="812"/>
    </row>
    <row r="4343" spans="1:8">
      <c r="A4343" s="812"/>
      <c r="B4343" s="812"/>
      <c r="C4343" s="812"/>
      <c r="D4343" s="812"/>
      <c r="E4343" s="812"/>
      <c r="F4343" s="812"/>
      <c r="G4343" s="812"/>
      <c r="H4343" s="812"/>
    </row>
    <row r="4344" spans="1:8">
      <c r="A4344" s="812"/>
      <c r="B4344" s="812"/>
      <c r="C4344" s="812"/>
      <c r="D4344" s="812"/>
      <c r="E4344" s="812"/>
      <c r="F4344" s="812"/>
      <c r="G4344" s="812"/>
      <c r="H4344" s="812"/>
    </row>
    <row r="4345" spans="1:8">
      <c r="A4345" s="812"/>
      <c r="B4345" s="812"/>
      <c r="C4345" s="812"/>
      <c r="D4345" s="812"/>
      <c r="E4345" s="812"/>
      <c r="F4345" s="812"/>
      <c r="G4345" s="812"/>
      <c r="H4345" s="812"/>
    </row>
    <row r="4346" spans="1:8">
      <c r="A4346" s="812"/>
      <c r="B4346" s="812"/>
      <c r="C4346" s="812"/>
      <c r="D4346" s="812"/>
      <c r="E4346" s="812"/>
      <c r="F4346" s="812"/>
      <c r="G4346" s="812"/>
      <c r="H4346" s="812"/>
    </row>
    <row r="4347" spans="1:8">
      <c r="A4347" s="812"/>
      <c r="B4347" s="812"/>
      <c r="C4347" s="812"/>
      <c r="D4347" s="812"/>
      <c r="E4347" s="812"/>
      <c r="F4347" s="812"/>
      <c r="G4347" s="812"/>
      <c r="H4347" s="812"/>
    </row>
    <row r="4348" spans="1:8">
      <c r="A4348" s="812"/>
      <c r="B4348" s="812"/>
      <c r="C4348" s="812"/>
      <c r="D4348" s="812"/>
      <c r="E4348" s="812"/>
      <c r="F4348" s="812"/>
      <c r="G4348" s="812"/>
      <c r="H4348" s="812"/>
    </row>
    <row r="4349" spans="1:8">
      <c r="A4349" s="812"/>
      <c r="B4349" s="812"/>
      <c r="C4349" s="812"/>
      <c r="D4349" s="812"/>
      <c r="E4349" s="812"/>
      <c r="F4349" s="812"/>
      <c r="G4349" s="812"/>
      <c r="H4349" s="812"/>
    </row>
    <row r="4350" spans="1:8">
      <c r="A4350" s="812"/>
      <c r="B4350" s="812"/>
      <c r="C4350" s="812"/>
      <c r="D4350" s="812"/>
      <c r="E4350" s="812"/>
      <c r="F4350" s="812"/>
      <c r="G4350" s="812"/>
      <c r="H4350" s="812"/>
    </row>
    <row r="4351" spans="1:8">
      <c r="A4351" s="812"/>
      <c r="B4351" s="812"/>
      <c r="C4351" s="812"/>
      <c r="D4351" s="812"/>
      <c r="E4351" s="812"/>
      <c r="F4351" s="812"/>
      <c r="G4351" s="812"/>
      <c r="H4351" s="812"/>
    </row>
    <row r="4352" spans="1:8">
      <c r="A4352" s="812"/>
      <c r="B4352" s="812"/>
      <c r="C4352" s="812"/>
      <c r="D4352" s="812"/>
      <c r="E4352" s="812"/>
      <c r="F4352" s="812"/>
      <c r="G4352" s="812"/>
      <c r="H4352" s="812"/>
    </row>
    <row r="4353" spans="1:8">
      <c r="A4353" s="812"/>
      <c r="B4353" s="812"/>
      <c r="C4353" s="812"/>
      <c r="D4353" s="812"/>
      <c r="E4353" s="812"/>
      <c r="F4353" s="812"/>
      <c r="G4353" s="812"/>
      <c r="H4353" s="812"/>
    </row>
    <row r="4354" spans="1:8">
      <c r="A4354" s="812"/>
      <c r="B4354" s="812"/>
      <c r="C4354" s="812"/>
      <c r="D4354" s="812"/>
      <c r="E4354" s="812"/>
      <c r="F4354" s="812"/>
      <c r="G4354" s="812"/>
      <c r="H4354" s="812"/>
    </row>
    <row r="4355" spans="1:8">
      <c r="A4355" s="812"/>
      <c r="B4355" s="812"/>
      <c r="C4355" s="812"/>
      <c r="D4355" s="812"/>
      <c r="E4355" s="812"/>
      <c r="F4355" s="812"/>
      <c r="G4355" s="812"/>
      <c r="H4355" s="812"/>
    </row>
    <row r="4356" spans="1:8">
      <c r="A4356" s="812"/>
      <c r="B4356" s="812"/>
      <c r="C4356" s="812"/>
      <c r="D4356" s="812"/>
      <c r="E4356" s="812"/>
      <c r="F4356" s="812"/>
      <c r="G4356" s="812"/>
      <c r="H4356" s="812"/>
    </row>
    <row r="4357" spans="1:8">
      <c r="A4357" s="812"/>
      <c r="B4357" s="812"/>
      <c r="C4357" s="812"/>
      <c r="D4357" s="812"/>
      <c r="E4357" s="812"/>
      <c r="F4357" s="812"/>
      <c r="G4357" s="812"/>
      <c r="H4357" s="812"/>
    </row>
    <row r="4358" spans="1:8">
      <c r="A4358" s="812"/>
      <c r="B4358" s="812"/>
      <c r="C4358" s="812"/>
      <c r="D4358" s="812"/>
      <c r="E4358" s="812"/>
      <c r="F4358" s="812"/>
      <c r="G4358" s="812"/>
      <c r="H4358" s="812"/>
    </row>
    <row r="4359" spans="1:8">
      <c r="A4359" s="812"/>
      <c r="B4359" s="812"/>
      <c r="C4359" s="812"/>
      <c r="D4359" s="812"/>
      <c r="E4359" s="812"/>
      <c r="F4359" s="812"/>
      <c r="G4359" s="812"/>
      <c r="H4359" s="812"/>
    </row>
    <row r="4360" spans="1:8">
      <c r="A4360" s="812"/>
      <c r="B4360" s="812"/>
      <c r="C4360" s="812"/>
      <c r="D4360" s="812"/>
      <c r="E4360" s="812"/>
      <c r="F4360" s="812"/>
      <c r="G4360" s="812"/>
      <c r="H4360" s="812"/>
    </row>
    <row r="4361" spans="1:8">
      <c r="A4361" s="812"/>
      <c r="B4361" s="812"/>
      <c r="C4361" s="812"/>
      <c r="D4361" s="812"/>
      <c r="E4361" s="812"/>
      <c r="F4361" s="812"/>
      <c r="G4361" s="812"/>
      <c r="H4361" s="812"/>
    </row>
    <row r="4362" spans="1:8">
      <c r="A4362" s="812"/>
      <c r="B4362" s="812"/>
      <c r="C4362" s="812"/>
      <c r="D4362" s="812"/>
      <c r="E4362" s="812"/>
      <c r="F4362" s="812"/>
      <c r="G4362" s="812"/>
      <c r="H4362" s="812"/>
    </row>
    <row r="4363" spans="1:8">
      <c r="A4363" s="812"/>
      <c r="B4363" s="812"/>
      <c r="C4363" s="812"/>
      <c r="D4363" s="812"/>
      <c r="E4363" s="812"/>
      <c r="F4363" s="812"/>
      <c r="G4363" s="812"/>
      <c r="H4363" s="812"/>
    </row>
    <row r="4364" spans="1:8">
      <c r="A4364" s="812"/>
      <c r="B4364" s="812"/>
      <c r="C4364" s="812"/>
      <c r="D4364" s="812"/>
      <c r="E4364" s="812"/>
      <c r="F4364" s="812"/>
      <c r="G4364" s="812"/>
      <c r="H4364" s="812"/>
    </row>
    <row r="4365" spans="1:8">
      <c r="A4365" s="812"/>
      <c r="B4365" s="812"/>
      <c r="C4365" s="812"/>
      <c r="D4365" s="812"/>
      <c r="E4365" s="812"/>
      <c r="F4365" s="812"/>
      <c r="G4365" s="812"/>
      <c r="H4365" s="812"/>
    </row>
    <row r="4366" spans="1:8">
      <c r="A4366" s="812"/>
      <c r="B4366" s="812"/>
      <c r="C4366" s="812"/>
      <c r="D4366" s="812"/>
      <c r="E4366" s="812"/>
      <c r="F4366" s="812"/>
      <c r="G4366" s="812"/>
      <c r="H4366" s="812"/>
    </row>
    <row r="4367" spans="1:8">
      <c r="A4367" s="812"/>
      <c r="B4367" s="812"/>
      <c r="C4367" s="812"/>
      <c r="D4367" s="812"/>
      <c r="E4367" s="812"/>
      <c r="F4367" s="812"/>
      <c r="G4367" s="812"/>
      <c r="H4367" s="812"/>
    </row>
    <row r="4368" spans="1:8">
      <c r="A4368" s="812"/>
      <c r="B4368" s="812"/>
      <c r="C4368" s="812"/>
      <c r="D4368" s="812"/>
      <c r="E4368" s="812"/>
      <c r="F4368" s="812"/>
      <c r="G4368" s="812"/>
      <c r="H4368" s="812"/>
    </row>
    <row r="4369" spans="1:8">
      <c r="A4369" s="812"/>
      <c r="B4369" s="812"/>
      <c r="C4369" s="812"/>
      <c r="D4369" s="812"/>
      <c r="E4369" s="812"/>
      <c r="F4369" s="812"/>
      <c r="G4369" s="812"/>
      <c r="H4369" s="812"/>
    </row>
    <row r="4370" spans="1:8">
      <c r="A4370" s="812"/>
      <c r="B4370" s="812"/>
      <c r="C4370" s="812"/>
      <c r="D4370" s="812"/>
      <c r="E4370" s="812"/>
      <c r="F4370" s="812"/>
      <c r="G4370" s="812"/>
      <c r="H4370" s="812"/>
    </row>
    <row r="4371" spans="1:8">
      <c r="A4371" s="812"/>
      <c r="B4371" s="812"/>
      <c r="C4371" s="812"/>
      <c r="D4371" s="812"/>
      <c r="E4371" s="812"/>
      <c r="F4371" s="812"/>
      <c r="G4371" s="812"/>
      <c r="H4371" s="812"/>
    </row>
    <row r="4372" spans="1:8">
      <c r="A4372" s="812"/>
      <c r="B4372" s="812"/>
      <c r="C4372" s="812"/>
      <c r="D4372" s="812"/>
      <c r="E4372" s="812"/>
      <c r="F4372" s="812"/>
      <c r="G4372" s="812"/>
      <c r="H4372" s="812"/>
    </row>
    <row r="4373" spans="1:8">
      <c r="A4373" s="812"/>
      <c r="B4373" s="812"/>
      <c r="C4373" s="812"/>
      <c r="D4373" s="812"/>
      <c r="E4373" s="812"/>
      <c r="F4373" s="812"/>
      <c r="G4373" s="812"/>
      <c r="H4373" s="812"/>
    </row>
    <row r="4374" spans="1:8">
      <c r="A4374" s="812"/>
      <c r="B4374" s="812"/>
      <c r="C4374" s="812"/>
      <c r="D4374" s="812"/>
      <c r="E4374" s="812"/>
      <c r="F4374" s="812"/>
      <c r="G4374" s="812"/>
      <c r="H4374" s="812"/>
    </row>
    <row r="4375" spans="1:8">
      <c r="A4375" s="812"/>
      <c r="B4375" s="812"/>
      <c r="C4375" s="812"/>
      <c r="D4375" s="812"/>
      <c r="E4375" s="812"/>
      <c r="F4375" s="812"/>
      <c r="G4375" s="812"/>
      <c r="H4375" s="812"/>
    </row>
    <row r="4376" spans="1:8">
      <c r="A4376" s="812"/>
      <c r="B4376" s="812"/>
      <c r="C4376" s="812"/>
      <c r="D4376" s="812"/>
      <c r="E4376" s="812"/>
      <c r="F4376" s="812"/>
      <c r="G4376" s="812"/>
      <c r="H4376" s="812"/>
    </row>
    <row r="4377" spans="1:8">
      <c r="A4377" s="812"/>
      <c r="B4377" s="812"/>
      <c r="C4377" s="812"/>
      <c r="D4377" s="812"/>
      <c r="E4377" s="812"/>
      <c r="F4377" s="812"/>
      <c r="G4377" s="812"/>
      <c r="H4377" s="812"/>
    </row>
    <row r="4378" spans="1:8">
      <c r="A4378" s="812"/>
      <c r="B4378" s="812"/>
      <c r="C4378" s="812"/>
      <c r="D4378" s="812"/>
      <c r="E4378" s="812"/>
      <c r="F4378" s="812"/>
      <c r="G4378" s="812"/>
      <c r="H4378" s="812"/>
    </row>
    <row r="4379" spans="1:8">
      <c r="A4379" s="812"/>
      <c r="B4379" s="812"/>
      <c r="C4379" s="812"/>
      <c r="D4379" s="812"/>
      <c r="E4379" s="812"/>
      <c r="F4379" s="812"/>
      <c r="G4379" s="812"/>
      <c r="H4379" s="812"/>
    </row>
    <row r="4380" spans="1:8">
      <c r="A4380" s="812"/>
      <c r="B4380" s="812"/>
      <c r="C4380" s="812"/>
      <c r="D4380" s="812"/>
      <c r="E4380" s="812"/>
      <c r="F4380" s="812"/>
      <c r="G4380" s="812"/>
      <c r="H4380" s="812"/>
    </row>
    <row r="4381" spans="1:8">
      <c r="A4381" s="812"/>
      <c r="B4381" s="812"/>
      <c r="C4381" s="812"/>
      <c r="D4381" s="812"/>
      <c r="E4381" s="812"/>
      <c r="F4381" s="812"/>
      <c r="G4381" s="812"/>
      <c r="H4381" s="812"/>
    </row>
    <row r="4382" spans="1:8">
      <c r="A4382" s="812"/>
      <c r="B4382" s="812"/>
      <c r="C4382" s="812"/>
      <c r="D4382" s="812"/>
      <c r="E4382" s="812"/>
      <c r="F4382" s="812"/>
      <c r="G4382" s="812"/>
      <c r="H4382" s="812"/>
    </row>
    <row r="4383" spans="1:8">
      <c r="A4383" s="812"/>
      <c r="B4383" s="812"/>
      <c r="C4383" s="812"/>
      <c r="D4383" s="812"/>
      <c r="E4383" s="812"/>
      <c r="F4383" s="812"/>
      <c r="G4383" s="812"/>
      <c r="H4383" s="812"/>
    </row>
    <row r="4384" spans="1:8">
      <c r="A4384" s="812"/>
      <c r="B4384" s="812"/>
      <c r="C4384" s="812"/>
      <c r="D4384" s="812"/>
      <c r="E4384" s="812"/>
      <c r="F4384" s="812"/>
      <c r="G4384" s="812"/>
      <c r="H4384" s="812"/>
    </row>
    <row r="4385" spans="1:8">
      <c r="A4385" s="812"/>
      <c r="B4385" s="812"/>
      <c r="C4385" s="812"/>
      <c r="D4385" s="812"/>
      <c r="E4385" s="812"/>
      <c r="F4385" s="812"/>
      <c r="G4385" s="812"/>
      <c r="H4385" s="812"/>
    </row>
    <row r="4386" spans="1:8">
      <c r="A4386" s="812"/>
      <c r="B4386" s="812"/>
      <c r="C4386" s="812"/>
      <c r="D4386" s="812"/>
      <c r="E4386" s="812"/>
      <c r="F4386" s="812"/>
      <c r="G4386" s="812"/>
      <c r="H4386" s="812"/>
    </row>
    <row r="4387" spans="1:8">
      <c r="A4387" s="812"/>
      <c r="B4387" s="812"/>
      <c r="C4387" s="812"/>
      <c r="D4387" s="812"/>
      <c r="E4387" s="812"/>
      <c r="F4387" s="812"/>
      <c r="G4387" s="812"/>
      <c r="H4387" s="812"/>
    </row>
    <row r="4388" spans="1:8">
      <c r="A4388" s="812"/>
      <c r="B4388" s="812"/>
      <c r="C4388" s="812"/>
      <c r="D4388" s="812"/>
      <c r="E4388" s="812"/>
      <c r="F4388" s="812"/>
      <c r="G4388" s="812"/>
      <c r="H4388" s="812"/>
    </row>
    <row r="4389" spans="1:8">
      <c r="A4389" s="812"/>
      <c r="B4389" s="812"/>
      <c r="C4389" s="812"/>
      <c r="D4389" s="812"/>
      <c r="E4389" s="812"/>
      <c r="F4389" s="812"/>
      <c r="G4389" s="812"/>
      <c r="H4389" s="812"/>
    </row>
    <row r="4390" spans="1:8">
      <c r="A4390" s="812"/>
      <c r="B4390" s="812"/>
      <c r="C4390" s="812"/>
      <c r="D4390" s="812"/>
      <c r="E4390" s="812"/>
      <c r="F4390" s="812"/>
      <c r="G4390" s="812"/>
      <c r="H4390" s="812"/>
    </row>
    <row r="4391" spans="1:8">
      <c r="A4391" s="812"/>
      <c r="B4391" s="812"/>
      <c r="C4391" s="812"/>
      <c r="D4391" s="812"/>
      <c r="E4391" s="812"/>
      <c r="F4391" s="812"/>
      <c r="G4391" s="812"/>
      <c r="H4391" s="812"/>
    </row>
    <row r="4392" spans="1:8">
      <c r="A4392" s="812"/>
      <c r="B4392" s="812"/>
      <c r="C4392" s="812"/>
      <c r="D4392" s="812"/>
      <c r="E4392" s="812"/>
      <c r="F4392" s="812"/>
      <c r="G4392" s="812"/>
      <c r="H4392" s="812"/>
    </row>
    <row r="4393" spans="1:8">
      <c r="A4393" s="812"/>
      <c r="B4393" s="812"/>
      <c r="C4393" s="812"/>
      <c r="D4393" s="812"/>
      <c r="E4393" s="812"/>
      <c r="F4393" s="812"/>
      <c r="G4393" s="812"/>
      <c r="H4393" s="812"/>
    </row>
    <row r="4394" spans="1:8">
      <c r="A4394" s="812"/>
      <c r="B4394" s="812"/>
      <c r="C4394" s="812"/>
      <c r="D4394" s="812"/>
      <c r="E4394" s="812"/>
      <c r="F4394" s="812"/>
      <c r="G4394" s="812"/>
      <c r="H4394" s="812"/>
    </row>
    <row r="4395" spans="1:8">
      <c r="A4395" s="812"/>
      <c r="B4395" s="812"/>
      <c r="C4395" s="812"/>
      <c r="D4395" s="812"/>
      <c r="E4395" s="812"/>
      <c r="F4395" s="812"/>
      <c r="G4395" s="812"/>
      <c r="H4395" s="812"/>
    </row>
    <row r="4396" spans="1:8">
      <c r="A4396" s="812"/>
      <c r="B4396" s="812"/>
      <c r="C4396" s="812"/>
      <c r="D4396" s="812"/>
      <c r="E4396" s="812"/>
      <c r="F4396" s="812"/>
      <c r="G4396" s="812"/>
      <c r="H4396" s="812"/>
    </row>
    <row r="4397" spans="1:8">
      <c r="A4397" s="812"/>
      <c r="B4397" s="812"/>
      <c r="C4397" s="812"/>
      <c r="D4397" s="812"/>
      <c r="E4397" s="812"/>
      <c r="F4397" s="812"/>
      <c r="G4397" s="812"/>
      <c r="H4397" s="812"/>
    </row>
    <row r="4398" spans="1:8">
      <c r="A4398" s="812"/>
      <c r="B4398" s="812"/>
      <c r="C4398" s="812"/>
      <c r="D4398" s="812"/>
      <c r="E4398" s="812"/>
      <c r="F4398" s="812"/>
      <c r="G4398" s="812"/>
      <c r="H4398" s="812"/>
    </row>
    <row r="4399" spans="1:8">
      <c r="A4399" s="812"/>
      <c r="B4399" s="812"/>
      <c r="C4399" s="812"/>
      <c r="D4399" s="812"/>
      <c r="E4399" s="812"/>
      <c r="F4399" s="812"/>
      <c r="G4399" s="812"/>
      <c r="H4399" s="812"/>
    </row>
    <row r="4400" spans="1:8">
      <c r="A4400" s="812"/>
      <c r="B4400" s="812"/>
      <c r="C4400" s="812"/>
      <c r="D4400" s="812"/>
      <c r="E4400" s="812"/>
      <c r="F4400" s="812"/>
      <c r="G4400" s="812"/>
      <c r="H4400" s="812"/>
    </row>
    <row r="4401" spans="1:8">
      <c r="A4401" s="812"/>
      <c r="B4401" s="812"/>
      <c r="C4401" s="812"/>
      <c r="D4401" s="812"/>
      <c r="E4401" s="812"/>
      <c r="F4401" s="812"/>
      <c r="G4401" s="812"/>
      <c r="H4401" s="812"/>
    </row>
    <row r="4402" spans="1:8">
      <c r="A4402" s="812"/>
      <c r="B4402" s="812"/>
      <c r="C4402" s="812"/>
      <c r="D4402" s="812"/>
      <c r="E4402" s="812"/>
      <c r="F4402" s="812"/>
      <c r="G4402" s="812"/>
      <c r="H4402" s="812"/>
    </row>
    <row r="4403" spans="1:8">
      <c r="A4403" s="812"/>
      <c r="B4403" s="812"/>
      <c r="C4403" s="812"/>
      <c r="D4403" s="812"/>
      <c r="E4403" s="812"/>
      <c r="F4403" s="812"/>
      <c r="G4403" s="812"/>
      <c r="H4403" s="812"/>
    </row>
    <row r="4404" spans="1:8">
      <c r="A4404" s="812"/>
      <c r="B4404" s="812"/>
      <c r="C4404" s="812"/>
      <c r="D4404" s="812"/>
      <c r="E4404" s="812"/>
      <c r="F4404" s="812"/>
      <c r="G4404" s="812"/>
      <c r="H4404" s="812"/>
    </row>
    <row r="4405" spans="1:8">
      <c r="A4405" s="812"/>
      <c r="B4405" s="812"/>
      <c r="C4405" s="812"/>
      <c r="D4405" s="812"/>
      <c r="E4405" s="812"/>
      <c r="F4405" s="812"/>
      <c r="G4405" s="812"/>
      <c r="H4405" s="812"/>
    </row>
    <row r="4406" spans="1:8">
      <c r="A4406" s="812"/>
      <c r="B4406" s="812"/>
      <c r="C4406" s="812"/>
      <c r="D4406" s="812"/>
      <c r="E4406" s="812"/>
      <c r="F4406" s="812"/>
      <c r="G4406" s="812"/>
      <c r="H4406" s="812"/>
    </row>
    <row r="4407" spans="1:8">
      <c r="A4407" s="812"/>
      <c r="B4407" s="812"/>
      <c r="C4407" s="812"/>
      <c r="D4407" s="812"/>
      <c r="E4407" s="812"/>
      <c r="F4407" s="812"/>
      <c r="G4407" s="812"/>
      <c r="H4407" s="812"/>
    </row>
    <row r="4408" spans="1:8">
      <c r="A4408" s="812"/>
      <c r="B4408" s="812"/>
      <c r="C4408" s="812"/>
      <c r="D4408" s="812"/>
      <c r="E4408" s="812"/>
      <c r="F4408" s="812"/>
      <c r="G4408" s="812"/>
      <c r="H4408" s="812"/>
    </row>
    <row r="4409" spans="1:8">
      <c r="A4409" s="812"/>
      <c r="B4409" s="812"/>
      <c r="C4409" s="812"/>
      <c r="D4409" s="812"/>
      <c r="E4409" s="812"/>
      <c r="F4409" s="812"/>
      <c r="G4409" s="812"/>
      <c r="H4409" s="812"/>
    </row>
    <row r="4410" spans="1:8">
      <c r="A4410" s="812"/>
      <c r="B4410" s="812"/>
      <c r="C4410" s="812"/>
      <c r="D4410" s="812"/>
      <c r="E4410" s="812"/>
      <c r="F4410" s="812"/>
      <c r="G4410" s="812"/>
      <c r="H4410" s="812"/>
    </row>
    <row r="4411" spans="1:8">
      <c r="A4411" s="812"/>
      <c r="B4411" s="812"/>
      <c r="C4411" s="812"/>
      <c r="D4411" s="812"/>
      <c r="E4411" s="812"/>
      <c r="F4411" s="812"/>
      <c r="G4411" s="812"/>
      <c r="H4411" s="812"/>
    </row>
    <row r="4412" spans="1:8">
      <c r="A4412" s="812"/>
      <c r="B4412" s="812"/>
      <c r="C4412" s="812"/>
      <c r="D4412" s="812"/>
      <c r="E4412" s="812"/>
      <c r="F4412" s="812"/>
      <c r="G4412" s="812"/>
      <c r="H4412" s="812"/>
    </row>
    <row r="4413" spans="1:8">
      <c r="A4413" s="812"/>
      <c r="B4413" s="812"/>
      <c r="C4413" s="812"/>
      <c r="D4413" s="812"/>
      <c r="E4413" s="812"/>
      <c r="F4413" s="812"/>
      <c r="G4413" s="812"/>
      <c r="H4413" s="812"/>
    </row>
    <row r="4414" spans="1:8">
      <c r="A4414" s="812"/>
      <c r="B4414" s="812"/>
      <c r="C4414" s="812"/>
      <c r="D4414" s="812"/>
      <c r="E4414" s="812"/>
      <c r="F4414" s="812"/>
      <c r="G4414" s="812"/>
      <c r="H4414" s="812"/>
    </row>
    <row r="4415" spans="1:8">
      <c r="A4415" s="812"/>
      <c r="B4415" s="812"/>
      <c r="C4415" s="812"/>
      <c r="D4415" s="812"/>
      <c r="E4415" s="812"/>
      <c r="F4415" s="812"/>
      <c r="G4415" s="812"/>
      <c r="H4415" s="812"/>
    </row>
    <row r="4416" spans="1:8">
      <c r="A4416" s="812"/>
      <c r="B4416" s="812"/>
      <c r="C4416" s="812"/>
      <c r="D4416" s="812"/>
      <c r="E4416" s="812"/>
      <c r="F4416" s="812"/>
      <c r="G4416" s="812"/>
      <c r="H4416" s="812"/>
    </row>
    <row r="4417" spans="1:8">
      <c r="A4417" s="812"/>
      <c r="B4417" s="812"/>
      <c r="C4417" s="812"/>
      <c r="D4417" s="812"/>
      <c r="E4417" s="812"/>
      <c r="F4417" s="812"/>
      <c r="G4417" s="812"/>
      <c r="H4417" s="812"/>
    </row>
    <row r="4418" spans="1:8">
      <c r="A4418" s="812"/>
      <c r="B4418" s="812"/>
      <c r="C4418" s="812"/>
      <c r="D4418" s="812"/>
      <c r="E4418" s="812"/>
      <c r="F4418" s="812"/>
      <c r="G4418" s="812"/>
      <c r="H4418" s="812"/>
    </row>
    <row r="4419" spans="1:8">
      <c r="A4419" s="812"/>
      <c r="B4419" s="812"/>
      <c r="C4419" s="812"/>
      <c r="D4419" s="812"/>
      <c r="E4419" s="812"/>
      <c r="F4419" s="812"/>
      <c r="G4419" s="812"/>
      <c r="H4419" s="812"/>
    </row>
    <row r="4420" spans="1:8">
      <c r="A4420" s="812"/>
      <c r="B4420" s="812"/>
      <c r="C4420" s="812"/>
      <c r="D4420" s="812"/>
      <c r="E4420" s="812"/>
      <c r="F4420" s="812"/>
      <c r="G4420" s="812"/>
      <c r="H4420" s="812"/>
    </row>
    <row r="4421" spans="1:8">
      <c r="A4421" s="812"/>
      <c r="B4421" s="812"/>
      <c r="C4421" s="812"/>
      <c r="D4421" s="812"/>
      <c r="E4421" s="812"/>
      <c r="F4421" s="812"/>
      <c r="G4421" s="812"/>
      <c r="H4421" s="812"/>
    </row>
    <row r="4422" spans="1:8">
      <c r="A4422" s="812"/>
      <c r="B4422" s="812"/>
      <c r="C4422" s="812"/>
      <c r="D4422" s="812"/>
      <c r="E4422" s="812"/>
      <c r="F4422" s="812"/>
      <c r="G4422" s="812"/>
      <c r="H4422" s="812"/>
    </row>
    <row r="4423" spans="1:8">
      <c r="A4423" s="812"/>
      <c r="B4423" s="812"/>
      <c r="C4423" s="812"/>
      <c r="D4423" s="812"/>
      <c r="E4423" s="812"/>
      <c r="F4423" s="812"/>
      <c r="G4423" s="812"/>
      <c r="H4423" s="812"/>
    </row>
    <row r="4424" spans="1:8">
      <c r="A4424" s="812"/>
      <c r="B4424" s="812"/>
      <c r="C4424" s="812"/>
      <c r="D4424" s="812"/>
      <c r="E4424" s="812"/>
      <c r="F4424" s="812"/>
      <c r="G4424" s="812"/>
      <c r="H4424" s="812"/>
    </row>
    <row r="4425" spans="1:8">
      <c r="A4425" s="812"/>
      <c r="B4425" s="812"/>
      <c r="C4425" s="812"/>
      <c r="D4425" s="812"/>
      <c r="E4425" s="812"/>
      <c r="F4425" s="812"/>
      <c r="G4425" s="812"/>
      <c r="H4425" s="812"/>
    </row>
    <row r="4426" spans="1:8">
      <c r="A4426" s="812"/>
      <c r="B4426" s="812"/>
      <c r="C4426" s="812"/>
      <c r="D4426" s="812"/>
      <c r="E4426" s="812"/>
      <c r="F4426" s="812"/>
      <c r="G4426" s="812"/>
      <c r="H4426" s="812"/>
    </row>
    <row r="4427" spans="1:8">
      <c r="A4427" s="812"/>
      <c r="B4427" s="812"/>
      <c r="C4427" s="812"/>
      <c r="D4427" s="812"/>
      <c r="E4427" s="812"/>
      <c r="F4427" s="812"/>
      <c r="G4427" s="812"/>
      <c r="H4427" s="812"/>
    </row>
    <row r="4428" spans="1:8">
      <c r="A4428" s="812"/>
      <c r="B4428" s="812"/>
      <c r="C4428" s="812"/>
      <c r="D4428" s="812"/>
      <c r="E4428" s="812"/>
      <c r="F4428" s="812"/>
      <c r="G4428" s="812"/>
      <c r="H4428" s="812"/>
    </row>
    <row r="4429" spans="1:8">
      <c r="A4429" s="812"/>
      <c r="B4429" s="812"/>
      <c r="C4429" s="812"/>
      <c r="D4429" s="812"/>
      <c r="E4429" s="812"/>
      <c r="F4429" s="812"/>
      <c r="G4429" s="812"/>
      <c r="H4429" s="812"/>
    </row>
    <row r="4430" spans="1:8">
      <c r="A4430" s="812"/>
      <c r="B4430" s="812"/>
      <c r="C4430" s="812"/>
      <c r="D4430" s="812"/>
      <c r="E4430" s="812"/>
      <c r="F4430" s="812"/>
      <c r="G4430" s="812"/>
      <c r="H4430" s="812"/>
    </row>
    <row r="4431" spans="1:8">
      <c r="A4431" s="812"/>
      <c r="B4431" s="812"/>
      <c r="C4431" s="812"/>
      <c r="D4431" s="812"/>
      <c r="E4431" s="812"/>
      <c r="F4431" s="812"/>
      <c r="G4431" s="812"/>
      <c r="H4431" s="812"/>
    </row>
    <row r="4432" spans="1:8">
      <c r="A4432" s="812"/>
      <c r="B4432" s="812"/>
      <c r="C4432" s="812"/>
      <c r="D4432" s="812"/>
      <c r="E4432" s="812"/>
      <c r="F4432" s="812"/>
      <c r="G4432" s="812"/>
      <c r="H4432" s="812"/>
    </row>
    <row r="4433" spans="1:8">
      <c r="A4433" s="812"/>
      <c r="B4433" s="812"/>
      <c r="C4433" s="812"/>
      <c r="D4433" s="812"/>
      <c r="E4433" s="812"/>
      <c r="F4433" s="812"/>
      <c r="G4433" s="812"/>
      <c r="H4433" s="812"/>
    </row>
    <row r="4434" spans="1:8">
      <c r="A4434" s="812"/>
      <c r="B4434" s="812"/>
      <c r="C4434" s="812"/>
      <c r="D4434" s="812"/>
      <c r="E4434" s="812"/>
      <c r="F4434" s="812"/>
      <c r="G4434" s="812"/>
      <c r="H4434" s="812"/>
    </row>
    <row r="4435" spans="1:8">
      <c r="A4435" s="812"/>
      <c r="B4435" s="812"/>
      <c r="C4435" s="812"/>
      <c r="D4435" s="812"/>
      <c r="E4435" s="812"/>
      <c r="F4435" s="812"/>
      <c r="G4435" s="812"/>
      <c r="H4435" s="812"/>
    </row>
    <row r="4436" spans="1:8">
      <c r="A4436" s="812"/>
      <c r="B4436" s="812"/>
      <c r="C4436" s="812"/>
      <c r="D4436" s="812"/>
      <c r="E4436" s="812"/>
      <c r="F4436" s="812"/>
      <c r="G4436" s="812"/>
      <c r="H4436" s="812"/>
    </row>
    <row r="4437" spans="1:8">
      <c r="A4437" s="812"/>
      <c r="B4437" s="812"/>
      <c r="C4437" s="812"/>
      <c r="D4437" s="812"/>
      <c r="E4437" s="812"/>
      <c r="F4437" s="812"/>
      <c r="G4437" s="812"/>
      <c r="H4437" s="812"/>
    </row>
    <row r="4438" spans="1:8">
      <c r="A4438" s="812"/>
      <c r="B4438" s="812"/>
      <c r="C4438" s="812"/>
      <c r="D4438" s="812"/>
      <c r="E4438" s="812"/>
      <c r="F4438" s="812"/>
      <c r="G4438" s="812"/>
      <c r="H4438" s="812"/>
    </row>
    <row r="4439" spans="1:8">
      <c r="A4439" s="812"/>
      <c r="B4439" s="812"/>
      <c r="C4439" s="812"/>
      <c r="D4439" s="812"/>
      <c r="E4439" s="812"/>
      <c r="F4439" s="812"/>
      <c r="G4439" s="812"/>
      <c r="H4439" s="812"/>
    </row>
    <row r="4440" spans="1:8">
      <c r="A4440" s="812"/>
      <c r="B4440" s="812"/>
      <c r="C4440" s="812"/>
      <c r="D4440" s="812"/>
      <c r="E4440" s="812"/>
      <c r="F4440" s="812"/>
      <c r="G4440" s="812"/>
      <c r="H4440" s="812"/>
    </row>
    <row r="4441" spans="1:8">
      <c r="A4441" s="812"/>
      <c r="B4441" s="812"/>
      <c r="C4441" s="812"/>
      <c r="D4441" s="812"/>
      <c r="E4441" s="812"/>
      <c r="F4441" s="812"/>
      <c r="G4441" s="812"/>
      <c r="H4441" s="812"/>
    </row>
    <row r="4442" spans="1:8">
      <c r="A4442" s="812"/>
      <c r="B4442" s="812"/>
      <c r="C4442" s="812"/>
      <c r="D4442" s="812"/>
      <c r="E4442" s="812"/>
      <c r="F4442" s="812"/>
      <c r="G4442" s="812"/>
      <c r="H4442" s="812"/>
    </row>
    <row r="4443" spans="1:8">
      <c r="A4443" s="812"/>
      <c r="B4443" s="812"/>
      <c r="C4443" s="812"/>
      <c r="D4443" s="812"/>
      <c r="E4443" s="812"/>
      <c r="F4443" s="812"/>
      <c r="G4443" s="812"/>
      <c r="H4443" s="812"/>
    </row>
    <row r="4444" spans="1:8">
      <c r="A4444" s="812"/>
      <c r="B4444" s="812"/>
      <c r="C4444" s="812"/>
      <c r="D4444" s="812"/>
      <c r="E4444" s="812"/>
      <c r="F4444" s="812"/>
      <c r="G4444" s="812"/>
      <c r="H4444" s="812"/>
    </row>
    <row r="4445" spans="1:8">
      <c r="A4445" s="812"/>
    </row>
  </sheetData>
  <mergeCells count="7">
    <mergeCell ref="C1:H3"/>
    <mergeCell ref="A7:B7"/>
    <mergeCell ref="A4:C4"/>
    <mergeCell ref="A5:C5"/>
    <mergeCell ref="D5:G5"/>
    <mergeCell ref="H5:H6"/>
    <mergeCell ref="D4:H4"/>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7" orientation="portrait" r:id="rId1"/>
  <headerFooter>
    <oddFooter>&amp;L&amp;"Calibri,Regular"&amp;K184782&amp;F&amp;C&amp;"Calibri,Regular"&amp;K184782&amp;A&amp;R&amp;"Calibri,Regular"&amp;K184782&amp;P</oddFooter>
  </headerFooter>
  <colBreaks count="1" manualBreakCount="1">
    <brk id="9"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9">
    <pageSetUpPr fitToPage="1"/>
  </sheetPr>
  <dimension ref="A1:J324"/>
  <sheetViews>
    <sheetView showGridLines="0" showOutlineSymbols="0" zoomScaleNormal="100" workbookViewId="0">
      <pane ySplit="2595" topLeftCell="A310" activePane="bottomLeft"/>
      <selection activeCell="G299" sqref="G299"/>
      <selection pane="bottomLeft" activeCell="H323" sqref="H323"/>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10" ht="21" customHeight="1">
      <c r="B1" s="708"/>
      <c r="C1" s="1417" t="s">
        <v>355</v>
      </c>
      <c r="D1" s="1417"/>
      <c r="E1" s="1417"/>
      <c r="F1" s="1417"/>
      <c r="G1" s="1417"/>
      <c r="H1" s="1417"/>
    </row>
    <row r="2" spans="1:10" ht="15" customHeight="1">
      <c r="A2" s="708"/>
      <c r="B2" s="708"/>
      <c r="C2" s="1417"/>
      <c r="D2" s="1417"/>
      <c r="E2" s="1417"/>
      <c r="F2" s="1417"/>
      <c r="G2" s="1417"/>
      <c r="H2" s="1417"/>
    </row>
    <row r="3" spans="1:10" ht="15" customHeight="1" thickBot="1">
      <c r="A3" s="708"/>
      <c r="B3" s="708"/>
      <c r="C3" s="1418"/>
      <c r="D3" s="1418"/>
      <c r="E3" s="1418"/>
      <c r="F3" s="1418"/>
      <c r="G3" s="1418"/>
      <c r="H3" s="1418"/>
    </row>
    <row r="4" spans="1:10" ht="17.25" customHeight="1" thickBot="1">
      <c r="A4" s="1472" t="s">
        <v>367</v>
      </c>
      <c r="B4" s="1466"/>
      <c r="C4" s="1467"/>
      <c r="D4" s="1432" t="s">
        <v>365</v>
      </c>
      <c r="E4" s="1433"/>
      <c r="F4" s="1433"/>
      <c r="G4" s="1433"/>
      <c r="H4" s="1434"/>
    </row>
    <row r="5" spans="1:10" ht="15" customHeight="1" thickBot="1">
      <c r="A5" s="1421" t="s">
        <v>274</v>
      </c>
      <c r="B5" s="1422"/>
      <c r="C5" s="1423"/>
      <c r="D5" s="1424" t="s">
        <v>275</v>
      </c>
      <c r="E5" s="1425"/>
      <c r="F5" s="1425"/>
      <c r="G5" s="1426"/>
      <c r="H5" s="1427" t="s">
        <v>186</v>
      </c>
    </row>
    <row r="6" spans="1:10" ht="15.75" customHeight="1" thickBot="1">
      <c r="A6" s="771" t="s">
        <v>341</v>
      </c>
      <c r="B6" s="772" t="s">
        <v>76</v>
      </c>
      <c r="C6" s="772" t="s">
        <v>68</v>
      </c>
      <c r="D6" s="772" t="s">
        <v>342</v>
      </c>
      <c r="E6" s="772" t="s">
        <v>343</v>
      </c>
      <c r="F6" s="772" t="s">
        <v>344</v>
      </c>
      <c r="G6" s="772" t="s">
        <v>345</v>
      </c>
      <c r="H6" s="1428"/>
    </row>
    <row r="7" spans="1:10" ht="15.75" customHeight="1" thickBot="1">
      <c r="A7" s="1419" t="s">
        <v>347</v>
      </c>
      <c r="B7" s="1420"/>
      <c r="C7" s="952"/>
      <c r="D7" s="952"/>
      <c r="E7" s="952"/>
      <c r="F7" s="952"/>
      <c r="G7" s="952"/>
      <c r="H7" s="953" t="s">
        <v>360</v>
      </c>
    </row>
    <row r="8" spans="1:10" ht="16.5" hidden="1" thickBot="1">
      <c r="A8" s="972" t="s">
        <v>637</v>
      </c>
      <c r="B8" s="997">
        <f>geral!C389</f>
        <v>5413.47</v>
      </c>
      <c r="C8" s="997">
        <v>100</v>
      </c>
      <c r="D8" s="997"/>
      <c r="E8" s="997"/>
      <c r="F8" s="997"/>
      <c r="G8" s="1002"/>
      <c r="H8" s="1001">
        <f>$B$322/B8</f>
        <v>4.6972805797390578</v>
      </c>
      <c r="I8" s="745"/>
      <c r="J8" s="745"/>
    </row>
    <row r="9" spans="1:10" ht="16.5" hidden="1" thickBot="1">
      <c r="A9" s="973" t="s">
        <v>638</v>
      </c>
      <c r="B9" s="748">
        <f>geral!C390</f>
        <v>5695</v>
      </c>
      <c r="C9" s="748">
        <f>100*B9/$B$8</f>
        <v>105.20054604532767</v>
      </c>
      <c r="D9" s="748">
        <f t="shared" ref="D9:D40" si="0">100*((C9/C8)-1)</f>
        <v>5.2005460453276697</v>
      </c>
      <c r="E9" s="748"/>
      <c r="F9" s="748"/>
      <c r="G9" s="839"/>
      <c r="H9" s="842">
        <f>$B$322/B9</f>
        <v>4.4650724319578572</v>
      </c>
      <c r="I9" s="745"/>
      <c r="J9" s="745"/>
    </row>
    <row r="10" spans="1:10" ht="16.5" hidden="1" thickBot="1">
      <c r="A10" s="973" t="s">
        <v>639</v>
      </c>
      <c r="B10" s="748">
        <f>geral!C391</f>
        <v>5207.33</v>
      </c>
      <c r="C10" s="748">
        <f t="shared" ref="C10:C73" si="1">100*B10/$B$8</f>
        <v>96.192091209519958</v>
      </c>
      <c r="D10" s="748">
        <f t="shared" si="0"/>
        <v>-8.563125548726946</v>
      </c>
      <c r="E10" s="748"/>
      <c r="F10" s="748"/>
      <c r="G10" s="839"/>
      <c r="H10" s="842">
        <f>$B$322/B10</f>
        <v>4.883229505331907</v>
      </c>
      <c r="I10" s="745"/>
      <c r="J10" s="745"/>
    </row>
    <row r="11" spans="1:10" ht="16.5" hidden="1" thickBot="1">
      <c r="A11" s="973" t="s">
        <v>640</v>
      </c>
      <c r="B11" s="748">
        <f>geral!C392</f>
        <v>5669.5</v>
      </c>
      <c r="C11" s="748">
        <f t="shared" si="1"/>
        <v>104.72949882422918</v>
      </c>
      <c r="D11" s="748">
        <f t="shared" si="0"/>
        <v>8.8753737519995823</v>
      </c>
      <c r="E11" s="748"/>
      <c r="F11" s="748"/>
      <c r="G11" s="839"/>
      <c r="H11" s="842">
        <f>$B$322/B11</f>
        <v>4.4851552165093924</v>
      </c>
      <c r="I11" s="745"/>
      <c r="J11" s="745"/>
    </row>
    <row r="12" spans="1:10" ht="16.5" hidden="1" thickBot="1">
      <c r="A12" s="973" t="s">
        <v>641</v>
      </c>
      <c r="B12" s="748">
        <f>geral!C393</f>
        <v>5706.86</v>
      </c>
      <c r="C12" s="748">
        <f t="shared" si="1"/>
        <v>105.41962918423857</v>
      </c>
      <c r="D12" s="748">
        <f t="shared" si="0"/>
        <v>0.65896463532939542</v>
      </c>
      <c r="E12" s="748"/>
      <c r="F12" s="748"/>
      <c r="G12" s="839"/>
      <c r="H12" s="842">
        <f>$B$322/B12</f>
        <v>4.4557931156537922</v>
      </c>
      <c r="I12" s="745"/>
      <c r="J12" s="745"/>
    </row>
    <row r="13" spans="1:10" ht="16.5" hidden="1" thickBot="1">
      <c r="A13" s="973" t="s">
        <v>642</v>
      </c>
      <c r="B13" s="748">
        <f>geral!C394</f>
        <v>6131.67</v>
      </c>
      <c r="C13" s="748">
        <f t="shared" si="1"/>
        <v>113.26690643893842</v>
      </c>
      <c r="D13" s="748">
        <f t="shared" si="0"/>
        <v>7.4438482808409479</v>
      </c>
      <c r="E13" s="748"/>
      <c r="F13" s="748"/>
      <c r="G13" s="839"/>
      <c r="H13" s="842">
        <f>$B$322/B13</f>
        <v>4.147090026045106</v>
      </c>
      <c r="I13" s="745"/>
      <c r="J13" s="745"/>
    </row>
    <row r="14" spans="1:10" ht="16.5" hidden="1" thickBot="1">
      <c r="A14" s="973" t="s">
        <v>625</v>
      </c>
      <c r="B14" s="748">
        <f>geral!E383</f>
        <v>6242.14</v>
      </c>
      <c r="C14" s="748">
        <f t="shared" si="1"/>
        <v>115.30755689049722</v>
      </c>
      <c r="D14" s="748">
        <f t="shared" si="0"/>
        <v>1.8016298985431334</v>
      </c>
      <c r="E14" s="748">
        <f t="shared" ref="E14:E25" si="2">100*((C14/$C$13)-1)</f>
        <v>1.8016298985431334</v>
      </c>
      <c r="F14" s="748"/>
      <c r="G14" s="839"/>
      <c r="H14" s="842">
        <f>$B$322/B14</f>
        <v>4.0736970814496303</v>
      </c>
      <c r="I14" s="745"/>
      <c r="J14" s="745"/>
    </row>
    <row r="15" spans="1:10" ht="16.5" hidden="1" thickBot="1">
      <c r="A15" s="973" t="s">
        <v>626</v>
      </c>
      <c r="B15" s="748">
        <f>geral!E384</f>
        <v>5869.17</v>
      </c>
      <c r="C15" s="748">
        <f t="shared" si="1"/>
        <v>108.41789092763052</v>
      </c>
      <c r="D15" s="748">
        <f t="shared" si="0"/>
        <v>-5.9750342030137071</v>
      </c>
      <c r="E15" s="748">
        <f t="shared" si="2"/>
        <v>-4.2810523071202367</v>
      </c>
      <c r="F15" s="748"/>
      <c r="G15" s="839"/>
      <c r="H15" s="842">
        <f>$B$322/B15</f>
        <v>4.3325695967232161</v>
      </c>
      <c r="I15" s="745"/>
      <c r="J15" s="745"/>
    </row>
    <row r="16" spans="1:10" ht="16.5" hidden="1" thickBot="1">
      <c r="A16" s="973" t="s">
        <v>627</v>
      </c>
      <c r="B16" s="748">
        <f>geral!E385</f>
        <v>6498</v>
      </c>
      <c r="C16" s="748">
        <f t="shared" si="1"/>
        <v>120.03391539991908</v>
      </c>
      <c r="D16" s="748">
        <f t="shared" si="0"/>
        <v>10.71412141750876</v>
      </c>
      <c r="E16" s="748">
        <f t="shared" si="2"/>
        <v>5.9743919682565982</v>
      </c>
      <c r="F16" s="748"/>
      <c r="G16" s="839"/>
      <c r="H16" s="842">
        <f>$B$322/B16</f>
        <v>3.9132944752231453</v>
      </c>
      <c r="I16" s="745"/>
      <c r="J16" s="745"/>
    </row>
    <row r="17" spans="1:10" ht="16.5" hidden="1" thickBot="1">
      <c r="A17" s="973" t="s">
        <v>628</v>
      </c>
      <c r="B17" s="748">
        <f>geral!E386</f>
        <v>6675</v>
      </c>
      <c r="C17" s="748">
        <f t="shared" si="1"/>
        <v>123.30353728754385</v>
      </c>
      <c r="D17" s="748">
        <f t="shared" si="0"/>
        <v>2.7239150507848642</v>
      </c>
      <c r="E17" s="748">
        <f t="shared" si="2"/>
        <v>8.8610443810577024</v>
      </c>
      <c r="F17" s="748"/>
      <c r="G17" s="839"/>
      <c r="H17" s="842">
        <f>$B$322/B17</f>
        <v>3.8095262172284641</v>
      </c>
      <c r="I17" s="745"/>
      <c r="J17" s="745"/>
    </row>
    <row r="18" spans="1:10" ht="16.5" hidden="1" thickBot="1">
      <c r="A18" s="973" t="s">
        <v>629</v>
      </c>
      <c r="B18" s="748">
        <f>geral!E387</f>
        <v>6400</v>
      </c>
      <c r="C18" s="748">
        <f t="shared" si="1"/>
        <v>118.22361627569747</v>
      </c>
      <c r="D18" s="748">
        <f t="shared" si="0"/>
        <v>-4.1198501872659161</v>
      </c>
      <c r="E18" s="748">
        <f t="shared" si="2"/>
        <v>4.3761324402650459</v>
      </c>
      <c r="F18" s="748"/>
      <c r="G18" s="839"/>
      <c r="H18" s="842">
        <f>$B$322/B18</f>
        <v>3.9732167968749996</v>
      </c>
      <c r="I18" s="745"/>
      <c r="J18" s="745"/>
    </row>
    <row r="19" spans="1:10" ht="16.5" hidden="1" thickBot="1">
      <c r="A19" s="973" t="s">
        <v>630</v>
      </c>
      <c r="B19" s="748">
        <f>geral!E388</f>
        <v>7723.67</v>
      </c>
      <c r="C19" s="748">
        <f t="shared" si="1"/>
        <v>142.67503098751817</v>
      </c>
      <c r="D19" s="748">
        <f t="shared" si="0"/>
        <v>20.682343749999998</v>
      </c>
      <c r="E19" s="748">
        <f t="shared" si="2"/>
        <v>25.963562944515939</v>
      </c>
      <c r="F19" s="748"/>
      <c r="G19" s="839"/>
      <c r="H19" s="842">
        <f>$B$322/B19</f>
        <v>3.2922933657186282</v>
      </c>
      <c r="I19" s="745"/>
      <c r="J19" s="745"/>
    </row>
    <row r="20" spans="1:10" ht="16.5" hidden="1" thickBot="1">
      <c r="A20" s="973" t="s">
        <v>631</v>
      </c>
      <c r="B20" s="748">
        <f>geral!E389</f>
        <v>7857.38</v>
      </c>
      <c r="C20" s="748">
        <f t="shared" si="1"/>
        <v>145.1449809456781</v>
      </c>
      <c r="D20" s="748">
        <f t="shared" si="0"/>
        <v>1.7311718392940101</v>
      </c>
      <c r="E20" s="748">
        <f t="shared" si="2"/>
        <v>28.144208673982796</v>
      </c>
      <c r="F20" s="748">
        <f t="shared" ref="F20:F51" si="3">100*((C20/C8)-1)</f>
        <v>45.144980945678093</v>
      </c>
      <c r="G20" s="839"/>
      <c r="H20" s="842">
        <f>$B$322/B20</f>
        <v>3.2362680053656558</v>
      </c>
      <c r="I20" s="745"/>
      <c r="J20" s="745"/>
    </row>
    <row r="21" spans="1:10" ht="16.5" hidden="1" thickBot="1">
      <c r="A21" s="973" t="s">
        <v>632</v>
      </c>
      <c r="B21" s="748">
        <f>geral!E390</f>
        <v>6861.67</v>
      </c>
      <c r="C21" s="748">
        <f t="shared" si="1"/>
        <v>126.75178767038517</v>
      </c>
      <c r="D21" s="748">
        <f t="shared" si="0"/>
        <v>-12.672290254512319</v>
      </c>
      <c r="E21" s="748">
        <f t="shared" si="2"/>
        <v>11.90540260646773</v>
      </c>
      <c r="F21" s="749">
        <f t="shared" si="3"/>
        <v>20.485864793678665</v>
      </c>
      <c r="G21" s="840"/>
      <c r="H21" s="842">
        <f>$B$322/B21</f>
        <v>3.705889018271062</v>
      </c>
      <c r="I21" s="745"/>
      <c r="J21" s="745"/>
    </row>
    <row r="22" spans="1:10" ht="16.5" hidden="1" thickBot="1">
      <c r="A22" s="973" t="s">
        <v>633</v>
      </c>
      <c r="B22" s="748">
        <f>geral!E391</f>
        <v>7805.62</v>
      </c>
      <c r="C22" s="748">
        <f t="shared" si="1"/>
        <v>144.18884744904838</v>
      </c>
      <c r="D22" s="748">
        <f t="shared" si="0"/>
        <v>13.756855109616172</v>
      </c>
      <c r="E22" s="748">
        <f t="shared" si="2"/>
        <v>27.30006670287213</v>
      </c>
      <c r="F22" s="749">
        <f t="shared" si="3"/>
        <v>49.896780115721469</v>
      </c>
      <c r="G22" s="840"/>
      <c r="H22" s="842">
        <f>$B$322/B22</f>
        <v>3.2577280856613564</v>
      </c>
      <c r="I22" s="745"/>
      <c r="J22" s="745"/>
    </row>
    <row r="23" spans="1:10" ht="16.5" hidden="1" thickBot="1">
      <c r="A23" s="973" t="s">
        <v>634</v>
      </c>
      <c r="B23" s="748">
        <f>geral!E392</f>
        <v>6746</v>
      </c>
      <c r="C23" s="748">
        <f t="shared" si="1"/>
        <v>124.61508053060236</v>
      </c>
      <c r="D23" s="748">
        <f t="shared" si="0"/>
        <v>-13.575090767933872</v>
      </c>
      <c r="E23" s="748">
        <f t="shared" si="2"/>
        <v>10.018967100316868</v>
      </c>
      <c r="F23" s="749">
        <f t="shared" si="3"/>
        <v>18.987565041008914</v>
      </c>
      <c r="G23" s="840"/>
      <c r="H23" s="842">
        <f>$B$322/B23</f>
        <v>3.7694318855618141</v>
      </c>
      <c r="I23" s="745"/>
      <c r="J23" s="745"/>
    </row>
    <row r="24" spans="1:10" ht="16.5" hidden="1" thickBot="1">
      <c r="A24" s="973" t="s">
        <v>635</v>
      </c>
      <c r="B24" s="748">
        <f>geral!E393</f>
        <v>7044.43</v>
      </c>
      <c r="C24" s="748">
        <f t="shared" si="1"/>
        <v>130.12781081265805</v>
      </c>
      <c r="D24" s="748">
        <f t="shared" si="0"/>
        <v>4.4238067002668302</v>
      </c>
      <c r="E24" s="748">
        <f t="shared" si="2"/>
        <v>14.885993538465048</v>
      </c>
      <c r="F24" s="749">
        <f t="shared" si="3"/>
        <v>23.437932593405144</v>
      </c>
      <c r="G24" s="840"/>
      <c r="H24" s="842">
        <f>$B$322/B24</f>
        <v>3.6097437975819187</v>
      </c>
      <c r="I24" s="745"/>
      <c r="J24" s="745"/>
    </row>
    <row r="25" spans="1:10" ht="16.5" hidden="1" thickBot="1">
      <c r="A25" s="973" t="s">
        <v>636</v>
      </c>
      <c r="B25" s="748">
        <f>geral!E394</f>
        <v>6828.33</v>
      </c>
      <c r="C25" s="748">
        <f t="shared" si="1"/>
        <v>126.13591651934895</v>
      </c>
      <c r="D25" s="748">
        <f t="shared" si="0"/>
        <v>-3.0676719053209456</v>
      </c>
      <c r="E25" s="748">
        <f t="shared" si="2"/>
        <v>11.361668191536722</v>
      </c>
      <c r="F25" s="749">
        <f t="shared" si="3"/>
        <v>11.361668191536722</v>
      </c>
      <c r="G25" s="840"/>
      <c r="H25" s="842">
        <f>$B$322/B25</f>
        <v>3.723983389789304</v>
      </c>
      <c r="I25" s="745"/>
      <c r="J25" s="745"/>
    </row>
    <row r="26" spans="1:10" ht="16.5" hidden="1" thickBot="1">
      <c r="A26" s="973" t="s">
        <v>613</v>
      </c>
      <c r="B26" s="748">
        <f>geral!G383</f>
        <v>6308</v>
      </c>
      <c r="C26" s="748">
        <f t="shared" si="1"/>
        <v>116.52415179173431</v>
      </c>
      <c r="D26" s="748">
        <f t="shared" si="0"/>
        <v>-7.6201648133584658</v>
      </c>
      <c r="E26" s="748">
        <f t="shared" ref="E26:E37" si="4">100*((C26/$C$25)-1)</f>
        <v>-7.6201648133584658</v>
      </c>
      <c r="F26" s="749">
        <f t="shared" si="3"/>
        <v>1.0550868772568389</v>
      </c>
      <c r="G26" s="840"/>
      <c r="H26" s="842">
        <f>$B$322/B26</f>
        <v>4.031164790741915</v>
      </c>
      <c r="I26" s="745"/>
      <c r="J26" s="745"/>
    </row>
    <row r="27" spans="1:10" ht="16.5" hidden="1" thickBot="1">
      <c r="A27" s="973" t="s">
        <v>614</v>
      </c>
      <c r="B27" s="748">
        <f>geral!G384</f>
        <v>6483</v>
      </c>
      <c r="C27" s="748">
        <f t="shared" si="1"/>
        <v>119.75682879927292</v>
      </c>
      <c r="D27" s="748">
        <f t="shared" si="0"/>
        <v>2.7742549143944251</v>
      </c>
      <c r="E27" s="748">
        <f t="shared" si="4"/>
        <v>-5.0573126957835886</v>
      </c>
      <c r="F27" s="749">
        <f t="shared" si="3"/>
        <v>10.458548653387112</v>
      </c>
      <c r="G27" s="840"/>
      <c r="H27" s="842">
        <f>$B$322/B27</f>
        <v>3.9223488354157023</v>
      </c>
      <c r="I27" s="745"/>
      <c r="J27" s="745"/>
    </row>
    <row r="28" spans="1:10" ht="16.5" hidden="1" thickBot="1">
      <c r="A28" s="973" t="s">
        <v>615</v>
      </c>
      <c r="B28" s="748">
        <f>geral!G385</f>
        <v>6060</v>
      </c>
      <c r="C28" s="748">
        <f t="shared" si="1"/>
        <v>111.94298666105104</v>
      </c>
      <c r="D28" s="748">
        <f t="shared" si="0"/>
        <v>-6.5247570569180962</v>
      </c>
      <c r="E28" s="748">
        <f t="shared" si="4"/>
        <v>-11.252092385693135</v>
      </c>
      <c r="F28" s="749">
        <f t="shared" si="3"/>
        <v>-6.7405355493998176</v>
      </c>
      <c r="G28" s="840"/>
      <c r="H28" s="842">
        <f>$B$322/B28</f>
        <v>4.1961365511551154</v>
      </c>
      <c r="I28" s="745"/>
      <c r="J28" s="745"/>
    </row>
    <row r="29" spans="1:10" ht="16.5" hidden="1" thickBot="1">
      <c r="A29" s="973" t="s">
        <v>616</v>
      </c>
      <c r="B29" s="748">
        <f>geral!G386</f>
        <v>6280</v>
      </c>
      <c r="C29" s="748">
        <f t="shared" si="1"/>
        <v>116.00692347052814</v>
      </c>
      <c r="D29" s="748">
        <f t="shared" si="0"/>
        <v>3.6303630363036188</v>
      </c>
      <c r="E29" s="748">
        <f t="shared" si="4"/>
        <v>-8.0302211521704479</v>
      </c>
      <c r="F29" s="749">
        <f t="shared" si="3"/>
        <v>-5.9176029962546899</v>
      </c>
      <c r="G29" s="840"/>
      <c r="H29" s="842">
        <f>$B$322/B29</f>
        <v>4.0491381369426751</v>
      </c>
      <c r="I29" s="745"/>
      <c r="J29" s="745"/>
    </row>
    <row r="30" spans="1:10" ht="16.5" hidden="1" thickBot="1">
      <c r="A30" s="973" t="s">
        <v>617</v>
      </c>
      <c r="B30" s="748">
        <f>geral!G387</f>
        <v>6722.14</v>
      </c>
      <c r="C30" s="748">
        <f t="shared" si="1"/>
        <v>124.17432811117453</v>
      </c>
      <c r="D30" s="748">
        <f t="shared" si="0"/>
        <v>7.0404458598726238</v>
      </c>
      <c r="E30" s="748">
        <f t="shared" si="4"/>
        <v>-1.5551386649444332</v>
      </c>
      <c r="F30" s="749">
        <f t="shared" si="3"/>
        <v>5.0334375000000042</v>
      </c>
      <c r="G30" s="840"/>
      <c r="H30" s="842">
        <f>$B$322/B30</f>
        <v>3.7828113517421529</v>
      </c>
      <c r="I30" s="745"/>
      <c r="J30" s="745"/>
    </row>
    <row r="31" spans="1:10" ht="16.5" hidden="1" thickBot="1">
      <c r="A31" s="973" t="s">
        <v>618</v>
      </c>
      <c r="B31" s="748">
        <f>geral!G388</f>
        <v>6616.67</v>
      </c>
      <c r="C31" s="748">
        <f t="shared" si="1"/>
        <v>122.22603985983112</v>
      </c>
      <c r="D31" s="748">
        <f t="shared" si="0"/>
        <v>-1.5689943976174292</v>
      </c>
      <c r="E31" s="748">
        <f t="shared" si="4"/>
        <v>-3.0997330240337018</v>
      </c>
      <c r="F31" s="749">
        <f t="shared" si="3"/>
        <v>-14.332564700459759</v>
      </c>
      <c r="G31" s="840"/>
      <c r="H31" s="842">
        <f>$B$322/B31</f>
        <v>3.843109524881851</v>
      </c>
      <c r="I31" s="745"/>
      <c r="J31" s="745"/>
    </row>
    <row r="32" spans="1:10" ht="16.5" hidden="1" thickBot="1">
      <c r="A32" s="973" t="s">
        <v>619</v>
      </c>
      <c r="B32" s="748">
        <f>geral!G389</f>
        <v>6656.25</v>
      </c>
      <c r="C32" s="748">
        <f t="shared" si="1"/>
        <v>122.95717903673614</v>
      </c>
      <c r="D32" s="748">
        <f t="shared" si="0"/>
        <v>0.59818609663169209</v>
      </c>
      <c r="E32" s="748">
        <f t="shared" si="4"/>
        <v>-2.5200890993844816</v>
      </c>
      <c r="F32" s="749">
        <f t="shared" si="3"/>
        <v>-15.286647712087243</v>
      </c>
      <c r="G32" s="840">
        <f t="shared" ref="G32:G63" si="5">100*(C32/C8-1)</f>
        <v>22.957179036736129</v>
      </c>
      <c r="H32" s="842">
        <f>$B$322/B32</f>
        <v>3.8202572769953047</v>
      </c>
      <c r="I32" s="745"/>
      <c r="J32" s="745"/>
    </row>
    <row r="33" spans="1:10" ht="16.5" hidden="1" thickBot="1">
      <c r="A33" s="973" t="s">
        <v>620</v>
      </c>
      <c r="B33" s="748">
        <f>geral!G390</f>
        <v>6470</v>
      </c>
      <c r="C33" s="748">
        <f t="shared" si="1"/>
        <v>119.51668707871291</v>
      </c>
      <c r="D33" s="748">
        <f t="shared" si="0"/>
        <v>-2.7981220657277039</v>
      </c>
      <c r="E33" s="748">
        <f t="shared" si="4"/>
        <v>-5.2476959959462999</v>
      </c>
      <c r="F33" s="749">
        <f t="shared" si="3"/>
        <v>-5.708085640959137</v>
      </c>
      <c r="G33" s="840">
        <f t="shared" si="5"/>
        <v>13.608428446005272</v>
      </c>
      <c r="H33" s="842">
        <f>$B$322/B33</f>
        <v>3.9302299072642963</v>
      </c>
      <c r="I33" s="745"/>
      <c r="J33" s="745"/>
    </row>
    <row r="34" spans="1:10" ht="16.5" hidden="1" thickBot="1">
      <c r="A34" s="973" t="s">
        <v>621</v>
      </c>
      <c r="B34" s="748">
        <f>geral!G391</f>
        <v>6270</v>
      </c>
      <c r="C34" s="748">
        <f t="shared" si="1"/>
        <v>115.82219907009737</v>
      </c>
      <c r="D34" s="748">
        <f t="shared" si="0"/>
        <v>-3.0911901081916437</v>
      </c>
      <c r="E34" s="748">
        <f t="shared" si="4"/>
        <v>-8.1766698446032908</v>
      </c>
      <c r="F34" s="749">
        <f t="shared" si="3"/>
        <v>-19.673261060620419</v>
      </c>
      <c r="G34" s="840">
        <f t="shared" si="5"/>
        <v>20.407195242091426</v>
      </c>
      <c r="H34" s="842">
        <f>$B$322/B34</f>
        <v>4.0555960925039871</v>
      </c>
      <c r="I34" s="745"/>
      <c r="J34" s="745"/>
    </row>
    <row r="35" spans="1:10" ht="16.5" hidden="1" thickBot="1">
      <c r="A35" s="973" t="s">
        <v>622</v>
      </c>
      <c r="B35" s="748">
        <f>geral!G392</f>
        <v>6583.33</v>
      </c>
      <c r="C35" s="748">
        <f t="shared" si="1"/>
        <v>121.6101687087949</v>
      </c>
      <c r="D35" s="748">
        <f t="shared" si="0"/>
        <v>4.9972886762360336</v>
      </c>
      <c r="E35" s="748">
        <f t="shared" si="4"/>
        <v>-3.5879929646048248</v>
      </c>
      <c r="F35" s="749">
        <f t="shared" si="3"/>
        <v>-2.4113548769641224</v>
      </c>
      <c r="G35" s="840">
        <f t="shared" si="5"/>
        <v>16.118352588411678</v>
      </c>
      <c r="H35" s="842">
        <f>$B$322/B35</f>
        <v>3.8625722088973209</v>
      </c>
      <c r="I35" s="745"/>
      <c r="J35" s="745"/>
    </row>
    <row r="36" spans="1:10" ht="16.5" hidden="1" thickBot="1">
      <c r="A36" s="973" t="s">
        <v>623</v>
      </c>
      <c r="B36" s="748">
        <f>geral!G393</f>
        <v>6534</v>
      </c>
      <c r="C36" s="748">
        <f t="shared" si="1"/>
        <v>120.69892324146988</v>
      </c>
      <c r="D36" s="748">
        <f t="shared" si="0"/>
        <v>-0.74931683509712466</v>
      </c>
      <c r="E36" s="748">
        <f t="shared" si="4"/>
        <v>-4.3104243643760647</v>
      </c>
      <c r="F36" s="749">
        <f t="shared" si="3"/>
        <v>-7.2458665924709393</v>
      </c>
      <c r="G36" s="840">
        <f t="shared" si="5"/>
        <v>14.493784673182809</v>
      </c>
      <c r="H36" s="842">
        <f>$B$322/B36</f>
        <v>3.8917336241199876</v>
      </c>
      <c r="I36" s="745"/>
      <c r="J36" s="745"/>
    </row>
    <row r="37" spans="1:10" ht="16.5" hidden="1" thickBot="1">
      <c r="A37" s="973" t="s">
        <v>624</v>
      </c>
      <c r="B37" s="748">
        <f>geral!G394</f>
        <v>6390</v>
      </c>
      <c r="C37" s="748">
        <f t="shared" si="1"/>
        <v>118.03889187526669</v>
      </c>
      <c r="D37" s="748">
        <f t="shared" si="0"/>
        <v>-2.2038567493112948</v>
      </c>
      <c r="E37" s="748">
        <f t="shared" si="4"/>
        <v>-6.4192855354091023</v>
      </c>
      <c r="F37" s="749">
        <f t="shared" si="3"/>
        <v>-6.4192855354091023</v>
      </c>
      <c r="G37" s="840">
        <f t="shared" si="5"/>
        <v>4.2130447333271315</v>
      </c>
      <c r="H37" s="842">
        <f>$B$322/B37</f>
        <v>3.9794346635367757</v>
      </c>
      <c r="I37" s="745"/>
      <c r="J37" s="745"/>
    </row>
    <row r="38" spans="1:10" ht="16.5" hidden="1" thickBot="1">
      <c r="A38" s="973" t="s">
        <v>601</v>
      </c>
      <c r="B38" s="748">
        <f>geral!I383</f>
        <v>6718.4</v>
      </c>
      <c r="C38" s="748">
        <f t="shared" si="1"/>
        <v>124.10524118541342</v>
      </c>
      <c r="D38" s="748">
        <f t="shared" si="0"/>
        <v>5.1392801251956222</v>
      </c>
      <c r="E38" s="748">
        <f t="shared" ref="E38:E49" si="6">100*((C38/$C$37)-1)</f>
        <v>5.1392801251956222</v>
      </c>
      <c r="F38" s="749">
        <f t="shared" si="3"/>
        <v>6.5060240963855431</v>
      </c>
      <c r="G38" s="840">
        <f t="shared" si="5"/>
        <v>7.6297551801145058</v>
      </c>
      <c r="H38" s="842">
        <f>$B$322/B38</f>
        <v>3.7849171677780422</v>
      </c>
      <c r="I38" s="745"/>
      <c r="J38" s="745"/>
    </row>
    <row r="39" spans="1:10" ht="16.5" hidden="1" thickBot="1">
      <c r="A39" s="973" t="s">
        <v>602</v>
      </c>
      <c r="B39" s="748">
        <f>geral!I384</f>
        <v>6466</v>
      </c>
      <c r="C39" s="748">
        <f t="shared" si="1"/>
        <v>119.4427973185406</v>
      </c>
      <c r="D39" s="748">
        <f t="shared" si="0"/>
        <v>-3.7568468683019773</v>
      </c>
      <c r="E39" s="748">
        <f t="shared" si="6"/>
        <v>1.1893583724569723</v>
      </c>
      <c r="F39" s="749">
        <f t="shared" si="3"/>
        <v>-0.26222427888323852</v>
      </c>
      <c r="G39" s="840">
        <f t="shared" si="5"/>
        <v>10.168899520715868</v>
      </c>
      <c r="H39" s="842">
        <f>$B$322/B39</f>
        <v>3.9326612279616451</v>
      </c>
      <c r="I39" s="745"/>
      <c r="J39" s="745"/>
    </row>
    <row r="40" spans="1:10" ht="16.5" hidden="1" thickBot="1">
      <c r="A40" s="973" t="s">
        <v>603</v>
      </c>
      <c r="B40" s="748">
        <f>geral!I385</f>
        <v>6576</v>
      </c>
      <c r="C40" s="748">
        <f t="shared" si="1"/>
        <v>121.47476572327915</v>
      </c>
      <c r="D40" s="748">
        <f t="shared" si="0"/>
        <v>1.7012063099288488</v>
      </c>
      <c r="E40" s="748">
        <f t="shared" si="6"/>
        <v>2.9107981220657386</v>
      </c>
      <c r="F40" s="749">
        <f t="shared" si="3"/>
        <v>8.5148514851485224</v>
      </c>
      <c r="G40" s="840">
        <f t="shared" si="5"/>
        <v>1.2003693444136765</v>
      </c>
      <c r="H40" s="842">
        <f>$B$322/B40</f>
        <v>3.866877661192214</v>
      </c>
      <c r="I40" s="745"/>
      <c r="J40" s="745"/>
    </row>
    <row r="41" spans="1:10" ht="16.5" hidden="1" thickBot="1">
      <c r="A41" s="973" t="s">
        <v>604</v>
      </c>
      <c r="B41" s="748">
        <f>geral!I386</f>
        <v>6617</v>
      </c>
      <c r="C41" s="748">
        <f t="shared" si="1"/>
        <v>122.23213576504533</v>
      </c>
      <c r="D41" s="748">
        <f t="shared" ref="D41:D72" si="7">100*((C41/C40)-1)</f>
        <v>0.62347931873478757</v>
      </c>
      <c r="E41" s="748">
        <f t="shared" si="6"/>
        <v>3.5524256651017216</v>
      </c>
      <c r="F41" s="749">
        <f t="shared" si="3"/>
        <v>5.3662420382165621</v>
      </c>
      <c r="G41" s="840">
        <f t="shared" si="5"/>
        <v>-0.86891385767791096</v>
      </c>
      <c r="H41" s="842">
        <f>$B$322/B41</f>
        <v>3.8429178630799452</v>
      </c>
      <c r="I41" s="745"/>
      <c r="J41" s="745"/>
    </row>
    <row r="42" spans="1:10" ht="16.5" hidden="1" thickBot="1">
      <c r="A42" s="973" t="s">
        <v>605</v>
      </c>
      <c r="B42" s="748">
        <f>geral!I387</f>
        <v>6258</v>
      </c>
      <c r="C42" s="748">
        <f t="shared" si="1"/>
        <v>115.60052978958043</v>
      </c>
      <c r="D42" s="748">
        <f t="shared" si="7"/>
        <v>-5.4254193743388139</v>
      </c>
      <c r="E42" s="748">
        <f t="shared" si="6"/>
        <v>-2.0657276995305063</v>
      </c>
      <c r="F42" s="749">
        <f t="shared" si="3"/>
        <v>-6.9046464369977407</v>
      </c>
      <c r="G42" s="840">
        <f t="shared" si="5"/>
        <v>-2.2187499999999916</v>
      </c>
      <c r="H42" s="842">
        <f>$B$322/B42</f>
        <v>4.063372882710131</v>
      </c>
      <c r="I42" s="745"/>
      <c r="J42" s="745"/>
    </row>
    <row r="43" spans="1:10" ht="16.5" hidden="1" thickBot="1">
      <c r="A43" s="973" t="s">
        <v>606</v>
      </c>
      <c r="B43" s="748">
        <f>geral!I388</f>
        <v>6620</v>
      </c>
      <c r="C43" s="748">
        <f t="shared" si="1"/>
        <v>122.28755308517457</v>
      </c>
      <c r="D43" s="748">
        <f t="shared" si="7"/>
        <v>5.784595717481622</v>
      </c>
      <c r="E43" s="748">
        <f t="shared" si="6"/>
        <v>3.5993740219092407</v>
      </c>
      <c r="F43" s="749">
        <f t="shared" si="3"/>
        <v>5.0327430565522135E-2</v>
      </c>
      <c r="G43" s="840">
        <f t="shared" si="5"/>
        <v>-14.289450481442111</v>
      </c>
      <c r="H43" s="842">
        <f>$B$322/B43</f>
        <v>3.841176359516616</v>
      </c>
      <c r="I43" s="745"/>
      <c r="J43" s="745"/>
    </row>
    <row r="44" spans="1:10" ht="16.5" hidden="1" thickBot="1">
      <c r="A44" s="973" t="s">
        <v>607</v>
      </c>
      <c r="B44" s="748">
        <f>geral!I389</f>
        <v>6490</v>
      </c>
      <c r="C44" s="748">
        <f t="shared" si="1"/>
        <v>119.88613587957447</v>
      </c>
      <c r="D44" s="748">
        <f t="shared" si="7"/>
        <v>-1.9637462235649439</v>
      </c>
      <c r="E44" s="748">
        <f t="shared" si="6"/>
        <v>1.5649452269170583</v>
      </c>
      <c r="F44" s="749">
        <f t="shared" si="3"/>
        <v>-2.4976525821596263</v>
      </c>
      <c r="G44" s="840">
        <f t="shared" si="5"/>
        <v>-17.402492942940274</v>
      </c>
      <c r="H44" s="842">
        <f>$B$322/B44</f>
        <v>3.918118258859784</v>
      </c>
      <c r="I44" s="745"/>
      <c r="J44" s="745"/>
    </row>
    <row r="45" spans="1:10" ht="16.5" hidden="1" thickBot="1">
      <c r="A45" s="973" t="s">
        <v>608</v>
      </c>
      <c r="B45" s="748">
        <f>geral!I390</f>
        <v>6019.2</v>
      </c>
      <c r="C45" s="748">
        <f t="shared" si="1"/>
        <v>111.18931110729346</v>
      </c>
      <c r="D45" s="748">
        <f t="shared" si="7"/>
        <v>-7.2542372881356005</v>
      </c>
      <c r="E45" s="748">
        <f t="shared" si="6"/>
        <v>-5.8028169014084474</v>
      </c>
      <c r="F45" s="749">
        <f t="shared" si="3"/>
        <v>-6.9675425038639887</v>
      </c>
      <c r="G45" s="840">
        <f t="shared" si="5"/>
        <v>-12.277914851632332</v>
      </c>
      <c r="H45" s="842">
        <f>$B$322/B45</f>
        <v>4.2245792630249861</v>
      </c>
      <c r="I45" s="745"/>
      <c r="J45" s="745"/>
    </row>
    <row r="46" spans="1:10" ht="16.5" hidden="1" thickBot="1">
      <c r="A46" s="973" t="s">
        <v>609</v>
      </c>
      <c r="B46" s="748">
        <f>geral!I391</f>
        <v>6437.5</v>
      </c>
      <c r="C46" s="748">
        <f t="shared" si="1"/>
        <v>118.91633277731289</v>
      </c>
      <c r="D46" s="748">
        <f t="shared" si="7"/>
        <v>6.9494284954811469</v>
      </c>
      <c r="E46" s="748">
        <f t="shared" si="6"/>
        <v>0.74334898278560768</v>
      </c>
      <c r="F46" s="749">
        <f t="shared" si="3"/>
        <v>2.6714513556618913</v>
      </c>
      <c r="G46" s="840">
        <f t="shared" si="5"/>
        <v>-17.527371304265383</v>
      </c>
      <c r="H46" s="842">
        <f>$B$322/B46</f>
        <v>3.9500718446601937</v>
      </c>
      <c r="I46" s="745"/>
      <c r="J46" s="745"/>
    </row>
    <row r="47" spans="1:10" ht="16.5" hidden="1" thickBot="1">
      <c r="A47" s="973" t="s">
        <v>610</v>
      </c>
      <c r="B47" s="748">
        <f>geral!I392</f>
        <v>6243.4</v>
      </c>
      <c r="C47" s="748">
        <f t="shared" si="1"/>
        <v>115.3308321649515</v>
      </c>
      <c r="D47" s="748">
        <f t="shared" si="7"/>
        <v>-3.0151456310679614</v>
      </c>
      <c r="E47" s="748">
        <f t="shared" si="6"/>
        <v>-2.2942097026603991</v>
      </c>
      <c r="F47" s="749">
        <f t="shared" si="3"/>
        <v>-5.1634962853145616</v>
      </c>
      <c r="G47" s="840">
        <f t="shared" si="5"/>
        <v>-7.4503409427808975</v>
      </c>
      <c r="H47" s="842">
        <f>$B$322/B47</f>
        <v>4.0728749559534867</v>
      </c>
      <c r="I47" s="745"/>
      <c r="J47" s="745"/>
    </row>
    <row r="48" spans="1:10" ht="16.5" hidden="1" thickBot="1">
      <c r="A48" s="973" t="s">
        <v>611</v>
      </c>
      <c r="B48" s="748">
        <f>geral!I393</f>
        <v>6257.5</v>
      </c>
      <c r="C48" s="748">
        <f t="shared" si="1"/>
        <v>115.59129356955889</v>
      </c>
      <c r="D48" s="748">
        <f t="shared" si="7"/>
        <v>0.22583848544062146</v>
      </c>
      <c r="E48" s="748">
        <f t="shared" si="6"/>
        <v>-2.0735524256651039</v>
      </c>
      <c r="F48" s="749">
        <f t="shared" si="3"/>
        <v>-4.2317110498928727</v>
      </c>
      <c r="G48" s="840">
        <f t="shared" si="5"/>
        <v>-11.170953505109715</v>
      </c>
      <c r="H48" s="842">
        <f>$B$322/B48</f>
        <v>4.0636975629244905</v>
      </c>
      <c r="I48" s="745"/>
      <c r="J48" s="745"/>
    </row>
    <row r="49" spans="1:10" ht="16.5" hidden="1" thickBot="1">
      <c r="A49" s="973" t="s">
        <v>612</v>
      </c>
      <c r="B49" s="748">
        <f>geral!I394</f>
        <v>6270</v>
      </c>
      <c r="C49" s="748">
        <f t="shared" si="1"/>
        <v>115.82219907009737</v>
      </c>
      <c r="D49" s="748">
        <f t="shared" si="7"/>
        <v>0.19976028765482656</v>
      </c>
      <c r="E49" s="748">
        <f t="shared" si="6"/>
        <v>-1.8779342723004633</v>
      </c>
      <c r="F49" s="749">
        <f t="shared" si="3"/>
        <v>-1.8779342723004633</v>
      </c>
      <c r="G49" s="840">
        <f t="shared" si="5"/>
        <v>-8.1766698446032908</v>
      </c>
      <c r="H49" s="842">
        <f>$B$322/B49</f>
        <v>4.0555960925039871</v>
      </c>
      <c r="I49" s="745"/>
      <c r="J49" s="745"/>
    </row>
    <row r="50" spans="1:10" ht="16.5" hidden="1" thickBot="1">
      <c r="A50" s="973" t="s">
        <v>589</v>
      </c>
      <c r="B50" s="748">
        <f>geral!K383</f>
        <v>6240</v>
      </c>
      <c r="C50" s="748">
        <f t="shared" si="1"/>
        <v>115.26802586880503</v>
      </c>
      <c r="D50" s="748">
        <f t="shared" si="7"/>
        <v>-0.4784688995215447</v>
      </c>
      <c r="E50" s="748">
        <f t="shared" ref="E50:E61" si="8">100*((C50/$C$49)-1)</f>
        <v>-0.4784688995215447</v>
      </c>
      <c r="F50" s="749">
        <f t="shared" si="3"/>
        <v>-7.1207430340557316</v>
      </c>
      <c r="G50" s="840">
        <f t="shared" si="5"/>
        <v>-1.0779961953075512</v>
      </c>
      <c r="H50" s="842">
        <f>$B$322/B50</f>
        <v>4.075094150641025</v>
      </c>
      <c r="I50" s="745"/>
      <c r="J50" s="745"/>
    </row>
    <row r="51" spans="1:10" ht="16.5" hidden="1" thickBot="1">
      <c r="A51" s="973" t="s">
        <v>590</v>
      </c>
      <c r="B51" s="748">
        <f>geral!K384</f>
        <v>6296.67</v>
      </c>
      <c r="C51" s="748">
        <f t="shared" si="1"/>
        <v>116.31485904604625</v>
      </c>
      <c r="D51" s="748">
        <f t="shared" si="7"/>
        <v>0.90817307692308002</v>
      </c>
      <c r="E51" s="748">
        <f t="shared" si="8"/>
        <v>0.42535885167465093</v>
      </c>
      <c r="F51" s="749">
        <f t="shared" si="3"/>
        <v>-2.6187751314568519</v>
      </c>
      <c r="G51" s="840">
        <f t="shared" si="5"/>
        <v>-2.8741323461360491</v>
      </c>
      <c r="H51" s="842">
        <f>$B$322/B51</f>
        <v>4.0384183227007284</v>
      </c>
      <c r="I51" s="745"/>
      <c r="J51" s="745"/>
    </row>
    <row r="52" spans="1:10" ht="16.5" hidden="1" thickBot="1">
      <c r="A52" s="973" t="s">
        <v>591</v>
      </c>
      <c r="B52" s="748">
        <f>geral!K385</f>
        <v>6276.75</v>
      </c>
      <c r="C52" s="748">
        <f t="shared" si="1"/>
        <v>115.94688804038813</v>
      </c>
      <c r="D52" s="750">
        <f t="shared" si="7"/>
        <v>-0.31635769382865053</v>
      </c>
      <c r="E52" s="750">
        <f t="shared" si="8"/>
        <v>0.10765550239233423</v>
      </c>
      <c r="F52" s="751">
        <f t="shared" ref="F52:F83" si="9">100*((C52/C40)-1)</f>
        <v>-4.5506386861313919</v>
      </c>
      <c r="G52" s="840">
        <f t="shared" si="5"/>
        <v>3.5767326732673244</v>
      </c>
      <c r="H52" s="842">
        <f>$B$322/B52</f>
        <v>4.0512347154180102</v>
      </c>
      <c r="I52" s="745"/>
      <c r="J52" s="745"/>
    </row>
    <row r="53" spans="1:10" ht="16.5" hidden="1" thickBot="1">
      <c r="A53" s="973" t="s">
        <v>592</v>
      </c>
      <c r="B53" s="748">
        <f>geral!K386</f>
        <v>6880</v>
      </c>
      <c r="C53" s="748">
        <f t="shared" si="1"/>
        <v>127.09038749637477</v>
      </c>
      <c r="D53" s="750">
        <f t="shared" si="7"/>
        <v>9.6108654956784889</v>
      </c>
      <c r="E53" s="750">
        <f t="shared" si="8"/>
        <v>9.7288676236044545</v>
      </c>
      <c r="F53" s="751">
        <f t="shared" si="9"/>
        <v>3.9746108508387445</v>
      </c>
      <c r="G53" s="840">
        <f t="shared" si="5"/>
        <v>9.554140127388532</v>
      </c>
      <c r="H53" s="842">
        <f>$B$322/B53</f>
        <v>3.6960156249999998</v>
      </c>
      <c r="I53" s="745"/>
      <c r="J53" s="745"/>
    </row>
    <row r="54" spans="1:10" ht="16.5" hidden="1" thickBot="1">
      <c r="A54" s="973" t="s">
        <v>593</v>
      </c>
      <c r="B54" s="818">
        <f>geral!K387</f>
        <v>6273.2</v>
      </c>
      <c r="C54" s="748">
        <f t="shared" si="1"/>
        <v>115.88131087823521</v>
      </c>
      <c r="D54" s="750">
        <f t="shared" si="7"/>
        <v>-8.8197674418604599</v>
      </c>
      <c r="E54" s="750">
        <f t="shared" si="8"/>
        <v>5.1036682615634987E-2</v>
      </c>
      <c r="F54" s="751">
        <f t="shared" si="9"/>
        <v>0.24288910194949498</v>
      </c>
      <c r="G54" s="840">
        <f t="shared" si="5"/>
        <v>-6.6785279687718528</v>
      </c>
      <c r="H54" s="842">
        <f>$B$322/B54</f>
        <v>4.0535273066377604</v>
      </c>
      <c r="I54" s="745"/>
      <c r="J54" s="745"/>
    </row>
    <row r="55" spans="1:10" ht="16.5" hidden="1" thickBot="1">
      <c r="A55" s="973" t="s">
        <v>594</v>
      </c>
      <c r="B55" s="748">
        <f>geral!K388</f>
        <v>6300</v>
      </c>
      <c r="C55" s="748">
        <f t="shared" si="1"/>
        <v>116.3763722713897</v>
      </c>
      <c r="D55" s="750">
        <f t="shared" si="7"/>
        <v>0.42721418096027808</v>
      </c>
      <c r="E55" s="750">
        <f t="shared" si="8"/>
        <v>0.47846889952152249</v>
      </c>
      <c r="F55" s="751">
        <f t="shared" si="9"/>
        <v>-4.8338368580060358</v>
      </c>
      <c r="G55" s="840">
        <f t="shared" si="5"/>
        <v>-4.7859421733288716</v>
      </c>
      <c r="H55" s="842">
        <f>$B$322/B55</f>
        <v>4.03628373015873</v>
      </c>
      <c r="I55" s="745"/>
      <c r="J55" s="745"/>
    </row>
    <row r="56" spans="1:10" ht="16.5" hidden="1" thickBot="1">
      <c r="A56" s="973" t="s">
        <v>595</v>
      </c>
      <c r="B56" s="748">
        <f>geral!K389</f>
        <v>6573.75</v>
      </c>
      <c r="C56" s="748">
        <f t="shared" si="1"/>
        <v>121.43320273318223</v>
      </c>
      <c r="D56" s="750">
        <f t="shared" si="7"/>
        <v>4.345238095238102</v>
      </c>
      <c r="E56" s="750">
        <f t="shared" si="8"/>
        <v>4.8444976076555069</v>
      </c>
      <c r="F56" s="751">
        <f t="shared" si="9"/>
        <v>1.2904468412942904</v>
      </c>
      <c r="G56" s="840">
        <f t="shared" si="5"/>
        <v>-1.2394366197183038</v>
      </c>
      <c r="H56" s="842">
        <f>$B$322/B56</f>
        <v>3.8682011789313555</v>
      </c>
      <c r="I56" s="745"/>
      <c r="J56" s="745"/>
    </row>
    <row r="57" spans="1:10" ht="16.5" hidden="1" thickBot="1">
      <c r="A57" s="973" t="s">
        <v>596</v>
      </c>
      <c r="B57" s="748">
        <f>geral!K390</f>
        <v>6434.17</v>
      </c>
      <c r="C57" s="748">
        <f t="shared" si="1"/>
        <v>118.85481955196943</v>
      </c>
      <c r="D57" s="750">
        <f t="shared" si="7"/>
        <v>-2.1232934017874183</v>
      </c>
      <c r="E57" s="750">
        <f t="shared" si="8"/>
        <v>2.6183413078149753</v>
      </c>
      <c r="F57" s="751">
        <f t="shared" si="9"/>
        <v>6.8941055289739595</v>
      </c>
      <c r="G57" s="840">
        <f t="shared" si="5"/>
        <v>-0.55378670788254203</v>
      </c>
      <c r="H57" s="842">
        <f>$B$322/B57</f>
        <v>3.9521162014680988</v>
      </c>
      <c r="I57" s="745"/>
      <c r="J57" s="745"/>
    </row>
    <row r="58" spans="1:10" ht="16.5" hidden="1" thickBot="1">
      <c r="A58" s="973" t="s">
        <v>597</v>
      </c>
      <c r="B58" s="748">
        <f>geral!K391</f>
        <v>6315.83</v>
      </c>
      <c r="C58" s="748">
        <f t="shared" si="1"/>
        <v>116.66879099727161</v>
      </c>
      <c r="D58" s="750">
        <f t="shared" si="7"/>
        <v>-1.8392426684405216</v>
      </c>
      <c r="E58" s="750">
        <f t="shared" si="8"/>
        <v>0.73094098883572656</v>
      </c>
      <c r="F58" s="751">
        <f t="shared" si="9"/>
        <v>-1.8900194174757301</v>
      </c>
      <c r="G58" s="840">
        <f t="shared" si="5"/>
        <v>0.73094098883572656</v>
      </c>
      <c r="H58" s="842">
        <f>$B$322/B58</f>
        <v>4.0261671862605546</v>
      </c>
      <c r="I58" s="745"/>
      <c r="J58" s="745"/>
    </row>
    <row r="59" spans="1:10" ht="16.5" hidden="1" thickBot="1">
      <c r="A59" s="973" t="s">
        <v>598</v>
      </c>
      <c r="B59" s="748">
        <f>geral!K392</f>
        <v>6387</v>
      </c>
      <c r="C59" s="748">
        <f t="shared" si="1"/>
        <v>117.98347455513746</v>
      </c>
      <c r="D59" s="750">
        <f t="shared" si="7"/>
        <v>1.1268511027054284</v>
      </c>
      <c r="E59" s="750">
        <f t="shared" si="8"/>
        <v>1.866028708133971</v>
      </c>
      <c r="F59" s="751">
        <f t="shared" si="9"/>
        <v>2.3000288304449557</v>
      </c>
      <c r="G59" s="840">
        <f t="shared" si="5"/>
        <v>-2.9822293580908044</v>
      </c>
      <c r="H59" s="842">
        <f>$B$322/B59</f>
        <v>3.9813038202599027</v>
      </c>
      <c r="I59" s="745"/>
      <c r="J59" s="745"/>
    </row>
    <row r="60" spans="1:10" ht="16.5" hidden="1" thickBot="1">
      <c r="A60" s="973" t="s">
        <v>599</v>
      </c>
      <c r="B60" s="748">
        <f>geral!K393</f>
        <v>6562.4</v>
      </c>
      <c r="C60" s="748">
        <f t="shared" si="1"/>
        <v>121.22354053869329</v>
      </c>
      <c r="D60" s="750">
        <f t="shared" si="7"/>
        <v>2.7462032253013913</v>
      </c>
      <c r="E60" s="750">
        <f t="shared" si="8"/>
        <v>4.6634768740031696</v>
      </c>
      <c r="F60" s="751">
        <f t="shared" si="9"/>
        <v>4.8725529364762377</v>
      </c>
      <c r="G60" s="840">
        <f t="shared" si="5"/>
        <v>0.43464952555860581</v>
      </c>
      <c r="H60" s="842">
        <f>$B$322/B60</f>
        <v>3.8748914269169816</v>
      </c>
      <c r="I60" s="745"/>
      <c r="J60" s="745"/>
    </row>
    <row r="61" spans="1:10" ht="16.5" hidden="1" thickBot="1">
      <c r="A61" s="973" t="s">
        <v>600</v>
      </c>
      <c r="B61" s="748">
        <f>geral!K394</f>
        <v>6530.33</v>
      </c>
      <c r="C61" s="748">
        <f t="shared" si="1"/>
        <v>120.63112938651179</v>
      </c>
      <c r="D61" s="750">
        <f t="shared" si="7"/>
        <v>-0.48869316103864469</v>
      </c>
      <c r="E61" s="750">
        <f t="shared" si="8"/>
        <v>4.1519936204146735</v>
      </c>
      <c r="F61" s="751">
        <f t="shared" si="9"/>
        <v>4.1519936204146735</v>
      </c>
      <c r="G61" s="840">
        <f t="shared" si="5"/>
        <v>2.1960876369327087</v>
      </c>
      <c r="H61" s="842">
        <f>$B$322/B61</f>
        <v>3.8939207513249712</v>
      </c>
      <c r="I61" s="745"/>
      <c r="J61" s="745"/>
    </row>
    <row r="62" spans="1:10" ht="16.5" hidden="1" thickBot="1">
      <c r="A62" s="973" t="s">
        <v>577</v>
      </c>
      <c r="B62" s="748">
        <f>geral!M383</f>
        <v>6550</v>
      </c>
      <c r="C62" s="748">
        <f t="shared" si="1"/>
        <v>120.99448228215913</v>
      </c>
      <c r="D62" s="750">
        <f t="shared" si="7"/>
        <v>0.30120989291506639</v>
      </c>
      <c r="E62" s="750">
        <f t="shared" ref="E62:E73" si="10">100*((C62/$C$61)-1)</f>
        <v>0.30120989291506639</v>
      </c>
      <c r="F62" s="751">
        <f t="shared" si="9"/>
        <v>4.9679487179487225</v>
      </c>
      <c r="G62" s="840">
        <f t="shared" si="5"/>
        <v>-2.5065491783758054</v>
      </c>
      <c r="H62" s="842">
        <f>$B$322/B62</f>
        <v>3.882227099236641</v>
      </c>
      <c r="I62" s="745"/>
      <c r="J62" s="745"/>
    </row>
    <row r="63" spans="1:10" ht="16.5" hidden="1" thickBot="1">
      <c r="A63" s="973" t="s">
        <v>578</v>
      </c>
      <c r="B63" s="748">
        <f>geral!M384</f>
        <v>6917</v>
      </c>
      <c r="C63" s="748">
        <f t="shared" si="1"/>
        <v>127.77386777796865</v>
      </c>
      <c r="D63" s="750">
        <f t="shared" si="7"/>
        <v>5.6030534351144912</v>
      </c>
      <c r="E63" s="750">
        <f t="shared" si="10"/>
        <v>5.9211402792814338</v>
      </c>
      <c r="F63" s="751">
        <f t="shared" si="9"/>
        <v>9.8517152717229717</v>
      </c>
      <c r="G63" s="840">
        <f t="shared" si="5"/>
        <v>6.9749458707083045</v>
      </c>
      <c r="H63" s="842">
        <f>$B$322/B63</f>
        <v>3.6762451207170734</v>
      </c>
      <c r="I63" s="745"/>
      <c r="J63" s="745"/>
    </row>
    <row r="64" spans="1:10" ht="16.5" hidden="1" thickBot="1">
      <c r="A64" s="973" t="s">
        <v>579</v>
      </c>
      <c r="B64" s="748">
        <f>geral!M385</f>
        <v>7001.86</v>
      </c>
      <c r="C64" s="748">
        <f t="shared" si="1"/>
        <v>129.34143904002423</v>
      </c>
      <c r="D64" s="750">
        <f t="shared" si="7"/>
        <v>1.2268324418100329</v>
      </c>
      <c r="E64" s="750">
        <f t="shared" si="10"/>
        <v>7.2206151909627758</v>
      </c>
      <c r="F64" s="751">
        <f t="shared" si="9"/>
        <v>11.55231608714702</v>
      </c>
      <c r="G64" s="840">
        <f t="shared" ref="G64:G95" si="11">100*(C64/C40-1)</f>
        <v>6.4759732360097244</v>
      </c>
      <c r="H64" s="842">
        <f>$B$322/B64</f>
        <v>3.6316903651315506</v>
      </c>
      <c r="I64" s="745"/>
      <c r="J64" s="745"/>
    </row>
    <row r="65" spans="1:10" ht="16.5" hidden="1" thickBot="1">
      <c r="A65" s="973" t="s">
        <v>580</v>
      </c>
      <c r="B65" s="748">
        <f>geral!M386</f>
        <v>6868.33</v>
      </c>
      <c r="C65" s="748">
        <f t="shared" si="1"/>
        <v>126.87481412107206</v>
      </c>
      <c r="D65" s="750">
        <f t="shared" si="7"/>
        <v>-1.9070646942383807</v>
      </c>
      <c r="E65" s="750">
        <f t="shared" si="10"/>
        <v>5.1758486937107273</v>
      </c>
      <c r="F65" s="751">
        <f t="shared" si="9"/>
        <v>-0.16962209302324727</v>
      </c>
      <c r="G65" s="840">
        <f t="shared" si="11"/>
        <v>3.798246939700789</v>
      </c>
      <c r="H65" s="842">
        <f>$B$322/B65</f>
        <v>3.7022955361783723</v>
      </c>
      <c r="I65" s="745"/>
      <c r="J65" s="745"/>
    </row>
    <row r="66" spans="1:10" ht="16.5" hidden="1" thickBot="1">
      <c r="A66" s="973" t="s">
        <v>581</v>
      </c>
      <c r="B66" s="748">
        <f>geral!M387</f>
        <v>6948.6</v>
      </c>
      <c r="C66" s="748">
        <f t="shared" si="1"/>
        <v>128.3575968833299</v>
      </c>
      <c r="D66" s="750">
        <f t="shared" si="7"/>
        <v>1.1686974854149268</v>
      </c>
      <c r="E66" s="750">
        <f t="shared" si="10"/>
        <v>6.4050361926579535</v>
      </c>
      <c r="F66" s="751">
        <f t="shared" si="9"/>
        <v>10.766434993304852</v>
      </c>
      <c r="G66" s="840">
        <f t="shared" si="11"/>
        <v>11.035474592521567</v>
      </c>
      <c r="H66" s="842">
        <f>$B$322/B66</f>
        <v>3.6595267391992627</v>
      </c>
      <c r="I66" s="745"/>
      <c r="J66" s="745"/>
    </row>
    <row r="67" spans="1:10" ht="16.5" hidden="1" thickBot="1">
      <c r="A67" s="973" t="s">
        <v>582</v>
      </c>
      <c r="B67" s="748">
        <f>geral!M388</f>
        <v>6801.29</v>
      </c>
      <c r="C67" s="748">
        <f t="shared" si="1"/>
        <v>125.63642174058413</v>
      </c>
      <c r="D67" s="750">
        <f t="shared" si="7"/>
        <v>-2.1199953947557804</v>
      </c>
      <c r="E67" s="750">
        <f t="shared" si="10"/>
        <v>4.149254325585372</v>
      </c>
      <c r="F67" s="751">
        <f t="shared" si="9"/>
        <v>7.9569841269841124</v>
      </c>
      <c r="G67" s="840">
        <f t="shared" si="11"/>
        <v>2.7385196374622334</v>
      </c>
      <c r="H67" s="842">
        <f>$B$322/B67</f>
        <v>3.7387888915191088</v>
      </c>
      <c r="I67" s="745"/>
      <c r="J67" s="745"/>
    </row>
    <row r="68" spans="1:10" ht="16.5" hidden="1" thickBot="1">
      <c r="A68" s="973" t="s">
        <v>583</v>
      </c>
      <c r="B68" s="748">
        <f>geral!M389</f>
        <v>6875</v>
      </c>
      <c r="C68" s="748">
        <f t="shared" si="1"/>
        <v>126.99802529615938</v>
      </c>
      <c r="D68" s="750">
        <f t="shared" si="7"/>
        <v>1.0837649916412895</v>
      </c>
      <c r="E68" s="750">
        <f t="shared" si="10"/>
        <v>5.277987483021529</v>
      </c>
      <c r="F68" s="751">
        <f t="shared" si="9"/>
        <v>4.5826202700133045</v>
      </c>
      <c r="G68" s="840">
        <f t="shared" si="11"/>
        <v>5.9322033898304927</v>
      </c>
      <c r="H68" s="842">
        <f>$B$322/B68</f>
        <v>3.6987036363636361</v>
      </c>
      <c r="I68" s="745"/>
      <c r="J68" s="745"/>
    </row>
    <row r="69" spans="1:10" ht="16.5" hidden="1" thickBot="1">
      <c r="A69" s="973" t="s">
        <v>584</v>
      </c>
      <c r="B69" s="748">
        <f>geral!M390</f>
        <v>6804</v>
      </c>
      <c r="C69" s="748">
        <f t="shared" si="1"/>
        <v>125.68648205310087</v>
      </c>
      <c r="D69" s="750">
        <f t="shared" si="7"/>
        <v>-1.0327272727272629</v>
      </c>
      <c r="E69" s="750">
        <f t="shared" si="10"/>
        <v>4.1907529941059618</v>
      </c>
      <c r="F69" s="751">
        <f t="shared" si="9"/>
        <v>5.7479053242298628</v>
      </c>
      <c r="G69" s="840">
        <f t="shared" si="11"/>
        <v>13.038277511961738</v>
      </c>
      <c r="H69" s="842">
        <f>$B$322/B69</f>
        <v>3.7372997501469722</v>
      </c>
      <c r="I69" s="745"/>
      <c r="J69" s="745"/>
    </row>
    <row r="70" spans="1:10" ht="16.5" hidden="1" thickBot="1">
      <c r="A70" s="973" t="s">
        <v>585</v>
      </c>
      <c r="B70" s="748">
        <f>geral!M391</f>
        <v>7108.33</v>
      </c>
      <c r="C70" s="748">
        <f t="shared" si="1"/>
        <v>131.30819973141072</v>
      </c>
      <c r="D70" s="750">
        <f t="shared" si="7"/>
        <v>4.4728101116989993</v>
      </c>
      <c r="E70" s="750">
        <f t="shared" si="10"/>
        <v>8.8510075294816701</v>
      </c>
      <c r="F70" s="751">
        <f t="shared" si="9"/>
        <v>12.547836151384706</v>
      </c>
      <c r="G70" s="840">
        <f t="shared" si="11"/>
        <v>10.420660194174758</v>
      </c>
      <c r="H70" s="842">
        <f>$B$322/B70</f>
        <v>3.5772941745810898</v>
      </c>
      <c r="I70" s="745"/>
      <c r="J70" s="745"/>
    </row>
    <row r="71" spans="1:10" ht="16.5" hidden="1" thickBot="1">
      <c r="A71" s="973" t="s">
        <v>586</v>
      </c>
      <c r="B71" s="748">
        <f>geral!M392</f>
        <v>7215</v>
      </c>
      <c r="C71" s="748">
        <f t="shared" si="1"/>
        <v>133.27865491080581</v>
      </c>
      <c r="D71" s="750">
        <f t="shared" si="7"/>
        <v>1.5006337634859257</v>
      </c>
      <c r="E71" s="750">
        <f t="shared" si="10"/>
        <v>10.484462500363678</v>
      </c>
      <c r="F71" s="751">
        <f t="shared" si="9"/>
        <v>12.963832785345231</v>
      </c>
      <c r="G71" s="840">
        <f t="shared" si="11"/>
        <v>15.562033507383788</v>
      </c>
      <c r="H71" s="842">
        <f>$B$322/B71</f>
        <v>3.5244057519057517</v>
      </c>
      <c r="I71" s="745"/>
      <c r="J71" s="745"/>
    </row>
    <row r="72" spans="1:10" ht="16.5" hidden="1" thickBot="1">
      <c r="A72" s="973" t="s">
        <v>587</v>
      </c>
      <c r="B72" s="748">
        <f>geral!M393</f>
        <v>7300</v>
      </c>
      <c r="C72" s="748">
        <f t="shared" si="1"/>
        <v>134.84881231446744</v>
      </c>
      <c r="D72" s="750">
        <f t="shared" si="7"/>
        <v>1.1781011781011985</v>
      </c>
      <c r="E72" s="750">
        <f t="shared" si="10"/>
        <v>11.786081254699244</v>
      </c>
      <c r="F72" s="751">
        <f t="shared" si="9"/>
        <v>11.239790320614418</v>
      </c>
      <c r="G72" s="840">
        <f t="shared" si="11"/>
        <v>16.660007990411518</v>
      </c>
      <c r="H72" s="842">
        <f>$B$322/B72</f>
        <v>3.4833681506849312</v>
      </c>
      <c r="I72" s="745"/>
      <c r="J72" s="745"/>
    </row>
    <row r="73" spans="1:10" ht="16.5" hidden="1" thickBot="1">
      <c r="A73" s="973" t="s">
        <v>588</v>
      </c>
      <c r="B73" s="748">
        <f>geral!M394</f>
        <v>7516.67</v>
      </c>
      <c r="C73" s="748">
        <f t="shared" si="1"/>
        <v>138.85123589860109</v>
      </c>
      <c r="D73" s="750">
        <f t="shared" ref="D73:D104" si="12">100*((C73/C72)-1)</f>
        <v>2.9680821917808187</v>
      </c>
      <c r="E73" s="750">
        <f t="shared" si="10"/>
        <v>15.103984025309614</v>
      </c>
      <c r="F73" s="751">
        <f t="shared" si="9"/>
        <v>15.103984025309614</v>
      </c>
      <c r="G73" s="840">
        <f t="shared" si="11"/>
        <v>19.883094098883582</v>
      </c>
      <c r="H73" s="842">
        <f>$B$322/B73</f>
        <v>3.3829591428119099</v>
      </c>
      <c r="I73" s="745"/>
      <c r="J73" s="745"/>
    </row>
    <row r="74" spans="1:10" ht="16.5" hidden="1" thickBot="1">
      <c r="A74" s="973" t="s">
        <v>574</v>
      </c>
      <c r="B74" s="748">
        <f>geral!C398</f>
        <v>7340</v>
      </c>
      <c r="C74" s="748">
        <f t="shared" ref="C74:C89" si="13">100*B74/$B$8</f>
        <v>135.58770991619053</v>
      </c>
      <c r="D74" s="750">
        <f t="shared" si="12"/>
        <v>-2.3503758978377531</v>
      </c>
      <c r="E74" s="750">
        <f t="shared" ref="E74:E85" si="14">100*((C74/$C$73)-1)</f>
        <v>-2.3503758978377531</v>
      </c>
      <c r="F74" s="751">
        <f t="shared" si="9"/>
        <v>12.061068702290068</v>
      </c>
      <c r="G74" s="840">
        <f t="shared" si="11"/>
        <v>17.628205128205131</v>
      </c>
      <c r="H74" s="842">
        <f>$B$322/B74</f>
        <v>3.4643852179836507</v>
      </c>
      <c r="I74" s="745"/>
      <c r="J74" s="745"/>
    </row>
    <row r="75" spans="1:10" ht="16.5" hidden="1" thickBot="1">
      <c r="A75" s="973" t="s">
        <v>575</v>
      </c>
      <c r="B75" s="748">
        <f>geral!C399</f>
        <v>7683.33</v>
      </c>
      <c r="C75" s="748">
        <f t="shared" si="13"/>
        <v>141.92985275618042</v>
      </c>
      <c r="D75" s="750">
        <f t="shared" si="12"/>
        <v>4.6775204359673195</v>
      </c>
      <c r="E75" s="750">
        <f t="shared" si="14"/>
        <v>2.2172052251861585</v>
      </c>
      <c r="F75" s="751">
        <f t="shared" si="9"/>
        <v>11.078935954893755</v>
      </c>
      <c r="G75" s="840">
        <f t="shared" si="11"/>
        <v>22.022116452029405</v>
      </c>
      <c r="H75" s="842">
        <f>$B$322/B75</f>
        <v>3.3095789846329651</v>
      </c>
      <c r="I75" s="745"/>
      <c r="J75" s="745"/>
    </row>
    <row r="76" spans="1:10" ht="16.5" hidden="1" thickBot="1">
      <c r="A76" s="973" t="s">
        <v>576</v>
      </c>
      <c r="B76" s="748">
        <f>geral!C400</f>
        <v>7625</v>
      </c>
      <c r="C76" s="748">
        <f t="shared" si="13"/>
        <v>140.8523553284677</v>
      </c>
      <c r="D76" s="750">
        <f t="shared" si="12"/>
        <v>-0.75917603434969561</v>
      </c>
      <c r="E76" s="750">
        <f t="shared" si="14"/>
        <v>1.441196700134495</v>
      </c>
      <c r="F76" s="751">
        <f t="shared" si="9"/>
        <v>8.8996352397791476</v>
      </c>
      <c r="G76" s="840">
        <f t="shared" si="11"/>
        <v>21.480065320428587</v>
      </c>
      <c r="H76" s="842">
        <f>$B$322/B76</f>
        <v>3.3348967213114751</v>
      </c>
      <c r="I76" s="745"/>
      <c r="J76" s="745"/>
    </row>
    <row r="77" spans="1:10" ht="16.5" hidden="1" thickBot="1">
      <c r="A77" s="973" t="s">
        <v>557</v>
      </c>
      <c r="B77" s="748">
        <f>geral!C401</f>
        <v>7680</v>
      </c>
      <c r="C77" s="748">
        <f t="shared" si="13"/>
        <v>141.86833953083695</v>
      </c>
      <c r="D77" s="750">
        <f t="shared" si="12"/>
        <v>0.72131147540981377</v>
      </c>
      <c r="E77" s="750">
        <f t="shared" si="14"/>
        <v>2.1729036927256251</v>
      </c>
      <c r="F77" s="751">
        <f t="shared" si="9"/>
        <v>11.81757428661696</v>
      </c>
      <c r="G77" s="840">
        <f t="shared" si="11"/>
        <v>11.627906976744185</v>
      </c>
      <c r="H77" s="842">
        <f>$B$322/B77</f>
        <v>3.311013997395833</v>
      </c>
      <c r="I77" s="745"/>
      <c r="J77" s="745"/>
    </row>
    <row r="78" spans="1:10" ht="16.5" hidden="1" thickBot="1">
      <c r="A78" s="973" t="s">
        <v>558</v>
      </c>
      <c r="B78" s="748">
        <f>geral!C402</f>
        <v>8020</v>
      </c>
      <c r="C78" s="748">
        <f t="shared" si="13"/>
        <v>148.14896914548339</v>
      </c>
      <c r="D78" s="750">
        <f t="shared" si="12"/>
        <v>4.4270833333333481</v>
      </c>
      <c r="E78" s="750">
        <f t="shared" si="14"/>
        <v>6.6961832832890034</v>
      </c>
      <c r="F78" s="751">
        <f t="shared" si="9"/>
        <v>15.418933310307125</v>
      </c>
      <c r="G78" s="840">
        <f t="shared" si="11"/>
        <v>27.84543773512722</v>
      </c>
      <c r="H78" s="842">
        <f>$B$322/B78</f>
        <v>3.1706468204488774</v>
      </c>
      <c r="I78" s="745"/>
      <c r="J78" s="745"/>
    </row>
    <row r="79" spans="1:10" ht="16.5" hidden="1" thickBot="1">
      <c r="A79" s="973" t="s">
        <v>559</v>
      </c>
      <c r="B79" s="748">
        <f>geral!C403</f>
        <v>7923.5</v>
      </c>
      <c r="C79" s="748">
        <f t="shared" si="13"/>
        <v>146.36637868132638</v>
      </c>
      <c r="D79" s="750">
        <f t="shared" si="12"/>
        <v>-1.2032418952618529</v>
      </c>
      <c r="E79" s="750">
        <f t="shared" si="14"/>
        <v>5.412370105379094</v>
      </c>
      <c r="F79" s="751">
        <f t="shared" si="9"/>
        <v>16.499958096184699</v>
      </c>
      <c r="G79" s="840">
        <f t="shared" si="11"/>
        <v>25.769841269841255</v>
      </c>
      <c r="H79" s="842">
        <f>$B$322/B79</f>
        <v>3.2092620054268943</v>
      </c>
      <c r="I79" s="745"/>
      <c r="J79" s="745"/>
    </row>
    <row r="80" spans="1:10" ht="16.5" hidden="1" thickBot="1">
      <c r="A80" s="973" t="s">
        <v>560</v>
      </c>
      <c r="B80" s="748">
        <f>geral!C404</f>
        <v>8058.33</v>
      </c>
      <c r="C80" s="748">
        <f t="shared" si="13"/>
        <v>148.85701777233456</v>
      </c>
      <c r="D80" s="750">
        <f t="shared" si="12"/>
        <v>1.7016469994320715</v>
      </c>
      <c r="E80" s="750">
        <f t="shared" si="14"/>
        <v>7.2061165383075165</v>
      </c>
      <c r="F80" s="751">
        <f t="shared" si="9"/>
        <v>17.212072727272741</v>
      </c>
      <c r="G80" s="840">
        <f t="shared" si="11"/>
        <v>22.583456930975476</v>
      </c>
      <c r="H80" s="842">
        <f>$B$322/B80</f>
        <v>3.1555654211232351</v>
      </c>
      <c r="I80" s="745"/>
      <c r="J80" s="745"/>
    </row>
    <row r="81" spans="1:10" ht="16.5" hidden="1" thickBot="1">
      <c r="A81" s="973" t="s">
        <v>561</v>
      </c>
      <c r="B81" s="748">
        <f>geral!C405</f>
        <v>8160</v>
      </c>
      <c r="C81" s="748">
        <f t="shared" si="13"/>
        <v>150.73511075151427</v>
      </c>
      <c r="D81" s="750">
        <f t="shared" si="12"/>
        <v>1.2616758062774736</v>
      </c>
      <c r="E81" s="750">
        <f t="shared" si="14"/>
        <v>8.5587101735209679</v>
      </c>
      <c r="F81" s="751">
        <f t="shared" si="9"/>
        <v>19.929453262786588</v>
      </c>
      <c r="G81" s="840">
        <f t="shared" si="11"/>
        <v>26.822884692198066</v>
      </c>
      <c r="H81" s="842">
        <f>$B$322/B81</f>
        <v>3.1162484681372544</v>
      </c>
      <c r="I81" s="745"/>
      <c r="J81" s="745"/>
    </row>
    <row r="82" spans="1:10" ht="16.5" hidden="1" thickBot="1">
      <c r="A82" s="973" t="s">
        <v>562</v>
      </c>
      <c r="B82" s="748">
        <f>geral!C406</f>
        <v>7884</v>
      </c>
      <c r="C82" s="748">
        <f t="shared" si="13"/>
        <v>145.63671729962482</v>
      </c>
      <c r="D82" s="750">
        <f t="shared" si="12"/>
        <v>-3.3823529411764697</v>
      </c>
      <c r="E82" s="750">
        <f t="shared" si="14"/>
        <v>4.8868714470636565</v>
      </c>
      <c r="F82" s="751">
        <f t="shared" si="9"/>
        <v>10.912127039684428</v>
      </c>
      <c r="G82" s="840">
        <f t="shared" si="11"/>
        <v>24.82919901263967</v>
      </c>
      <c r="H82" s="842">
        <f>$B$322/B82</f>
        <v>3.225340880263825</v>
      </c>
      <c r="I82" s="745"/>
      <c r="J82" s="745"/>
    </row>
    <row r="83" spans="1:10" ht="16.5" hidden="1" thickBot="1">
      <c r="A83" s="973" t="s">
        <v>534</v>
      </c>
      <c r="B83" s="748">
        <f>geral!C407</f>
        <v>8187.5</v>
      </c>
      <c r="C83" s="748">
        <f t="shared" si="13"/>
        <v>151.24310285269891</v>
      </c>
      <c r="D83" s="750">
        <f t="shared" si="12"/>
        <v>3.8495687468290241</v>
      </c>
      <c r="E83" s="750">
        <f t="shared" si="14"/>
        <v>8.9245636698165534</v>
      </c>
      <c r="F83" s="751">
        <f t="shared" si="9"/>
        <v>13.47886347886349</v>
      </c>
      <c r="G83" s="840">
        <f t="shared" si="11"/>
        <v>28.19007358697354</v>
      </c>
      <c r="H83" s="842">
        <f>$B$322/B83</f>
        <v>3.1057816793893127</v>
      </c>
      <c r="I83" s="745"/>
      <c r="J83" s="745"/>
    </row>
    <row r="84" spans="1:10" ht="16.5" hidden="1" thickBot="1">
      <c r="A84" s="973" t="s">
        <v>563</v>
      </c>
      <c r="B84" s="748">
        <f>geral!C408</f>
        <v>8573.75</v>
      </c>
      <c r="C84" s="748">
        <f t="shared" si="13"/>
        <v>158.37808281933769</v>
      </c>
      <c r="D84" s="750">
        <f t="shared" si="12"/>
        <v>4.7175572519084108</v>
      </c>
      <c r="E84" s="750">
        <f t="shared" si="14"/>
        <v>14.063142322331569</v>
      </c>
      <c r="F84" s="751">
        <f t="shared" ref="F84:F115" si="15">100*((C84/C72)-1)</f>
        <v>17.448630136986299</v>
      </c>
      <c r="G84" s="840">
        <f t="shared" si="11"/>
        <v>30.649609898817509</v>
      </c>
      <c r="H84" s="842">
        <f>$B$322/B84</f>
        <v>2.96586528648491</v>
      </c>
      <c r="I84" s="745"/>
      <c r="J84" s="745"/>
    </row>
    <row r="85" spans="1:10" ht="16.5" hidden="1" thickBot="1">
      <c r="A85" s="973" t="s">
        <v>564</v>
      </c>
      <c r="B85" s="748">
        <f>geral!C409</f>
        <v>8040</v>
      </c>
      <c r="C85" s="748">
        <f t="shared" si="13"/>
        <v>148.51841794634495</v>
      </c>
      <c r="D85" s="750">
        <f t="shared" si="12"/>
        <v>-6.2253972882344355</v>
      </c>
      <c r="E85" s="750">
        <f t="shared" si="14"/>
        <v>6.9622585533221537</v>
      </c>
      <c r="F85" s="751">
        <f t="shared" si="15"/>
        <v>6.9622585533221537</v>
      </c>
      <c r="G85" s="840">
        <f t="shared" si="11"/>
        <v>23.117820998326287</v>
      </c>
      <c r="H85" s="842">
        <f>$B$322/B85</f>
        <v>3.1627596393034825</v>
      </c>
      <c r="I85" s="745"/>
      <c r="J85" s="745"/>
    </row>
    <row r="86" spans="1:10" ht="16.5" hidden="1" thickBot="1">
      <c r="A86" s="973" t="s">
        <v>546</v>
      </c>
      <c r="B86" s="748">
        <f>geral!E398</f>
        <v>8478</v>
      </c>
      <c r="C86" s="748">
        <f t="shared" si="13"/>
        <v>156.60934668521298</v>
      </c>
      <c r="D86" s="750">
        <f t="shared" si="12"/>
        <v>5.4477611940298321</v>
      </c>
      <c r="E86" s="750">
        <f t="shared" ref="E86:E97" si="16">100*((C86/$C$85)-1)</f>
        <v>5.4477611940298321</v>
      </c>
      <c r="F86" s="751">
        <f t="shared" si="15"/>
        <v>15.504087193460482</v>
      </c>
      <c r="G86" s="840">
        <f t="shared" si="11"/>
        <v>29.435114503816795</v>
      </c>
      <c r="H86" s="842">
        <f>$B$322/B86</f>
        <v>2.9993615829204998</v>
      </c>
      <c r="I86" s="745"/>
      <c r="J86" s="745"/>
    </row>
    <row r="87" spans="1:10" ht="16.5" hidden="1" thickBot="1">
      <c r="A87" s="973" t="s">
        <v>547</v>
      </c>
      <c r="B87" s="748">
        <f>geral!E399</f>
        <v>8525</v>
      </c>
      <c r="C87" s="748">
        <f t="shared" si="13"/>
        <v>157.47755136723765</v>
      </c>
      <c r="D87" s="750">
        <f t="shared" si="12"/>
        <v>0.5543760320830371</v>
      </c>
      <c r="E87" s="750">
        <f t="shared" si="16"/>
        <v>6.0323383084577076</v>
      </c>
      <c r="F87" s="751">
        <f t="shared" si="15"/>
        <v>10.954494991104124</v>
      </c>
      <c r="G87" s="840">
        <f t="shared" si="11"/>
        <v>23.24707243024433</v>
      </c>
      <c r="H87" s="842">
        <f>$B$322/B87</f>
        <v>2.9828255131964805</v>
      </c>
      <c r="I87" s="745"/>
      <c r="J87" s="745"/>
    </row>
    <row r="88" spans="1:10" ht="16.5" hidden="1" thickBot="1">
      <c r="A88" s="973" t="s">
        <v>548</v>
      </c>
      <c r="B88" s="748">
        <f>geral!E400</f>
        <v>8025</v>
      </c>
      <c r="C88" s="748">
        <f t="shared" si="13"/>
        <v>148.24133134569877</v>
      </c>
      <c r="D88" s="750">
        <f t="shared" si="12"/>
        <v>-5.8651026392962047</v>
      </c>
      <c r="E88" s="750">
        <f t="shared" si="16"/>
        <v>-0.18656716417911889</v>
      </c>
      <c r="F88" s="751">
        <f t="shared" si="15"/>
        <v>5.2459016393442415</v>
      </c>
      <c r="G88" s="840">
        <f t="shared" si="11"/>
        <v>14.612402990062634</v>
      </c>
      <c r="H88" s="842">
        <f>$B$322/B88</f>
        <v>3.1686713395638626</v>
      </c>
      <c r="I88" s="745"/>
      <c r="J88" s="745"/>
    </row>
    <row r="89" spans="1:10" ht="16.5" hidden="1" thickBot="1">
      <c r="A89" s="973" t="s">
        <v>549</v>
      </c>
      <c r="B89" s="748">
        <f>geral!E401</f>
        <v>8063</v>
      </c>
      <c r="C89" s="748">
        <f t="shared" si="13"/>
        <v>148.94328406733572</v>
      </c>
      <c r="D89" s="750">
        <f t="shared" si="12"/>
        <v>0.47352024922118208</v>
      </c>
      <c r="E89" s="750">
        <f t="shared" si="16"/>
        <v>0.28606965174127197</v>
      </c>
      <c r="F89" s="751">
        <f t="shared" si="15"/>
        <v>4.9869791666666607</v>
      </c>
      <c r="G89" s="840">
        <f t="shared" si="11"/>
        <v>17.393893420962581</v>
      </c>
      <c r="H89" s="842">
        <f>$B$322/B89</f>
        <v>3.153737752697507</v>
      </c>
      <c r="I89" s="745"/>
      <c r="J89" s="745"/>
    </row>
    <row r="90" spans="1:10" ht="16.5" hidden="1" thickBot="1">
      <c r="A90" s="973" t="s">
        <v>550</v>
      </c>
      <c r="B90" s="748">
        <f>geral!E402</f>
        <v>8220</v>
      </c>
      <c r="C90" s="748">
        <f t="shared" ref="C90:C157" si="17">100*B90/$B$8</f>
        <v>151.84345715409893</v>
      </c>
      <c r="D90" s="750">
        <f t="shared" si="12"/>
        <v>1.9471660672206292</v>
      </c>
      <c r="E90" s="750">
        <f t="shared" si="16"/>
        <v>2.2388059701492491</v>
      </c>
      <c r="F90" s="751">
        <f t="shared" si="15"/>
        <v>2.4937655860349128</v>
      </c>
      <c r="G90" s="840">
        <f t="shared" si="11"/>
        <v>18.297210948968146</v>
      </c>
      <c r="H90" s="842">
        <f>$B$322/B90</f>
        <v>3.0935021289537712</v>
      </c>
      <c r="I90" s="745"/>
      <c r="J90" s="745"/>
    </row>
    <row r="91" spans="1:10" ht="16.5" hidden="1" thickBot="1">
      <c r="A91" s="973" t="s">
        <v>551</v>
      </c>
      <c r="B91" s="748">
        <f>geral!E403</f>
        <v>8416</v>
      </c>
      <c r="C91" s="748">
        <f t="shared" si="17"/>
        <v>155.46405540254216</v>
      </c>
      <c r="D91" s="750">
        <f t="shared" si="12"/>
        <v>2.3844282238442815</v>
      </c>
      <c r="E91" s="750">
        <f t="shared" si="16"/>
        <v>4.6766169154228709</v>
      </c>
      <c r="F91" s="751">
        <f t="shared" si="15"/>
        <v>6.21568751183188</v>
      </c>
      <c r="G91" s="840">
        <f t="shared" si="11"/>
        <v>23.741231442858624</v>
      </c>
      <c r="H91" s="842">
        <f>$B$322/B91</f>
        <v>3.0214576402091251</v>
      </c>
      <c r="I91" s="745"/>
      <c r="J91" s="745"/>
    </row>
    <row r="92" spans="1:10" ht="16.5" hidden="1" thickBot="1">
      <c r="A92" s="973" t="s">
        <v>552</v>
      </c>
      <c r="B92" s="748">
        <f>geral!E404</f>
        <v>8286</v>
      </c>
      <c r="C92" s="748">
        <f t="shared" si="17"/>
        <v>153.06263819694206</v>
      </c>
      <c r="D92" s="750">
        <f t="shared" si="12"/>
        <v>-1.5446768060836447</v>
      </c>
      <c r="E92" s="750">
        <f t="shared" si="16"/>
        <v>3.0597014925372923</v>
      </c>
      <c r="F92" s="751">
        <f t="shared" si="15"/>
        <v>2.8252752121097124</v>
      </c>
      <c r="G92" s="840">
        <f t="shared" si="11"/>
        <v>20.523636363636367</v>
      </c>
      <c r="H92" s="842">
        <f>$B$322/B92</f>
        <v>3.0688616340815833</v>
      </c>
      <c r="I92" s="745"/>
      <c r="J92" s="745"/>
    </row>
    <row r="93" spans="1:10" ht="16.5" hidden="1" thickBot="1">
      <c r="A93" s="973" t="s">
        <v>553</v>
      </c>
      <c r="B93" s="748">
        <f>geral!E405</f>
        <v>8401</v>
      </c>
      <c r="C93" s="748">
        <f t="shared" si="17"/>
        <v>155.186968801896</v>
      </c>
      <c r="D93" s="750">
        <f t="shared" si="12"/>
        <v>1.387883176442184</v>
      </c>
      <c r="E93" s="750">
        <f t="shared" si="16"/>
        <v>4.4900497512437632</v>
      </c>
      <c r="F93" s="751">
        <f t="shared" si="15"/>
        <v>2.9534313725490202</v>
      </c>
      <c r="G93" s="840">
        <f t="shared" si="11"/>
        <v>23.471487360376251</v>
      </c>
      <c r="H93" s="842">
        <f>$B$322/B93</f>
        <v>3.0268524580407092</v>
      </c>
      <c r="I93" s="745"/>
      <c r="J93" s="745"/>
    </row>
    <row r="94" spans="1:10" ht="16.5" hidden="1" thickBot="1">
      <c r="A94" s="973" t="s">
        <v>554</v>
      </c>
      <c r="B94" s="748">
        <f>geral!E406</f>
        <v>8746</v>
      </c>
      <c r="C94" s="748">
        <f t="shared" si="17"/>
        <v>161.55996061675782</v>
      </c>
      <c r="D94" s="750">
        <f t="shared" si="12"/>
        <v>4.1066539697655058</v>
      </c>
      <c r="E94" s="750">
        <f t="shared" si="16"/>
        <v>8.7810945273631766</v>
      </c>
      <c r="F94" s="751">
        <f t="shared" si="15"/>
        <v>10.93353627600202</v>
      </c>
      <c r="G94" s="840">
        <f t="shared" si="11"/>
        <v>23.038744684053782</v>
      </c>
      <c r="H94" s="842">
        <f>$B$322/B94</f>
        <v>2.9074534072718956</v>
      </c>
      <c r="I94" s="745"/>
      <c r="J94" s="745"/>
    </row>
    <row r="95" spans="1:10" ht="16.5" hidden="1" thickBot="1">
      <c r="A95" s="973" t="s">
        <v>533</v>
      </c>
      <c r="B95" s="748">
        <f>geral!E407</f>
        <v>8720</v>
      </c>
      <c r="C95" s="748">
        <f t="shared" si="17"/>
        <v>161.07967717563781</v>
      </c>
      <c r="D95" s="750">
        <f t="shared" si="12"/>
        <v>-0.29727875600273901</v>
      </c>
      <c r="E95" s="750">
        <f t="shared" si="16"/>
        <v>8.4577114427860636</v>
      </c>
      <c r="F95" s="751">
        <f t="shared" si="15"/>
        <v>6.5038167938931357</v>
      </c>
      <c r="G95" s="840">
        <f t="shared" si="11"/>
        <v>20.859320859320874</v>
      </c>
      <c r="H95" s="842">
        <f>$B$322/B95</f>
        <v>2.9161224197247706</v>
      </c>
      <c r="I95" s="745"/>
      <c r="J95" s="745"/>
    </row>
    <row r="96" spans="1:10" ht="16.5" hidden="1" thickBot="1">
      <c r="A96" s="973" t="s">
        <v>555</v>
      </c>
      <c r="B96" s="748">
        <f>geral!E408</f>
        <v>8180</v>
      </c>
      <c r="C96" s="748">
        <f t="shared" si="17"/>
        <v>151.10455955237583</v>
      </c>
      <c r="D96" s="750">
        <f t="shared" si="12"/>
        <v>-6.1926605504587169</v>
      </c>
      <c r="E96" s="750">
        <f t="shared" si="16"/>
        <v>1.741293532338295</v>
      </c>
      <c r="F96" s="751">
        <f t="shared" si="15"/>
        <v>-4.5925061962385216</v>
      </c>
      <c r="G96" s="840">
        <f t="shared" ref="G96:G127" si="18">100*(C96/C72-1)</f>
        <v>12.05479452054794</v>
      </c>
      <c r="H96" s="842">
        <f>$B$322/B96</f>
        <v>3.1086292787286061</v>
      </c>
      <c r="I96" s="745"/>
      <c r="J96" s="745"/>
    </row>
    <row r="97" spans="1:10" ht="16.5" hidden="1" thickBot="1">
      <c r="A97" s="973" t="s">
        <v>556</v>
      </c>
      <c r="B97" s="748">
        <f>geral!E409</f>
        <v>8420</v>
      </c>
      <c r="C97" s="748">
        <f t="shared" si="17"/>
        <v>155.53794516271449</v>
      </c>
      <c r="D97" s="750">
        <f t="shared" si="12"/>
        <v>2.9339853300733632</v>
      </c>
      <c r="E97" s="750">
        <f t="shared" si="16"/>
        <v>4.7263681592039752</v>
      </c>
      <c r="F97" s="751">
        <f t="shared" si="15"/>
        <v>4.7263681592039752</v>
      </c>
      <c r="G97" s="840">
        <f t="shared" si="18"/>
        <v>12.01768868395181</v>
      </c>
      <c r="H97" s="842">
        <f>$B$322/B97</f>
        <v>3.0200222684085509</v>
      </c>
      <c r="I97" s="745"/>
      <c r="J97" s="745"/>
    </row>
    <row r="98" spans="1:10" ht="16.5" hidden="1" thickBot="1">
      <c r="A98" s="973" t="s">
        <v>535</v>
      </c>
      <c r="B98" s="748">
        <f>geral!G398</f>
        <v>8880</v>
      </c>
      <c r="C98" s="748">
        <f t="shared" si="17"/>
        <v>164.03526758253022</v>
      </c>
      <c r="D98" s="750">
        <f t="shared" si="12"/>
        <v>5.4631828978622066</v>
      </c>
      <c r="E98" s="750">
        <f t="shared" ref="E98:E109" si="19">100*((C98/$C$97)-1)</f>
        <v>5.4631828978622066</v>
      </c>
      <c r="F98" s="751">
        <f t="shared" si="15"/>
        <v>4.7416843595187608</v>
      </c>
      <c r="G98" s="840">
        <f t="shared" si="18"/>
        <v>20.980926430517698</v>
      </c>
      <c r="H98" s="842">
        <f>$B$322/B98</f>
        <v>2.8635796734234233</v>
      </c>
      <c r="I98" s="745"/>
      <c r="J98" s="745"/>
    </row>
    <row r="99" spans="1:10" ht="16.5" hidden="1" thickBot="1">
      <c r="A99" s="973" t="s">
        <v>536</v>
      </c>
      <c r="B99" s="748">
        <f>geral!G399</f>
        <v>8500</v>
      </c>
      <c r="C99" s="748">
        <f t="shared" si="17"/>
        <v>157.01574036616068</v>
      </c>
      <c r="D99" s="750">
        <f t="shared" si="12"/>
        <v>-4.2792792792792795</v>
      </c>
      <c r="E99" s="750">
        <f t="shared" si="19"/>
        <v>0.95011876484558666</v>
      </c>
      <c r="F99" s="751">
        <f t="shared" si="15"/>
        <v>-0.29325513196482023</v>
      </c>
      <c r="G99" s="840">
        <f t="shared" si="18"/>
        <v>10.629115240397047</v>
      </c>
      <c r="H99" s="842">
        <f>$B$322/B99</f>
        <v>2.9915985294117644</v>
      </c>
      <c r="I99" s="745"/>
      <c r="J99" s="745"/>
    </row>
    <row r="100" spans="1:10" ht="16.5" hidden="1" thickBot="1">
      <c r="A100" s="973" t="s">
        <v>537</v>
      </c>
      <c r="B100" s="748">
        <f>geral!G400</f>
        <v>8790</v>
      </c>
      <c r="C100" s="748">
        <f t="shared" si="17"/>
        <v>162.37274797865325</v>
      </c>
      <c r="D100" s="750">
        <f t="shared" si="12"/>
        <v>3.4117647058823586</v>
      </c>
      <c r="E100" s="750">
        <f t="shared" si="19"/>
        <v>4.3942992874109299</v>
      </c>
      <c r="F100" s="751">
        <f t="shared" si="15"/>
        <v>9.5327102803738342</v>
      </c>
      <c r="G100" s="840">
        <f t="shared" si="18"/>
        <v>15.278688524590155</v>
      </c>
      <c r="H100" s="842">
        <f>$B$322/B100</f>
        <v>2.89289960182025</v>
      </c>
      <c r="I100" s="745"/>
      <c r="J100" s="745"/>
    </row>
    <row r="101" spans="1:10" ht="16.5" hidden="1" thickBot="1">
      <c r="A101" s="973" t="s">
        <v>538</v>
      </c>
      <c r="B101" s="748">
        <f>geral!G401</f>
        <v>8634</v>
      </c>
      <c r="C101" s="748">
        <f t="shared" si="17"/>
        <v>159.49104733193312</v>
      </c>
      <c r="D101" s="750">
        <f t="shared" si="12"/>
        <v>-1.774744027303754</v>
      </c>
      <c r="E101" s="750">
        <f t="shared" si="19"/>
        <v>2.5415676959619882</v>
      </c>
      <c r="F101" s="751">
        <f t="shared" si="15"/>
        <v>7.081731365496724</v>
      </c>
      <c r="G101" s="840">
        <f t="shared" si="18"/>
        <v>12.421875000000004</v>
      </c>
      <c r="H101" s="842">
        <f>$B$322/B101</f>
        <v>2.9451688093583503</v>
      </c>
      <c r="I101" s="745"/>
      <c r="J101" s="745"/>
    </row>
    <row r="102" spans="1:10" ht="16.5" hidden="1" thickBot="1">
      <c r="A102" s="973" t="s">
        <v>539</v>
      </c>
      <c r="B102" s="748">
        <f>geral!G402</f>
        <v>8493</v>
      </c>
      <c r="C102" s="748">
        <f t="shared" si="17"/>
        <v>156.88643328585914</v>
      </c>
      <c r="D102" s="750">
        <f t="shared" si="12"/>
        <v>-1.6330785267547054</v>
      </c>
      <c r="E102" s="750">
        <f t="shared" si="19"/>
        <v>0.86698337292159255</v>
      </c>
      <c r="F102" s="751">
        <f t="shared" si="15"/>
        <v>3.3211678832116842</v>
      </c>
      <c r="G102" s="840">
        <f t="shared" si="18"/>
        <v>5.897755610972566</v>
      </c>
      <c r="H102" s="842">
        <f>$B$322/B102</f>
        <v>2.9940642293653594</v>
      </c>
      <c r="I102" s="745"/>
      <c r="J102" s="745"/>
    </row>
    <row r="103" spans="1:10" ht="16.5" hidden="1" thickBot="1">
      <c r="A103" s="973" t="s">
        <v>540</v>
      </c>
      <c r="B103" s="748">
        <f>geral!G403</f>
        <v>8553.4</v>
      </c>
      <c r="C103" s="748">
        <f t="shared" si="17"/>
        <v>158.00216866446104</v>
      </c>
      <c r="D103" s="750">
        <f t="shared" si="12"/>
        <v>0.71117390792416746</v>
      </c>
      <c r="E103" s="750">
        <f t="shared" si="19"/>
        <v>1.5843230403800312</v>
      </c>
      <c r="F103" s="751">
        <f t="shared" si="15"/>
        <v>1.6326045627376384</v>
      </c>
      <c r="G103" s="840">
        <f t="shared" si="18"/>
        <v>7.9497696724932121</v>
      </c>
      <c r="H103" s="842">
        <f>$B$322/B103</f>
        <v>2.9729215867374377</v>
      </c>
      <c r="I103" s="745"/>
      <c r="J103" s="745"/>
    </row>
    <row r="104" spans="1:10" ht="16.5" hidden="1" thickBot="1">
      <c r="A104" s="973" t="s">
        <v>541</v>
      </c>
      <c r="B104" s="748">
        <f>geral!G404</f>
        <v>8577</v>
      </c>
      <c r="C104" s="748">
        <f t="shared" si="17"/>
        <v>158.4381182494777</v>
      </c>
      <c r="D104" s="750">
        <f t="shared" si="12"/>
        <v>0.27591367175627823</v>
      </c>
      <c r="E104" s="750">
        <f t="shared" si="19"/>
        <v>1.8646080760094996</v>
      </c>
      <c r="F104" s="751">
        <f t="shared" si="15"/>
        <v>3.5119478638667712</v>
      </c>
      <c r="G104" s="840">
        <f t="shared" si="18"/>
        <v>6.4364452684365192</v>
      </c>
      <c r="H104" s="842">
        <f>$B$322/B104</f>
        <v>2.9647414597178496</v>
      </c>
      <c r="I104" s="745"/>
      <c r="J104" s="745"/>
    </row>
    <row r="105" spans="1:10" ht="16.5" hidden="1" thickBot="1">
      <c r="A105" s="973" t="s">
        <v>542</v>
      </c>
      <c r="B105" s="748">
        <f>geral!G405</f>
        <v>8626</v>
      </c>
      <c r="C105" s="748">
        <f t="shared" si="17"/>
        <v>159.3432678115885</v>
      </c>
      <c r="D105" s="750">
        <f t="shared" ref="D105:D136" si="20">100*((C105/C104)-1)</f>
        <v>0.57129532470561184</v>
      </c>
      <c r="E105" s="750">
        <f t="shared" si="19"/>
        <v>2.4465558194774362</v>
      </c>
      <c r="F105" s="751">
        <f t="shared" si="15"/>
        <v>2.6782525889775144</v>
      </c>
      <c r="G105" s="840">
        <f t="shared" si="18"/>
        <v>5.7107843137254921</v>
      </c>
      <c r="H105" s="842">
        <f>$B$322/B105</f>
        <v>2.9479002434500345</v>
      </c>
      <c r="I105" s="745"/>
      <c r="J105" s="745"/>
    </row>
    <row r="106" spans="1:10" ht="16.5" hidden="1" thickBot="1">
      <c r="A106" s="973" t="s">
        <v>543</v>
      </c>
      <c r="B106" s="748">
        <f>geral!G406</f>
        <v>8670</v>
      </c>
      <c r="C106" s="748">
        <f t="shared" si="17"/>
        <v>160.15605517348391</v>
      </c>
      <c r="D106" s="750">
        <f t="shared" si="20"/>
        <v>0.51008578715510122</v>
      </c>
      <c r="E106" s="750">
        <f t="shared" si="19"/>
        <v>2.9691211401424944</v>
      </c>
      <c r="F106" s="751">
        <f t="shared" si="15"/>
        <v>-0.86896867139264478</v>
      </c>
      <c r="G106" s="840">
        <f t="shared" si="18"/>
        <v>9.9695585996955707</v>
      </c>
      <c r="H106" s="842">
        <f>$B$322/B106</f>
        <v>2.932939734717416</v>
      </c>
      <c r="I106" s="745"/>
      <c r="J106" s="745"/>
    </row>
    <row r="107" spans="1:10" ht="16.5" hidden="1" thickBot="1">
      <c r="A107" s="973" t="s">
        <v>532</v>
      </c>
      <c r="B107" s="748">
        <f>geral!G407</f>
        <v>8700</v>
      </c>
      <c r="C107" s="748">
        <f t="shared" si="17"/>
        <v>160.71022837477625</v>
      </c>
      <c r="D107" s="750">
        <f t="shared" si="20"/>
        <v>0.34602076124568004</v>
      </c>
      <c r="E107" s="750">
        <f t="shared" si="19"/>
        <v>3.3254156769596088</v>
      </c>
      <c r="F107" s="751">
        <f t="shared" si="15"/>
        <v>-0.22935779816514179</v>
      </c>
      <c r="G107" s="840">
        <f t="shared" si="18"/>
        <v>6.2595419847328193</v>
      </c>
      <c r="H107" s="842">
        <f>$B$322/B107</f>
        <v>2.922826149425287</v>
      </c>
      <c r="I107" s="745"/>
      <c r="J107" s="745"/>
    </row>
    <row r="108" spans="1:10" ht="16.5" hidden="1" thickBot="1">
      <c r="A108" s="973" t="s">
        <v>544</v>
      </c>
      <c r="B108" s="748">
        <f>geral!G408</f>
        <v>10020</v>
      </c>
      <c r="C108" s="748">
        <f t="shared" si="17"/>
        <v>185.09384923163884</v>
      </c>
      <c r="D108" s="750">
        <f t="shared" si="20"/>
        <v>15.172413793103434</v>
      </c>
      <c r="E108" s="750">
        <f t="shared" si="19"/>
        <v>19.00237529691211</v>
      </c>
      <c r="F108" s="751">
        <f t="shared" si="15"/>
        <v>22.49388753056234</v>
      </c>
      <c r="G108" s="840">
        <f t="shared" si="18"/>
        <v>16.868348155707814</v>
      </c>
      <c r="H108" s="842">
        <f>$B$322/B108</f>
        <v>2.5377831836327345</v>
      </c>
      <c r="I108" s="745"/>
      <c r="J108" s="745"/>
    </row>
    <row r="109" spans="1:10" ht="16.5" hidden="1" thickBot="1">
      <c r="A109" s="973" t="s">
        <v>545</v>
      </c>
      <c r="B109" s="748">
        <f>geral!G409</f>
        <v>10500</v>
      </c>
      <c r="C109" s="748">
        <f t="shared" si="17"/>
        <v>193.96062045231616</v>
      </c>
      <c r="D109" s="750">
        <f t="shared" si="20"/>
        <v>4.7904191616766623</v>
      </c>
      <c r="E109" s="750">
        <f t="shared" si="19"/>
        <v>24.703087885985742</v>
      </c>
      <c r="F109" s="751">
        <f t="shared" si="15"/>
        <v>24.703087885985742</v>
      </c>
      <c r="G109" s="840">
        <f t="shared" si="18"/>
        <v>30.597014925373124</v>
      </c>
      <c r="H109" s="842">
        <f>$B$322/B109</f>
        <v>2.4217702380952377</v>
      </c>
      <c r="I109" s="745"/>
      <c r="J109" s="745"/>
    </row>
    <row r="110" spans="1:10" ht="16.5" hidden="1" thickBot="1">
      <c r="A110" s="973" t="s">
        <v>565</v>
      </c>
      <c r="B110" s="748">
        <f>geral!I398</f>
        <v>10640</v>
      </c>
      <c r="C110" s="748">
        <f t="shared" si="17"/>
        <v>196.54676205834704</v>
      </c>
      <c r="D110" s="750">
        <f t="shared" si="20"/>
        <v>1.3333333333333419</v>
      </c>
      <c r="E110" s="750">
        <f t="shared" ref="E110:E121" si="21">100*((C110/$C$109)-1)</f>
        <v>1.3333333333333419</v>
      </c>
      <c r="F110" s="751">
        <f t="shared" si="15"/>
        <v>19.819819819819841</v>
      </c>
      <c r="G110" s="840">
        <f t="shared" si="18"/>
        <v>25.501297475819772</v>
      </c>
      <c r="H110" s="842">
        <f>$B$322/B110</f>
        <v>2.3899048402255638</v>
      </c>
      <c r="I110" s="745"/>
      <c r="J110" s="745"/>
    </row>
    <row r="111" spans="1:10" ht="16.5" hidden="1" thickBot="1">
      <c r="A111" s="973" t="s">
        <v>566</v>
      </c>
      <c r="B111" s="748">
        <f>geral!I399</f>
        <v>10940</v>
      </c>
      <c r="C111" s="748">
        <f t="shared" si="17"/>
        <v>202.08849407127036</v>
      </c>
      <c r="D111" s="750">
        <f t="shared" si="20"/>
        <v>2.8195488721804551</v>
      </c>
      <c r="E111" s="750">
        <f t="shared" si="21"/>
        <v>4.1904761904761889</v>
      </c>
      <c r="F111" s="751">
        <f t="shared" si="15"/>
        <v>28.705882352941181</v>
      </c>
      <c r="G111" s="840">
        <f t="shared" si="18"/>
        <v>28.328445747800579</v>
      </c>
      <c r="H111" s="842">
        <f>$B$322/B111</f>
        <v>2.3243681444241315</v>
      </c>
      <c r="I111" s="745"/>
      <c r="J111" s="745"/>
    </row>
    <row r="112" spans="1:10" ht="16.5" hidden="1" thickBot="1">
      <c r="A112" s="973" t="s">
        <v>567</v>
      </c>
      <c r="B112" s="748">
        <f>geral!I400</f>
        <v>10740</v>
      </c>
      <c r="C112" s="748">
        <f t="shared" si="17"/>
        <v>198.39400606265482</v>
      </c>
      <c r="D112" s="750">
        <f t="shared" si="20"/>
        <v>-1.8281535648994485</v>
      </c>
      <c r="E112" s="750">
        <f t="shared" si="21"/>
        <v>2.2857142857142909</v>
      </c>
      <c r="F112" s="751">
        <f t="shared" si="15"/>
        <v>22.184300341296925</v>
      </c>
      <c r="G112" s="840">
        <f t="shared" si="18"/>
        <v>33.831775700934585</v>
      </c>
      <c r="H112" s="842">
        <f>$B$322/B112</f>
        <v>2.3676524674115456</v>
      </c>
      <c r="I112" s="745"/>
      <c r="J112" s="745"/>
    </row>
    <row r="113" spans="1:10" ht="16.5" hidden="1" thickBot="1">
      <c r="A113" s="973" t="s">
        <v>568</v>
      </c>
      <c r="B113" s="748">
        <f>geral!I401</f>
        <v>11300</v>
      </c>
      <c r="C113" s="748">
        <f t="shared" si="17"/>
        <v>208.73857248677834</v>
      </c>
      <c r="D113" s="750">
        <f t="shared" si="20"/>
        <v>5.2141527001862142</v>
      </c>
      <c r="E113" s="750">
        <f t="shared" si="21"/>
        <v>7.6190476190476142</v>
      </c>
      <c r="F113" s="751">
        <f t="shared" si="15"/>
        <v>30.877924484595788</v>
      </c>
      <c r="G113" s="840">
        <f t="shared" si="18"/>
        <v>40.146347513332501</v>
      </c>
      <c r="H113" s="842">
        <f>$B$322/B113</f>
        <v>2.2503174778761061</v>
      </c>
      <c r="I113" s="745"/>
      <c r="J113" s="745"/>
    </row>
    <row r="114" spans="1:10" ht="16.5" hidden="1" thickBot="1">
      <c r="A114" s="973" t="s">
        <v>569</v>
      </c>
      <c r="B114" s="748">
        <f>geral!I402</f>
        <v>11240</v>
      </c>
      <c r="C114" s="748">
        <f t="shared" si="17"/>
        <v>207.63022608419368</v>
      </c>
      <c r="D114" s="750">
        <f t="shared" si="20"/>
        <v>-0.53097345132743223</v>
      </c>
      <c r="E114" s="750">
        <f t="shared" si="21"/>
        <v>7.0476190476190359</v>
      </c>
      <c r="F114" s="751">
        <f t="shared" si="15"/>
        <v>32.344283527610983</v>
      </c>
      <c r="G114" s="840">
        <f t="shared" si="18"/>
        <v>36.739659367396605</v>
      </c>
      <c r="H114" s="842">
        <f>$B$322/B114</f>
        <v>2.2623298487544483</v>
      </c>
      <c r="I114" s="745"/>
      <c r="J114" s="745"/>
    </row>
    <row r="115" spans="1:10" ht="16.5" hidden="1" thickBot="1">
      <c r="A115" s="973" t="s">
        <v>570</v>
      </c>
      <c r="B115" s="748">
        <f>geral!I403</f>
        <v>11560</v>
      </c>
      <c r="C115" s="748">
        <f t="shared" si="17"/>
        <v>213.54140689797856</v>
      </c>
      <c r="D115" s="750">
        <f t="shared" si="20"/>
        <v>2.8469750889679846</v>
      </c>
      <c r="E115" s="750">
        <f t="shared" si="21"/>
        <v>10.095238095238091</v>
      </c>
      <c r="F115" s="751">
        <f t="shared" si="15"/>
        <v>35.150934131456509</v>
      </c>
      <c r="G115" s="840">
        <f t="shared" si="18"/>
        <v>37.357414448669225</v>
      </c>
      <c r="H115" s="842">
        <f>$B$322/B115</f>
        <v>2.1997048010380622</v>
      </c>
      <c r="I115" s="745"/>
      <c r="J115" s="745"/>
    </row>
    <row r="116" spans="1:10" ht="16.5" hidden="1" thickBot="1">
      <c r="A116" s="973" t="s">
        <v>571</v>
      </c>
      <c r="B116" s="748">
        <f>geral!I404</f>
        <v>11775</v>
      </c>
      <c r="C116" s="748">
        <f t="shared" si="17"/>
        <v>217.51298150724026</v>
      </c>
      <c r="D116" s="750">
        <f t="shared" si="20"/>
        <v>1.8598615916954886</v>
      </c>
      <c r="E116" s="750">
        <f t="shared" si="21"/>
        <v>12.142857142857144</v>
      </c>
      <c r="F116" s="751">
        <f t="shared" ref="F116:F147" si="22">100*((C116/C104)-1)</f>
        <v>37.285764253235378</v>
      </c>
      <c r="G116" s="840">
        <f t="shared" si="18"/>
        <v>42.107168718320054</v>
      </c>
      <c r="H116" s="842">
        <f>$B$322/B116</f>
        <v>2.1595403397027599</v>
      </c>
      <c r="I116" s="745"/>
      <c r="J116" s="745"/>
    </row>
    <row r="117" spans="1:10" ht="16.5" hidden="1" thickBot="1">
      <c r="A117" s="973" t="s">
        <v>572</v>
      </c>
      <c r="B117" s="748">
        <f>geral!I405</f>
        <v>12015</v>
      </c>
      <c r="C117" s="748">
        <f t="shared" si="17"/>
        <v>221.94636711757892</v>
      </c>
      <c r="D117" s="750">
        <f t="shared" si="20"/>
        <v>2.0382165605095537</v>
      </c>
      <c r="E117" s="750">
        <f t="shared" si="21"/>
        <v>14.428571428571434</v>
      </c>
      <c r="F117" s="751">
        <f t="shared" si="22"/>
        <v>39.288198469742632</v>
      </c>
      <c r="G117" s="840">
        <f t="shared" si="18"/>
        <v>43.01868825139865</v>
      </c>
      <c r="H117" s="842">
        <f>$B$322/B117</f>
        <v>2.1164034540158134</v>
      </c>
      <c r="I117" s="745"/>
      <c r="J117" s="745"/>
    </row>
    <row r="118" spans="1:10" ht="16.5" hidden="1" thickBot="1">
      <c r="A118" s="973" t="s">
        <v>573</v>
      </c>
      <c r="B118" s="748">
        <f>geral!I406</f>
        <v>11125</v>
      </c>
      <c r="C118" s="748">
        <f t="shared" si="17"/>
        <v>205.50589547923974</v>
      </c>
      <c r="D118" s="750">
        <f t="shared" si="20"/>
        <v>-7.4074074074074066</v>
      </c>
      <c r="E118" s="750">
        <f t="shared" si="21"/>
        <v>5.9523809523809534</v>
      </c>
      <c r="F118" s="751">
        <f t="shared" si="22"/>
        <v>28.316032295271064</v>
      </c>
      <c r="G118" s="840">
        <f t="shared" si="18"/>
        <v>27.201006174251098</v>
      </c>
      <c r="H118" s="842">
        <f>$B$322/B118</f>
        <v>2.2857157303370785</v>
      </c>
      <c r="I118" s="745"/>
      <c r="J118" s="745"/>
    </row>
    <row r="119" spans="1:10" ht="16.5" hidden="1" thickBot="1">
      <c r="A119" s="973" t="s">
        <v>396</v>
      </c>
      <c r="B119" s="748">
        <f>geral!I407</f>
        <v>11785</v>
      </c>
      <c r="C119" s="748">
        <f t="shared" si="17"/>
        <v>217.69770590767104</v>
      </c>
      <c r="D119" s="750">
        <f t="shared" si="20"/>
        <v>5.9325842696629216</v>
      </c>
      <c r="E119" s="750">
        <f t="shared" si="21"/>
        <v>12.238095238095227</v>
      </c>
      <c r="F119" s="751">
        <f t="shared" si="22"/>
        <v>35.459770114942522</v>
      </c>
      <c r="G119" s="840">
        <f t="shared" si="18"/>
        <v>35.14908256880733</v>
      </c>
      <c r="H119" s="842">
        <f>$B$322/B119</f>
        <v>2.1577078913873566</v>
      </c>
      <c r="I119" s="745"/>
      <c r="J119" s="745"/>
    </row>
    <row r="120" spans="1:10" ht="16.5" hidden="1" thickBot="1">
      <c r="A120" s="973" t="s">
        <v>397</v>
      </c>
      <c r="B120" s="748">
        <f>geral!I408</f>
        <v>11972</v>
      </c>
      <c r="C120" s="748">
        <f t="shared" si="17"/>
        <v>221.15205219572658</v>
      </c>
      <c r="D120" s="750">
        <f t="shared" si="20"/>
        <v>1.5867628341111661</v>
      </c>
      <c r="E120" s="750">
        <f t="shared" si="21"/>
        <v>14.019047619047619</v>
      </c>
      <c r="F120" s="751">
        <f t="shared" si="22"/>
        <v>19.4810379241517</v>
      </c>
      <c r="G120" s="840">
        <f t="shared" si="18"/>
        <v>46.356968215158936</v>
      </c>
      <c r="H120" s="842">
        <f>$B$322/B120</f>
        <v>2.1240049699298362</v>
      </c>
      <c r="I120" s="745"/>
      <c r="J120" s="745"/>
    </row>
    <row r="121" spans="1:10" ht="16.5" hidden="1" thickBot="1">
      <c r="A121" s="973" t="s">
        <v>398</v>
      </c>
      <c r="B121" s="748">
        <f>geral!I409</f>
        <v>12850</v>
      </c>
      <c r="C121" s="748">
        <f>100*B121/$B$8</f>
        <v>237.37085455354881</v>
      </c>
      <c r="D121" s="750">
        <f t="shared" si="20"/>
        <v>7.3337788172402218</v>
      </c>
      <c r="E121" s="750">
        <f t="shared" si="21"/>
        <v>22.380952380952369</v>
      </c>
      <c r="F121" s="751">
        <f t="shared" si="22"/>
        <v>22.380952380952369</v>
      </c>
      <c r="G121" s="840">
        <f t="shared" si="18"/>
        <v>52.612826603325402</v>
      </c>
      <c r="H121" s="842">
        <f>$B$322/B121</f>
        <v>1.9788784046692605</v>
      </c>
      <c r="I121" s="745"/>
      <c r="J121" s="745"/>
    </row>
    <row r="122" spans="1:10" ht="16.5" hidden="1" thickBot="1">
      <c r="A122" s="973" t="s">
        <v>399</v>
      </c>
      <c r="B122" s="748">
        <f>geral!K398</f>
        <v>11460</v>
      </c>
      <c r="C122" s="748">
        <f t="shared" si="17"/>
        <v>211.69416289367078</v>
      </c>
      <c r="D122" s="750">
        <f t="shared" si="20"/>
        <v>-10.817120622568089</v>
      </c>
      <c r="E122" s="750">
        <f t="shared" ref="E122:E133" si="23">100*((C122/$C$121)-1)</f>
        <v>-10.817120622568089</v>
      </c>
      <c r="F122" s="751">
        <f t="shared" si="22"/>
        <v>7.7067669172932396</v>
      </c>
      <c r="G122" s="840">
        <f t="shared" si="18"/>
        <v>29.054054054054056</v>
      </c>
      <c r="H122" s="842">
        <f>$B$322/B122</f>
        <v>2.2188994328097729</v>
      </c>
      <c r="I122" s="745"/>
      <c r="J122" s="745"/>
    </row>
    <row r="123" spans="1:10" ht="16.5" hidden="1" thickBot="1">
      <c r="A123" s="973" t="s">
        <v>400</v>
      </c>
      <c r="B123" s="748">
        <f>geral!K399</f>
        <v>11945</v>
      </c>
      <c r="C123" s="748">
        <f t="shared" si="17"/>
        <v>220.65329631456348</v>
      </c>
      <c r="D123" s="750">
        <f t="shared" si="20"/>
        <v>4.2321116928446756</v>
      </c>
      <c r="E123" s="750">
        <f t="shared" si="23"/>
        <v>-7.0428015564202306</v>
      </c>
      <c r="F123" s="751">
        <f t="shared" si="22"/>
        <v>9.186471663619745</v>
      </c>
      <c r="G123" s="840">
        <f t="shared" si="18"/>
        <v>40.529411764705905</v>
      </c>
      <c r="H123" s="842">
        <f>$B$322/B123</f>
        <v>2.1288059857681034</v>
      </c>
      <c r="I123" s="745"/>
      <c r="J123" s="745"/>
    </row>
    <row r="124" spans="1:10" ht="16.5" hidden="1" thickBot="1">
      <c r="A124" s="973" t="s">
        <v>401</v>
      </c>
      <c r="B124" s="748">
        <f>geral!K400</f>
        <v>12280</v>
      </c>
      <c r="C124" s="748">
        <f t="shared" si="17"/>
        <v>226.84156372899452</v>
      </c>
      <c r="D124" s="750">
        <f t="shared" si="20"/>
        <v>2.8045207199665079</v>
      </c>
      <c r="E124" s="750">
        <f t="shared" si="23"/>
        <v>-4.4357976653696447</v>
      </c>
      <c r="F124" s="751">
        <f t="shared" si="22"/>
        <v>14.338919925512105</v>
      </c>
      <c r="G124" s="840">
        <f t="shared" si="18"/>
        <v>39.704209328782689</v>
      </c>
      <c r="H124" s="842">
        <f>$B$322/B124</f>
        <v>2.0707318811074917</v>
      </c>
      <c r="I124" s="745"/>
      <c r="J124" s="745"/>
    </row>
    <row r="125" spans="1:10" ht="16.5" hidden="1" thickBot="1">
      <c r="A125" s="973" t="s">
        <v>402</v>
      </c>
      <c r="B125" s="748">
        <f>geral!K401</f>
        <v>12420</v>
      </c>
      <c r="C125" s="748">
        <f t="shared" si="17"/>
        <v>229.42770533502539</v>
      </c>
      <c r="D125" s="750">
        <f t="shared" si="20"/>
        <v>1.1400651465798051</v>
      </c>
      <c r="E125" s="750">
        <f t="shared" si="23"/>
        <v>-3.3463035019455245</v>
      </c>
      <c r="F125" s="751">
        <f t="shared" si="22"/>
        <v>9.9115044247787498</v>
      </c>
      <c r="G125" s="840">
        <f t="shared" si="18"/>
        <v>43.849895760945088</v>
      </c>
      <c r="H125" s="842">
        <f>$B$322/B125</f>
        <v>2.0473902979066021</v>
      </c>
      <c r="I125" s="745"/>
      <c r="J125" s="745"/>
    </row>
    <row r="126" spans="1:10" ht="16.5" hidden="1" thickBot="1">
      <c r="A126" s="973" t="s">
        <v>403</v>
      </c>
      <c r="B126" s="748">
        <f>geral!K402</f>
        <v>12082</v>
      </c>
      <c r="C126" s="748">
        <f t="shared" si="17"/>
        <v>223.18402060046512</v>
      </c>
      <c r="D126" s="750">
        <f t="shared" si="20"/>
        <v>-2.7214170692431594</v>
      </c>
      <c r="E126" s="750">
        <f t="shared" si="23"/>
        <v>-5.9766536964980581</v>
      </c>
      <c r="F126" s="751">
        <f t="shared" si="22"/>
        <v>7.4911032028469604</v>
      </c>
      <c r="G126" s="840">
        <f t="shared" si="18"/>
        <v>42.25833038973272</v>
      </c>
      <c r="H126" s="842">
        <f>$B$322/B126</f>
        <v>2.1046670667108094</v>
      </c>
      <c r="I126" s="745"/>
      <c r="J126" s="745"/>
    </row>
    <row r="127" spans="1:10" ht="16.5" hidden="1" thickBot="1">
      <c r="A127" s="973" t="s">
        <v>404</v>
      </c>
      <c r="B127" s="748">
        <f>geral!K403</f>
        <v>12258</v>
      </c>
      <c r="C127" s="748">
        <f t="shared" si="17"/>
        <v>226.43517004804681</v>
      </c>
      <c r="D127" s="750">
        <f t="shared" si="20"/>
        <v>1.4567124648237062</v>
      </c>
      <c r="E127" s="750">
        <f t="shared" si="23"/>
        <v>-4.6070038910505762</v>
      </c>
      <c r="F127" s="751">
        <f t="shared" si="22"/>
        <v>6.0380622837370224</v>
      </c>
      <c r="G127" s="840">
        <f t="shared" si="18"/>
        <v>43.311431711366268</v>
      </c>
      <c r="H127" s="842">
        <f>$B$322/B127</f>
        <v>2.0744483194648393</v>
      </c>
      <c r="I127" s="745"/>
      <c r="J127" s="745"/>
    </row>
    <row r="128" spans="1:10" ht="16.5" hidden="1" thickBot="1">
      <c r="A128" s="973" t="s">
        <v>405</v>
      </c>
      <c r="B128" s="748">
        <f>geral!K404</f>
        <v>12648</v>
      </c>
      <c r="C128" s="748">
        <f t="shared" si="17"/>
        <v>233.63942166484713</v>
      </c>
      <c r="D128" s="750">
        <f t="shared" si="20"/>
        <v>3.1815956926089184</v>
      </c>
      <c r="E128" s="750">
        <f t="shared" si="23"/>
        <v>-1.5719844357976576</v>
      </c>
      <c r="F128" s="751">
        <f t="shared" si="22"/>
        <v>7.4140127388535149</v>
      </c>
      <c r="G128" s="840">
        <f t="shared" ref="G128:G159" si="24">100*(C128/C104-1)</f>
        <v>47.464148303602663</v>
      </c>
      <c r="H128" s="842">
        <f>$B$322/B128</f>
        <v>2.0104828826691965</v>
      </c>
      <c r="I128" s="745"/>
      <c r="J128" s="745"/>
    </row>
    <row r="129" spans="1:10" ht="16.5" hidden="1" thickBot="1">
      <c r="A129" s="973" t="s">
        <v>406</v>
      </c>
      <c r="B129" s="748">
        <f>geral!K405</f>
        <v>12786</v>
      </c>
      <c r="C129" s="748">
        <f t="shared" si="17"/>
        <v>236.18861839079185</v>
      </c>
      <c r="D129" s="750">
        <f t="shared" si="20"/>
        <v>1.0910815939278784</v>
      </c>
      <c r="E129" s="750">
        <f t="shared" si="23"/>
        <v>-0.498054474708165</v>
      </c>
      <c r="F129" s="751">
        <f t="shared" si="22"/>
        <v>6.4169787765293362</v>
      </c>
      <c r="G129" s="840">
        <f t="shared" si="24"/>
        <v>48.226292603756079</v>
      </c>
      <c r="H129" s="842">
        <f>$B$322/B129</f>
        <v>1.9887836305333957</v>
      </c>
      <c r="I129" s="745"/>
      <c r="J129" s="745"/>
    </row>
    <row r="130" spans="1:10" ht="16.5" hidden="1" thickBot="1">
      <c r="A130" s="973" t="s">
        <v>407</v>
      </c>
      <c r="B130" s="748">
        <f>geral!K406</f>
        <v>13820</v>
      </c>
      <c r="C130" s="748">
        <f t="shared" si="17"/>
        <v>255.28912139533421</v>
      </c>
      <c r="D130" s="750">
        <f t="shared" si="20"/>
        <v>8.0869701235726446</v>
      </c>
      <c r="E130" s="750">
        <f t="shared" si="23"/>
        <v>7.5486381322957152</v>
      </c>
      <c r="F130" s="751">
        <f t="shared" si="22"/>
        <v>24.224719101123583</v>
      </c>
      <c r="G130" s="840">
        <f t="shared" si="24"/>
        <v>59.400230680507505</v>
      </c>
      <c r="H130" s="842">
        <f>$B$322/B130</f>
        <v>1.8399846237337192</v>
      </c>
      <c r="I130" s="745"/>
      <c r="J130" s="745"/>
    </row>
    <row r="131" spans="1:10" ht="16.5" hidden="1" thickBot="1">
      <c r="A131" s="973" t="s">
        <v>408</v>
      </c>
      <c r="B131" s="748">
        <f>geral!K407</f>
        <v>14551</v>
      </c>
      <c r="C131" s="748">
        <f t="shared" si="17"/>
        <v>268.79247506682401</v>
      </c>
      <c r="D131" s="750">
        <f t="shared" si="20"/>
        <v>5.2894356005788623</v>
      </c>
      <c r="E131" s="750">
        <f t="shared" si="23"/>
        <v>13.237354085603116</v>
      </c>
      <c r="F131" s="751">
        <f t="shared" si="22"/>
        <v>23.470513364446322</v>
      </c>
      <c r="G131" s="840">
        <f t="shared" si="24"/>
        <v>67.252873563218358</v>
      </c>
      <c r="H131" s="842">
        <f>$B$322/B131</f>
        <v>1.7475491375163217</v>
      </c>
      <c r="I131" s="745"/>
      <c r="J131" s="745"/>
    </row>
    <row r="132" spans="1:10" ht="16.5" hidden="1" thickBot="1">
      <c r="A132" s="973" t="s">
        <v>409</v>
      </c>
      <c r="B132" s="748">
        <f>geral!K408</f>
        <v>15338</v>
      </c>
      <c r="C132" s="748">
        <f t="shared" si="17"/>
        <v>283.3302853807262</v>
      </c>
      <c r="D132" s="750">
        <f t="shared" si="20"/>
        <v>5.4085629853618311</v>
      </c>
      <c r="E132" s="750">
        <f t="shared" si="23"/>
        <v>19.361867704280144</v>
      </c>
      <c r="F132" s="751">
        <f t="shared" si="22"/>
        <v>28.115603073838933</v>
      </c>
      <c r="G132" s="840">
        <f t="shared" si="24"/>
        <v>53.073852295409175</v>
      </c>
      <c r="H132" s="842">
        <f>$B$322/B132</f>
        <v>1.6578815686530186</v>
      </c>
      <c r="I132" s="745"/>
      <c r="J132" s="745"/>
    </row>
    <row r="133" spans="1:10" ht="16.5" hidden="1" thickBot="1">
      <c r="A133" s="973" t="s">
        <v>410</v>
      </c>
      <c r="B133" s="748">
        <f>geral!K409</f>
        <v>15300</v>
      </c>
      <c r="C133" s="748">
        <f t="shared" si="17"/>
        <v>282.62833265908927</v>
      </c>
      <c r="D133" s="750">
        <f t="shared" si="20"/>
        <v>-0.24775068457425498</v>
      </c>
      <c r="E133" s="750">
        <f t="shared" si="23"/>
        <v>19.066147859922179</v>
      </c>
      <c r="F133" s="751">
        <f t="shared" si="22"/>
        <v>19.066147859922179</v>
      </c>
      <c r="G133" s="840">
        <f t="shared" si="24"/>
        <v>45.714285714285708</v>
      </c>
      <c r="H133" s="842">
        <f>$B$322/B133</f>
        <v>1.6619991830065357</v>
      </c>
      <c r="I133" s="745"/>
      <c r="J133" s="745"/>
    </row>
    <row r="134" spans="1:10" ht="16.5" hidden="1" thickBot="1">
      <c r="A134" s="973" t="s">
        <v>411</v>
      </c>
      <c r="B134" s="748">
        <f>geral!M398</f>
        <v>15838</v>
      </c>
      <c r="C134" s="748">
        <f t="shared" si="17"/>
        <v>292.56650540226508</v>
      </c>
      <c r="D134" s="750">
        <f t="shared" si="20"/>
        <v>3.5163398692810377</v>
      </c>
      <c r="E134" s="750">
        <f t="shared" ref="E134:E145" si="25">100*((C134/$C$133)-1)</f>
        <v>3.5163398692810377</v>
      </c>
      <c r="F134" s="751">
        <f t="shared" si="22"/>
        <v>38.202443280977306</v>
      </c>
      <c r="G134" s="840">
        <f t="shared" si="24"/>
        <v>48.853383458646626</v>
      </c>
      <c r="H134" s="842">
        <f>$B$322/B134</f>
        <v>1.6055428400050511</v>
      </c>
      <c r="I134" s="745"/>
      <c r="J134" s="745"/>
    </row>
    <row r="135" spans="1:10" ht="16.5" hidden="1" thickBot="1">
      <c r="A135" s="973" t="s">
        <v>412</v>
      </c>
      <c r="B135" s="748">
        <f>geral!M399</f>
        <v>15925</v>
      </c>
      <c r="C135" s="748">
        <f t="shared" si="17"/>
        <v>294.17360768601282</v>
      </c>
      <c r="D135" s="750">
        <f t="shared" si="20"/>
        <v>0.54931178179062901</v>
      </c>
      <c r="E135" s="750">
        <f t="shared" si="25"/>
        <v>4.0849673202614234</v>
      </c>
      <c r="F135" s="751">
        <f t="shared" si="22"/>
        <v>33.31938049393051</v>
      </c>
      <c r="G135" s="840">
        <f t="shared" si="24"/>
        <v>45.566727605118814</v>
      </c>
      <c r="H135" s="842">
        <f>$B$322/B135</f>
        <v>1.5967715855572997</v>
      </c>
      <c r="I135" s="745"/>
      <c r="J135" s="745"/>
    </row>
    <row r="136" spans="1:10" ht="16.5" hidden="1" thickBot="1">
      <c r="A136" s="973" t="s">
        <v>413</v>
      </c>
      <c r="B136" s="748">
        <f>geral!M400</f>
        <v>16000</v>
      </c>
      <c r="C136" s="748">
        <f t="shared" si="17"/>
        <v>295.55904068924366</v>
      </c>
      <c r="D136" s="750">
        <f t="shared" si="20"/>
        <v>0.47095761381477086</v>
      </c>
      <c r="E136" s="750">
        <f t="shared" si="25"/>
        <v>4.5751633986927942</v>
      </c>
      <c r="F136" s="751">
        <f t="shared" si="22"/>
        <v>30.293159609120512</v>
      </c>
      <c r="G136" s="840">
        <f t="shared" si="24"/>
        <v>48.97579143389197</v>
      </c>
      <c r="H136" s="842">
        <f>$B$322/B136</f>
        <v>1.5892867187499999</v>
      </c>
      <c r="I136" s="745"/>
      <c r="J136" s="745"/>
    </row>
    <row r="137" spans="1:10" ht="16.5" hidden="1" thickBot="1">
      <c r="A137" s="973" t="s">
        <v>414</v>
      </c>
      <c r="B137" s="748">
        <f>geral!M401</f>
        <v>16346.67</v>
      </c>
      <c r="C137" s="748">
        <f t="shared" si="17"/>
        <v>301.96288147897741</v>
      </c>
      <c r="D137" s="750">
        <f t="shared" ref="D137:D168" si="26">100*((C137/C136)-1)</f>
        <v>2.1666874999999974</v>
      </c>
      <c r="E137" s="750">
        <f t="shared" si="25"/>
        <v>6.840980392156859</v>
      </c>
      <c r="F137" s="751">
        <f t="shared" si="22"/>
        <v>31.615700483091793</v>
      </c>
      <c r="G137" s="840">
        <f t="shared" si="24"/>
        <v>44.660796460176975</v>
      </c>
      <c r="H137" s="842">
        <f>$B$322/B137</f>
        <v>1.5555821155011997</v>
      </c>
      <c r="I137" s="745"/>
      <c r="J137" s="745"/>
    </row>
    <row r="138" spans="1:10" ht="16.5" hidden="1" thickBot="1">
      <c r="A138" s="973" t="s">
        <v>415</v>
      </c>
      <c r="B138" s="748">
        <f>geral!M402</f>
        <v>16208.33</v>
      </c>
      <c r="C138" s="748">
        <f t="shared" si="17"/>
        <v>299.40740412341808</v>
      </c>
      <c r="D138" s="750">
        <f t="shared" si="26"/>
        <v>-0.84628857131144875</v>
      </c>
      <c r="E138" s="750">
        <f t="shared" si="25"/>
        <v>5.9367973856209177</v>
      </c>
      <c r="F138" s="751">
        <f t="shared" si="22"/>
        <v>34.152706505545453</v>
      </c>
      <c r="G138" s="840">
        <f t="shared" si="24"/>
        <v>44.202224199288274</v>
      </c>
      <c r="H138" s="842">
        <f>$B$322/B138</f>
        <v>1.5688591915391652</v>
      </c>
      <c r="I138" s="745"/>
      <c r="J138" s="745"/>
    </row>
    <row r="139" spans="1:10" ht="16.5" hidden="1" thickBot="1">
      <c r="A139" s="973" t="s">
        <v>416</v>
      </c>
      <c r="B139" s="748">
        <f>geral!M403</f>
        <v>16210</v>
      </c>
      <c r="C139" s="748">
        <f t="shared" si="17"/>
        <v>299.43825309828998</v>
      </c>
      <c r="D139" s="750">
        <f t="shared" si="26"/>
        <v>1.0303344021234118E-2</v>
      </c>
      <c r="E139" s="750">
        <f t="shared" si="25"/>
        <v>5.9477124183006547</v>
      </c>
      <c r="F139" s="751">
        <f t="shared" si="22"/>
        <v>32.240169685103595</v>
      </c>
      <c r="G139" s="840">
        <f t="shared" si="24"/>
        <v>40.224913494809677</v>
      </c>
      <c r="H139" s="842">
        <f>$B$322/B139</f>
        <v>1.5686975632325724</v>
      </c>
      <c r="I139" s="745"/>
      <c r="J139" s="745"/>
    </row>
    <row r="140" spans="1:10" ht="16.5" hidden="1" thickBot="1">
      <c r="A140" s="973" t="s">
        <v>417</v>
      </c>
      <c r="B140" s="748">
        <f>geral!M404</f>
        <v>15783.33</v>
      </c>
      <c r="C140" s="748">
        <f t="shared" si="17"/>
        <v>291.55661710511004</v>
      </c>
      <c r="D140" s="750">
        <f t="shared" si="26"/>
        <v>-2.6321406539173253</v>
      </c>
      <c r="E140" s="750">
        <f t="shared" si="25"/>
        <v>3.1590196078431498</v>
      </c>
      <c r="F140" s="751">
        <f t="shared" si="22"/>
        <v>24.789136622390885</v>
      </c>
      <c r="G140" s="840">
        <f t="shared" si="24"/>
        <v>34.04101910828026</v>
      </c>
      <c r="H140" s="842">
        <f>$B$322/B140</f>
        <v>1.6111040889343375</v>
      </c>
      <c r="I140" s="745"/>
      <c r="J140" s="745"/>
    </row>
    <row r="141" spans="1:10" ht="16.5" hidden="1" thickBot="1">
      <c r="A141" s="973" t="s">
        <v>418</v>
      </c>
      <c r="B141" s="748">
        <f>geral!M405</f>
        <v>15475.14</v>
      </c>
      <c r="C141" s="748">
        <f t="shared" si="17"/>
        <v>285.86359580823387</v>
      </c>
      <c r="D141" s="750">
        <f t="shared" si="26"/>
        <v>-1.9526297682428417</v>
      </c>
      <c r="E141" s="750">
        <f t="shared" si="25"/>
        <v>1.1447058823529366</v>
      </c>
      <c r="F141" s="751">
        <f t="shared" si="22"/>
        <v>21.031909901454714</v>
      </c>
      <c r="G141" s="840">
        <f t="shared" si="24"/>
        <v>28.798501872659177</v>
      </c>
      <c r="H141" s="842">
        <f>$B$322/B141</f>
        <v>1.6431894961854949</v>
      </c>
      <c r="I141" s="745"/>
      <c r="J141" s="745"/>
    </row>
    <row r="142" spans="1:10" ht="16.5" hidden="1" thickBot="1">
      <c r="A142" s="973" t="s">
        <v>419</v>
      </c>
      <c r="B142" s="748">
        <f>geral!M406</f>
        <v>15296.34</v>
      </c>
      <c r="C142" s="748">
        <f t="shared" si="17"/>
        <v>282.56072352853158</v>
      </c>
      <c r="D142" s="750">
        <f t="shared" si="26"/>
        <v>-1.1554015020219466</v>
      </c>
      <c r="E142" s="750">
        <f t="shared" si="25"/>
        <v>-2.3921568627460754E-2</v>
      </c>
      <c r="F142" s="751">
        <f t="shared" si="22"/>
        <v>10.682633863965263</v>
      </c>
      <c r="G142" s="840">
        <f t="shared" si="24"/>
        <v>37.495191011235953</v>
      </c>
      <c r="H142" s="842">
        <f>$B$322/B142</f>
        <v>1.6623968544109242</v>
      </c>
      <c r="I142" s="745"/>
      <c r="J142" s="745"/>
    </row>
    <row r="143" spans="1:10" ht="16.5" hidden="1" thickBot="1">
      <c r="A143" s="973" t="s">
        <v>420</v>
      </c>
      <c r="B143" s="748">
        <f>geral!M407</f>
        <v>15962.5</v>
      </c>
      <c r="C143" s="748">
        <f t="shared" si="17"/>
        <v>294.86632418762827</v>
      </c>
      <c r="D143" s="750">
        <f t="shared" si="26"/>
        <v>4.3550287192884118</v>
      </c>
      <c r="E143" s="750">
        <f t="shared" si="25"/>
        <v>4.330065359477131</v>
      </c>
      <c r="F143" s="751">
        <f t="shared" si="22"/>
        <v>9.700364236134984</v>
      </c>
      <c r="G143" s="840">
        <f t="shared" si="24"/>
        <v>35.447602885023329</v>
      </c>
      <c r="H143" s="842">
        <f>$B$322/B143</f>
        <v>1.5930203602192639</v>
      </c>
      <c r="I143" s="745"/>
      <c r="J143" s="745"/>
    </row>
    <row r="144" spans="1:10" ht="16.5" hidden="1" thickBot="1">
      <c r="A144" s="973" t="s">
        <v>421</v>
      </c>
      <c r="B144" s="748">
        <f>geral!M408</f>
        <v>15702.86</v>
      </c>
      <c r="C144" s="748">
        <f t="shared" si="17"/>
        <v>290.07013985484355</v>
      </c>
      <c r="D144" s="750">
        <f t="shared" si="26"/>
        <v>-1.626562255285835</v>
      </c>
      <c r="E144" s="750">
        <f t="shared" si="25"/>
        <v>2.6330718954248322</v>
      </c>
      <c r="F144" s="751">
        <f t="shared" si="22"/>
        <v>2.3787977572043317</v>
      </c>
      <c r="G144" s="840">
        <f t="shared" si="24"/>
        <v>31.163214166388229</v>
      </c>
      <c r="H144" s="842">
        <f>$B$322/B144</f>
        <v>1.6193602630348864</v>
      </c>
      <c r="I144" s="745"/>
      <c r="J144" s="745"/>
    </row>
    <row r="145" spans="1:10" ht="16.5" hidden="1" thickBot="1">
      <c r="A145" s="973" t="s">
        <v>422</v>
      </c>
      <c r="B145" s="748">
        <f>geral!M409</f>
        <v>15794</v>
      </c>
      <c r="C145" s="748">
        <f t="shared" si="17"/>
        <v>291.75371804036968</v>
      </c>
      <c r="D145" s="750">
        <f t="shared" si="26"/>
        <v>0.58040382452624328</v>
      </c>
      <c r="E145" s="750">
        <f t="shared" si="25"/>
        <v>3.2287581699346424</v>
      </c>
      <c r="F145" s="751">
        <f t="shared" si="22"/>
        <v>3.2287581699346424</v>
      </c>
      <c r="G145" s="840">
        <f t="shared" si="24"/>
        <v>22.910505836575901</v>
      </c>
      <c r="H145" s="842">
        <f>$B$322/B145</f>
        <v>1.6100156705077877</v>
      </c>
      <c r="I145" s="745"/>
      <c r="J145" s="745"/>
    </row>
    <row r="146" spans="1:10" ht="16.5" hidden="1" thickBot="1">
      <c r="A146" s="973" t="s">
        <v>423</v>
      </c>
      <c r="B146" s="748">
        <f>+geral!C413</f>
        <v>16443.330000000002</v>
      </c>
      <c r="C146" s="748">
        <f t="shared" si="17"/>
        <v>303.74842753354136</v>
      </c>
      <c r="D146" s="750">
        <f t="shared" si="26"/>
        <v>4.1112447764974025</v>
      </c>
      <c r="E146" s="750">
        <f t="shared" ref="E146:E157" si="27">100*((C146/$C$145)-1)</f>
        <v>4.1112447764974025</v>
      </c>
      <c r="F146" s="751">
        <f t="shared" si="22"/>
        <v>3.8220103548427975</v>
      </c>
      <c r="G146" s="840">
        <f t="shared" si="24"/>
        <v>43.484554973822</v>
      </c>
      <c r="H146" s="842">
        <f>$B$322/B146</f>
        <v>1.5464378261580833</v>
      </c>
      <c r="I146" s="745"/>
      <c r="J146" s="745"/>
    </row>
    <row r="147" spans="1:10" ht="16.5" hidden="1" thickBot="1">
      <c r="A147" s="973" t="s">
        <v>424</v>
      </c>
      <c r="B147" s="748">
        <f>+geral!C414</f>
        <v>15837.14</v>
      </c>
      <c r="C147" s="748">
        <f t="shared" si="17"/>
        <v>292.55061910382801</v>
      </c>
      <c r="D147" s="750">
        <f t="shared" si="26"/>
        <v>-3.6865403783783668</v>
      </c>
      <c r="E147" s="750">
        <f t="shared" si="27"/>
        <v>0.27314169937950883</v>
      </c>
      <c r="F147" s="751">
        <f t="shared" si="22"/>
        <v>-0.55171114599685822</v>
      </c>
      <c r="G147" s="840">
        <f t="shared" si="24"/>
        <v>32.583842611971534</v>
      </c>
      <c r="H147" s="842">
        <f>$B$322/B147</f>
        <v>1.6056300253707423</v>
      </c>
      <c r="I147" s="745"/>
      <c r="J147" s="745"/>
    </row>
    <row r="148" spans="1:10" ht="16.5" hidden="1" thickBot="1">
      <c r="A148" s="973" t="s">
        <v>425</v>
      </c>
      <c r="B148" s="748">
        <f>+geral!C415</f>
        <v>15790.86</v>
      </c>
      <c r="C148" s="748">
        <f t="shared" si="17"/>
        <v>291.69571457863441</v>
      </c>
      <c r="D148" s="750">
        <f t="shared" si="26"/>
        <v>-0.29222447992502953</v>
      </c>
      <c r="E148" s="750">
        <f t="shared" si="27"/>
        <v>-1.9880967455998544E-2</v>
      </c>
      <c r="F148" s="751">
        <f t="shared" ref="F148:F169" si="28">100*((C148/C136)-1)</f>
        <v>-1.3071249999999868</v>
      </c>
      <c r="G148" s="840">
        <f t="shared" si="24"/>
        <v>28.590065146579803</v>
      </c>
      <c r="H148" s="842">
        <f>$B$322/B148</f>
        <v>1.6103358208482628</v>
      </c>
      <c r="I148" s="745"/>
      <c r="J148" s="745"/>
    </row>
    <row r="149" spans="1:10" ht="16.5" hidden="1" thickBot="1">
      <c r="A149" s="973" t="s">
        <v>426</v>
      </c>
      <c r="B149" s="748">
        <f>+geral!C416</f>
        <v>15936.67</v>
      </c>
      <c r="C149" s="748">
        <f t="shared" si="17"/>
        <v>294.38918106131558</v>
      </c>
      <c r="D149" s="750">
        <f t="shared" si="26"/>
        <v>0.92338226037087523</v>
      </c>
      <c r="E149" s="750">
        <f t="shared" si="27"/>
        <v>0.90331771558820328</v>
      </c>
      <c r="F149" s="751">
        <f t="shared" si="28"/>
        <v>-2.50815609540046</v>
      </c>
      <c r="G149" s="840">
        <f t="shared" si="24"/>
        <v>28.314573268921105</v>
      </c>
      <c r="H149" s="842">
        <f>$B$322/B149</f>
        <v>1.5956023121517857</v>
      </c>
      <c r="I149" s="745"/>
      <c r="J149" s="745"/>
    </row>
    <row r="150" spans="1:10" ht="16.5" hidden="1" thickBot="1">
      <c r="A150" s="973" t="s">
        <v>427</v>
      </c>
      <c r="B150" s="748">
        <f>+geral!C417</f>
        <v>16416.2</v>
      </c>
      <c r="C150" s="748">
        <f t="shared" si="17"/>
        <v>303.24727023517261</v>
      </c>
      <c r="D150" s="750">
        <f t="shared" si="26"/>
        <v>3.0089723888365505</v>
      </c>
      <c r="E150" s="750">
        <f t="shared" si="27"/>
        <v>3.9394706850702788</v>
      </c>
      <c r="F150" s="751">
        <f t="shared" si="28"/>
        <v>1.2824886956274817</v>
      </c>
      <c r="G150" s="840">
        <f t="shared" si="24"/>
        <v>35.873199801357394</v>
      </c>
      <c r="H150" s="842">
        <f>$B$322/B150</f>
        <v>1.5489935246890265</v>
      </c>
      <c r="I150" s="745"/>
      <c r="J150" s="745"/>
    </row>
    <row r="151" spans="1:10" ht="16.5" hidden="1" thickBot="1">
      <c r="A151" s="973" t="s">
        <v>428</v>
      </c>
      <c r="B151" s="748">
        <f>+geral!C418</f>
        <v>16441.830000000002</v>
      </c>
      <c r="C151" s="748">
        <f t="shared" si="17"/>
        <v>303.72071887347676</v>
      </c>
      <c r="D151" s="750">
        <f t="shared" si="26"/>
        <v>0.1561262655182194</v>
      </c>
      <c r="E151" s="750">
        <f t="shared" si="27"/>
        <v>4.1017474990502789</v>
      </c>
      <c r="F151" s="751">
        <f t="shared" si="28"/>
        <v>1.4301665638494887</v>
      </c>
      <c r="G151" s="840">
        <f t="shared" si="24"/>
        <v>34.131424375917788</v>
      </c>
      <c r="H151" s="842">
        <f>$B$322/B151</f>
        <v>1.5465789087954318</v>
      </c>
      <c r="I151" s="745"/>
      <c r="J151" s="745"/>
    </row>
    <row r="152" spans="1:10" ht="16.5" hidden="1" thickBot="1">
      <c r="A152" s="973" t="s">
        <v>429</v>
      </c>
      <c r="B152" s="748">
        <f>+geral!C419</f>
        <v>16702.669999999998</v>
      </c>
      <c r="C152" s="748">
        <f t="shared" si="17"/>
        <v>308.53907013431308</v>
      </c>
      <c r="D152" s="750">
        <f t="shared" si="26"/>
        <v>1.5864414119352688</v>
      </c>
      <c r="E152" s="750">
        <f t="shared" si="27"/>
        <v>5.7532607319235041</v>
      </c>
      <c r="F152" s="751">
        <f t="shared" si="28"/>
        <v>5.8247530780893397</v>
      </c>
      <c r="G152" s="840">
        <f t="shared" si="24"/>
        <v>32.057795698924707</v>
      </c>
      <c r="H152" s="842">
        <f>$B$322/B152</f>
        <v>1.5224265042654856</v>
      </c>
      <c r="I152" s="745"/>
      <c r="J152" s="745"/>
    </row>
    <row r="153" spans="1:10" ht="16.5" hidden="1" thickBot="1">
      <c r="A153" s="973" t="s">
        <v>430</v>
      </c>
      <c r="B153" s="748">
        <f>+geral!C420</f>
        <v>16524</v>
      </c>
      <c r="C153" s="748">
        <f t="shared" si="17"/>
        <v>305.23859927181638</v>
      </c>
      <c r="D153" s="750">
        <f t="shared" si="26"/>
        <v>-1.0697092141555786</v>
      </c>
      <c r="E153" s="750">
        <f t="shared" si="27"/>
        <v>4.6220083576041349</v>
      </c>
      <c r="F153" s="751">
        <f t="shared" si="28"/>
        <v>6.7777092808207318</v>
      </c>
      <c r="G153" s="840">
        <f t="shared" si="24"/>
        <v>29.235100891600176</v>
      </c>
      <c r="H153" s="842">
        <f>$B$322/B153</f>
        <v>1.5388881324134591</v>
      </c>
      <c r="I153" s="745"/>
      <c r="J153" s="745"/>
    </row>
    <row r="154" spans="1:10" ht="16.5" hidden="1" thickBot="1">
      <c r="A154" s="973" t="s">
        <v>431</v>
      </c>
      <c r="B154" s="748">
        <f>+geral!C421</f>
        <v>16580</v>
      </c>
      <c r="C154" s="748">
        <f t="shared" si="17"/>
        <v>306.27305591422873</v>
      </c>
      <c r="D154" s="750">
        <f t="shared" si="26"/>
        <v>0.33890099249576089</v>
      </c>
      <c r="E154" s="750">
        <f t="shared" si="27"/>
        <v>4.976573382297067</v>
      </c>
      <c r="F154" s="751">
        <f t="shared" si="28"/>
        <v>8.39194212471741</v>
      </c>
      <c r="G154" s="840">
        <f t="shared" si="24"/>
        <v>19.971056439942103</v>
      </c>
      <c r="H154" s="842">
        <f>$B$322/B154</f>
        <v>1.5336904402895053</v>
      </c>
      <c r="I154" s="745"/>
      <c r="J154" s="745"/>
    </row>
    <row r="155" spans="1:10" ht="16.5" hidden="1" thickBot="1">
      <c r="A155" s="973" t="s">
        <v>432</v>
      </c>
      <c r="B155" s="748">
        <f>+geral!C422</f>
        <v>16866.669999999998</v>
      </c>
      <c r="C155" s="748">
        <f t="shared" si="17"/>
        <v>311.5685503013778</v>
      </c>
      <c r="D155" s="750">
        <f t="shared" si="26"/>
        <v>1.7290108564535389</v>
      </c>
      <c r="E155" s="750">
        <f t="shared" si="27"/>
        <v>6.7916297328099118</v>
      </c>
      <c r="F155" s="751">
        <f t="shared" si="28"/>
        <v>5.6643382928738939</v>
      </c>
      <c r="G155" s="840">
        <f t="shared" si="24"/>
        <v>15.914163974984529</v>
      </c>
      <c r="H155" s="842">
        <f>$B$322/B155</f>
        <v>1.5076234668728326</v>
      </c>
      <c r="I155" s="745"/>
      <c r="J155" s="745"/>
    </row>
    <row r="156" spans="1:10" ht="16.5" hidden="1" thickBot="1">
      <c r="A156" s="973" t="s">
        <v>433</v>
      </c>
      <c r="B156" s="748">
        <f>+geral!C423</f>
        <v>16392.86</v>
      </c>
      <c r="C156" s="748">
        <f t="shared" si="17"/>
        <v>302.81612348456719</v>
      </c>
      <c r="D156" s="750">
        <f t="shared" si="26"/>
        <v>-2.8091496424605289</v>
      </c>
      <c r="E156" s="750">
        <f t="shared" si="27"/>
        <v>3.7916930479928945</v>
      </c>
      <c r="F156" s="751">
        <f t="shared" si="28"/>
        <v>4.3941040039839896</v>
      </c>
      <c r="G156" s="840">
        <f t="shared" si="24"/>
        <v>6.8774286086843217</v>
      </c>
      <c r="H156" s="842">
        <f>$B$322/B156</f>
        <v>1.5511989671112909</v>
      </c>
      <c r="I156" s="745"/>
      <c r="J156" s="745"/>
    </row>
    <row r="157" spans="1:10" ht="16.5" hidden="1" thickBot="1">
      <c r="A157" s="973" t="s">
        <v>434</v>
      </c>
      <c r="B157" s="748">
        <f>+geral!C424</f>
        <v>17120</v>
      </c>
      <c r="C157" s="748">
        <f t="shared" si="17"/>
        <v>316.24817353749074</v>
      </c>
      <c r="D157" s="750">
        <f t="shared" si="26"/>
        <v>4.4357116451918754</v>
      </c>
      <c r="E157" s="750">
        <f t="shared" si="27"/>
        <v>8.3955932632645336</v>
      </c>
      <c r="F157" s="751">
        <f t="shared" si="28"/>
        <v>8.3955932632645336</v>
      </c>
      <c r="G157" s="840">
        <f t="shared" si="24"/>
        <v>11.895424836601309</v>
      </c>
      <c r="H157" s="842">
        <f>$B$322/B157</f>
        <v>1.4853146904205605</v>
      </c>
      <c r="I157" s="745"/>
      <c r="J157" s="745"/>
    </row>
    <row r="158" spans="1:10" ht="16.5" hidden="1" thickBot="1">
      <c r="A158" s="973" t="s">
        <v>435</v>
      </c>
      <c r="B158" s="748">
        <f>+geral!E413</f>
        <v>16200</v>
      </c>
      <c r="C158" s="748">
        <f t="shared" ref="C158:C163" si="29">100*B158/$B$8</f>
        <v>299.25352869785922</v>
      </c>
      <c r="D158" s="750">
        <f t="shared" si="26"/>
        <v>-5.373831775700932</v>
      </c>
      <c r="E158" s="750">
        <f t="shared" ref="E158:E169" si="30">100*((C158/$C$157)-1)</f>
        <v>-5.373831775700932</v>
      </c>
      <c r="F158" s="751">
        <f t="shared" si="28"/>
        <v>-1.479809746565941</v>
      </c>
      <c r="G158" s="840">
        <f t="shared" si="24"/>
        <v>2.2856421265311289</v>
      </c>
      <c r="H158" s="842">
        <f>$B$322/B158</f>
        <v>1.5696658950617282</v>
      </c>
      <c r="I158" s="745"/>
      <c r="J158" s="745"/>
    </row>
    <row r="159" spans="1:10" ht="16.5" hidden="1" thickBot="1">
      <c r="A159" s="973" t="s">
        <v>436</v>
      </c>
      <c r="B159" s="748">
        <f>+geral!E414</f>
        <v>16125</v>
      </c>
      <c r="C159" s="748">
        <f t="shared" si="29"/>
        <v>297.86809569462838</v>
      </c>
      <c r="D159" s="750">
        <f t="shared" si="26"/>
        <v>-0.46296296296296502</v>
      </c>
      <c r="E159" s="750">
        <f t="shared" si="30"/>
        <v>-5.8119158878504713</v>
      </c>
      <c r="F159" s="751">
        <f t="shared" si="28"/>
        <v>1.8176261622995016</v>
      </c>
      <c r="G159" s="840">
        <f t="shared" si="24"/>
        <v>1.2558869701726927</v>
      </c>
      <c r="H159" s="842">
        <f>$B$322/B159</f>
        <v>1.5769666666666666</v>
      </c>
      <c r="I159" s="745"/>
      <c r="J159" s="745"/>
    </row>
    <row r="160" spans="1:10" ht="16.5" hidden="1" thickBot="1">
      <c r="A160" s="973" t="s">
        <v>437</v>
      </c>
      <c r="B160" s="748">
        <f>+geral!E415</f>
        <v>16358.33</v>
      </c>
      <c r="C160" s="748">
        <f t="shared" si="29"/>
        <v>302.17827012987971</v>
      </c>
      <c r="D160" s="750">
        <f t="shared" si="26"/>
        <v>1.4470077519379787</v>
      </c>
      <c r="E160" s="750">
        <f t="shared" si="30"/>
        <v>-4.4490070093458067</v>
      </c>
      <c r="F160" s="751">
        <f t="shared" si="28"/>
        <v>3.5936611432182852</v>
      </c>
      <c r="G160" s="840">
        <f t="shared" ref="G160:G169" si="31">100*(C160/C136-1)</f>
        <v>2.2395624999999919</v>
      </c>
      <c r="H160" s="842">
        <f>$B$322/B160</f>
        <v>1.5544733172640481</v>
      </c>
      <c r="I160" s="745"/>
      <c r="J160" s="745"/>
    </row>
    <row r="161" spans="1:10" ht="16.5" hidden="1" thickBot="1">
      <c r="A161" s="973" t="s">
        <v>438</v>
      </c>
      <c r="B161" s="748">
        <f>+geral!E416</f>
        <v>16800.669999999998</v>
      </c>
      <c r="C161" s="748">
        <f t="shared" si="29"/>
        <v>310.34936925853469</v>
      </c>
      <c r="D161" s="750">
        <f t="shared" si="26"/>
        <v>2.704065757323626</v>
      </c>
      <c r="E161" s="750">
        <f t="shared" si="30"/>
        <v>-1.8652453271028158</v>
      </c>
      <c r="F161" s="751">
        <f t="shared" si="28"/>
        <v>5.4214588116588747</v>
      </c>
      <c r="G161" s="840">
        <f t="shared" si="31"/>
        <v>2.777324066614173</v>
      </c>
      <c r="H161" s="842">
        <f>$B$322/B161</f>
        <v>1.5135460371520897</v>
      </c>
      <c r="I161" s="745"/>
      <c r="J161" s="745"/>
    </row>
    <row r="162" spans="1:10" ht="16.5" hidden="1" thickBot="1">
      <c r="A162" s="973" t="s">
        <v>439</v>
      </c>
      <c r="B162" s="748">
        <f>+geral!E417</f>
        <v>16666.669999999998</v>
      </c>
      <c r="C162" s="748">
        <f t="shared" si="29"/>
        <v>307.87406229276223</v>
      </c>
      <c r="D162" s="750">
        <f t="shared" si="26"/>
        <v>-0.79758723908036622</v>
      </c>
      <c r="E162" s="750">
        <f t="shared" si="30"/>
        <v>-2.6479556074766597</v>
      </c>
      <c r="F162" s="751">
        <f t="shared" si="28"/>
        <v>1.5257489553002435</v>
      </c>
      <c r="G162" s="840">
        <f t="shared" si="31"/>
        <v>2.8278052088031025</v>
      </c>
      <c r="H162" s="842">
        <f>$B$322/B162</f>
        <v>1.5257149448570111</v>
      </c>
      <c r="I162" s="745"/>
      <c r="J162" s="745"/>
    </row>
    <row r="163" spans="1:10" ht="16.5" hidden="1" thickBot="1">
      <c r="A163" s="973" t="s">
        <v>440</v>
      </c>
      <c r="B163" s="748">
        <f>+geral!E418</f>
        <v>16870</v>
      </c>
      <c r="C163" s="748">
        <f t="shared" si="29"/>
        <v>311.6300635267213</v>
      </c>
      <c r="D163" s="750">
        <f t="shared" si="26"/>
        <v>1.2199797560040748</v>
      </c>
      <c r="E163" s="750">
        <f t="shared" si="30"/>
        <v>-1.4602803738317793</v>
      </c>
      <c r="F163" s="751">
        <f t="shared" si="28"/>
        <v>2.6041505112265328</v>
      </c>
      <c r="G163" s="840">
        <f t="shared" si="31"/>
        <v>4.0715607649599139</v>
      </c>
      <c r="H163" s="842">
        <f>$B$322/B163</f>
        <v>1.5073258743331357</v>
      </c>
      <c r="I163" s="745"/>
      <c r="J163" s="745"/>
    </row>
    <row r="164" spans="1:10" ht="16.5" hidden="1" thickBot="1">
      <c r="A164" s="973" t="s">
        <v>441</v>
      </c>
      <c r="B164" s="748">
        <f>+geral!E419</f>
        <v>20045</v>
      </c>
      <c r="C164" s="748">
        <f t="shared" ref="C164:C217" si="32">(B164/$B$8)*100</f>
        <v>370.28006066349309</v>
      </c>
      <c r="D164" s="750">
        <f t="shared" si="26"/>
        <v>18.820391227030232</v>
      </c>
      <c r="E164" s="750">
        <f t="shared" si="30"/>
        <v>17.085280373831768</v>
      </c>
      <c r="F164" s="751">
        <f t="shared" si="28"/>
        <v>20.01075277186224</v>
      </c>
      <c r="G164" s="840">
        <f t="shared" si="31"/>
        <v>27.001082787979456</v>
      </c>
      <c r="H164" s="842">
        <f>$B$322/B164</f>
        <v>1.2685750810675978</v>
      </c>
      <c r="I164" s="745" t="s">
        <v>241</v>
      </c>
      <c r="J164" s="745"/>
    </row>
    <row r="165" spans="1:10" ht="16.5" hidden="1" thickBot="1">
      <c r="A165" s="973" t="s">
        <v>442</v>
      </c>
      <c r="B165" s="748">
        <f>+geral!E420</f>
        <v>18576</v>
      </c>
      <c r="C165" s="748">
        <f t="shared" si="32"/>
        <v>343.14404624021194</v>
      </c>
      <c r="D165" s="750">
        <f t="shared" si="26"/>
        <v>-7.3285108505861674</v>
      </c>
      <c r="E165" s="750">
        <f t="shared" si="30"/>
        <v>8.5046728971962757</v>
      </c>
      <c r="F165" s="751">
        <f t="shared" si="28"/>
        <v>12.418300653594795</v>
      </c>
      <c r="G165" s="840">
        <f t="shared" si="31"/>
        <v>20.037686250334442</v>
      </c>
      <c r="H165" s="842">
        <f>$B$322/B165</f>
        <v>1.3688946759259257</v>
      </c>
      <c r="I165" s="745"/>
      <c r="J165" s="745"/>
    </row>
    <row r="166" spans="1:10" ht="16.5" hidden="1" thickBot="1">
      <c r="A166" s="973" t="s">
        <v>443</v>
      </c>
      <c r="B166" s="748">
        <f>+geral!E421</f>
        <v>19022.5</v>
      </c>
      <c r="C166" s="748">
        <f t="shared" si="32"/>
        <v>351.39199071944608</v>
      </c>
      <c r="D166" s="750">
        <f t="shared" si="26"/>
        <v>2.4036391042204786</v>
      </c>
      <c r="E166" s="750">
        <f t="shared" si="30"/>
        <v>11.112733644859807</v>
      </c>
      <c r="F166" s="751">
        <f t="shared" si="28"/>
        <v>14.731604342581427</v>
      </c>
      <c r="G166" s="840">
        <f t="shared" si="31"/>
        <v>24.359814177770623</v>
      </c>
      <c r="H166" s="842">
        <f>$B$322/B166</f>
        <v>1.3367637008805362</v>
      </c>
      <c r="I166" s="745"/>
      <c r="J166" s="745"/>
    </row>
    <row r="167" spans="1:10" ht="16.5" hidden="1" thickBot="1">
      <c r="A167" s="973" t="s">
        <v>444</v>
      </c>
      <c r="B167" s="748">
        <f>+geral!E422</f>
        <v>19200</v>
      </c>
      <c r="C167" s="748">
        <f t="shared" si="32"/>
        <v>354.67084882709241</v>
      </c>
      <c r="D167" s="750">
        <f t="shared" si="26"/>
        <v>0.93310553292154097</v>
      </c>
      <c r="E167" s="750">
        <f t="shared" si="30"/>
        <v>12.149532710280365</v>
      </c>
      <c r="F167" s="751">
        <f t="shared" si="28"/>
        <v>13.833969598029739</v>
      </c>
      <c r="G167" s="840">
        <f t="shared" si="31"/>
        <v>20.28191072826937</v>
      </c>
      <c r="H167" s="842">
        <f>$B$322/B167</f>
        <v>1.3244055989583332</v>
      </c>
      <c r="I167" s="745"/>
      <c r="J167" s="745"/>
    </row>
    <row r="168" spans="1:10" ht="16.5" hidden="1" thickBot="1">
      <c r="A168" s="973" t="s">
        <v>445</v>
      </c>
      <c r="B168" s="748">
        <f>+geral!E423</f>
        <v>19185</v>
      </c>
      <c r="C168" s="748">
        <f t="shared" si="32"/>
        <v>354.39376222644626</v>
      </c>
      <c r="D168" s="750">
        <f t="shared" si="26"/>
        <v>-7.8124999999995559E-2</v>
      </c>
      <c r="E168" s="750">
        <f t="shared" si="30"/>
        <v>12.061915887850461</v>
      </c>
      <c r="F168" s="751">
        <f t="shared" si="28"/>
        <v>17.032659340712986</v>
      </c>
      <c r="G168" s="840">
        <f t="shared" si="31"/>
        <v>22.175196110772188</v>
      </c>
      <c r="H168" s="842">
        <f>$B$322/B168</f>
        <v>1.3254410998175656</v>
      </c>
      <c r="I168" s="745"/>
      <c r="J168" s="745"/>
    </row>
    <row r="169" spans="1:10" ht="16.5" hidden="1" thickBot="1">
      <c r="A169" s="973" t="s">
        <v>446</v>
      </c>
      <c r="B169" s="748">
        <f>+geral!E424</f>
        <v>19225.714285714286</v>
      </c>
      <c r="C169" s="748">
        <f t="shared" si="32"/>
        <v>355.14585442820015</v>
      </c>
      <c r="D169" s="750">
        <f t="shared" ref="D169:D174" si="33">100*((C169/C168)-1)</f>
        <v>0.21221936780968509</v>
      </c>
      <c r="E169" s="750">
        <f t="shared" si="30"/>
        <v>12.299732977303069</v>
      </c>
      <c r="F169" s="751">
        <f t="shared" si="28"/>
        <v>12.299732977303069</v>
      </c>
      <c r="G169" s="840">
        <f t="shared" si="31"/>
        <v>21.72796179380958</v>
      </c>
      <c r="H169" s="842">
        <f>$B$322/B169</f>
        <v>1.3226342138504976</v>
      </c>
      <c r="I169" s="745"/>
      <c r="J169" s="745"/>
    </row>
    <row r="170" spans="1:10" ht="16.5" hidden="1" thickBot="1">
      <c r="A170" s="973" t="s">
        <v>447</v>
      </c>
      <c r="B170" s="748">
        <f>geral!G413</f>
        <v>19872.5</v>
      </c>
      <c r="C170" s="748">
        <f t="shared" si="32"/>
        <v>367.09356475606216</v>
      </c>
      <c r="D170" s="750">
        <f t="shared" si="33"/>
        <v>3.3641700104027228</v>
      </c>
      <c r="E170" s="750">
        <f t="shared" ref="E170:E175" si="34">100*((C170/$C$169)-1)</f>
        <v>3.3641700104027228</v>
      </c>
      <c r="F170" s="751">
        <f t="shared" ref="F170:F175" si="35">100*((C170/C158)-1)</f>
        <v>22.669753086419743</v>
      </c>
      <c r="G170" s="840">
        <f t="shared" ref="G170:G175" si="36">100*(C170/C146-1)</f>
        <v>20.854474124158529</v>
      </c>
      <c r="H170" s="842">
        <f>$B$322/B170</f>
        <v>1.2795867404704993</v>
      </c>
      <c r="I170" s="745"/>
      <c r="J170" s="745"/>
    </row>
    <row r="171" spans="1:10" ht="16.5" hidden="1" thickBot="1">
      <c r="A171" s="973" t="s">
        <v>448</v>
      </c>
      <c r="B171" s="748">
        <f>geral!G414</f>
        <v>20111.428571428572</v>
      </c>
      <c r="C171" s="748">
        <f t="shared" si="32"/>
        <v>371.50715846635467</v>
      </c>
      <c r="D171" s="750">
        <f t="shared" si="33"/>
        <v>1.2023075678881501</v>
      </c>
      <c r="E171" s="750">
        <f t="shared" si="34"/>
        <v>4.6069252489225665</v>
      </c>
      <c r="F171" s="751">
        <f t="shared" si="35"/>
        <v>24.722037652270213</v>
      </c>
      <c r="G171" s="840">
        <f t="shared" si="36"/>
        <v>26.989018038790924</v>
      </c>
      <c r="H171" s="842">
        <f>$B$322/B171</f>
        <v>1.2643849445944024</v>
      </c>
      <c r="I171" s="745"/>
      <c r="J171" s="745"/>
    </row>
    <row r="172" spans="1:10" ht="16.5" hidden="1" thickBot="1">
      <c r="A172" s="973" t="s">
        <v>449</v>
      </c>
      <c r="B172" s="748">
        <f>geral!G415</f>
        <v>20342.857142857141</v>
      </c>
      <c r="C172" s="748">
        <f t="shared" si="32"/>
        <v>375.78220887632409</v>
      </c>
      <c r="D172" s="750">
        <f t="shared" si="33"/>
        <v>1.1507316380167554</v>
      </c>
      <c r="E172" s="750">
        <f t="shared" si="34"/>
        <v>5.8106702333184712</v>
      </c>
      <c r="F172" s="751">
        <f t="shared" si="35"/>
        <v>24.357786784208059</v>
      </c>
      <c r="G172" s="840">
        <f t="shared" si="36"/>
        <v>28.826784246438386</v>
      </c>
      <c r="H172" s="842">
        <f>$B$322/B172</f>
        <v>1.2500007900280898</v>
      </c>
      <c r="I172" s="745"/>
      <c r="J172" s="745"/>
    </row>
    <row r="173" spans="1:10" ht="16.5" hidden="1" thickBot="1">
      <c r="A173" s="973" t="s">
        <v>450</v>
      </c>
      <c r="B173" s="748">
        <f>geral!G416</f>
        <v>20362.5</v>
      </c>
      <c r="C173" s="748">
        <f t="shared" si="32"/>
        <v>376.1450603771703</v>
      </c>
      <c r="D173" s="750">
        <f t="shared" si="33"/>
        <v>9.655898876406166E-2</v>
      </c>
      <c r="E173" s="750">
        <f t="shared" si="34"/>
        <v>5.9128399465002257</v>
      </c>
      <c r="F173" s="751">
        <f t="shared" si="35"/>
        <v>21.200523550548887</v>
      </c>
      <c r="G173" s="840">
        <f t="shared" si="36"/>
        <v>27.771360014356826</v>
      </c>
      <c r="H173" s="842">
        <f>$B$322/B173</f>
        <v>1.2487949662369551</v>
      </c>
      <c r="I173" s="745"/>
      <c r="J173" s="745"/>
    </row>
    <row r="174" spans="1:10" ht="16.5" hidden="1" thickBot="1">
      <c r="A174" s="973" t="s">
        <v>451</v>
      </c>
      <c r="B174" s="748">
        <f>geral!G417</f>
        <v>20650</v>
      </c>
      <c r="C174" s="748">
        <f t="shared" si="32"/>
        <v>381.45588688955507</v>
      </c>
      <c r="D174" s="750">
        <f t="shared" si="33"/>
        <v>1.4119091467157618</v>
      </c>
      <c r="E174" s="750">
        <f t="shared" si="34"/>
        <v>7.408233021251287</v>
      </c>
      <c r="F174" s="751">
        <f t="shared" si="35"/>
        <v>23.899975220004976</v>
      </c>
      <c r="G174" s="840">
        <f t="shared" si="36"/>
        <v>25.790377797541453</v>
      </c>
      <c r="H174" s="842">
        <f>$B$322/B174</f>
        <v>1.2314085956416463</v>
      </c>
      <c r="I174" s="745"/>
      <c r="J174" s="745"/>
    </row>
    <row r="175" spans="1:10" ht="16.5" hidden="1" thickBot="1">
      <c r="A175" s="973" t="s">
        <v>452</v>
      </c>
      <c r="B175" s="748">
        <f>geral!G418</f>
        <v>20762.5</v>
      </c>
      <c r="C175" s="748">
        <f t="shared" si="32"/>
        <v>383.53403639440137</v>
      </c>
      <c r="D175" s="750">
        <f t="shared" ref="D175:D181" si="37">100*((C175/C174)-1)</f>
        <v>0.54479418886199671</v>
      </c>
      <c r="E175" s="750">
        <f t="shared" si="34"/>
        <v>7.9933868331104163</v>
      </c>
      <c r="F175" s="751">
        <f t="shared" si="35"/>
        <v>23.073503260225259</v>
      </c>
      <c r="G175" s="840">
        <f t="shared" si="36"/>
        <v>26.27852252456082</v>
      </c>
      <c r="H175" s="842">
        <f>$B$322/B175</f>
        <v>1.2247363034316676</v>
      </c>
      <c r="I175" s="745"/>
      <c r="J175" s="745"/>
    </row>
    <row r="176" spans="1:10" ht="16.5" hidden="1" thickBot="1">
      <c r="A176" s="973" t="s">
        <v>453</v>
      </c>
      <c r="B176" s="748">
        <f>geral!G419</f>
        <v>21237.5</v>
      </c>
      <c r="C176" s="748">
        <f t="shared" si="32"/>
        <v>392.30844541486329</v>
      </c>
      <c r="D176" s="750">
        <f t="shared" si="37"/>
        <v>2.2877784467188356</v>
      </c>
      <c r="E176" s="750">
        <f t="shared" ref="E176:E181" si="38">100*((C176/$C$169)-1)</f>
        <v>10.464036260960018</v>
      </c>
      <c r="F176" s="751">
        <f t="shared" ref="F176:F181" si="39">100*((C176/C164)-1)</f>
        <v>5.9491144923921269</v>
      </c>
      <c r="G176" s="840">
        <f t="shared" ref="G176:G181" si="40">100*(C176/C152-1)</f>
        <v>27.150329857441967</v>
      </c>
      <c r="H176" s="842">
        <f>$B$322/B176</f>
        <v>1.1973437316068274</v>
      </c>
      <c r="I176" s="745"/>
      <c r="J176" s="745"/>
    </row>
    <row r="177" spans="1:10" ht="16.5" hidden="1" thickBot="1">
      <c r="A177" s="973" t="s">
        <v>454</v>
      </c>
      <c r="B177" s="748">
        <f>geral!G420</f>
        <v>21335.714285714286</v>
      </c>
      <c r="C177" s="748">
        <f t="shared" si="32"/>
        <v>394.12270291909414</v>
      </c>
      <c r="D177" s="750">
        <f t="shared" si="37"/>
        <v>0.46245690742454659</v>
      </c>
      <c r="E177" s="750">
        <f t="shared" si="38"/>
        <v>10.97488482686877</v>
      </c>
      <c r="F177" s="751">
        <f t="shared" si="39"/>
        <v>14.856343054017461</v>
      </c>
      <c r="G177" s="840">
        <f t="shared" si="40"/>
        <v>29.119549054189587</v>
      </c>
      <c r="H177" s="842">
        <f>$B$322/B177</f>
        <v>1.1918320220957481</v>
      </c>
      <c r="I177" s="745"/>
      <c r="J177" s="745"/>
    </row>
    <row r="178" spans="1:10" ht="16.5" hidden="1" thickBot="1">
      <c r="A178" s="973" t="s">
        <v>455</v>
      </c>
      <c r="B178" s="748">
        <f>geral!G421</f>
        <v>21356.25</v>
      </c>
      <c r="C178" s="748">
        <f t="shared" si="32"/>
        <v>394.50204766997877</v>
      </c>
      <c r="D178" s="750">
        <f t="shared" si="37"/>
        <v>9.6250418480070543E-2</v>
      </c>
      <c r="E178" s="750">
        <f t="shared" si="38"/>
        <v>11.08169861792241</v>
      </c>
      <c r="F178" s="751">
        <f t="shared" si="39"/>
        <v>12.268366408200816</v>
      </c>
      <c r="G178" s="840">
        <f t="shared" si="40"/>
        <v>28.807297949336565</v>
      </c>
      <c r="H178" s="842">
        <f>$B$322/B178</f>
        <v>1.1906859818554287</v>
      </c>
      <c r="I178" s="745"/>
      <c r="J178" s="745"/>
    </row>
    <row r="179" spans="1:10" ht="16.5" hidden="1" thickBot="1">
      <c r="A179" s="973" t="s">
        <v>456</v>
      </c>
      <c r="B179" s="748">
        <f>geral!G422</f>
        <v>21456.25</v>
      </c>
      <c r="C179" s="748">
        <f t="shared" si="32"/>
        <v>396.34929167428652</v>
      </c>
      <c r="D179" s="750">
        <f t="shared" si="37"/>
        <v>0.4682470002926431</v>
      </c>
      <c r="E179" s="750">
        <f t="shared" si="38"/>
        <v>11.601835339574951</v>
      </c>
      <c r="F179" s="751">
        <f t="shared" si="39"/>
        <v>11.751302083333325</v>
      </c>
      <c r="G179" s="840">
        <f t="shared" si="40"/>
        <v>27.21094323894404</v>
      </c>
      <c r="H179" s="842">
        <f>$B$322/B179</f>
        <v>1.1851366152053597</v>
      </c>
      <c r="I179" s="745"/>
      <c r="J179" s="745"/>
    </row>
    <row r="180" spans="1:10" ht="16.5" hidden="1" thickBot="1">
      <c r="A180" s="973" t="s">
        <v>457</v>
      </c>
      <c r="B180" s="748">
        <f>geral!G423</f>
        <v>21441.666666666668</v>
      </c>
      <c r="C180" s="748">
        <f t="shared" si="32"/>
        <v>396.07990192365833</v>
      </c>
      <c r="D180" s="750">
        <f t="shared" si="37"/>
        <v>-6.79677638605658E-2</v>
      </c>
      <c r="E180" s="750">
        <f t="shared" si="38"/>
        <v>11.525982067667307</v>
      </c>
      <c r="F180" s="751">
        <f t="shared" si="39"/>
        <v>11.762661801754849</v>
      </c>
      <c r="G180" s="840">
        <f t="shared" si="40"/>
        <v>30.798815256560896</v>
      </c>
      <c r="H180" s="842">
        <f>$B$322/B180</f>
        <v>1.1859426739214922</v>
      </c>
      <c r="I180" s="745"/>
      <c r="J180" s="745"/>
    </row>
    <row r="181" spans="1:10" ht="16.5" hidden="1" thickBot="1">
      <c r="A181" s="973" t="s">
        <v>458</v>
      </c>
      <c r="B181" s="748">
        <f>geral!G424</f>
        <v>21575</v>
      </c>
      <c r="C181" s="748">
        <f t="shared" si="32"/>
        <v>398.542893929402</v>
      </c>
      <c r="D181" s="750">
        <f t="shared" si="37"/>
        <v>0.62184220753982444</v>
      </c>
      <c r="E181" s="750">
        <f t="shared" si="38"/>
        <v>12.219497696537363</v>
      </c>
      <c r="F181" s="751">
        <f t="shared" si="39"/>
        <v>12.219497696537363</v>
      </c>
      <c r="G181" s="840">
        <f t="shared" si="40"/>
        <v>26.022196261682229</v>
      </c>
      <c r="H181" s="842">
        <f>$B$322/B181</f>
        <v>1.1786135573580532</v>
      </c>
      <c r="I181" s="745"/>
      <c r="J181" s="745"/>
    </row>
    <row r="182" spans="1:10" ht="16.5" hidden="1" thickBot="1">
      <c r="A182" s="973" t="s">
        <v>459</v>
      </c>
      <c r="B182" s="748">
        <f>geral!I413</f>
        <v>21600</v>
      </c>
      <c r="C182" s="748">
        <f t="shared" si="32"/>
        <v>399.00470493047897</v>
      </c>
      <c r="D182" s="750">
        <f t="shared" ref="D182:D187" si="41">100*((C182/C181)-1)</f>
        <v>0.11587485515642815</v>
      </c>
      <c r="E182" s="750">
        <f t="shared" ref="E182:E187" si="42">100*((C182/$C$181)-1)</f>
        <v>0.11587485515642815</v>
      </c>
      <c r="F182" s="751">
        <f t="shared" ref="F182:F187" si="43">100*((C182/C170)-1)</f>
        <v>8.6929173480940989</v>
      </c>
      <c r="G182" s="840">
        <f t="shared" ref="G182:G187" si="44">100*(C182/C158-1)</f>
        <v>33.333333333333329</v>
      </c>
      <c r="H182" s="842">
        <f>$B$322/B182</f>
        <v>1.1772494212962963</v>
      </c>
      <c r="I182" s="745"/>
      <c r="J182" s="745"/>
    </row>
    <row r="183" spans="1:10" ht="16.5" hidden="1" thickBot="1">
      <c r="A183" s="973" t="s">
        <v>460</v>
      </c>
      <c r="B183" s="748">
        <f>geral!I414</f>
        <v>21568.75</v>
      </c>
      <c r="C183" s="748">
        <f t="shared" si="32"/>
        <v>398.42744117913276</v>
      </c>
      <c r="D183" s="750">
        <f t="shared" si="41"/>
        <v>-0.14467592592593004</v>
      </c>
      <c r="E183" s="750">
        <f t="shared" si="42"/>
        <v>-2.8968713789112588E-2</v>
      </c>
      <c r="F183" s="751">
        <f t="shared" si="43"/>
        <v>7.2462352606904368</v>
      </c>
      <c r="G183" s="840">
        <f t="shared" si="44"/>
        <v>33.759689922480618</v>
      </c>
      <c r="H183" s="842">
        <f>$B$322/B183</f>
        <v>1.1789550854824689</v>
      </c>
      <c r="I183" s="745"/>
      <c r="J183" s="745"/>
    </row>
    <row r="184" spans="1:10" ht="16.5" hidden="1" thickBot="1">
      <c r="A184" s="973" t="s">
        <v>461</v>
      </c>
      <c r="B184" s="748">
        <f>geral!I415</f>
        <v>21600</v>
      </c>
      <c r="C184" s="748">
        <f t="shared" si="32"/>
        <v>399.00470493047897</v>
      </c>
      <c r="D184" s="750">
        <f t="shared" si="41"/>
        <v>0.14488554042306756</v>
      </c>
      <c r="E184" s="750">
        <f t="shared" si="42"/>
        <v>0.11587485515642815</v>
      </c>
      <c r="F184" s="751">
        <f t="shared" si="43"/>
        <v>6.1797752808988804</v>
      </c>
      <c r="G184" s="840">
        <f t="shared" si="44"/>
        <v>32.042818551771489</v>
      </c>
      <c r="H184" s="842">
        <f>$B$322/B184</f>
        <v>1.1772494212962963</v>
      </c>
      <c r="I184" s="745"/>
      <c r="J184" s="745"/>
    </row>
    <row r="185" spans="1:10" ht="16.5" hidden="1" thickBot="1">
      <c r="A185" s="973" t="s">
        <v>462</v>
      </c>
      <c r="B185" s="748">
        <f>geral!I416</f>
        <v>21568.75</v>
      </c>
      <c r="C185" s="748">
        <f t="shared" si="32"/>
        <v>398.42744117913276</v>
      </c>
      <c r="D185" s="750">
        <f t="shared" si="41"/>
        <v>-0.14467592592593004</v>
      </c>
      <c r="E185" s="750">
        <f t="shared" si="42"/>
        <v>-2.8968713789112588E-2</v>
      </c>
      <c r="F185" s="751">
        <f t="shared" si="43"/>
        <v>5.9238796807857375</v>
      </c>
      <c r="G185" s="840">
        <f t="shared" si="44"/>
        <v>28.3802967381658</v>
      </c>
      <c r="H185" s="842">
        <f>$B$322/B185</f>
        <v>1.1789550854824689</v>
      </c>
      <c r="I185" s="745"/>
      <c r="J185" s="745"/>
    </row>
    <row r="186" spans="1:10" ht="16.5" hidden="1" thickBot="1">
      <c r="A186" s="973" t="s">
        <v>463</v>
      </c>
      <c r="B186" s="748">
        <f>geral!I417</f>
        <v>21685.714285714286</v>
      </c>
      <c r="C186" s="748">
        <f t="shared" si="32"/>
        <v>400.58805693417139</v>
      </c>
      <c r="D186" s="750">
        <f t="shared" si="41"/>
        <v>0.54228587986921983</v>
      </c>
      <c r="E186" s="750">
        <f t="shared" si="42"/>
        <v>0.51316007283563891</v>
      </c>
      <c r="F186" s="751">
        <f t="shared" si="43"/>
        <v>5.0155655482532202</v>
      </c>
      <c r="G186" s="840">
        <f t="shared" si="44"/>
        <v>30.114259691433819</v>
      </c>
      <c r="H186" s="842">
        <f>$B$322/B186</f>
        <v>1.1725962615283265</v>
      </c>
      <c r="I186" s="745"/>
      <c r="J186" s="745"/>
    </row>
    <row r="187" spans="1:10" ht="16.5" hidden="1" thickBot="1">
      <c r="A187" s="973" t="s">
        <v>464</v>
      </c>
      <c r="B187" s="748">
        <f>geral!I418</f>
        <v>21875</v>
      </c>
      <c r="C187" s="748">
        <f t="shared" si="32"/>
        <v>404.08462594232537</v>
      </c>
      <c r="D187" s="750">
        <f t="shared" si="41"/>
        <v>0.87285902503293489</v>
      </c>
      <c r="E187" s="750">
        <f t="shared" si="42"/>
        <v>1.3904982618771822</v>
      </c>
      <c r="F187" s="751">
        <f t="shared" si="43"/>
        <v>5.3582179409993991</v>
      </c>
      <c r="G187" s="840">
        <f t="shared" si="44"/>
        <v>29.668049792531125</v>
      </c>
      <c r="H187" s="842">
        <f>$B$322/B187</f>
        <v>1.1624497142857142</v>
      </c>
      <c r="I187" s="745"/>
      <c r="J187" s="745"/>
    </row>
    <row r="188" spans="1:10" ht="16.5" hidden="1" thickBot="1">
      <c r="A188" s="973" t="s">
        <v>465</v>
      </c>
      <c r="B188" s="748">
        <f>geral!I419</f>
        <v>21912.5</v>
      </c>
      <c r="C188" s="748">
        <f t="shared" si="32"/>
        <v>404.77734244394077</v>
      </c>
      <c r="D188" s="750">
        <f t="shared" ref="D188:D193" si="45">100*((C188/C187)-1)</f>
        <v>0.17142857142855572</v>
      </c>
      <c r="E188" s="750">
        <f t="shared" ref="E188:E193" si="46">100*((C188/$C$181)-1)</f>
        <v>1.5643105446118355</v>
      </c>
      <c r="F188" s="751">
        <f t="shared" ref="F188:F193" si="47">100*((C188/C176)-1)</f>
        <v>3.178340200117713</v>
      </c>
      <c r="G188" s="840">
        <f t="shared" ref="G188:G193" si="48">100*(C188/C164-1)</f>
        <v>9.3165377899725677</v>
      </c>
      <c r="H188" s="842">
        <f>$B$322/B188</f>
        <v>1.1604603536794067</v>
      </c>
      <c r="I188" s="745"/>
      <c r="J188" s="745"/>
    </row>
    <row r="189" spans="1:10" ht="16.5" hidden="1" thickBot="1">
      <c r="A189" s="973" t="s">
        <v>466</v>
      </c>
      <c r="B189" s="748">
        <f>geral!I420</f>
        <v>22006.25</v>
      </c>
      <c r="C189" s="748">
        <f t="shared" si="32"/>
        <v>406.50913369797934</v>
      </c>
      <c r="D189" s="750">
        <f t="shared" si="45"/>
        <v>0.42783799201369099</v>
      </c>
      <c r="E189" s="750">
        <f t="shared" si="46"/>
        <v>1.9988412514484466</v>
      </c>
      <c r="F189" s="751">
        <f t="shared" si="47"/>
        <v>3.1427854034148162</v>
      </c>
      <c r="G189" s="840">
        <f t="shared" si="48"/>
        <v>18.466031438415165</v>
      </c>
      <c r="H189" s="842">
        <f>$B$322/B189</f>
        <v>1.1555166145981255</v>
      </c>
      <c r="I189" s="745"/>
      <c r="J189" s="745"/>
    </row>
    <row r="190" spans="1:10" ht="16.5" hidden="1" thickBot="1">
      <c r="A190" s="973" t="s">
        <v>467</v>
      </c>
      <c r="B190" s="748">
        <f>geral!I421</f>
        <v>22035.714285714286</v>
      </c>
      <c r="C190" s="748">
        <f t="shared" si="32"/>
        <v>407.05341094924859</v>
      </c>
      <c r="D190" s="750">
        <f t="shared" si="45"/>
        <v>0.13389053434496034</v>
      </c>
      <c r="E190" s="750">
        <f t="shared" si="46"/>
        <v>2.1354080450256774</v>
      </c>
      <c r="F190" s="751">
        <f t="shared" si="47"/>
        <v>3.1815711359170606</v>
      </c>
      <c r="G190" s="840">
        <f t="shared" si="48"/>
        <v>15.840264348609745</v>
      </c>
      <c r="H190" s="842">
        <f>$B$322/B190</f>
        <v>1.1539715559157211</v>
      </c>
      <c r="I190" s="745"/>
      <c r="J190" s="745"/>
    </row>
    <row r="191" spans="1:10" ht="16.5" hidden="1" thickBot="1">
      <c r="A191" s="973" t="s">
        <v>468</v>
      </c>
      <c r="B191" s="748">
        <f>geral!I422</f>
        <v>22468.75</v>
      </c>
      <c r="C191" s="748">
        <f t="shared" si="32"/>
        <v>415.05263721790271</v>
      </c>
      <c r="D191" s="750">
        <f t="shared" si="45"/>
        <v>1.9651539708265719</v>
      </c>
      <c r="E191" s="750">
        <f t="shared" si="46"/>
        <v>4.1425260718424006</v>
      </c>
      <c r="F191" s="751">
        <f t="shared" si="47"/>
        <v>4.7189047480337809</v>
      </c>
      <c r="G191" s="840">
        <f t="shared" si="48"/>
        <v>17.024739583333325</v>
      </c>
      <c r="H191" s="842">
        <f>$B$322/B191</f>
        <v>1.1317312934631432</v>
      </c>
      <c r="I191" s="745"/>
      <c r="J191" s="745"/>
    </row>
    <row r="192" spans="1:10" ht="16.5" hidden="1" thickBot="1">
      <c r="A192" s="973" t="s">
        <v>469</v>
      </c>
      <c r="B192" s="748">
        <f>geral!I423</f>
        <v>22768.75</v>
      </c>
      <c r="C192" s="748">
        <f t="shared" si="32"/>
        <v>420.59436923082609</v>
      </c>
      <c r="D192" s="750">
        <f t="shared" si="45"/>
        <v>1.3351877607788776</v>
      </c>
      <c r="E192" s="750">
        <f t="shared" si="46"/>
        <v>5.533024333719605</v>
      </c>
      <c r="F192" s="751">
        <f t="shared" si="47"/>
        <v>6.1892732219199553</v>
      </c>
      <c r="G192" s="840">
        <f t="shared" si="48"/>
        <v>18.679958300755793</v>
      </c>
      <c r="H192" s="842">
        <f>$B$322/B192</f>
        <v>1.1168196541312105</v>
      </c>
      <c r="I192" s="745"/>
      <c r="J192" s="745"/>
    </row>
    <row r="193" spans="1:10" ht="16.5" hidden="1" thickBot="1">
      <c r="A193" s="973" t="s">
        <v>470</v>
      </c>
      <c r="B193" s="748">
        <f>geral!I424</f>
        <v>23012.5</v>
      </c>
      <c r="C193" s="748">
        <f t="shared" si="32"/>
        <v>425.09702649132623</v>
      </c>
      <c r="D193" s="750">
        <f t="shared" si="45"/>
        <v>1.0705462530881116</v>
      </c>
      <c r="E193" s="750">
        <f t="shared" si="46"/>
        <v>6.662804171494785</v>
      </c>
      <c r="F193" s="751">
        <f t="shared" si="47"/>
        <v>6.662804171494785</v>
      </c>
      <c r="G193" s="840">
        <f t="shared" si="48"/>
        <v>19.696463070292737</v>
      </c>
      <c r="H193" s="842">
        <f>$B$322/B193</f>
        <v>1.1049902227050514</v>
      </c>
      <c r="I193" s="745"/>
      <c r="J193" s="745"/>
    </row>
    <row r="194" spans="1:10" ht="16.5" hidden="1" thickBot="1">
      <c r="A194" s="973" t="s">
        <v>471</v>
      </c>
      <c r="B194" s="748">
        <f>geral!K413</f>
        <v>22690.5</v>
      </c>
      <c r="C194" s="748">
        <f t="shared" si="32"/>
        <v>419.14890079745521</v>
      </c>
      <c r="D194" s="750">
        <f t="shared" ref="D194:D199" si="49">100*((C194/C193)-1)</f>
        <v>-1.3992395437262384</v>
      </c>
      <c r="E194" s="750">
        <f t="shared" ref="E194:E199" si="50">100*((C194/$C$193)-1)</f>
        <v>-1.3992395437262384</v>
      </c>
      <c r="F194" s="751">
        <f t="shared" ref="F194:F199" si="51">100*((C194/C182)-1)</f>
        <v>5.0486111111111009</v>
      </c>
      <c r="G194" s="840">
        <f t="shared" ref="G194:G199" si="52">100*(C194/C170-1)</f>
        <v>14.180400050320795</v>
      </c>
      <c r="H194" s="842">
        <f>$B$322/B194</f>
        <v>1.1206710958330577</v>
      </c>
      <c r="I194" s="745"/>
      <c r="J194" s="745"/>
    </row>
    <row r="195" spans="1:10" ht="16.5" hidden="1" thickBot="1">
      <c r="A195" s="973" t="s">
        <v>472</v>
      </c>
      <c r="B195" s="748">
        <f>geral!K414</f>
        <v>22690.5</v>
      </c>
      <c r="C195" s="748">
        <f t="shared" si="32"/>
        <v>419.14890079745521</v>
      </c>
      <c r="D195" s="750">
        <f t="shared" si="49"/>
        <v>0</v>
      </c>
      <c r="E195" s="750">
        <f t="shared" si="50"/>
        <v>-1.3992395437262384</v>
      </c>
      <c r="F195" s="751">
        <f t="shared" si="51"/>
        <v>5.2008113590263694</v>
      </c>
      <c r="G195" s="840">
        <f t="shared" si="52"/>
        <v>12.82390964625657</v>
      </c>
      <c r="H195" s="842">
        <f>$B$322/B195</f>
        <v>1.1206710958330577</v>
      </c>
      <c r="I195" s="745"/>
      <c r="J195" s="745"/>
    </row>
    <row r="196" spans="1:10" ht="16.5" hidden="1" thickBot="1">
      <c r="A196" s="973" t="s">
        <v>473</v>
      </c>
      <c r="B196" s="748">
        <f>geral!K415</f>
        <v>21409.25</v>
      </c>
      <c r="C196" s="748">
        <f t="shared" si="32"/>
        <v>395.48108699226185</v>
      </c>
      <c r="D196" s="750">
        <f t="shared" si="49"/>
        <v>-5.6466362574645874</v>
      </c>
      <c r="E196" s="750">
        <f t="shared" si="50"/>
        <v>-6.9668658337859846</v>
      </c>
      <c r="F196" s="751">
        <f t="shared" si="51"/>
        <v>-0.88310185185186407</v>
      </c>
      <c r="G196" s="840">
        <f t="shared" si="52"/>
        <v>5.2420997191011232</v>
      </c>
      <c r="H196" s="842">
        <f>$B$322/B196</f>
        <v>1.1877383607552809</v>
      </c>
      <c r="I196" s="745"/>
      <c r="J196" s="745"/>
    </row>
    <row r="197" spans="1:10" ht="16.5" hidden="1" thickBot="1">
      <c r="A197" s="973" t="s">
        <v>474</v>
      </c>
      <c r="B197" s="748">
        <f>geral!K416</f>
        <v>20659.25</v>
      </c>
      <c r="C197" s="748">
        <f t="shared" si="32"/>
        <v>381.62675695995358</v>
      </c>
      <c r="D197" s="750">
        <f t="shared" si="49"/>
        <v>-3.5031586814110671</v>
      </c>
      <c r="E197" s="750">
        <f t="shared" si="50"/>
        <v>-10.225964149918521</v>
      </c>
      <c r="F197" s="751">
        <f t="shared" si="51"/>
        <v>-4.2167487684729004</v>
      </c>
      <c r="G197" s="840">
        <f t="shared" si="52"/>
        <v>1.4573357888274963</v>
      </c>
      <c r="H197" s="842">
        <f>$B$322/B197</f>
        <v>1.2308572431235403</v>
      </c>
      <c r="I197" s="745"/>
      <c r="J197" s="745"/>
    </row>
    <row r="198" spans="1:10" ht="16.5" hidden="1" thickBot="1">
      <c r="A198" s="973" t="s">
        <v>475</v>
      </c>
      <c r="B198" s="748">
        <f>geral!K417</f>
        <v>21182</v>
      </c>
      <c r="C198" s="748">
        <f t="shared" si="32"/>
        <v>391.28322499247247</v>
      </c>
      <c r="D198" s="750">
        <f t="shared" si="49"/>
        <v>2.5303435507097349</v>
      </c>
      <c r="E198" s="750">
        <f t="shared" si="50"/>
        <v>-7.9543726235741357</v>
      </c>
      <c r="F198" s="751">
        <f t="shared" si="51"/>
        <v>-2.3227931488801201</v>
      </c>
      <c r="G198" s="840">
        <f t="shared" si="52"/>
        <v>2.5762711864406818</v>
      </c>
      <c r="H198" s="842">
        <f>$B$322/B198</f>
        <v>1.2004809508072891</v>
      </c>
      <c r="I198" s="745"/>
      <c r="J198" s="745"/>
    </row>
    <row r="199" spans="1:10" ht="16.5" hidden="1" thickBot="1">
      <c r="A199" s="973" t="s">
        <v>476</v>
      </c>
      <c r="B199" s="748">
        <f>geral!K418</f>
        <v>21182</v>
      </c>
      <c r="C199" s="748">
        <f t="shared" si="32"/>
        <v>391.28322499247247</v>
      </c>
      <c r="D199" s="750">
        <f t="shared" si="49"/>
        <v>0</v>
      </c>
      <c r="E199" s="750">
        <f t="shared" si="50"/>
        <v>-7.9543726235741357</v>
      </c>
      <c r="F199" s="751">
        <f t="shared" si="51"/>
        <v>-3.1680000000000041</v>
      </c>
      <c r="G199" s="840">
        <f t="shared" si="52"/>
        <v>2.020469596628538</v>
      </c>
      <c r="H199" s="842">
        <f>$B$322/B199</f>
        <v>1.2004809508072891</v>
      </c>
      <c r="I199" s="745"/>
      <c r="J199" s="745"/>
    </row>
    <row r="200" spans="1:10" ht="16.5" hidden="1" thickBot="1">
      <c r="A200" s="973" t="s">
        <v>477</v>
      </c>
      <c r="B200" s="748">
        <f>geral!K419</f>
        <v>21853.428571428572</v>
      </c>
      <c r="C200" s="748">
        <f t="shared" si="32"/>
        <v>403.68614902139609</v>
      </c>
      <c r="D200" s="750">
        <f t="shared" ref="D200:D205" si="53">100*((C200/C199)-1)</f>
        <v>3.1698072487421847</v>
      </c>
      <c r="E200" s="750">
        <f t="shared" ref="E200:E205" si="54">100*((C200/$C$193)-1)</f>
        <v>-5.0367036548459643</v>
      </c>
      <c r="F200" s="751">
        <f t="shared" ref="F200:F205" si="55">100*((C200/C188)-1)</f>
        <v>-0.26957868144406039</v>
      </c>
      <c r="G200" s="840">
        <f t="shared" ref="G200:G205" si="56">100*(C200/C176-1)</f>
        <v>2.9001933910703714</v>
      </c>
      <c r="H200" s="842">
        <f>$B$322/B200</f>
        <v>1.1635971635702798</v>
      </c>
      <c r="I200" s="745"/>
      <c r="J200" s="745"/>
    </row>
    <row r="201" spans="1:10" ht="16.5" hidden="1" thickBot="1">
      <c r="A201" s="973" t="s">
        <v>478</v>
      </c>
      <c r="B201" s="748">
        <f>geral!K420</f>
        <v>21853.428571428572</v>
      </c>
      <c r="C201" s="748">
        <f t="shared" si="32"/>
        <v>403.68614902139609</v>
      </c>
      <c r="D201" s="750">
        <f t="shared" si="53"/>
        <v>0</v>
      </c>
      <c r="E201" s="750">
        <f t="shared" si="54"/>
        <v>-5.0367036548459643</v>
      </c>
      <c r="F201" s="751">
        <f t="shared" si="55"/>
        <v>-0.69444557146915997</v>
      </c>
      <c r="G201" s="840">
        <f t="shared" si="56"/>
        <v>2.4265148978908524</v>
      </c>
      <c r="H201" s="842">
        <f>$B$322/B201</f>
        <v>1.1635971635702798</v>
      </c>
      <c r="I201" s="745"/>
      <c r="J201" s="745"/>
    </row>
    <row r="202" spans="1:10" ht="16.5" hidden="1" thickBot="1">
      <c r="A202" s="973" t="s">
        <v>479</v>
      </c>
      <c r="B202" s="748">
        <f>geral!K421</f>
        <v>22282</v>
      </c>
      <c r="C202" s="748">
        <f t="shared" si="32"/>
        <v>411.60290903985793</v>
      </c>
      <c r="D202" s="750">
        <f t="shared" si="53"/>
        <v>1.961117575535698</v>
      </c>
      <c r="E202" s="750">
        <f t="shared" si="54"/>
        <v>-3.1743617599130913</v>
      </c>
      <c r="F202" s="751">
        <f t="shared" si="55"/>
        <v>1.1176661264181265</v>
      </c>
      <c r="G202" s="840">
        <f t="shared" si="56"/>
        <v>4.3347966052092346</v>
      </c>
      <c r="H202" s="842">
        <f>$B$322/B202</f>
        <v>1.1412165649403105</v>
      </c>
      <c r="I202" s="745"/>
      <c r="J202" s="745"/>
    </row>
    <row r="203" spans="1:10" ht="16.5" hidden="1" thickBot="1">
      <c r="A203" s="973" t="s">
        <v>480</v>
      </c>
      <c r="B203" s="748">
        <f>geral!K422</f>
        <v>22282</v>
      </c>
      <c r="C203" s="748">
        <f t="shared" si="32"/>
        <v>411.60290903985793</v>
      </c>
      <c r="D203" s="750">
        <f t="shared" si="53"/>
        <v>0</v>
      </c>
      <c r="E203" s="750">
        <f t="shared" si="54"/>
        <v>-3.1743617599130913</v>
      </c>
      <c r="F203" s="751">
        <f t="shared" si="55"/>
        <v>-0.83115438108484208</v>
      </c>
      <c r="G203" s="840">
        <f t="shared" si="56"/>
        <v>3.8485289833964487</v>
      </c>
      <c r="H203" s="842">
        <f>$B$322/B203</f>
        <v>1.1412165649403105</v>
      </c>
      <c r="I203" s="745"/>
      <c r="J203" s="745"/>
    </row>
    <row r="204" spans="1:10" ht="16.5" hidden="1" thickBot="1">
      <c r="A204" s="973" t="s">
        <v>481</v>
      </c>
      <c r="B204" s="748">
        <f>geral!K423</f>
        <v>22282</v>
      </c>
      <c r="C204" s="748">
        <f t="shared" si="32"/>
        <v>411.60290903985793</v>
      </c>
      <c r="D204" s="750">
        <f t="shared" si="53"/>
        <v>0</v>
      </c>
      <c r="E204" s="750">
        <f t="shared" si="54"/>
        <v>-3.1743617599130913</v>
      </c>
      <c r="F204" s="751">
        <f t="shared" si="55"/>
        <v>-2.1377985177052028</v>
      </c>
      <c r="G204" s="840">
        <f t="shared" si="56"/>
        <v>3.9191605130198148</v>
      </c>
      <c r="H204" s="842">
        <f>$B$322/B204</f>
        <v>1.1412165649403105</v>
      </c>
      <c r="I204" s="745"/>
      <c r="J204" s="745"/>
    </row>
    <row r="205" spans="1:10" ht="16.5" hidden="1" thickBot="1">
      <c r="A205" s="1015" t="s">
        <v>482</v>
      </c>
      <c r="B205" s="755">
        <f>geral!K424</f>
        <v>22282</v>
      </c>
      <c r="C205" s="755">
        <f t="shared" si="32"/>
        <v>411.60290903985793</v>
      </c>
      <c r="D205" s="756">
        <f t="shared" si="53"/>
        <v>0</v>
      </c>
      <c r="E205" s="756">
        <f t="shared" si="54"/>
        <v>-3.1743617599130913</v>
      </c>
      <c r="F205" s="757">
        <f t="shared" si="55"/>
        <v>-3.1743617599130913</v>
      </c>
      <c r="G205" s="841">
        <f t="shared" si="56"/>
        <v>3.2769409038238662</v>
      </c>
      <c r="H205" s="922">
        <f>$B$322/B205</f>
        <v>1.1412165649403105</v>
      </c>
      <c r="I205" s="745"/>
      <c r="J205" s="745"/>
    </row>
    <row r="206" spans="1:10">
      <c r="A206" s="1013" t="s">
        <v>483</v>
      </c>
      <c r="B206" s="852">
        <f>geral!M413</f>
        <v>22761.857142857141</v>
      </c>
      <c r="C206" s="852">
        <f t="shared" si="32"/>
        <v>420.46704134052908</v>
      </c>
      <c r="D206" s="967">
        <f t="shared" ref="D206:D211" si="57">100*((C206/C205)-1)</f>
        <v>2.1535640555477187</v>
      </c>
      <c r="E206" s="967">
        <f t="shared" ref="E206:E211" si="58">100*((C206/$C$205)-1)</f>
        <v>2.1535640555477187</v>
      </c>
      <c r="F206" s="968">
        <f t="shared" ref="F206:F211" si="59">100*((C206/C194)-1)</f>
        <v>0.31448025762825793</v>
      </c>
      <c r="G206" s="969">
        <f t="shared" ref="G206:G211" si="60">100*(C206/C182-1)</f>
        <v>5.3789682539682415</v>
      </c>
      <c r="H206" s="856">
        <f>$B$322/B206</f>
        <v>1.117157854932751</v>
      </c>
      <c r="I206" s="745"/>
      <c r="J206" s="745"/>
    </row>
    <row r="207" spans="1:10">
      <c r="A207" s="1014" t="s">
        <v>484</v>
      </c>
      <c r="B207" s="857">
        <f>geral!M414</f>
        <v>22761.857142857141</v>
      </c>
      <c r="C207" s="857">
        <f t="shared" si="32"/>
        <v>420.46704134052908</v>
      </c>
      <c r="D207" s="961">
        <f t="shared" si="57"/>
        <v>0</v>
      </c>
      <c r="E207" s="961">
        <f t="shared" si="58"/>
        <v>2.1535640555477187</v>
      </c>
      <c r="F207" s="965">
        <f t="shared" si="59"/>
        <v>0.31448025762825793</v>
      </c>
      <c r="G207" s="966">
        <f t="shared" si="60"/>
        <v>5.5316471416152702</v>
      </c>
      <c r="H207" s="861">
        <f>$B$322/B207</f>
        <v>1.117157854932751</v>
      </c>
      <c r="I207" s="745"/>
      <c r="J207" s="745"/>
    </row>
    <row r="208" spans="1:10">
      <c r="A208" s="1014" t="s">
        <v>485</v>
      </c>
      <c r="B208" s="857">
        <f>geral!M415</f>
        <v>22761.857142857141</v>
      </c>
      <c r="C208" s="857">
        <f t="shared" si="32"/>
        <v>420.46704134052908</v>
      </c>
      <c r="D208" s="961">
        <f t="shared" si="57"/>
        <v>0</v>
      </c>
      <c r="E208" s="961">
        <f t="shared" si="58"/>
        <v>2.1535640555477187</v>
      </c>
      <c r="F208" s="965">
        <f t="shared" si="59"/>
        <v>6.3178632733848383</v>
      </c>
      <c r="G208" s="966">
        <f t="shared" si="60"/>
        <v>5.3789682539682415</v>
      </c>
      <c r="H208" s="861">
        <f t="shared" ref="H208:H271" si="61">$B$322/B208</f>
        <v>1.117157854932751</v>
      </c>
      <c r="I208" s="745"/>
      <c r="J208" s="745"/>
    </row>
    <row r="209" spans="1:10">
      <c r="A209" s="1014" t="s">
        <v>486</v>
      </c>
      <c r="B209" s="857">
        <f>geral!M416</f>
        <v>22998.857142857141</v>
      </c>
      <c r="C209" s="857">
        <f t="shared" si="32"/>
        <v>424.8450096307385</v>
      </c>
      <c r="D209" s="961">
        <f t="shared" si="57"/>
        <v>1.0412155673965806</v>
      </c>
      <c r="E209" s="961">
        <f t="shared" si="58"/>
        <v>3.2172028671445307</v>
      </c>
      <c r="F209" s="965">
        <f t="shared" si="59"/>
        <v>11.324743845285479</v>
      </c>
      <c r="G209" s="966">
        <f t="shared" si="60"/>
        <v>6.6304590801837815</v>
      </c>
      <c r="H209" s="861">
        <f t="shared" si="61"/>
        <v>1.1056456997863249</v>
      </c>
      <c r="I209" s="745"/>
      <c r="J209" s="745"/>
    </row>
    <row r="210" spans="1:10">
      <c r="A210" s="1014" t="s">
        <v>487</v>
      </c>
      <c r="B210" s="857">
        <f>geral!M417</f>
        <v>22998.857142857141</v>
      </c>
      <c r="C210" s="857">
        <f t="shared" si="32"/>
        <v>424.8450096307385</v>
      </c>
      <c r="D210" s="961">
        <f t="shared" si="57"/>
        <v>0</v>
      </c>
      <c r="E210" s="961">
        <f t="shared" si="58"/>
        <v>3.2172028671445307</v>
      </c>
      <c r="F210" s="965">
        <f t="shared" si="59"/>
        <v>8.5773635296815254</v>
      </c>
      <c r="G210" s="966">
        <f t="shared" si="60"/>
        <v>6.0553359683794161</v>
      </c>
      <c r="H210" s="861">
        <f t="shared" si="61"/>
        <v>1.1056456997863249</v>
      </c>
      <c r="I210" s="745"/>
      <c r="J210" s="745"/>
    </row>
    <row r="211" spans="1:10">
      <c r="A211" s="1014" t="s">
        <v>488</v>
      </c>
      <c r="B211" s="857">
        <f>geral!M418</f>
        <v>22998.857142857141</v>
      </c>
      <c r="C211" s="857">
        <f t="shared" si="32"/>
        <v>424.8450096307385</v>
      </c>
      <c r="D211" s="961">
        <f t="shared" si="57"/>
        <v>0</v>
      </c>
      <c r="E211" s="961">
        <f t="shared" si="58"/>
        <v>3.2172028671445307</v>
      </c>
      <c r="F211" s="965">
        <f t="shared" si="59"/>
        <v>8.5773635296815254</v>
      </c>
      <c r="G211" s="966">
        <f t="shared" si="60"/>
        <v>5.1376326530611971</v>
      </c>
      <c r="H211" s="861">
        <f t="shared" si="61"/>
        <v>1.1056456997863249</v>
      </c>
      <c r="I211" s="745"/>
      <c r="J211" s="745"/>
    </row>
    <row r="212" spans="1:10">
      <c r="A212" s="1014" t="s">
        <v>489</v>
      </c>
      <c r="B212" s="857">
        <f>geral!M419</f>
        <v>22998.857142857141</v>
      </c>
      <c r="C212" s="857">
        <f t="shared" si="32"/>
        <v>424.8450096307385</v>
      </c>
      <c r="D212" s="961">
        <f t="shared" ref="D212:D217" si="62">100*((C212/C211)-1)</f>
        <v>0</v>
      </c>
      <c r="E212" s="961">
        <f t="shared" ref="E212:E217" si="63">100*((C212/$C$205)-1)</f>
        <v>3.2172028671445307</v>
      </c>
      <c r="F212" s="965">
        <f t="shared" ref="F212:F217" si="64">100*((C212/C200)-1)</f>
        <v>5.2414135735484368</v>
      </c>
      <c r="G212" s="966">
        <f t="shared" ref="G212:G217" si="65">100*(C212/C188-1)</f>
        <v>4.9577051585037779</v>
      </c>
      <c r="H212" s="861">
        <f t="shared" si="61"/>
        <v>1.1056456997863249</v>
      </c>
      <c r="I212" s="745"/>
      <c r="J212" s="745"/>
    </row>
    <row r="213" spans="1:10">
      <c r="A213" s="1014" t="s">
        <v>490</v>
      </c>
      <c r="B213" s="857">
        <f>geral!M420</f>
        <v>22998.857142857141</v>
      </c>
      <c r="C213" s="857">
        <f t="shared" si="32"/>
        <v>424.8450096307385</v>
      </c>
      <c r="D213" s="961">
        <f t="shared" si="62"/>
        <v>0</v>
      </c>
      <c r="E213" s="961">
        <f t="shared" si="63"/>
        <v>3.2172028671445307</v>
      </c>
      <c r="F213" s="965">
        <f t="shared" si="64"/>
        <v>5.2414135735484368</v>
      </c>
      <c r="G213" s="966">
        <f t="shared" si="65"/>
        <v>4.5105692376353979</v>
      </c>
      <c r="H213" s="861">
        <f t="shared" si="61"/>
        <v>1.1056456997863249</v>
      </c>
      <c r="I213" s="745"/>
      <c r="J213" s="745"/>
    </row>
    <row r="214" spans="1:10">
      <c r="A214" s="1014" t="s">
        <v>491</v>
      </c>
      <c r="B214" s="857">
        <f>geral!M421</f>
        <v>22998.857142857141</v>
      </c>
      <c r="C214" s="857">
        <f t="shared" si="32"/>
        <v>424.8450096307385</v>
      </c>
      <c r="D214" s="961">
        <f t="shared" si="62"/>
        <v>0</v>
      </c>
      <c r="E214" s="961">
        <f t="shared" si="63"/>
        <v>3.2172028671445307</v>
      </c>
      <c r="F214" s="965">
        <f t="shared" si="64"/>
        <v>3.2172028671445307</v>
      </c>
      <c r="G214" s="966">
        <f t="shared" si="65"/>
        <v>4.370826580226872</v>
      </c>
      <c r="H214" s="861">
        <f t="shared" si="61"/>
        <v>1.1056456997863249</v>
      </c>
      <c r="I214" s="745"/>
      <c r="J214" s="745"/>
    </row>
    <row r="215" spans="1:10">
      <c r="A215" s="1014" t="s">
        <v>492</v>
      </c>
      <c r="B215" s="857">
        <f>geral!M422</f>
        <v>22998.857142857141</v>
      </c>
      <c r="C215" s="857">
        <f t="shared" si="32"/>
        <v>424.8450096307385</v>
      </c>
      <c r="D215" s="961">
        <f t="shared" si="62"/>
        <v>0</v>
      </c>
      <c r="E215" s="961">
        <f t="shared" si="63"/>
        <v>3.2172028671445307</v>
      </c>
      <c r="F215" s="965">
        <f t="shared" si="64"/>
        <v>3.2172028671445307</v>
      </c>
      <c r="G215" s="966">
        <f t="shared" si="65"/>
        <v>2.3593085634810107</v>
      </c>
      <c r="H215" s="861">
        <f t="shared" si="61"/>
        <v>1.1056456997863249</v>
      </c>
      <c r="I215" s="745"/>
      <c r="J215" s="745"/>
    </row>
    <row r="216" spans="1:10">
      <c r="A216" s="1014" t="s">
        <v>493</v>
      </c>
      <c r="B216" s="857">
        <f>geral!M423</f>
        <v>22998.857142857141</v>
      </c>
      <c r="C216" s="857">
        <f t="shared" si="32"/>
        <v>424.8450096307385</v>
      </c>
      <c r="D216" s="961">
        <f t="shared" si="62"/>
        <v>0</v>
      </c>
      <c r="E216" s="961">
        <f t="shared" si="63"/>
        <v>3.2172028671445307</v>
      </c>
      <c r="F216" s="965">
        <f t="shared" si="64"/>
        <v>3.2172028671445307</v>
      </c>
      <c r="G216" s="966">
        <f t="shared" si="65"/>
        <v>1.0106270342339352</v>
      </c>
      <c r="H216" s="861">
        <f t="shared" si="61"/>
        <v>1.1056456997863249</v>
      </c>
      <c r="I216" s="745"/>
      <c r="J216" s="745"/>
    </row>
    <row r="217" spans="1:10">
      <c r="A217" s="1014" t="s">
        <v>494</v>
      </c>
      <c r="B217" s="857">
        <f>geral!M424</f>
        <v>22998.857142857141</v>
      </c>
      <c r="C217" s="857">
        <f t="shared" si="32"/>
        <v>424.8450096307385</v>
      </c>
      <c r="D217" s="961">
        <f t="shared" si="62"/>
        <v>0</v>
      </c>
      <c r="E217" s="961">
        <f t="shared" si="63"/>
        <v>3.2172028671445307</v>
      </c>
      <c r="F217" s="965">
        <f t="shared" si="64"/>
        <v>3.2172028671445307</v>
      </c>
      <c r="G217" s="966">
        <f t="shared" si="65"/>
        <v>-5.9284550322036278E-2</v>
      </c>
      <c r="H217" s="861">
        <f t="shared" si="61"/>
        <v>1.1056456997863249</v>
      </c>
      <c r="I217" s="745"/>
      <c r="J217" s="745"/>
    </row>
    <row r="218" spans="1:10">
      <c r="A218" s="1014" t="s">
        <v>495</v>
      </c>
      <c r="B218" s="857">
        <f>geral!C429</f>
        <v>22998.857142857141</v>
      </c>
      <c r="C218" s="857">
        <f t="shared" ref="C218:C223" si="66">(B218/$B$8)*100</f>
        <v>424.8450096307385</v>
      </c>
      <c r="D218" s="961">
        <f t="shared" ref="D218:D223" si="67">100*((C218/C217)-1)</f>
        <v>0</v>
      </c>
      <c r="E218" s="961">
        <f t="shared" ref="E218:E223" si="68">100*((C218/$C$217)-1)</f>
        <v>0</v>
      </c>
      <c r="F218" s="965">
        <f t="shared" ref="F218:F223" si="69">100*((C218/C206)-1)</f>
        <v>1.0412155673965806</v>
      </c>
      <c r="G218" s="966">
        <f t="shared" ref="G218:G223" si="70">100*(C218/C194-1)</f>
        <v>1.3589702424236627</v>
      </c>
      <c r="H218" s="861">
        <f t="shared" si="61"/>
        <v>1.1056456997863249</v>
      </c>
      <c r="I218" s="745"/>
      <c r="J218" s="745"/>
    </row>
    <row r="219" spans="1:10">
      <c r="A219" s="1014" t="s">
        <v>496</v>
      </c>
      <c r="B219" s="857">
        <f>geral!C430</f>
        <v>23235.857142857141</v>
      </c>
      <c r="C219" s="857">
        <f t="shared" si="66"/>
        <v>429.22297792094793</v>
      </c>
      <c r="D219" s="961">
        <f t="shared" si="67"/>
        <v>1.0304859868813354</v>
      </c>
      <c r="E219" s="961">
        <f t="shared" si="68"/>
        <v>1.0304859868813354</v>
      </c>
      <c r="F219" s="965">
        <f t="shared" si="69"/>
        <v>2.0824311347931612</v>
      </c>
      <c r="G219" s="966">
        <f t="shared" si="70"/>
        <v>2.4034602272190675</v>
      </c>
      <c r="H219" s="861">
        <f t="shared" si="61"/>
        <v>1.0943683869143135</v>
      </c>
      <c r="I219" s="745"/>
      <c r="J219" s="745"/>
    </row>
    <row r="220" spans="1:10">
      <c r="A220" s="1014" t="s">
        <v>497</v>
      </c>
      <c r="B220" s="857">
        <f>geral!C431</f>
        <v>23556.375</v>
      </c>
      <c r="C220" s="857">
        <f t="shared" si="66"/>
        <v>435.14372481975511</v>
      </c>
      <c r="D220" s="961">
        <f t="shared" si="67"/>
        <v>1.3794105169965043</v>
      </c>
      <c r="E220" s="961">
        <f t="shared" si="68"/>
        <v>2.4241111359570633</v>
      </c>
      <c r="F220" s="965">
        <f t="shared" si="69"/>
        <v>3.4905669258722405</v>
      </c>
      <c r="G220" s="966">
        <f t="shared" si="70"/>
        <v>10.028959445099673</v>
      </c>
      <c r="H220" s="861">
        <f t="shared" si="61"/>
        <v>1.0794779544815363</v>
      </c>
      <c r="I220" s="745"/>
      <c r="J220" s="745"/>
    </row>
    <row r="221" spans="1:10">
      <c r="A221" s="1014" t="s">
        <v>498</v>
      </c>
      <c r="B221" s="857">
        <f>geral!C432</f>
        <v>23556.375</v>
      </c>
      <c r="C221" s="857">
        <f t="shared" si="66"/>
        <v>435.14372481975511</v>
      </c>
      <c r="D221" s="961">
        <f t="shared" si="67"/>
        <v>0</v>
      </c>
      <c r="E221" s="961">
        <f t="shared" si="68"/>
        <v>2.4241111359570633</v>
      </c>
      <c r="F221" s="965">
        <f t="shared" si="69"/>
        <v>2.4241111359570633</v>
      </c>
      <c r="G221" s="966">
        <f t="shared" si="70"/>
        <v>14.023379357914735</v>
      </c>
      <c r="H221" s="861">
        <f t="shared" si="61"/>
        <v>1.0794779544815363</v>
      </c>
      <c r="I221" s="745"/>
      <c r="J221" s="745"/>
    </row>
    <row r="222" spans="1:10">
      <c r="A222" s="1014" t="s">
        <v>499</v>
      </c>
      <c r="B222" s="857">
        <f>geral!C433</f>
        <v>23556.375</v>
      </c>
      <c r="C222" s="857">
        <f t="shared" si="66"/>
        <v>435.14372481975511</v>
      </c>
      <c r="D222" s="961">
        <f t="shared" si="67"/>
        <v>0</v>
      </c>
      <c r="E222" s="961">
        <f t="shared" si="68"/>
        <v>2.4241111359570633</v>
      </c>
      <c r="F222" s="965">
        <f t="shared" si="69"/>
        <v>2.4241111359570633</v>
      </c>
      <c r="G222" s="966">
        <f t="shared" si="70"/>
        <v>11.209399490133109</v>
      </c>
      <c r="H222" s="861">
        <f t="shared" si="61"/>
        <v>1.0794779544815363</v>
      </c>
      <c r="I222" s="745"/>
      <c r="J222" s="745"/>
    </row>
    <row r="223" spans="1:10">
      <c r="A223" s="1014" t="s">
        <v>500</v>
      </c>
      <c r="B223" s="857">
        <f>geral!C434</f>
        <v>23556.375</v>
      </c>
      <c r="C223" s="857">
        <f t="shared" si="66"/>
        <v>435.14372481975511</v>
      </c>
      <c r="D223" s="961">
        <f t="shared" si="67"/>
        <v>0</v>
      </c>
      <c r="E223" s="961">
        <f t="shared" si="68"/>
        <v>2.4241111359570633</v>
      </c>
      <c r="F223" s="965">
        <f t="shared" si="69"/>
        <v>2.4241111359570633</v>
      </c>
      <c r="G223" s="966">
        <f t="shared" si="70"/>
        <v>11.209399490133109</v>
      </c>
      <c r="H223" s="861">
        <f t="shared" si="61"/>
        <v>1.0794779544815363</v>
      </c>
      <c r="I223" s="745"/>
      <c r="J223" s="745"/>
    </row>
    <row r="224" spans="1:10">
      <c r="A224" s="1014" t="s">
        <v>501</v>
      </c>
      <c r="B224" s="857">
        <f>geral!C435</f>
        <v>23414</v>
      </c>
      <c r="C224" s="857">
        <f t="shared" ref="C224:C229" si="71">(B224/$B$8)*100</f>
        <v>432.51371116862191</v>
      </c>
      <c r="D224" s="961">
        <f t="shared" ref="D224:D229" si="72">100*((C224/C223)-1)</f>
        <v>-0.60440114406397072</v>
      </c>
      <c r="E224" s="961">
        <f t="shared" ref="E224:E229" si="73">100*((C224/$C$217)-1)</f>
        <v>1.8050586364539933</v>
      </c>
      <c r="F224" s="965">
        <f t="shared" ref="F224:F229" si="74">100*((C224/C212)-1)</f>
        <v>1.8050586364539933</v>
      </c>
      <c r="G224" s="966">
        <f t="shared" ref="G224:G229" si="75">100*(C224/C200-1)</f>
        <v>7.1410827983840353</v>
      </c>
      <c r="H224" s="861">
        <f t="shared" si="61"/>
        <v>1.0860420047834627</v>
      </c>
      <c r="I224" s="745"/>
      <c r="J224" s="745"/>
    </row>
    <row r="225" spans="1:10">
      <c r="A225" s="1014" t="s">
        <v>502</v>
      </c>
      <c r="B225" s="857">
        <f>geral!C436</f>
        <v>23414</v>
      </c>
      <c r="C225" s="857">
        <f t="shared" si="71"/>
        <v>432.51371116862191</v>
      </c>
      <c r="D225" s="961">
        <f t="shared" si="72"/>
        <v>0</v>
      </c>
      <c r="E225" s="961">
        <f t="shared" si="73"/>
        <v>1.8050586364539933</v>
      </c>
      <c r="F225" s="965">
        <f t="shared" si="74"/>
        <v>1.8050586364539933</v>
      </c>
      <c r="G225" s="966">
        <f t="shared" si="75"/>
        <v>7.1410827983840353</v>
      </c>
      <c r="H225" s="861">
        <f t="shared" si="61"/>
        <v>1.0860420047834627</v>
      </c>
      <c r="I225" s="745"/>
      <c r="J225" s="745"/>
    </row>
    <row r="226" spans="1:10">
      <c r="A226" s="1014" t="s">
        <v>503</v>
      </c>
      <c r="B226" s="857">
        <f>geral!C437</f>
        <v>22876.5</v>
      </c>
      <c r="C226" s="857">
        <f t="shared" si="71"/>
        <v>422.58477464546769</v>
      </c>
      <c r="D226" s="961">
        <f t="shared" si="72"/>
        <v>-2.2956350901170097</v>
      </c>
      <c r="E226" s="961">
        <f t="shared" si="73"/>
        <v>-0.53201401311865348</v>
      </c>
      <c r="F226" s="965">
        <f t="shared" si="74"/>
        <v>-0.53201401311865348</v>
      </c>
      <c r="G226" s="966">
        <f t="shared" si="75"/>
        <v>2.6680728839421963</v>
      </c>
      <c r="H226" s="861">
        <f t="shared" si="61"/>
        <v>1.1115593512993682</v>
      </c>
      <c r="I226" s="745"/>
      <c r="J226" s="745"/>
    </row>
    <row r="227" spans="1:10">
      <c r="A227" s="1014" t="s">
        <v>504</v>
      </c>
      <c r="B227" s="857">
        <f>geral!C438</f>
        <v>22876.5</v>
      </c>
      <c r="C227" s="857">
        <f t="shared" si="71"/>
        <v>422.58477464546769</v>
      </c>
      <c r="D227" s="961">
        <f t="shared" si="72"/>
        <v>0</v>
      </c>
      <c r="E227" s="961">
        <f t="shared" si="73"/>
        <v>-0.53201401311865348</v>
      </c>
      <c r="F227" s="965">
        <f t="shared" si="74"/>
        <v>-0.53201401311865348</v>
      </c>
      <c r="G227" s="966">
        <f t="shared" si="75"/>
        <v>2.6680728839421963</v>
      </c>
      <c r="H227" s="861">
        <f t="shared" si="61"/>
        <v>1.1115593512993682</v>
      </c>
      <c r="I227" s="745"/>
      <c r="J227" s="745"/>
    </row>
    <row r="228" spans="1:10">
      <c r="A228" s="1014" t="s">
        <v>505</v>
      </c>
      <c r="B228" s="857">
        <f>geral!C439</f>
        <v>22801.5</v>
      </c>
      <c r="C228" s="857">
        <f t="shared" si="71"/>
        <v>421.19934164223685</v>
      </c>
      <c r="D228" s="961">
        <f t="shared" si="72"/>
        <v>-0.32784735427185963</v>
      </c>
      <c r="E228" s="961">
        <f t="shared" si="73"/>
        <v>-0.85811717352414218</v>
      </c>
      <c r="F228" s="965">
        <f t="shared" si="74"/>
        <v>-0.85811717352414218</v>
      </c>
      <c r="G228" s="966">
        <f t="shared" si="75"/>
        <v>2.3314783233103098</v>
      </c>
      <c r="H228" s="861">
        <f t="shared" si="61"/>
        <v>1.115215555994123</v>
      </c>
      <c r="I228" s="745"/>
      <c r="J228" s="745"/>
    </row>
    <row r="229" spans="1:10">
      <c r="A229" s="1014" t="s">
        <v>506</v>
      </c>
      <c r="B229" s="857">
        <f>geral!C440</f>
        <v>22801.5</v>
      </c>
      <c r="C229" s="857">
        <f t="shared" si="71"/>
        <v>421.19934164223685</v>
      </c>
      <c r="D229" s="961">
        <f t="shared" si="72"/>
        <v>0</v>
      </c>
      <c r="E229" s="961">
        <f t="shared" si="73"/>
        <v>-0.85811717352414218</v>
      </c>
      <c r="F229" s="965">
        <f t="shared" si="74"/>
        <v>-0.85811717352414218</v>
      </c>
      <c r="G229" s="966">
        <f t="shared" si="75"/>
        <v>2.3314783233103098</v>
      </c>
      <c r="H229" s="861">
        <f t="shared" si="61"/>
        <v>1.115215555994123</v>
      </c>
      <c r="I229" s="745"/>
      <c r="J229" s="745"/>
    </row>
    <row r="230" spans="1:10">
      <c r="A230" s="1014" t="s">
        <v>507</v>
      </c>
      <c r="B230" s="857">
        <f>geral!E429</f>
        <v>22801.5</v>
      </c>
      <c r="C230" s="857">
        <f t="shared" ref="C230:C235" si="76">(B230/$B$8)*100</f>
        <v>421.19934164223685</v>
      </c>
      <c r="D230" s="961">
        <f t="shared" ref="D230:D235" si="77">100*((C230/C229)-1)</f>
        <v>0</v>
      </c>
      <c r="E230" s="961">
        <f t="shared" ref="E230:E235" si="78">100*((C230/$C$229)-1)</f>
        <v>0</v>
      </c>
      <c r="F230" s="965">
        <f t="shared" ref="F230:F235" si="79">100*((C230/C218)-1)</f>
        <v>-0.85811717352414218</v>
      </c>
      <c r="G230" s="966">
        <f t="shared" ref="G230:G235" si="80">100*(C230/C206-1)</f>
        <v>0.17416354427519654</v>
      </c>
      <c r="H230" s="861">
        <f t="shared" si="61"/>
        <v>1.115215555994123</v>
      </c>
      <c r="I230" s="745"/>
      <c r="J230" s="745"/>
    </row>
    <row r="231" spans="1:10">
      <c r="A231" s="1014" t="s">
        <v>508</v>
      </c>
      <c r="B231" s="857">
        <f>geral!E430</f>
        <v>22801.5</v>
      </c>
      <c r="C231" s="857">
        <f t="shared" si="76"/>
        <v>421.19934164223685</v>
      </c>
      <c r="D231" s="961">
        <f t="shared" si="77"/>
        <v>0</v>
      </c>
      <c r="E231" s="961">
        <f t="shared" si="78"/>
        <v>0</v>
      </c>
      <c r="F231" s="965">
        <f t="shared" si="79"/>
        <v>-1.8693398749469625</v>
      </c>
      <c r="G231" s="966">
        <f t="shared" si="80"/>
        <v>0.17416354427519654</v>
      </c>
      <c r="H231" s="861">
        <f t="shared" si="61"/>
        <v>1.115215555994123</v>
      </c>
      <c r="I231" s="745"/>
      <c r="J231" s="745"/>
    </row>
    <row r="232" spans="1:10">
      <c r="A232" s="1014" t="s">
        <v>509</v>
      </c>
      <c r="B232" s="857">
        <f>geral!E431</f>
        <v>22801.5</v>
      </c>
      <c r="C232" s="857">
        <f t="shared" si="76"/>
        <v>421.19934164223685</v>
      </c>
      <c r="D232" s="961">
        <f t="shared" si="77"/>
        <v>0</v>
      </c>
      <c r="E232" s="961">
        <f t="shared" si="78"/>
        <v>0</v>
      </c>
      <c r="F232" s="965">
        <f t="shared" si="79"/>
        <v>-3.2045465399493711</v>
      </c>
      <c r="G232" s="966">
        <f t="shared" si="80"/>
        <v>0.17416354427519654</v>
      </c>
      <c r="H232" s="861">
        <f t="shared" si="61"/>
        <v>1.115215555994123</v>
      </c>
      <c r="I232" s="745"/>
      <c r="J232" s="745"/>
    </row>
    <row r="233" spans="1:10">
      <c r="A233" s="1014" t="s">
        <v>510</v>
      </c>
      <c r="B233" s="857">
        <f>geral!E432</f>
        <v>22801.5</v>
      </c>
      <c r="C233" s="857">
        <f t="shared" si="76"/>
        <v>421.19934164223685</v>
      </c>
      <c r="D233" s="961">
        <f t="shared" si="77"/>
        <v>0</v>
      </c>
      <c r="E233" s="961">
        <f t="shared" si="78"/>
        <v>0</v>
      </c>
      <c r="F233" s="965">
        <f t="shared" si="79"/>
        <v>-3.2045465399493711</v>
      </c>
      <c r="G233" s="966">
        <f t="shared" si="80"/>
        <v>-0.85811717352414218</v>
      </c>
      <c r="H233" s="861">
        <f t="shared" si="61"/>
        <v>1.115215555994123</v>
      </c>
      <c r="I233" s="745"/>
      <c r="J233" s="745"/>
    </row>
    <row r="234" spans="1:10">
      <c r="A234" s="1014" t="s">
        <v>511</v>
      </c>
      <c r="B234" s="857">
        <f>geral!E433</f>
        <v>22801.5</v>
      </c>
      <c r="C234" s="857">
        <f t="shared" si="76"/>
        <v>421.19934164223685</v>
      </c>
      <c r="D234" s="961">
        <f t="shared" si="77"/>
        <v>0</v>
      </c>
      <c r="E234" s="961">
        <f t="shared" si="78"/>
        <v>0</v>
      </c>
      <c r="F234" s="965">
        <f t="shared" si="79"/>
        <v>-3.2045465399493711</v>
      </c>
      <c r="G234" s="966">
        <f t="shared" si="80"/>
        <v>-0.85811717352414218</v>
      </c>
      <c r="H234" s="861">
        <f t="shared" si="61"/>
        <v>1.115215555994123</v>
      </c>
      <c r="I234" s="745"/>
      <c r="J234" s="745"/>
    </row>
    <row r="235" spans="1:10">
      <c r="A235" s="1014" t="s">
        <v>512</v>
      </c>
      <c r="B235" s="857">
        <f>geral!E434</f>
        <v>22801.5</v>
      </c>
      <c r="C235" s="857">
        <f t="shared" si="76"/>
        <v>421.19934164223685</v>
      </c>
      <c r="D235" s="961">
        <f t="shared" si="77"/>
        <v>0</v>
      </c>
      <c r="E235" s="961">
        <f t="shared" si="78"/>
        <v>0</v>
      </c>
      <c r="F235" s="965">
        <f t="shared" si="79"/>
        <v>-3.2045465399493711</v>
      </c>
      <c r="G235" s="966">
        <f t="shared" si="80"/>
        <v>-0.85811717352414218</v>
      </c>
      <c r="H235" s="861">
        <f t="shared" si="61"/>
        <v>1.115215555994123</v>
      </c>
      <c r="I235" s="745"/>
      <c r="J235" s="745"/>
    </row>
    <row r="236" spans="1:10">
      <c r="A236" s="1014" t="s">
        <v>513</v>
      </c>
      <c r="B236" s="857">
        <f>geral!E435</f>
        <v>22801.5</v>
      </c>
      <c r="C236" s="857">
        <f t="shared" ref="C236:C241" si="81">(B236/$B$8)*100</f>
        <v>421.19934164223685</v>
      </c>
      <c r="D236" s="961">
        <f t="shared" ref="D236:D241" si="82">100*((C236/C235)-1)</f>
        <v>0</v>
      </c>
      <c r="E236" s="961">
        <f t="shared" ref="E236:E241" si="83">100*((C236/$C$229)-1)</f>
        <v>0</v>
      </c>
      <c r="F236" s="965">
        <f t="shared" ref="F236:F241" si="84">100*((C236/C224)-1)</f>
        <v>-2.6159562654821777</v>
      </c>
      <c r="G236" s="966">
        <f t="shared" ref="G236:G241" si="85">100*(C236/C212-1)</f>
        <v>-0.85811717352414218</v>
      </c>
      <c r="H236" s="861">
        <f t="shared" si="61"/>
        <v>1.115215555994123</v>
      </c>
      <c r="I236" s="745"/>
      <c r="J236" s="745"/>
    </row>
    <row r="237" spans="1:10">
      <c r="A237" s="1014" t="s">
        <v>514</v>
      </c>
      <c r="B237" s="857">
        <f>geral!E436</f>
        <v>22801.5</v>
      </c>
      <c r="C237" s="857">
        <f t="shared" si="81"/>
        <v>421.19934164223685</v>
      </c>
      <c r="D237" s="961">
        <f t="shared" si="82"/>
        <v>0</v>
      </c>
      <c r="E237" s="961">
        <f t="shared" si="83"/>
        <v>0</v>
      </c>
      <c r="F237" s="965">
        <f t="shared" si="84"/>
        <v>-2.6159562654821777</v>
      </c>
      <c r="G237" s="966">
        <f t="shared" si="85"/>
        <v>-0.85811717352414218</v>
      </c>
      <c r="H237" s="861">
        <f t="shared" si="61"/>
        <v>1.115215555994123</v>
      </c>
      <c r="I237" s="745"/>
      <c r="J237" s="745"/>
    </row>
    <row r="238" spans="1:10">
      <c r="A238" s="1014" t="s">
        <v>515</v>
      </c>
      <c r="B238" s="857">
        <f>geral!E437</f>
        <v>22801.5</v>
      </c>
      <c r="C238" s="857">
        <f t="shared" si="81"/>
        <v>421.19934164223685</v>
      </c>
      <c r="D238" s="961">
        <f t="shared" si="82"/>
        <v>0</v>
      </c>
      <c r="E238" s="961">
        <f t="shared" si="83"/>
        <v>0</v>
      </c>
      <c r="F238" s="965">
        <f t="shared" si="84"/>
        <v>-0.32784735427185963</v>
      </c>
      <c r="G238" s="966">
        <f t="shared" si="85"/>
        <v>-0.85811717352414218</v>
      </c>
      <c r="H238" s="861">
        <f t="shared" si="61"/>
        <v>1.115215555994123</v>
      </c>
      <c r="I238" s="745"/>
      <c r="J238" s="745"/>
    </row>
    <row r="239" spans="1:10">
      <c r="A239" s="1014" t="s">
        <v>516</v>
      </c>
      <c r="B239" s="857">
        <f>geral!E438</f>
        <v>22801.5</v>
      </c>
      <c r="C239" s="857">
        <f t="shared" si="81"/>
        <v>421.19934164223685</v>
      </c>
      <c r="D239" s="961">
        <f t="shared" si="82"/>
        <v>0</v>
      </c>
      <c r="E239" s="961">
        <f t="shared" si="83"/>
        <v>0</v>
      </c>
      <c r="F239" s="965">
        <f t="shared" si="84"/>
        <v>-0.32784735427185963</v>
      </c>
      <c r="G239" s="966">
        <f t="shared" si="85"/>
        <v>-0.85811717352414218</v>
      </c>
      <c r="H239" s="861">
        <f t="shared" si="61"/>
        <v>1.115215555994123</v>
      </c>
      <c r="I239" s="745"/>
      <c r="J239" s="745"/>
    </row>
    <row r="240" spans="1:10">
      <c r="A240" s="1014" t="s">
        <v>517</v>
      </c>
      <c r="B240" s="857">
        <f>geral!E439</f>
        <v>22801.5</v>
      </c>
      <c r="C240" s="857">
        <f t="shared" si="81"/>
        <v>421.19934164223685</v>
      </c>
      <c r="D240" s="961">
        <f t="shared" si="82"/>
        <v>0</v>
      </c>
      <c r="E240" s="961">
        <f t="shared" si="83"/>
        <v>0</v>
      </c>
      <c r="F240" s="965">
        <f t="shared" si="84"/>
        <v>0</v>
      </c>
      <c r="G240" s="966">
        <f t="shared" si="85"/>
        <v>-0.85811717352414218</v>
      </c>
      <c r="H240" s="861">
        <f t="shared" si="61"/>
        <v>1.115215555994123</v>
      </c>
      <c r="I240" s="745"/>
      <c r="J240" s="745"/>
    </row>
    <row r="241" spans="1:10">
      <c r="A241" s="1014" t="s">
        <v>518</v>
      </c>
      <c r="B241" s="857">
        <f>geral!E440</f>
        <v>22801.5</v>
      </c>
      <c r="C241" s="857">
        <f t="shared" si="81"/>
        <v>421.19934164223685</v>
      </c>
      <c r="D241" s="961">
        <f t="shared" si="82"/>
        <v>0</v>
      </c>
      <c r="E241" s="961">
        <f t="shared" si="83"/>
        <v>0</v>
      </c>
      <c r="F241" s="965">
        <f t="shared" si="84"/>
        <v>0</v>
      </c>
      <c r="G241" s="966">
        <f t="shared" si="85"/>
        <v>-0.85811717352414218</v>
      </c>
      <c r="H241" s="861">
        <f t="shared" si="61"/>
        <v>1.115215555994123</v>
      </c>
      <c r="I241" s="745"/>
      <c r="J241" s="745"/>
    </row>
    <row r="242" spans="1:10">
      <c r="A242" s="1014" t="s">
        <v>519</v>
      </c>
      <c r="B242" s="857">
        <f>geral!G429</f>
        <v>22801.5</v>
      </c>
      <c r="C242" s="857">
        <f t="shared" ref="C242:C247" si="86">(B242/$B$8)*100</f>
        <v>421.19934164223685</v>
      </c>
      <c r="D242" s="961">
        <f t="shared" ref="D242:D247" si="87">100*((C242/C241)-1)</f>
        <v>0</v>
      </c>
      <c r="E242" s="961">
        <f t="shared" ref="E242:E247" si="88">100*((C242/$C$241)-1)</f>
        <v>0</v>
      </c>
      <c r="F242" s="965">
        <f t="shared" ref="F242:F247" si="89">100*((C242/C230)-1)</f>
        <v>0</v>
      </c>
      <c r="G242" s="966">
        <f t="shared" ref="G242:G247" si="90">100*(C242/C218-1)</f>
        <v>-0.85811717352414218</v>
      </c>
      <c r="H242" s="861">
        <f t="shared" si="61"/>
        <v>1.115215555994123</v>
      </c>
      <c r="I242" s="745"/>
      <c r="J242" s="745"/>
    </row>
    <row r="243" spans="1:10">
      <c r="A243" s="1014" t="s">
        <v>520</v>
      </c>
      <c r="B243" s="857">
        <f>geral!G430</f>
        <v>22801.5</v>
      </c>
      <c r="C243" s="857">
        <f t="shared" si="86"/>
        <v>421.19934164223685</v>
      </c>
      <c r="D243" s="961">
        <f t="shared" si="87"/>
        <v>0</v>
      </c>
      <c r="E243" s="961">
        <f t="shared" si="88"/>
        <v>0</v>
      </c>
      <c r="F243" s="965">
        <f t="shared" si="89"/>
        <v>0</v>
      </c>
      <c r="G243" s="966">
        <f t="shared" si="90"/>
        <v>-1.8693398749469625</v>
      </c>
      <c r="H243" s="861">
        <f t="shared" si="61"/>
        <v>1.115215555994123</v>
      </c>
      <c r="I243" s="745"/>
      <c r="J243" s="745"/>
    </row>
    <row r="244" spans="1:10">
      <c r="A244" s="1014" t="s">
        <v>521</v>
      </c>
      <c r="B244" s="857">
        <f>geral!G431</f>
        <v>22926.5</v>
      </c>
      <c r="C244" s="857">
        <f t="shared" si="86"/>
        <v>423.50839664762157</v>
      </c>
      <c r="D244" s="961">
        <f t="shared" si="87"/>
        <v>0.54820954761747309</v>
      </c>
      <c r="E244" s="961">
        <f t="shared" si="88"/>
        <v>0.54820954761747309</v>
      </c>
      <c r="F244" s="965">
        <f t="shared" si="89"/>
        <v>0.54820954761747309</v>
      </c>
      <c r="G244" s="966">
        <f t="shared" si="90"/>
        <v>-2.67390462242173</v>
      </c>
      <c r="H244" s="861">
        <f t="shared" si="61"/>
        <v>1.1091351710902231</v>
      </c>
      <c r="I244" s="745"/>
      <c r="J244" s="745"/>
    </row>
    <row r="245" spans="1:10">
      <c r="A245" s="1014" t="s">
        <v>522</v>
      </c>
      <c r="B245" s="857">
        <f>geral!G432</f>
        <v>23126.5</v>
      </c>
      <c r="C245" s="857">
        <f t="shared" si="86"/>
        <v>427.20288465623707</v>
      </c>
      <c r="D245" s="961">
        <f t="shared" si="87"/>
        <v>0.87235295400518442</v>
      </c>
      <c r="E245" s="961">
        <f t="shared" si="88"/>
        <v>1.4253448238054522</v>
      </c>
      <c r="F245" s="965">
        <f t="shared" si="89"/>
        <v>1.4253448238054522</v>
      </c>
      <c r="G245" s="966">
        <f t="shared" si="90"/>
        <v>-1.8248775543775242</v>
      </c>
      <c r="H245" s="861">
        <f t="shared" si="61"/>
        <v>1.0995432728687868</v>
      </c>
      <c r="I245" s="745"/>
      <c r="J245" s="745"/>
    </row>
    <row r="246" spans="1:10">
      <c r="A246" s="1014" t="s">
        <v>523</v>
      </c>
      <c r="B246" s="857">
        <f>geral!G433</f>
        <v>23147.25</v>
      </c>
      <c r="C246" s="857">
        <f t="shared" si="86"/>
        <v>427.586187787131</v>
      </c>
      <c r="D246" s="961">
        <f t="shared" si="87"/>
        <v>8.9723909800465407E-2</v>
      </c>
      <c r="E246" s="961">
        <f t="shared" si="88"/>
        <v>1.5163476087099559</v>
      </c>
      <c r="F246" s="965">
        <f t="shared" si="89"/>
        <v>1.5163476087099559</v>
      </c>
      <c r="G246" s="966">
        <f t="shared" si="90"/>
        <v>-1.7367909960679273</v>
      </c>
      <c r="H246" s="861">
        <f t="shared" si="61"/>
        <v>1.0985576040350364</v>
      </c>
      <c r="I246" s="745"/>
      <c r="J246" s="745"/>
    </row>
    <row r="247" spans="1:10">
      <c r="A247" s="1014" t="s">
        <v>524</v>
      </c>
      <c r="B247" s="857">
        <f>geral!G434</f>
        <v>23173.5</v>
      </c>
      <c r="C247" s="857">
        <f t="shared" si="86"/>
        <v>428.07108933826174</v>
      </c>
      <c r="D247" s="961">
        <f t="shared" si="87"/>
        <v>0.11340440009071084</v>
      </c>
      <c r="E247" s="961">
        <f t="shared" si="88"/>
        <v>1.631471613709623</v>
      </c>
      <c r="F247" s="965">
        <f t="shared" si="89"/>
        <v>1.631471613709623</v>
      </c>
      <c r="G247" s="966">
        <f t="shared" si="90"/>
        <v>-1.6253561933871397</v>
      </c>
      <c r="H247" s="861">
        <f t="shared" si="61"/>
        <v>1.0973132025805337</v>
      </c>
      <c r="I247" s="745"/>
      <c r="J247" s="745"/>
    </row>
    <row r="248" spans="1:10">
      <c r="A248" s="1014" t="s">
        <v>525</v>
      </c>
      <c r="B248" s="857">
        <f>geral!G435</f>
        <v>22696</v>
      </c>
      <c r="C248" s="857">
        <f t="shared" ref="C248:C253" si="91">(B248/$B$8)*100</f>
        <v>419.25049921769215</v>
      </c>
      <c r="D248" s="961">
        <f t="shared" ref="D248:D253" si="92">100*((C248/C247)-1)</f>
        <v>-2.0605432929855172</v>
      </c>
      <c r="E248" s="961">
        <f t="shared" ref="E248:E253" si="93">100*((C248/$C$241)-1)</f>
        <v>-0.46268885818915306</v>
      </c>
      <c r="F248" s="965">
        <f t="shared" ref="F248:F253" si="94">100*((C248/C236)-1)</f>
        <v>-0.46268885818915306</v>
      </c>
      <c r="G248" s="966">
        <f t="shared" ref="G248:G253" si="95">100*(C248/C224-1)</f>
        <v>-3.0665413854958468</v>
      </c>
      <c r="H248" s="861">
        <f t="shared" si="61"/>
        <v>1.120399519739161</v>
      </c>
      <c r="I248" s="745"/>
      <c r="J248" s="745"/>
    </row>
    <row r="249" spans="1:10">
      <c r="A249" s="1014" t="s">
        <v>526</v>
      </c>
      <c r="B249" s="857">
        <f>geral!G436</f>
        <v>22696</v>
      </c>
      <c r="C249" s="857">
        <f t="shared" si="91"/>
        <v>419.25049921769215</v>
      </c>
      <c r="D249" s="961">
        <f t="shared" si="92"/>
        <v>0</v>
      </c>
      <c r="E249" s="961">
        <f t="shared" si="93"/>
        <v>-0.46268885818915306</v>
      </c>
      <c r="F249" s="965">
        <f t="shared" si="94"/>
        <v>-0.46268885818915306</v>
      </c>
      <c r="G249" s="966">
        <f t="shared" si="95"/>
        <v>-3.0665413854958468</v>
      </c>
      <c r="H249" s="861">
        <f t="shared" si="61"/>
        <v>1.120399519739161</v>
      </c>
      <c r="I249" s="745"/>
      <c r="J249" s="745"/>
    </row>
    <row r="250" spans="1:10">
      <c r="A250" s="1014" t="s">
        <v>527</v>
      </c>
      <c r="B250" s="857">
        <f>geral!G437</f>
        <v>22696</v>
      </c>
      <c r="C250" s="857">
        <f t="shared" si="91"/>
        <v>419.25049921769215</v>
      </c>
      <c r="D250" s="961">
        <f t="shared" si="92"/>
        <v>0</v>
      </c>
      <c r="E250" s="961">
        <f t="shared" si="93"/>
        <v>-0.46268885818915306</v>
      </c>
      <c r="F250" s="965">
        <f t="shared" si="94"/>
        <v>-0.46268885818915306</v>
      </c>
      <c r="G250" s="966">
        <f t="shared" si="95"/>
        <v>-0.78901929928092418</v>
      </c>
      <c r="H250" s="861">
        <f t="shared" si="61"/>
        <v>1.120399519739161</v>
      </c>
      <c r="I250" s="745"/>
      <c r="J250" s="745"/>
    </row>
    <row r="251" spans="1:10">
      <c r="A251" s="1014" t="s">
        <v>528</v>
      </c>
      <c r="B251" s="857">
        <f>geral!G438</f>
        <v>22696</v>
      </c>
      <c r="C251" s="857">
        <f t="shared" si="91"/>
        <v>419.25049921769215</v>
      </c>
      <c r="D251" s="961">
        <f t="shared" si="92"/>
        <v>0</v>
      </c>
      <c r="E251" s="961">
        <f t="shared" si="93"/>
        <v>-0.46268885818915306</v>
      </c>
      <c r="F251" s="965">
        <f t="shared" si="94"/>
        <v>-0.46268885818915306</v>
      </c>
      <c r="G251" s="966">
        <f t="shared" si="95"/>
        <v>-0.78901929928092418</v>
      </c>
      <c r="H251" s="861">
        <f t="shared" si="61"/>
        <v>1.120399519739161</v>
      </c>
      <c r="I251" s="745"/>
      <c r="J251" s="745"/>
    </row>
    <row r="252" spans="1:10">
      <c r="A252" s="1014" t="s">
        <v>529</v>
      </c>
      <c r="B252" s="857">
        <f>geral!G439</f>
        <v>22696</v>
      </c>
      <c r="C252" s="857">
        <f t="shared" si="91"/>
        <v>419.25049921769215</v>
      </c>
      <c r="D252" s="961">
        <f t="shared" si="92"/>
        <v>0</v>
      </c>
      <c r="E252" s="961">
        <f t="shared" si="93"/>
        <v>-0.46268885818915306</v>
      </c>
      <c r="F252" s="965">
        <f t="shared" si="94"/>
        <v>-0.46268885818915306</v>
      </c>
      <c r="G252" s="966">
        <f t="shared" si="95"/>
        <v>-0.46268885818915306</v>
      </c>
      <c r="H252" s="861">
        <f t="shared" si="61"/>
        <v>1.120399519739161</v>
      </c>
      <c r="I252" s="745"/>
      <c r="J252" s="745"/>
    </row>
    <row r="253" spans="1:10">
      <c r="A253" s="1014" t="s">
        <v>530</v>
      </c>
      <c r="B253" s="857">
        <f>geral!G440</f>
        <v>22696</v>
      </c>
      <c r="C253" s="857">
        <f t="shared" si="91"/>
        <v>419.25049921769215</v>
      </c>
      <c r="D253" s="961">
        <f t="shared" si="92"/>
        <v>0</v>
      </c>
      <c r="E253" s="961">
        <f t="shared" si="93"/>
        <v>-0.46268885818915306</v>
      </c>
      <c r="F253" s="965">
        <f t="shared" si="94"/>
        <v>-0.46268885818915306</v>
      </c>
      <c r="G253" s="966">
        <f t="shared" si="95"/>
        <v>-0.46268885818915306</v>
      </c>
      <c r="H253" s="861">
        <f t="shared" si="61"/>
        <v>1.120399519739161</v>
      </c>
      <c r="I253" s="745"/>
      <c r="J253" s="745"/>
    </row>
    <row r="254" spans="1:10">
      <c r="A254" s="1014" t="s">
        <v>531</v>
      </c>
      <c r="B254" s="857">
        <f>geral!I429</f>
        <v>22696</v>
      </c>
      <c r="C254" s="857">
        <f t="shared" ref="C254:C259" si="96">(B254/$B$8)*100</f>
        <v>419.25049921769215</v>
      </c>
      <c r="D254" s="961">
        <f t="shared" ref="D254:D259" si="97">100*((C254/C253)-1)</f>
        <v>0</v>
      </c>
      <c r="E254" s="961">
        <f t="shared" ref="E254:E259" si="98">100*((C254/$C$253)-1)</f>
        <v>0</v>
      </c>
      <c r="F254" s="965">
        <f t="shared" ref="F254:F259" si="99">100*((C254/C242)-1)</f>
        <v>-0.46268885818915306</v>
      </c>
      <c r="G254" s="966">
        <f t="shared" ref="G254:G259" si="100">100*(C254/C230-1)</f>
        <v>-0.46268885818915306</v>
      </c>
      <c r="H254" s="861">
        <f t="shared" si="61"/>
        <v>1.120399519739161</v>
      </c>
      <c r="I254" s="745"/>
      <c r="J254" s="745"/>
    </row>
    <row r="255" spans="1:10">
      <c r="A255" s="1014" t="s">
        <v>649</v>
      </c>
      <c r="B255" s="857">
        <f>geral!I430</f>
        <v>22696</v>
      </c>
      <c r="C255" s="857">
        <f t="shared" si="96"/>
        <v>419.25049921769215</v>
      </c>
      <c r="D255" s="961">
        <f t="shared" si="97"/>
        <v>0</v>
      </c>
      <c r="E255" s="961">
        <f t="shared" si="98"/>
        <v>0</v>
      </c>
      <c r="F255" s="965">
        <f t="shared" si="99"/>
        <v>-0.46268885818915306</v>
      </c>
      <c r="G255" s="966">
        <f t="shared" si="100"/>
        <v>-0.46268885818915306</v>
      </c>
      <c r="H255" s="861">
        <f t="shared" si="61"/>
        <v>1.120399519739161</v>
      </c>
      <c r="I255" s="745"/>
      <c r="J255" s="745"/>
    </row>
    <row r="256" spans="1:10">
      <c r="A256" s="1014" t="s">
        <v>650</v>
      </c>
      <c r="B256" s="857">
        <f>geral!I431</f>
        <v>22696</v>
      </c>
      <c r="C256" s="857">
        <f t="shared" si="96"/>
        <v>419.25049921769215</v>
      </c>
      <c r="D256" s="961">
        <f t="shared" si="97"/>
        <v>0</v>
      </c>
      <c r="E256" s="961">
        <f t="shared" si="98"/>
        <v>0</v>
      </c>
      <c r="F256" s="965">
        <f t="shared" si="99"/>
        <v>-1.0053867794909799</v>
      </c>
      <c r="G256" s="966">
        <f t="shared" si="100"/>
        <v>-0.46268885818915306</v>
      </c>
      <c r="H256" s="861">
        <f t="shared" si="61"/>
        <v>1.120399519739161</v>
      </c>
      <c r="I256" s="745"/>
      <c r="J256" s="745"/>
    </row>
    <row r="257" spans="1:10">
      <c r="A257" s="1014" t="s">
        <v>652</v>
      </c>
      <c r="B257" s="857">
        <f>geral!I432</f>
        <v>22696</v>
      </c>
      <c r="C257" s="857">
        <f t="shared" si="96"/>
        <v>419.25049921769215</v>
      </c>
      <c r="D257" s="961">
        <f t="shared" si="97"/>
        <v>0</v>
      </c>
      <c r="E257" s="961">
        <f t="shared" si="98"/>
        <v>0</v>
      </c>
      <c r="F257" s="965">
        <f t="shared" si="99"/>
        <v>-1.8615008756188711</v>
      </c>
      <c r="G257" s="966">
        <f t="shared" si="100"/>
        <v>-0.46268885818915306</v>
      </c>
      <c r="H257" s="861">
        <f t="shared" si="61"/>
        <v>1.120399519739161</v>
      </c>
      <c r="I257" s="745"/>
      <c r="J257" s="745"/>
    </row>
    <row r="258" spans="1:10">
      <c r="A258" s="1014" t="s">
        <v>653</v>
      </c>
      <c r="B258" s="857">
        <f>geral!I433</f>
        <v>22696</v>
      </c>
      <c r="C258" s="857">
        <f t="shared" si="96"/>
        <v>419.25049921769215</v>
      </c>
      <c r="D258" s="961">
        <f t="shared" si="97"/>
        <v>0</v>
      </c>
      <c r="E258" s="961">
        <f t="shared" si="98"/>
        <v>0</v>
      </c>
      <c r="F258" s="965">
        <f t="shared" si="99"/>
        <v>-1.9494756396548185</v>
      </c>
      <c r="G258" s="966">
        <f t="shared" si="100"/>
        <v>-0.46268885818915306</v>
      </c>
      <c r="H258" s="861">
        <f t="shared" si="61"/>
        <v>1.120399519739161</v>
      </c>
      <c r="I258" s="745"/>
      <c r="J258" s="745"/>
    </row>
    <row r="259" spans="1:10">
      <c r="A259" s="1014" t="s">
        <v>654</v>
      </c>
      <c r="B259" s="857">
        <f>geral!I434</f>
        <v>22696</v>
      </c>
      <c r="C259" s="857">
        <f t="shared" si="96"/>
        <v>419.25049921769215</v>
      </c>
      <c r="D259" s="961">
        <f t="shared" si="97"/>
        <v>0</v>
      </c>
      <c r="E259" s="961">
        <f t="shared" si="98"/>
        <v>0</v>
      </c>
      <c r="F259" s="965">
        <f t="shared" si="99"/>
        <v>-2.0605432929855172</v>
      </c>
      <c r="G259" s="966">
        <f t="shared" si="100"/>
        <v>-0.46268885818915306</v>
      </c>
      <c r="H259" s="861">
        <f t="shared" si="61"/>
        <v>1.120399519739161</v>
      </c>
      <c r="I259" s="745"/>
      <c r="J259" s="745"/>
    </row>
    <row r="260" spans="1:10">
      <c r="A260" s="1014" t="s">
        <v>657</v>
      </c>
      <c r="B260" s="857">
        <f>geral!I435</f>
        <v>22696</v>
      </c>
      <c r="C260" s="857">
        <f t="shared" ref="C260:C265" si="101">(B260/$B$8)*100</f>
        <v>419.25049921769215</v>
      </c>
      <c r="D260" s="961">
        <f t="shared" ref="D260:D265" si="102">100*((C260/C259)-1)</f>
        <v>0</v>
      </c>
      <c r="E260" s="961">
        <f t="shared" ref="E260:E265" si="103">100*((C260/$C$253)-1)</f>
        <v>0</v>
      </c>
      <c r="F260" s="965">
        <f t="shared" ref="F260:F265" si="104">100*((C260/C248)-1)</f>
        <v>0</v>
      </c>
      <c r="G260" s="966">
        <f t="shared" ref="G260:G265" si="105">100*(C260/C236-1)</f>
        <v>-0.46268885818915306</v>
      </c>
      <c r="H260" s="861">
        <f t="shared" si="61"/>
        <v>1.120399519739161</v>
      </c>
      <c r="I260" s="745"/>
      <c r="J260" s="745"/>
    </row>
    <row r="261" spans="1:10">
      <c r="A261" s="1032" t="str">
        <f>'MB ACCELO 815 '!A192</f>
        <v>AGOSTO|15</v>
      </c>
      <c r="B261" s="918">
        <f>geral!I436</f>
        <v>22696</v>
      </c>
      <c r="C261" s="918">
        <f t="shared" si="101"/>
        <v>419.25049921769215</v>
      </c>
      <c r="D261" s="1036">
        <f t="shared" si="102"/>
        <v>0</v>
      </c>
      <c r="E261" s="1036">
        <f t="shared" si="103"/>
        <v>0</v>
      </c>
      <c r="F261" s="1037">
        <f t="shared" si="104"/>
        <v>0</v>
      </c>
      <c r="G261" s="1038">
        <f t="shared" si="105"/>
        <v>-0.46268885818915306</v>
      </c>
      <c r="H261" s="861">
        <f t="shared" si="61"/>
        <v>1.120399519739161</v>
      </c>
      <c r="I261" s="745"/>
      <c r="J261" s="745"/>
    </row>
    <row r="262" spans="1:10">
      <c r="A262" s="1032" t="str">
        <f>'MB ACCELO 815 '!A193</f>
        <v>SETEMBRO|15</v>
      </c>
      <c r="B262" s="918">
        <f>geral!I437</f>
        <v>22696</v>
      </c>
      <c r="C262" s="918">
        <f t="shared" si="101"/>
        <v>419.25049921769215</v>
      </c>
      <c r="D262" s="1036">
        <f t="shared" si="102"/>
        <v>0</v>
      </c>
      <c r="E262" s="1036">
        <f t="shared" si="103"/>
        <v>0</v>
      </c>
      <c r="F262" s="1037">
        <f t="shared" si="104"/>
        <v>0</v>
      </c>
      <c r="G262" s="1038">
        <f t="shared" si="105"/>
        <v>-0.46268885818915306</v>
      </c>
      <c r="H262" s="861">
        <f t="shared" si="61"/>
        <v>1.120399519739161</v>
      </c>
      <c r="I262" s="745"/>
      <c r="J262" s="745"/>
    </row>
    <row r="263" spans="1:10">
      <c r="A263" s="1032" t="str">
        <f>'MB ACCELO 815 '!A194</f>
        <v>OUTUBRO|15</v>
      </c>
      <c r="B263" s="918">
        <f>geral!I438</f>
        <v>22696</v>
      </c>
      <c r="C263" s="918">
        <f t="shared" si="101"/>
        <v>419.25049921769215</v>
      </c>
      <c r="D263" s="1036">
        <f t="shared" si="102"/>
        <v>0</v>
      </c>
      <c r="E263" s="1036">
        <f t="shared" si="103"/>
        <v>0</v>
      </c>
      <c r="F263" s="1037">
        <f t="shared" si="104"/>
        <v>0</v>
      </c>
      <c r="G263" s="1038">
        <f t="shared" si="105"/>
        <v>-0.46268885818915306</v>
      </c>
      <c r="H263" s="861">
        <f t="shared" si="61"/>
        <v>1.120399519739161</v>
      </c>
      <c r="I263" s="745"/>
      <c r="J263" s="745"/>
    </row>
    <row r="264" spans="1:10">
      <c r="A264" s="1032" t="str">
        <f>'MB ACCELO 815 '!A195</f>
        <v>NOVEMBRO|15</v>
      </c>
      <c r="B264" s="918">
        <f>geral!I439</f>
        <v>22696</v>
      </c>
      <c r="C264" s="918">
        <f t="shared" si="101"/>
        <v>419.25049921769215</v>
      </c>
      <c r="D264" s="1036">
        <f t="shared" si="102"/>
        <v>0</v>
      </c>
      <c r="E264" s="1036">
        <f t="shared" si="103"/>
        <v>0</v>
      </c>
      <c r="F264" s="1037">
        <f t="shared" si="104"/>
        <v>0</v>
      </c>
      <c r="G264" s="1038">
        <f t="shared" si="105"/>
        <v>-0.46268885818915306</v>
      </c>
      <c r="H264" s="861">
        <f t="shared" si="61"/>
        <v>1.120399519739161</v>
      </c>
      <c r="I264" s="745"/>
      <c r="J264" s="745"/>
    </row>
    <row r="265" spans="1:10">
      <c r="A265" s="1032" t="str">
        <f>'MB ACCELO 815 '!A196</f>
        <v>DEZEMBRO|15</v>
      </c>
      <c r="B265" s="918">
        <f>geral!I440</f>
        <v>22696</v>
      </c>
      <c r="C265" s="918">
        <f t="shared" si="101"/>
        <v>419.25049921769215</v>
      </c>
      <c r="D265" s="1036">
        <f t="shared" si="102"/>
        <v>0</v>
      </c>
      <c r="E265" s="1036">
        <f t="shared" si="103"/>
        <v>0</v>
      </c>
      <c r="F265" s="1037">
        <f t="shared" si="104"/>
        <v>0</v>
      </c>
      <c r="G265" s="1038">
        <f t="shared" si="105"/>
        <v>-0.46268885818915306</v>
      </c>
      <c r="H265" s="861">
        <f t="shared" si="61"/>
        <v>1.120399519739161</v>
      </c>
      <c r="I265" s="745"/>
      <c r="J265" s="745"/>
    </row>
    <row r="266" spans="1:10">
      <c r="A266" s="1032" t="str">
        <f>'MB ACCELO 815 '!A197</f>
        <v>JANEIRO|16</v>
      </c>
      <c r="B266" s="918">
        <f>geral!K429</f>
        <v>23053.924999999999</v>
      </c>
      <c r="C266" s="918">
        <f t="shared" ref="C266" si="106">(B266/$B$8)*100</f>
        <v>425.86224732011078</v>
      </c>
      <c r="D266" s="1036">
        <f t="shared" ref="D266" si="107">100*((C266/C265)-1)</f>
        <v>1.5770400070497015</v>
      </c>
      <c r="E266" s="1036">
        <f t="shared" ref="E266:E271" si="108">100*((C266/$C$265)-1)</f>
        <v>1.5770400070497015</v>
      </c>
      <c r="F266" s="1037">
        <f t="shared" ref="F266" si="109">100*((C266/C254)-1)</f>
        <v>1.5770400070497015</v>
      </c>
      <c r="G266" s="1038">
        <f t="shared" ref="G266" si="110">100*(C266/C242-1)</f>
        <v>1.1070543604587479</v>
      </c>
      <c r="H266" s="861">
        <f t="shared" si="61"/>
        <v>1.1030046944283891</v>
      </c>
      <c r="I266" s="745"/>
      <c r="J266" s="745"/>
    </row>
    <row r="267" spans="1:10">
      <c r="A267" s="1032" t="str">
        <f>'MB ACCELO 815 '!A198</f>
        <v>FEVEREIRO|16</v>
      </c>
      <c r="B267" s="918">
        <f>geral!K430</f>
        <v>23053.924999999999</v>
      </c>
      <c r="C267" s="918">
        <f t="shared" ref="C267" si="111">(B267/$B$8)*100</f>
        <v>425.86224732011078</v>
      </c>
      <c r="D267" s="1036">
        <f t="shared" ref="D267" si="112">100*((C267/C266)-1)</f>
        <v>0</v>
      </c>
      <c r="E267" s="1036">
        <f t="shared" si="108"/>
        <v>1.5770400070497015</v>
      </c>
      <c r="F267" s="1037">
        <f t="shared" ref="F267" si="113">100*((C267/C255)-1)</f>
        <v>1.5770400070497015</v>
      </c>
      <c r="G267" s="1038">
        <f t="shared" ref="G267" si="114">100*(C267/C243-1)</f>
        <v>1.1070543604587479</v>
      </c>
      <c r="H267" s="861">
        <f t="shared" si="61"/>
        <v>1.1030046944283891</v>
      </c>
      <c r="I267" s="745"/>
      <c r="J267" s="745"/>
    </row>
    <row r="268" spans="1:10">
      <c r="A268" s="1032" t="str">
        <f>'MB ACCELO 815 '!A199</f>
        <v>MARÇO|16</v>
      </c>
      <c r="B268" s="918">
        <f>geral!K431</f>
        <v>23053.924999999999</v>
      </c>
      <c r="C268" s="918">
        <f t="shared" ref="C268" si="115">(B268/$B$8)*100</f>
        <v>425.86224732011078</v>
      </c>
      <c r="D268" s="1036">
        <f t="shared" ref="D268" si="116">100*((C268/C267)-1)</f>
        <v>0</v>
      </c>
      <c r="E268" s="1036">
        <f t="shared" si="108"/>
        <v>1.5770400070497015</v>
      </c>
      <c r="F268" s="1037">
        <f t="shared" ref="F268" si="117">100*((C268/C256)-1)</f>
        <v>1.5770400070497015</v>
      </c>
      <c r="G268" s="1038">
        <f t="shared" ref="G268" si="118">100*(C268/C244-1)</f>
        <v>0.55579787582056284</v>
      </c>
      <c r="H268" s="861">
        <f t="shared" si="61"/>
        <v>1.1030046944283891</v>
      </c>
      <c r="I268" s="745"/>
      <c r="J268" s="745"/>
    </row>
    <row r="269" spans="1:10">
      <c r="A269" s="1032" t="str">
        <f>'MB ACCELO 815 '!A200</f>
        <v>ABRIL|16</v>
      </c>
      <c r="B269" s="918">
        <f>geral!K432</f>
        <v>23053.924999999999</v>
      </c>
      <c r="C269" s="918">
        <f t="shared" ref="C269" si="119">(B269/$B$8)*100</f>
        <v>425.86224732011078</v>
      </c>
      <c r="D269" s="1036">
        <f t="shared" ref="D269" si="120">100*((C269/C268)-1)</f>
        <v>0</v>
      </c>
      <c r="E269" s="1036">
        <f t="shared" si="108"/>
        <v>1.5770400070497015</v>
      </c>
      <c r="F269" s="1037">
        <f t="shared" ref="F269" si="121">100*((C269/C257)-1)</f>
        <v>1.5770400070497015</v>
      </c>
      <c r="G269" s="1038">
        <f t="shared" ref="G269" si="122">100*(C269/C245-1)</f>
        <v>-0.31381748210924654</v>
      </c>
      <c r="H269" s="861">
        <f t="shared" si="61"/>
        <v>1.1030046944283891</v>
      </c>
      <c r="I269" s="745"/>
      <c r="J269" s="745"/>
    </row>
    <row r="270" spans="1:10">
      <c r="A270" s="1032" t="str">
        <f>'MB ACCELO 815 '!A201</f>
        <v>MAIO|16</v>
      </c>
      <c r="B270" s="918">
        <f>geral!K433</f>
        <v>23053.924999999999</v>
      </c>
      <c r="C270" s="918">
        <f t="shared" ref="C270:C275" si="123">(B270/$B$8)*100</f>
        <v>425.86224732011078</v>
      </c>
      <c r="D270" s="1036">
        <f t="shared" ref="D270" si="124">100*((C270/C269)-1)</f>
        <v>0</v>
      </c>
      <c r="E270" s="1036">
        <f t="shared" si="108"/>
        <v>1.5770400070497015</v>
      </c>
      <c r="F270" s="1037">
        <f t="shared" ref="F270" si="125">100*((C270/C258)-1)</f>
        <v>1.5770400070497015</v>
      </c>
      <c r="G270" s="1038">
        <f t="shared" ref="G270" si="126">100*(C270/C246-1)</f>
        <v>-0.40317964337015511</v>
      </c>
      <c r="H270" s="861">
        <f t="shared" si="61"/>
        <v>1.1030046944283891</v>
      </c>
      <c r="I270" s="745"/>
      <c r="J270" s="745"/>
    </row>
    <row r="271" spans="1:10">
      <c r="A271" s="1032" t="str">
        <f>'MB ACCELO 815 '!A202</f>
        <v>JUNHO|16</v>
      </c>
      <c r="B271" s="918">
        <f>geral!K434</f>
        <v>23053.924999999999</v>
      </c>
      <c r="C271" s="918">
        <f t="shared" si="123"/>
        <v>425.86224732011078</v>
      </c>
      <c r="D271" s="1036">
        <f t="shared" ref="D271" si="127">100*((C271/C270)-1)</f>
        <v>0</v>
      </c>
      <c r="E271" s="1036">
        <f t="shared" si="108"/>
        <v>1.5770400070497015</v>
      </c>
      <c r="F271" s="1037">
        <f t="shared" ref="F271" si="128">100*((C271/C259)-1)</f>
        <v>1.5770400070497015</v>
      </c>
      <c r="G271" s="1038">
        <f t="shared" ref="G271" si="129">100*(C271/C247-1)</f>
        <v>-0.5159988780287672</v>
      </c>
      <c r="H271" s="861">
        <f t="shared" si="61"/>
        <v>1.1030046944283891</v>
      </c>
      <c r="I271" s="745"/>
      <c r="J271" s="745"/>
    </row>
    <row r="272" spans="1:10">
      <c r="A272" s="1032" t="str">
        <f>'MB ACCELO 815 '!A203</f>
        <v>JULHO|16</v>
      </c>
      <c r="B272" s="918">
        <f>geral!K435</f>
        <v>23141.3</v>
      </c>
      <c r="C272" s="918">
        <f t="shared" si="123"/>
        <v>427.47627676887464</v>
      </c>
      <c r="D272" s="1036">
        <f t="shared" ref="D272" si="130">100*((C272/C271)-1)</f>
        <v>0.3790027077818392</v>
      </c>
      <c r="E272" s="1036">
        <f t="shared" ref="E272" si="131">100*((C272/$C$265)-1)</f>
        <v>1.9620197391610805</v>
      </c>
      <c r="F272" s="1037">
        <f t="shared" ref="F272" si="132">100*((C272/C260)-1)</f>
        <v>1.9620197391610805</v>
      </c>
      <c r="G272" s="1038">
        <f t="shared" ref="G272" si="133">100*(C272/C248-1)</f>
        <v>1.9620197391610805</v>
      </c>
      <c r="H272" s="861">
        <f t="shared" ref="H272:H322" si="134">$B$322/B272</f>
        <v>1.0988400608436</v>
      </c>
      <c r="I272" s="745"/>
      <c r="J272" s="745"/>
    </row>
    <row r="273" spans="1:10">
      <c r="A273" s="1032" t="str">
        <f>'MB ACCELO 815 '!A204</f>
        <v>AGOSTO|16</v>
      </c>
      <c r="B273" s="918">
        <f>geral!K436</f>
        <v>23141.3</v>
      </c>
      <c r="C273" s="918">
        <f t="shared" si="123"/>
        <v>427.47627676887464</v>
      </c>
      <c r="D273" s="1036">
        <f t="shared" ref="D273" si="135">100*((C273/C272)-1)</f>
        <v>0</v>
      </c>
      <c r="E273" s="1036">
        <f t="shared" ref="E273" si="136">100*((C273/$C$265)-1)</f>
        <v>1.9620197391610805</v>
      </c>
      <c r="F273" s="1037">
        <f t="shared" ref="F273" si="137">100*((C273/C261)-1)</f>
        <v>1.9620197391610805</v>
      </c>
      <c r="G273" s="1038">
        <f t="shared" ref="G273" si="138">100*(C273/C249-1)</f>
        <v>1.9620197391610805</v>
      </c>
      <c r="H273" s="861">
        <f t="shared" si="134"/>
        <v>1.0988400608436</v>
      </c>
      <c r="I273" s="745"/>
      <c r="J273" s="745"/>
    </row>
    <row r="274" spans="1:10">
      <c r="A274" s="1032" t="str">
        <f>'MB ACCELO 815 '!A205</f>
        <v>SETEMBRO|16</v>
      </c>
      <c r="B274" s="918">
        <f>geral!K437</f>
        <v>23141.3</v>
      </c>
      <c r="C274" s="918">
        <f t="shared" si="123"/>
        <v>427.47627676887464</v>
      </c>
      <c r="D274" s="1036">
        <f t="shared" ref="D274" si="139">100*((C274/C273)-1)</f>
        <v>0</v>
      </c>
      <c r="E274" s="1036">
        <f t="shared" ref="E274" si="140">100*((C274/$C$265)-1)</f>
        <v>1.9620197391610805</v>
      </c>
      <c r="F274" s="1037">
        <f t="shared" ref="F274" si="141">100*((C274/C262)-1)</f>
        <v>1.9620197391610805</v>
      </c>
      <c r="G274" s="1038">
        <f t="shared" ref="G274" si="142">100*(C274/C250-1)</f>
        <v>1.9620197391610805</v>
      </c>
      <c r="H274" s="861">
        <f t="shared" si="134"/>
        <v>1.0988400608436</v>
      </c>
      <c r="I274" s="745"/>
      <c r="J274" s="745"/>
    </row>
    <row r="275" spans="1:10">
      <c r="A275" s="1032" t="str">
        <f>'MB ACCELO 815 '!A206</f>
        <v>OUTUBRO|16</v>
      </c>
      <c r="B275" s="918">
        <f>geral!K438</f>
        <v>23141.3</v>
      </c>
      <c r="C275" s="918">
        <f t="shared" si="123"/>
        <v>427.47627676887464</v>
      </c>
      <c r="D275" s="1036">
        <f t="shared" ref="D275" si="143">100*((C275/C274)-1)</f>
        <v>0</v>
      </c>
      <c r="E275" s="1036">
        <f t="shared" ref="E275" si="144">100*((C275/$C$265)-1)</f>
        <v>1.9620197391610805</v>
      </c>
      <c r="F275" s="1037">
        <f t="shared" ref="F275" si="145">100*((C275/C263)-1)</f>
        <v>1.9620197391610805</v>
      </c>
      <c r="G275" s="1038">
        <f t="shared" ref="G275" si="146">100*(C275/C251-1)</f>
        <v>1.9620197391610805</v>
      </c>
      <c r="H275" s="861">
        <f t="shared" si="134"/>
        <v>1.0988400608436</v>
      </c>
      <c r="I275" s="745"/>
      <c r="J275" s="745"/>
    </row>
    <row r="276" spans="1:10">
      <c r="A276" s="1032" t="str">
        <f>'MB ACCELO 815 '!A207</f>
        <v>NOVEMBRO|16</v>
      </c>
      <c r="B276" s="918">
        <f>geral!K439</f>
        <v>23141.3</v>
      </c>
      <c r="C276" s="918">
        <f t="shared" ref="C276" si="147">(B276/$B$8)*100</f>
        <v>427.47627676887464</v>
      </c>
      <c r="D276" s="1036">
        <f t="shared" ref="D276" si="148">100*((C276/C275)-1)</f>
        <v>0</v>
      </c>
      <c r="E276" s="1036">
        <f t="shared" ref="E276" si="149">100*((C276/$C$265)-1)</f>
        <v>1.9620197391610805</v>
      </c>
      <c r="F276" s="1037">
        <f t="shared" ref="F276" si="150">100*((C276/C264)-1)</f>
        <v>1.9620197391610805</v>
      </c>
      <c r="G276" s="1038">
        <f t="shared" ref="G276" si="151">100*(C276/C252-1)</f>
        <v>1.9620197391610805</v>
      </c>
      <c r="H276" s="861">
        <f t="shared" si="134"/>
        <v>1.0988400608436</v>
      </c>
      <c r="I276" s="745"/>
      <c r="J276" s="745"/>
    </row>
    <row r="277" spans="1:10">
      <c r="A277" s="1032" t="str">
        <f>'MB ACCELO 815 '!A208</f>
        <v>DEZEMBRO|16</v>
      </c>
      <c r="B277" s="918">
        <f>geral!K440</f>
        <v>23141.3</v>
      </c>
      <c r="C277" s="918">
        <f t="shared" ref="C277" si="152">(B277/$B$8)*100</f>
        <v>427.47627676887464</v>
      </c>
      <c r="D277" s="1036">
        <f t="shared" ref="D277" si="153">100*((C277/C276)-1)</f>
        <v>0</v>
      </c>
      <c r="E277" s="1036">
        <f t="shared" ref="E277" si="154">100*((C277/$C$265)-1)</f>
        <v>1.9620197391610805</v>
      </c>
      <c r="F277" s="1037">
        <f t="shared" ref="F277" si="155">100*((C277/C265)-1)</f>
        <v>1.9620197391610805</v>
      </c>
      <c r="G277" s="1038">
        <f t="shared" ref="G277" si="156">100*(C277/C253-1)</f>
        <v>1.9620197391610805</v>
      </c>
      <c r="H277" s="861">
        <f t="shared" si="134"/>
        <v>1.0988400608436</v>
      </c>
      <c r="I277" s="745"/>
      <c r="J277" s="745"/>
    </row>
    <row r="278" spans="1:10">
      <c r="A278" s="1032" t="str">
        <f>'MB ACCELO 815 '!A209</f>
        <v>JANEIRO|17</v>
      </c>
      <c r="B278" s="918">
        <f>geral!M429</f>
        <v>23165.05</v>
      </c>
      <c r="C278" s="918">
        <f t="shared" ref="C278" si="157">(B278/$B$8)*100</f>
        <v>427.91499721989777</v>
      </c>
      <c r="D278" s="1036">
        <f t="shared" ref="D278" si="158">100*((C278/C277)-1)</f>
        <v>0.10263036216635602</v>
      </c>
      <c r="E278" s="1036">
        <f t="shared" ref="E278:E283" si="159">100*((C278/$C$277)-1)</f>
        <v>0.10263036216635602</v>
      </c>
      <c r="F278" s="1037">
        <f t="shared" ref="F278" si="160">100*((C278/C266)-1)</f>
        <v>0.48202204179981223</v>
      </c>
      <c r="G278" s="1038">
        <f t="shared" ref="G278" si="161">100*(C278/C254-1)</f>
        <v>2.066663729291518</v>
      </c>
      <c r="H278" s="861">
        <f t="shared" si="134"/>
        <v>1.0977134735301672</v>
      </c>
      <c r="I278" s="745"/>
      <c r="J278" s="745"/>
    </row>
    <row r="279" spans="1:10">
      <c r="A279" s="1032" t="str">
        <f>'MB ACCELO 815 '!A210</f>
        <v>FEVEREIRO|17</v>
      </c>
      <c r="B279" s="918">
        <f>geral!M430</f>
        <v>23165.05</v>
      </c>
      <c r="C279" s="918">
        <f t="shared" ref="C279" si="162">(B279/$B$8)*100</f>
        <v>427.91499721989777</v>
      </c>
      <c r="D279" s="1036">
        <f t="shared" ref="D279" si="163">100*((C279/C278)-1)</f>
        <v>0</v>
      </c>
      <c r="E279" s="1036">
        <f t="shared" si="159"/>
        <v>0.10263036216635602</v>
      </c>
      <c r="F279" s="1037">
        <f t="shared" ref="F279" si="164">100*((C279/C267)-1)</f>
        <v>0.48202204179981223</v>
      </c>
      <c r="G279" s="1038">
        <f t="shared" ref="G279" si="165">100*(C279/C255-1)</f>
        <v>2.066663729291518</v>
      </c>
      <c r="H279" s="861">
        <f t="shared" si="134"/>
        <v>1.0977134735301672</v>
      </c>
      <c r="I279" s="745"/>
      <c r="J279" s="745"/>
    </row>
    <row r="280" spans="1:10">
      <c r="A280" s="1032" t="str">
        <f>'MB ACCELO 815 '!A211</f>
        <v>MARÇO|17</v>
      </c>
      <c r="B280" s="918">
        <f>geral!M431</f>
        <v>23165.05</v>
      </c>
      <c r="C280" s="918">
        <f t="shared" ref="C280" si="166">(B280/$B$8)*100</f>
        <v>427.91499721989777</v>
      </c>
      <c r="D280" s="1036">
        <f t="shared" ref="D280" si="167">100*((C280/C279)-1)</f>
        <v>0</v>
      </c>
      <c r="E280" s="1036">
        <f t="shared" si="159"/>
        <v>0.10263036216635602</v>
      </c>
      <c r="F280" s="1037">
        <f t="shared" ref="F280" si="168">100*((C280/C268)-1)</f>
        <v>0.48202204179981223</v>
      </c>
      <c r="G280" s="1038">
        <f t="shared" ref="G280" si="169">100*(C280/C256-1)</f>
        <v>2.066663729291518</v>
      </c>
      <c r="H280" s="861">
        <f t="shared" si="134"/>
        <v>1.0977134735301672</v>
      </c>
      <c r="I280" s="745"/>
      <c r="J280" s="745"/>
    </row>
    <row r="281" spans="1:10">
      <c r="A281" s="1032" t="str">
        <f>'MB ACCELO 815 '!A212</f>
        <v>ABRIL|17</v>
      </c>
      <c r="B281" s="918">
        <f>geral!M432</f>
        <v>23165.05</v>
      </c>
      <c r="C281" s="918">
        <f t="shared" ref="C281" si="170">(B281/$B$8)*100</f>
        <v>427.91499721989777</v>
      </c>
      <c r="D281" s="1036">
        <f t="shared" ref="D281" si="171">100*((C281/C280)-1)</f>
        <v>0</v>
      </c>
      <c r="E281" s="1036">
        <f t="shared" si="159"/>
        <v>0.10263036216635602</v>
      </c>
      <c r="F281" s="1037">
        <f t="shared" ref="F281" si="172">100*((C281/C269)-1)</f>
        <v>0.48202204179981223</v>
      </c>
      <c r="G281" s="1038">
        <f t="shared" ref="G281" si="173">100*(C281/C257-1)</f>
        <v>2.066663729291518</v>
      </c>
      <c r="H281" s="861">
        <f t="shared" si="134"/>
        <v>1.0977134735301672</v>
      </c>
      <c r="I281" s="745"/>
      <c r="J281" s="745"/>
    </row>
    <row r="282" spans="1:10">
      <c r="A282" s="1032" t="str">
        <f>'MB ACCELO 815 '!A213</f>
        <v>MAIO|17</v>
      </c>
      <c r="B282" s="918">
        <f>geral!M433</f>
        <v>23165.05</v>
      </c>
      <c r="C282" s="918">
        <f t="shared" ref="C282" si="174">(B282/$B$8)*100</f>
        <v>427.91499721989777</v>
      </c>
      <c r="D282" s="1036">
        <f t="shared" ref="D282" si="175">100*((C282/C281)-1)</f>
        <v>0</v>
      </c>
      <c r="E282" s="1036">
        <f t="shared" si="159"/>
        <v>0.10263036216635602</v>
      </c>
      <c r="F282" s="1037">
        <f t="shared" ref="F282" si="176">100*((C282/C270)-1)</f>
        <v>0.48202204179981223</v>
      </c>
      <c r="G282" s="1038">
        <f t="shared" ref="G282" si="177">100*(C282/C258-1)</f>
        <v>2.066663729291518</v>
      </c>
      <c r="H282" s="861">
        <f t="shared" si="134"/>
        <v>1.0977134735301672</v>
      </c>
      <c r="I282" s="745"/>
      <c r="J282" s="745"/>
    </row>
    <row r="283" spans="1:10">
      <c r="A283" s="1032" t="str">
        <f>'MB ACCELO 815 '!A214</f>
        <v>JUNHO|17</v>
      </c>
      <c r="B283" s="918">
        <f>geral!M434</f>
        <v>23165.05</v>
      </c>
      <c r="C283" s="918">
        <f t="shared" ref="C283" si="178">(B283/$B$8)*100</f>
        <v>427.91499721989777</v>
      </c>
      <c r="D283" s="1036">
        <f t="shared" ref="D283" si="179">100*((C283/C282)-1)</f>
        <v>0</v>
      </c>
      <c r="E283" s="1036">
        <f t="shared" si="159"/>
        <v>0.10263036216635602</v>
      </c>
      <c r="F283" s="1037">
        <f t="shared" ref="F283" si="180">100*((C283/C271)-1)</f>
        <v>0.48202204179981223</v>
      </c>
      <c r="G283" s="1038">
        <f t="shared" ref="G283" si="181">100*(C283/C259-1)</f>
        <v>2.066663729291518</v>
      </c>
      <c r="H283" s="861">
        <f t="shared" si="134"/>
        <v>1.0977134735301672</v>
      </c>
      <c r="I283" s="745"/>
      <c r="J283" s="745"/>
    </row>
    <row r="284" spans="1:10">
      <c r="A284" s="1032" t="str">
        <f>'MB ACCELO 815 '!A215</f>
        <v>JULHO|17</v>
      </c>
      <c r="B284" s="918">
        <f>geral!M435</f>
        <v>23165.05</v>
      </c>
      <c r="C284" s="918">
        <f t="shared" ref="C284" si="182">(B284/$B$8)*100</f>
        <v>427.91499721989777</v>
      </c>
      <c r="D284" s="1036">
        <f t="shared" ref="D284" si="183">100*((C284/C283)-1)</f>
        <v>0</v>
      </c>
      <c r="E284" s="1036">
        <f t="shared" ref="E284" si="184">100*((C284/$C$277)-1)</f>
        <v>0.10263036216635602</v>
      </c>
      <c r="F284" s="1037">
        <f t="shared" ref="F284" si="185">100*((C284/C272)-1)</f>
        <v>0.10263036216635602</v>
      </c>
      <c r="G284" s="1038">
        <f t="shared" ref="G284" si="186">100*(C284/C260-1)</f>
        <v>2.066663729291518</v>
      </c>
      <c r="H284" s="861">
        <f t="shared" si="134"/>
        <v>1.0977134735301672</v>
      </c>
      <c r="I284" s="745"/>
      <c r="J284" s="745"/>
    </row>
    <row r="285" spans="1:10">
      <c r="A285" s="1032" t="str">
        <f>'MB ACCELO 815 '!A216</f>
        <v>AGOSTO|17</v>
      </c>
      <c r="B285" s="918">
        <f>geral!M436</f>
        <v>23540.05</v>
      </c>
      <c r="C285" s="918">
        <f t="shared" ref="C285" si="187">(B285/$B$8)*100</f>
        <v>434.84216223605188</v>
      </c>
      <c r="D285" s="1036">
        <f t="shared" ref="D285" si="188">100*((C285/C284)-1)</f>
        <v>1.6188180038463118</v>
      </c>
      <c r="E285" s="1036">
        <f t="shared" ref="E285" si="189">100*((C285/$C$277)-1)</f>
        <v>1.7231097647928184</v>
      </c>
      <c r="F285" s="1037">
        <f t="shared" ref="F285" si="190">100*((C285/C273)-1)</f>
        <v>1.7231097647928184</v>
      </c>
      <c r="G285" s="1038">
        <f t="shared" ref="G285" si="191">100*(C285/C261-1)</f>
        <v>3.7189372576665436</v>
      </c>
      <c r="H285" s="861">
        <f t="shared" si="134"/>
        <v>1.0802265713114458</v>
      </c>
      <c r="I285" s="745"/>
      <c r="J285" s="745"/>
    </row>
    <row r="286" spans="1:10">
      <c r="A286" s="1032" t="str">
        <f>'MB ACCELO 815 '!A217</f>
        <v>SETEMBRO|17</v>
      </c>
      <c r="B286" s="918">
        <f>geral!M437</f>
        <v>23540.05</v>
      </c>
      <c r="C286" s="918">
        <f t="shared" ref="C286" si="192">(B286/$B$8)*100</f>
        <v>434.84216223605188</v>
      </c>
      <c r="D286" s="1036">
        <f t="shared" ref="D286" si="193">100*((C286/C285)-1)</f>
        <v>0</v>
      </c>
      <c r="E286" s="1036">
        <f t="shared" ref="E286" si="194">100*((C286/$C$277)-1)</f>
        <v>1.7231097647928184</v>
      </c>
      <c r="F286" s="1037">
        <f t="shared" ref="F286" si="195">100*((C286/C274)-1)</f>
        <v>1.7231097647928184</v>
      </c>
      <c r="G286" s="1038">
        <f t="shared" ref="G286" si="196">100*(C286/C262-1)</f>
        <v>3.7189372576665436</v>
      </c>
      <c r="H286" s="861">
        <f t="shared" si="134"/>
        <v>1.0802265713114458</v>
      </c>
      <c r="I286" s="745"/>
      <c r="J286" s="745"/>
    </row>
    <row r="287" spans="1:10">
      <c r="A287" s="1032" t="str">
        <f>'MB ACCELO 815 '!A218</f>
        <v>OUTUBRO|17</v>
      </c>
      <c r="B287" s="918">
        <f>geral!M438</f>
        <v>23540.05</v>
      </c>
      <c r="C287" s="918">
        <f t="shared" ref="C287" si="197">(B287/$B$8)*100</f>
        <v>434.84216223605188</v>
      </c>
      <c r="D287" s="1036">
        <f t="shared" ref="D287" si="198">100*((C287/C286)-1)</f>
        <v>0</v>
      </c>
      <c r="E287" s="1036">
        <f t="shared" ref="E287" si="199">100*((C287/$C$277)-1)</f>
        <v>1.7231097647928184</v>
      </c>
      <c r="F287" s="1037">
        <f t="shared" ref="F287" si="200">100*((C287/C275)-1)</f>
        <v>1.7231097647928184</v>
      </c>
      <c r="G287" s="1038">
        <f t="shared" ref="G287" si="201">100*(C287/C263-1)</f>
        <v>3.7189372576665436</v>
      </c>
      <c r="H287" s="861">
        <f t="shared" si="134"/>
        <v>1.0802265713114458</v>
      </c>
      <c r="I287" s="745"/>
      <c r="J287" s="745"/>
    </row>
    <row r="288" spans="1:10">
      <c r="A288" s="1032" t="str">
        <f>'MB ACCELO 815 '!A219</f>
        <v>NOVEMBRO|17</v>
      </c>
      <c r="B288" s="918">
        <f>geral!M439</f>
        <v>23540.05</v>
      </c>
      <c r="C288" s="918">
        <f t="shared" ref="C288" si="202">(B288/$B$8)*100</f>
        <v>434.84216223605188</v>
      </c>
      <c r="D288" s="1036">
        <f t="shared" ref="D288" si="203">100*((C288/C287)-1)</f>
        <v>0</v>
      </c>
      <c r="E288" s="1036">
        <f t="shared" ref="E288" si="204">100*((C288/$C$277)-1)</f>
        <v>1.7231097647928184</v>
      </c>
      <c r="F288" s="1037">
        <f t="shared" ref="F288" si="205">100*((C288/C276)-1)</f>
        <v>1.7231097647928184</v>
      </c>
      <c r="G288" s="1038">
        <f t="shared" ref="G288" si="206">100*(C288/C264-1)</f>
        <v>3.7189372576665436</v>
      </c>
      <c r="H288" s="861">
        <f t="shared" si="134"/>
        <v>1.0802265713114458</v>
      </c>
      <c r="I288" s="745"/>
      <c r="J288" s="745"/>
    </row>
    <row r="289" spans="1:10">
      <c r="A289" s="1032" t="str">
        <f>'MB ACCELO 815 '!A220</f>
        <v>DEZEMBRO|17</v>
      </c>
      <c r="B289" s="918">
        <f>geral!M440</f>
        <v>23540.05</v>
      </c>
      <c r="C289" s="918">
        <f t="shared" ref="C289" si="207">(B289/$B$8)*100</f>
        <v>434.84216223605188</v>
      </c>
      <c r="D289" s="1036">
        <f t="shared" ref="D289" si="208">100*((C289/C288)-1)</f>
        <v>0</v>
      </c>
      <c r="E289" s="1036">
        <f t="shared" ref="E289" si="209">100*((C289/$C$277)-1)</f>
        <v>1.7231097647928184</v>
      </c>
      <c r="F289" s="1037">
        <f t="shared" ref="F289" si="210">100*((C289/C277)-1)</f>
        <v>1.7231097647928184</v>
      </c>
      <c r="G289" s="1038">
        <f t="shared" ref="G289" si="211">100*(C289/C265-1)</f>
        <v>3.7189372576665436</v>
      </c>
      <c r="H289" s="861">
        <f t="shared" si="134"/>
        <v>1.0802265713114458</v>
      </c>
      <c r="I289" s="745"/>
      <c r="J289" s="745"/>
    </row>
    <row r="290" spans="1:10">
      <c r="A290" s="1032" t="str">
        <f>'MB ACCELO 815 '!A221</f>
        <v>JANEIRO|18</v>
      </c>
      <c r="B290" s="918">
        <f>geral!O429</f>
        <v>23540.05</v>
      </c>
      <c r="C290" s="918">
        <f t="shared" ref="C290" si="212">(B290/$B$8)*100</f>
        <v>434.84216223605188</v>
      </c>
      <c r="D290" s="1036">
        <f t="shared" ref="D290" si="213">100*((C290/C289)-1)</f>
        <v>0</v>
      </c>
      <c r="E290" s="1036">
        <f t="shared" ref="E290:E295" si="214">100*((C290/$C$289)-1)</f>
        <v>0</v>
      </c>
      <c r="F290" s="1037">
        <f t="shared" ref="F290" si="215">100*((C290/C278)-1)</f>
        <v>1.6188180038463118</v>
      </c>
      <c r="G290" s="1038">
        <f t="shared" ref="G290" si="216">100*(C290/C266-1)</f>
        <v>2.1086431052412813</v>
      </c>
      <c r="H290" s="861">
        <f t="shared" si="134"/>
        <v>1.0802265713114458</v>
      </c>
      <c r="I290" s="745"/>
      <c r="J290" s="745"/>
    </row>
    <row r="291" spans="1:10">
      <c r="A291" s="1032" t="str">
        <f>'MB ACCELO 815 '!A222</f>
        <v>FEVEREIRO|18</v>
      </c>
      <c r="B291" s="918">
        <f>geral!O430</f>
        <v>23540.05</v>
      </c>
      <c r="C291" s="918">
        <f t="shared" ref="C291" si="217">(B291/$B$8)*100</f>
        <v>434.84216223605188</v>
      </c>
      <c r="D291" s="1036">
        <f t="shared" ref="D291" si="218">100*((C291/C290)-1)</f>
        <v>0</v>
      </c>
      <c r="E291" s="1036">
        <f t="shared" si="214"/>
        <v>0</v>
      </c>
      <c r="F291" s="1037">
        <f t="shared" ref="F291" si="219">100*((C291/C279)-1)</f>
        <v>1.6188180038463118</v>
      </c>
      <c r="G291" s="1038">
        <f t="shared" ref="G291" si="220">100*(C291/C267-1)</f>
        <v>2.1086431052412813</v>
      </c>
      <c r="H291" s="861">
        <f t="shared" si="134"/>
        <v>1.0802265713114458</v>
      </c>
      <c r="I291" s="745"/>
      <c r="J291" s="745"/>
    </row>
    <row r="292" spans="1:10">
      <c r="A292" s="1032" t="str">
        <f>'MB ACCELO 815 '!A223</f>
        <v>MARÇO|18</v>
      </c>
      <c r="B292" s="918">
        <f>geral!O431</f>
        <v>23540.05</v>
      </c>
      <c r="C292" s="918">
        <f t="shared" ref="C292" si="221">(B292/$B$8)*100</f>
        <v>434.84216223605188</v>
      </c>
      <c r="D292" s="1036">
        <f t="shared" ref="D292" si="222">100*((C292/C291)-1)</f>
        <v>0</v>
      </c>
      <c r="E292" s="1036">
        <f t="shared" si="214"/>
        <v>0</v>
      </c>
      <c r="F292" s="1037">
        <f t="shared" ref="F292" si="223">100*((C292/C280)-1)</f>
        <v>1.6188180038463118</v>
      </c>
      <c r="G292" s="1038">
        <f t="shared" ref="G292" si="224">100*(C292/C268-1)</f>
        <v>2.1086431052412813</v>
      </c>
      <c r="H292" s="861">
        <f t="shared" si="134"/>
        <v>1.0802265713114458</v>
      </c>
      <c r="I292" s="745"/>
      <c r="J292" s="745"/>
    </row>
    <row r="293" spans="1:10">
      <c r="A293" s="1032" t="str">
        <f>'MB ACCELO 815 '!A224</f>
        <v>ABRIL|18</v>
      </c>
      <c r="B293" s="918">
        <f>geral!O432</f>
        <v>23910.05</v>
      </c>
      <c r="C293" s="918">
        <f t="shared" ref="C293" si="225">(B293/$B$8)*100</f>
        <v>441.67696505199069</v>
      </c>
      <c r="D293" s="1036">
        <f t="shared" ref="D293" si="226">100*((C293/C292)-1)</f>
        <v>1.5717893547380068</v>
      </c>
      <c r="E293" s="1036">
        <f t="shared" si="214"/>
        <v>1.5717893547380068</v>
      </c>
      <c r="F293" s="1037">
        <f t="shared" ref="F293" si="227">100*((C293/C281)-1)</f>
        <v>3.216051767641348</v>
      </c>
      <c r="G293" s="1038">
        <f t="shared" ref="G293" si="228">100*(C293/C269-1)</f>
        <v>3.713575887836873</v>
      </c>
      <c r="H293" s="861">
        <f t="shared" si="134"/>
        <v>1.0635104276235305</v>
      </c>
      <c r="I293" s="745"/>
      <c r="J293" s="745"/>
    </row>
    <row r="294" spans="1:10">
      <c r="A294" s="1032" t="str">
        <f>'MB ACCELO 815 '!A225</f>
        <v>MAIO|18</v>
      </c>
      <c r="B294" s="918">
        <f>geral!O433</f>
        <v>23910.05</v>
      </c>
      <c r="C294" s="918">
        <f t="shared" ref="C294" si="229">(B294/$B$8)*100</f>
        <v>441.67696505199069</v>
      </c>
      <c r="D294" s="1036">
        <f t="shared" ref="D294" si="230">100*((C294/C293)-1)</f>
        <v>0</v>
      </c>
      <c r="E294" s="1036">
        <f t="shared" si="214"/>
        <v>1.5717893547380068</v>
      </c>
      <c r="F294" s="1037">
        <f t="shared" ref="F294" si="231">100*((C294/C282)-1)</f>
        <v>3.216051767641348</v>
      </c>
      <c r="G294" s="1038">
        <f t="shared" ref="G294" si="232">100*(C294/C270-1)</f>
        <v>3.713575887836873</v>
      </c>
      <c r="H294" s="861">
        <f t="shared" si="134"/>
        <v>1.0635104276235305</v>
      </c>
      <c r="I294" s="745"/>
      <c r="J294" s="745"/>
    </row>
    <row r="295" spans="1:10">
      <c r="A295" s="1032" t="str">
        <f>'MB ACCELO 815 '!A226</f>
        <v>JUNHO|18</v>
      </c>
      <c r="B295" s="918">
        <f>geral!O434</f>
        <v>23910.05</v>
      </c>
      <c r="C295" s="918">
        <f t="shared" ref="C295" si="233">(B295/$B$8)*100</f>
        <v>441.67696505199069</v>
      </c>
      <c r="D295" s="1036">
        <f t="shared" ref="D295" si="234">100*((C295/C294)-1)</f>
        <v>0</v>
      </c>
      <c r="E295" s="1036">
        <f t="shared" si="214"/>
        <v>1.5717893547380068</v>
      </c>
      <c r="F295" s="1037">
        <f t="shared" ref="F295" si="235">100*((C295/C283)-1)</f>
        <v>3.216051767641348</v>
      </c>
      <c r="G295" s="1038">
        <f t="shared" ref="G295" si="236">100*(C295/C271-1)</f>
        <v>3.713575887836873</v>
      </c>
      <c r="H295" s="861">
        <f t="shared" si="134"/>
        <v>1.0635104276235305</v>
      </c>
      <c r="I295" s="745"/>
      <c r="J295" s="745"/>
    </row>
    <row r="296" spans="1:10">
      <c r="A296" s="1032" t="str">
        <f>'MB ACCELO 815 '!A227</f>
        <v>JULHO|18</v>
      </c>
      <c r="B296" s="918">
        <f>geral!O435</f>
        <v>23910.05</v>
      </c>
      <c r="C296" s="918">
        <f t="shared" ref="C296" si="237">(B296/$B$8)*100</f>
        <v>441.67696505199069</v>
      </c>
      <c r="D296" s="1036">
        <f t="shared" ref="D296" si="238">100*((C296/C295)-1)</f>
        <v>0</v>
      </c>
      <c r="E296" s="1036">
        <f t="shared" ref="E296" si="239">100*((C296/$C$289)-1)</f>
        <v>1.5717893547380068</v>
      </c>
      <c r="F296" s="1037">
        <f t="shared" ref="F296" si="240">100*((C296/C284)-1)</f>
        <v>3.216051767641348</v>
      </c>
      <c r="G296" s="1038">
        <f t="shared" ref="G296" si="241">100*(C296/C272-1)</f>
        <v>3.3219827753842912</v>
      </c>
      <c r="H296" s="861">
        <f t="shared" si="134"/>
        <v>1.0635104276235305</v>
      </c>
      <c r="I296" s="745"/>
      <c r="J296" s="745"/>
    </row>
    <row r="297" spans="1:10">
      <c r="A297" s="1032" t="str">
        <f>'MB ACCELO 815 '!A228</f>
        <v>AGOSTO|18</v>
      </c>
      <c r="B297" s="918">
        <f>geral!O436</f>
        <v>23910.05</v>
      </c>
      <c r="C297" s="918">
        <f t="shared" ref="C297" si="242">(B297/$B$8)*100</f>
        <v>441.67696505199069</v>
      </c>
      <c r="D297" s="1036">
        <f t="shared" ref="D297" si="243">100*((C297/C296)-1)</f>
        <v>0</v>
      </c>
      <c r="E297" s="1036">
        <f t="shared" ref="E297" si="244">100*((C297/$C$289)-1)</f>
        <v>1.5717893547380068</v>
      </c>
      <c r="F297" s="1037">
        <f t="shared" ref="F297" si="245">100*((C297/C285)-1)</f>
        <v>1.5717893547380068</v>
      </c>
      <c r="G297" s="1038">
        <f t="shared" ref="G297" si="246">100*(C297/C273-1)</f>
        <v>3.3219827753842912</v>
      </c>
      <c r="H297" s="861">
        <f t="shared" si="134"/>
        <v>1.0635104276235305</v>
      </c>
      <c r="I297" s="745"/>
      <c r="J297" s="745"/>
    </row>
    <row r="298" spans="1:10">
      <c r="A298" s="1032" t="str">
        <f>'MB ACCELO 815 '!A229</f>
        <v>SETEMBRO|18</v>
      </c>
      <c r="B298" s="918">
        <f>geral!O437</f>
        <v>23910.05</v>
      </c>
      <c r="C298" s="918">
        <f t="shared" ref="C298" si="247">(B298/$B$8)*100</f>
        <v>441.67696505199069</v>
      </c>
      <c r="D298" s="1036">
        <f t="shared" ref="D298" si="248">100*((C298/C297)-1)</f>
        <v>0</v>
      </c>
      <c r="E298" s="1036">
        <f t="shared" ref="E298" si="249">100*((C298/$C$289)-1)</f>
        <v>1.5717893547380068</v>
      </c>
      <c r="F298" s="1037">
        <f t="shared" ref="F298" si="250">100*((C298/C286)-1)</f>
        <v>1.5717893547380068</v>
      </c>
      <c r="G298" s="1038">
        <f t="shared" ref="G298" si="251">100*(C298/C274-1)</f>
        <v>3.3219827753842912</v>
      </c>
      <c r="H298" s="861">
        <f t="shared" si="134"/>
        <v>1.0635104276235305</v>
      </c>
      <c r="I298" s="745"/>
      <c r="J298" s="745"/>
    </row>
    <row r="299" spans="1:10">
      <c r="A299" s="1032" t="str">
        <f>'MB ACCELO 815 '!A230</f>
        <v>OUTUBRO|18</v>
      </c>
      <c r="B299" s="918">
        <f>geral!O438</f>
        <v>24226.524999999998</v>
      </c>
      <c r="C299" s="918">
        <f t="shared" ref="C299" si="252">(B299/$B$8)*100</f>
        <v>447.5230305146236</v>
      </c>
      <c r="D299" s="1036">
        <f t="shared" ref="D299" si="253">100*((C299/C298)-1)</f>
        <v>1.3236066005716918</v>
      </c>
      <c r="E299" s="1036">
        <f t="shared" ref="E299" si="254">100*((C299/$C$289)-1)</f>
        <v>2.9162002629560924</v>
      </c>
      <c r="F299" s="1037">
        <f t="shared" ref="F299" si="255">100*((C299/C287)-1)</f>
        <v>2.9162002629560924</v>
      </c>
      <c r="G299" s="1038">
        <f t="shared" ref="G299" si="256">100*(C299/C275-1)</f>
        <v>4.6895593592408247</v>
      </c>
      <c r="H299" s="861">
        <f t="shared" si="134"/>
        <v>1.049617619530659</v>
      </c>
      <c r="I299" s="745"/>
      <c r="J299" s="745"/>
    </row>
    <row r="300" spans="1:10">
      <c r="A300" s="1032" t="str">
        <f>'MB ACCELO 815 '!A231</f>
        <v>NOVEMBRO|18</v>
      </c>
      <c r="B300" s="918">
        <f>geral!O439</f>
        <v>24226.524999999998</v>
      </c>
      <c r="C300" s="918">
        <f t="shared" ref="C300" si="257">(B300/$B$8)*100</f>
        <v>447.5230305146236</v>
      </c>
      <c r="D300" s="1036">
        <f t="shared" ref="D300" si="258">100*((C300/C299)-1)</f>
        <v>0</v>
      </c>
      <c r="E300" s="1036">
        <f t="shared" ref="E300" si="259">100*((C300/$C$289)-1)</f>
        <v>2.9162002629560924</v>
      </c>
      <c r="F300" s="1037">
        <f t="shared" ref="F300" si="260">100*((C300/C288)-1)</f>
        <v>2.9162002629560924</v>
      </c>
      <c r="G300" s="1038">
        <f t="shared" ref="G300" si="261">100*(C300/C276-1)</f>
        <v>4.6895593592408247</v>
      </c>
      <c r="H300" s="861">
        <f t="shared" si="134"/>
        <v>1.049617619530659</v>
      </c>
      <c r="I300" s="745"/>
      <c r="J300" s="745"/>
    </row>
    <row r="301" spans="1:10">
      <c r="A301" s="1032" t="str">
        <f>'MB ACCELO 815 '!A232</f>
        <v>DEZEMBRO|18</v>
      </c>
      <c r="B301" s="918">
        <f>geral!O440</f>
        <v>24226.524999999998</v>
      </c>
      <c r="C301" s="918">
        <f t="shared" ref="C301" si="262">(B301/$B$8)*100</f>
        <v>447.5230305146236</v>
      </c>
      <c r="D301" s="1036">
        <f t="shared" ref="D301" si="263">100*((C301/C300)-1)</f>
        <v>0</v>
      </c>
      <c r="E301" s="1036">
        <f t="shared" ref="E301" si="264">100*((C301/$C$289)-1)</f>
        <v>2.9162002629560924</v>
      </c>
      <c r="F301" s="1037">
        <f t="shared" ref="F301" si="265">100*((C301/C289)-1)</f>
        <v>2.9162002629560924</v>
      </c>
      <c r="G301" s="1038">
        <f t="shared" ref="G301" si="266">100*(C301/C277-1)</f>
        <v>4.6895593592408247</v>
      </c>
      <c r="H301" s="861">
        <f t="shared" si="134"/>
        <v>1.049617619530659</v>
      </c>
      <c r="I301" s="745"/>
      <c r="J301" s="745"/>
    </row>
    <row r="302" spans="1:10">
      <c r="A302" s="1032" t="str">
        <f>'MB ACCELO 815 '!A233</f>
        <v>JANEIRO|19</v>
      </c>
      <c r="B302" s="918">
        <f>geral!Q429</f>
        <v>24226.524999999998</v>
      </c>
      <c r="C302" s="918">
        <f t="shared" ref="C302" si="267">(B302/$B$8)*100</f>
        <v>447.5230305146236</v>
      </c>
      <c r="D302" s="1036">
        <f t="shared" ref="D302" si="268">100*((C302/C301)-1)</f>
        <v>0</v>
      </c>
      <c r="E302" s="1036">
        <f t="shared" ref="E302:E307" si="269">100*((C302/$C$301)-1)</f>
        <v>0</v>
      </c>
      <c r="F302" s="1037">
        <f t="shared" ref="F302" si="270">100*((C302/C290)-1)</f>
        <v>2.9162002629560924</v>
      </c>
      <c r="G302" s="1038">
        <f t="shared" ref="G302" si="271">100*(C302/C278-1)</f>
        <v>4.5822262416873372</v>
      </c>
      <c r="H302" s="861">
        <f t="shared" si="134"/>
        <v>1.049617619530659</v>
      </c>
      <c r="I302" s="745"/>
      <c r="J302" s="745"/>
    </row>
    <row r="303" spans="1:10">
      <c r="A303" s="1032" t="str">
        <f>'MB ACCELO 815 '!A234</f>
        <v>FEVEREIRO|19</v>
      </c>
      <c r="B303" s="918">
        <f>geral!Q430</f>
        <v>24693.587499999998</v>
      </c>
      <c r="C303" s="918">
        <f t="shared" ref="C303" si="272">(B303/$B$8)*100</f>
        <v>456.15081454224367</v>
      </c>
      <c r="D303" s="1036">
        <f t="shared" ref="D303" si="273">100*((C303/C302)-1)</f>
        <v>1.9278972118370374</v>
      </c>
      <c r="E303" s="1036">
        <f t="shared" si="269"/>
        <v>1.9278972118370374</v>
      </c>
      <c r="F303" s="1037">
        <f t="shared" ref="F303" si="274">100*((C303/C291)-1)</f>
        <v>4.9003188183542656</v>
      </c>
      <c r="G303" s="1038">
        <f t="shared" ref="G303" si="275">100*(C303/C279-1)</f>
        <v>6.5984640654779492</v>
      </c>
      <c r="H303" s="861">
        <f t="shared" si="134"/>
        <v>1.0297648124234682</v>
      </c>
      <c r="I303" s="745"/>
      <c r="J303" s="745"/>
    </row>
    <row r="304" spans="1:10">
      <c r="A304" s="1032" t="str">
        <f>'MB ACCELO 815 '!A235</f>
        <v>MARÇO|19</v>
      </c>
      <c r="B304" s="918">
        <f>geral!Q431</f>
        <v>24693.587499999998</v>
      </c>
      <c r="C304" s="918">
        <f t="shared" ref="C304" si="276">(B304/$B$8)*100</f>
        <v>456.15081454224367</v>
      </c>
      <c r="D304" s="1036">
        <f t="shared" ref="D304" si="277">100*((C304/C303)-1)</f>
        <v>0</v>
      </c>
      <c r="E304" s="1036">
        <f t="shared" si="269"/>
        <v>1.9278972118370374</v>
      </c>
      <c r="F304" s="1037">
        <f t="shared" ref="F304" si="278">100*((C304/C292)-1)</f>
        <v>4.9003188183542656</v>
      </c>
      <c r="G304" s="1038">
        <f t="shared" ref="G304" si="279">100*(C304/C280-1)</f>
        <v>6.5984640654779492</v>
      </c>
      <c r="H304" s="861">
        <f t="shared" si="134"/>
        <v>1.0297648124234682</v>
      </c>
      <c r="I304" s="745"/>
      <c r="J304" s="745"/>
    </row>
    <row r="305" spans="1:10">
      <c r="A305" s="1032" t="str">
        <f>'MB ACCELO 815 '!A236</f>
        <v>ABRIL|19</v>
      </c>
      <c r="B305" s="918">
        <f>geral!Q432</f>
        <v>24693.587499999998</v>
      </c>
      <c r="C305" s="918">
        <f t="shared" ref="C305" si="280">(B305/$B$8)*100</f>
        <v>456.15081454224367</v>
      </c>
      <c r="D305" s="1036">
        <f t="shared" ref="D305" si="281">100*((C305/C304)-1)</f>
        <v>0</v>
      </c>
      <c r="E305" s="1036">
        <f t="shared" si="269"/>
        <v>1.9278972118370374</v>
      </c>
      <c r="F305" s="1037">
        <f t="shared" ref="F305" si="282">100*((C305/C293)-1)</f>
        <v>3.2770215871568587</v>
      </c>
      <c r="G305" s="1038">
        <f t="shared" ref="G305" si="283">100*(C305/C281-1)</f>
        <v>6.5984640654779492</v>
      </c>
      <c r="H305" s="861">
        <f t="shared" si="134"/>
        <v>1.0297648124234682</v>
      </c>
      <c r="I305" s="745"/>
      <c r="J305" s="745"/>
    </row>
    <row r="306" spans="1:10">
      <c r="A306" s="1032" t="str">
        <f>'MB ACCELO 815 '!A237</f>
        <v>MAIO|19</v>
      </c>
      <c r="B306" s="918">
        <f>geral!Q433</f>
        <v>24693.587499999998</v>
      </c>
      <c r="C306" s="918">
        <f t="shared" ref="C306" si="284">(B306/$B$8)*100</f>
        <v>456.15081454224367</v>
      </c>
      <c r="D306" s="1036">
        <f t="shared" ref="D306" si="285">100*((C306/C305)-1)</f>
        <v>0</v>
      </c>
      <c r="E306" s="1036">
        <f t="shared" si="269"/>
        <v>1.9278972118370374</v>
      </c>
      <c r="F306" s="1037">
        <f t="shared" ref="F306" si="286">100*((C306/C294)-1)</f>
        <v>3.2770215871568587</v>
      </c>
      <c r="G306" s="1038">
        <f t="shared" ref="G306" si="287">100*(C306/C282-1)</f>
        <v>6.5984640654779492</v>
      </c>
      <c r="H306" s="861">
        <f t="shared" si="134"/>
        <v>1.0297648124234682</v>
      </c>
      <c r="I306" s="745"/>
      <c r="J306" s="745"/>
    </row>
    <row r="307" spans="1:10">
      <c r="A307" s="1032" t="str">
        <f>'MB ACCELO 815 '!A238</f>
        <v>JUNHO|19</v>
      </c>
      <c r="B307" s="918">
        <f>geral!Q434</f>
        <v>24693.587499999998</v>
      </c>
      <c r="C307" s="918">
        <f t="shared" ref="C307" si="288">(B307/$B$8)*100</f>
        <v>456.15081454224367</v>
      </c>
      <c r="D307" s="1036">
        <f t="shared" ref="D307" si="289">100*((C307/C306)-1)</f>
        <v>0</v>
      </c>
      <c r="E307" s="1036">
        <f t="shared" si="269"/>
        <v>1.9278972118370374</v>
      </c>
      <c r="F307" s="1037">
        <f t="shared" ref="F307" si="290">100*((C307/C295)-1)</f>
        <v>3.2770215871568587</v>
      </c>
      <c r="G307" s="1038">
        <f t="shared" ref="G307" si="291">100*(C307/C283-1)</f>
        <v>6.5984640654779492</v>
      </c>
      <c r="H307" s="861">
        <f t="shared" si="134"/>
        <v>1.0297648124234682</v>
      </c>
      <c r="I307" s="745"/>
      <c r="J307" s="745"/>
    </row>
    <row r="308" spans="1:10">
      <c r="A308" s="1032" t="str">
        <f>'MB ACCELO 815 '!A239</f>
        <v>JULHO|19</v>
      </c>
      <c r="B308" s="918">
        <f>geral!Q435</f>
        <v>24693.587499999998</v>
      </c>
      <c r="C308" s="918">
        <f t="shared" ref="C308" si="292">(B308/$B$8)*100</f>
        <v>456.15081454224367</v>
      </c>
      <c r="D308" s="1036">
        <f t="shared" ref="D308" si="293">100*((C308/C307)-1)</f>
        <v>0</v>
      </c>
      <c r="E308" s="1036">
        <f t="shared" ref="E308" si="294">100*((C308/$C$301)-1)</f>
        <v>1.9278972118370374</v>
      </c>
      <c r="F308" s="1037">
        <f t="shared" ref="F308" si="295">100*((C308/C296)-1)</f>
        <v>3.2770215871568587</v>
      </c>
      <c r="G308" s="1038">
        <f t="shared" ref="G308" si="296">100*(C308/C284-1)</f>
        <v>6.5984640654779492</v>
      </c>
      <c r="H308" s="861">
        <f t="shared" si="134"/>
        <v>1.0297648124234682</v>
      </c>
      <c r="I308" s="745"/>
      <c r="J308" s="745"/>
    </row>
    <row r="309" spans="1:10">
      <c r="A309" s="1032" t="str">
        <f>'MB ACCELO 815 '!A240</f>
        <v>AGOSTO|19</v>
      </c>
      <c r="B309" s="918">
        <f>geral!Q436</f>
        <v>24693.587499999998</v>
      </c>
      <c r="C309" s="918">
        <f t="shared" ref="C309" si="297">(B309/$B$8)*100</f>
        <v>456.15081454224367</v>
      </c>
      <c r="D309" s="1036">
        <f t="shared" ref="D309" si="298">100*((C309/C308)-1)</f>
        <v>0</v>
      </c>
      <c r="E309" s="1036">
        <f t="shared" ref="E309" si="299">100*((C309/$C$301)-1)</f>
        <v>1.9278972118370374</v>
      </c>
      <c r="F309" s="1037">
        <f t="shared" ref="F309" si="300">100*((C309/C297)-1)</f>
        <v>3.2770215871568587</v>
      </c>
      <c r="G309" s="1038">
        <f t="shared" ref="G309" si="301">100*(C309/C285-1)</f>
        <v>4.9003188183542656</v>
      </c>
      <c r="H309" s="861">
        <f t="shared" si="134"/>
        <v>1.0297648124234682</v>
      </c>
      <c r="I309" s="745"/>
      <c r="J309" s="745"/>
    </row>
    <row r="310" spans="1:10">
      <c r="A310" s="1032" t="str">
        <f>'MB ACCELO 815 '!A241</f>
        <v>SETEMBRO|19</v>
      </c>
      <c r="B310" s="918">
        <f>geral!Q437</f>
        <v>24693.587499999998</v>
      </c>
      <c r="C310" s="918">
        <f t="shared" ref="C310" si="302">(B310/$B$8)*100</f>
        <v>456.15081454224367</v>
      </c>
      <c r="D310" s="1036">
        <f t="shared" ref="D310" si="303">100*((C310/C309)-1)</f>
        <v>0</v>
      </c>
      <c r="E310" s="1036">
        <f t="shared" ref="E310" si="304">100*((C310/$C$301)-1)</f>
        <v>1.9278972118370374</v>
      </c>
      <c r="F310" s="1037">
        <f t="shared" ref="F310" si="305">100*((C310/C298)-1)</f>
        <v>3.2770215871568587</v>
      </c>
      <c r="G310" s="1038">
        <f t="shared" ref="G310" si="306">100*(C310/C286-1)</f>
        <v>4.9003188183542656</v>
      </c>
      <c r="H310" s="861">
        <f t="shared" si="134"/>
        <v>1.0297648124234682</v>
      </c>
      <c r="I310" s="745"/>
      <c r="J310" s="745"/>
    </row>
    <row r="311" spans="1:10">
      <c r="A311" s="1032" t="str">
        <f>'MB ACCELO 815 '!A242</f>
        <v>OUTUBRO|19</v>
      </c>
      <c r="B311" s="918">
        <f>geral!Q438</f>
        <v>24693.587499999998</v>
      </c>
      <c r="C311" s="918">
        <f t="shared" ref="C311" si="307">(B311/$B$8)*100</f>
        <v>456.15081454224367</v>
      </c>
      <c r="D311" s="1036">
        <f t="shared" ref="D311" si="308">100*((C311/C310)-1)</f>
        <v>0</v>
      </c>
      <c r="E311" s="1036">
        <f t="shared" ref="E311" si="309">100*((C311/$C$301)-1)</f>
        <v>1.9278972118370374</v>
      </c>
      <c r="F311" s="1037">
        <f t="shared" ref="F311" si="310">100*((C311/C299)-1)</f>
        <v>1.9278972118370374</v>
      </c>
      <c r="G311" s="1038">
        <f t="shared" ref="G311" si="311">100*(C311/C287-1)</f>
        <v>4.9003188183542656</v>
      </c>
      <c r="H311" s="861">
        <f t="shared" si="134"/>
        <v>1.0297648124234682</v>
      </c>
      <c r="I311" s="745"/>
      <c r="J311" s="745"/>
    </row>
    <row r="312" spans="1:10">
      <c r="A312" s="1032" t="str">
        <f>'MB ACCELO 815 '!A243</f>
        <v>NOVEMBRO|19</v>
      </c>
      <c r="B312" s="918">
        <f>geral!Q439</f>
        <v>24693.587499999998</v>
      </c>
      <c r="C312" s="918">
        <f t="shared" ref="C312" si="312">(B312/$B$8)*100</f>
        <v>456.15081454224367</v>
      </c>
      <c r="D312" s="1036">
        <f t="shared" ref="D312" si="313">100*((C312/C311)-1)</f>
        <v>0</v>
      </c>
      <c r="E312" s="1036">
        <f t="shared" ref="E312" si="314">100*((C312/$C$301)-1)</f>
        <v>1.9278972118370374</v>
      </c>
      <c r="F312" s="1037">
        <f t="shared" ref="F312" si="315">100*((C312/C300)-1)</f>
        <v>1.9278972118370374</v>
      </c>
      <c r="G312" s="1038">
        <f t="shared" ref="G312" si="316">100*(C312/C288-1)</f>
        <v>4.9003188183542656</v>
      </c>
      <c r="H312" s="861">
        <f t="shared" si="134"/>
        <v>1.0297648124234682</v>
      </c>
      <c r="I312" s="745"/>
      <c r="J312" s="745"/>
    </row>
    <row r="313" spans="1:10">
      <c r="A313" s="1032" t="str">
        <f>'MB ACCELO 815 '!A244</f>
        <v>DEZEMBRO|19</v>
      </c>
      <c r="B313" s="918">
        <f>geral!Q440</f>
        <v>24693.587499999998</v>
      </c>
      <c r="C313" s="918">
        <f t="shared" ref="C313" si="317">(B313/$B$8)*100</f>
        <v>456.15081454224367</v>
      </c>
      <c r="D313" s="1036">
        <f t="shared" ref="D313" si="318">100*((C313/C312)-1)</f>
        <v>0</v>
      </c>
      <c r="E313" s="1036">
        <f t="shared" ref="E313" si="319">100*((C313/$C$301)-1)</f>
        <v>1.9278972118370374</v>
      </c>
      <c r="F313" s="1037">
        <f t="shared" ref="F313" si="320">100*((C313/C301)-1)</f>
        <v>1.9278972118370374</v>
      </c>
      <c r="G313" s="1038">
        <f t="shared" ref="G313" si="321">100*(C313/C289-1)</f>
        <v>4.9003188183542656</v>
      </c>
      <c r="H313" s="861">
        <f t="shared" si="134"/>
        <v>1.0297648124234682</v>
      </c>
      <c r="I313" s="745"/>
      <c r="J313" s="745"/>
    </row>
    <row r="314" spans="1:10">
      <c r="A314" s="1032" t="str">
        <f>'MB ACCELO 815 '!A245</f>
        <v>JANEIRO|20</v>
      </c>
      <c r="B314" s="918">
        <f>geral!S429</f>
        <v>24693.587499999998</v>
      </c>
      <c r="C314" s="918">
        <f t="shared" ref="C314" si="322">(B314/$B$8)*100</f>
        <v>456.15081454224367</v>
      </c>
      <c r="D314" s="1036">
        <f t="shared" ref="D314" si="323">100*((C314/C313)-1)</f>
        <v>0</v>
      </c>
      <c r="E314" s="1036">
        <f t="shared" ref="E314:E319" si="324">100*((C314/$C$313)-1)</f>
        <v>0</v>
      </c>
      <c r="F314" s="1037">
        <f t="shared" ref="F314" si="325">100*((C314/C302)-1)</f>
        <v>1.9278972118370374</v>
      </c>
      <c r="G314" s="1038">
        <f t="shared" ref="G314" si="326">100*(C314/C290-1)</f>
        <v>4.9003188183542656</v>
      </c>
      <c r="H314" s="861">
        <f t="shared" si="134"/>
        <v>1.0297648124234682</v>
      </c>
      <c r="I314" s="745"/>
      <c r="J314" s="745"/>
    </row>
    <row r="315" spans="1:10">
      <c r="A315" s="1032" t="str">
        <f>'MB ACCELO 815 '!A246</f>
        <v>FEVEREIRO|20</v>
      </c>
      <c r="B315" s="918">
        <f>geral!S430</f>
        <v>24693.587499999998</v>
      </c>
      <c r="C315" s="918">
        <f t="shared" ref="C315" si="327">(B315/$B$8)*100</f>
        <v>456.15081454224367</v>
      </c>
      <c r="D315" s="1036">
        <f t="shared" ref="D315" si="328">100*((C315/C314)-1)</f>
        <v>0</v>
      </c>
      <c r="E315" s="1036">
        <f t="shared" si="324"/>
        <v>0</v>
      </c>
      <c r="F315" s="1037">
        <f t="shared" ref="F315" si="329">100*((C315/C303)-1)</f>
        <v>0</v>
      </c>
      <c r="G315" s="1038">
        <f t="shared" ref="G315" si="330">100*(C315/C291-1)</f>
        <v>4.9003188183542656</v>
      </c>
      <c r="H315" s="861">
        <f t="shared" si="134"/>
        <v>1.0297648124234682</v>
      </c>
      <c r="I315" s="745"/>
      <c r="J315" s="745"/>
    </row>
    <row r="316" spans="1:10">
      <c r="A316" s="1032" t="str">
        <f>'MB ACCELO 815 '!A247</f>
        <v>MARÇO|20</v>
      </c>
      <c r="B316" s="918">
        <f>geral!S431</f>
        <v>24693.587499999998</v>
      </c>
      <c r="C316" s="918">
        <f t="shared" ref="C316" si="331">(B316/$B$8)*100</f>
        <v>456.15081454224367</v>
      </c>
      <c r="D316" s="1036">
        <f t="shared" ref="D316" si="332">100*((C316/C315)-1)</f>
        <v>0</v>
      </c>
      <c r="E316" s="1036">
        <f t="shared" si="324"/>
        <v>0</v>
      </c>
      <c r="F316" s="1037">
        <f t="shared" ref="F316" si="333">100*((C316/C304)-1)</f>
        <v>0</v>
      </c>
      <c r="G316" s="1038">
        <f t="shared" ref="G316" si="334">100*(C316/C292-1)</f>
        <v>4.9003188183542656</v>
      </c>
      <c r="H316" s="861">
        <f t="shared" si="134"/>
        <v>1.0297648124234682</v>
      </c>
      <c r="I316" s="745"/>
      <c r="J316" s="745"/>
    </row>
    <row r="317" spans="1:10">
      <c r="A317" s="1032" t="str">
        <f>'MB ACCELO 815 '!A248</f>
        <v>ABRIL|20</v>
      </c>
      <c r="B317" s="918">
        <f>geral!S432</f>
        <v>24693.587499999998</v>
      </c>
      <c r="C317" s="918">
        <f t="shared" ref="C317" si="335">(B317/$B$8)*100</f>
        <v>456.15081454224367</v>
      </c>
      <c r="D317" s="1036">
        <f t="shared" ref="D317" si="336">100*((C317/C316)-1)</f>
        <v>0</v>
      </c>
      <c r="E317" s="1036">
        <f t="shared" si="324"/>
        <v>0</v>
      </c>
      <c r="F317" s="1037">
        <f t="shared" ref="F317" si="337">100*((C317/C305)-1)</f>
        <v>0</v>
      </c>
      <c r="G317" s="1038">
        <f t="shared" ref="G317" si="338">100*(C317/C293-1)</f>
        <v>3.2770215871568587</v>
      </c>
      <c r="H317" s="861">
        <f t="shared" si="134"/>
        <v>1.0297648124234682</v>
      </c>
      <c r="I317" s="745"/>
      <c r="J317" s="745"/>
    </row>
    <row r="318" spans="1:10">
      <c r="A318" s="1032" t="str">
        <f>'MB ACCELO 815 '!A249</f>
        <v>MAIO|20</v>
      </c>
      <c r="B318" s="918">
        <f>geral!S433</f>
        <v>25428.587499999998</v>
      </c>
      <c r="C318" s="918">
        <f t="shared" ref="C318" si="339">(B318/$B$8)*100</f>
        <v>469.72805797390578</v>
      </c>
      <c r="D318" s="1036">
        <f t="shared" ref="D318" si="340">100*((C318/C317)-1)</f>
        <v>2.9764812423468179</v>
      </c>
      <c r="E318" s="1036">
        <f t="shared" si="324"/>
        <v>2.9764812423468179</v>
      </c>
      <c r="F318" s="1037">
        <f t="shared" ref="F318" si="341">100*((C318/C306)-1)</f>
        <v>2.9764812423468179</v>
      </c>
      <c r="G318" s="1038">
        <f t="shared" ref="G318" si="342">100*(C318/C294-1)</f>
        <v>6.3510427623530541</v>
      </c>
      <c r="H318" s="861">
        <f t="shared" si="134"/>
        <v>1</v>
      </c>
      <c r="I318" s="745"/>
      <c r="J318" s="745"/>
    </row>
    <row r="319" spans="1:10">
      <c r="A319" s="1032" t="str">
        <f>'MB ACCELO 815 '!A250</f>
        <v>JUNHO|20</v>
      </c>
      <c r="B319" s="918">
        <f>geral!S434</f>
        <v>25428.587499999998</v>
      </c>
      <c r="C319" s="918">
        <f t="shared" ref="C319" si="343">(B319/$B$8)*100</f>
        <v>469.72805797390578</v>
      </c>
      <c r="D319" s="1036">
        <f t="shared" ref="D319" si="344">100*((C319/C318)-1)</f>
        <v>0</v>
      </c>
      <c r="E319" s="1036">
        <f t="shared" si="324"/>
        <v>2.9764812423468179</v>
      </c>
      <c r="F319" s="1037">
        <f t="shared" ref="F319" si="345">100*((C319/C307)-1)</f>
        <v>2.9764812423468179</v>
      </c>
      <c r="G319" s="1038">
        <f t="shared" ref="G319" si="346">100*(C319/C295-1)</f>
        <v>6.3510427623530541</v>
      </c>
      <c r="H319" s="861">
        <f t="shared" si="134"/>
        <v>1</v>
      </c>
      <c r="I319" s="745"/>
      <c r="J319" s="745"/>
    </row>
    <row r="320" spans="1:10">
      <c r="A320" s="1032" t="str">
        <f>'MB ACCELO 815 '!A251</f>
        <v>JULHO|20</v>
      </c>
      <c r="B320" s="918">
        <f>geral!S435</f>
        <v>25428.587499999998</v>
      </c>
      <c r="C320" s="918">
        <f t="shared" ref="C320" si="347">(B320/$B$8)*100</f>
        <v>469.72805797390578</v>
      </c>
      <c r="D320" s="1036">
        <f t="shared" ref="D320" si="348">100*((C320/C319)-1)</f>
        <v>0</v>
      </c>
      <c r="E320" s="1036">
        <f t="shared" ref="E320" si="349">100*((C320/$C$313)-1)</f>
        <v>2.9764812423468179</v>
      </c>
      <c r="F320" s="1037">
        <f t="shared" ref="F320" si="350">100*((C320/C308)-1)</f>
        <v>2.9764812423468179</v>
      </c>
      <c r="G320" s="1038">
        <f t="shared" ref="G320" si="351">100*(C320/C296-1)</f>
        <v>6.3510427623530541</v>
      </c>
      <c r="H320" s="861">
        <f t="shared" si="134"/>
        <v>1</v>
      </c>
      <c r="I320" s="745"/>
      <c r="J320" s="745"/>
    </row>
    <row r="321" spans="1:10">
      <c r="A321" s="1032" t="str">
        <f>'MB ACCELO 815 '!A252</f>
        <v>AGOSTO|20</v>
      </c>
      <c r="B321" s="918">
        <f>geral!S436</f>
        <v>25428.587499999998</v>
      </c>
      <c r="C321" s="918">
        <f t="shared" ref="C321" si="352">(B321/$B$8)*100</f>
        <v>469.72805797390578</v>
      </c>
      <c r="D321" s="1036">
        <f t="shared" ref="D321" si="353">100*((C321/C320)-1)</f>
        <v>0</v>
      </c>
      <c r="E321" s="1036">
        <f t="shared" ref="E321" si="354">100*((C321/$C$313)-1)</f>
        <v>2.9764812423468179</v>
      </c>
      <c r="F321" s="1037">
        <f t="shared" ref="F321" si="355">100*((C321/C309)-1)</f>
        <v>2.9764812423468179</v>
      </c>
      <c r="G321" s="1038">
        <f t="shared" ref="G321" si="356">100*(C321/C297-1)</f>
        <v>6.3510427623530541</v>
      </c>
      <c r="H321" s="926">
        <f t="shared" si="134"/>
        <v>1</v>
      </c>
      <c r="I321" s="745"/>
      <c r="J321" s="745"/>
    </row>
    <row r="322" spans="1:10" ht="16.5" thickBot="1">
      <c r="A322" s="1046" t="str">
        <f>'MB ACCELO 815 '!A253</f>
        <v>SETEMBRO|20</v>
      </c>
      <c r="B322" s="1047">
        <f>geral!S437</f>
        <v>25428.587499999998</v>
      </c>
      <c r="C322" s="1047">
        <f t="shared" ref="C322" si="357">(B322/$B$8)*100</f>
        <v>469.72805797390578</v>
      </c>
      <c r="D322" s="1048">
        <f t="shared" ref="D322" si="358">100*((C322/C321)-1)</f>
        <v>0</v>
      </c>
      <c r="E322" s="1048">
        <f t="shared" ref="E322" si="359">100*((C322/$C$313)-1)</f>
        <v>2.9764812423468179</v>
      </c>
      <c r="F322" s="1051">
        <f t="shared" ref="F322" si="360">100*((C322/C310)-1)</f>
        <v>2.9764812423468179</v>
      </c>
      <c r="G322" s="1052">
        <f t="shared" ref="G322" si="361">100*(C322/C298-1)</f>
        <v>6.3510427623530541</v>
      </c>
      <c r="H322" s="1053">
        <f t="shared" si="134"/>
        <v>1</v>
      </c>
      <c r="I322" s="745"/>
      <c r="J322" s="745"/>
    </row>
    <row r="323" spans="1:10">
      <c r="A323" s="758" t="s">
        <v>238</v>
      </c>
      <c r="B323" s="730"/>
      <c r="C323" s="728"/>
      <c r="D323" s="728"/>
      <c r="E323" s="728"/>
      <c r="F323" s="728"/>
      <c r="G323" s="728"/>
      <c r="H323" s="777"/>
      <c r="I323" s="745"/>
      <c r="J323" s="745"/>
    </row>
    <row r="324" spans="1:10">
      <c r="A324" s="733"/>
      <c r="B324" s="819"/>
    </row>
  </sheetData>
  <mergeCells count="7">
    <mergeCell ref="C1:H3"/>
    <mergeCell ref="A7:B7"/>
    <mergeCell ref="A4:C4"/>
    <mergeCell ref="A5:C5"/>
    <mergeCell ref="D5:G5"/>
    <mergeCell ref="H5:H6"/>
    <mergeCell ref="D4:H4"/>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rowBreaks count="1" manualBreakCount="1">
    <brk id="322"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pageSetUpPr fitToPage="1"/>
  </sheetPr>
  <dimension ref="B1:K150"/>
  <sheetViews>
    <sheetView showGridLines="0" tabSelected="1" zoomScale="80" zoomScaleNormal="80" workbookViewId="0"/>
  </sheetViews>
  <sheetFormatPr defaultRowHeight="15.75"/>
  <cols>
    <col min="1" max="1" width="1.21875" style="1155" customWidth="1"/>
    <col min="2" max="2" width="37.109375" style="1155" customWidth="1"/>
    <col min="3" max="3" width="8.88671875" style="1155" customWidth="1"/>
    <col min="4" max="4" width="10.33203125" style="1155" customWidth="1"/>
    <col min="5" max="5" width="13.88671875" style="1155" customWidth="1"/>
    <col min="6" max="6" width="10.6640625" style="1155" customWidth="1"/>
    <col min="7" max="7" width="10.33203125" style="1155" customWidth="1"/>
    <col min="8" max="9" width="9.6640625" style="1155" customWidth="1"/>
    <col min="10" max="16384" width="8.88671875" style="1155"/>
  </cols>
  <sheetData>
    <row r="1" spans="2:11" ht="9.75" customHeight="1" thickBot="1"/>
    <row r="2" spans="2:11" ht="27" customHeight="1">
      <c r="B2" s="1156"/>
      <c r="C2" s="1413" t="s">
        <v>379</v>
      </c>
      <c r="D2" s="1414"/>
      <c r="E2" s="1414"/>
      <c r="F2" s="1414"/>
      <c r="G2" s="1414"/>
      <c r="H2" s="1409" t="s">
        <v>738</v>
      </c>
      <c r="I2" s="1410"/>
    </row>
    <row r="3" spans="2:11" ht="15" customHeight="1" thickBot="1">
      <c r="B3" s="1157"/>
      <c r="C3" s="1415"/>
      <c r="D3" s="1416"/>
      <c r="E3" s="1416"/>
      <c r="F3" s="1416"/>
      <c r="G3" s="1416"/>
      <c r="H3" s="1411"/>
      <c r="I3" s="1412"/>
    </row>
    <row r="4" spans="2:11" s="1164" customFormat="1" ht="72.75" customHeight="1" thickBot="1">
      <c r="B4" s="1158"/>
      <c r="C4" s="1159" t="s">
        <v>95</v>
      </c>
      <c r="D4" s="1160" t="s">
        <v>96</v>
      </c>
      <c r="E4" s="1161" t="s">
        <v>387</v>
      </c>
      <c r="F4" s="1161" t="s">
        <v>235</v>
      </c>
      <c r="G4" s="1161" t="s">
        <v>234</v>
      </c>
      <c r="H4" s="1161" t="s">
        <v>236</v>
      </c>
      <c r="I4" s="1162" t="s">
        <v>237</v>
      </c>
      <c r="J4" s="1163"/>
    </row>
    <row r="5" spans="2:11" ht="17.25" customHeight="1">
      <c r="B5" s="1165" t="s">
        <v>338</v>
      </c>
      <c r="C5" s="1166" t="s">
        <v>101</v>
      </c>
      <c r="D5" s="1167">
        <f>Diesel_S500!$C$322</f>
        <v>3.3739999999999997</v>
      </c>
      <c r="E5" s="1167">
        <f>+Diesel_S500!$D$322</f>
        <v>992.35294117647049</v>
      </c>
      <c r="F5" s="1167">
        <f>+Diesel_S500!$H$322</f>
        <v>-7.688098495212059</v>
      </c>
      <c r="G5" s="1167">
        <f>+Diesel_S500!$G$322</f>
        <v>-8.0653950953678777</v>
      </c>
      <c r="H5" s="1167">
        <f>+Diesel_S500!$F$322</f>
        <v>-10.050653159157575</v>
      </c>
      <c r="I5" s="1168">
        <f>+Diesel_S500!$E$322</f>
        <v>0</v>
      </c>
      <c r="J5" s="1169"/>
      <c r="K5" s="1170"/>
    </row>
    <row r="6" spans="2:11" ht="17.25" customHeight="1">
      <c r="B6" s="1171" t="s">
        <v>339</v>
      </c>
      <c r="C6" s="1172" t="s">
        <v>101</v>
      </c>
      <c r="D6" s="1173">
        <f>+Diesel_S10!$B$110</f>
        <v>3.4430000000000005</v>
      </c>
      <c r="E6" s="1174">
        <f>+Diesel_S10!$C$110</f>
        <v>164.79992341566151</v>
      </c>
      <c r="F6" s="1174">
        <f>+Diesel_S10!$G$110</f>
        <v>-7.743837084673066</v>
      </c>
      <c r="G6" s="1174">
        <f>+Diesel_S10!$F$110</f>
        <v>-8.1621765804214199</v>
      </c>
      <c r="H6" s="1174">
        <f>+Diesel_S10!$E$110</f>
        <v>-9.9162742019884611</v>
      </c>
      <c r="I6" s="1175">
        <f>+Diesel_S10!$D$110</f>
        <v>0</v>
      </c>
      <c r="J6" s="1169"/>
      <c r="K6" s="1170"/>
    </row>
    <row r="7" spans="2:11" ht="17.25" customHeight="1">
      <c r="B7" s="1171" t="s">
        <v>337</v>
      </c>
      <c r="C7" s="1172" t="s">
        <v>101</v>
      </c>
      <c r="D7" s="1174">
        <f>ARLA_32!B110</f>
        <v>1.823666666666667</v>
      </c>
      <c r="E7" s="1174">
        <f>ARLA_32!C110</f>
        <v>44.829564077351698</v>
      </c>
      <c r="F7" s="1174">
        <f>ARLA_32!G110</f>
        <v>1.8618506795754941</v>
      </c>
      <c r="G7" s="1174">
        <f>ARLA_32!F110</f>
        <v>1.8618506795754941</v>
      </c>
      <c r="H7" s="1174">
        <f>ARLA_32!E110</f>
        <v>1.8618506795754941</v>
      </c>
      <c r="I7" s="1175">
        <f>ARLA_32!D110</f>
        <v>0</v>
      </c>
      <c r="J7" s="1169"/>
      <c r="K7" s="1170"/>
    </row>
    <row r="8" spans="2:11">
      <c r="B8" s="1171" t="s">
        <v>87</v>
      </c>
      <c r="C8" s="1172" t="s">
        <v>101</v>
      </c>
      <c r="D8" s="1174">
        <f>+câmbio!$B$322</f>
        <v>24.985714285714288</v>
      </c>
      <c r="E8" s="1174">
        <f>+(câmbio!$C$322)</f>
        <v>581.06312292358814</v>
      </c>
      <c r="F8" s="1174">
        <f>+câmbio!$G$322</f>
        <v>10.34700315457413</v>
      </c>
      <c r="G8" s="1174">
        <f>+câmbio!$F$322</f>
        <v>7.6307692307692188</v>
      </c>
      <c r="H8" s="1174">
        <f>+câmbio!$E$322</f>
        <v>7.6307692307692188</v>
      </c>
      <c r="I8" s="1175">
        <f>+câmbio!$D$322</f>
        <v>0</v>
      </c>
      <c r="J8" s="1169"/>
    </row>
    <row r="9" spans="2:11">
      <c r="B9" s="1171" t="s">
        <v>88</v>
      </c>
      <c r="C9" s="1172" t="s">
        <v>101</v>
      </c>
      <c r="D9" s="1174">
        <f>+cárter!$B$322</f>
        <v>19.38571428571429</v>
      </c>
      <c r="E9" s="1174">
        <f>+(cárter!$C$322)</f>
        <v>901.6611295681065</v>
      </c>
      <c r="F9" s="1174">
        <f>+cárter!$G$322</f>
        <v>3.984674329501936</v>
      </c>
      <c r="G9" s="1174">
        <f>+cárter!$F$322</f>
        <v>1.6479400749063844</v>
      </c>
      <c r="H9" s="1174">
        <f>+cárter!$E$322</f>
        <v>1.6479400749063844</v>
      </c>
      <c r="I9" s="1175">
        <f>+cárter!$D$322</f>
        <v>0</v>
      </c>
      <c r="J9" s="1169"/>
    </row>
    <row r="10" spans="2:11">
      <c r="B10" s="1171" t="s">
        <v>89</v>
      </c>
      <c r="C10" s="1172" t="s">
        <v>102</v>
      </c>
      <c r="D10" s="1174">
        <f>+motrod!$B$322</f>
        <v>3558.0748404714263</v>
      </c>
      <c r="E10" s="1174">
        <f>+(motrod!$C$322)</f>
        <v>825.46279706556834</v>
      </c>
      <c r="F10" s="1174">
        <f>+motrod!$H$322</f>
        <v>5.0699999999999967</v>
      </c>
      <c r="G10" s="1174">
        <f>+motrod!$G$322</f>
        <v>0</v>
      </c>
      <c r="H10" s="1174">
        <f>+motrod!$F$322</f>
        <v>0</v>
      </c>
      <c r="I10" s="1175">
        <f>+motrod!$E$322</f>
        <v>0</v>
      </c>
      <c r="J10" s="1169"/>
    </row>
    <row r="11" spans="2:11">
      <c r="B11" s="1171" t="s">
        <v>115</v>
      </c>
      <c r="C11" s="1172" t="s">
        <v>103</v>
      </c>
      <c r="D11" s="1174">
        <f>+DAT!$B$323</f>
        <v>597.33567866732938</v>
      </c>
      <c r="E11" s="1174">
        <f>+DAT!$C$323</f>
        <v>1520.9171450632107</v>
      </c>
      <c r="F11" s="1174">
        <f>DAT!$G$323</f>
        <v>6.3821599458711686</v>
      </c>
      <c r="G11" s="1174">
        <f>+DAT!$F$323</f>
        <v>1.4256251171064216</v>
      </c>
      <c r="H11" s="1174">
        <f>+DAT!$E323</f>
        <v>1.2435673457594998</v>
      </c>
      <c r="I11" s="1175">
        <f>+DAT!$D$323</f>
        <v>0.26640222554064064</v>
      </c>
      <c r="J11" s="1169"/>
    </row>
    <row r="12" spans="2:11">
      <c r="B12" s="1171" t="s">
        <v>133</v>
      </c>
      <c r="C12" s="1172" t="s">
        <v>106</v>
      </c>
      <c r="D12" s="1174">
        <f>+cartru!$B$322</f>
        <v>25428.587499999998</v>
      </c>
      <c r="E12" s="1174">
        <f>+(cartru!$C$322)</f>
        <v>469.72805797390578</v>
      </c>
      <c r="F12" s="1176">
        <f>+cartru!$G$322</f>
        <v>6.3510427623530541</v>
      </c>
      <c r="G12" s="1174">
        <f>+cartru!$F$322</f>
        <v>2.9764812423468179</v>
      </c>
      <c r="H12" s="1174">
        <f>+cartru!$E$322</f>
        <v>2.9764812423468179</v>
      </c>
      <c r="I12" s="1175">
        <f>+cartru!$D$322</f>
        <v>0</v>
      </c>
      <c r="J12" s="1169"/>
    </row>
    <row r="13" spans="2:11">
      <c r="B13" s="1171" t="s">
        <v>104</v>
      </c>
      <c r="C13" s="1172" t="s">
        <v>106</v>
      </c>
      <c r="D13" s="1174">
        <f>+rodoartq!$B$322</f>
        <v>950.78535000000011</v>
      </c>
      <c r="E13" s="1174">
        <f>+(rodoartq!$C$322)</f>
        <v>138.66313003150159</v>
      </c>
      <c r="F13" s="1174">
        <f>+rodoartq!$G$322</f>
        <v>5.6545560617846657</v>
      </c>
      <c r="G13" s="1174">
        <f>+rodoartq!$F$322</f>
        <v>4.1500000000000092</v>
      </c>
      <c r="H13" s="1174">
        <f>+rodoartq!$E$322</f>
        <v>4.1500000000000092</v>
      </c>
      <c r="I13" s="1175">
        <f>+rodoartq!$D$322</f>
        <v>0</v>
      </c>
      <c r="J13" s="1169"/>
    </row>
    <row r="14" spans="2:11" ht="16.5" thickBot="1">
      <c r="B14" s="1177" t="s">
        <v>105</v>
      </c>
      <c r="C14" s="1178" t="s">
        <v>106</v>
      </c>
      <c r="D14" s="1179">
        <f>+Lavtq!$B$322</f>
        <v>336.01767877414437</v>
      </c>
      <c r="E14" s="1179">
        <f>+(Lavtq!$C$322)</f>
        <v>610.94123413480793</v>
      </c>
      <c r="F14" s="1179">
        <f>+Lavtq!$G$322</f>
        <v>8.2876294085600044</v>
      </c>
      <c r="G14" s="1179">
        <f>+Lavtq!$F$322</f>
        <v>3.4026799999999913</v>
      </c>
      <c r="H14" s="1179">
        <f>+Lavtq!$E$322</f>
        <v>3.4026799999999913</v>
      </c>
      <c r="I14" s="1180">
        <f>+Lavtq!$D$322</f>
        <v>3.4026799999999913</v>
      </c>
      <c r="J14" s="1169"/>
    </row>
    <row r="15" spans="2:11" ht="16.5" thickBot="1">
      <c r="B15" s="1169"/>
      <c r="C15" s="1181"/>
      <c r="D15" s="1181"/>
      <c r="E15" s="1181"/>
      <c r="F15" s="1181"/>
      <c r="G15" s="1181"/>
      <c r="H15" s="1181"/>
      <c r="I15" s="1181"/>
      <c r="J15" s="1169"/>
    </row>
    <row r="16" spans="2:11" ht="21.75" thickBot="1">
      <c r="B16" s="1182" t="s">
        <v>167</v>
      </c>
      <c r="C16" s="1183"/>
      <c r="D16" s="1183"/>
      <c r="E16" s="1183"/>
      <c r="F16" s="1183"/>
      <c r="G16" s="1183"/>
      <c r="H16" s="1184"/>
      <c r="I16" s="1185" t="str">
        <f>H2</f>
        <v>SETEMBRO|2020</v>
      </c>
      <c r="J16" s="1169"/>
    </row>
    <row r="17" spans="2:10" ht="16.5" thickBot="1">
      <c r="B17" s="1169"/>
      <c r="C17" s="1181"/>
      <c r="D17" s="1181"/>
      <c r="E17" s="1181"/>
      <c r="F17" s="1181"/>
      <c r="G17" s="1181"/>
      <c r="H17" s="1181"/>
      <c r="I17" s="1181"/>
      <c r="J17" s="1169"/>
    </row>
    <row r="18" spans="2:10" s="1164" customFormat="1" ht="74.25" customHeight="1" thickBot="1">
      <c r="B18" s="1186" t="s">
        <v>94</v>
      </c>
      <c r="C18" s="1187" t="s">
        <v>95</v>
      </c>
      <c r="D18" s="1187" t="s">
        <v>96</v>
      </c>
      <c r="E18" s="1187" t="s">
        <v>388</v>
      </c>
      <c r="F18" s="1187" t="s">
        <v>235</v>
      </c>
      <c r="G18" s="1187" t="s">
        <v>234</v>
      </c>
      <c r="H18" s="1187" t="s">
        <v>236</v>
      </c>
      <c r="I18" s="1188" t="s">
        <v>237</v>
      </c>
      <c r="J18" s="1163"/>
    </row>
    <row r="19" spans="2:10">
      <c r="B19" s="1165" t="s">
        <v>107</v>
      </c>
      <c r="C19" s="1166" t="s">
        <v>102</v>
      </c>
      <c r="D19" s="1167">
        <f>+moturb!$B$253</f>
        <v>3518.9038187690803</v>
      </c>
      <c r="E19" s="1167">
        <f>+(moturb!$C$253)-100</f>
        <v>357.87462021899995</v>
      </c>
      <c r="F19" s="1167">
        <f>+moturb!$H$253</f>
        <v>5.0699999999999967</v>
      </c>
      <c r="G19" s="1167">
        <f>+moturb!$G$253</f>
        <v>0</v>
      </c>
      <c r="H19" s="1167">
        <f>+moturb!$F$253</f>
        <v>0</v>
      </c>
      <c r="I19" s="1168">
        <f>+moturb!E$253</f>
        <v>0</v>
      </c>
      <c r="J19" s="1169"/>
    </row>
    <row r="20" spans="2:10">
      <c r="B20" s="1171" t="s">
        <v>116</v>
      </c>
      <c r="C20" s="1172" t="s">
        <v>102</v>
      </c>
      <c r="D20" s="1174">
        <f>+ajud!$B$253</f>
        <v>2415.2204993730784</v>
      </c>
      <c r="E20" s="1174">
        <f>+ajud!$C$253-100</f>
        <v>327.05693561543251</v>
      </c>
      <c r="F20" s="1174">
        <f>+ajud!$H$253</f>
        <v>5.0699999999999967</v>
      </c>
      <c r="G20" s="1174">
        <f>+ajud!$G$253</f>
        <v>0</v>
      </c>
      <c r="H20" s="1174">
        <f>+ajud!$F$253</f>
        <v>0</v>
      </c>
      <c r="I20" s="1175">
        <f>+ajud!E$253</f>
        <v>0</v>
      </c>
      <c r="J20" s="1169"/>
    </row>
    <row r="21" spans="2:10">
      <c r="B21" s="1252" t="s">
        <v>690</v>
      </c>
      <c r="C21" s="1172" t="s">
        <v>106</v>
      </c>
      <c r="D21" s="1174">
        <f>'MB ATEGO 2426'!B253</f>
        <v>303834</v>
      </c>
      <c r="E21" s="1174">
        <f>'MB ATEGO 2426'!$C$253-100</f>
        <v>273.21459280186707</v>
      </c>
      <c r="F21" s="1174">
        <f>'MB ATEGO 2426'!$G$253</f>
        <v>24.403845523928069</v>
      </c>
      <c r="G21" s="1174">
        <f>'MB ATEGO 2426'!F$253</f>
        <v>11.07073661122282</v>
      </c>
      <c r="H21" s="1174">
        <f>+'MB ATEGO 2426'!$E$253</f>
        <v>4.7266485363003596</v>
      </c>
      <c r="I21" s="1175">
        <f>+'MB ATEGO 2426'!$D253</f>
        <v>2.6071040207487739</v>
      </c>
      <c r="J21" s="1169"/>
    </row>
    <row r="22" spans="2:10">
      <c r="B22" s="1171" t="s">
        <v>330</v>
      </c>
      <c r="C22" s="1172" t="s">
        <v>106</v>
      </c>
      <c r="D22" s="1174">
        <f>'MB ACCELO 815 '!B253</f>
        <v>183436</v>
      </c>
      <c r="E22" s="1174">
        <f>('MB ACCELO 815 '!$C$253)-100</f>
        <v>351.25707257072571</v>
      </c>
      <c r="F22" s="1174">
        <f>'MB ACCELO 815 '!$G$253</f>
        <v>22.691458765299988</v>
      </c>
      <c r="G22" s="1174">
        <f>'MB ACCELO 815 '!$F$253</f>
        <v>10.810010813031212</v>
      </c>
      <c r="H22" s="1174">
        <f>'MB ACCELO 815 '!$E$253</f>
        <v>9.7748680446673397</v>
      </c>
      <c r="I22" s="1175">
        <f>'MB ACCELO 815 '!$D$253</f>
        <v>2.376979188177053</v>
      </c>
      <c r="J22" s="1169"/>
    </row>
    <row r="23" spans="2:10">
      <c r="B23" s="1171" t="s">
        <v>326</v>
      </c>
      <c r="C23" s="1172" t="s">
        <v>106</v>
      </c>
      <c r="D23" s="1174">
        <f>'Pn275'!$B$128</f>
        <v>2194.8460000000005</v>
      </c>
      <c r="E23" s="1174">
        <f>('Pn275'!$C$128)-128</f>
        <v>104.93521081319727</v>
      </c>
      <c r="F23" s="1174">
        <f>'Pn275'!$G$128</f>
        <v>10.557774142071953</v>
      </c>
      <c r="G23" s="1174">
        <f>'Pn275'!$F$128</f>
        <v>9.3683695445272654</v>
      </c>
      <c r="H23" s="1174">
        <f>'Pn275'!$E$128</f>
        <v>9.0402985578843733</v>
      </c>
      <c r="I23" s="1175">
        <f>'Pn275'!$D$128</f>
        <v>3.4603919232067515</v>
      </c>
    </row>
    <row r="24" spans="2:10">
      <c r="B24" s="1171" t="s">
        <v>327</v>
      </c>
      <c r="C24" s="1172" t="s">
        <v>106</v>
      </c>
      <c r="D24" s="1174">
        <f>'Pn215'!$B$128</f>
        <v>1087.2360000000001</v>
      </c>
      <c r="E24" s="1174">
        <f>('Pn215'!$C$128)-128</f>
        <v>-12.613523288787761</v>
      </c>
      <c r="F24" s="1174">
        <f>'Pn215'!$G$128</f>
        <v>3.5435245536309612</v>
      </c>
      <c r="G24" s="1174">
        <f>'Pn215'!$F$128</f>
        <v>4.8194931578430023</v>
      </c>
      <c r="H24" s="1174">
        <f>'Pn215'!$E$128</f>
        <v>1.0603925534565128</v>
      </c>
      <c r="I24" s="1175">
        <f>'Pn215'!$D$128</f>
        <v>-2.6996550927956053</v>
      </c>
    </row>
    <row r="25" spans="2:10">
      <c r="B25" s="1171" t="s">
        <v>328</v>
      </c>
      <c r="C25" s="1172" t="s">
        <v>106</v>
      </c>
      <c r="D25" s="1174">
        <f>'Pn205'!B124</f>
        <v>670.92000000000007</v>
      </c>
      <c r="E25" s="1174">
        <f>('Pn205'!$C$124)-124</f>
        <v>-9.0002571090656573</v>
      </c>
      <c r="F25" s="1174">
        <f>'Pn205'!$G$124</f>
        <v>15.650339235479072</v>
      </c>
      <c r="G25" s="1174">
        <f>'Pn205'!$F$124</f>
        <v>13.431866827620521</v>
      </c>
      <c r="H25" s="1174">
        <f>'Pn205'!$E$124</f>
        <v>10.686204313812198</v>
      </c>
      <c r="I25" s="1175">
        <f>'Pn205'!$D$124</f>
        <v>1.2504640570812908</v>
      </c>
      <c r="J25" s="1169"/>
    </row>
    <row r="26" spans="2:10">
      <c r="B26" s="1171" t="s">
        <v>108</v>
      </c>
      <c r="C26" s="1172" t="s">
        <v>106</v>
      </c>
      <c r="D26" s="1174">
        <f>+'Rec1000'!$B$253</f>
        <v>554.92427999999984</v>
      </c>
      <c r="E26" s="1174">
        <f>+('Rec1000'!$C$253)-100</f>
        <v>334.89363636363629</v>
      </c>
      <c r="F26" s="1174">
        <f>+'Rec1000'!$G$253</f>
        <v>9.9077599524657991</v>
      </c>
      <c r="G26" s="1174">
        <f>+'Rec1000'!$F$253</f>
        <v>5.7199999999999696</v>
      </c>
      <c r="H26" s="1174">
        <f>+'Rec1000'!$E$253</f>
        <v>5.7199999999999696</v>
      </c>
      <c r="I26" s="1175">
        <f>+'Rec1000'!$D$253</f>
        <v>0</v>
      </c>
      <c r="J26" s="1169"/>
    </row>
    <row r="27" spans="2:10">
      <c r="B27" s="1171" t="s">
        <v>109</v>
      </c>
      <c r="C27" s="1172" t="s">
        <v>106</v>
      </c>
      <c r="D27" s="1174">
        <f>'Rec750'!$B$253</f>
        <v>359.87087999999994</v>
      </c>
      <c r="E27" s="1174">
        <f>'Rec750'!$C$253-100</f>
        <v>366.33520798237652</v>
      </c>
      <c r="F27" s="1174">
        <f>'Rec750'!$G$253</f>
        <v>11.449637658717871</v>
      </c>
      <c r="G27" s="1174">
        <f>'Rec750'!$F$253</f>
        <v>5.7199999999999918</v>
      </c>
      <c r="H27" s="1174">
        <f>'Rec750'!$E$253</f>
        <v>5.7199999999999918</v>
      </c>
      <c r="I27" s="1175">
        <f>'Rec750'!$D$253</f>
        <v>0</v>
      </c>
      <c r="J27" s="1169"/>
    </row>
    <row r="28" spans="2:10">
      <c r="B28" s="1171" t="s">
        <v>90</v>
      </c>
      <c r="C28" s="1172" t="s">
        <v>106</v>
      </c>
      <c r="D28" s="1174">
        <f>+Lavlv!$B$253</f>
        <v>244.05394132888949</v>
      </c>
      <c r="E28" s="1174">
        <f>+(Lavlv!$C$253)-100</f>
        <v>300.08842840801555</v>
      </c>
      <c r="F28" s="1174">
        <f>+Lavlv!$G$253</f>
        <v>8.2876294085600044</v>
      </c>
      <c r="G28" s="1174">
        <f>+Lavlv!$F$253</f>
        <v>3.4026799999999913</v>
      </c>
      <c r="H28" s="1174">
        <f>+Lavlv!$E$253</f>
        <v>3.4026799999999913</v>
      </c>
      <c r="I28" s="1175">
        <f>+Lavlv!$D$253</f>
        <v>3.4026799999999913</v>
      </c>
      <c r="J28" s="1169"/>
    </row>
    <row r="29" spans="2:10">
      <c r="B29" s="1189" t="s">
        <v>689</v>
      </c>
      <c r="C29" s="1172" t="s">
        <v>106</v>
      </c>
      <c r="D29" s="1174">
        <f>+'Seg_ATEGO 2426'!$B$253</f>
        <v>3119.3480278685379</v>
      </c>
      <c r="E29" s="1174">
        <f>+('Seg_ATEGO 2426'!$C$253)-100</f>
        <v>378.98593880421015</v>
      </c>
      <c r="F29" s="1174">
        <f>+'Seg_ATEGO 2426'!$G$253</f>
        <v>22.539428638851078</v>
      </c>
      <c r="G29" s="1174">
        <f>+'Seg_ATEGO 2426'!$F$253</f>
        <v>10.299021976296462</v>
      </c>
      <c r="H29" s="1174">
        <f>+'Seg_ATEGO 2426'!$E$253</f>
        <v>4.5668920389946077</v>
      </c>
      <c r="I29" s="1175">
        <f>+'Seg_ATEGO 2426'!D$253</f>
        <v>2.3702408183382095</v>
      </c>
      <c r="J29" s="1169"/>
    </row>
    <row r="30" spans="2:10">
      <c r="B30" s="1171" t="s">
        <v>331</v>
      </c>
      <c r="C30" s="1172" t="s">
        <v>106</v>
      </c>
      <c r="D30" s="1174">
        <f>+'Seg_ACCELO 815'!$B$253</f>
        <v>1145.3326277331078</v>
      </c>
      <c r="E30" s="1174">
        <f>+('Seg_ACCELO 815'!$C$253)-100</f>
        <v>310.98486713546282</v>
      </c>
      <c r="F30" s="1174">
        <f>+'Seg_ACCELO 815'!$G$253</f>
        <v>21.071882618166061</v>
      </c>
      <c r="G30" s="1174">
        <f>+'Seg_ACCELO 815'!$F$253</f>
        <v>10.183798279164492</v>
      </c>
      <c r="H30" s="1174">
        <f>+'Seg_ACCELO 815'!$E$253</f>
        <v>9.2488987833144964</v>
      </c>
      <c r="I30" s="1175">
        <f>+'Seg_ACCELO 815'!$D$253</f>
        <v>2.1648935270674574</v>
      </c>
      <c r="J30" s="1169"/>
    </row>
    <row r="31" spans="2:10">
      <c r="B31" s="1171" t="s">
        <v>329</v>
      </c>
      <c r="C31" s="1172" t="s">
        <v>177</v>
      </c>
      <c r="D31" s="1173">
        <f>'mnt_Atego 2426'!$B$202</f>
        <v>0.30243174582180021</v>
      </c>
      <c r="E31" s="1174">
        <f>'mnt_Atego 2426'!$C$202-100</f>
        <v>116.02267558700012</v>
      </c>
      <c r="F31" s="1174">
        <f>'mnt_Atego 2426'!$G$202</f>
        <v>6.5874435880137305</v>
      </c>
      <c r="G31" s="1174">
        <f>+'mnt_Atego 2426'!$F$202</f>
        <v>3.1986238706509518</v>
      </c>
      <c r="H31" s="1174">
        <f>'mnt_Atego 2426'!$E$202</f>
        <v>2.6546611382882723</v>
      </c>
      <c r="I31" s="1175">
        <f>'mnt_Atego 2426'!$D$202</f>
        <v>0.36006320219599264</v>
      </c>
      <c r="J31" s="1169"/>
    </row>
    <row r="32" spans="2:10">
      <c r="B32" s="1171" t="s">
        <v>332</v>
      </c>
      <c r="C32" s="1172" t="s">
        <v>177</v>
      </c>
      <c r="D32" s="1173">
        <f>'mnt_ACCELO 815'!$B$202</f>
        <v>0.25541922954936919</v>
      </c>
      <c r="E32" s="1174">
        <f>'mnt_ACCELO 815'!$C$202-100</f>
        <v>112.84935795780765</v>
      </c>
      <c r="F32" s="1174">
        <f>'mnt_ACCELO 815'!$G$202</f>
        <v>5.9847165300164429</v>
      </c>
      <c r="G32" s="1174">
        <f>+'mnt_ACCELO 815'!$F$202</f>
        <v>2.9405669026130399</v>
      </c>
      <c r="H32" s="1174">
        <f>+'mnt_ACCELO 815'!$E$202</f>
        <v>2.3979643954953778</v>
      </c>
      <c r="I32" s="1175">
        <f>+'mnt_ACCELO 815'!$D$202</f>
        <v>0.36006320219599264</v>
      </c>
      <c r="J32" s="1169"/>
    </row>
    <row r="33" spans="2:10" ht="16.5" thickBot="1">
      <c r="B33" s="1177" t="s">
        <v>183</v>
      </c>
      <c r="C33" s="1178" t="s">
        <v>76</v>
      </c>
      <c r="D33" s="1179">
        <f>carlev!$B$253</f>
        <v>14299.742708333331</v>
      </c>
      <c r="E33" s="1179">
        <f>carlev!$C$253-100</f>
        <v>249.79801145629477</v>
      </c>
      <c r="F33" s="1179">
        <f>carlev!$G$253</f>
        <v>6.8360992545687838</v>
      </c>
      <c r="G33" s="1179">
        <f>carlev!$F$253</f>
        <v>4.2846419537510894</v>
      </c>
      <c r="H33" s="1179">
        <f>carlev!$E$253</f>
        <v>4.2846419537510894</v>
      </c>
      <c r="I33" s="1180">
        <f>carlev!$D$253</f>
        <v>0</v>
      </c>
      <c r="J33" s="1169"/>
    </row>
    <row r="34" spans="2:10">
      <c r="B34" s="1190" t="s">
        <v>247</v>
      </c>
      <c r="C34" s="1181"/>
      <c r="D34" s="1181"/>
      <c r="E34" s="1181"/>
      <c r="F34" s="1181"/>
      <c r="G34" s="1181"/>
      <c r="H34" s="1181"/>
      <c r="I34" s="1181"/>
      <c r="J34" s="1169"/>
    </row>
    <row r="35" spans="2:10" hidden="1">
      <c r="B35" s="1191" t="s">
        <v>700</v>
      </c>
      <c r="C35" s="1181"/>
      <c r="D35" s="1181"/>
      <c r="E35" s="1181"/>
      <c r="F35" s="1181"/>
      <c r="G35" s="1181"/>
      <c r="H35" s="1181"/>
      <c r="I35" s="1181"/>
      <c r="J35" s="1169"/>
    </row>
    <row r="36" spans="2:10" hidden="1">
      <c r="B36" s="1192"/>
      <c r="C36" s="1181"/>
      <c r="D36" s="1181"/>
      <c r="E36" s="1181"/>
      <c r="F36" s="1181"/>
      <c r="G36" s="1181"/>
      <c r="H36" s="1181"/>
      <c r="I36" s="1181"/>
      <c r="J36" s="1169"/>
    </row>
    <row r="37" spans="2:10" hidden="1">
      <c r="B37" s="1193" t="s">
        <v>94</v>
      </c>
      <c r="C37" s="1194" t="s">
        <v>95</v>
      </c>
      <c r="D37" s="1194" t="s">
        <v>96</v>
      </c>
      <c r="E37" s="1194" t="s">
        <v>100</v>
      </c>
      <c r="F37" s="1194" t="s">
        <v>161</v>
      </c>
      <c r="G37" s="1194" t="s">
        <v>97</v>
      </c>
      <c r="H37" s="1194" t="s">
        <v>98</v>
      </c>
      <c r="I37" s="1194" t="s">
        <v>99</v>
      </c>
      <c r="J37" s="1169"/>
    </row>
    <row r="38" spans="2:10" hidden="1">
      <c r="B38" s="1195" t="s">
        <v>701</v>
      </c>
      <c r="C38" s="1196" t="s">
        <v>106</v>
      </c>
      <c r="D38" s="1197">
        <f>+'MB12(13)18'!B73</f>
        <v>0</v>
      </c>
      <c r="E38" s="1198">
        <f>+('MB12(13)18'!C70)</f>
        <v>118.71487617182812</v>
      </c>
      <c r="F38" s="1198">
        <f>+'MB12(13)18'!$G$73</f>
        <v>-100</v>
      </c>
      <c r="G38" s="1198">
        <f>+'MB12(13)18'!$F$73</f>
        <v>-100</v>
      </c>
      <c r="H38" s="1198">
        <f>+'MB12(13)18'!$E$73</f>
        <v>-100</v>
      </c>
      <c r="I38" s="1198" t="e">
        <f>+'MB12(13)18'!$D$73</f>
        <v>#DIV/0!</v>
      </c>
      <c r="J38" s="1169"/>
    </row>
    <row r="39" spans="2:10" hidden="1">
      <c r="B39" s="1195" t="s">
        <v>110</v>
      </c>
      <c r="C39" s="1196" t="s">
        <v>106</v>
      </c>
      <c r="D39" s="1198">
        <f>+'Pn900'!B73</f>
        <v>391.67</v>
      </c>
      <c r="E39" s="1198">
        <f>+('Pn900'!C70)</f>
        <v>144.59180223165646</v>
      </c>
      <c r="F39" s="1198">
        <f>'Pn900'!$G$73</f>
        <v>25.134185303514389</v>
      </c>
      <c r="G39" s="1198">
        <f>'Pn900'!$F$73</f>
        <v>10.11555005763447</v>
      </c>
      <c r="H39" s="1198">
        <f>+'Pn900'!$E$73</f>
        <v>1.7694746141454054</v>
      </c>
      <c r="I39" s="1198">
        <f>+'Pn900'!$D$73</f>
        <v>2.2637075718015653</v>
      </c>
      <c r="J39" s="1169"/>
    </row>
    <row r="40" spans="2:10" hidden="1">
      <c r="B40" s="1195" t="s">
        <v>111</v>
      </c>
      <c r="C40" s="1196" t="s">
        <v>106</v>
      </c>
      <c r="D40" s="1198">
        <f>+camara900!B73</f>
        <v>29.22</v>
      </c>
      <c r="E40" s="1198">
        <f>+(camara900!C70)</f>
        <v>118.40796019900498</v>
      </c>
      <c r="F40" s="1198">
        <f>+camara900!$G$73</f>
        <v>19.314005716619032</v>
      </c>
      <c r="G40" s="1198">
        <f>+camara900!$F$73</f>
        <v>6.4093226511289014</v>
      </c>
      <c r="H40" s="1198">
        <f>+camara900!$E$72</f>
        <v>-0.21008403361344463</v>
      </c>
      <c r="I40" s="1198">
        <f>+camara900!$D$73</f>
        <v>2.5263157894736876</v>
      </c>
      <c r="J40" s="1169"/>
    </row>
    <row r="41" spans="2:10" hidden="1">
      <c r="B41" s="1195" t="s">
        <v>112</v>
      </c>
      <c r="C41" s="1196" t="s">
        <v>106</v>
      </c>
      <c r="D41" s="1198">
        <f>+Prot900!B73</f>
        <v>18.64</v>
      </c>
      <c r="E41" s="1198">
        <f>+(Prot900!C70)</f>
        <v>111.45833333333333</v>
      </c>
      <c r="F41" s="1198">
        <f>+Prot900!$G$73</f>
        <v>28.109965635738821</v>
      </c>
      <c r="G41" s="1198">
        <f>+Prot900!$F$73</f>
        <v>19.334186939820764</v>
      </c>
      <c r="H41" s="1198">
        <f>+Prot900!$E$73</f>
        <v>16.137071651090352</v>
      </c>
      <c r="I41" s="1198">
        <f>+Prot900!$D$73</f>
        <v>24.84929671801741</v>
      </c>
      <c r="J41" s="1169"/>
    </row>
    <row r="42" spans="2:10" hidden="1">
      <c r="B42" s="1195" t="s">
        <v>113</v>
      </c>
      <c r="C42" s="1196" t="s">
        <v>106</v>
      </c>
      <c r="D42" s="1198">
        <f>+'Rec900'!B73</f>
        <v>119.93</v>
      </c>
      <c r="E42" s="1198">
        <f>+('Rec900'!C70)</f>
        <v>130.75394506136763</v>
      </c>
      <c r="F42" s="1198">
        <f>+'Rec900'!$G$73</f>
        <v>32.066952978746841</v>
      </c>
      <c r="G42" s="1198">
        <f>+'Rec900'!$F$73</f>
        <v>6.1327433628318717</v>
      </c>
      <c r="H42" s="1198">
        <f>+'Rec900'!$E$73</f>
        <v>7.2143751117468291</v>
      </c>
      <c r="I42" s="1198">
        <f>+'Rec900'!$D$73</f>
        <v>1.2067510548523286</v>
      </c>
      <c r="J42" s="1169"/>
    </row>
    <row r="43" spans="2:10">
      <c r="B43" s="1199" t="s">
        <v>691</v>
      </c>
      <c r="C43" s="1181"/>
      <c r="D43" s="1181"/>
      <c r="E43" s="1181"/>
      <c r="F43" s="1181"/>
      <c r="G43" s="1181"/>
      <c r="H43" s="1181"/>
      <c r="I43" s="1181"/>
      <c r="J43" s="1169"/>
    </row>
    <row r="44" spans="2:10" s="1170" customFormat="1">
      <c r="B44" s="1200"/>
      <c r="C44" s="1201"/>
      <c r="D44" s="1201"/>
      <c r="E44" s="1201"/>
      <c r="F44" s="1201"/>
      <c r="G44" s="1201"/>
      <c r="H44" s="1201"/>
      <c r="I44" s="1201"/>
    </row>
    <row r="45" spans="2:10" s="1170" customFormat="1">
      <c r="B45" s="1202"/>
      <c r="C45" s="1201"/>
      <c r="D45" s="1201"/>
      <c r="E45" s="1201"/>
      <c r="F45" s="1201"/>
      <c r="G45" s="1201"/>
      <c r="H45" s="1201"/>
      <c r="I45" s="1201"/>
    </row>
    <row r="46" spans="2:10" s="1170" customFormat="1">
      <c r="B46" s="1203"/>
      <c r="C46" s="1201"/>
      <c r="D46" s="1201"/>
      <c r="E46" s="1201"/>
      <c r="F46" s="1201"/>
      <c r="G46" s="1201"/>
      <c r="H46" s="1201"/>
      <c r="I46" s="1201"/>
    </row>
    <row r="47" spans="2:10" s="1170" customFormat="1">
      <c r="B47" s="1203"/>
      <c r="C47" s="1201"/>
      <c r="D47" s="1201"/>
      <c r="E47" s="1201"/>
      <c r="F47" s="1201"/>
      <c r="G47" s="1201"/>
      <c r="H47" s="1201"/>
      <c r="I47" s="1201"/>
    </row>
    <row r="48" spans="2:10">
      <c r="B48" s="1169"/>
      <c r="C48" s="1181"/>
      <c r="D48" s="1181"/>
      <c r="E48" s="1181"/>
      <c r="F48" s="1181"/>
      <c r="G48" s="1181"/>
      <c r="H48" s="1181"/>
      <c r="I48" s="1181"/>
      <c r="J48" s="1169"/>
    </row>
    <row r="49" spans="2:10">
      <c r="B49" s="1169"/>
      <c r="C49" s="1181"/>
      <c r="D49" s="1181"/>
      <c r="E49" s="1181"/>
      <c r="F49" s="1181"/>
      <c r="G49" s="1181"/>
      <c r="H49" s="1181"/>
      <c r="I49" s="1181"/>
      <c r="J49" s="1169"/>
    </row>
    <row r="50" spans="2:10">
      <c r="B50" s="1169"/>
      <c r="C50" s="1181"/>
      <c r="D50" s="1181"/>
      <c r="E50" s="1181"/>
      <c r="F50" s="1181"/>
      <c r="G50" s="1181"/>
      <c r="H50" s="1181"/>
      <c r="I50" s="1181"/>
      <c r="J50" s="1169"/>
    </row>
    <row r="51" spans="2:10">
      <c r="B51" s="1169"/>
      <c r="C51" s="1181"/>
      <c r="D51" s="1181"/>
      <c r="E51" s="1181"/>
      <c r="F51" s="1181"/>
      <c r="G51" s="1181"/>
      <c r="H51" s="1181"/>
      <c r="I51" s="1181"/>
      <c r="J51" s="1169"/>
    </row>
    <row r="52" spans="2:10">
      <c r="B52" s="1169"/>
      <c r="C52" s="1181"/>
      <c r="D52" s="1181"/>
      <c r="E52" s="1181"/>
      <c r="F52" s="1181"/>
      <c r="G52" s="1181"/>
      <c r="H52" s="1181"/>
      <c r="I52" s="1181"/>
      <c r="J52" s="1169"/>
    </row>
    <row r="53" spans="2:10">
      <c r="B53" s="1169"/>
      <c r="C53" s="1181"/>
      <c r="D53" s="1181"/>
      <c r="E53" s="1181"/>
      <c r="F53" s="1181"/>
      <c r="G53" s="1181"/>
      <c r="H53" s="1181"/>
      <c r="I53" s="1181"/>
      <c r="J53" s="1169"/>
    </row>
    <row r="54" spans="2:10">
      <c r="B54" s="1169"/>
      <c r="C54" s="1181"/>
      <c r="D54" s="1181"/>
      <c r="E54" s="1181"/>
      <c r="F54" s="1181"/>
      <c r="G54" s="1181"/>
      <c r="H54" s="1181"/>
      <c r="I54" s="1181"/>
      <c r="J54" s="1169"/>
    </row>
    <row r="55" spans="2:10">
      <c r="B55" s="1169"/>
      <c r="C55" s="1181"/>
      <c r="D55" s="1181"/>
      <c r="E55" s="1181"/>
      <c r="F55" s="1181"/>
      <c r="G55" s="1181"/>
      <c r="H55" s="1181"/>
      <c r="I55" s="1181"/>
      <c r="J55" s="1169"/>
    </row>
    <row r="56" spans="2:10">
      <c r="B56" s="1169"/>
      <c r="C56" s="1181"/>
      <c r="D56" s="1181"/>
      <c r="E56" s="1181"/>
      <c r="F56" s="1181"/>
      <c r="G56" s="1181"/>
      <c r="H56" s="1181"/>
      <c r="I56" s="1181"/>
      <c r="J56" s="1169"/>
    </row>
    <row r="57" spans="2:10">
      <c r="B57" s="1169"/>
      <c r="C57" s="1181"/>
      <c r="D57" s="1181"/>
      <c r="E57" s="1181"/>
      <c r="F57" s="1181"/>
      <c r="G57" s="1181"/>
      <c r="H57" s="1181"/>
      <c r="I57" s="1181"/>
      <c r="J57" s="1169"/>
    </row>
    <row r="58" spans="2:10">
      <c r="B58" s="1169"/>
      <c r="C58" s="1181"/>
      <c r="D58" s="1181"/>
      <c r="E58" s="1181"/>
      <c r="F58" s="1181"/>
      <c r="G58" s="1181"/>
      <c r="H58" s="1181"/>
      <c r="I58" s="1181"/>
      <c r="J58" s="1169"/>
    </row>
    <row r="59" spans="2:10">
      <c r="B59" s="1169"/>
      <c r="C59" s="1181"/>
      <c r="D59" s="1181"/>
      <c r="E59" s="1181"/>
      <c r="F59" s="1181"/>
      <c r="G59" s="1181"/>
      <c r="H59" s="1181"/>
      <c r="I59" s="1181"/>
      <c r="J59" s="1169"/>
    </row>
    <row r="60" spans="2:10">
      <c r="B60" s="1169"/>
      <c r="C60" s="1181"/>
      <c r="D60" s="1181"/>
      <c r="E60" s="1181"/>
      <c r="F60" s="1181"/>
      <c r="G60" s="1181"/>
      <c r="H60" s="1181"/>
      <c r="I60" s="1181"/>
      <c r="J60" s="1169"/>
    </row>
    <row r="61" spans="2:10">
      <c r="B61" s="1169"/>
      <c r="C61" s="1181"/>
      <c r="D61" s="1181"/>
      <c r="E61" s="1181"/>
      <c r="F61" s="1181"/>
      <c r="G61" s="1181"/>
      <c r="H61" s="1181"/>
      <c r="I61" s="1181"/>
      <c r="J61" s="1169"/>
    </row>
    <row r="62" spans="2:10">
      <c r="B62" s="1169"/>
      <c r="C62" s="1181"/>
      <c r="D62" s="1181"/>
      <c r="E62" s="1181"/>
      <c r="F62" s="1181"/>
      <c r="G62" s="1181"/>
      <c r="H62" s="1181"/>
      <c r="I62" s="1181"/>
      <c r="J62" s="1169"/>
    </row>
    <row r="63" spans="2:10">
      <c r="B63" s="1169"/>
      <c r="C63" s="1181"/>
      <c r="D63" s="1181"/>
      <c r="E63" s="1181"/>
      <c r="F63" s="1181"/>
      <c r="G63" s="1181"/>
      <c r="H63" s="1181"/>
      <c r="I63" s="1181"/>
      <c r="J63" s="1169"/>
    </row>
    <row r="64" spans="2:10">
      <c r="B64" s="1169"/>
      <c r="C64" s="1181"/>
      <c r="D64" s="1181"/>
      <c r="E64" s="1181"/>
      <c r="F64" s="1181"/>
      <c r="G64" s="1181"/>
      <c r="H64" s="1181"/>
      <c r="I64" s="1181"/>
      <c r="J64" s="1169"/>
    </row>
    <row r="65" spans="2:10">
      <c r="B65" s="1169"/>
      <c r="C65" s="1181"/>
      <c r="D65" s="1181"/>
      <c r="E65" s="1181"/>
      <c r="F65" s="1181"/>
      <c r="G65" s="1181"/>
      <c r="H65" s="1181"/>
      <c r="I65" s="1181"/>
      <c r="J65" s="1169"/>
    </row>
    <row r="66" spans="2:10">
      <c r="B66" s="1169"/>
      <c r="C66" s="1169"/>
      <c r="D66" s="1169"/>
      <c r="E66" s="1169"/>
      <c r="F66" s="1169"/>
      <c r="G66" s="1169"/>
      <c r="H66" s="1169"/>
      <c r="I66" s="1169"/>
      <c r="J66" s="1169"/>
    </row>
    <row r="67" spans="2:10">
      <c r="B67" s="1169"/>
      <c r="C67" s="1169"/>
      <c r="D67" s="1169"/>
      <c r="E67" s="1169"/>
      <c r="F67" s="1169"/>
      <c r="G67" s="1169"/>
      <c r="H67" s="1169"/>
      <c r="I67" s="1169"/>
      <c r="J67" s="1169"/>
    </row>
    <row r="68" spans="2:10">
      <c r="B68" s="1169"/>
      <c r="C68" s="1169"/>
      <c r="D68" s="1169"/>
      <c r="E68" s="1169"/>
      <c r="F68" s="1169"/>
      <c r="G68" s="1169"/>
      <c r="H68" s="1169"/>
      <c r="I68" s="1169"/>
      <c r="J68" s="1169"/>
    </row>
    <row r="69" spans="2:10">
      <c r="B69" s="1169"/>
      <c r="C69" s="1169"/>
      <c r="D69" s="1169"/>
      <c r="E69" s="1169"/>
      <c r="F69" s="1169"/>
      <c r="G69" s="1169"/>
      <c r="H69" s="1169"/>
      <c r="I69" s="1169"/>
      <c r="J69" s="1169"/>
    </row>
    <row r="70" spans="2:10">
      <c r="B70" s="1169"/>
      <c r="C70" s="1169"/>
      <c r="D70" s="1169"/>
      <c r="E70" s="1169"/>
      <c r="F70" s="1169"/>
      <c r="G70" s="1169"/>
      <c r="H70" s="1169"/>
      <c r="I70" s="1169"/>
      <c r="J70" s="1169"/>
    </row>
    <row r="71" spans="2:10">
      <c r="B71" s="1169"/>
      <c r="C71" s="1169"/>
      <c r="D71" s="1169"/>
      <c r="E71" s="1169"/>
      <c r="F71" s="1169"/>
      <c r="G71" s="1169"/>
      <c r="H71" s="1169"/>
      <c r="I71" s="1169"/>
      <c r="J71" s="1169"/>
    </row>
    <row r="72" spans="2:10">
      <c r="B72" s="1169"/>
      <c r="C72" s="1169"/>
      <c r="D72" s="1169"/>
      <c r="E72" s="1169"/>
      <c r="F72" s="1169"/>
      <c r="G72" s="1169"/>
      <c r="H72" s="1169"/>
      <c r="I72" s="1169"/>
      <c r="J72" s="1169"/>
    </row>
    <row r="73" spans="2:10">
      <c r="B73" s="1169"/>
      <c r="C73" s="1169"/>
      <c r="D73" s="1169"/>
      <c r="E73" s="1169"/>
      <c r="F73" s="1169"/>
      <c r="G73" s="1169"/>
      <c r="H73" s="1169"/>
      <c r="I73" s="1169"/>
      <c r="J73" s="1169"/>
    </row>
    <row r="74" spans="2:10">
      <c r="B74" s="1169"/>
      <c r="C74" s="1169"/>
      <c r="D74" s="1169"/>
      <c r="E74" s="1169"/>
      <c r="F74" s="1169"/>
      <c r="G74" s="1169"/>
      <c r="H74" s="1169"/>
      <c r="I74" s="1169"/>
      <c r="J74" s="1169"/>
    </row>
    <row r="75" spans="2:10">
      <c r="B75" s="1169"/>
      <c r="C75" s="1169"/>
      <c r="D75" s="1169"/>
      <c r="E75" s="1169"/>
      <c r="F75" s="1169"/>
      <c r="G75" s="1169"/>
      <c r="H75" s="1169"/>
      <c r="I75" s="1169"/>
      <c r="J75" s="1169"/>
    </row>
    <row r="76" spans="2:10">
      <c r="B76" s="1169"/>
      <c r="C76" s="1169"/>
      <c r="D76" s="1169"/>
      <c r="E76" s="1169"/>
      <c r="F76" s="1169"/>
      <c r="G76" s="1169"/>
      <c r="H76" s="1169"/>
      <c r="I76" s="1169"/>
      <c r="J76" s="1169"/>
    </row>
    <row r="77" spans="2:10">
      <c r="B77" s="1169"/>
      <c r="C77" s="1169"/>
      <c r="D77" s="1169"/>
      <c r="E77" s="1169"/>
      <c r="F77" s="1169"/>
      <c r="G77" s="1169"/>
      <c r="H77" s="1169"/>
      <c r="I77" s="1169"/>
      <c r="J77" s="1169"/>
    </row>
    <row r="78" spans="2:10">
      <c r="B78" s="1169"/>
      <c r="C78" s="1169"/>
      <c r="D78" s="1169"/>
      <c r="E78" s="1169"/>
      <c r="F78" s="1169"/>
      <c r="G78" s="1169"/>
      <c r="H78" s="1169"/>
      <c r="I78" s="1169"/>
      <c r="J78" s="1169"/>
    </row>
    <row r="79" spans="2:10">
      <c r="B79" s="1169"/>
      <c r="C79" s="1169"/>
      <c r="D79" s="1169"/>
      <c r="E79" s="1169"/>
      <c r="F79" s="1169"/>
      <c r="G79" s="1169"/>
      <c r="H79" s="1169"/>
      <c r="I79" s="1169"/>
      <c r="J79" s="1169"/>
    </row>
    <row r="80" spans="2:10">
      <c r="B80" s="1169"/>
      <c r="C80" s="1169"/>
      <c r="D80" s="1169"/>
      <c r="E80" s="1169"/>
      <c r="F80" s="1169"/>
      <c r="G80" s="1169"/>
      <c r="H80" s="1169"/>
      <c r="I80" s="1169"/>
      <c r="J80" s="1169"/>
    </row>
    <row r="81" spans="2:10">
      <c r="B81" s="1169"/>
      <c r="C81" s="1169"/>
      <c r="D81" s="1169"/>
      <c r="E81" s="1169"/>
      <c r="F81" s="1169"/>
      <c r="G81" s="1169"/>
      <c r="H81" s="1169"/>
      <c r="I81" s="1169"/>
      <c r="J81" s="1169"/>
    </row>
    <row r="82" spans="2:10">
      <c r="B82" s="1169"/>
      <c r="C82" s="1169"/>
      <c r="D82" s="1169"/>
      <c r="E82" s="1169"/>
      <c r="F82" s="1169"/>
      <c r="G82" s="1169"/>
      <c r="H82" s="1169"/>
      <c r="I82" s="1169"/>
      <c r="J82" s="1169"/>
    </row>
    <row r="83" spans="2:10">
      <c r="B83" s="1169"/>
      <c r="C83" s="1169"/>
      <c r="D83" s="1169"/>
      <c r="E83" s="1169"/>
      <c r="F83" s="1169"/>
      <c r="G83" s="1169"/>
      <c r="H83" s="1169"/>
      <c r="I83" s="1169"/>
      <c r="J83" s="1169"/>
    </row>
    <row r="84" spans="2:10">
      <c r="B84" s="1169"/>
      <c r="C84" s="1169"/>
      <c r="D84" s="1169"/>
      <c r="E84" s="1169"/>
      <c r="F84" s="1169"/>
      <c r="G84" s="1169"/>
      <c r="H84" s="1169"/>
      <c r="I84" s="1169"/>
      <c r="J84" s="1169"/>
    </row>
    <row r="85" spans="2:10">
      <c r="B85" s="1169"/>
      <c r="C85" s="1169"/>
      <c r="D85" s="1169"/>
      <c r="E85" s="1169"/>
      <c r="F85" s="1169"/>
      <c r="G85" s="1169"/>
      <c r="H85" s="1169"/>
      <c r="I85" s="1169"/>
      <c r="J85" s="1169"/>
    </row>
    <row r="86" spans="2:10">
      <c r="B86" s="1169"/>
      <c r="C86" s="1169"/>
      <c r="D86" s="1169"/>
      <c r="E86" s="1169"/>
      <c r="F86" s="1169"/>
      <c r="G86" s="1169"/>
      <c r="H86" s="1169"/>
      <c r="I86" s="1169"/>
      <c r="J86" s="1169"/>
    </row>
    <row r="87" spans="2:10">
      <c r="B87" s="1169"/>
      <c r="C87" s="1169"/>
      <c r="D87" s="1169"/>
      <c r="E87" s="1169"/>
      <c r="F87" s="1169"/>
      <c r="G87" s="1169"/>
      <c r="H87" s="1169"/>
      <c r="I87" s="1169"/>
      <c r="J87" s="1169"/>
    </row>
    <row r="88" spans="2:10">
      <c r="B88" s="1169"/>
      <c r="C88" s="1169"/>
      <c r="D88" s="1169"/>
      <c r="E88" s="1169"/>
      <c r="F88" s="1169"/>
      <c r="G88" s="1169"/>
      <c r="H88" s="1169"/>
      <c r="I88" s="1169"/>
      <c r="J88" s="1169"/>
    </row>
    <row r="89" spans="2:10">
      <c r="B89" s="1169"/>
      <c r="C89" s="1169"/>
      <c r="D89" s="1169"/>
      <c r="E89" s="1169"/>
      <c r="F89" s="1169"/>
      <c r="G89" s="1169"/>
      <c r="H89" s="1169"/>
      <c r="I89" s="1169"/>
      <c r="J89" s="1169"/>
    </row>
    <row r="90" spans="2:10">
      <c r="B90" s="1169"/>
      <c r="C90" s="1169"/>
      <c r="D90" s="1169"/>
      <c r="E90" s="1169"/>
      <c r="F90" s="1169"/>
      <c r="G90" s="1169"/>
      <c r="H90" s="1169"/>
      <c r="I90" s="1169"/>
      <c r="J90" s="1169"/>
    </row>
    <row r="91" spans="2:10">
      <c r="B91" s="1169"/>
      <c r="C91" s="1169"/>
      <c r="D91" s="1169"/>
      <c r="E91" s="1169"/>
      <c r="F91" s="1169"/>
      <c r="G91" s="1169"/>
      <c r="H91" s="1169"/>
      <c r="I91" s="1169"/>
      <c r="J91" s="1169"/>
    </row>
    <row r="92" spans="2:10">
      <c r="B92" s="1169"/>
      <c r="C92" s="1169"/>
      <c r="D92" s="1169"/>
      <c r="E92" s="1169"/>
      <c r="F92" s="1169"/>
      <c r="G92" s="1169"/>
      <c r="H92" s="1169"/>
      <c r="I92" s="1169"/>
      <c r="J92" s="1169"/>
    </row>
    <row r="93" spans="2:10">
      <c r="B93" s="1169"/>
      <c r="C93" s="1169"/>
      <c r="D93" s="1169"/>
      <c r="E93" s="1169"/>
      <c r="F93" s="1169"/>
      <c r="G93" s="1169"/>
      <c r="H93" s="1169"/>
      <c r="I93" s="1169"/>
      <c r="J93" s="1169"/>
    </row>
    <row r="94" spans="2:10">
      <c r="B94" s="1169"/>
      <c r="C94" s="1169"/>
      <c r="D94" s="1169"/>
      <c r="E94" s="1169"/>
      <c r="F94" s="1169"/>
      <c r="G94" s="1169"/>
      <c r="H94" s="1169"/>
      <c r="I94" s="1169"/>
      <c r="J94" s="1169"/>
    </row>
    <row r="95" spans="2:10">
      <c r="B95" s="1169"/>
      <c r="C95" s="1169"/>
      <c r="D95" s="1169"/>
      <c r="E95" s="1169"/>
      <c r="F95" s="1169"/>
      <c r="G95" s="1169"/>
      <c r="H95" s="1169"/>
      <c r="I95" s="1169"/>
      <c r="J95" s="1169"/>
    </row>
    <row r="96" spans="2:10">
      <c r="B96" s="1169"/>
      <c r="C96" s="1169"/>
      <c r="D96" s="1169"/>
      <c r="E96" s="1169"/>
      <c r="F96" s="1169"/>
      <c r="G96" s="1169"/>
      <c r="H96" s="1169"/>
      <c r="I96" s="1169"/>
      <c r="J96" s="1169"/>
    </row>
    <row r="97" spans="2:10">
      <c r="B97" s="1169"/>
      <c r="C97" s="1169"/>
      <c r="D97" s="1169"/>
      <c r="E97" s="1169"/>
      <c r="F97" s="1169"/>
      <c r="G97" s="1169"/>
      <c r="H97" s="1169"/>
      <c r="I97" s="1169"/>
      <c r="J97" s="1169"/>
    </row>
    <row r="98" spans="2:10">
      <c r="B98" s="1169"/>
      <c r="C98" s="1169"/>
      <c r="D98" s="1169"/>
      <c r="E98" s="1169"/>
      <c r="F98" s="1169"/>
      <c r="G98" s="1169"/>
      <c r="H98" s="1169"/>
      <c r="I98" s="1169"/>
      <c r="J98" s="1169"/>
    </row>
    <row r="99" spans="2:10">
      <c r="B99" s="1169"/>
      <c r="C99" s="1169"/>
      <c r="D99" s="1169"/>
      <c r="E99" s="1169"/>
      <c r="F99" s="1169"/>
      <c r="G99" s="1169"/>
      <c r="H99" s="1169"/>
      <c r="I99" s="1169"/>
      <c r="J99" s="1169"/>
    </row>
    <row r="100" spans="2:10">
      <c r="B100" s="1169"/>
      <c r="C100" s="1169"/>
      <c r="D100" s="1169"/>
      <c r="E100" s="1169"/>
      <c r="F100" s="1169"/>
      <c r="G100" s="1169"/>
      <c r="H100" s="1169"/>
      <c r="I100" s="1169"/>
      <c r="J100" s="1169"/>
    </row>
    <row r="101" spans="2:10">
      <c r="B101" s="1169"/>
      <c r="C101" s="1169"/>
      <c r="D101" s="1169"/>
      <c r="E101" s="1169"/>
      <c r="F101" s="1169"/>
      <c r="G101" s="1169"/>
      <c r="H101" s="1169"/>
      <c r="I101" s="1169"/>
      <c r="J101" s="1169"/>
    </row>
    <row r="102" spans="2:10">
      <c r="B102" s="1169"/>
      <c r="C102" s="1169"/>
      <c r="D102" s="1169"/>
      <c r="E102" s="1169"/>
      <c r="F102" s="1169"/>
      <c r="G102" s="1169"/>
      <c r="H102" s="1169"/>
      <c r="I102" s="1169"/>
      <c r="J102" s="1169"/>
    </row>
    <row r="103" spans="2:10">
      <c r="B103" s="1169"/>
      <c r="C103" s="1169"/>
      <c r="D103" s="1169"/>
      <c r="E103" s="1169"/>
      <c r="F103" s="1169"/>
      <c r="G103" s="1169"/>
      <c r="H103" s="1169"/>
      <c r="I103" s="1169"/>
      <c r="J103" s="1169"/>
    </row>
    <row r="104" spans="2:10">
      <c r="B104" s="1169"/>
      <c r="C104" s="1169"/>
      <c r="D104" s="1169"/>
      <c r="E104" s="1169"/>
      <c r="F104" s="1169"/>
      <c r="G104" s="1169"/>
      <c r="H104" s="1169"/>
      <c r="I104" s="1169"/>
      <c r="J104" s="1169"/>
    </row>
    <row r="105" spans="2:10">
      <c r="B105" s="1169"/>
      <c r="C105" s="1169"/>
      <c r="D105" s="1169"/>
      <c r="E105" s="1169"/>
      <c r="F105" s="1169"/>
      <c r="G105" s="1169"/>
      <c r="H105" s="1169"/>
      <c r="I105" s="1169"/>
      <c r="J105" s="1169"/>
    </row>
    <row r="106" spans="2:10">
      <c r="B106" s="1169"/>
      <c r="C106" s="1169"/>
      <c r="D106" s="1169"/>
      <c r="E106" s="1169"/>
      <c r="F106" s="1169"/>
      <c r="G106" s="1169"/>
      <c r="H106" s="1169"/>
      <c r="I106" s="1169"/>
      <c r="J106" s="1169"/>
    </row>
    <row r="107" spans="2:10">
      <c r="B107" s="1169"/>
      <c r="C107" s="1169"/>
      <c r="D107" s="1169"/>
      <c r="E107" s="1169"/>
      <c r="F107" s="1169"/>
      <c r="G107" s="1169"/>
      <c r="H107" s="1169"/>
      <c r="I107" s="1169"/>
      <c r="J107" s="1169"/>
    </row>
    <row r="108" spans="2:10">
      <c r="B108" s="1169"/>
      <c r="C108" s="1169"/>
      <c r="D108" s="1169"/>
      <c r="E108" s="1169"/>
      <c r="F108" s="1169"/>
      <c r="G108" s="1169"/>
      <c r="H108" s="1169"/>
      <c r="I108" s="1169"/>
      <c r="J108" s="1169"/>
    </row>
    <row r="109" spans="2:10">
      <c r="B109" s="1169"/>
      <c r="C109" s="1169"/>
      <c r="D109" s="1169"/>
      <c r="E109" s="1169"/>
      <c r="F109" s="1169"/>
      <c r="G109" s="1169"/>
      <c r="H109" s="1169"/>
      <c r="I109" s="1169"/>
      <c r="J109" s="1169"/>
    </row>
    <row r="110" spans="2:10">
      <c r="B110" s="1169"/>
      <c r="C110" s="1169"/>
      <c r="D110" s="1169"/>
      <c r="E110" s="1169"/>
      <c r="F110" s="1169"/>
      <c r="G110" s="1169"/>
      <c r="H110" s="1169"/>
      <c r="I110" s="1169"/>
      <c r="J110" s="1169"/>
    </row>
    <row r="111" spans="2:10">
      <c r="B111" s="1169"/>
      <c r="C111" s="1169"/>
      <c r="D111" s="1169"/>
      <c r="E111" s="1169"/>
      <c r="F111" s="1169"/>
      <c r="G111" s="1169"/>
      <c r="H111" s="1169"/>
      <c r="I111" s="1169"/>
      <c r="J111" s="1169"/>
    </row>
    <row r="112" spans="2:10">
      <c r="B112" s="1169"/>
      <c r="C112" s="1169"/>
      <c r="D112" s="1169"/>
      <c r="E112" s="1169"/>
      <c r="F112" s="1169"/>
      <c r="G112" s="1169"/>
      <c r="H112" s="1169"/>
      <c r="I112" s="1169"/>
      <c r="J112" s="1169"/>
    </row>
    <row r="113" spans="2:10">
      <c r="B113" s="1169"/>
      <c r="C113" s="1169"/>
      <c r="D113" s="1169"/>
      <c r="E113" s="1169"/>
      <c r="F113" s="1169"/>
      <c r="G113" s="1169"/>
      <c r="H113" s="1169"/>
      <c r="I113" s="1169"/>
      <c r="J113" s="1169"/>
    </row>
    <row r="114" spans="2:10">
      <c r="B114" s="1169"/>
      <c r="C114" s="1169"/>
      <c r="D114" s="1169"/>
      <c r="E114" s="1169"/>
      <c r="F114" s="1169"/>
      <c r="G114" s="1169"/>
      <c r="H114" s="1169"/>
      <c r="I114" s="1169"/>
      <c r="J114" s="1169"/>
    </row>
    <row r="115" spans="2:10">
      <c r="B115" s="1169"/>
      <c r="C115" s="1169"/>
      <c r="D115" s="1169"/>
      <c r="E115" s="1169"/>
      <c r="F115" s="1169"/>
      <c r="G115" s="1169"/>
      <c r="H115" s="1169"/>
      <c r="I115" s="1169"/>
      <c r="J115" s="1169"/>
    </row>
    <row r="116" spans="2:10">
      <c r="B116" s="1169"/>
      <c r="C116" s="1169"/>
      <c r="D116" s="1169"/>
      <c r="E116" s="1169"/>
      <c r="F116" s="1169"/>
      <c r="G116" s="1169"/>
      <c r="H116" s="1169"/>
      <c r="I116" s="1169"/>
      <c r="J116" s="1169"/>
    </row>
    <row r="117" spans="2:10">
      <c r="B117" s="1169"/>
      <c r="C117" s="1169"/>
      <c r="D117" s="1169"/>
      <c r="E117" s="1169"/>
      <c r="F117" s="1169"/>
      <c r="G117" s="1169"/>
      <c r="H117" s="1169"/>
      <c r="I117" s="1169"/>
      <c r="J117" s="1169"/>
    </row>
    <row r="118" spans="2:10">
      <c r="B118" s="1169"/>
      <c r="C118" s="1169"/>
      <c r="D118" s="1169"/>
      <c r="E118" s="1169"/>
      <c r="F118" s="1169"/>
      <c r="G118" s="1169"/>
      <c r="H118" s="1169"/>
      <c r="I118" s="1169"/>
      <c r="J118" s="1169"/>
    </row>
    <row r="119" spans="2:10">
      <c r="B119" s="1169"/>
      <c r="C119" s="1169"/>
      <c r="D119" s="1169"/>
      <c r="E119" s="1169"/>
      <c r="F119" s="1169"/>
      <c r="G119" s="1169"/>
      <c r="H119" s="1169"/>
      <c r="I119" s="1169"/>
      <c r="J119" s="1169"/>
    </row>
    <row r="120" spans="2:10">
      <c r="B120" s="1169"/>
      <c r="C120" s="1169"/>
      <c r="D120" s="1169"/>
      <c r="E120" s="1169"/>
      <c r="F120" s="1169"/>
      <c r="G120" s="1169"/>
      <c r="H120" s="1169"/>
      <c r="I120" s="1169"/>
      <c r="J120" s="1169"/>
    </row>
    <row r="121" spans="2:10">
      <c r="B121" s="1169"/>
      <c r="C121" s="1169"/>
      <c r="D121" s="1169"/>
      <c r="E121" s="1169"/>
      <c r="F121" s="1169"/>
      <c r="G121" s="1169"/>
      <c r="H121" s="1169"/>
      <c r="I121" s="1169"/>
      <c r="J121" s="1169"/>
    </row>
    <row r="122" spans="2:10">
      <c r="B122" s="1169"/>
      <c r="C122" s="1169"/>
      <c r="D122" s="1169"/>
      <c r="E122" s="1169"/>
      <c r="F122" s="1169"/>
      <c r="G122" s="1169"/>
      <c r="H122" s="1169"/>
      <c r="I122" s="1169"/>
      <c r="J122" s="1169"/>
    </row>
    <row r="123" spans="2:10">
      <c r="B123" s="1169"/>
      <c r="C123" s="1169"/>
      <c r="D123" s="1169"/>
      <c r="E123" s="1169"/>
      <c r="F123" s="1169"/>
      <c r="G123" s="1169"/>
      <c r="H123" s="1169"/>
      <c r="I123" s="1169"/>
      <c r="J123" s="1169"/>
    </row>
    <row r="124" spans="2:10">
      <c r="B124" s="1169"/>
      <c r="C124" s="1169"/>
      <c r="D124" s="1169"/>
      <c r="E124" s="1169"/>
      <c r="F124" s="1169"/>
      <c r="G124" s="1169"/>
      <c r="H124" s="1169"/>
      <c r="I124" s="1169"/>
      <c r="J124" s="1169"/>
    </row>
    <row r="125" spans="2:10">
      <c r="B125" s="1169"/>
      <c r="C125" s="1169"/>
      <c r="D125" s="1169"/>
      <c r="E125" s="1169"/>
      <c r="F125" s="1169"/>
      <c r="G125" s="1169"/>
      <c r="H125" s="1169"/>
      <c r="I125" s="1169"/>
      <c r="J125" s="1169"/>
    </row>
    <row r="126" spans="2:10">
      <c r="B126" s="1169"/>
      <c r="C126" s="1169"/>
      <c r="D126" s="1169"/>
      <c r="E126" s="1169"/>
      <c r="F126" s="1169"/>
      <c r="G126" s="1169"/>
      <c r="H126" s="1169"/>
      <c r="I126" s="1169"/>
      <c r="J126" s="1169"/>
    </row>
    <row r="127" spans="2:10">
      <c r="B127" s="1169"/>
      <c r="C127" s="1169"/>
      <c r="D127" s="1169"/>
      <c r="E127" s="1169"/>
      <c r="F127" s="1169"/>
      <c r="G127" s="1169"/>
      <c r="H127" s="1169"/>
      <c r="I127" s="1169"/>
      <c r="J127" s="1169"/>
    </row>
    <row r="128" spans="2:10">
      <c r="B128" s="1169"/>
      <c r="C128" s="1169"/>
      <c r="D128" s="1169"/>
      <c r="E128" s="1169"/>
      <c r="F128" s="1169"/>
      <c r="G128" s="1169"/>
      <c r="H128" s="1169"/>
      <c r="I128" s="1169"/>
      <c r="J128" s="1169"/>
    </row>
    <row r="129" spans="2:10">
      <c r="B129" s="1169"/>
      <c r="C129" s="1169"/>
      <c r="D129" s="1169"/>
      <c r="E129" s="1169"/>
      <c r="F129" s="1169"/>
      <c r="G129" s="1169"/>
      <c r="H129" s="1169"/>
      <c r="I129" s="1169"/>
      <c r="J129" s="1169"/>
    </row>
    <row r="130" spans="2:10">
      <c r="B130" s="1169"/>
      <c r="C130" s="1169"/>
      <c r="D130" s="1169"/>
      <c r="E130" s="1169"/>
      <c r="F130" s="1169"/>
      <c r="G130" s="1169"/>
      <c r="H130" s="1169"/>
      <c r="I130" s="1169"/>
      <c r="J130" s="1169"/>
    </row>
    <row r="131" spans="2:10">
      <c r="B131" s="1169"/>
      <c r="C131" s="1169"/>
      <c r="D131" s="1169"/>
      <c r="E131" s="1169"/>
      <c r="F131" s="1169"/>
      <c r="G131" s="1169"/>
      <c r="H131" s="1169"/>
      <c r="I131" s="1169"/>
      <c r="J131" s="1169"/>
    </row>
    <row r="132" spans="2:10">
      <c r="B132" s="1169"/>
      <c r="C132" s="1169"/>
      <c r="D132" s="1169"/>
      <c r="E132" s="1169"/>
      <c r="F132" s="1169"/>
      <c r="G132" s="1169"/>
      <c r="H132" s="1169"/>
      <c r="I132" s="1169"/>
      <c r="J132" s="1169"/>
    </row>
    <row r="133" spans="2:10">
      <c r="B133" s="1169"/>
      <c r="C133" s="1169"/>
      <c r="D133" s="1169"/>
      <c r="E133" s="1169"/>
      <c r="F133" s="1169"/>
      <c r="G133" s="1169"/>
      <c r="H133" s="1169"/>
      <c r="I133" s="1169"/>
      <c r="J133" s="1169"/>
    </row>
    <row r="134" spans="2:10">
      <c r="B134" s="1169"/>
      <c r="C134" s="1169"/>
      <c r="D134" s="1169"/>
      <c r="E134" s="1169"/>
      <c r="F134" s="1169"/>
      <c r="G134" s="1169"/>
      <c r="H134" s="1169"/>
      <c r="I134" s="1169"/>
      <c r="J134" s="1169"/>
    </row>
    <row r="135" spans="2:10">
      <c r="B135" s="1169"/>
      <c r="C135" s="1169"/>
      <c r="D135" s="1169"/>
      <c r="E135" s="1169"/>
      <c r="F135" s="1169"/>
      <c r="G135" s="1169"/>
      <c r="H135" s="1169"/>
      <c r="I135" s="1169"/>
      <c r="J135" s="1169"/>
    </row>
    <row r="136" spans="2:10">
      <c r="B136" s="1169"/>
      <c r="C136" s="1169"/>
      <c r="D136" s="1169"/>
      <c r="E136" s="1169"/>
      <c r="F136" s="1169"/>
      <c r="G136" s="1169"/>
      <c r="H136" s="1169"/>
      <c r="I136" s="1169"/>
      <c r="J136" s="1169"/>
    </row>
    <row r="137" spans="2:10">
      <c r="B137" s="1169"/>
      <c r="C137" s="1169"/>
      <c r="D137" s="1169"/>
      <c r="E137" s="1169"/>
      <c r="F137" s="1169"/>
      <c r="G137" s="1169"/>
      <c r="H137" s="1169"/>
      <c r="I137" s="1169"/>
      <c r="J137" s="1169"/>
    </row>
    <row r="138" spans="2:10">
      <c r="B138" s="1169"/>
      <c r="C138" s="1169"/>
      <c r="D138" s="1169"/>
      <c r="E138" s="1169"/>
      <c r="F138" s="1169"/>
      <c r="G138" s="1169"/>
      <c r="H138" s="1169"/>
      <c r="I138" s="1169"/>
      <c r="J138" s="1169"/>
    </row>
    <row r="139" spans="2:10">
      <c r="B139" s="1169"/>
      <c r="C139" s="1169"/>
      <c r="D139" s="1169"/>
      <c r="E139" s="1169"/>
      <c r="F139" s="1169"/>
      <c r="G139" s="1169"/>
      <c r="H139" s="1169"/>
      <c r="I139" s="1169"/>
      <c r="J139" s="1169"/>
    </row>
    <row r="140" spans="2:10">
      <c r="B140" s="1169"/>
      <c r="C140" s="1169"/>
      <c r="D140" s="1169"/>
      <c r="E140" s="1169"/>
      <c r="F140" s="1169"/>
      <c r="G140" s="1169"/>
      <c r="H140" s="1169"/>
      <c r="I140" s="1169"/>
      <c r="J140" s="1169"/>
    </row>
    <row r="141" spans="2:10">
      <c r="B141" s="1169"/>
      <c r="C141" s="1169"/>
      <c r="D141" s="1169"/>
      <c r="E141" s="1169"/>
      <c r="F141" s="1169"/>
      <c r="G141" s="1169"/>
      <c r="H141" s="1169"/>
      <c r="I141" s="1169"/>
      <c r="J141" s="1169"/>
    </row>
    <row r="142" spans="2:10">
      <c r="B142" s="1169"/>
      <c r="C142" s="1169"/>
      <c r="D142" s="1169"/>
      <c r="E142" s="1169"/>
      <c r="F142" s="1169"/>
      <c r="G142" s="1169"/>
      <c r="H142" s="1169"/>
      <c r="I142" s="1169"/>
      <c r="J142" s="1169"/>
    </row>
    <row r="143" spans="2:10">
      <c r="B143" s="1169"/>
      <c r="C143" s="1169"/>
      <c r="D143" s="1169"/>
      <c r="E143" s="1169"/>
      <c r="F143" s="1169"/>
      <c r="G143" s="1169"/>
      <c r="H143" s="1169"/>
      <c r="I143" s="1169"/>
      <c r="J143" s="1169"/>
    </row>
    <row r="144" spans="2:10">
      <c r="B144" s="1169"/>
      <c r="C144" s="1169"/>
      <c r="D144" s="1169"/>
      <c r="E144" s="1169"/>
      <c r="F144" s="1169"/>
      <c r="G144" s="1169"/>
      <c r="H144" s="1169"/>
      <c r="I144" s="1169"/>
      <c r="J144" s="1169"/>
    </row>
    <row r="145" spans="2:10">
      <c r="B145" s="1169"/>
      <c r="C145" s="1169"/>
      <c r="D145" s="1169"/>
      <c r="E145" s="1169"/>
      <c r="F145" s="1169"/>
      <c r="G145" s="1169"/>
      <c r="H145" s="1169"/>
      <c r="I145" s="1169"/>
      <c r="J145" s="1169"/>
    </row>
    <row r="146" spans="2:10">
      <c r="B146" s="1169"/>
      <c r="C146" s="1169"/>
      <c r="D146" s="1169"/>
      <c r="E146" s="1169"/>
      <c r="F146" s="1169"/>
      <c r="G146" s="1169"/>
      <c r="H146" s="1169"/>
      <c r="I146" s="1169"/>
      <c r="J146" s="1169"/>
    </row>
    <row r="147" spans="2:10">
      <c r="B147" s="1169"/>
      <c r="C147" s="1169"/>
      <c r="D147" s="1169"/>
      <c r="E147" s="1169"/>
      <c r="F147" s="1169"/>
      <c r="G147" s="1169"/>
      <c r="H147" s="1169"/>
      <c r="I147" s="1169"/>
      <c r="J147" s="1169"/>
    </row>
    <row r="148" spans="2:10">
      <c r="B148" s="1169"/>
      <c r="C148" s="1169"/>
      <c r="D148" s="1169"/>
      <c r="E148" s="1169"/>
      <c r="F148" s="1169"/>
      <c r="G148" s="1169"/>
      <c r="H148" s="1169"/>
      <c r="I148" s="1169"/>
      <c r="J148" s="1169"/>
    </row>
    <row r="149" spans="2:10">
      <c r="B149" s="1169"/>
      <c r="C149" s="1169"/>
      <c r="D149" s="1169"/>
      <c r="E149" s="1169"/>
      <c r="F149" s="1169"/>
      <c r="G149" s="1169"/>
      <c r="H149" s="1169"/>
      <c r="I149" s="1169"/>
      <c r="J149" s="1169"/>
    </row>
    <row r="150" spans="2:10">
      <c r="B150" s="1169"/>
      <c r="C150" s="1169"/>
      <c r="D150" s="1169"/>
      <c r="E150" s="1169"/>
      <c r="F150" s="1169"/>
      <c r="G150" s="1169"/>
      <c r="H150" s="1169"/>
      <c r="I150" s="1169"/>
      <c r="J150" s="1169"/>
    </row>
  </sheetData>
  <mergeCells count="2">
    <mergeCell ref="H2:I3"/>
    <mergeCell ref="C2:G3"/>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73" orientation="landscape" r:id="rId1"/>
  <headerFooter>
    <oddFooter>&amp;L&amp;"Calibri,Regular"&amp;K184782&amp;F&amp;C&amp;"Calibri,Regular"&amp;K184782&amp;A&amp;R&amp;"Calibri,Regular"&amp;K184782&amp;P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20">
    <pageSetUpPr fitToPage="1"/>
  </sheetPr>
  <dimension ref="A1:J254"/>
  <sheetViews>
    <sheetView showGridLines="0" showOutlineSymbols="0" zoomScaleNormal="100" workbookViewId="0">
      <pane ySplit="2595" topLeftCell="A241" activePane="bottomLeft"/>
      <selection activeCell="A215" sqref="A215"/>
      <selection pane="bottomLeft" activeCell="I254" sqref="I254"/>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72" t="s">
        <v>367</v>
      </c>
      <c r="B4" s="1466"/>
      <c r="C4" s="1467"/>
      <c r="D4" s="1432" t="s">
        <v>365</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771" t="s">
        <v>341</v>
      </c>
      <c r="B6" s="772" t="s">
        <v>76</v>
      </c>
      <c r="C6" s="772" t="s">
        <v>68</v>
      </c>
      <c r="D6" s="772" t="s">
        <v>342</v>
      </c>
      <c r="E6" s="772" t="s">
        <v>343</v>
      </c>
      <c r="F6" s="772" t="s">
        <v>344</v>
      </c>
      <c r="G6" s="772" t="s">
        <v>345</v>
      </c>
      <c r="H6" s="1428"/>
    </row>
    <row r="7" spans="1:8" ht="15.75" customHeight="1" thickBot="1">
      <c r="A7" s="1419" t="s">
        <v>347</v>
      </c>
      <c r="B7" s="1420"/>
      <c r="C7" s="952"/>
      <c r="D7" s="952"/>
      <c r="E7" s="952"/>
      <c r="F7" s="952"/>
      <c r="G7" s="952"/>
      <c r="H7" s="953" t="s">
        <v>361</v>
      </c>
    </row>
    <row r="8" spans="1:8" ht="16.5" hidden="1" thickBot="1">
      <c r="A8" s="972" t="s">
        <v>557</v>
      </c>
      <c r="B8" s="997">
        <f>+geral!C1110</f>
        <v>4088</v>
      </c>
      <c r="C8" s="997">
        <v>100</v>
      </c>
      <c r="D8" s="998"/>
      <c r="E8" s="998"/>
      <c r="F8" s="999"/>
      <c r="G8" s="1000"/>
      <c r="H8" s="1001">
        <f>$B$253/B8</f>
        <v>3.4979801145629481</v>
      </c>
    </row>
    <row r="9" spans="1:8" ht="16.5" hidden="1" thickBot="1">
      <c r="A9" s="973" t="s">
        <v>558</v>
      </c>
      <c r="B9" s="748">
        <f>+geral!C1111</f>
        <v>4130</v>
      </c>
      <c r="C9" s="748">
        <f>100*B9/$B$8</f>
        <v>101.02739726027397</v>
      </c>
      <c r="D9" s="750">
        <f t="shared" ref="D9:D17" si="0">100*((B9/B8)-1)</f>
        <v>1.0273972602739656</v>
      </c>
      <c r="E9" s="750"/>
      <c r="F9" s="751"/>
      <c r="G9" s="840"/>
      <c r="H9" s="842">
        <f>$B$253/B9</f>
        <v>3.4624074354317993</v>
      </c>
    </row>
    <row r="10" spans="1:8" ht="16.5" hidden="1" thickBot="1">
      <c r="A10" s="973" t="s">
        <v>559</v>
      </c>
      <c r="B10" s="748">
        <f>+geral!C1112</f>
        <v>4132</v>
      </c>
      <c r="C10" s="748">
        <f t="shared" ref="C10:C22" si="1">100*B10/$B$8</f>
        <v>101.07632093933464</v>
      </c>
      <c r="D10" s="750">
        <f t="shared" si="0"/>
        <v>4.842615012106144E-2</v>
      </c>
      <c r="E10" s="750"/>
      <c r="F10" s="751"/>
      <c r="G10" s="840"/>
      <c r="H10" s="842">
        <f>$B$253/B10</f>
        <v>3.4607315363827036</v>
      </c>
    </row>
    <row r="11" spans="1:8" ht="16.5" hidden="1" thickBot="1">
      <c r="A11" s="973" t="s">
        <v>560</v>
      </c>
      <c r="B11" s="748">
        <f>+geral!C1113</f>
        <v>4130</v>
      </c>
      <c r="C11" s="748">
        <f t="shared" si="1"/>
        <v>101.02739726027397</v>
      </c>
      <c r="D11" s="750">
        <f t="shared" si="0"/>
        <v>-4.840271055178702E-2</v>
      </c>
      <c r="E11" s="750"/>
      <c r="F11" s="751"/>
      <c r="G11" s="840"/>
      <c r="H11" s="842">
        <f>$B$253/B11</f>
        <v>3.4624074354317993</v>
      </c>
    </row>
    <row r="12" spans="1:8" ht="16.5" hidden="1" thickBot="1">
      <c r="A12" s="973" t="s">
        <v>561</v>
      </c>
      <c r="B12" s="748">
        <f>+geral!C1114</f>
        <v>4240</v>
      </c>
      <c r="C12" s="748">
        <f t="shared" si="1"/>
        <v>103.71819960861056</v>
      </c>
      <c r="D12" s="750">
        <f t="shared" si="0"/>
        <v>2.6634382566586012</v>
      </c>
      <c r="E12" s="750"/>
      <c r="F12" s="751"/>
      <c r="G12" s="840"/>
      <c r="H12" s="842">
        <f>$B$253/B12</f>
        <v>3.3725808274371065</v>
      </c>
    </row>
    <row r="13" spans="1:8" ht="16.5" hidden="1" thickBot="1">
      <c r="A13" s="973" t="s">
        <v>562</v>
      </c>
      <c r="B13" s="748">
        <f>+geral!C1115</f>
        <v>4159</v>
      </c>
      <c r="C13" s="748">
        <f t="shared" si="1"/>
        <v>101.73679060665361</v>
      </c>
      <c r="D13" s="750">
        <f t="shared" si="0"/>
        <v>-1.910377358490567</v>
      </c>
      <c r="E13" s="750"/>
      <c r="F13" s="751"/>
      <c r="G13" s="840"/>
      <c r="H13" s="842">
        <f>$B$253/B13</f>
        <v>3.4382646569688222</v>
      </c>
    </row>
    <row r="14" spans="1:8" ht="16.5" hidden="1" thickBot="1">
      <c r="A14" s="973" t="s">
        <v>534</v>
      </c>
      <c r="B14" s="748">
        <f>+geral!C1116</f>
        <v>4195</v>
      </c>
      <c r="C14" s="748">
        <f t="shared" si="1"/>
        <v>102.61741682974559</v>
      </c>
      <c r="D14" s="750">
        <f t="shared" si="0"/>
        <v>0.8655926905506206</v>
      </c>
      <c r="E14" s="750"/>
      <c r="F14" s="751"/>
      <c r="G14" s="840"/>
      <c r="H14" s="842">
        <f>$B$253/B14</f>
        <v>3.408758690901867</v>
      </c>
    </row>
    <row r="15" spans="1:8" ht="16.5" hidden="1" thickBot="1">
      <c r="A15" s="973" t="s">
        <v>563</v>
      </c>
      <c r="B15" s="748">
        <f>+geral!C1117</f>
        <v>4465</v>
      </c>
      <c r="C15" s="748">
        <f t="shared" si="1"/>
        <v>109.22211350293541</v>
      </c>
      <c r="D15" s="750">
        <f t="shared" si="0"/>
        <v>6.4362336114421881</v>
      </c>
      <c r="E15" s="750"/>
      <c r="F15" s="751"/>
      <c r="G15" s="840"/>
      <c r="H15" s="842">
        <f>$B$253/B15</f>
        <v>3.202629945875326</v>
      </c>
    </row>
    <row r="16" spans="1:8" ht="16.5" hidden="1" thickBot="1">
      <c r="A16" s="973" t="s">
        <v>564</v>
      </c>
      <c r="B16" s="748">
        <f>+geral!C1118</f>
        <v>4162.5</v>
      </c>
      <c r="C16" s="748">
        <f t="shared" si="1"/>
        <v>101.82240704500978</v>
      </c>
      <c r="D16" s="750">
        <f t="shared" si="0"/>
        <v>-6.7749160134378483</v>
      </c>
      <c r="E16" s="750"/>
      <c r="F16" s="751"/>
      <c r="G16" s="840"/>
      <c r="H16" s="842">
        <f>$B$253/B16</f>
        <v>3.4353736236236232</v>
      </c>
    </row>
    <row r="17" spans="1:8" ht="16.5" hidden="1" thickBot="1">
      <c r="A17" s="973" t="s">
        <v>546</v>
      </c>
      <c r="B17" s="748">
        <f>+geral!E1107</f>
        <v>4325</v>
      </c>
      <c r="C17" s="748">
        <f t="shared" si="1"/>
        <v>105.79745596868885</v>
      </c>
      <c r="D17" s="750">
        <f t="shared" si="0"/>
        <v>3.9039039039038936</v>
      </c>
      <c r="E17" s="750">
        <f t="shared" ref="E17:E22" si="2">100*((B17/$B$16)-1)</f>
        <v>3.9039039039038936</v>
      </c>
      <c r="F17" s="751"/>
      <c r="G17" s="840"/>
      <c r="H17" s="842">
        <f>$B$253/B17</f>
        <v>3.3062988921001923</v>
      </c>
    </row>
    <row r="18" spans="1:8" ht="16.5" hidden="1" thickBot="1">
      <c r="A18" s="973" t="s">
        <v>547</v>
      </c>
      <c r="B18" s="748">
        <f>+geral!E1108</f>
        <v>4500</v>
      </c>
      <c r="C18" s="748">
        <f t="shared" si="1"/>
        <v>110.07827788649706</v>
      </c>
      <c r="D18" s="750">
        <f t="shared" ref="D18:D23" si="3">100*((B18/B17)-1)</f>
        <v>4.0462427745664664</v>
      </c>
      <c r="E18" s="750">
        <f t="shared" si="2"/>
        <v>8.1081081081081141</v>
      </c>
      <c r="F18" s="751"/>
      <c r="G18" s="840"/>
      <c r="H18" s="842">
        <f>$B$253/B18</f>
        <v>3.1777206018518513</v>
      </c>
    </row>
    <row r="19" spans="1:8" ht="16.5" hidden="1" thickBot="1">
      <c r="A19" s="973" t="s">
        <v>548</v>
      </c>
      <c r="B19" s="748">
        <f>+geral!E1109</f>
        <v>4375</v>
      </c>
      <c r="C19" s="748">
        <f t="shared" si="1"/>
        <v>107.02054794520548</v>
      </c>
      <c r="D19" s="750">
        <f t="shared" si="3"/>
        <v>-2.777777777777779</v>
      </c>
      <c r="E19" s="750">
        <f t="shared" si="2"/>
        <v>5.1051051051051122</v>
      </c>
      <c r="F19" s="751"/>
      <c r="G19" s="840"/>
      <c r="H19" s="842">
        <f>$B$253/B19</f>
        <v>3.2685126190476188</v>
      </c>
    </row>
    <row r="20" spans="1:8" ht="16.5" hidden="1" thickBot="1">
      <c r="A20" s="973" t="s">
        <v>549</v>
      </c>
      <c r="B20" s="748">
        <f>+geral!E1110</f>
        <v>4415</v>
      </c>
      <c r="C20" s="748">
        <f t="shared" si="1"/>
        <v>107.99902152641879</v>
      </c>
      <c r="D20" s="750">
        <f t="shared" si="3"/>
        <v>0.91428571428571193</v>
      </c>
      <c r="E20" s="750">
        <f t="shared" si="2"/>
        <v>6.0660660660660559</v>
      </c>
      <c r="F20" s="751">
        <f t="shared" ref="F20:F25" si="4">100*((B20/B8)-1)</f>
        <v>7.9990215264187814</v>
      </c>
      <c r="G20" s="840"/>
      <c r="H20" s="842">
        <f>$B$253/B20</f>
        <v>3.2388998206870512</v>
      </c>
    </row>
    <row r="21" spans="1:8" ht="16.5" hidden="1" thickBot="1">
      <c r="A21" s="973" t="s">
        <v>550</v>
      </c>
      <c r="B21" s="748">
        <f>+geral!E1111</f>
        <v>4380</v>
      </c>
      <c r="C21" s="748">
        <f t="shared" si="1"/>
        <v>107.14285714285714</v>
      </c>
      <c r="D21" s="750">
        <f t="shared" si="3"/>
        <v>-0.79275198187995777</v>
      </c>
      <c r="E21" s="750">
        <f t="shared" si="2"/>
        <v>5.2252252252252163</v>
      </c>
      <c r="F21" s="751">
        <f t="shared" si="4"/>
        <v>6.0532687651331685</v>
      </c>
      <c r="G21" s="840"/>
      <c r="H21" s="842">
        <f>$B$253/B21</f>
        <v>3.2647814402587514</v>
      </c>
    </row>
    <row r="22" spans="1:8" ht="16.5" hidden="1" thickBot="1">
      <c r="A22" s="973" t="s">
        <v>551</v>
      </c>
      <c r="B22" s="748">
        <f>+geral!E1112</f>
        <v>4458</v>
      </c>
      <c r="C22" s="748">
        <f t="shared" si="1"/>
        <v>109.05088062622309</v>
      </c>
      <c r="D22" s="750">
        <f t="shared" si="3"/>
        <v>1.7808219178082174</v>
      </c>
      <c r="E22" s="750">
        <f t="shared" si="2"/>
        <v>7.0990990990990932</v>
      </c>
      <c r="F22" s="751">
        <f t="shared" si="4"/>
        <v>7.8896418199419172</v>
      </c>
      <c r="G22" s="840"/>
      <c r="H22" s="842">
        <f>$B$253/B22</f>
        <v>3.2076587501869294</v>
      </c>
    </row>
    <row r="23" spans="1:8" ht="16.5" hidden="1" thickBot="1">
      <c r="A23" s="973" t="s">
        <v>552</v>
      </c>
      <c r="B23" s="748">
        <f>+geral!E1113</f>
        <v>4339.3999999999996</v>
      </c>
      <c r="C23" s="748">
        <f t="shared" ref="C23:C88" si="5">100*B23/$B$8</f>
        <v>106.14970645792562</v>
      </c>
      <c r="D23" s="750">
        <f t="shared" si="3"/>
        <v>-2.6603858232391309</v>
      </c>
      <c r="E23" s="750">
        <f t="shared" ref="E23:E28" si="6">100*((B23/$B$16)-1)</f>
        <v>4.2498498498498405</v>
      </c>
      <c r="F23" s="751">
        <f t="shared" si="4"/>
        <v>5.0702179176755457</v>
      </c>
      <c r="G23" s="840"/>
      <c r="H23" s="842">
        <f>$B$253/B23</f>
        <v>3.2953271669662469</v>
      </c>
    </row>
    <row r="24" spans="1:8" ht="16.5" hidden="1" thickBot="1">
      <c r="A24" s="973" t="s">
        <v>553</v>
      </c>
      <c r="B24" s="748">
        <f>+geral!E1114</f>
        <v>4457</v>
      </c>
      <c r="C24" s="748">
        <f t="shared" si="5"/>
        <v>109.02641878669276</v>
      </c>
      <c r="D24" s="750">
        <f t="shared" ref="D24:D29" si="7">100*((B24/B23)-1)</f>
        <v>2.7100520809328454</v>
      </c>
      <c r="E24" s="750">
        <f t="shared" si="6"/>
        <v>7.0750750750750768</v>
      </c>
      <c r="F24" s="751">
        <f t="shared" si="4"/>
        <v>5.117924528301887</v>
      </c>
      <c r="G24" s="840"/>
      <c r="H24" s="842">
        <f>$B$253/B24</f>
        <v>3.208378440281205</v>
      </c>
    </row>
    <row r="25" spans="1:8" ht="16.5" hidden="1" thickBot="1">
      <c r="A25" s="973" t="s">
        <v>554</v>
      </c>
      <c r="B25" s="748">
        <f>+geral!E1115</f>
        <v>4509.2</v>
      </c>
      <c r="C25" s="748">
        <f t="shared" si="5"/>
        <v>110.30332681017613</v>
      </c>
      <c r="D25" s="750">
        <f t="shared" si="7"/>
        <v>1.1711913843392319</v>
      </c>
      <c r="E25" s="750">
        <f t="shared" si="6"/>
        <v>8.3291291291291323</v>
      </c>
      <c r="F25" s="751">
        <f t="shared" si="4"/>
        <v>8.4202933397451218</v>
      </c>
      <c r="G25" s="840"/>
      <c r="H25" s="842">
        <f>$B$253/B25</f>
        <v>3.1712371836098048</v>
      </c>
    </row>
    <row r="26" spans="1:8" ht="16.5" hidden="1" thickBot="1">
      <c r="A26" s="973" t="s">
        <v>533</v>
      </c>
      <c r="B26" s="748">
        <f>+geral!E1116</f>
        <v>4490</v>
      </c>
      <c r="C26" s="748">
        <f t="shared" si="5"/>
        <v>109.83365949119374</v>
      </c>
      <c r="D26" s="750">
        <f t="shared" si="7"/>
        <v>-0.42579615009313843</v>
      </c>
      <c r="E26" s="750">
        <f t="shared" si="6"/>
        <v>7.8678678678678615</v>
      </c>
      <c r="F26" s="751">
        <f t="shared" ref="F26:F31" si="8">100*((B26/B14)-1)</f>
        <v>7.0321811680572166</v>
      </c>
      <c r="G26" s="840"/>
      <c r="H26" s="842">
        <f>$B$253/B26</f>
        <v>3.184797930586488</v>
      </c>
    </row>
    <row r="27" spans="1:8" ht="16.5" hidden="1" thickBot="1">
      <c r="A27" s="973" t="s">
        <v>555</v>
      </c>
      <c r="B27" s="748">
        <f>+geral!E1117</f>
        <v>4275</v>
      </c>
      <c r="C27" s="748">
        <f t="shared" si="5"/>
        <v>104.57436399217221</v>
      </c>
      <c r="D27" s="750">
        <f t="shared" si="7"/>
        <v>-4.7884187082405383</v>
      </c>
      <c r="E27" s="750">
        <f t="shared" si="6"/>
        <v>2.7027027027026973</v>
      </c>
      <c r="F27" s="751">
        <f t="shared" si="8"/>
        <v>-4.2553191489361648</v>
      </c>
      <c r="G27" s="840"/>
      <c r="H27" s="842">
        <f>$B$253/B27</f>
        <v>3.3449690545808961</v>
      </c>
    </row>
    <row r="28" spans="1:8" ht="16.5" hidden="1" thickBot="1">
      <c r="A28" s="973" t="s">
        <v>556</v>
      </c>
      <c r="B28" s="748">
        <f>+geral!E1118</f>
        <v>4480</v>
      </c>
      <c r="C28" s="748">
        <f t="shared" si="5"/>
        <v>109.58904109589041</v>
      </c>
      <c r="D28" s="750">
        <f t="shared" si="7"/>
        <v>4.7953216374269081</v>
      </c>
      <c r="E28" s="750">
        <f t="shared" si="6"/>
        <v>7.6276276276276311</v>
      </c>
      <c r="F28" s="751">
        <f t="shared" si="8"/>
        <v>7.6276276276276311</v>
      </c>
      <c r="G28" s="840"/>
      <c r="H28" s="842">
        <f>$B$253/B28</f>
        <v>3.1919068545386899</v>
      </c>
    </row>
    <row r="29" spans="1:8" ht="16.5" hidden="1" thickBot="1">
      <c r="A29" s="973" t="s">
        <v>535</v>
      </c>
      <c r="B29" s="748">
        <f>+geral!G1107</f>
        <v>4680</v>
      </c>
      <c r="C29" s="748">
        <f t="shared" si="5"/>
        <v>114.48140900195695</v>
      </c>
      <c r="D29" s="750">
        <f t="shared" si="7"/>
        <v>4.4642857142857206</v>
      </c>
      <c r="E29" s="750">
        <f t="shared" ref="E29:E34" si="9">100*((B29/$B$28)-1)</f>
        <v>4.4642857142857206</v>
      </c>
      <c r="F29" s="751">
        <f t="shared" si="8"/>
        <v>8.2080924855491233</v>
      </c>
      <c r="G29" s="840"/>
      <c r="H29" s="842">
        <f>$B$253/B29</f>
        <v>3.0555005787037035</v>
      </c>
    </row>
    <row r="30" spans="1:8" ht="16.5" hidden="1" thickBot="1">
      <c r="A30" s="973" t="s">
        <v>536</v>
      </c>
      <c r="B30" s="748">
        <f>+geral!G1108</f>
        <v>4537.5</v>
      </c>
      <c r="C30" s="748">
        <f t="shared" si="5"/>
        <v>110.99559686888453</v>
      </c>
      <c r="D30" s="750">
        <f t="shared" ref="D30:D35" si="10">100*((B30/B29)-1)</f>
        <v>-3.0448717948717952</v>
      </c>
      <c r="E30" s="750">
        <f t="shared" si="9"/>
        <v>1.2834821428571397</v>
      </c>
      <c r="F30" s="751">
        <f t="shared" si="8"/>
        <v>0.83333333333333037</v>
      </c>
      <c r="G30" s="840"/>
      <c r="H30" s="842">
        <f>$B$253/B30</f>
        <v>3.1514584481175385</v>
      </c>
    </row>
    <row r="31" spans="1:8" ht="16.5" hidden="1" thickBot="1">
      <c r="A31" s="973" t="s">
        <v>537</v>
      </c>
      <c r="B31" s="748">
        <f>+geral!G1109</f>
        <v>4565</v>
      </c>
      <c r="C31" s="748">
        <f t="shared" si="5"/>
        <v>111.66829745596868</v>
      </c>
      <c r="D31" s="750">
        <f t="shared" si="10"/>
        <v>0.60606060606060996</v>
      </c>
      <c r="E31" s="750">
        <f t="shared" si="9"/>
        <v>1.8973214285714191</v>
      </c>
      <c r="F31" s="751">
        <f t="shared" si="8"/>
        <v>4.3428571428571372</v>
      </c>
      <c r="G31" s="840"/>
      <c r="H31" s="842">
        <f>$B$253/B31</f>
        <v>3.1324737586710474</v>
      </c>
    </row>
    <row r="32" spans="1:8" ht="16.5" hidden="1" thickBot="1">
      <c r="A32" s="973" t="s">
        <v>538</v>
      </c>
      <c r="B32" s="748">
        <f>+geral!G1110</f>
        <v>4510</v>
      </c>
      <c r="C32" s="748">
        <f t="shared" si="5"/>
        <v>110.3228962818004</v>
      </c>
      <c r="D32" s="750">
        <f t="shared" si="10"/>
        <v>-1.2048192771084376</v>
      </c>
      <c r="E32" s="750">
        <f t="shared" si="9"/>
        <v>0.66964285714286031</v>
      </c>
      <c r="F32" s="751">
        <f t="shared" ref="F32:F37" si="11">100*((B32/B20)-1)</f>
        <v>2.1517553793884536</v>
      </c>
      <c r="G32" s="840">
        <f>100*(B32/B8-1)</f>
        <v>10.322896281800386</v>
      </c>
      <c r="H32" s="842">
        <f>$B$253/B32</f>
        <v>3.170674658167036</v>
      </c>
    </row>
    <row r="33" spans="1:8" ht="16.5" hidden="1" thickBot="1">
      <c r="A33" s="973" t="s">
        <v>539</v>
      </c>
      <c r="B33" s="748">
        <f>+geral!G1111</f>
        <v>4443.3999999999996</v>
      </c>
      <c r="C33" s="748">
        <f t="shared" si="5"/>
        <v>108.69373776908022</v>
      </c>
      <c r="D33" s="750">
        <f t="shared" si="10"/>
        <v>-1.4767184035476832</v>
      </c>
      <c r="E33" s="750">
        <f t="shared" si="9"/>
        <v>-0.81696428571429447</v>
      </c>
      <c r="F33" s="751">
        <f t="shared" si="11"/>
        <v>1.4474885844748764</v>
      </c>
      <c r="G33" s="840">
        <f t="shared" ref="G33:G41" si="12">100*(B33/B9-1)</f>
        <v>7.5883777239709405</v>
      </c>
      <c r="H33" s="842">
        <f>$B$253/B33</f>
        <v>3.2181983859957088</v>
      </c>
    </row>
    <row r="34" spans="1:8" ht="16.5" hidden="1" thickBot="1">
      <c r="A34" s="973" t="s">
        <v>540</v>
      </c>
      <c r="B34" s="748">
        <f>+geral!G1112</f>
        <v>4410</v>
      </c>
      <c r="C34" s="748">
        <f t="shared" si="5"/>
        <v>107.87671232876713</v>
      </c>
      <c r="D34" s="750">
        <f t="shared" si="10"/>
        <v>-0.75167664401133427</v>
      </c>
      <c r="E34" s="750">
        <f t="shared" si="9"/>
        <v>-1.5625</v>
      </c>
      <c r="F34" s="751">
        <f t="shared" si="11"/>
        <v>-1.0767160161507361</v>
      </c>
      <c r="G34" s="840">
        <f t="shared" si="12"/>
        <v>6.7279767666989398</v>
      </c>
      <c r="H34" s="842">
        <f>$B$253/B34</f>
        <v>3.2425720427059708</v>
      </c>
    </row>
    <row r="35" spans="1:8" ht="16.5" hidden="1" thickBot="1">
      <c r="A35" s="973" t="s">
        <v>541</v>
      </c>
      <c r="B35" s="748">
        <f>+geral!G1113</f>
        <v>4656</v>
      </c>
      <c r="C35" s="748">
        <f t="shared" si="5"/>
        <v>113.89432485322897</v>
      </c>
      <c r="D35" s="750">
        <f t="shared" si="10"/>
        <v>5.5782312925169997</v>
      </c>
      <c r="E35" s="750">
        <f t="shared" ref="E35:E40" si="13">100*((B35/$B$28)-1)</f>
        <v>3.9285714285714368</v>
      </c>
      <c r="F35" s="751">
        <f t="shared" si="11"/>
        <v>7.2959395308107133</v>
      </c>
      <c r="G35" s="840">
        <f t="shared" si="12"/>
        <v>12.736077481840201</v>
      </c>
      <c r="H35" s="842">
        <f>$B$253/B35</f>
        <v>3.0712505816867122</v>
      </c>
    </row>
    <row r="36" spans="1:8" ht="16.5" hidden="1" thickBot="1">
      <c r="A36" s="973" t="s">
        <v>542</v>
      </c>
      <c r="B36" s="748">
        <f>+geral!G1114</f>
        <v>4592</v>
      </c>
      <c r="C36" s="748">
        <f t="shared" si="5"/>
        <v>112.32876712328768</v>
      </c>
      <c r="D36" s="750">
        <f t="shared" ref="D36:D41" si="14">100*((B36/B35)-1)</f>
        <v>-1.3745704467353903</v>
      </c>
      <c r="E36" s="750">
        <f t="shared" si="13"/>
        <v>2.4999999999999911</v>
      </c>
      <c r="F36" s="751">
        <f t="shared" si="11"/>
        <v>3.0289432353601153</v>
      </c>
      <c r="G36" s="840">
        <f t="shared" si="12"/>
        <v>8.3018867924528283</v>
      </c>
      <c r="H36" s="842">
        <f>$B$253/B36</f>
        <v>3.1140554678426242</v>
      </c>
    </row>
    <row r="37" spans="1:8" ht="16.5" hidden="1" thickBot="1">
      <c r="A37" s="973" t="s">
        <v>543</v>
      </c>
      <c r="B37" s="748">
        <f>+geral!G1115</f>
        <v>4580</v>
      </c>
      <c r="C37" s="748">
        <f t="shared" si="5"/>
        <v>112.03522504892368</v>
      </c>
      <c r="D37" s="750">
        <f t="shared" si="14"/>
        <v>-0.26132404181185009</v>
      </c>
      <c r="E37" s="750">
        <f t="shared" si="13"/>
        <v>2.2321428571428603</v>
      </c>
      <c r="F37" s="751">
        <f t="shared" si="11"/>
        <v>1.5701233034684625</v>
      </c>
      <c r="G37" s="840">
        <f t="shared" si="12"/>
        <v>10.122625631161331</v>
      </c>
      <c r="H37" s="842">
        <f>$B$253/B37</f>
        <v>3.122214565138282</v>
      </c>
    </row>
    <row r="38" spans="1:8" ht="16.5" hidden="1" thickBot="1">
      <c r="A38" s="973" t="s">
        <v>532</v>
      </c>
      <c r="B38" s="748">
        <f>+geral!G1116</f>
        <v>4820</v>
      </c>
      <c r="C38" s="748">
        <f t="shared" si="5"/>
        <v>117.90606653620353</v>
      </c>
      <c r="D38" s="750">
        <f t="shared" si="14"/>
        <v>5.240174672489073</v>
      </c>
      <c r="E38" s="750">
        <f t="shared" si="13"/>
        <v>7.5892857142857206</v>
      </c>
      <c r="F38" s="751">
        <f t="shared" ref="F38:F43" si="15">100*((B38/B26)-1)</f>
        <v>7.3496659242761719</v>
      </c>
      <c r="G38" s="840">
        <f t="shared" si="12"/>
        <v>14.898688915375446</v>
      </c>
      <c r="H38" s="842">
        <f>$B$253/B38</f>
        <v>2.9667515992392803</v>
      </c>
    </row>
    <row r="39" spans="1:8" ht="16.5" hidden="1" thickBot="1">
      <c r="A39" s="973" t="s">
        <v>544</v>
      </c>
      <c r="B39" s="748">
        <f>+geral!G1117</f>
        <v>5400</v>
      </c>
      <c r="C39" s="748">
        <f t="shared" si="5"/>
        <v>132.09393346379647</v>
      </c>
      <c r="D39" s="750">
        <f t="shared" si="14"/>
        <v>12.03319502074689</v>
      </c>
      <c r="E39" s="750">
        <f t="shared" si="13"/>
        <v>20.535714285714278</v>
      </c>
      <c r="F39" s="751">
        <f t="shared" si="15"/>
        <v>26.315789473684205</v>
      </c>
      <c r="G39" s="840">
        <f t="shared" si="12"/>
        <v>20.940649496080631</v>
      </c>
      <c r="H39" s="842">
        <f>$B$253/B39</f>
        <v>2.6481005015432095</v>
      </c>
    </row>
    <row r="40" spans="1:8" ht="16.5" hidden="1" thickBot="1">
      <c r="A40" s="973" t="s">
        <v>545</v>
      </c>
      <c r="B40" s="748">
        <f>+geral!G1118</f>
        <v>5440</v>
      </c>
      <c r="C40" s="748">
        <f t="shared" si="5"/>
        <v>133.07240704500978</v>
      </c>
      <c r="D40" s="750">
        <f t="shared" si="14"/>
        <v>0.74074074074073071</v>
      </c>
      <c r="E40" s="750">
        <f t="shared" si="13"/>
        <v>21.42857142857142</v>
      </c>
      <c r="F40" s="751">
        <f t="shared" si="15"/>
        <v>21.42857142857142</v>
      </c>
      <c r="G40" s="840">
        <f t="shared" si="12"/>
        <v>30.69069069069068</v>
      </c>
      <c r="H40" s="842">
        <f>$B$253/B40</f>
        <v>2.62862917432598</v>
      </c>
    </row>
    <row r="41" spans="1:8" ht="16.5" hidden="1" thickBot="1">
      <c r="A41" s="973" t="s">
        <v>565</v>
      </c>
      <c r="B41" s="748">
        <f>+geral!I1107</f>
        <v>5858</v>
      </c>
      <c r="C41" s="748">
        <f t="shared" si="5"/>
        <v>143.29745596868884</v>
      </c>
      <c r="D41" s="750">
        <f t="shared" si="14"/>
        <v>7.6838235294117707</v>
      </c>
      <c r="E41" s="750">
        <f t="shared" ref="E41:E46" si="16">100*((B41/$B$40)-1)</f>
        <v>7.6838235294117707</v>
      </c>
      <c r="F41" s="751">
        <f t="shared" si="15"/>
        <v>25.17094017094017</v>
      </c>
      <c r="G41" s="840">
        <f t="shared" si="12"/>
        <v>35.445086705202321</v>
      </c>
      <c r="H41" s="842">
        <f>$B$253/B41</f>
        <v>2.4410622581654713</v>
      </c>
    </row>
    <row r="42" spans="1:8" ht="16.5" hidden="1" thickBot="1">
      <c r="A42" s="973" t="s">
        <v>566</v>
      </c>
      <c r="B42" s="748">
        <f>+geral!I1108</f>
        <v>5880</v>
      </c>
      <c r="C42" s="748">
        <f t="shared" si="5"/>
        <v>143.83561643835617</v>
      </c>
      <c r="D42" s="750">
        <f t="shared" ref="D42:D47" si="17">100*((B42/B41)-1)</f>
        <v>0.37555479685900117</v>
      </c>
      <c r="E42" s="750">
        <f t="shared" si="16"/>
        <v>8.0882352941176414</v>
      </c>
      <c r="F42" s="751">
        <f t="shared" si="15"/>
        <v>29.586776859504127</v>
      </c>
      <c r="G42" s="840">
        <f t="shared" ref="G42:G47" si="18">100*(B42/B18-1)</f>
        <v>30.666666666666664</v>
      </c>
      <c r="H42" s="842">
        <f>$B$253/B42</f>
        <v>2.431929032029478</v>
      </c>
    </row>
    <row r="43" spans="1:8" ht="16.5" hidden="1" thickBot="1">
      <c r="A43" s="973" t="s">
        <v>567</v>
      </c>
      <c r="B43" s="748">
        <f>+geral!I1109</f>
        <v>5940</v>
      </c>
      <c r="C43" s="748">
        <f t="shared" si="5"/>
        <v>145.30332681017612</v>
      </c>
      <c r="D43" s="750">
        <f t="shared" si="17"/>
        <v>1.0204081632652962</v>
      </c>
      <c r="E43" s="750">
        <f t="shared" si="16"/>
        <v>9.1911764705882248</v>
      </c>
      <c r="F43" s="751">
        <f t="shared" si="15"/>
        <v>30.120481927710841</v>
      </c>
      <c r="G43" s="840">
        <f t="shared" si="18"/>
        <v>35.771428571428565</v>
      </c>
      <c r="H43" s="842">
        <f>$B$253/B43</f>
        <v>2.4073640923120085</v>
      </c>
    </row>
    <row r="44" spans="1:8" ht="16.5" hidden="1" thickBot="1">
      <c r="A44" s="973" t="s">
        <v>568</v>
      </c>
      <c r="B44" s="748">
        <f>+geral!I1110</f>
        <v>5890</v>
      </c>
      <c r="C44" s="748">
        <f t="shared" si="5"/>
        <v>144.08023483365949</v>
      </c>
      <c r="D44" s="750">
        <f t="shared" si="17"/>
        <v>-0.84175084175084347</v>
      </c>
      <c r="E44" s="750">
        <f t="shared" si="16"/>
        <v>8.2720588235294166</v>
      </c>
      <c r="F44" s="751">
        <f t="shared" ref="F44:F49" si="19">100*((B44/B32)-1)</f>
        <v>30.598669623059859</v>
      </c>
      <c r="G44" s="840">
        <f t="shared" si="18"/>
        <v>33.40883352208381</v>
      </c>
      <c r="H44" s="842">
        <f>$B$253/B44</f>
        <v>2.4278001202603279</v>
      </c>
    </row>
    <row r="45" spans="1:8" ht="16.5" hidden="1" thickBot="1">
      <c r="A45" s="973" t="s">
        <v>569</v>
      </c>
      <c r="B45" s="748">
        <f>+geral!I1111</f>
        <v>6240</v>
      </c>
      <c r="C45" s="748">
        <f t="shared" si="5"/>
        <v>152.64187866927594</v>
      </c>
      <c r="D45" s="750">
        <f t="shared" si="17"/>
        <v>5.9422750424448223</v>
      </c>
      <c r="E45" s="750">
        <f t="shared" si="16"/>
        <v>14.705882352941169</v>
      </c>
      <c r="F45" s="751">
        <f t="shared" si="19"/>
        <v>40.433001755412533</v>
      </c>
      <c r="G45" s="840">
        <f t="shared" si="18"/>
        <v>42.465753424657528</v>
      </c>
      <c r="H45" s="842">
        <f>$B$253/B45</f>
        <v>2.2916254340277775</v>
      </c>
    </row>
    <row r="46" spans="1:8" ht="16.5" hidden="1" thickBot="1">
      <c r="A46" s="973" t="s">
        <v>570</v>
      </c>
      <c r="B46" s="748">
        <f>+geral!I1112</f>
        <v>5960</v>
      </c>
      <c r="C46" s="748">
        <f t="shared" si="5"/>
        <v>145.79256360078278</v>
      </c>
      <c r="D46" s="750">
        <f t="shared" si="17"/>
        <v>-4.4871794871794819</v>
      </c>
      <c r="E46" s="750">
        <f t="shared" si="16"/>
        <v>9.5588235294117752</v>
      </c>
      <c r="F46" s="751">
        <f t="shared" si="19"/>
        <v>35.147392290249435</v>
      </c>
      <c r="G46" s="840">
        <f t="shared" si="18"/>
        <v>33.692238672050244</v>
      </c>
      <c r="H46" s="842">
        <f>$B$253/B46</f>
        <v>2.3992856893176731</v>
      </c>
    </row>
    <row r="47" spans="1:8" ht="16.5" hidden="1" thickBot="1">
      <c r="A47" s="973" t="s">
        <v>571</v>
      </c>
      <c r="B47" s="748">
        <f>+geral!I1113</f>
        <v>6180</v>
      </c>
      <c r="C47" s="748">
        <f t="shared" si="5"/>
        <v>151.17416829745596</v>
      </c>
      <c r="D47" s="750">
        <f t="shared" si="17"/>
        <v>3.691275167785224</v>
      </c>
      <c r="E47" s="750">
        <f t="shared" ref="E47:E52" si="20">100*((B47/$B$40)-1)</f>
        <v>13.602941176470583</v>
      </c>
      <c r="F47" s="751">
        <f t="shared" si="19"/>
        <v>32.731958762886592</v>
      </c>
      <c r="G47" s="840">
        <f t="shared" si="18"/>
        <v>42.416002212287431</v>
      </c>
      <c r="H47" s="842">
        <f>$B$253/B47</f>
        <v>2.3138742246494064</v>
      </c>
    </row>
    <row r="48" spans="1:8" ht="16.5" hidden="1" thickBot="1">
      <c r="A48" s="973" t="s">
        <v>572</v>
      </c>
      <c r="B48" s="748">
        <f>+geral!I1114</f>
        <v>5925</v>
      </c>
      <c r="C48" s="748">
        <f t="shared" si="5"/>
        <v>144.93639921722112</v>
      </c>
      <c r="D48" s="750">
        <f t="shared" ref="D48:D53" si="21">100*((B48/B47)-1)</f>
        <v>-4.1262135922330074</v>
      </c>
      <c r="E48" s="750">
        <f t="shared" si="20"/>
        <v>8.9154411764705834</v>
      </c>
      <c r="F48" s="751">
        <f t="shared" si="19"/>
        <v>29.028745644599297</v>
      </c>
      <c r="G48" s="840">
        <f t="shared" ref="G48:G53" si="22">100*(B48/B24-1)</f>
        <v>32.936953107471403</v>
      </c>
      <c r="H48" s="842">
        <f>$B$253/B48</f>
        <v>2.4134586849507733</v>
      </c>
    </row>
    <row r="49" spans="1:8" ht="16.5" hidden="1" thickBot="1">
      <c r="A49" s="973" t="s">
        <v>573</v>
      </c>
      <c r="B49" s="748">
        <f>+geral!I1115</f>
        <v>5900</v>
      </c>
      <c r="C49" s="748">
        <f t="shared" si="5"/>
        <v>144.32485322896281</v>
      </c>
      <c r="D49" s="750">
        <f t="shared" si="21"/>
        <v>-0.42194092827003704</v>
      </c>
      <c r="E49" s="750">
        <f t="shared" si="20"/>
        <v>8.4558823529411686</v>
      </c>
      <c r="F49" s="751">
        <f t="shared" si="19"/>
        <v>28.820960698689959</v>
      </c>
      <c r="G49" s="840">
        <f t="shared" si="22"/>
        <v>30.843608622372052</v>
      </c>
      <c r="H49" s="842">
        <f>$B$253/B49</f>
        <v>2.4236852048022595</v>
      </c>
    </row>
    <row r="50" spans="1:8" ht="16.5" hidden="1" thickBot="1">
      <c r="A50" s="973" t="s">
        <v>396</v>
      </c>
      <c r="B50" s="748">
        <f>+geral!I1116</f>
        <v>6051.2</v>
      </c>
      <c r="C50" s="748">
        <f t="shared" si="5"/>
        <v>148.02348336594912</v>
      </c>
      <c r="D50" s="750">
        <f t="shared" si="21"/>
        <v>2.5627118644067748</v>
      </c>
      <c r="E50" s="750">
        <f t="shared" si="20"/>
        <v>11.235294117647054</v>
      </c>
      <c r="F50" s="751">
        <f t="shared" ref="F50:F55" si="23">100*((B50/B38)-1)</f>
        <v>25.543568464730292</v>
      </c>
      <c r="G50" s="840">
        <f t="shared" si="22"/>
        <v>34.770601336302896</v>
      </c>
      <c r="H50" s="842">
        <f>$B$253/B50</f>
        <v>2.3631251170566716</v>
      </c>
    </row>
    <row r="51" spans="1:8" ht="16.5" hidden="1" thickBot="1">
      <c r="A51" s="973" t="s">
        <v>397</v>
      </c>
      <c r="B51" s="748">
        <f>+geral!I1117</f>
        <v>6054</v>
      </c>
      <c r="C51" s="748">
        <f t="shared" si="5"/>
        <v>148.09197651663405</v>
      </c>
      <c r="D51" s="750">
        <f t="shared" si="21"/>
        <v>4.6271813855103261E-2</v>
      </c>
      <c r="E51" s="750">
        <f t="shared" si="20"/>
        <v>11.286764705882346</v>
      </c>
      <c r="F51" s="751">
        <f t="shared" si="23"/>
        <v>12.111111111111118</v>
      </c>
      <c r="G51" s="840">
        <f t="shared" si="22"/>
        <v>41.614035087719301</v>
      </c>
      <c r="H51" s="842">
        <f>$B$253/B51</f>
        <v>2.3620321619315052</v>
      </c>
    </row>
    <row r="52" spans="1:8" ht="16.5" hidden="1" thickBot="1">
      <c r="A52" s="973" t="s">
        <v>398</v>
      </c>
      <c r="B52" s="748">
        <f>+geral!I1118</f>
        <v>6350</v>
      </c>
      <c r="C52" s="748">
        <f t="shared" si="5"/>
        <v>155.33268101761252</v>
      </c>
      <c r="D52" s="750">
        <f t="shared" si="21"/>
        <v>4.8893293690122297</v>
      </c>
      <c r="E52" s="750">
        <f t="shared" si="20"/>
        <v>16.727941176470583</v>
      </c>
      <c r="F52" s="751">
        <f t="shared" si="23"/>
        <v>16.727941176470583</v>
      </c>
      <c r="G52" s="840">
        <f t="shared" si="22"/>
        <v>41.741071428571416</v>
      </c>
      <c r="H52" s="842">
        <f>$B$253/B52</f>
        <v>2.2519279855643042</v>
      </c>
    </row>
    <row r="53" spans="1:8" ht="16.5" hidden="1" thickBot="1">
      <c r="A53" s="973" t="s">
        <v>399</v>
      </c>
      <c r="B53" s="748">
        <f>+geral!K1107</f>
        <v>6040</v>
      </c>
      <c r="C53" s="748">
        <f t="shared" si="5"/>
        <v>147.7495107632094</v>
      </c>
      <c r="D53" s="750">
        <f t="shared" si="21"/>
        <v>-4.8818897637795233</v>
      </c>
      <c r="E53" s="750">
        <f t="shared" ref="E53:E58" si="24">100*((B53/$B$52)-1)</f>
        <v>-4.8818897637795233</v>
      </c>
      <c r="F53" s="751">
        <f t="shared" si="23"/>
        <v>3.1068624103789633</v>
      </c>
      <c r="G53" s="840">
        <f t="shared" si="22"/>
        <v>29.059829059829067</v>
      </c>
      <c r="H53" s="842">
        <f>$B$253/B53</f>
        <v>2.3675070709161146</v>
      </c>
    </row>
    <row r="54" spans="1:8" ht="16.5" hidden="1" thickBot="1">
      <c r="A54" s="973" t="s">
        <v>400</v>
      </c>
      <c r="B54" s="748">
        <f>+geral!K1108</f>
        <v>6165</v>
      </c>
      <c r="C54" s="748">
        <f t="shared" si="5"/>
        <v>150.80724070450097</v>
      </c>
      <c r="D54" s="750">
        <f t="shared" ref="D54:D59" si="25">100*((B54/B53)-1)</f>
        <v>2.0695364238410674</v>
      </c>
      <c r="E54" s="750">
        <f t="shared" si="24"/>
        <v>-2.9133858267716528</v>
      </c>
      <c r="F54" s="751">
        <f t="shared" si="23"/>
        <v>4.8469387755102122</v>
      </c>
      <c r="G54" s="840">
        <f t="shared" ref="G54:G59" si="26">100*(B54/B30-1)</f>
        <v>35.867768595041326</v>
      </c>
      <c r="H54" s="842">
        <f>$B$253/B54</f>
        <v>2.3195040889429572</v>
      </c>
    </row>
    <row r="55" spans="1:8" ht="16.5" hidden="1" thickBot="1">
      <c r="A55" s="973" t="s">
        <v>401</v>
      </c>
      <c r="B55" s="748">
        <f>+geral!K1109</f>
        <v>6220</v>
      </c>
      <c r="C55" s="748">
        <f t="shared" si="5"/>
        <v>152.15264187866927</v>
      </c>
      <c r="D55" s="750">
        <f t="shared" si="25"/>
        <v>0.8921330089213253</v>
      </c>
      <c r="E55" s="750">
        <f t="shared" si="24"/>
        <v>-2.0472440944881876</v>
      </c>
      <c r="F55" s="751">
        <f t="shared" si="23"/>
        <v>4.7138047138047146</v>
      </c>
      <c r="G55" s="840">
        <f t="shared" si="26"/>
        <v>36.254107338444697</v>
      </c>
      <c r="H55" s="842">
        <f>$B$253/B55</f>
        <v>2.298994004555198</v>
      </c>
    </row>
    <row r="56" spans="1:8" ht="16.5" hidden="1" thickBot="1">
      <c r="A56" s="973" t="s">
        <v>402</v>
      </c>
      <c r="B56" s="748">
        <f>+geral!K1110</f>
        <v>6239.6</v>
      </c>
      <c r="C56" s="748">
        <f t="shared" si="5"/>
        <v>152.63209393346381</v>
      </c>
      <c r="D56" s="750">
        <f t="shared" si="25"/>
        <v>0.3151125401929411</v>
      </c>
      <c r="E56" s="750">
        <f t="shared" si="24"/>
        <v>-1.7385826771653456</v>
      </c>
      <c r="F56" s="751">
        <f t="shared" ref="F56:F61" si="27">100*((B56/B44)-1)</f>
        <v>5.9354838709677393</v>
      </c>
      <c r="G56" s="840">
        <f t="shared" si="26"/>
        <v>38.350332594235034</v>
      </c>
      <c r="H56" s="842">
        <f>$B$253/B56</f>
        <v>2.2917723425112717</v>
      </c>
    </row>
    <row r="57" spans="1:8" ht="16.5" hidden="1" thickBot="1">
      <c r="A57" s="973" t="s">
        <v>403</v>
      </c>
      <c r="B57" s="748">
        <f>+geral!K1111</f>
        <v>6275</v>
      </c>
      <c r="C57" s="748">
        <f t="shared" si="5"/>
        <v>153.49804305283757</v>
      </c>
      <c r="D57" s="750">
        <f t="shared" si="25"/>
        <v>0.56734406051668351</v>
      </c>
      <c r="E57" s="750">
        <f t="shared" si="24"/>
        <v>-1.1811023622047223</v>
      </c>
      <c r="F57" s="751">
        <f t="shared" si="27"/>
        <v>0.56089743589744501</v>
      </c>
      <c r="G57" s="840">
        <f t="shared" si="26"/>
        <v>41.220686861412446</v>
      </c>
      <c r="H57" s="842">
        <f>$B$253/B57</f>
        <v>2.2788434594953517</v>
      </c>
    </row>
    <row r="58" spans="1:8" ht="16.5" hidden="1" thickBot="1">
      <c r="A58" s="973" t="s">
        <v>404</v>
      </c>
      <c r="B58" s="748">
        <f>+geral!K1112</f>
        <v>6310</v>
      </c>
      <c r="C58" s="748">
        <f t="shared" si="5"/>
        <v>154.35420743639921</v>
      </c>
      <c r="D58" s="750">
        <f t="shared" si="25"/>
        <v>0.55776892430279279</v>
      </c>
      <c r="E58" s="750">
        <f t="shared" si="24"/>
        <v>-0.62992125984252523</v>
      </c>
      <c r="F58" s="751">
        <f t="shared" si="27"/>
        <v>5.8724832214765099</v>
      </c>
      <c r="G58" s="840">
        <f t="shared" si="26"/>
        <v>43.083900226757365</v>
      </c>
      <c r="H58" s="842">
        <f>$B$253/B58</f>
        <v>2.2662032818277864</v>
      </c>
    </row>
    <row r="59" spans="1:8" ht="16.5" hidden="1" thickBot="1">
      <c r="A59" s="973" t="s">
        <v>405</v>
      </c>
      <c r="B59" s="748">
        <f>+geral!K1113</f>
        <v>6736</v>
      </c>
      <c r="C59" s="748">
        <f t="shared" si="5"/>
        <v>164.77495107632095</v>
      </c>
      <c r="D59" s="750">
        <f t="shared" si="25"/>
        <v>6.7511885895404022</v>
      </c>
      <c r="E59" s="750">
        <f t="shared" ref="E59:E64" si="28">100*((B59/$B$52)-1)</f>
        <v>6.0787401574803113</v>
      </c>
      <c r="F59" s="751">
        <f t="shared" si="27"/>
        <v>8.9967637540453005</v>
      </c>
      <c r="G59" s="840">
        <f t="shared" si="26"/>
        <v>44.673539518900341</v>
      </c>
      <c r="H59" s="842">
        <f>$B$253/B59</f>
        <v>2.1228834186955656</v>
      </c>
    </row>
    <row r="60" spans="1:8" ht="16.5" hidden="1" thickBot="1">
      <c r="A60" s="973" t="s">
        <v>406</v>
      </c>
      <c r="B60" s="748">
        <f>+geral!K1114</f>
        <v>6645</v>
      </c>
      <c r="C60" s="748">
        <f t="shared" si="5"/>
        <v>162.54892367906066</v>
      </c>
      <c r="D60" s="750">
        <f t="shared" ref="D60:D65" si="29">100*((B60/B59)-1)</f>
        <v>-1.3509501187648487</v>
      </c>
      <c r="E60" s="750">
        <f t="shared" si="28"/>
        <v>4.6456692913385833</v>
      </c>
      <c r="F60" s="751">
        <f t="shared" si="27"/>
        <v>12.151898734177212</v>
      </c>
      <c r="G60" s="840">
        <f t="shared" ref="G60:G65" si="30">100*(B60/B36-1)</f>
        <v>44.708188153310104</v>
      </c>
      <c r="H60" s="842">
        <f>$B$253/B60</f>
        <v>2.151955260847755</v>
      </c>
    </row>
    <row r="61" spans="1:8" ht="16.5" hidden="1" thickBot="1">
      <c r="A61" s="973" t="s">
        <v>407</v>
      </c>
      <c r="B61" s="748">
        <f>+geral!K1115</f>
        <v>7020</v>
      </c>
      <c r="C61" s="748">
        <f t="shared" si="5"/>
        <v>171.72211350293543</v>
      </c>
      <c r="D61" s="750">
        <f t="shared" si="29"/>
        <v>5.6433408577878152</v>
      </c>
      <c r="E61" s="750">
        <f t="shared" si="28"/>
        <v>10.551181102362195</v>
      </c>
      <c r="F61" s="751">
        <f t="shared" si="27"/>
        <v>18.983050847457616</v>
      </c>
      <c r="G61" s="840">
        <f t="shared" si="30"/>
        <v>53.275109170305669</v>
      </c>
      <c r="H61" s="842">
        <f>$B$253/B61</f>
        <v>2.037000385802469</v>
      </c>
    </row>
    <row r="62" spans="1:8" ht="16.5" hidden="1" thickBot="1">
      <c r="A62" s="973" t="s">
        <v>408</v>
      </c>
      <c r="B62" s="748">
        <f>+geral!K1116</f>
        <v>7563</v>
      </c>
      <c r="C62" s="748">
        <f t="shared" si="5"/>
        <v>185.00489236790608</v>
      </c>
      <c r="D62" s="750">
        <f t="shared" si="29"/>
        <v>7.7350427350427298</v>
      </c>
      <c r="E62" s="750">
        <f t="shared" si="28"/>
        <v>19.102362204724411</v>
      </c>
      <c r="F62" s="751">
        <f t="shared" ref="F62:F67" si="31">100*((B62/B50)-1)</f>
        <v>24.983474352194612</v>
      </c>
      <c r="G62" s="840">
        <f t="shared" si="30"/>
        <v>56.908713692946058</v>
      </c>
      <c r="H62" s="842">
        <f>$B$253/B62</f>
        <v>1.8907500606020535</v>
      </c>
    </row>
    <row r="63" spans="1:8" ht="16.5" hidden="1" thickBot="1">
      <c r="A63" s="973" t="s">
        <v>409</v>
      </c>
      <c r="B63" s="748">
        <f>+geral!K1117</f>
        <v>7882</v>
      </c>
      <c r="C63" s="748">
        <f t="shared" si="5"/>
        <v>192.8082191780822</v>
      </c>
      <c r="D63" s="750">
        <f t="shared" si="29"/>
        <v>4.2179029485653885</v>
      </c>
      <c r="E63" s="750">
        <f t="shared" si="28"/>
        <v>24.125984251968504</v>
      </c>
      <c r="F63" s="751">
        <f t="shared" si="31"/>
        <v>30.194912454575483</v>
      </c>
      <c r="G63" s="840">
        <f t="shared" si="30"/>
        <v>45.962962962962962</v>
      </c>
      <c r="H63" s="842">
        <f>$B$253/B63</f>
        <v>1.8142276970735005</v>
      </c>
    </row>
    <row r="64" spans="1:8" ht="16.5" hidden="1" thickBot="1">
      <c r="A64" s="973" t="s">
        <v>410</v>
      </c>
      <c r="B64" s="748">
        <f>+geral!K1118</f>
        <v>7900</v>
      </c>
      <c r="C64" s="748">
        <f t="shared" si="5"/>
        <v>193.24853228962817</v>
      </c>
      <c r="D64" s="750">
        <f t="shared" si="29"/>
        <v>0.22836843440749988</v>
      </c>
      <c r="E64" s="750">
        <f t="shared" si="28"/>
        <v>24.409448818897637</v>
      </c>
      <c r="F64" s="751">
        <f t="shared" si="31"/>
        <v>24.409448818897637</v>
      </c>
      <c r="G64" s="840">
        <f t="shared" si="30"/>
        <v>45.220588235294116</v>
      </c>
      <c r="H64" s="842">
        <f>$B$253/B64</f>
        <v>1.8100940137130799</v>
      </c>
    </row>
    <row r="65" spans="1:8" ht="16.5" hidden="1" thickBot="1">
      <c r="A65" s="973" t="s">
        <v>411</v>
      </c>
      <c r="B65" s="748">
        <f>+geral!M1107</f>
        <v>8176.7</v>
      </c>
      <c r="C65" s="748">
        <f t="shared" si="5"/>
        <v>200.01712328767124</v>
      </c>
      <c r="D65" s="750">
        <f t="shared" si="29"/>
        <v>3.5025316455696176</v>
      </c>
      <c r="E65" s="750">
        <f t="shared" ref="E65:E70" si="32">100*((B65/$B$64)-1)</f>
        <v>3.5025316455696176</v>
      </c>
      <c r="F65" s="751">
        <f t="shared" si="31"/>
        <v>35.37582781456954</v>
      </c>
      <c r="G65" s="840">
        <f t="shared" si="30"/>
        <v>39.581768521679763</v>
      </c>
      <c r="H65" s="842">
        <f>$B$253/B65</f>
        <v>1.748840327801354</v>
      </c>
    </row>
    <row r="66" spans="1:8" ht="16.5" hidden="1" thickBot="1">
      <c r="A66" s="973" t="s">
        <v>412</v>
      </c>
      <c r="B66" s="748">
        <f>+geral!M1108</f>
        <v>8310</v>
      </c>
      <c r="C66" s="748">
        <f t="shared" si="5"/>
        <v>203.27788649706457</v>
      </c>
      <c r="D66" s="750">
        <f t="shared" ref="D66:D71" si="33">100*((B66/B65)-1)</f>
        <v>1.6302420291804731</v>
      </c>
      <c r="E66" s="750">
        <f t="shared" si="32"/>
        <v>5.1898734177215244</v>
      </c>
      <c r="F66" s="751">
        <f t="shared" si="31"/>
        <v>34.793187347931863</v>
      </c>
      <c r="G66" s="840">
        <f t="shared" ref="G66:G71" si="34">100*(B66/B42-1)</f>
        <v>41.326530612244895</v>
      </c>
      <c r="H66" s="842">
        <f>$B$253/B66</f>
        <v>1.7207873295226632</v>
      </c>
    </row>
    <row r="67" spans="1:8" ht="16.5" hidden="1" thickBot="1">
      <c r="A67" s="973" t="s">
        <v>413</v>
      </c>
      <c r="B67" s="748">
        <f>+geral!M1109</f>
        <v>8161.43</v>
      </c>
      <c r="C67" s="748">
        <f t="shared" si="5"/>
        <v>199.64359099804307</v>
      </c>
      <c r="D67" s="750">
        <f t="shared" si="33"/>
        <v>-1.7878459687123871</v>
      </c>
      <c r="E67" s="750">
        <f t="shared" si="32"/>
        <v>3.3092405063291253</v>
      </c>
      <c r="F67" s="751">
        <f t="shared" si="31"/>
        <v>31.212700964630223</v>
      </c>
      <c r="G67" s="840">
        <f t="shared" si="34"/>
        <v>37.397811447811449</v>
      </c>
      <c r="H67" s="842">
        <f>$B$253/B67</f>
        <v>1.7521124004412623</v>
      </c>
    </row>
    <row r="68" spans="1:8" ht="16.5" hidden="1" thickBot="1">
      <c r="A68" s="973" t="s">
        <v>414</v>
      </c>
      <c r="B68" s="748">
        <f>+geral!M1110</f>
        <v>8333.2999999999993</v>
      </c>
      <c r="C68" s="748">
        <f t="shared" si="5"/>
        <v>203.8478473581213</v>
      </c>
      <c r="D68" s="750">
        <f t="shared" si="33"/>
        <v>2.1058809546856239</v>
      </c>
      <c r="E68" s="750">
        <f t="shared" si="32"/>
        <v>5.4848101265822624</v>
      </c>
      <c r="F68" s="751">
        <f t="shared" ref="F68:F73" si="35">100*((B68/B56)-1)</f>
        <v>33.555035579203782</v>
      </c>
      <c r="G68" s="840">
        <f t="shared" si="34"/>
        <v>41.482173174872663</v>
      </c>
      <c r="H68" s="842">
        <f>$B$253/B68</f>
        <v>1.7159759889039556</v>
      </c>
    </row>
    <row r="69" spans="1:8" ht="16.5" hidden="1" thickBot="1">
      <c r="A69" s="973" t="s">
        <v>415</v>
      </c>
      <c r="B69" s="748">
        <f>+geral!M1111</f>
        <v>8487.5</v>
      </c>
      <c r="C69" s="748">
        <f t="shared" si="5"/>
        <v>207.61986301369862</v>
      </c>
      <c r="D69" s="750">
        <f t="shared" si="33"/>
        <v>1.8504074016296057</v>
      </c>
      <c r="E69" s="750">
        <f t="shared" si="32"/>
        <v>7.4367088607594889</v>
      </c>
      <c r="F69" s="751">
        <f t="shared" si="35"/>
        <v>35.258964143426283</v>
      </c>
      <c r="G69" s="840">
        <f t="shared" si="34"/>
        <v>36.017628205128219</v>
      </c>
      <c r="H69" s="842">
        <f>$B$253/B69</f>
        <v>1.6848003190967107</v>
      </c>
    </row>
    <row r="70" spans="1:8" ht="16.5" hidden="1" thickBot="1">
      <c r="A70" s="973" t="s">
        <v>416</v>
      </c>
      <c r="B70" s="748">
        <f>+geral!M1112</f>
        <v>8721.67</v>
      </c>
      <c r="C70" s="748">
        <f t="shared" si="5"/>
        <v>213.34809197651663</v>
      </c>
      <c r="D70" s="750">
        <f t="shared" si="33"/>
        <v>2.7589985272459483</v>
      </c>
      <c r="E70" s="750">
        <f t="shared" si="32"/>
        <v>10.400886075949378</v>
      </c>
      <c r="F70" s="751">
        <f t="shared" si="35"/>
        <v>38.219809825673543</v>
      </c>
      <c r="G70" s="840">
        <f t="shared" si="34"/>
        <v>46.336744966442957</v>
      </c>
      <c r="H70" s="842">
        <f>$B$253/B70</f>
        <v>1.6395647517428809</v>
      </c>
    </row>
    <row r="71" spans="1:8" ht="16.5" hidden="1" thickBot="1">
      <c r="A71" s="973" t="s">
        <v>417</v>
      </c>
      <c r="B71" s="748">
        <f>+geral!M1113</f>
        <v>8533.33</v>
      </c>
      <c r="C71" s="748">
        <f t="shared" si="5"/>
        <v>208.74094911937377</v>
      </c>
      <c r="D71" s="750">
        <f t="shared" si="33"/>
        <v>-2.1594488211546636</v>
      </c>
      <c r="E71" s="750">
        <f t="shared" ref="E71:E76" si="36">100*((B71/$B$64)-1)</f>
        <v>8.0168354430379729</v>
      </c>
      <c r="F71" s="751">
        <f t="shared" si="35"/>
        <v>26.68245249406176</v>
      </c>
      <c r="G71" s="840">
        <f t="shared" si="34"/>
        <v>38.079773462783173</v>
      </c>
      <c r="H71" s="842">
        <f>$B$253/B71</f>
        <v>1.6757517532233408</v>
      </c>
    </row>
    <row r="72" spans="1:8" ht="16.5" hidden="1" thickBot="1">
      <c r="A72" s="973" t="s">
        <v>418</v>
      </c>
      <c r="B72" s="748">
        <f>+geral!M1114</f>
        <v>8231.25</v>
      </c>
      <c r="C72" s="748">
        <f t="shared" si="5"/>
        <v>201.35151663405088</v>
      </c>
      <c r="D72" s="750">
        <f t="shared" ref="D72:D77" si="37">100*((B72/B71)-1)</f>
        <v>-3.5400013828130406</v>
      </c>
      <c r="E72" s="750">
        <f t="shared" si="36"/>
        <v>4.1930379746835333</v>
      </c>
      <c r="F72" s="751">
        <f t="shared" si="35"/>
        <v>23.871331828442433</v>
      </c>
      <c r="G72" s="840">
        <f t="shared" ref="G72:G77" si="38">100*(B72/B48-1)</f>
        <v>38.924050632911403</v>
      </c>
      <c r="H72" s="842">
        <f>$B$253/B72</f>
        <v>1.7372504429258413</v>
      </c>
    </row>
    <row r="73" spans="1:8" ht="16.5" hidden="1" thickBot="1">
      <c r="A73" s="973" t="s">
        <v>419</v>
      </c>
      <c r="B73" s="748">
        <f>+geral!M1115</f>
        <v>7947.14</v>
      </c>
      <c r="C73" s="748">
        <f t="shared" si="5"/>
        <v>194.40166340508807</v>
      </c>
      <c r="D73" s="750">
        <f t="shared" si="37"/>
        <v>-3.4516021260440399</v>
      </c>
      <c r="E73" s="750">
        <f t="shared" si="36"/>
        <v>0.59670886075948726</v>
      </c>
      <c r="F73" s="751">
        <f t="shared" si="35"/>
        <v>13.207122507122504</v>
      </c>
      <c r="G73" s="840">
        <f t="shared" si="38"/>
        <v>34.697288135593226</v>
      </c>
      <c r="H73" s="842">
        <f>$B$253/B73</f>
        <v>1.7993570905172591</v>
      </c>
    </row>
    <row r="74" spans="1:8" ht="16.5" hidden="1" thickBot="1">
      <c r="A74" s="973" t="s">
        <v>420</v>
      </c>
      <c r="B74" s="748">
        <f>+geral!M1116</f>
        <v>8513.75</v>
      </c>
      <c r="C74" s="748">
        <f t="shared" si="5"/>
        <v>208.26198630136986</v>
      </c>
      <c r="D74" s="750">
        <f t="shared" si="37"/>
        <v>7.1297347221767726</v>
      </c>
      <c r="E74" s="750">
        <f t="shared" si="36"/>
        <v>7.76898734177216</v>
      </c>
      <c r="F74" s="751">
        <f t="shared" ref="F74:F79" si="39">100*((B74/B62)-1)</f>
        <v>12.571069681343383</v>
      </c>
      <c r="G74" s="840">
        <f t="shared" si="38"/>
        <v>40.695234003172921</v>
      </c>
      <c r="H74" s="842">
        <f>$B$253/B74</f>
        <v>1.6796056624088482</v>
      </c>
    </row>
    <row r="75" spans="1:8" ht="16.5" hidden="1" thickBot="1">
      <c r="A75" s="973" t="s">
        <v>421</v>
      </c>
      <c r="B75" s="748">
        <f>+geral!M1117</f>
        <v>8371.67</v>
      </c>
      <c r="C75" s="748">
        <f t="shared" si="5"/>
        <v>204.78644814090021</v>
      </c>
      <c r="D75" s="750">
        <f t="shared" si="37"/>
        <v>-1.6688298340919117</v>
      </c>
      <c r="E75" s="750">
        <f t="shared" si="36"/>
        <v>5.9705063291139338</v>
      </c>
      <c r="F75" s="751">
        <f t="shared" si="39"/>
        <v>6.2125095153514387</v>
      </c>
      <c r="G75" s="840">
        <f t="shared" si="38"/>
        <v>38.283283779319468</v>
      </c>
      <c r="H75" s="842">
        <f>$B$253/B75</f>
        <v>1.7081111305549945</v>
      </c>
    </row>
    <row r="76" spans="1:8" ht="16.5" hidden="1" thickBot="1">
      <c r="A76" s="973" t="s">
        <v>422</v>
      </c>
      <c r="B76" s="748">
        <f>+geral!M1118</f>
        <v>8330</v>
      </c>
      <c r="C76" s="748">
        <f t="shared" si="5"/>
        <v>203.76712328767124</v>
      </c>
      <c r="D76" s="750">
        <f t="shared" si="37"/>
        <v>-0.49775015020897539</v>
      </c>
      <c r="E76" s="750">
        <f t="shared" si="36"/>
        <v>5.4430379746835511</v>
      </c>
      <c r="F76" s="751">
        <f t="shared" si="39"/>
        <v>5.4430379746835511</v>
      </c>
      <c r="G76" s="840">
        <f t="shared" si="38"/>
        <v>31.181102362204726</v>
      </c>
      <c r="H76" s="842">
        <f>$B$253/B76</f>
        <v>1.7166557873149257</v>
      </c>
    </row>
    <row r="77" spans="1:8" ht="16.5" hidden="1" thickBot="1">
      <c r="A77" s="973" t="s">
        <v>423</v>
      </c>
      <c r="B77" s="748">
        <f>geral!C1122</f>
        <v>8827.5</v>
      </c>
      <c r="C77" s="748">
        <f t="shared" si="5"/>
        <v>215.93688845401175</v>
      </c>
      <c r="D77" s="750">
        <f t="shared" si="37"/>
        <v>5.9723889555822307</v>
      </c>
      <c r="E77" s="750">
        <f t="shared" ref="E77:E82" si="40">100*((B77/$B$76)-1)</f>
        <v>5.9723889555822307</v>
      </c>
      <c r="F77" s="751">
        <f t="shared" si="39"/>
        <v>7.9592011447160882</v>
      </c>
      <c r="G77" s="840">
        <f t="shared" si="38"/>
        <v>46.150662251655625</v>
      </c>
      <c r="H77" s="842">
        <f>$B$253/B77</f>
        <v>1.6199085480978002</v>
      </c>
    </row>
    <row r="78" spans="1:8" ht="16.5" hidden="1" thickBot="1">
      <c r="A78" s="973" t="s">
        <v>424</v>
      </c>
      <c r="B78" s="748">
        <f>geral!C1123</f>
        <v>8725</v>
      </c>
      <c r="C78" s="748">
        <f t="shared" si="5"/>
        <v>213.42954990215264</v>
      </c>
      <c r="D78" s="750">
        <f t="shared" ref="D78:D83" si="41">100*((B78/B77)-1)</f>
        <v>-1.1611441517983545</v>
      </c>
      <c r="E78" s="750">
        <f t="shared" si="40"/>
        <v>4.7418967587034899</v>
      </c>
      <c r="F78" s="751">
        <f t="shared" si="39"/>
        <v>4.9939831528279077</v>
      </c>
      <c r="G78" s="840">
        <f t="shared" ref="G78:G83" si="42">100*(B78/B54-1)</f>
        <v>41.524736415247368</v>
      </c>
      <c r="H78" s="842">
        <f>$B$253/B78</f>
        <v>1.6389389923591211</v>
      </c>
    </row>
    <row r="79" spans="1:8" ht="16.5" hidden="1" thickBot="1">
      <c r="A79" s="973" t="s">
        <v>425</v>
      </c>
      <c r="B79" s="748">
        <f>geral!C1124</f>
        <v>8530.2900000000009</v>
      </c>
      <c r="C79" s="748">
        <f t="shared" si="5"/>
        <v>208.66658512720159</v>
      </c>
      <c r="D79" s="750">
        <f t="shared" si="41"/>
        <v>-2.2316332378223391</v>
      </c>
      <c r="E79" s="750">
        <f t="shared" si="40"/>
        <v>2.4044417767106863</v>
      </c>
      <c r="F79" s="751">
        <f t="shared" si="39"/>
        <v>4.5195511080778905</v>
      </c>
      <c r="G79" s="840">
        <f t="shared" si="42"/>
        <v>37.142926045016097</v>
      </c>
      <c r="H79" s="842">
        <f>$B$253/B79</f>
        <v>1.6763489527710465</v>
      </c>
    </row>
    <row r="80" spans="1:8" ht="16.5" hidden="1" thickBot="1">
      <c r="A80" s="973" t="s">
        <v>426</v>
      </c>
      <c r="B80" s="748">
        <f>geral!C1125</f>
        <v>8455</v>
      </c>
      <c r="C80" s="748">
        <f t="shared" si="5"/>
        <v>206.82485322896281</v>
      </c>
      <c r="D80" s="750">
        <f t="shared" si="41"/>
        <v>-0.88261946545781234</v>
      </c>
      <c r="E80" s="750">
        <f t="shared" si="40"/>
        <v>1.5006002400960394</v>
      </c>
      <c r="F80" s="751">
        <f t="shared" ref="F80:F85" si="43">100*((B80/B68)-1)</f>
        <v>1.4604058416233689</v>
      </c>
      <c r="G80" s="840">
        <f t="shared" si="42"/>
        <v>35.505481120584648</v>
      </c>
      <c r="H80" s="842">
        <f>$B$253/B80</f>
        <v>1.6912764882712397</v>
      </c>
    </row>
    <row r="81" spans="1:10" ht="16.5" hidden="1" thickBot="1">
      <c r="A81" s="973" t="s">
        <v>427</v>
      </c>
      <c r="B81" s="748">
        <f>geral!C1126</f>
        <v>8946.76</v>
      </c>
      <c r="C81" s="748">
        <f t="shared" si="5"/>
        <v>218.85420743639921</v>
      </c>
      <c r="D81" s="750">
        <f t="shared" si="41"/>
        <v>5.816203429923128</v>
      </c>
      <c r="E81" s="750">
        <f t="shared" si="40"/>
        <v>7.4040816326530701</v>
      </c>
      <c r="F81" s="751">
        <f t="shared" si="43"/>
        <v>5.4110162002945605</v>
      </c>
      <c r="G81" s="840">
        <f t="shared" si="42"/>
        <v>42.577848605577692</v>
      </c>
      <c r="H81" s="842">
        <f>$B$253/B81</f>
        <v>1.5983152234253888</v>
      </c>
    </row>
    <row r="82" spans="1:10" ht="16.5" hidden="1" thickBot="1">
      <c r="A82" s="973" t="s">
        <v>428</v>
      </c>
      <c r="B82" s="748">
        <f>geral!C1127</f>
        <v>8917.4</v>
      </c>
      <c r="C82" s="748">
        <f t="shared" si="5"/>
        <v>218.13600782778866</v>
      </c>
      <c r="D82" s="750">
        <f t="shared" si="41"/>
        <v>-0.32816349158801827</v>
      </c>
      <c r="E82" s="750">
        <f t="shared" si="40"/>
        <v>7.0516206482593047</v>
      </c>
      <c r="F82" s="751">
        <f t="shared" si="43"/>
        <v>2.2441803003323768</v>
      </c>
      <c r="G82" s="840">
        <f t="shared" si="42"/>
        <v>41.321711568938177</v>
      </c>
      <c r="H82" s="842">
        <f>$B$253/B82</f>
        <v>1.6035775796009299</v>
      </c>
    </row>
    <row r="83" spans="1:10" ht="16.5" hidden="1" thickBot="1">
      <c r="A83" s="973" t="s">
        <v>429</v>
      </c>
      <c r="B83" s="748">
        <f>geral!C1128</f>
        <v>9148</v>
      </c>
      <c r="C83" s="748">
        <f t="shared" si="5"/>
        <v>223.77690802348337</v>
      </c>
      <c r="D83" s="750">
        <f t="shared" si="41"/>
        <v>2.5859555475811424</v>
      </c>
      <c r="E83" s="750">
        <f t="shared" ref="E83:E88" si="44">100*((B83/$B$76)-1)</f>
        <v>9.8199279711884699</v>
      </c>
      <c r="F83" s="751">
        <f t="shared" si="43"/>
        <v>7.2031668762370549</v>
      </c>
      <c r="G83" s="840">
        <f t="shared" si="42"/>
        <v>35.807600950118768</v>
      </c>
      <c r="H83" s="842">
        <f>$B$253/B83</f>
        <v>1.5631550839892141</v>
      </c>
    </row>
    <row r="84" spans="1:10" ht="16.5" hidden="1" thickBot="1">
      <c r="A84" s="973" t="s">
        <v>430</v>
      </c>
      <c r="B84" s="748">
        <f>geral!C1129</f>
        <v>9098</v>
      </c>
      <c r="C84" s="748">
        <f t="shared" si="5"/>
        <v>222.55381604696674</v>
      </c>
      <c r="D84" s="750">
        <f t="shared" ref="D84:D89" si="45">100*((B84/B83)-1)</f>
        <v>-0.54656755574988836</v>
      </c>
      <c r="E84" s="750">
        <f t="shared" si="44"/>
        <v>9.2196878751500613</v>
      </c>
      <c r="F84" s="751">
        <f t="shared" si="43"/>
        <v>10.529992406985578</v>
      </c>
      <c r="G84" s="840">
        <f t="shared" ref="G84:G89" si="46">100*(B84/B60-1)</f>
        <v>36.914973664409324</v>
      </c>
      <c r="H84" s="842">
        <f>$B$253/B84</f>
        <v>1.5717457362423974</v>
      </c>
    </row>
    <row r="85" spans="1:10" ht="16.5" hidden="1" thickBot="1">
      <c r="A85" s="973" t="s">
        <v>431</v>
      </c>
      <c r="B85" s="748">
        <f>geral!C1130</f>
        <v>9142</v>
      </c>
      <c r="C85" s="748">
        <f t="shared" si="5"/>
        <v>223.63013698630138</v>
      </c>
      <c r="D85" s="750">
        <f t="shared" si="45"/>
        <v>0.48362277423610323</v>
      </c>
      <c r="E85" s="750">
        <f t="shared" si="44"/>
        <v>9.7478991596638753</v>
      </c>
      <c r="F85" s="751">
        <f t="shared" si="43"/>
        <v>15.035094386156533</v>
      </c>
      <c r="G85" s="840">
        <f t="shared" si="46"/>
        <v>30.227920227920222</v>
      </c>
      <c r="H85" s="842">
        <f>$B$253/B85</f>
        <v>1.564181000692773</v>
      </c>
    </row>
    <row r="86" spans="1:10" ht="16.5" hidden="1" thickBot="1">
      <c r="A86" s="973" t="s">
        <v>432</v>
      </c>
      <c r="B86" s="748">
        <f>geral!C1131</f>
        <v>8931.67</v>
      </c>
      <c r="C86" s="748">
        <f t="shared" si="5"/>
        <v>218.48507827788649</v>
      </c>
      <c r="D86" s="750">
        <f t="shared" si="45"/>
        <v>-2.300700065631156</v>
      </c>
      <c r="E86" s="750">
        <f t="shared" si="44"/>
        <v>7.2229291716686683</v>
      </c>
      <c r="F86" s="751">
        <f t="shared" ref="F86:F91" si="47">100*((B86/B74)-1)</f>
        <v>4.9087652327117981</v>
      </c>
      <c r="G86" s="840">
        <f t="shared" si="46"/>
        <v>18.096919211952933</v>
      </c>
      <c r="H86" s="842">
        <f>$B$253/B86</f>
        <v>1.6010155668909993</v>
      </c>
    </row>
    <row r="87" spans="1:10" ht="16.5" hidden="1" thickBot="1">
      <c r="A87" s="973" t="s">
        <v>433</v>
      </c>
      <c r="B87" s="748">
        <f>geral!C1132</f>
        <v>8587.14</v>
      </c>
      <c r="C87" s="748">
        <f t="shared" si="5"/>
        <v>210.05724070450097</v>
      </c>
      <c r="D87" s="750">
        <f t="shared" si="45"/>
        <v>-3.8573973288310137</v>
      </c>
      <c r="E87" s="750">
        <f t="shared" si="44"/>
        <v>3.0869147659063456</v>
      </c>
      <c r="F87" s="751">
        <f t="shared" si="47"/>
        <v>2.5737994928132446</v>
      </c>
      <c r="G87" s="840">
        <f t="shared" si="46"/>
        <v>8.9462065465617755</v>
      </c>
      <c r="H87" s="842">
        <f>$B$253/B87</f>
        <v>1.6652509110522633</v>
      </c>
    </row>
    <row r="88" spans="1:10" ht="16.5" hidden="1" thickBot="1">
      <c r="A88" s="973" t="s">
        <v>434</v>
      </c>
      <c r="B88" s="748">
        <f>geral!C1133</f>
        <v>8366</v>
      </c>
      <c r="C88" s="748">
        <f t="shared" si="5"/>
        <v>204.64774951076322</v>
      </c>
      <c r="D88" s="750">
        <f t="shared" si="45"/>
        <v>-2.5752462403081711</v>
      </c>
      <c r="E88" s="750">
        <f t="shared" si="44"/>
        <v>0.43217286914765118</v>
      </c>
      <c r="F88" s="751">
        <f t="shared" si="47"/>
        <v>0.43217286914765118</v>
      </c>
      <c r="G88" s="840">
        <f t="shared" si="46"/>
        <v>5.8987341772151813</v>
      </c>
      <c r="H88" s="842">
        <f>$B$253/B88</f>
        <v>1.709268791337955</v>
      </c>
    </row>
    <row r="89" spans="1:10" ht="16.5" hidden="1" thickBot="1">
      <c r="A89" s="973" t="s">
        <v>435</v>
      </c>
      <c r="B89" s="748">
        <f>geral!E1122</f>
        <v>8416.67</v>
      </c>
      <c r="C89" s="748">
        <f t="shared" ref="C89:C148" si="48">100*B89/$B$8</f>
        <v>205.88723091976516</v>
      </c>
      <c r="D89" s="750">
        <f t="shared" si="45"/>
        <v>0.60566579010279398</v>
      </c>
      <c r="E89" s="750">
        <f t="shared" ref="E89:E94" si="49">100*((B89/$B$76)-1)</f>
        <v>1.040456182472993</v>
      </c>
      <c r="F89" s="751">
        <f t="shared" si="47"/>
        <v>-4.6539790427640888</v>
      </c>
      <c r="G89" s="840">
        <f t="shared" si="46"/>
        <v>2.9348025487054619</v>
      </c>
      <c r="H89" s="842">
        <f>$B$253/B89</f>
        <v>1.6989786588203328</v>
      </c>
    </row>
    <row r="90" spans="1:10" ht="16.5" hidden="1" thickBot="1">
      <c r="A90" s="973" t="s">
        <v>436</v>
      </c>
      <c r="B90" s="748">
        <f>geral!E1123</f>
        <v>8491.67</v>
      </c>
      <c r="C90" s="748">
        <f t="shared" si="48"/>
        <v>207.72186888454013</v>
      </c>
      <c r="D90" s="750">
        <f t="shared" ref="D90:D100" si="50">100*((B90/B89)-1)</f>
        <v>0.89108875600445447</v>
      </c>
      <c r="E90" s="750">
        <f t="shared" si="49"/>
        <v>1.9408163265306033</v>
      </c>
      <c r="F90" s="751">
        <f t="shared" si="47"/>
        <v>-2.6742693409742113</v>
      </c>
      <c r="G90" s="840">
        <f t="shared" ref="G90:G100" si="51">100*(B90/B66-1)</f>
        <v>2.186161251504215</v>
      </c>
      <c r="H90" s="842">
        <f>$B$253/B90</f>
        <v>1.6839729650744002</v>
      </c>
    </row>
    <row r="91" spans="1:10" ht="16.5" hidden="1" thickBot="1">
      <c r="A91" s="973" t="s">
        <v>437</v>
      </c>
      <c r="B91" s="748">
        <f>geral!E1124</f>
        <v>8605</v>
      </c>
      <c r="C91" s="748">
        <f t="shared" si="48"/>
        <v>210.49412915851272</v>
      </c>
      <c r="D91" s="750">
        <f t="shared" si="50"/>
        <v>1.3346020276341353</v>
      </c>
      <c r="E91" s="750">
        <f t="shared" si="49"/>
        <v>3.3013205282112823</v>
      </c>
      <c r="F91" s="751">
        <f t="shared" si="47"/>
        <v>0.87582016555121101</v>
      </c>
      <c r="G91" s="840">
        <f t="shared" si="51"/>
        <v>5.4349544136260475</v>
      </c>
      <c r="H91" s="842">
        <f>$B$253/B91</f>
        <v>1.6617946203757503</v>
      </c>
    </row>
    <row r="92" spans="1:10" ht="16.5" hidden="1" thickBot="1">
      <c r="A92" s="973" t="s">
        <v>438</v>
      </c>
      <c r="B92" s="748">
        <f>geral!E1125</f>
        <v>8761.33</v>
      </c>
      <c r="C92" s="748">
        <f t="shared" si="48"/>
        <v>214.31824853228963</v>
      </c>
      <c r="D92" s="750">
        <f t="shared" si="50"/>
        <v>1.816734456711222</v>
      </c>
      <c r="E92" s="750">
        <f t="shared" si="49"/>
        <v>5.1780312124849903</v>
      </c>
      <c r="F92" s="751">
        <f t="shared" ref="F92:F100" si="52">100*((B92/B80)-1)</f>
        <v>3.6230632761679482</v>
      </c>
      <c r="G92" s="840">
        <f t="shared" si="51"/>
        <v>5.13638054552219</v>
      </c>
      <c r="H92" s="842">
        <f>$B$253/B92</f>
        <v>1.6321429176087798</v>
      </c>
    </row>
    <row r="93" spans="1:10" ht="16.5" hidden="1" thickBot="1">
      <c r="A93" s="973" t="s">
        <v>439</v>
      </c>
      <c r="B93" s="748">
        <f>geral!E1126</f>
        <v>8708.33</v>
      </c>
      <c r="C93" s="748">
        <f t="shared" si="48"/>
        <v>213.02177103718199</v>
      </c>
      <c r="D93" s="750">
        <f t="shared" si="50"/>
        <v>-0.60493098650546973</v>
      </c>
      <c r="E93" s="750">
        <f t="shared" si="49"/>
        <v>4.5417767106842755</v>
      </c>
      <c r="F93" s="751">
        <f t="shared" si="52"/>
        <v>-2.6649871014758464</v>
      </c>
      <c r="G93" s="840">
        <f t="shared" si="51"/>
        <v>2.6018262150220961</v>
      </c>
      <c r="H93" s="842">
        <f>$B$253/B93</f>
        <v>1.6420763462493189</v>
      </c>
    </row>
    <row r="94" spans="1:10" ht="16.5" hidden="1" thickBot="1">
      <c r="A94" s="973" t="s">
        <v>440</v>
      </c>
      <c r="B94" s="748">
        <f>geral!E1127</f>
        <v>8813.3333333333339</v>
      </c>
      <c r="C94" s="748">
        <f t="shared" si="48"/>
        <v>215.59034572733205</v>
      </c>
      <c r="D94" s="750">
        <f t="shared" si="50"/>
        <v>1.2057803658489519</v>
      </c>
      <c r="E94" s="750">
        <f t="shared" si="49"/>
        <v>5.8023209283713628</v>
      </c>
      <c r="F94" s="751">
        <f t="shared" si="52"/>
        <v>-1.1670068256068533</v>
      </c>
      <c r="G94" s="840">
        <f t="shared" si="51"/>
        <v>1.0509837374417241</v>
      </c>
      <c r="H94" s="842">
        <f>$B$253/B94</f>
        <v>1.6225124101739785</v>
      </c>
    </row>
    <row r="95" spans="1:10" ht="16.5" hidden="1" thickBot="1">
      <c r="A95" s="973" t="s">
        <v>441</v>
      </c>
      <c r="B95" s="748">
        <f>geral!E1128</f>
        <v>9970</v>
      </c>
      <c r="C95" s="748">
        <f t="shared" si="48"/>
        <v>243.88454011741683</v>
      </c>
      <c r="D95" s="750">
        <f t="shared" si="50"/>
        <v>13.124054462934943</v>
      </c>
      <c r="E95" s="750">
        <f t="shared" ref="E95:E100" si="53">100*((B95/$B$76)-1)</f>
        <v>19.68787515006003</v>
      </c>
      <c r="F95" s="751">
        <f t="shared" si="52"/>
        <v>8.9855706165282037</v>
      </c>
      <c r="G95" s="840">
        <f t="shared" si="51"/>
        <v>16.835983139055919</v>
      </c>
      <c r="H95" s="842">
        <f>$B$253/B95</f>
        <v>1.4342771021397525</v>
      </c>
      <c r="I95" s="820" t="s">
        <v>241</v>
      </c>
      <c r="J95" s="821"/>
    </row>
    <row r="96" spans="1:10" ht="16.5" hidden="1" thickBot="1">
      <c r="A96" s="973" t="s">
        <v>442</v>
      </c>
      <c r="B96" s="748">
        <f>geral!E1129</f>
        <v>9686</v>
      </c>
      <c r="C96" s="748">
        <f t="shared" si="48"/>
        <v>236.93737769080235</v>
      </c>
      <c r="D96" s="750">
        <f t="shared" si="50"/>
        <v>-2.8485456369107376</v>
      </c>
      <c r="E96" s="750">
        <f t="shared" si="53"/>
        <v>16.278511404561826</v>
      </c>
      <c r="F96" s="751">
        <f t="shared" si="52"/>
        <v>6.4629588920641856</v>
      </c>
      <c r="G96" s="840">
        <f t="shared" si="51"/>
        <v>17.673500379650719</v>
      </c>
      <c r="H96" s="842">
        <f>$B$253/B96</f>
        <v>1.4763310663156444</v>
      </c>
    </row>
    <row r="97" spans="1:8" ht="16.5" hidden="1" thickBot="1">
      <c r="A97" s="973" t="s">
        <v>443</v>
      </c>
      <c r="B97" s="748">
        <f>geral!E1130</f>
        <v>9860</v>
      </c>
      <c r="C97" s="748">
        <f t="shared" si="48"/>
        <v>241.19373776908023</v>
      </c>
      <c r="D97" s="750">
        <f t="shared" si="50"/>
        <v>1.7964071856287456</v>
      </c>
      <c r="E97" s="750">
        <f t="shared" si="53"/>
        <v>18.367346938775508</v>
      </c>
      <c r="F97" s="751">
        <f t="shared" si="52"/>
        <v>7.8538612994968338</v>
      </c>
      <c r="G97" s="840">
        <f t="shared" si="51"/>
        <v>24.069791144990525</v>
      </c>
      <c r="H97" s="842">
        <f>$B$253/B97</f>
        <v>1.4502781651453682</v>
      </c>
    </row>
    <row r="98" spans="1:8" ht="16.5" hidden="1" thickBot="1">
      <c r="A98" s="973" t="s">
        <v>444</v>
      </c>
      <c r="B98" s="748">
        <f>geral!E1131</f>
        <v>9980</v>
      </c>
      <c r="C98" s="748">
        <f t="shared" si="48"/>
        <v>244.12915851272015</v>
      </c>
      <c r="D98" s="750">
        <f t="shared" si="50"/>
        <v>1.2170385395537497</v>
      </c>
      <c r="E98" s="750">
        <f t="shared" si="53"/>
        <v>19.807923169267717</v>
      </c>
      <c r="F98" s="751">
        <f t="shared" si="52"/>
        <v>11.737222714229256</v>
      </c>
      <c r="G98" s="840">
        <f t="shared" si="51"/>
        <v>17.222140654823082</v>
      </c>
      <c r="H98" s="842">
        <f>$B$253/B98</f>
        <v>1.4328399507348026</v>
      </c>
    </row>
    <row r="99" spans="1:8" ht="16.5" hidden="1" thickBot="1">
      <c r="A99" s="973" t="s">
        <v>445</v>
      </c>
      <c r="B99" s="748">
        <f>geral!E1132</f>
        <v>9997.5</v>
      </c>
      <c r="C99" s="748">
        <f t="shared" si="48"/>
        <v>244.55724070450097</v>
      </c>
      <c r="D99" s="750">
        <f t="shared" si="50"/>
        <v>0.17535070140279885</v>
      </c>
      <c r="E99" s="750">
        <f t="shared" si="53"/>
        <v>20.018007202881162</v>
      </c>
      <c r="F99" s="751">
        <f t="shared" si="52"/>
        <v>16.424094634534914</v>
      </c>
      <c r="G99" s="840">
        <f t="shared" si="51"/>
        <v>19.420617391750984</v>
      </c>
      <c r="H99" s="842">
        <f>$B$253/B99</f>
        <v>1.4303318537967824</v>
      </c>
    </row>
    <row r="100" spans="1:8" ht="16.5" hidden="1" thickBot="1">
      <c r="A100" s="973" t="s">
        <v>446</v>
      </c>
      <c r="B100" s="748">
        <f>geral!E1133</f>
        <v>10011.428571428571</v>
      </c>
      <c r="C100" s="748">
        <f t="shared" si="48"/>
        <v>244.89795918367344</v>
      </c>
      <c r="D100" s="750">
        <f t="shared" si="50"/>
        <v>0.13932054442180597</v>
      </c>
      <c r="E100" s="750">
        <f t="shared" si="53"/>
        <v>20.185216943920416</v>
      </c>
      <c r="F100" s="751">
        <f t="shared" si="52"/>
        <v>19.668044124176088</v>
      </c>
      <c r="G100" s="840">
        <f t="shared" si="51"/>
        <v>20.185216943920416</v>
      </c>
      <c r="H100" s="842">
        <f>$B$253/B100</f>
        <v>1.428341880113204</v>
      </c>
    </row>
    <row r="101" spans="1:8" ht="16.5" hidden="1" thickBot="1">
      <c r="A101" s="973" t="s">
        <v>447</v>
      </c>
      <c r="B101" s="748">
        <f>geral!G1122</f>
        <v>10335</v>
      </c>
      <c r="C101" s="748">
        <f t="shared" si="48"/>
        <v>252.81311154598825</v>
      </c>
      <c r="D101" s="750">
        <f t="shared" ref="D101:D106" si="54">100*((B101/B100)-1)</f>
        <v>3.2320205479452024</v>
      </c>
      <c r="E101" s="750">
        <f t="shared" ref="E101:E106" si="55">100*((B101/$B$100)-1)</f>
        <v>3.2320205479452024</v>
      </c>
      <c r="F101" s="751">
        <f t="shared" ref="F101:F106" si="56">100*((B101/B89)-1)</f>
        <v>22.792030577413634</v>
      </c>
      <c r="G101" s="840">
        <f t="shared" ref="G101:G106" si="57">100*(B101/B77-1)</f>
        <v>17.077315208156342</v>
      </c>
      <c r="H101" s="842">
        <f>$B$253/B101</f>
        <v>1.3836229035639411</v>
      </c>
    </row>
    <row r="102" spans="1:8" ht="16.5" hidden="1" thickBot="1">
      <c r="A102" s="973" t="s">
        <v>448</v>
      </c>
      <c r="B102" s="748">
        <f>geral!G1123</f>
        <v>10211.428571428571</v>
      </c>
      <c r="C102" s="748">
        <f t="shared" si="48"/>
        <v>249.79032708973998</v>
      </c>
      <c r="D102" s="750">
        <f t="shared" si="54"/>
        <v>-1.1956596862257363</v>
      </c>
      <c r="E102" s="750">
        <f t="shared" si="55"/>
        <v>1.997716894977164</v>
      </c>
      <c r="F102" s="751">
        <f t="shared" si="56"/>
        <v>20.252301036528397</v>
      </c>
      <c r="G102" s="840">
        <f t="shared" si="57"/>
        <v>17.036430618092503</v>
      </c>
      <c r="H102" s="842">
        <f>$B$253/B102</f>
        <v>1.4003665215211714</v>
      </c>
    </row>
    <row r="103" spans="1:8" ht="16.5" hidden="1" thickBot="1">
      <c r="A103" s="973" t="s">
        <v>449</v>
      </c>
      <c r="B103" s="748">
        <f>geral!G1124</f>
        <v>10457.142857142857</v>
      </c>
      <c r="C103" s="748">
        <f t="shared" si="48"/>
        <v>255.80095051719317</v>
      </c>
      <c r="D103" s="750">
        <f t="shared" si="54"/>
        <v>2.4062674874090639</v>
      </c>
      <c r="E103" s="750">
        <f t="shared" si="55"/>
        <v>4.4520547945205546</v>
      </c>
      <c r="F103" s="751">
        <f t="shared" si="56"/>
        <v>21.524030879057033</v>
      </c>
      <c r="G103" s="840">
        <f t="shared" si="57"/>
        <v>22.588362847486486</v>
      </c>
      <c r="H103" s="842">
        <f>$B$253/B103</f>
        <v>1.3674617344034607</v>
      </c>
    </row>
    <row r="104" spans="1:8" ht="16.5" hidden="1" thickBot="1">
      <c r="A104" s="973" t="s">
        <v>450</v>
      </c>
      <c r="B104" s="748">
        <f>geral!G1125</f>
        <v>10337.5</v>
      </c>
      <c r="C104" s="748">
        <f t="shared" si="48"/>
        <v>252.8742661448141</v>
      </c>
      <c r="D104" s="750">
        <f t="shared" si="54"/>
        <v>-1.1441256830601043</v>
      </c>
      <c r="E104" s="750">
        <f t="shared" si="55"/>
        <v>3.2569920091324311</v>
      </c>
      <c r="F104" s="751">
        <f t="shared" si="56"/>
        <v>17.990076849062863</v>
      </c>
      <c r="G104" s="840">
        <f t="shared" si="57"/>
        <v>22.264931992903602</v>
      </c>
      <c r="H104" s="842">
        <f>$B$253/B104</f>
        <v>1.3832882910116886</v>
      </c>
    </row>
    <row r="105" spans="1:8" ht="16.5" hidden="1" thickBot="1">
      <c r="A105" s="973" t="s">
        <v>451</v>
      </c>
      <c r="B105" s="748">
        <f>geral!G1126</f>
        <v>10641.666666666666</v>
      </c>
      <c r="C105" s="748">
        <f t="shared" si="48"/>
        <v>260.31474233529025</v>
      </c>
      <c r="D105" s="750">
        <f t="shared" si="54"/>
        <v>2.9423619508262666</v>
      </c>
      <c r="E105" s="750">
        <f t="shared" si="55"/>
        <v>6.2951864535768731</v>
      </c>
      <c r="F105" s="751">
        <f t="shared" si="56"/>
        <v>22.201003713302846</v>
      </c>
      <c r="G105" s="840">
        <f t="shared" si="57"/>
        <v>18.944362726469311</v>
      </c>
      <c r="H105" s="842">
        <f>$B$253/B105</f>
        <v>1.3437502936570085</v>
      </c>
    </row>
    <row r="106" spans="1:8" ht="16.5" hidden="1" thickBot="1">
      <c r="A106" s="973" t="s">
        <v>452</v>
      </c>
      <c r="B106" s="748">
        <f>geral!G1127</f>
        <v>10637.5</v>
      </c>
      <c r="C106" s="748">
        <f t="shared" si="48"/>
        <v>260.21281800391387</v>
      </c>
      <c r="D106" s="750">
        <f t="shared" si="54"/>
        <v>-3.9154267815189048E-2</v>
      </c>
      <c r="E106" s="750">
        <f t="shared" si="55"/>
        <v>6.2535673515981882</v>
      </c>
      <c r="F106" s="751">
        <f t="shared" si="56"/>
        <v>20.697806354009064</v>
      </c>
      <c r="G106" s="840">
        <f t="shared" si="57"/>
        <v>19.28925471550005</v>
      </c>
      <c r="H106" s="842">
        <f>$B$253/B106</f>
        <v>1.344276635330983</v>
      </c>
    </row>
    <row r="107" spans="1:8" ht="16.5" hidden="1" thickBot="1">
      <c r="A107" s="973" t="s">
        <v>453</v>
      </c>
      <c r="B107" s="748">
        <f>geral!G1128</f>
        <v>10900</v>
      </c>
      <c r="C107" s="748">
        <f t="shared" si="48"/>
        <v>266.63405088062621</v>
      </c>
      <c r="D107" s="750">
        <f t="shared" ref="D107:D112" si="58">100*((B107/B106)-1)</f>
        <v>2.4676850763807323</v>
      </c>
      <c r="E107" s="750">
        <f t="shared" ref="E107:E112" si="59">100*((B107/$B$100)-1)</f>
        <v>8.8755707762557137</v>
      </c>
      <c r="F107" s="751">
        <f t="shared" ref="F107:F112" si="60">100*((B107/B95)-1)</f>
        <v>9.3279839518555683</v>
      </c>
      <c r="G107" s="840">
        <f t="shared" ref="G107:G112" si="61">100*(B107/B83-1)</f>
        <v>19.151727153476173</v>
      </c>
      <c r="H107" s="842">
        <f>$B$253/B107</f>
        <v>1.3119030007645258</v>
      </c>
    </row>
    <row r="108" spans="1:8" ht="16.5" hidden="1" thickBot="1">
      <c r="A108" s="973" t="s">
        <v>454</v>
      </c>
      <c r="B108" s="748">
        <f>geral!G1129</f>
        <v>11007.142857142857</v>
      </c>
      <c r="C108" s="748">
        <f t="shared" si="48"/>
        <v>269.25496225887616</v>
      </c>
      <c r="D108" s="750">
        <f t="shared" si="58"/>
        <v>0.98296199213629976</v>
      </c>
      <c r="E108" s="750">
        <f t="shared" si="59"/>
        <v>9.9457762557077611</v>
      </c>
      <c r="F108" s="751">
        <f t="shared" si="60"/>
        <v>13.63971564260642</v>
      </c>
      <c r="G108" s="840">
        <f t="shared" si="61"/>
        <v>20.984203749646689</v>
      </c>
      <c r="H108" s="842">
        <f>$B$253/B108</f>
        <v>1.2991330169803157</v>
      </c>
    </row>
    <row r="109" spans="1:8" ht="16.5" hidden="1" thickBot="1">
      <c r="A109" s="973" t="s">
        <v>455</v>
      </c>
      <c r="B109" s="748">
        <f>geral!G1130</f>
        <v>10987.5</v>
      </c>
      <c r="C109" s="748">
        <f t="shared" si="48"/>
        <v>268.77446183953032</v>
      </c>
      <c r="D109" s="750">
        <f t="shared" si="58"/>
        <v>-0.17845554834522437</v>
      </c>
      <c r="E109" s="750">
        <f t="shared" si="59"/>
        <v>9.7495719178082307</v>
      </c>
      <c r="F109" s="751">
        <f t="shared" si="60"/>
        <v>11.435091277890464</v>
      </c>
      <c r="G109" s="840">
        <f t="shared" si="61"/>
        <v>20.18704878582367</v>
      </c>
      <c r="H109" s="842">
        <f>$B$253/B109</f>
        <v>1.301455536594615</v>
      </c>
    </row>
    <row r="110" spans="1:8" ht="16.5" hidden="1" thickBot="1">
      <c r="A110" s="973" t="s">
        <v>456</v>
      </c>
      <c r="B110" s="748">
        <f>geral!G1131</f>
        <v>11031.25</v>
      </c>
      <c r="C110" s="748">
        <f t="shared" si="48"/>
        <v>269.84466731898237</v>
      </c>
      <c r="D110" s="750">
        <f t="shared" si="58"/>
        <v>0.39817974971558812</v>
      </c>
      <c r="E110" s="750">
        <f t="shared" si="59"/>
        <v>10.186572488584478</v>
      </c>
      <c r="F110" s="751">
        <f t="shared" si="60"/>
        <v>10.533567134268541</v>
      </c>
      <c r="G110" s="840">
        <f t="shared" si="61"/>
        <v>23.507138082799738</v>
      </c>
      <c r="H110" s="842">
        <f>$B$253/B110</f>
        <v>1.2962939565627949</v>
      </c>
    </row>
    <row r="111" spans="1:8" ht="16.5" hidden="1" thickBot="1">
      <c r="A111" s="973" t="s">
        <v>457</v>
      </c>
      <c r="B111" s="748">
        <f>geral!G1132</f>
        <v>11058.333333333334</v>
      </c>
      <c r="C111" s="748">
        <f t="shared" si="48"/>
        <v>270.50717547292896</v>
      </c>
      <c r="D111" s="750">
        <f t="shared" si="58"/>
        <v>0.24551463644948424</v>
      </c>
      <c r="E111" s="750">
        <f t="shared" si="59"/>
        <v>10.457096651445985</v>
      </c>
      <c r="F111" s="751">
        <f t="shared" si="60"/>
        <v>10.610986079853312</v>
      </c>
      <c r="G111" s="840">
        <f t="shared" si="61"/>
        <v>28.777839109800631</v>
      </c>
      <c r="H111" s="842">
        <f>$B$253/B111</f>
        <v>1.2931191597588543</v>
      </c>
    </row>
    <row r="112" spans="1:8" ht="16.5" hidden="1" thickBot="1">
      <c r="A112" s="973" t="s">
        <v>458</v>
      </c>
      <c r="B112" s="748">
        <f>geral!G1133</f>
        <v>11056.25</v>
      </c>
      <c r="C112" s="748">
        <f t="shared" si="48"/>
        <v>270.45621330724072</v>
      </c>
      <c r="D112" s="750">
        <f t="shared" si="58"/>
        <v>-1.8839487565947E-2</v>
      </c>
      <c r="E112" s="750">
        <f t="shared" si="59"/>
        <v>10.436287100456632</v>
      </c>
      <c r="F112" s="751">
        <f t="shared" si="60"/>
        <v>10.436287100456632</v>
      </c>
      <c r="G112" s="840">
        <f t="shared" si="61"/>
        <v>32.156944776476216</v>
      </c>
      <c r="H112" s="842">
        <f>$B$253/B112</f>
        <v>1.2933628226870171</v>
      </c>
    </row>
    <row r="113" spans="1:8" ht="16.5" hidden="1" thickBot="1">
      <c r="A113" s="973" t="s">
        <v>459</v>
      </c>
      <c r="B113" s="748">
        <f>geral!I1122</f>
        <v>11091.666666666666</v>
      </c>
      <c r="C113" s="748">
        <f t="shared" si="48"/>
        <v>271.32257012393995</v>
      </c>
      <c r="D113" s="750">
        <f t="shared" ref="D113:D118" si="62">100*((B113/B112)-1)</f>
        <v>0.32033163745994742</v>
      </c>
      <c r="E113" s="750">
        <f t="shared" ref="E113:E118" si="63">100*((B113/$B$112)-1)</f>
        <v>0.32033163745994742</v>
      </c>
      <c r="F113" s="751">
        <f t="shared" ref="F113:F118" si="64">100*((B113/B101)-1)</f>
        <v>7.3213997742299641</v>
      </c>
      <c r="G113" s="840">
        <f t="shared" ref="G113:G118" si="65">100*(B113/B89-1)</f>
        <v>31.782126026880775</v>
      </c>
      <c r="H113" s="842">
        <f>$B$253/B113</f>
        <v>1.2892330015026294</v>
      </c>
    </row>
    <row r="114" spans="1:8" ht="16.5" hidden="1" thickBot="1">
      <c r="A114" s="973" t="s">
        <v>460</v>
      </c>
      <c r="B114" s="748">
        <f>geral!I1123</f>
        <v>11037.5</v>
      </c>
      <c r="C114" s="748">
        <f t="shared" si="48"/>
        <v>269.99755381604695</v>
      </c>
      <c r="D114" s="750">
        <f t="shared" si="62"/>
        <v>-0.48835462058601786</v>
      </c>
      <c r="E114" s="750">
        <f t="shared" si="63"/>
        <v>-0.16958733747880483</v>
      </c>
      <c r="F114" s="751">
        <f t="shared" si="64"/>
        <v>8.0896754336877486</v>
      </c>
      <c r="G114" s="840">
        <f t="shared" si="65"/>
        <v>29.980321891924678</v>
      </c>
      <c r="H114" s="842">
        <f>$B$253/B114</f>
        <v>1.2955599282748205</v>
      </c>
    </row>
    <row r="115" spans="1:8" ht="16.5" hidden="1" thickBot="1">
      <c r="A115" s="973" t="s">
        <v>461</v>
      </c>
      <c r="B115" s="748">
        <f>geral!I1124</f>
        <v>11068.75</v>
      </c>
      <c r="C115" s="748">
        <f t="shared" si="48"/>
        <v>270.76198630136986</v>
      </c>
      <c r="D115" s="750">
        <f t="shared" si="62"/>
        <v>0.28312570781428015</v>
      </c>
      <c r="E115" s="750">
        <f t="shared" si="63"/>
        <v>0.11305822498586249</v>
      </c>
      <c r="F115" s="751">
        <f t="shared" si="64"/>
        <v>5.8487021857923427</v>
      </c>
      <c r="G115" s="840">
        <f t="shared" si="65"/>
        <v>28.631609529343404</v>
      </c>
      <c r="H115" s="842">
        <f>$B$253/B115</f>
        <v>1.2919022209674382</v>
      </c>
    </row>
    <row r="116" spans="1:8" ht="16.5" hidden="1" thickBot="1">
      <c r="A116" s="973" t="s">
        <v>462</v>
      </c>
      <c r="B116" s="748">
        <f>geral!I1125</f>
        <v>11100</v>
      </c>
      <c r="C116" s="748">
        <f t="shared" si="48"/>
        <v>271.52641878669277</v>
      </c>
      <c r="D116" s="750">
        <f t="shared" si="62"/>
        <v>0.28232636928289256</v>
      </c>
      <c r="E116" s="750">
        <f t="shared" si="63"/>
        <v>0.39570378745052981</v>
      </c>
      <c r="F116" s="751">
        <f t="shared" si="64"/>
        <v>7.3760580411124543</v>
      </c>
      <c r="G116" s="840">
        <f t="shared" si="65"/>
        <v>26.69309340020294</v>
      </c>
      <c r="H116" s="842">
        <f>$B$253/B116</f>
        <v>1.2882651088588586</v>
      </c>
    </row>
    <row r="117" spans="1:8" ht="16.5" hidden="1" thickBot="1">
      <c r="A117" s="973" t="s">
        <v>463</v>
      </c>
      <c r="B117" s="748">
        <f>geral!I1126</f>
        <v>11200</v>
      </c>
      <c r="C117" s="748">
        <f t="shared" si="48"/>
        <v>273.97260273972603</v>
      </c>
      <c r="D117" s="750">
        <f t="shared" si="62"/>
        <v>0.9009009009008917</v>
      </c>
      <c r="E117" s="750">
        <f t="shared" si="63"/>
        <v>1.3001695873374741</v>
      </c>
      <c r="F117" s="751">
        <f t="shared" si="64"/>
        <v>5.2466718872357099</v>
      </c>
      <c r="G117" s="840">
        <f t="shared" si="65"/>
        <v>28.612489421048593</v>
      </c>
      <c r="H117" s="842">
        <f>$B$253/B117</f>
        <v>1.2767627418154761</v>
      </c>
    </row>
    <row r="118" spans="1:8" ht="16.5" hidden="1" thickBot="1">
      <c r="A118" s="973" t="s">
        <v>464</v>
      </c>
      <c r="B118" s="748">
        <f>geral!I1127</f>
        <v>11243.75</v>
      </c>
      <c r="C118" s="748">
        <f t="shared" si="48"/>
        <v>275.04280821917808</v>
      </c>
      <c r="D118" s="750">
        <f t="shared" si="62"/>
        <v>0.390625</v>
      </c>
      <c r="E118" s="750">
        <f t="shared" si="63"/>
        <v>1.6958733747880261</v>
      </c>
      <c r="F118" s="751">
        <f t="shared" si="64"/>
        <v>5.6991774383078786</v>
      </c>
      <c r="G118" s="840">
        <f t="shared" si="65"/>
        <v>27.576588502269274</v>
      </c>
      <c r="H118" s="842">
        <f>$B$253/B118</f>
        <v>1.2717947934037426</v>
      </c>
    </row>
    <row r="119" spans="1:8" ht="16.5" hidden="1" thickBot="1">
      <c r="A119" s="973" t="s">
        <v>465</v>
      </c>
      <c r="B119" s="748">
        <f>geral!I1128</f>
        <v>11250</v>
      </c>
      <c r="C119" s="748">
        <f t="shared" si="48"/>
        <v>275.19569471624266</v>
      </c>
      <c r="D119" s="750">
        <f t="shared" ref="D119:D124" si="66">100*((B119/B118)-1)</f>
        <v>5.558643690939391E-2</v>
      </c>
      <c r="E119" s="750">
        <f t="shared" ref="E119:E124" si="67">100*((B119/$B$112)-1)</f>
        <v>1.7524024872809463</v>
      </c>
      <c r="F119" s="751">
        <f t="shared" ref="F119:F124" si="68">100*((B119/B107)-1)</f>
        <v>3.2110091743119185</v>
      </c>
      <c r="G119" s="840">
        <f t="shared" ref="G119:G124" si="69">100*(B119/B95-1)</f>
        <v>12.838515546639929</v>
      </c>
      <c r="H119" s="842">
        <f>$B$253/B119</f>
        <v>1.2710882407407407</v>
      </c>
    </row>
    <row r="120" spans="1:8" ht="16.5" hidden="1" thickBot="1">
      <c r="A120" s="973" t="s">
        <v>466</v>
      </c>
      <c r="B120" s="748">
        <f>geral!I1129</f>
        <v>11356.25</v>
      </c>
      <c r="C120" s="748">
        <f t="shared" si="48"/>
        <v>277.79476516634048</v>
      </c>
      <c r="D120" s="750">
        <f t="shared" si="66"/>
        <v>0.94444444444443665</v>
      </c>
      <c r="E120" s="750">
        <f t="shared" si="67"/>
        <v>2.7133973996608329</v>
      </c>
      <c r="F120" s="751">
        <f t="shared" si="68"/>
        <v>3.1716417910447881</v>
      </c>
      <c r="G120" s="840">
        <f t="shared" si="69"/>
        <v>17.243960355151767</v>
      </c>
      <c r="H120" s="842">
        <f>$B$253/B120</f>
        <v>1.2591958356264903</v>
      </c>
    </row>
    <row r="121" spans="1:8" ht="16.5" hidden="1" thickBot="1">
      <c r="A121" s="973" t="s">
        <v>467</v>
      </c>
      <c r="B121" s="748">
        <f>geral!I1130</f>
        <v>11392.857142857143</v>
      </c>
      <c r="C121" s="748">
        <f t="shared" si="48"/>
        <v>278.69024322057589</v>
      </c>
      <c r="D121" s="750">
        <f t="shared" si="66"/>
        <v>0.3223523861938915</v>
      </c>
      <c r="E121" s="750">
        <f t="shared" si="67"/>
        <v>3.0444964871194413</v>
      </c>
      <c r="F121" s="751">
        <f t="shared" si="68"/>
        <v>3.6892572728750128</v>
      </c>
      <c r="G121" s="840">
        <f t="shared" si="69"/>
        <v>15.54621848739497</v>
      </c>
      <c r="H121" s="842">
        <f>$B$253/B121</f>
        <v>1.2551498301985369</v>
      </c>
    </row>
    <row r="122" spans="1:8" ht="16.5" hidden="1" thickBot="1">
      <c r="A122" s="973" t="s">
        <v>468</v>
      </c>
      <c r="B122" s="748">
        <f>geral!I1131</f>
        <v>11550</v>
      </c>
      <c r="C122" s="748">
        <f t="shared" si="48"/>
        <v>282.53424657534248</v>
      </c>
      <c r="D122" s="750">
        <f t="shared" si="66"/>
        <v>1.379310344827589</v>
      </c>
      <c r="E122" s="750">
        <f t="shared" si="67"/>
        <v>4.4657998869417792</v>
      </c>
      <c r="F122" s="751">
        <f t="shared" si="68"/>
        <v>4.7025495750708135</v>
      </c>
      <c r="G122" s="840">
        <f t="shared" si="69"/>
        <v>15.731462925851702</v>
      </c>
      <c r="H122" s="842">
        <f>$B$253/B122</f>
        <v>1.2380729617604616</v>
      </c>
    </row>
    <row r="123" spans="1:8" ht="16.5" hidden="1" thickBot="1">
      <c r="A123" s="973" t="s">
        <v>469</v>
      </c>
      <c r="B123" s="748">
        <f>geral!I1132</f>
        <v>11700</v>
      </c>
      <c r="C123" s="748">
        <f t="shared" si="48"/>
        <v>286.20352250489236</v>
      </c>
      <c r="D123" s="750">
        <f t="shared" si="66"/>
        <v>1.298701298701288</v>
      </c>
      <c r="E123" s="750">
        <f t="shared" si="67"/>
        <v>5.8224985867721957</v>
      </c>
      <c r="F123" s="751">
        <f t="shared" si="68"/>
        <v>5.8025621703089669</v>
      </c>
      <c r="G123" s="840">
        <f t="shared" si="69"/>
        <v>17.029257314328582</v>
      </c>
      <c r="H123" s="842">
        <f>$B$253/B123</f>
        <v>1.2222002314814813</v>
      </c>
    </row>
    <row r="124" spans="1:8" ht="16.5" hidden="1" thickBot="1">
      <c r="A124" s="973" t="s">
        <v>470</v>
      </c>
      <c r="B124" s="748">
        <f>geral!I1133</f>
        <v>11856.25</v>
      </c>
      <c r="C124" s="748">
        <f t="shared" si="48"/>
        <v>290.02568493150687</v>
      </c>
      <c r="D124" s="750">
        <f t="shared" si="66"/>
        <v>1.3354700854700807</v>
      </c>
      <c r="E124" s="750">
        <f t="shared" si="67"/>
        <v>7.2357263990955323</v>
      </c>
      <c r="F124" s="751">
        <f t="shared" si="68"/>
        <v>7.2357263990955323</v>
      </c>
      <c r="G124" s="840">
        <f t="shared" si="69"/>
        <v>18.427154680365309</v>
      </c>
      <c r="H124" s="842">
        <f>$B$253/B124</f>
        <v>1.2060932173607448</v>
      </c>
    </row>
    <row r="125" spans="1:8" ht="16.5" hidden="1" thickBot="1">
      <c r="A125" s="973" t="s">
        <v>471</v>
      </c>
      <c r="B125" s="748">
        <f>geral!K1122</f>
        <v>11752.625</v>
      </c>
      <c r="C125" s="748">
        <f t="shared" si="48"/>
        <v>287.49082681017615</v>
      </c>
      <c r="D125" s="750">
        <f t="shared" ref="D125:D130" si="70">100*((B125/B124)-1)</f>
        <v>-0.87401159725882804</v>
      </c>
      <c r="E125" s="750">
        <f t="shared" ref="E125:E130" si="71">100*((B125/$B$124)-1)</f>
        <v>-0.87401159725882804</v>
      </c>
      <c r="F125" s="751">
        <f t="shared" ref="F125:F130" si="72">100*((B125/B113)-1)</f>
        <v>5.959053343350873</v>
      </c>
      <c r="G125" s="840">
        <f t="shared" ref="G125:G130" si="73">100*(B125/B101-1)</f>
        <v>13.716739235607168</v>
      </c>
      <c r="H125" s="842">
        <f>$B$253/B125</f>
        <v>1.2167275573187548</v>
      </c>
    </row>
    <row r="126" spans="1:8" ht="16.5" hidden="1" thickBot="1">
      <c r="A126" s="973" t="s">
        <v>472</v>
      </c>
      <c r="B126" s="748">
        <f>geral!K1123</f>
        <v>11752.625</v>
      </c>
      <c r="C126" s="748">
        <f t="shared" si="48"/>
        <v>287.49082681017615</v>
      </c>
      <c r="D126" s="750">
        <f t="shared" si="70"/>
        <v>0</v>
      </c>
      <c r="E126" s="750">
        <f t="shared" si="71"/>
        <v>-0.87401159725882804</v>
      </c>
      <c r="F126" s="751">
        <f t="shared" si="72"/>
        <v>6.4790486976217476</v>
      </c>
      <c r="G126" s="840">
        <f t="shared" si="73"/>
        <v>15.092858142137677</v>
      </c>
      <c r="H126" s="842">
        <f>$B$253/B126</f>
        <v>1.2167275573187548</v>
      </c>
    </row>
    <row r="127" spans="1:8" ht="16.5" hidden="1" thickBot="1">
      <c r="A127" s="973" t="s">
        <v>473</v>
      </c>
      <c r="B127" s="748">
        <f>geral!K1124</f>
        <v>11065.125</v>
      </c>
      <c r="C127" s="748">
        <f t="shared" si="48"/>
        <v>270.67331213307239</v>
      </c>
      <c r="D127" s="750">
        <f t="shared" si="70"/>
        <v>-5.8497569691877356</v>
      </c>
      <c r="E127" s="750">
        <f t="shared" si="71"/>
        <v>-6.6726410121244033</v>
      </c>
      <c r="F127" s="751">
        <f t="shared" si="72"/>
        <v>-3.2749858836811363E-2</v>
      </c>
      <c r="G127" s="840">
        <f t="shared" si="73"/>
        <v>5.8140368852459101</v>
      </c>
      <c r="H127" s="842">
        <f>$B$253/B127</f>
        <v>1.292325455729902</v>
      </c>
    </row>
    <row r="128" spans="1:8" ht="16.5" hidden="1" thickBot="1">
      <c r="A128" s="973" t="s">
        <v>474</v>
      </c>
      <c r="B128" s="748">
        <f>geral!K1125</f>
        <v>10702.625</v>
      </c>
      <c r="C128" s="748">
        <f t="shared" si="48"/>
        <v>261.80589530332679</v>
      </c>
      <c r="D128" s="750">
        <f t="shared" si="70"/>
        <v>-3.2760587883101211</v>
      </c>
      <c r="E128" s="750">
        <f t="shared" si="71"/>
        <v>-9.7301001581444382</v>
      </c>
      <c r="F128" s="751">
        <f t="shared" si="72"/>
        <v>-3.5799549549549559</v>
      </c>
      <c r="G128" s="840">
        <f t="shared" si="73"/>
        <v>3.532043530834339</v>
      </c>
      <c r="H128" s="842">
        <f>$B$253/B128</f>
        <v>1.3360967714306846</v>
      </c>
    </row>
    <row r="129" spans="1:8" ht="16.5" hidden="1" thickBot="1">
      <c r="A129" s="973" t="s">
        <v>475</v>
      </c>
      <c r="B129" s="748">
        <f>geral!K1126</f>
        <v>11724.2</v>
      </c>
      <c r="C129" s="748">
        <f t="shared" si="48"/>
        <v>286.79549902152644</v>
      </c>
      <c r="D129" s="750">
        <f t="shared" si="70"/>
        <v>9.5450882376987067</v>
      </c>
      <c r="E129" s="750">
        <f t="shared" si="71"/>
        <v>-1.1137585661570859</v>
      </c>
      <c r="F129" s="751">
        <f t="shared" si="72"/>
        <v>4.68035714285715</v>
      </c>
      <c r="G129" s="840">
        <f t="shared" si="73"/>
        <v>10.17259201252938</v>
      </c>
      <c r="H129" s="842">
        <f>$B$253/B129</f>
        <v>1.2196774797711853</v>
      </c>
    </row>
    <row r="130" spans="1:8" ht="16.5" hidden="1" thickBot="1">
      <c r="A130" s="973" t="s">
        <v>476</v>
      </c>
      <c r="B130" s="748">
        <f>geral!K1127</f>
        <v>11724.2</v>
      </c>
      <c r="C130" s="748">
        <f t="shared" si="48"/>
        <v>286.79549902152644</v>
      </c>
      <c r="D130" s="750">
        <f t="shared" si="70"/>
        <v>0</v>
      </c>
      <c r="E130" s="750">
        <f t="shared" si="71"/>
        <v>-1.1137585661570859</v>
      </c>
      <c r="F130" s="751">
        <f t="shared" si="72"/>
        <v>4.2730405780989411</v>
      </c>
      <c r="G130" s="840">
        <f t="shared" si="73"/>
        <v>10.215746180963571</v>
      </c>
      <c r="H130" s="842">
        <f>$B$253/B130</f>
        <v>1.2196774797711853</v>
      </c>
    </row>
    <row r="131" spans="1:8" ht="16.5" hidden="1" thickBot="1">
      <c r="A131" s="973" t="s">
        <v>477</v>
      </c>
      <c r="B131" s="748">
        <f>geral!K1128</f>
        <v>11724.2</v>
      </c>
      <c r="C131" s="748">
        <f t="shared" si="48"/>
        <v>286.79549902152644</v>
      </c>
      <c r="D131" s="750">
        <f t="shared" ref="D131:D136" si="74">100*((B131/B130)-1)</f>
        <v>0</v>
      </c>
      <c r="E131" s="750">
        <f t="shared" ref="E131:E136" si="75">100*((B131/$B$124)-1)</f>
        <v>-1.1137585661570859</v>
      </c>
      <c r="F131" s="751">
        <f t="shared" ref="F131:F136" si="76">100*((B131/B119)-1)</f>
        <v>4.215111111111125</v>
      </c>
      <c r="G131" s="840">
        <f t="shared" ref="G131:G136" si="77">100*(B131/B107-1)</f>
        <v>7.5614678899082577</v>
      </c>
      <c r="H131" s="842">
        <f>$B$253/B131</f>
        <v>1.2196774797711853</v>
      </c>
    </row>
    <row r="132" spans="1:8" ht="16.5" hidden="1" thickBot="1">
      <c r="A132" s="973" t="s">
        <v>478</v>
      </c>
      <c r="B132" s="748">
        <f>geral!K1129</f>
        <v>11770.166666666666</v>
      </c>
      <c r="C132" s="748">
        <f t="shared" si="48"/>
        <v>287.91992824527068</v>
      </c>
      <c r="D132" s="750">
        <f t="shared" si="74"/>
        <v>0.39206655180452632</v>
      </c>
      <c r="E132" s="750">
        <f t="shared" si="75"/>
        <v>-0.7260586891583265</v>
      </c>
      <c r="F132" s="751">
        <f t="shared" si="76"/>
        <v>3.6448358099431255</v>
      </c>
      <c r="G132" s="840">
        <f t="shared" si="77"/>
        <v>6.932078736751035</v>
      </c>
      <c r="H132" s="842">
        <f>$B$253/B132</f>
        <v>1.2149142075303379</v>
      </c>
    </row>
    <row r="133" spans="1:8" ht="16.5" hidden="1" thickBot="1">
      <c r="A133" s="973" t="s">
        <v>479</v>
      </c>
      <c r="B133" s="748">
        <f>geral!K1130</f>
        <v>11803</v>
      </c>
      <c r="C133" s="748">
        <f t="shared" si="48"/>
        <v>288.72309197651663</v>
      </c>
      <c r="D133" s="750">
        <f t="shared" si="74"/>
        <v>0.27895385225358282</v>
      </c>
      <c r="E133" s="750">
        <f t="shared" si="75"/>
        <v>-0.44913020558776662</v>
      </c>
      <c r="F133" s="751">
        <f t="shared" si="76"/>
        <v>3.6000000000000032</v>
      </c>
      <c r="G133" s="840">
        <f t="shared" si="77"/>
        <v>7.4220705346985216</v>
      </c>
      <c r="H133" s="842">
        <f>$B$253/B133</f>
        <v>1.2115345851337229</v>
      </c>
    </row>
    <row r="134" spans="1:8" ht="16.5" hidden="1" thickBot="1">
      <c r="A134" s="973" t="s">
        <v>480</v>
      </c>
      <c r="B134" s="748">
        <f>geral!K1131</f>
        <v>11803</v>
      </c>
      <c r="C134" s="748">
        <f t="shared" si="48"/>
        <v>288.72309197651663</v>
      </c>
      <c r="D134" s="750">
        <f t="shared" si="74"/>
        <v>0</v>
      </c>
      <c r="E134" s="750">
        <f t="shared" si="75"/>
        <v>-0.44913020558776662</v>
      </c>
      <c r="F134" s="751">
        <f t="shared" si="76"/>
        <v>2.1904761904761871</v>
      </c>
      <c r="G134" s="840">
        <f t="shared" si="77"/>
        <v>6.9960339943342831</v>
      </c>
      <c r="H134" s="842">
        <f>$B$253/B134</f>
        <v>1.2115345851337229</v>
      </c>
    </row>
    <row r="135" spans="1:8" ht="16.5" hidden="1" thickBot="1">
      <c r="A135" s="973" t="s">
        <v>481</v>
      </c>
      <c r="B135" s="748">
        <f>geral!K1132</f>
        <v>11803</v>
      </c>
      <c r="C135" s="748">
        <f t="shared" si="48"/>
        <v>288.72309197651663</v>
      </c>
      <c r="D135" s="750">
        <f t="shared" si="74"/>
        <v>0</v>
      </c>
      <c r="E135" s="750">
        <f t="shared" si="75"/>
        <v>-0.44913020558776662</v>
      </c>
      <c r="F135" s="751">
        <f t="shared" si="76"/>
        <v>0.88034188034187277</v>
      </c>
      <c r="G135" s="840">
        <f t="shared" si="77"/>
        <v>6.7339864355689505</v>
      </c>
      <c r="H135" s="842">
        <f>$B$253/B135</f>
        <v>1.2115345851337229</v>
      </c>
    </row>
    <row r="136" spans="1:8" ht="16.5" hidden="1" thickBot="1">
      <c r="A136" s="1015" t="s">
        <v>482</v>
      </c>
      <c r="B136" s="755">
        <f>geral!K1133</f>
        <v>11803</v>
      </c>
      <c r="C136" s="755">
        <f t="shared" si="48"/>
        <v>288.72309197651663</v>
      </c>
      <c r="D136" s="756">
        <f t="shared" si="74"/>
        <v>0</v>
      </c>
      <c r="E136" s="756">
        <f t="shared" si="75"/>
        <v>-0.44913020558776662</v>
      </c>
      <c r="F136" s="757">
        <f t="shared" si="76"/>
        <v>-0.44913020558776662</v>
      </c>
      <c r="G136" s="841">
        <f t="shared" si="77"/>
        <v>6.754098360655747</v>
      </c>
      <c r="H136" s="922">
        <f>$B$253/B136</f>
        <v>1.2115345851337229</v>
      </c>
    </row>
    <row r="137" spans="1:8">
      <c r="A137" s="1013" t="s">
        <v>483</v>
      </c>
      <c r="B137" s="852">
        <f>geral!M1122</f>
        <v>11923</v>
      </c>
      <c r="C137" s="852">
        <f t="shared" si="48"/>
        <v>291.65851272015658</v>
      </c>
      <c r="D137" s="967">
        <f t="shared" ref="D137:D142" si="78">100*((B137/B136)-1)</f>
        <v>1.0166906718630964</v>
      </c>
      <c r="E137" s="967">
        <f t="shared" ref="E137:E142" si="79">100*((B137/$B$136)-1)</f>
        <v>1.0166906718630964</v>
      </c>
      <c r="F137" s="968">
        <f t="shared" ref="F137:F142" si="80">100*((B137/B125)-1)</f>
        <v>1.4496761361823429</v>
      </c>
      <c r="G137" s="969">
        <f t="shared" ref="G137:G142" si="81">100*(B137/B113-1)</f>
        <v>7.4951164537941484</v>
      </c>
      <c r="H137" s="856">
        <f>$B$253/B137</f>
        <v>1.1993409970924542</v>
      </c>
    </row>
    <row r="138" spans="1:8">
      <c r="A138" s="1014" t="s">
        <v>484</v>
      </c>
      <c r="B138" s="857">
        <f>geral!M1123</f>
        <v>11923</v>
      </c>
      <c r="C138" s="857">
        <f t="shared" si="48"/>
        <v>291.65851272015658</v>
      </c>
      <c r="D138" s="961">
        <f t="shared" si="78"/>
        <v>0</v>
      </c>
      <c r="E138" s="961">
        <f t="shared" si="79"/>
        <v>1.0166906718630964</v>
      </c>
      <c r="F138" s="965">
        <f t="shared" si="80"/>
        <v>1.4496761361823429</v>
      </c>
      <c r="G138" s="966">
        <f t="shared" si="81"/>
        <v>8.022650056625146</v>
      </c>
      <c r="H138" s="861">
        <f>$B$253/B138</f>
        <v>1.1993409970924542</v>
      </c>
    </row>
    <row r="139" spans="1:8">
      <c r="A139" s="1014" t="s">
        <v>485</v>
      </c>
      <c r="B139" s="857">
        <f>geral!M1124</f>
        <v>11923</v>
      </c>
      <c r="C139" s="857">
        <f t="shared" si="48"/>
        <v>291.65851272015658</v>
      </c>
      <c r="D139" s="961">
        <f t="shared" si="78"/>
        <v>0</v>
      </c>
      <c r="E139" s="961">
        <f t="shared" si="79"/>
        <v>1.0166906718630964</v>
      </c>
      <c r="F139" s="965">
        <f t="shared" si="80"/>
        <v>7.7529625738525398</v>
      </c>
      <c r="G139" s="966">
        <f t="shared" si="81"/>
        <v>7.7176736307171145</v>
      </c>
      <c r="H139" s="861">
        <f t="shared" ref="H139:H202" si="82">$B$253/B139</f>
        <v>1.1993409970924542</v>
      </c>
    </row>
    <row r="140" spans="1:8">
      <c r="A140" s="1014" t="s">
        <v>486</v>
      </c>
      <c r="B140" s="857">
        <f>geral!M1125</f>
        <v>12043</v>
      </c>
      <c r="C140" s="857">
        <f t="shared" si="48"/>
        <v>294.59393346379647</v>
      </c>
      <c r="D140" s="961">
        <f t="shared" si="78"/>
        <v>1.0064581061813405</v>
      </c>
      <c r="E140" s="961">
        <f t="shared" si="79"/>
        <v>2.0333813437261705</v>
      </c>
      <c r="F140" s="965">
        <f t="shared" si="80"/>
        <v>12.523796732110103</v>
      </c>
      <c r="G140" s="966">
        <f t="shared" si="81"/>
        <v>8.4954954954954864</v>
      </c>
      <c r="H140" s="861">
        <f t="shared" si="82"/>
        <v>1.1873904100584016</v>
      </c>
    </row>
    <row r="141" spans="1:8">
      <c r="A141" s="1014" t="s">
        <v>487</v>
      </c>
      <c r="B141" s="857">
        <f>geral!M1126</f>
        <v>12043</v>
      </c>
      <c r="C141" s="857">
        <f t="shared" si="48"/>
        <v>294.59393346379647</v>
      </c>
      <c r="D141" s="961">
        <f t="shared" si="78"/>
        <v>0</v>
      </c>
      <c r="E141" s="961">
        <f t="shared" si="79"/>
        <v>2.0333813437261705</v>
      </c>
      <c r="F141" s="965">
        <f t="shared" si="80"/>
        <v>2.7191620750242951</v>
      </c>
      <c r="G141" s="966">
        <f t="shared" si="81"/>
        <v>7.5267857142857109</v>
      </c>
      <c r="H141" s="861">
        <f t="shared" si="82"/>
        <v>1.1873904100584016</v>
      </c>
    </row>
    <row r="142" spans="1:8">
      <c r="A142" s="1014" t="s">
        <v>488</v>
      </c>
      <c r="B142" s="857">
        <f>geral!M1127</f>
        <v>12043</v>
      </c>
      <c r="C142" s="857">
        <f t="shared" si="48"/>
        <v>294.59393346379647</v>
      </c>
      <c r="D142" s="961">
        <f t="shared" si="78"/>
        <v>0</v>
      </c>
      <c r="E142" s="961">
        <f t="shared" si="79"/>
        <v>2.0333813437261705</v>
      </c>
      <c r="F142" s="965">
        <f t="shared" si="80"/>
        <v>2.7191620750242951</v>
      </c>
      <c r="G142" s="966">
        <f t="shared" si="81"/>
        <v>7.1083935519733243</v>
      </c>
      <c r="H142" s="861">
        <f t="shared" si="82"/>
        <v>1.1873904100584016</v>
      </c>
    </row>
    <row r="143" spans="1:8">
      <c r="A143" s="1014" t="s">
        <v>489</v>
      </c>
      <c r="B143" s="857">
        <f>geral!M1128</f>
        <v>12043</v>
      </c>
      <c r="C143" s="857">
        <f t="shared" si="48"/>
        <v>294.59393346379647</v>
      </c>
      <c r="D143" s="961">
        <f t="shared" ref="D143:D148" si="83">100*((B143/B142)-1)</f>
        <v>0</v>
      </c>
      <c r="E143" s="961">
        <f t="shared" ref="E143:E148" si="84">100*((B143/$B$136)-1)</f>
        <v>2.0333813437261705</v>
      </c>
      <c r="F143" s="965">
        <f t="shared" ref="F143:F148" si="85">100*((B143/B131)-1)</f>
        <v>2.7191620750242951</v>
      </c>
      <c r="G143" s="966">
        <f t="shared" ref="G143:G148" si="86">100*(B143/B119-1)</f>
        <v>7.0488888888888823</v>
      </c>
      <c r="H143" s="861">
        <f t="shared" si="82"/>
        <v>1.1873904100584016</v>
      </c>
    </row>
    <row r="144" spans="1:8">
      <c r="A144" s="1014" t="s">
        <v>490</v>
      </c>
      <c r="B144" s="857">
        <f>geral!M1129</f>
        <v>12043</v>
      </c>
      <c r="C144" s="857">
        <f t="shared" si="48"/>
        <v>294.59393346379647</v>
      </c>
      <c r="D144" s="961">
        <f t="shared" si="83"/>
        <v>0</v>
      </c>
      <c r="E144" s="961">
        <f t="shared" si="84"/>
        <v>2.0333813437261705</v>
      </c>
      <c r="F144" s="965">
        <f t="shared" si="85"/>
        <v>2.318007391569088</v>
      </c>
      <c r="G144" s="966">
        <f t="shared" si="86"/>
        <v>6.0473307649972385</v>
      </c>
      <c r="H144" s="861">
        <f t="shared" si="82"/>
        <v>1.1873904100584016</v>
      </c>
    </row>
    <row r="145" spans="1:8">
      <c r="A145" s="1014" t="s">
        <v>491</v>
      </c>
      <c r="B145" s="857">
        <f>geral!M1130</f>
        <v>12043</v>
      </c>
      <c r="C145" s="857">
        <f t="shared" si="48"/>
        <v>294.59393346379647</v>
      </c>
      <c r="D145" s="961">
        <f t="shared" si="83"/>
        <v>0</v>
      </c>
      <c r="E145" s="961">
        <f t="shared" si="84"/>
        <v>2.0333813437261705</v>
      </c>
      <c r="F145" s="965">
        <f t="shared" si="85"/>
        <v>2.0333813437261705</v>
      </c>
      <c r="G145" s="966">
        <f t="shared" si="86"/>
        <v>5.7065830721003019</v>
      </c>
      <c r="H145" s="861">
        <f t="shared" si="82"/>
        <v>1.1873904100584016</v>
      </c>
    </row>
    <row r="146" spans="1:8">
      <c r="A146" s="1014" t="s">
        <v>492</v>
      </c>
      <c r="B146" s="857">
        <f>geral!M1131</f>
        <v>12043</v>
      </c>
      <c r="C146" s="857">
        <f t="shared" si="48"/>
        <v>294.59393346379647</v>
      </c>
      <c r="D146" s="961">
        <f t="shared" si="83"/>
        <v>0</v>
      </c>
      <c r="E146" s="961">
        <f t="shared" si="84"/>
        <v>2.0333813437261705</v>
      </c>
      <c r="F146" s="965">
        <f t="shared" si="85"/>
        <v>2.0333813437261705</v>
      </c>
      <c r="G146" s="966">
        <f t="shared" si="86"/>
        <v>4.2683982683982657</v>
      </c>
      <c r="H146" s="861">
        <f t="shared" si="82"/>
        <v>1.1873904100584016</v>
      </c>
    </row>
    <row r="147" spans="1:8">
      <c r="A147" s="1014" t="s">
        <v>493</v>
      </c>
      <c r="B147" s="857">
        <f>geral!M1132</f>
        <v>12043</v>
      </c>
      <c r="C147" s="857">
        <f t="shared" si="48"/>
        <v>294.59393346379647</v>
      </c>
      <c r="D147" s="961">
        <f t="shared" si="83"/>
        <v>0</v>
      </c>
      <c r="E147" s="961">
        <f t="shared" si="84"/>
        <v>2.0333813437261705</v>
      </c>
      <c r="F147" s="965">
        <f t="shared" si="85"/>
        <v>2.0333813437261705</v>
      </c>
      <c r="G147" s="966">
        <f t="shared" si="86"/>
        <v>2.931623931623939</v>
      </c>
      <c r="H147" s="861">
        <f t="shared" si="82"/>
        <v>1.1873904100584016</v>
      </c>
    </row>
    <row r="148" spans="1:8">
      <c r="A148" s="1014" t="s">
        <v>494</v>
      </c>
      <c r="B148" s="857">
        <f>geral!M1133</f>
        <v>12043</v>
      </c>
      <c r="C148" s="857">
        <f t="shared" si="48"/>
        <v>294.59393346379647</v>
      </c>
      <c r="D148" s="961">
        <f t="shared" si="83"/>
        <v>0</v>
      </c>
      <c r="E148" s="961">
        <f t="shared" si="84"/>
        <v>2.0333813437261705</v>
      </c>
      <c r="F148" s="965">
        <f t="shared" si="85"/>
        <v>2.0333813437261705</v>
      </c>
      <c r="G148" s="966">
        <f t="shared" si="86"/>
        <v>1.5751186083289515</v>
      </c>
      <c r="H148" s="861">
        <f t="shared" si="82"/>
        <v>1.1873904100584016</v>
      </c>
    </row>
    <row r="149" spans="1:8">
      <c r="A149" s="1014" t="s">
        <v>495</v>
      </c>
      <c r="B149" s="857">
        <f>geral!C1137</f>
        <v>12043</v>
      </c>
      <c r="C149" s="857">
        <f t="shared" ref="C149:C154" si="87">100*B149/$B$8</f>
        <v>294.59393346379647</v>
      </c>
      <c r="D149" s="961">
        <f t="shared" ref="D149:D154" si="88">100*((B149/B148)-1)</f>
        <v>0</v>
      </c>
      <c r="E149" s="961">
        <f t="shared" ref="E149:E154" si="89">100*((B149/$B$148)-1)</f>
        <v>0</v>
      </c>
      <c r="F149" s="965">
        <f t="shared" ref="F149:F154" si="90">100*((B149/B137)-1)</f>
        <v>1.0064581061813405</v>
      </c>
      <c r="G149" s="966">
        <f t="shared" ref="G149:G154" si="91">100*(B149/B125-1)</f>
        <v>2.4707246253496518</v>
      </c>
      <c r="H149" s="861">
        <f t="shared" si="82"/>
        <v>1.1873904100584016</v>
      </c>
    </row>
    <row r="150" spans="1:8">
      <c r="A150" s="1014" t="s">
        <v>496</v>
      </c>
      <c r="B150" s="857">
        <f>geral!C1138</f>
        <v>12205.857142857143</v>
      </c>
      <c r="C150" s="857">
        <f t="shared" si="87"/>
        <v>298.57771875873635</v>
      </c>
      <c r="D150" s="961">
        <f t="shared" si="88"/>
        <v>1.3522971257754923</v>
      </c>
      <c r="E150" s="961">
        <f t="shared" si="89"/>
        <v>1.3522971257754923</v>
      </c>
      <c r="F150" s="965">
        <f t="shared" si="90"/>
        <v>2.3723655359988438</v>
      </c>
      <c r="G150" s="966">
        <f t="shared" si="91"/>
        <v>3.8564332892195852</v>
      </c>
      <c r="H150" s="861">
        <f t="shared" si="82"/>
        <v>1.1715476054626388</v>
      </c>
    </row>
    <row r="151" spans="1:8">
      <c r="A151" s="1014" t="s">
        <v>497</v>
      </c>
      <c r="B151" s="857">
        <f>geral!C1139</f>
        <v>12405.125</v>
      </c>
      <c r="C151" s="857">
        <f t="shared" si="87"/>
        <v>303.45217710371821</v>
      </c>
      <c r="D151" s="961">
        <f t="shared" si="88"/>
        <v>1.632559309933157</v>
      </c>
      <c r="E151" s="961">
        <f t="shared" si="89"/>
        <v>3.0069334883334742</v>
      </c>
      <c r="F151" s="965">
        <f t="shared" si="90"/>
        <v>4.0436551203556048</v>
      </c>
      <c r="G151" s="966">
        <f t="shared" si="91"/>
        <v>12.110120762304998</v>
      </c>
      <c r="H151" s="861">
        <f t="shared" si="82"/>
        <v>1.1527286269451804</v>
      </c>
    </row>
    <row r="152" spans="1:8">
      <c r="A152" s="1014" t="s">
        <v>498</v>
      </c>
      <c r="B152" s="857">
        <f>geral!C1140</f>
        <v>12405.125</v>
      </c>
      <c r="C152" s="857">
        <f t="shared" si="87"/>
        <v>303.45217710371821</v>
      </c>
      <c r="D152" s="961">
        <f t="shared" si="88"/>
        <v>0</v>
      </c>
      <c r="E152" s="961">
        <f t="shared" si="89"/>
        <v>3.0069334883334742</v>
      </c>
      <c r="F152" s="965">
        <f t="shared" si="90"/>
        <v>3.0069334883334742</v>
      </c>
      <c r="G152" s="966">
        <f t="shared" si="91"/>
        <v>15.907312458392209</v>
      </c>
      <c r="H152" s="861">
        <f t="shared" si="82"/>
        <v>1.1527286269451804</v>
      </c>
    </row>
    <row r="153" spans="1:8">
      <c r="A153" s="1014" t="s">
        <v>499</v>
      </c>
      <c r="B153" s="857">
        <f>geral!C1141</f>
        <v>12405.125</v>
      </c>
      <c r="C153" s="857">
        <f t="shared" si="87"/>
        <v>303.45217710371821</v>
      </c>
      <c r="D153" s="961">
        <f t="shared" si="88"/>
        <v>0</v>
      </c>
      <c r="E153" s="961">
        <f t="shared" si="89"/>
        <v>3.0069334883334742</v>
      </c>
      <c r="F153" s="965">
        <f t="shared" si="90"/>
        <v>3.0069334883334742</v>
      </c>
      <c r="G153" s="966">
        <f t="shared" si="91"/>
        <v>5.8078589583937523</v>
      </c>
      <c r="H153" s="861">
        <f t="shared" si="82"/>
        <v>1.1527286269451804</v>
      </c>
    </row>
    <row r="154" spans="1:8">
      <c r="A154" s="1014" t="s">
        <v>500</v>
      </c>
      <c r="B154" s="857">
        <f>geral!C1142</f>
        <v>12405.125</v>
      </c>
      <c r="C154" s="857">
        <f t="shared" si="87"/>
        <v>303.45217710371821</v>
      </c>
      <c r="D154" s="961">
        <f t="shared" si="88"/>
        <v>0</v>
      </c>
      <c r="E154" s="961">
        <f t="shared" si="89"/>
        <v>3.0069334883334742</v>
      </c>
      <c r="F154" s="965">
        <f t="shared" si="90"/>
        <v>3.0069334883334742</v>
      </c>
      <c r="G154" s="966">
        <f t="shared" si="91"/>
        <v>5.8078589583937523</v>
      </c>
      <c r="H154" s="861">
        <f t="shared" si="82"/>
        <v>1.1527286269451804</v>
      </c>
    </row>
    <row r="155" spans="1:8">
      <c r="A155" s="1014" t="s">
        <v>501</v>
      </c>
      <c r="B155" s="857">
        <f>geral!C1143</f>
        <v>12405.125</v>
      </c>
      <c r="C155" s="857">
        <f t="shared" ref="C155:C160" si="92">100*B155/$B$8</f>
        <v>303.45217710371821</v>
      </c>
      <c r="D155" s="961">
        <f t="shared" ref="D155:D160" si="93">100*((B155/B154)-1)</f>
        <v>0</v>
      </c>
      <c r="E155" s="961">
        <f t="shared" ref="E155:E160" si="94">100*((B155/$B$148)-1)</f>
        <v>3.0069334883334742</v>
      </c>
      <c r="F155" s="965">
        <f t="shared" ref="F155:F160" si="95">100*((B155/B143)-1)</f>
        <v>3.0069334883334742</v>
      </c>
      <c r="G155" s="966">
        <f t="shared" ref="G155:G160" si="96">100*(B155/B131-1)</f>
        <v>5.8078589583937523</v>
      </c>
      <c r="H155" s="861">
        <f t="shared" si="82"/>
        <v>1.1527286269451804</v>
      </c>
    </row>
    <row r="156" spans="1:8">
      <c r="A156" s="1014" t="s">
        <v>502</v>
      </c>
      <c r="B156" s="857">
        <f>geral!C1144</f>
        <v>12405.125</v>
      </c>
      <c r="C156" s="857">
        <f t="shared" si="92"/>
        <v>303.45217710371821</v>
      </c>
      <c r="D156" s="961">
        <f t="shared" si="93"/>
        <v>0</v>
      </c>
      <c r="E156" s="961">
        <f t="shared" si="94"/>
        <v>3.0069334883334742</v>
      </c>
      <c r="F156" s="965">
        <f t="shared" si="95"/>
        <v>3.0069334883334742</v>
      </c>
      <c r="G156" s="966">
        <f t="shared" si="96"/>
        <v>5.3946418204216862</v>
      </c>
      <c r="H156" s="861">
        <f t="shared" si="82"/>
        <v>1.1527286269451804</v>
      </c>
    </row>
    <row r="157" spans="1:8">
      <c r="A157" s="1014" t="s">
        <v>503</v>
      </c>
      <c r="B157" s="857">
        <f>geral!C1145</f>
        <v>12180.125</v>
      </c>
      <c r="C157" s="857">
        <f t="shared" si="92"/>
        <v>297.94826320939336</v>
      </c>
      <c r="D157" s="961">
        <f t="shared" si="93"/>
        <v>-1.8137664876411996</v>
      </c>
      <c r="E157" s="961">
        <f t="shared" si="94"/>
        <v>1.1386282487752197</v>
      </c>
      <c r="F157" s="965">
        <f t="shared" si="95"/>
        <v>1.1386282487752197</v>
      </c>
      <c r="G157" s="966">
        <f t="shared" si="96"/>
        <v>3.1951622468863849</v>
      </c>
      <c r="H157" s="861">
        <f t="shared" si="82"/>
        <v>1.1740226564450966</v>
      </c>
    </row>
    <row r="158" spans="1:8">
      <c r="A158" s="1014" t="s">
        <v>504</v>
      </c>
      <c r="B158" s="857">
        <f>geral!C1146</f>
        <v>12180.125</v>
      </c>
      <c r="C158" s="857">
        <f t="shared" si="92"/>
        <v>297.94826320939336</v>
      </c>
      <c r="D158" s="961">
        <f t="shared" si="93"/>
        <v>0</v>
      </c>
      <c r="E158" s="961">
        <f t="shared" si="94"/>
        <v>1.1386282487752197</v>
      </c>
      <c r="F158" s="965">
        <f t="shared" si="95"/>
        <v>1.1386282487752197</v>
      </c>
      <c r="G158" s="966">
        <f t="shared" si="96"/>
        <v>3.1951622468863849</v>
      </c>
      <c r="H158" s="861">
        <f t="shared" si="82"/>
        <v>1.1740226564450966</v>
      </c>
    </row>
    <row r="159" spans="1:8">
      <c r="A159" s="1014" t="s">
        <v>505</v>
      </c>
      <c r="B159" s="857">
        <f>geral!C1147</f>
        <v>12405.125</v>
      </c>
      <c r="C159" s="857">
        <f t="shared" si="92"/>
        <v>303.45217710371821</v>
      </c>
      <c r="D159" s="961">
        <f t="shared" si="93"/>
        <v>1.8472716823513702</v>
      </c>
      <c r="E159" s="961">
        <f t="shared" si="94"/>
        <v>3.0069334883334742</v>
      </c>
      <c r="F159" s="965">
        <f t="shared" si="95"/>
        <v>3.0069334883334742</v>
      </c>
      <c r="G159" s="966">
        <f t="shared" si="96"/>
        <v>5.1014572566296712</v>
      </c>
      <c r="H159" s="861">
        <f t="shared" si="82"/>
        <v>1.1527286269451804</v>
      </c>
    </row>
    <row r="160" spans="1:8">
      <c r="A160" s="1014" t="s">
        <v>506</v>
      </c>
      <c r="B160" s="857">
        <f>geral!C1148</f>
        <v>12405.125</v>
      </c>
      <c r="C160" s="857">
        <f t="shared" si="92"/>
        <v>303.45217710371821</v>
      </c>
      <c r="D160" s="961">
        <f t="shared" si="93"/>
        <v>0</v>
      </c>
      <c r="E160" s="961">
        <f t="shared" si="94"/>
        <v>3.0069334883334742</v>
      </c>
      <c r="F160" s="965">
        <f t="shared" si="95"/>
        <v>3.0069334883334742</v>
      </c>
      <c r="G160" s="966">
        <f t="shared" si="96"/>
        <v>5.1014572566296712</v>
      </c>
      <c r="H160" s="861">
        <f t="shared" si="82"/>
        <v>1.1527286269451804</v>
      </c>
    </row>
    <row r="161" spans="1:8">
      <c r="A161" s="1014" t="s">
        <v>507</v>
      </c>
      <c r="B161" s="857">
        <f>geral!E1137</f>
        <v>12405.125</v>
      </c>
      <c r="C161" s="857">
        <f t="shared" ref="C161:C166" si="97">100*B161/$B$8</f>
        <v>303.45217710371821</v>
      </c>
      <c r="D161" s="961">
        <f t="shared" ref="D161:D166" si="98">100*((B161/B160)-1)</f>
        <v>0</v>
      </c>
      <c r="E161" s="961">
        <f t="shared" ref="E161:E166" si="99">100*((B161/$B$160)-1)</f>
        <v>0</v>
      </c>
      <c r="F161" s="965">
        <f t="shared" ref="F161:F166" si="100">100*((B161/B149)-1)</f>
        <v>3.0069334883334742</v>
      </c>
      <c r="G161" s="966">
        <f t="shared" ref="G161:G166" si="101">100*(B161/B137-1)</f>
        <v>4.0436551203556048</v>
      </c>
      <c r="H161" s="861">
        <f t="shared" si="82"/>
        <v>1.1527286269451804</v>
      </c>
    </row>
    <row r="162" spans="1:8">
      <c r="A162" s="1014" t="s">
        <v>508</v>
      </c>
      <c r="B162" s="857">
        <f>geral!E1138</f>
        <v>12405.125</v>
      </c>
      <c r="C162" s="857">
        <f t="shared" si="97"/>
        <v>303.45217710371821</v>
      </c>
      <c r="D162" s="961">
        <f t="shared" si="98"/>
        <v>0</v>
      </c>
      <c r="E162" s="961">
        <f t="shared" si="99"/>
        <v>0</v>
      </c>
      <c r="F162" s="965">
        <f t="shared" si="100"/>
        <v>1.632559309933157</v>
      </c>
      <c r="G162" s="966">
        <f t="shared" si="101"/>
        <v>4.0436551203556048</v>
      </c>
      <c r="H162" s="861">
        <f t="shared" si="82"/>
        <v>1.1527286269451804</v>
      </c>
    </row>
    <row r="163" spans="1:8">
      <c r="A163" s="1014" t="s">
        <v>509</v>
      </c>
      <c r="B163" s="857">
        <f>geral!E1139</f>
        <v>12405.125</v>
      </c>
      <c r="C163" s="857">
        <f t="shared" si="97"/>
        <v>303.45217710371821</v>
      </c>
      <c r="D163" s="961">
        <f t="shared" si="98"/>
        <v>0</v>
      </c>
      <c r="E163" s="961">
        <f t="shared" si="99"/>
        <v>0</v>
      </c>
      <c r="F163" s="965">
        <f t="shared" si="100"/>
        <v>0</v>
      </c>
      <c r="G163" s="966">
        <f t="shared" si="101"/>
        <v>4.0436551203556048</v>
      </c>
      <c r="H163" s="861">
        <f t="shared" si="82"/>
        <v>1.1527286269451804</v>
      </c>
    </row>
    <row r="164" spans="1:8">
      <c r="A164" s="1014" t="s">
        <v>510</v>
      </c>
      <c r="B164" s="857">
        <f>geral!E1140</f>
        <v>12405.125</v>
      </c>
      <c r="C164" s="857">
        <f t="shared" si="97"/>
        <v>303.45217710371821</v>
      </c>
      <c r="D164" s="961">
        <f t="shared" si="98"/>
        <v>0</v>
      </c>
      <c r="E164" s="961">
        <f t="shared" si="99"/>
        <v>0</v>
      </c>
      <c r="F164" s="965">
        <f t="shared" si="100"/>
        <v>0</v>
      </c>
      <c r="G164" s="966">
        <f t="shared" si="101"/>
        <v>3.0069334883334742</v>
      </c>
      <c r="H164" s="861">
        <f t="shared" si="82"/>
        <v>1.1527286269451804</v>
      </c>
    </row>
    <row r="165" spans="1:8">
      <c r="A165" s="1014" t="s">
        <v>511</v>
      </c>
      <c r="B165" s="857">
        <f>geral!E1141</f>
        <v>12405.125</v>
      </c>
      <c r="C165" s="857">
        <f t="shared" si="97"/>
        <v>303.45217710371821</v>
      </c>
      <c r="D165" s="961">
        <f t="shared" si="98"/>
        <v>0</v>
      </c>
      <c r="E165" s="961">
        <f t="shared" si="99"/>
        <v>0</v>
      </c>
      <c r="F165" s="965">
        <f t="shared" si="100"/>
        <v>0</v>
      </c>
      <c r="G165" s="966">
        <f t="shared" si="101"/>
        <v>3.0069334883334742</v>
      </c>
      <c r="H165" s="861">
        <f t="shared" si="82"/>
        <v>1.1527286269451804</v>
      </c>
    </row>
    <row r="166" spans="1:8">
      <c r="A166" s="1014" t="s">
        <v>512</v>
      </c>
      <c r="B166" s="857">
        <f>geral!E1142</f>
        <v>12405.125</v>
      </c>
      <c r="C166" s="857">
        <f t="shared" si="97"/>
        <v>303.45217710371821</v>
      </c>
      <c r="D166" s="961">
        <f t="shared" si="98"/>
        <v>0</v>
      </c>
      <c r="E166" s="961">
        <f t="shared" si="99"/>
        <v>0</v>
      </c>
      <c r="F166" s="965">
        <f t="shared" si="100"/>
        <v>0</v>
      </c>
      <c r="G166" s="966">
        <f t="shared" si="101"/>
        <v>3.0069334883334742</v>
      </c>
      <c r="H166" s="861">
        <f t="shared" si="82"/>
        <v>1.1527286269451804</v>
      </c>
    </row>
    <row r="167" spans="1:8">
      <c r="A167" s="1014" t="s">
        <v>513</v>
      </c>
      <c r="B167" s="857">
        <f>geral!E1143</f>
        <v>12405.125</v>
      </c>
      <c r="C167" s="857">
        <f t="shared" ref="C167:C172" si="102">100*B167/$B$8</f>
        <v>303.45217710371821</v>
      </c>
      <c r="D167" s="961">
        <f t="shared" ref="D167:D172" si="103">100*((B167/B166)-1)</f>
        <v>0</v>
      </c>
      <c r="E167" s="961">
        <f t="shared" ref="E167:E172" si="104">100*((B167/$B$160)-1)</f>
        <v>0</v>
      </c>
      <c r="F167" s="965">
        <f t="shared" ref="F167:F172" si="105">100*((B167/B155)-1)</f>
        <v>0</v>
      </c>
      <c r="G167" s="966">
        <f t="shared" ref="G167:G172" si="106">100*(B167/B143-1)</f>
        <v>3.0069334883334742</v>
      </c>
      <c r="H167" s="861">
        <f t="shared" si="82"/>
        <v>1.1527286269451804</v>
      </c>
    </row>
    <row r="168" spans="1:8">
      <c r="A168" s="1014" t="s">
        <v>514</v>
      </c>
      <c r="B168" s="857">
        <f>geral!E1144</f>
        <v>12405.125</v>
      </c>
      <c r="C168" s="857">
        <f t="shared" si="102"/>
        <v>303.45217710371821</v>
      </c>
      <c r="D168" s="961">
        <f t="shared" si="103"/>
        <v>0</v>
      </c>
      <c r="E168" s="961">
        <f t="shared" si="104"/>
        <v>0</v>
      </c>
      <c r="F168" s="965">
        <f t="shared" si="105"/>
        <v>0</v>
      </c>
      <c r="G168" s="966">
        <f t="shared" si="106"/>
        <v>3.0069334883334742</v>
      </c>
      <c r="H168" s="861">
        <f t="shared" si="82"/>
        <v>1.1527286269451804</v>
      </c>
    </row>
    <row r="169" spans="1:8">
      <c r="A169" s="1014" t="s">
        <v>515</v>
      </c>
      <c r="B169" s="857">
        <f>geral!E1145</f>
        <v>12405.125</v>
      </c>
      <c r="C169" s="857">
        <f t="shared" si="102"/>
        <v>303.45217710371821</v>
      </c>
      <c r="D169" s="961">
        <f t="shared" si="103"/>
        <v>0</v>
      </c>
      <c r="E169" s="961">
        <f t="shared" si="104"/>
        <v>0</v>
      </c>
      <c r="F169" s="965">
        <f t="shared" si="105"/>
        <v>1.8472716823513702</v>
      </c>
      <c r="G169" s="966">
        <f t="shared" si="106"/>
        <v>3.0069334883334742</v>
      </c>
      <c r="H169" s="861">
        <f t="shared" si="82"/>
        <v>1.1527286269451804</v>
      </c>
    </row>
    <row r="170" spans="1:8">
      <c r="A170" s="1014" t="s">
        <v>516</v>
      </c>
      <c r="B170" s="857">
        <f>geral!E1146</f>
        <v>12405.125</v>
      </c>
      <c r="C170" s="857">
        <f t="shared" si="102"/>
        <v>303.45217710371821</v>
      </c>
      <c r="D170" s="961">
        <f t="shared" si="103"/>
        <v>0</v>
      </c>
      <c r="E170" s="961">
        <f t="shared" si="104"/>
        <v>0</v>
      </c>
      <c r="F170" s="965">
        <f t="shared" si="105"/>
        <v>1.8472716823513702</v>
      </c>
      <c r="G170" s="966">
        <f t="shared" si="106"/>
        <v>3.0069334883334742</v>
      </c>
      <c r="H170" s="861">
        <f t="shared" si="82"/>
        <v>1.1527286269451804</v>
      </c>
    </row>
    <row r="171" spans="1:8">
      <c r="A171" s="1014" t="s">
        <v>517</v>
      </c>
      <c r="B171" s="857">
        <f>geral!E1147</f>
        <v>12405.125</v>
      </c>
      <c r="C171" s="857">
        <f t="shared" si="102"/>
        <v>303.45217710371821</v>
      </c>
      <c r="D171" s="961">
        <f t="shared" si="103"/>
        <v>0</v>
      </c>
      <c r="E171" s="961">
        <f t="shared" si="104"/>
        <v>0</v>
      </c>
      <c r="F171" s="965">
        <f t="shared" si="105"/>
        <v>0</v>
      </c>
      <c r="G171" s="966">
        <f t="shared" si="106"/>
        <v>3.0069334883334742</v>
      </c>
      <c r="H171" s="861">
        <f t="shared" si="82"/>
        <v>1.1527286269451804</v>
      </c>
    </row>
    <row r="172" spans="1:8">
      <c r="A172" s="1014" t="s">
        <v>518</v>
      </c>
      <c r="B172" s="857">
        <f>geral!E1148</f>
        <v>12405.125</v>
      </c>
      <c r="C172" s="857">
        <f t="shared" si="102"/>
        <v>303.45217710371821</v>
      </c>
      <c r="D172" s="961">
        <f t="shared" si="103"/>
        <v>0</v>
      </c>
      <c r="E172" s="961">
        <f t="shared" si="104"/>
        <v>0</v>
      </c>
      <c r="F172" s="965">
        <f t="shared" si="105"/>
        <v>0</v>
      </c>
      <c r="G172" s="966">
        <f t="shared" si="106"/>
        <v>3.0069334883334742</v>
      </c>
      <c r="H172" s="861">
        <f t="shared" si="82"/>
        <v>1.1527286269451804</v>
      </c>
    </row>
    <row r="173" spans="1:8">
      <c r="A173" s="1014" t="s">
        <v>519</v>
      </c>
      <c r="B173" s="857">
        <f>geral!G1137</f>
        <v>12405.125</v>
      </c>
      <c r="C173" s="857">
        <f t="shared" ref="C173:C178" si="107">100*B173/$B$8</f>
        <v>303.45217710371821</v>
      </c>
      <c r="D173" s="961">
        <f t="shared" ref="D173:D178" si="108">100*((B173/B172)-1)</f>
        <v>0</v>
      </c>
      <c r="E173" s="961">
        <f t="shared" ref="E173:E178" si="109">100*((B173/$B$160)-1)</f>
        <v>0</v>
      </c>
      <c r="F173" s="965">
        <f t="shared" ref="F173:F178" si="110">100*((B173/B161)-1)</f>
        <v>0</v>
      </c>
      <c r="G173" s="966">
        <f t="shared" ref="G173:G178" si="111">100*(B173/B149-1)</f>
        <v>3.0069334883334742</v>
      </c>
      <c r="H173" s="861">
        <f t="shared" si="82"/>
        <v>1.1527286269451804</v>
      </c>
    </row>
    <row r="174" spans="1:8">
      <c r="A174" s="1014" t="s">
        <v>520</v>
      </c>
      <c r="B174" s="857">
        <f>geral!G1138</f>
        <v>12405.125</v>
      </c>
      <c r="C174" s="857">
        <f t="shared" si="107"/>
        <v>303.45217710371821</v>
      </c>
      <c r="D174" s="961">
        <f t="shared" si="108"/>
        <v>0</v>
      </c>
      <c r="E174" s="961">
        <f t="shared" si="109"/>
        <v>0</v>
      </c>
      <c r="F174" s="965">
        <f t="shared" si="110"/>
        <v>0</v>
      </c>
      <c r="G174" s="966">
        <f t="shared" si="111"/>
        <v>1.632559309933157</v>
      </c>
      <c r="H174" s="861">
        <f t="shared" si="82"/>
        <v>1.1527286269451804</v>
      </c>
    </row>
    <row r="175" spans="1:8">
      <c r="A175" s="1014" t="s">
        <v>521</v>
      </c>
      <c r="B175" s="857">
        <f>geral!G1139</f>
        <v>12598.737499999999</v>
      </c>
      <c r="C175" s="857">
        <f t="shared" si="107"/>
        <v>308.18829500978472</v>
      </c>
      <c r="D175" s="961">
        <f t="shared" si="108"/>
        <v>1.5607460626152481</v>
      </c>
      <c r="E175" s="961">
        <f t="shared" si="109"/>
        <v>1.5607460626152481</v>
      </c>
      <c r="F175" s="965">
        <f t="shared" si="110"/>
        <v>1.5607460626152481</v>
      </c>
      <c r="G175" s="966">
        <f t="shared" si="111"/>
        <v>1.5607460626152481</v>
      </c>
      <c r="H175" s="861">
        <f t="shared" si="82"/>
        <v>1.135013941542423</v>
      </c>
    </row>
    <row r="176" spans="1:8">
      <c r="A176" s="1014" t="s">
        <v>522</v>
      </c>
      <c r="B176" s="857">
        <f>geral!G1140</f>
        <v>12661.25</v>
      </c>
      <c r="C176" s="857">
        <f t="shared" si="107"/>
        <v>309.71746575342468</v>
      </c>
      <c r="D176" s="961">
        <f t="shared" si="108"/>
        <v>0.49618066889638435</v>
      </c>
      <c r="E176" s="961">
        <f t="shared" si="109"/>
        <v>2.0646708517648937</v>
      </c>
      <c r="F176" s="965">
        <f t="shared" si="110"/>
        <v>2.0646708517648937</v>
      </c>
      <c r="G176" s="966">
        <f t="shared" si="111"/>
        <v>2.0646708517648937</v>
      </c>
      <c r="H176" s="861">
        <f t="shared" si="82"/>
        <v>1.1294100273143119</v>
      </c>
    </row>
    <row r="177" spans="1:8">
      <c r="A177" s="1014" t="s">
        <v>523</v>
      </c>
      <c r="B177" s="857">
        <f>geral!G1141</f>
        <v>12701.237499999999</v>
      </c>
      <c r="C177" s="857">
        <f t="shared" si="107"/>
        <v>310.69563356164383</v>
      </c>
      <c r="D177" s="961">
        <f t="shared" si="108"/>
        <v>0.31582584657912083</v>
      </c>
      <c r="E177" s="961">
        <f t="shared" si="109"/>
        <v>2.3870174625406859</v>
      </c>
      <c r="F177" s="965">
        <f t="shared" si="110"/>
        <v>2.3870174625406859</v>
      </c>
      <c r="G177" s="966">
        <f t="shared" si="111"/>
        <v>2.3870174625406859</v>
      </c>
      <c r="H177" s="861">
        <f t="shared" si="82"/>
        <v>1.1258542884764837</v>
      </c>
    </row>
    <row r="178" spans="1:8">
      <c r="A178" s="1014" t="s">
        <v>524</v>
      </c>
      <c r="B178" s="857">
        <f>geral!G1142</f>
        <v>12764.875</v>
      </c>
      <c r="C178" s="857">
        <f t="shared" si="107"/>
        <v>312.2523238747554</v>
      </c>
      <c r="D178" s="961">
        <f t="shared" si="108"/>
        <v>0.50103385595301475</v>
      </c>
      <c r="E178" s="961">
        <f t="shared" si="109"/>
        <v>2.9000110841285398</v>
      </c>
      <c r="F178" s="965">
        <f t="shared" si="110"/>
        <v>2.9000110841285398</v>
      </c>
      <c r="G178" s="966">
        <f t="shared" si="111"/>
        <v>2.9000110841285398</v>
      </c>
      <c r="H178" s="861">
        <f t="shared" si="82"/>
        <v>1.1202414992965721</v>
      </c>
    </row>
    <row r="179" spans="1:8">
      <c r="A179" s="1014" t="s">
        <v>525</v>
      </c>
      <c r="B179" s="857">
        <f>geral!G1143</f>
        <v>12434.875</v>
      </c>
      <c r="C179" s="857">
        <f t="shared" ref="C179:C184" si="112">100*B179/$B$8</f>
        <v>304.17991682974559</v>
      </c>
      <c r="D179" s="961">
        <f t="shared" ref="D179:D184" si="113">100*((B179/B178)-1)</f>
        <v>-2.5852192050450973</v>
      </c>
      <c r="E179" s="961">
        <f t="shared" ref="E179:E184" si="114">100*((B179/$B$160)-1)</f>
        <v>0.23982023558810628</v>
      </c>
      <c r="F179" s="965">
        <f t="shared" ref="F179:F184" si="115">100*((B179/B167)-1)</f>
        <v>0.23982023558810628</v>
      </c>
      <c r="G179" s="966">
        <f t="shared" ref="G179:G184" si="116">100*(B179/B155-1)</f>
        <v>0.23982023558810628</v>
      </c>
      <c r="H179" s="861">
        <f t="shared" si="82"/>
        <v>1.1499707643489243</v>
      </c>
    </row>
    <row r="180" spans="1:8">
      <c r="A180" s="1014" t="s">
        <v>526</v>
      </c>
      <c r="B180" s="857">
        <f>geral!G1144</f>
        <v>12434.875</v>
      </c>
      <c r="C180" s="857">
        <f t="shared" si="112"/>
        <v>304.17991682974559</v>
      </c>
      <c r="D180" s="961">
        <f t="shared" si="113"/>
        <v>0</v>
      </c>
      <c r="E180" s="961">
        <f t="shared" si="114"/>
        <v>0.23982023558810628</v>
      </c>
      <c r="F180" s="965">
        <f t="shared" si="115"/>
        <v>0.23982023558810628</v>
      </c>
      <c r="G180" s="966">
        <f t="shared" si="116"/>
        <v>0.23982023558810628</v>
      </c>
      <c r="H180" s="861">
        <f t="shared" si="82"/>
        <v>1.1499707643489243</v>
      </c>
    </row>
    <row r="181" spans="1:8">
      <c r="A181" s="1014" t="s">
        <v>527</v>
      </c>
      <c r="B181" s="857">
        <f>geral!G1145</f>
        <v>12434.875</v>
      </c>
      <c r="C181" s="857">
        <f t="shared" si="112"/>
        <v>304.17991682974559</v>
      </c>
      <c r="D181" s="961">
        <f t="shared" si="113"/>
        <v>0</v>
      </c>
      <c r="E181" s="961">
        <f t="shared" si="114"/>
        <v>0.23982023558810628</v>
      </c>
      <c r="F181" s="965">
        <f t="shared" si="115"/>
        <v>0.23982023558810628</v>
      </c>
      <c r="G181" s="966">
        <f t="shared" si="116"/>
        <v>2.0915220492400577</v>
      </c>
      <c r="H181" s="861">
        <f t="shared" si="82"/>
        <v>1.1499707643489243</v>
      </c>
    </row>
    <row r="182" spans="1:8">
      <c r="A182" s="1014" t="s">
        <v>528</v>
      </c>
      <c r="B182" s="857">
        <f>geral!G1146</f>
        <v>12434.875</v>
      </c>
      <c r="C182" s="857">
        <f t="shared" si="112"/>
        <v>304.17991682974559</v>
      </c>
      <c r="D182" s="961">
        <f t="shared" si="113"/>
        <v>0</v>
      </c>
      <c r="E182" s="961">
        <f t="shared" si="114"/>
        <v>0.23982023558810628</v>
      </c>
      <c r="F182" s="965">
        <f t="shared" si="115"/>
        <v>0.23982023558810628</v>
      </c>
      <c r="G182" s="966">
        <f t="shared" si="116"/>
        <v>2.0915220492400577</v>
      </c>
      <c r="H182" s="861">
        <f t="shared" si="82"/>
        <v>1.1499707643489243</v>
      </c>
    </row>
    <row r="183" spans="1:8">
      <c r="A183" s="1014" t="s">
        <v>529</v>
      </c>
      <c r="B183" s="857">
        <f>geral!G1147</f>
        <v>12434.875</v>
      </c>
      <c r="C183" s="857">
        <f t="shared" si="112"/>
        <v>304.17991682974559</v>
      </c>
      <c r="D183" s="961">
        <f t="shared" si="113"/>
        <v>0</v>
      </c>
      <c r="E183" s="961">
        <f t="shared" si="114"/>
        <v>0.23982023558810628</v>
      </c>
      <c r="F183" s="965">
        <f t="shared" si="115"/>
        <v>0.23982023558810628</v>
      </c>
      <c r="G183" s="966">
        <f t="shared" si="116"/>
        <v>0.23982023558810628</v>
      </c>
      <c r="H183" s="861">
        <f t="shared" si="82"/>
        <v>1.1499707643489243</v>
      </c>
    </row>
    <row r="184" spans="1:8">
      <c r="A184" s="1014" t="s">
        <v>530</v>
      </c>
      <c r="B184" s="857">
        <f>geral!G1148</f>
        <v>12434.875</v>
      </c>
      <c r="C184" s="857">
        <f t="shared" si="112"/>
        <v>304.17991682974559</v>
      </c>
      <c r="D184" s="961">
        <f t="shared" si="113"/>
        <v>0</v>
      </c>
      <c r="E184" s="961">
        <f t="shared" si="114"/>
        <v>0.23982023558810628</v>
      </c>
      <c r="F184" s="965">
        <f t="shared" si="115"/>
        <v>0.23982023558810628</v>
      </c>
      <c r="G184" s="966">
        <f t="shared" si="116"/>
        <v>0.23982023558810628</v>
      </c>
      <c r="H184" s="861">
        <f t="shared" si="82"/>
        <v>1.1499707643489243</v>
      </c>
    </row>
    <row r="185" spans="1:8">
      <c r="A185" s="1014" t="s">
        <v>531</v>
      </c>
      <c r="B185" s="857">
        <f>geral!I1137</f>
        <v>12472.375</v>
      </c>
      <c r="C185" s="857">
        <f t="shared" ref="C185:C190" si="117">100*B185/$B$8</f>
        <v>305.09723581213308</v>
      </c>
      <c r="D185" s="961">
        <f t="shared" ref="D185:D190" si="118">100*((B185/B184)-1)</f>
        <v>0.30157118587843534</v>
      </c>
      <c r="E185" s="961">
        <f t="shared" ref="E185:E190" si="119">100*((B185/$B$184)-1)</f>
        <v>0.30157118587843534</v>
      </c>
      <c r="F185" s="965">
        <f t="shared" ref="F185:F190" si="120">100*((B185/B173)-1)</f>
        <v>0.54211465019498029</v>
      </c>
      <c r="G185" s="966">
        <f t="shared" ref="G185:G190" si="121">100*(B185/B161-1)</f>
        <v>0.54211465019498029</v>
      </c>
      <c r="H185" s="861">
        <f t="shared" si="82"/>
        <v>1.146513210862673</v>
      </c>
    </row>
    <row r="186" spans="1:8">
      <c r="A186" s="1014" t="s">
        <v>649</v>
      </c>
      <c r="B186" s="857">
        <f>geral!I1138</f>
        <v>12472.375</v>
      </c>
      <c r="C186" s="857">
        <f t="shared" si="117"/>
        <v>305.09723581213308</v>
      </c>
      <c r="D186" s="961">
        <f t="shared" si="118"/>
        <v>0</v>
      </c>
      <c r="E186" s="961">
        <f t="shared" si="119"/>
        <v>0.30157118587843534</v>
      </c>
      <c r="F186" s="965">
        <f t="shared" si="120"/>
        <v>0.54211465019498029</v>
      </c>
      <c r="G186" s="966">
        <f t="shared" si="121"/>
        <v>0.54211465019498029</v>
      </c>
      <c r="H186" s="861">
        <f t="shared" si="82"/>
        <v>1.146513210862673</v>
      </c>
    </row>
    <row r="187" spans="1:8">
      <c r="A187" s="1014" t="s">
        <v>650</v>
      </c>
      <c r="B187" s="857">
        <f>geral!I1139</f>
        <v>12472.375</v>
      </c>
      <c r="C187" s="857">
        <f t="shared" si="117"/>
        <v>305.09723581213308</v>
      </c>
      <c r="D187" s="961">
        <f t="shared" si="118"/>
        <v>0</v>
      </c>
      <c r="E187" s="961">
        <f t="shared" si="119"/>
        <v>0.30157118587843534</v>
      </c>
      <c r="F187" s="965">
        <f t="shared" si="120"/>
        <v>-1.0029774808785308</v>
      </c>
      <c r="G187" s="966">
        <f t="shared" si="121"/>
        <v>0.54211465019498029</v>
      </c>
      <c r="H187" s="861">
        <f t="shared" si="82"/>
        <v>1.146513210862673</v>
      </c>
    </row>
    <row r="188" spans="1:8">
      <c r="A188" s="1014" t="s">
        <v>652</v>
      </c>
      <c r="B188" s="857">
        <f>geral!I1140</f>
        <v>12472.375</v>
      </c>
      <c r="C188" s="857">
        <f t="shared" si="117"/>
        <v>305.09723581213308</v>
      </c>
      <c r="D188" s="961">
        <f t="shared" si="118"/>
        <v>0</v>
      </c>
      <c r="E188" s="961">
        <f t="shared" si="119"/>
        <v>0.30157118587843534</v>
      </c>
      <c r="F188" s="965">
        <f t="shared" si="120"/>
        <v>-1.4917563431730674</v>
      </c>
      <c r="G188" s="966">
        <f t="shared" si="121"/>
        <v>0.54211465019498029</v>
      </c>
      <c r="H188" s="861">
        <f t="shared" si="82"/>
        <v>1.146513210862673</v>
      </c>
    </row>
    <row r="189" spans="1:8">
      <c r="A189" s="1014" t="s">
        <v>653</v>
      </c>
      <c r="B189" s="857">
        <f>geral!I1141</f>
        <v>12472.375</v>
      </c>
      <c r="C189" s="857">
        <f t="shared" si="117"/>
        <v>305.09723581213308</v>
      </c>
      <c r="D189" s="961">
        <f t="shared" si="118"/>
        <v>0</v>
      </c>
      <c r="E189" s="961">
        <f t="shared" si="119"/>
        <v>0.30157118587843534</v>
      </c>
      <c r="F189" s="965">
        <f t="shared" si="120"/>
        <v>-1.8018913511380186</v>
      </c>
      <c r="G189" s="966">
        <f t="shared" si="121"/>
        <v>0.54211465019498029</v>
      </c>
      <c r="H189" s="861">
        <f t="shared" si="82"/>
        <v>1.146513210862673</v>
      </c>
    </row>
    <row r="190" spans="1:8">
      <c r="A190" s="1014" t="s">
        <v>654</v>
      </c>
      <c r="B190" s="857">
        <f>geral!I1142</f>
        <v>12472.375</v>
      </c>
      <c r="C190" s="857">
        <f t="shared" si="117"/>
        <v>305.09723581213308</v>
      </c>
      <c r="D190" s="961">
        <f t="shared" si="118"/>
        <v>0</v>
      </c>
      <c r="E190" s="961">
        <f t="shared" si="119"/>
        <v>0.30157118587843534</v>
      </c>
      <c r="F190" s="965">
        <f t="shared" si="120"/>
        <v>-2.2914442953808845</v>
      </c>
      <c r="G190" s="966">
        <f t="shared" si="121"/>
        <v>0.54211465019498029</v>
      </c>
      <c r="H190" s="861">
        <f t="shared" si="82"/>
        <v>1.146513210862673</v>
      </c>
    </row>
    <row r="191" spans="1:8">
      <c r="A191" s="1014" t="s">
        <v>657</v>
      </c>
      <c r="B191" s="857">
        <f>geral!I1143</f>
        <v>12472.375</v>
      </c>
      <c r="C191" s="857">
        <f t="shared" ref="C191:C196" si="122">100*B191/$B$8</f>
        <v>305.09723581213308</v>
      </c>
      <c r="D191" s="961">
        <f t="shared" ref="D191:D196" si="123">100*((B191/B190)-1)</f>
        <v>0</v>
      </c>
      <c r="E191" s="961">
        <f t="shared" ref="E191:E196" si="124">100*((B191/$B$184)-1)</f>
        <v>0.30157118587843534</v>
      </c>
      <c r="F191" s="965">
        <f t="shared" ref="F191:F196" si="125">100*((B191/B179)-1)</f>
        <v>0.30157118587843534</v>
      </c>
      <c r="G191" s="966">
        <f t="shared" ref="G191:G196" si="126">100*(B191/B167-1)</f>
        <v>0.54211465019498029</v>
      </c>
      <c r="H191" s="861">
        <f t="shared" si="82"/>
        <v>1.146513210862673</v>
      </c>
    </row>
    <row r="192" spans="1:8">
      <c r="A192" s="1032" t="str">
        <f>cartru!A261</f>
        <v>AGOSTO|15</v>
      </c>
      <c r="B192" s="918">
        <f>geral!I1144</f>
        <v>12472.375</v>
      </c>
      <c r="C192" s="918">
        <f t="shared" si="122"/>
        <v>305.09723581213308</v>
      </c>
      <c r="D192" s="1036">
        <f t="shared" si="123"/>
        <v>0</v>
      </c>
      <c r="E192" s="1036">
        <f t="shared" si="124"/>
        <v>0.30157118587843534</v>
      </c>
      <c r="F192" s="1037">
        <f t="shared" si="125"/>
        <v>0.30157118587843534</v>
      </c>
      <c r="G192" s="1038">
        <f t="shared" si="126"/>
        <v>0.54211465019498029</v>
      </c>
      <c r="H192" s="861">
        <f t="shared" si="82"/>
        <v>1.146513210862673</v>
      </c>
    </row>
    <row r="193" spans="1:8">
      <c r="A193" s="1032" t="str">
        <f>cartru!A262</f>
        <v>SETEMBRO|15</v>
      </c>
      <c r="B193" s="918">
        <f>geral!I1145</f>
        <v>12472.375</v>
      </c>
      <c r="C193" s="918">
        <f t="shared" si="122"/>
        <v>305.09723581213308</v>
      </c>
      <c r="D193" s="1036">
        <f t="shared" si="123"/>
        <v>0</v>
      </c>
      <c r="E193" s="1036">
        <f t="shared" si="124"/>
        <v>0.30157118587843534</v>
      </c>
      <c r="F193" s="1037">
        <f t="shared" si="125"/>
        <v>0.30157118587843534</v>
      </c>
      <c r="G193" s="1038">
        <f t="shared" si="126"/>
        <v>0.54211465019498029</v>
      </c>
      <c r="H193" s="861">
        <f t="shared" si="82"/>
        <v>1.146513210862673</v>
      </c>
    </row>
    <row r="194" spans="1:8">
      <c r="A194" s="1032" t="str">
        <f>cartru!A263</f>
        <v>OUTUBRO|15</v>
      </c>
      <c r="B194" s="918">
        <f>geral!I1146</f>
        <v>12472.375</v>
      </c>
      <c r="C194" s="918">
        <f t="shared" si="122"/>
        <v>305.09723581213308</v>
      </c>
      <c r="D194" s="1036">
        <f t="shared" si="123"/>
        <v>0</v>
      </c>
      <c r="E194" s="1036">
        <f t="shared" si="124"/>
        <v>0.30157118587843534</v>
      </c>
      <c r="F194" s="1037">
        <f t="shared" si="125"/>
        <v>0.30157118587843534</v>
      </c>
      <c r="G194" s="1038">
        <f t="shared" si="126"/>
        <v>0.54211465019498029</v>
      </c>
      <c r="H194" s="861">
        <f t="shared" si="82"/>
        <v>1.146513210862673</v>
      </c>
    </row>
    <row r="195" spans="1:8">
      <c r="A195" s="1032" t="str">
        <f>cartru!A264</f>
        <v>NOVEMBRO|15</v>
      </c>
      <c r="B195" s="918">
        <f>geral!I1147</f>
        <v>12472.375</v>
      </c>
      <c r="C195" s="918">
        <f t="shared" si="122"/>
        <v>305.09723581213308</v>
      </c>
      <c r="D195" s="1036">
        <f t="shared" si="123"/>
        <v>0</v>
      </c>
      <c r="E195" s="1036">
        <f t="shared" si="124"/>
        <v>0.30157118587843534</v>
      </c>
      <c r="F195" s="1037">
        <f t="shared" si="125"/>
        <v>0.30157118587843534</v>
      </c>
      <c r="G195" s="1038">
        <f t="shared" si="126"/>
        <v>0.54211465019498029</v>
      </c>
      <c r="H195" s="861">
        <f t="shared" si="82"/>
        <v>1.146513210862673</v>
      </c>
    </row>
    <row r="196" spans="1:8">
      <c r="A196" s="1032" t="str">
        <f>cartru!A265</f>
        <v>DEZEMBRO|15</v>
      </c>
      <c r="B196" s="918">
        <f>geral!I1148</f>
        <v>12472.375</v>
      </c>
      <c r="C196" s="918">
        <f t="shared" si="122"/>
        <v>305.09723581213308</v>
      </c>
      <c r="D196" s="1036">
        <f t="shared" si="123"/>
        <v>0</v>
      </c>
      <c r="E196" s="1036">
        <f t="shared" si="124"/>
        <v>0.30157118587843534</v>
      </c>
      <c r="F196" s="1037">
        <f t="shared" si="125"/>
        <v>0.30157118587843534</v>
      </c>
      <c r="G196" s="1038">
        <f t="shared" si="126"/>
        <v>0.54211465019498029</v>
      </c>
      <c r="H196" s="861">
        <f t="shared" si="82"/>
        <v>1.146513210862673</v>
      </c>
    </row>
    <row r="197" spans="1:8">
      <c r="A197" s="1032" t="str">
        <f>cartru!A266</f>
        <v>JANEIRO|16</v>
      </c>
      <c r="B197" s="918">
        <f>geral!K1137</f>
        <v>12757.898046875</v>
      </c>
      <c r="C197" s="918">
        <f t="shared" ref="C197" si="127">100*B197/$B$8</f>
        <v>312.081654767001</v>
      </c>
      <c r="D197" s="1036">
        <f t="shared" ref="D197" si="128">100*((B197/B196)-1)</f>
        <v>2.2892436033634223</v>
      </c>
      <c r="E197" s="1036">
        <f t="shared" ref="E197:E202" si="129">100*((B197/$B$196)-1)</f>
        <v>2.2892436033634223</v>
      </c>
      <c r="F197" s="1037">
        <f t="shared" ref="F197" si="130">100*((B197/B185)-1)</f>
        <v>2.2892436033634223</v>
      </c>
      <c r="G197" s="1038">
        <f t="shared" ref="G197" si="131">100*(B197/B173-1)</f>
        <v>2.8437685785108968</v>
      </c>
      <c r="H197" s="861">
        <f t="shared" si="82"/>
        <v>1.120854129402296</v>
      </c>
    </row>
    <row r="198" spans="1:8">
      <c r="A198" s="1032" t="str">
        <f>cartru!A267</f>
        <v>FEVEREIRO|16</v>
      </c>
      <c r="B198" s="918">
        <f>geral!K1138</f>
        <v>12757.898046875</v>
      </c>
      <c r="C198" s="918">
        <f t="shared" ref="C198" si="132">100*B198/$B$8</f>
        <v>312.081654767001</v>
      </c>
      <c r="D198" s="1036">
        <f t="shared" ref="D198" si="133">100*((B198/B197)-1)</f>
        <v>0</v>
      </c>
      <c r="E198" s="1036">
        <f t="shared" si="129"/>
        <v>2.2892436033634223</v>
      </c>
      <c r="F198" s="1037">
        <f t="shared" ref="F198" si="134">100*((B198/B186)-1)</f>
        <v>2.2892436033634223</v>
      </c>
      <c r="G198" s="1038">
        <f t="shared" ref="G198" si="135">100*(B198/B174-1)</f>
        <v>2.8437685785108968</v>
      </c>
      <c r="H198" s="861">
        <f t="shared" si="82"/>
        <v>1.120854129402296</v>
      </c>
    </row>
    <row r="199" spans="1:8">
      <c r="A199" s="1032" t="str">
        <f>cartru!A268</f>
        <v>MARÇO|16</v>
      </c>
      <c r="B199" s="918">
        <f>geral!K1139</f>
        <v>12757.898046875</v>
      </c>
      <c r="C199" s="918">
        <f t="shared" ref="C199" si="136">100*B199/$B$8</f>
        <v>312.081654767001</v>
      </c>
      <c r="D199" s="1036">
        <f t="shared" ref="D199" si="137">100*((B199/B198)-1)</f>
        <v>0</v>
      </c>
      <c r="E199" s="1036">
        <f t="shared" si="129"/>
        <v>2.2892436033634223</v>
      </c>
      <c r="F199" s="1037">
        <f t="shared" ref="F199" si="138">100*((B199/B187)-1)</f>
        <v>2.2892436033634223</v>
      </c>
      <c r="G199" s="1038">
        <f t="shared" ref="G199" si="139">100*(B199/B175-1)</f>
        <v>1.2633055246607183</v>
      </c>
      <c r="H199" s="861">
        <f t="shared" si="82"/>
        <v>1.120854129402296</v>
      </c>
    </row>
    <row r="200" spans="1:8">
      <c r="A200" s="1032" t="str">
        <f>cartru!A269</f>
        <v>ABRIL|16</v>
      </c>
      <c r="B200" s="918">
        <f>geral!K1140</f>
        <v>12757.898046875</v>
      </c>
      <c r="C200" s="918">
        <f t="shared" ref="C200" si="140">100*B200/$B$8</f>
        <v>312.081654767001</v>
      </c>
      <c r="D200" s="1036">
        <f t="shared" ref="D200" si="141">100*((B200/B199)-1)</f>
        <v>0</v>
      </c>
      <c r="E200" s="1036">
        <f t="shared" si="129"/>
        <v>2.2892436033634223</v>
      </c>
      <c r="F200" s="1037">
        <f t="shared" ref="F200" si="142">100*((B200/B188)-1)</f>
        <v>2.2892436033634223</v>
      </c>
      <c r="G200" s="1038">
        <f t="shared" ref="G200" si="143">100*(B200/B176-1)</f>
        <v>0.76333732352651396</v>
      </c>
      <c r="H200" s="861">
        <f t="shared" si="82"/>
        <v>1.120854129402296</v>
      </c>
    </row>
    <row r="201" spans="1:8">
      <c r="A201" s="1032" t="str">
        <f>cartru!A270</f>
        <v>MAIO|16</v>
      </c>
      <c r="B201" s="918">
        <f>geral!K1141</f>
        <v>12757.898046875</v>
      </c>
      <c r="C201" s="918">
        <f t="shared" ref="C201" si="144">100*B201/$B$8</f>
        <v>312.081654767001</v>
      </c>
      <c r="D201" s="1036">
        <f t="shared" ref="D201" si="145">100*((B201/B200)-1)</f>
        <v>0</v>
      </c>
      <c r="E201" s="1036">
        <f t="shared" si="129"/>
        <v>2.2892436033634223</v>
      </c>
      <c r="F201" s="1037">
        <f t="shared" ref="F201" si="146">100*((B201/B189)-1)</f>
        <v>2.2892436033634223</v>
      </c>
      <c r="G201" s="1038">
        <f t="shared" ref="G201" si="147">100*(B201/B177-1)</f>
        <v>0.44610256972992257</v>
      </c>
      <c r="H201" s="861">
        <f t="shared" si="82"/>
        <v>1.120854129402296</v>
      </c>
    </row>
    <row r="202" spans="1:8">
      <c r="A202" s="1032" t="str">
        <f>cartru!A271</f>
        <v>JUNHO|16</v>
      </c>
      <c r="B202" s="918">
        <f>geral!K1142</f>
        <v>12757.898046875</v>
      </c>
      <c r="C202" s="918">
        <f t="shared" ref="C202" si="148">100*B202/$B$8</f>
        <v>312.081654767001</v>
      </c>
      <c r="D202" s="1036">
        <f t="shared" ref="D202" si="149">100*((B202/B201)-1)</f>
        <v>0</v>
      </c>
      <c r="E202" s="1036">
        <f t="shared" si="129"/>
        <v>2.2892436033634223</v>
      </c>
      <c r="F202" s="1037">
        <f t="shared" ref="F202" si="150">100*((B202/B190)-1)</f>
        <v>2.2892436033634223</v>
      </c>
      <c r="G202" s="1038">
        <f t="shared" ref="G202" si="151">100*(B202/B178-1)</f>
        <v>-5.4657433974092395E-2</v>
      </c>
      <c r="H202" s="861">
        <f t="shared" si="82"/>
        <v>1.120854129402296</v>
      </c>
    </row>
    <row r="203" spans="1:8">
      <c r="A203" s="1032" t="str">
        <f>cartru!A272</f>
        <v>JULHO|16</v>
      </c>
      <c r="B203" s="918">
        <f>geral!K1143</f>
        <v>12782.648046875</v>
      </c>
      <c r="C203" s="918">
        <f t="shared" ref="C203" si="152">100*B203/$B$8</f>
        <v>312.68708529537673</v>
      </c>
      <c r="D203" s="1036">
        <f t="shared" ref="D203" si="153">100*((B203/B202)-1)</f>
        <v>0.19399747441988247</v>
      </c>
      <c r="E203" s="1036">
        <f t="shared" ref="E203" si="154">100*((B203/$B$196)-1)</f>
        <v>2.4876821525571469</v>
      </c>
      <c r="F203" s="1037">
        <f t="shared" ref="F203" si="155">100*((B203/B191)-1)</f>
        <v>2.4876821525571469</v>
      </c>
      <c r="G203" s="1038">
        <f t="shared" ref="G203" si="156">100*(B203/B179-1)</f>
        <v>2.7967554710039311</v>
      </c>
      <c r="H203" s="861">
        <f t="shared" ref="H203:H253" si="157">$B$253/B203</f>
        <v>1.1186839108684699</v>
      </c>
    </row>
    <row r="204" spans="1:8">
      <c r="A204" s="1032" t="str">
        <f>cartru!A273</f>
        <v>AGOSTO|16</v>
      </c>
      <c r="B204" s="918">
        <f>geral!K1144</f>
        <v>12782.648046875</v>
      </c>
      <c r="C204" s="918">
        <f t="shared" ref="C204" si="158">100*B204/$B$8</f>
        <v>312.68708529537673</v>
      </c>
      <c r="D204" s="1036">
        <f t="shared" ref="D204" si="159">100*((B204/B203)-1)</f>
        <v>0</v>
      </c>
      <c r="E204" s="1036">
        <f t="shared" ref="E204" si="160">100*((B204/$B$196)-1)</f>
        <v>2.4876821525571469</v>
      </c>
      <c r="F204" s="1037">
        <f t="shared" ref="F204" si="161">100*((B204/B192)-1)</f>
        <v>2.4876821525571469</v>
      </c>
      <c r="G204" s="1038">
        <f t="shared" ref="G204" si="162">100*(B204/B180-1)</f>
        <v>2.7967554710039311</v>
      </c>
      <c r="H204" s="861">
        <f t="shared" si="157"/>
        <v>1.1186839108684699</v>
      </c>
    </row>
    <row r="205" spans="1:8">
      <c r="A205" s="1032" t="str">
        <f>cartru!A274</f>
        <v>SETEMBRO|16</v>
      </c>
      <c r="B205" s="918">
        <f>geral!K1145</f>
        <v>12782.648046875</v>
      </c>
      <c r="C205" s="918">
        <f t="shared" ref="C205" si="163">100*B205/$B$8</f>
        <v>312.68708529537673</v>
      </c>
      <c r="D205" s="1036">
        <f t="shared" ref="D205" si="164">100*((B205/B204)-1)</f>
        <v>0</v>
      </c>
      <c r="E205" s="1036">
        <f t="shared" ref="E205" si="165">100*((B205/$B$196)-1)</f>
        <v>2.4876821525571469</v>
      </c>
      <c r="F205" s="1037">
        <f t="shared" ref="F205" si="166">100*((B205/B193)-1)</f>
        <v>2.4876821525571469</v>
      </c>
      <c r="G205" s="1038">
        <f t="shared" ref="G205" si="167">100*(B205/B181-1)</f>
        <v>2.7967554710039311</v>
      </c>
      <c r="H205" s="861">
        <f t="shared" si="157"/>
        <v>1.1186839108684699</v>
      </c>
    </row>
    <row r="206" spans="1:8">
      <c r="A206" s="1032" t="str">
        <f>cartru!A275</f>
        <v>OUTUBRO|16</v>
      </c>
      <c r="B206" s="918">
        <f>geral!K1146</f>
        <v>12782.648046875</v>
      </c>
      <c r="C206" s="918">
        <f t="shared" ref="C206" si="168">100*B206/$B$8</f>
        <v>312.68708529537673</v>
      </c>
      <c r="D206" s="1036">
        <f t="shared" ref="D206" si="169">100*((B206/B205)-1)</f>
        <v>0</v>
      </c>
      <c r="E206" s="1036">
        <f t="shared" ref="E206" si="170">100*((B206/$B$196)-1)</f>
        <v>2.4876821525571469</v>
      </c>
      <c r="F206" s="1037">
        <f t="shared" ref="F206" si="171">100*((B206/B194)-1)</f>
        <v>2.4876821525571469</v>
      </c>
      <c r="G206" s="1038">
        <f t="shared" ref="G206" si="172">100*(B206/B182-1)</f>
        <v>2.7967554710039311</v>
      </c>
      <c r="H206" s="861">
        <f t="shared" si="157"/>
        <v>1.1186839108684699</v>
      </c>
    </row>
    <row r="207" spans="1:8">
      <c r="A207" s="1032" t="str">
        <f>cartru!A276</f>
        <v>NOVEMBRO|16</v>
      </c>
      <c r="B207" s="918">
        <f>geral!K1147</f>
        <v>12782.648046875</v>
      </c>
      <c r="C207" s="918">
        <f t="shared" ref="C207" si="173">100*B207/$B$8</f>
        <v>312.68708529537673</v>
      </c>
      <c r="D207" s="1036">
        <f t="shared" ref="D207" si="174">100*((B207/B206)-1)</f>
        <v>0</v>
      </c>
      <c r="E207" s="1036">
        <f t="shared" ref="E207" si="175">100*((B207/$B$196)-1)</f>
        <v>2.4876821525571469</v>
      </c>
      <c r="F207" s="1037">
        <f t="shared" ref="F207" si="176">100*((B207/B195)-1)</f>
        <v>2.4876821525571469</v>
      </c>
      <c r="G207" s="1038">
        <f t="shared" ref="G207" si="177">100*(B207/B183-1)</f>
        <v>2.7967554710039311</v>
      </c>
      <c r="H207" s="861">
        <f t="shared" si="157"/>
        <v>1.1186839108684699</v>
      </c>
    </row>
    <row r="208" spans="1:8">
      <c r="A208" s="1032" t="str">
        <f>cartru!A277</f>
        <v>DEZEMBRO|16</v>
      </c>
      <c r="B208" s="918">
        <f>geral!K1148</f>
        <v>12782.648046875</v>
      </c>
      <c r="C208" s="918">
        <f t="shared" ref="C208" si="178">100*B208/$B$8</f>
        <v>312.68708529537673</v>
      </c>
      <c r="D208" s="1036">
        <f t="shared" ref="D208" si="179">100*((B208/B207)-1)</f>
        <v>0</v>
      </c>
      <c r="E208" s="1036">
        <f t="shared" ref="E208" si="180">100*((B208/$B$196)-1)</f>
        <v>2.4876821525571469</v>
      </c>
      <c r="F208" s="1037">
        <f t="shared" ref="F208" si="181">100*((B208/B196)-1)</f>
        <v>2.4876821525571469</v>
      </c>
      <c r="G208" s="1038">
        <f t="shared" ref="G208" si="182">100*(B208/B184-1)</f>
        <v>2.7967554710039311</v>
      </c>
      <c r="H208" s="861">
        <f t="shared" si="157"/>
        <v>1.1186839108684699</v>
      </c>
    </row>
    <row r="209" spans="1:8">
      <c r="A209" s="1032" t="str">
        <f>cartru!A278</f>
        <v>JANEIRO|17</v>
      </c>
      <c r="B209" s="918">
        <f>geral!M1137</f>
        <v>12832.648046875</v>
      </c>
      <c r="C209" s="918">
        <f t="shared" ref="C209" si="183">100*B209/$B$8</f>
        <v>313.91017727189336</v>
      </c>
      <c r="D209" s="1036">
        <f t="shared" ref="D209" si="184">100*((B209/B208)-1)</f>
        <v>0.39115525841473264</v>
      </c>
      <c r="E209" s="1036">
        <f t="shared" ref="E209:E214" si="185">100*((B209/$B$208)-1)</f>
        <v>0.39115525841473264</v>
      </c>
      <c r="F209" s="1037">
        <f t="shared" ref="F209" si="186">100*((B209/B197)-1)</f>
        <v>0.58591156415699341</v>
      </c>
      <c r="G209" s="1038">
        <f t="shared" ref="G209" si="187">100*(B209/B185-1)</f>
        <v>2.8885681105242478</v>
      </c>
      <c r="H209" s="861">
        <f t="shared" si="157"/>
        <v>1.1143251693726299</v>
      </c>
    </row>
    <row r="210" spans="1:8">
      <c r="A210" s="1032" t="str">
        <f>cartru!A279</f>
        <v>FEVEREIRO|17</v>
      </c>
      <c r="B210" s="918">
        <f>geral!M1138</f>
        <v>12832.648046875</v>
      </c>
      <c r="C210" s="918">
        <f t="shared" ref="C210" si="188">100*B210/$B$8</f>
        <v>313.91017727189336</v>
      </c>
      <c r="D210" s="1036">
        <f t="shared" ref="D210" si="189">100*((B210/B209)-1)</f>
        <v>0</v>
      </c>
      <c r="E210" s="1036">
        <f t="shared" si="185"/>
        <v>0.39115525841473264</v>
      </c>
      <c r="F210" s="1037">
        <f t="shared" ref="F210" si="190">100*((B210/B198)-1)</f>
        <v>0.58591156415699341</v>
      </c>
      <c r="G210" s="1038">
        <f t="shared" ref="G210" si="191">100*(B210/B186-1)</f>
        <v>2.8885681105242478</v>
      </c>
      <c r="H210" s="861">
        <f t="shared" si="157"/>
        <v>1.1143251693726299</v>
      </c>
    </row>
    <row r="211" spans="1:8">
      <c r="A211" s="1032" t="str">
        <f>cartru!A280</f>
        <v>MARÇO|17</v>
      </c>
      <c r="B211" s="918">
        <f>geral!M1139</f>
        <v>12832.648046875</v>
      </c>
      <c r="C211" s="918">
        <f t="shared" ref="C211" si="192">100*B211/$B$8</f>
        <v>313.91017727189336</v>
      </c>
      <c r="D211" s="1036">
        <f t="shared" ref="D211" si="193">100*((B211/B210)-1)</f>
        <v>0</v>
      </c>
      <c r="E211" s="1036">
        <f t="shared" si="185"/>
        <v>0.39115525841473264</v>
      </c>
      <c r="F211" s="1037">
        <f t="shared" ref="F211" si="194">100*((B211/B199)-1)</f>
        <v>0.58591156415699341</v>
      </c>
      <c r="G211" s="1038">
        <f t="shared" ref="G211" si="195">100*(B211/B187-1)</f>
        <v>2.8885681105242478</v>
      </c>
      <c r="H211" s="861">
        <f t="shared" si="157"/>
        <v>1.1143251693726299</v>
      </c>
    </row>
    <row r="212" spans="1:8">
      <c r="A212" s="1032" t="str">
        <f>cartru!A281</f>
        <v>ABRIL|17</v>
      </c>
      <c r="B212" s="918">
        <f>geral!M1140</f>
        <v>12832.648046875</v>
      </c>
      <c r="C212" s="918">
        <f t="shared" ref="C212" si="196">100*B212/$B$8</f>
        <v>313.91017727189336</v>
      </c>
      <c r="D212" s="1036">
        <f t="shared" ref="D212" si="197">100*((B212/B211)-1)</f>
        <v>0</v>
      </c>
      <c r="E212" s="1036">
        <f t="shared" si="185"/>
        <v>0.39115525841473264</v>
      </c>
      <c r="F212" s="1037">
        <f t="shared" ref="F212" si="198">100*((B212/B200)-1)</f>
        <v>0.58591156415699341</v>
      </c>
      <c r="G212" s="1038">
        <f t="shared" ref="G212" si="199">100*(B212/B188-1)</f>
        <v>2.8885681105242478</v>
      </c>
      <c r="H212" s="861">
        <f t="shared" si="157"/>
        <v>1.1143251693726299</v>
      </c>
    </row>
    <row r="213" spans="1:8">
      <c r="A213" s="1032" t="str">
        <f>cartru!A282</f>
        <v>MAIO|17</v>
      </c>
      <c r="B213" s="918">
        <f>geral!M1141</f>
        <v>12832.648046875</v>
      </c>
      <c r="C213" s="918">
        <f t="shared" ref="C213" si="200">100*B213/$B$8</f>
        <v>313.91017727189336</v>
      </c>
      <c r="D213" s="1036">
        <f t="shared" ref="D213" si="201">100*((B213/B212)-1)</f>
        <v>0</v>
      </c>
      <c r="E213" s="1036">
        <f t="shared" si="185"/>
        <v>0.39115525841473264</v>
      </c>
      <c r="F213" s="1037">
        <f t="shared" ref="F213" si="202">100*((B213/B201)-1)</f>
        <v>0.58591156415699341</v>
      </c>
      <c r="G213" s="1038">
        <f t="shared" ref="G213" si="203">100*(B213/B189-1)</f>
        <v>2.8885681105242478</v>
      </c>
      <c r="H213" s="861">
        <f t="shared" si="157"/>
        <v>1.1143251693726299</v>
      </c>
    </row>
    <row r="214" spans="1:8">
      <c r="A214" s="1032" t="str">
        <f>cartru!A283</f>
        <v>JUNHO|17</v>
      </c>
      <c r="B214" s="918">
        <f>geral!M1142</f>
        <v>12832.648046875</v>
      </c>
      <c r="C214" s="918">
        <f t="shared" ref="C214" si="204">100*B214/$B$8</f>
        <v>313.91017727189336</v>
      </c>
      <c r="D214" s="1036">
        <f t="shared" ref="D214" si="205">100*((B214/B213)-1)</f>
        <v>0</v>
      </c>
      <c r="E214" s="1036">
        <f t="shared" si="185"/>
        <v>0.39115525841473264</v>
      </c>
      <c r="F214" s="1037">
        <f t="shared" ref="F214" si="206">100*((B214/B202)-1)</f>
        <v>0.58591156415699341</v>
      </c>
      <c r="G214" s="1038">
        <f t="shared" ref="G214" si="207">100*(B214/B190-1)</f>
        <v>2.8885681105242478</v>
      </c>
      <c r="H214" s="861">
        <f t="shared" si="157"/>
        <v>1.1143251693726299</v>
      </c>
    </row>
    <row r="215" spans="1:8">
      <c r="A215" s="1032" t="str">
        <f>cartru!A284</f>
        <v>JULHO|17</v>
      </c>
      <c r="B215" s="918">
        <f>geral!M1143</f>
        <v>12832.648046875</v>
      </c>
      <c r="C215" s="918">
        <f t="shared" ref="C215" si="208">100*B215/$B$8</f>
        <v>313.91017727189336</v>
      </c>
      <c r="D215" s="1036">
        <f t="shared" ref="D215" si="209">100*((B215/B214)-1)</f>
        <v>0</v>
      </c>
      <c r="E215" s="1036">
        <f t="shared" ref="E215" si="210">100*((B215/$B$208)-1)</f>
        <v>0.39115525841473264</v>
      </c>
      <c r="F215" s="1037">
        <f t="shared" ref="F215" si="211">100*((B215/B203)-1)</f>
        <v>0.39115525841473264</v>
      </c>
      <c r="G215" s="1038">
        <f t="shared" ref="G215" si="212">100*(B215/B191-1)</f>
        <v>2.8885681105242478</v>
      </c>
      <c r="H215" s="861">
        <f t="shared" si="157"/>
        <v>1.1143251693726299</v>
      </c>
    </row>
    <row r="216" spans="1:8">
      <c r="A216" s="1032" t="str">
        <f>cartru!A285</f>
        <v>AGOSTO|17</v>
      </c>
      <c r="B216" s="918">
        <f>geral!M1144</f>
        <v>13032.748046875</v>
      </c>
      <c r="C216" s="918">
        <f t="shared" ref="C216" si="213">100*B216/$B$8</f>
        <v>318.80499136191293</v>
      </c>
      <c r="D216" s="1036">
        <f t="shared" ref="D216" si="214">100*((B216/B215)-1)</f>
        <v>1.5593040444113804</v>
      </c>
      <c r="E216" s="1036">
        <f t="shared" ref="E216" si="215">100*((B216/$B$208)-1)</f>
        <v>1.9565586025905191</v>
      </c>
      <c r="F216" s="1037">
        <f t="shared" ref="F216" si="216">100*((B216/B204)-1)</f>
        <v>1.9565586025905191</v>
      </c>
      <c r="G216" s="1038">
        <f t="shared" ref="G216" si="217">100*(B216/B192-1)</f>
        <v>4.4929137143086217</v>
      </c>
      <c r="H216" s="861">
        <f t="shared" si="157"/>
        <v>1.0972162322866459</v>
      </c>
    </row>
    <row r="217" spans="1:8">
      <c r="A217" s="1032" t="str">
        <f>cartru!A286</f>
        <v>SETEMBRO|17</v>
      </c>
      <c r="B217" s="918">
        <f>geral!M1145</f>
        <v>13032.748046875</v>
      </c>
      <c r="C217" s="918">
        <f t="shared" ref="C217" si="218">100*B217/$B$8</f>
        <v>318.80499136191293</v>
      </c>
      <c r="D217" s="1036">
        <f t="shared" ref="D217" si="219">100*((B217/B216)-1)</f>
        <v>0</v>
      </c>
      <c r="E217" s="1036">
        <f t="shared" ref="E217" si="220">100*((B217/$B$208)-1)</f>
        <v>1.9565586025905191</v>
      </c>
      <c r="F217" s="1037">
        <f t="shared" ref="F217" si="221">100*((B217/B205)-1)</f>
        <v>1.9565586025905191</v>
      </c>
      <c r="G217" s="1038">
        <f t="shared" ref="G217" si="222">100*(B217/B193-1)</f>
        <v>4.4929137143086217</v>
      </c>
      <c r="H217" s="861">
        <f t="shared" si="157"/>
        <v>1.0972162322866459</v>
      </c>
    </row>
    <row r="218" spans="1:8">
      <c r="A218" s="1032" t="str">
        <f>cartru!A287</f>
        <v>OUTUBRO|17</v>
      </c>
      <c r="B218" s="918">
        <f>geral!M1146</f>
        <v>13032.748046875</v>
      </c>
      <c r="C218" s="918">
        <f t="shared" ref="C218" si="223">100*B218/$B$8</f>
        <v>318.80499136191293</v>
      </c>
      <c r="D218" s="1036">
        <f t="shared" ref="D218" si="224">100*((B218/B217)-1)</f>
        <v>0</v>
      </c>
      <c r="E218" s="1036">
        <f t="shared" ref="E218" si="225">100*((B218/$B$208)-1)</f>
        <v>1.9565586025905191</v>
      </c>
      <c r="F218" s="1037">
        <f t="shared" ref="F218" si="226">100*((B218/B206)-1)</f>
        <v>1.9565586025905191</v>
      </c>
      <c r="G218" s="1038">
        <f t="shared" ref="G218" si="227">100*(B218/B194-1)</f>
        <v>4.4929137143086217</v>
      </c>
      <c r="H218" s="861">
        <f t="shared" si="157"/>
        <v>1.0972162322866459</v>
      </c>
    </row>
    <row r="219" spans="1:8">
      <c r="A219" s="1032" t="str">
        <f>cartru!A288</f>
        <v>NOVEMBRO|17</v>
      </c>
      <c r="B219" s="918">
        <f>geral!M1147</f>
        <v>13032.748046875</v>
      </c>
      <c r="C219" s="918">
        <f t="shared" ref="C219" si="228">100*B219/$B$8</f>
        <v>318.80499136191293</v>
      </c>
      <c r="D219" s="1036">
        <f t="shared" ref="D219" si="229">100*((B219/B218)-1)</f>
        <v>0</v>
      </c>
      <c r="E219" s="1036">
        <f t="shared" ref="E219" si="230">100*((B219/$B$208)-1)</f>
        <v>1.9565586025905191</v>
      </c>
      <c r="F219" s="1037">
        <f t="shared" ref="F219" si="231">100*((B219/B207)-1)</f>
        <v>1.9565586025905191</v>
      </c>
      <c r="G219" s="1038">
        <f t="shared" ref="G219" si="232">100*(B219/B195-1)</f>
        <v>4.4929137143086217</v>
      </c>
      <c r="H219" s="861">
        <f t="shared" si="157"/>
        <v>1.0972162322866459</v>
      </c>
    </row>
    <row r="220" spans="1:8">
      <c r="A220" s="1032" t="str">
        <f>cartru!A289</f>
        <v>DEZEMBRO|17</v>
      </c>
      <c r="B220" s="918">
        <f>geral!M1148</f>
        <v>13032.748046875</v>
      </c>
      <c r="C220" s="918">
        <f t="shared" ref="C220" si="233">100*B220/$B$8</f>
        <v>318.80499136191293</v>
      </c>
      <c r="D220" s="1036">
        <f t="shared" ref="D220" si="234">100*((B220/B219)-1)</f>
        <v>0</v>
      </c>
      <c r="E220" s="1036">
        <f t="shared" ref="E220" si="235">100*((B220/$B$208)-1)</f>
        <v>1.9565586025905191</v>
      </c>
      <c r="F220" s="1037">
        <f t="shared" ref="F220" si="236">100*((B220/B208)-1)</f>
        <v>1.9565586025905191</v>
      </c>
      <c r="G220" s="1038">
        <f t="shared" ref="G220" si="237">100*(B220/B196-1)</f>
        <v>4.4929137143086217</v>
      </c>
      <c r="H220" s="861">
        <f t="shared" si="157"/>
        <v>1.0972162322866459</v>
      </c>
    </row>
    <row r="221" spans="1:8">
      <c r="A221" s="1032" t="str">
        <f>cartru!A290</f>
        <v>JANEIRO|18</v>
      </c>
      <c r="B221" s="918">
        <f>geral!O1137</f>
        <v>13032.748046875</v>
      </c>
      <c r="C221" s="918">
        <f t="shared" ref="C221" si="238">100*B221/$B$8</f>
        <v>318.80499136191293</v>
      </c>
      <c r="D221" s="1036">
        <f t="shared" ref="D221" si="239">100*((B221/B220)-1)</f>
        <v>0</v>
      </c>
      <c r="E221" s="1036">
        <f t="shared" ref="E221:E226" si="240">100*((B221/$B$220)-1)</f>
        <v>0</v>
      </c>
      <c r="F221" s="1037">
        <f t="shared" ref="F221" si="241">100*((B221/B209)-1)</f>
        <v>1.5593040444113804</v>
      </c>
      <c r="G221" s="1038">
        <f t="shared" ref="G221" si="242">100*(B221/B197-1)</f>
        <v>2.1543517512849553</v>
      </c>
      <c r="H221" s="861">
        <f t="shared" si="157"/>
        <v>1.0972162322866459</v>
      </c>
    </row>
    <row r="222" spans="1:8">
      <c r="A222" s="1032" t="str">
        <f>cartru!A291</f>
        <v>FEVEREIRO|18</v>
      </c>
      <c r="B222" s="918">
        <f>geral!O1138</f>
        <v>13032.748046875</v>
      </c>
      <c r="C222" s="918">
        <f t="shared" ref="C222" si="243">100*B222/$B$8</f>
        <v>318.80499136191293</v>
      </c>
      <c r="D222" s="1036">
        <f t="shared" ref="D222" si="244">100*((B222/B221)-1)</f>
        <v>0</v>
      </c>
      <c r="E222" s="1036">
        <f t="shared" si="240"/>
        <v>0</v>
      </c>
      <c r="F222" s="1037">
        <f t="shared" ref="F222" si="245">100*((B222/B210)-1)</f>
        <v>1.5593040444113804</v>
      </c>
      <c r="G222" s="1038">
        <f t="shared" ref="G222" si="246">100*(B222/B198-1)</f>
        <v>2.1543517512849553</v>
      </c>
      <c r="H222" s="861">
        <f t="shared" si="157"/>
        <v>1.0972162322866459</v>
      </c>
    </row>
    <row r="223" spans="1:8">
      <c r="A223" s="1032" t="str">
        <f>cartru!A292</f>
        <v>MARÇO|18</v>
      </c>
      <c r="B223" s="918">
        <f>geral!O1139</f>
        <v>13032.748046875</v>
      </c>
      <c r="C223" s="918">
        <f t="shared" ref="C223" si="247">100*B223/$B$8</f>
        <v>318.80499136191293</v>
      </c>
      <c r="D223" s="1036">
        <f t="shared" ref="D223" si="248">100*((B223/B222)-1)</f>
        <v>0</v>
      </c>
      <c r="E223" s="1036">
        <f t="shared" si="240"/>
        <v>0</v>
      </c>
      <c r="F223" s="1037">
        <f t="shared" ref="F223" si="249">100*((B223/B211)-1)</f>
        <v>1.5593040444113804</v>
      </c>
      <c r="G223" s="1038">
        <f t="shared" ref="G223" si="250">100*(B223/B199-1)</f>
        <v>2.1543517512849553</v>
      </c>
      <c r="H223" s="861">
        <f t="shared" si="157"/>
        <v>1.0972162322866459</v>
      </c>
    </row>
    <row r="224" spans="1:8">
      <c r="A224" s="1032" t="str">
        <f>cartru!A293</f>
        <v>ABRIL|18</v>
      </c>
      <c r="B224" s="918">
        <f>geral!O1140</f>
        <v>13384.748046875</v>
      </c>
      <c r="C224" s="918">
        <f t="shared" ref="C224" si="251">100*B224/$B$8</f>
        <v>327.41555887659001</v>
      </c>
      <c r="D224" s="1036">
        <f t="shared" ref="D224" si="252">100*((B224/B223)-1)</f>
        <v>2.7008885519305581</v>
      </c>
      <c r="E224" s="1036">
        <f t="shared" si="240"/>
        <v>2.7008885519305581</v>
      </c>
      <c r="F224" s="1037">
        <f t="shared" ref="F224" si="253">100*((B224/B212)-1)</f>
        <v>4.3023076607672461</v>
      </c>
      <c r="G224" s="1038">
        <f t="shared" ref="G224" si="254">100*(B224/B200-1)</f>
        <v>4.9134269430342714</v>
      </c>
      <c r="H224" s="861">
        <f t="shared" si="157"/>
        <v>1.0683609925456878</v>
      </c>
    </row>
    <row r="225" spans="1:8">
      <c r="A225" s="1032" t="str">
        <f>cartru!A294</f>
        <v>MAIO|18</v>
      </c>
      <c r="B225" s="918">
        <f>geral!O1141</f>
        <v>13384.748046875</v>
      </c>
      <c r="C225" s="918">
        <f t="shared" ref="C225" si="255">100*B225/$B$8</f>
        <v>327.41555887659001</v>
      </c>
      <c r="D225" s="1036">
        <f t="shared" ref="D225" si="256">100*((B225/B224)-1)</f>
        <v>0</v>
      </c>
      <c r="E225" s="1036">
        <f t="shared" si="240"/>
        <v>2.7008885519305581</v>
      </c>
      <c r="F225" s="1037">
        <f t="shared" ref="F225" si="257">100*((B225/B213)-1)</f>
        <v>4.3023076607672461</v>
      </c>
      <c r="G225" s="1038">
        <f t="shared" ref="G225" si="258">100*(B225/B201-1)</f>
        <v>4.9134269430342714</v>
      </c>
      <c r="H225" s="861">
        <f t="shared" si="157"/>
        <v>1.0683609925456878</v>
      </c>
    </row>
    <row r="226" spans="1:8">
      <c r="A226" s="1032" t="str">
        <f>cartru!A295</f>
        <v>JUNHO|18</v>
      </c>
      <c r="B226" s="918">
        <f>geral!O1142</f>
        <v>13384.748046875</v>
      </c>
      <c r="C226" s="918">
        <f t="shared" ref="C226" si="259">100*B226/$B$8</f>
        <v>327.41555887659001</v>
      </c>
      <c r="D226" s="1036">
        <f t="shared" ref="D226" si="260">100*((B226/B225)-1)</f>
        <v>0</v>
      </c>
      <c r="E226" s="1036">
        <f t="shared" si="240"/>
        <v>2.7008885519305581</v>
      </c>
      <c r="F226" s="1037">
        <f t="shared" ref="F226" si="261">100*((B226/B214)-1)</f>
        <v>4.3023076607672461</v>
      </c>
      <c r="G226" s="1038">
        <f t="shared" ref="G226" si="262">100*(B226/B202-1)</f>
        <v>4.9134269430342714</v>
      </c>
      <c r="H226" s="861">
        <f t="shared" si="157"/>
        <v>1.0683609925456878</v>
      </c>
    </row>
    <row r="227" spans="1:8">
      <c r="A227" s="1032" t="str">
        <f>cartru!A296</f>
        <v>JULHO|18</v>
      </c>
      <c r="B227" s="918">
        <f>geral!O1143</f>
        <v>13384.748046875</v>
      </c>
      <c r="C227" s="918">
        <f t="shared" ref="C227" si="263">100*B227/$B$8</f>
        <v>327.41555887659001</v>
      </c>
      <c r="D227" s="1036">
        <f t="shared" ref="D227" si="264">100*((B227/B226)-1)</f>
        <v>0</v>
      </c>
      <c r="E227" s="1036">
        <f t="shared" ref="E227" si="265">100*((B227/$B$220)-1)</f>
        <v>2.7008885519305581</v>
      </c>
      <c r="F227" s="1037">
        <f t="shared" ref="F227" si="266">100*((B227/B215)-1)</f>
        <v>4.3023076607672461</v>
      </c>
      <c r="G227" s="1038">
        <f t="shared" ref="G227" si="267">100*(B227/B203-1)</f>
        <v>4.7102916218302537</v>
      </c>
      <c r="H227" s="861">
        <f t="shared" si="157"/>
        <v>1.0683609925456878</v>
      </c>
    </row>
    <row r="228" spans="1:8">
      <c r="A228" s="1032" t="str">
        <f>cartru!A297</f>
        <v>AGOSTO|18</v>
      </c>
      <c r="B228" s="918">
        <f>geral!O1144</f>
        <v>13384.748046875</v>
      </c>
      <c r="C228" s="918">
        <f t="shared" ref="C228" si="268">100*B228/$B$8</f>
        <v>327.41555887659001</v>
      </c>
      <c r="D228" s="1036">
        <f t="shared" ref="D228" si="269">100*((B228/B227)-1)</f>
        <v>0</v>
      </c>
      <c r="E228" s="1036">
        <f t="shared" ref="E228" si="270">100*((B228/$B$220)-1)</f>
        <v>2.7008885519305581</v>
      </c>
      <c r="F228" s="1037">
        <f t="shared" ref="F228" si="271">100*((B228/B216)-1)</f>
        <v>2.7008885519305581</v>
      </c>
      <c r="G228" s="1038">
        <f t="shared" ref="G228" si="272">100*(B228/B204-1)</f>
        <v>4.7102916218302537</v>
      </c>
      <c r="H228" s="861">
        <f t="shared" si="157"/>
        <v>1.0683609925456878</v>
      </c>
    </row>
    <row r="229" spans="1:8">
      <c r="A229" s="1032" t="str">
        <f>cartru!A298</f>
        <v>SETEMBRO|18</v>
      </c>
      <c r="B229" s="918">
        <f>geral!O1145</f>
        <v>13384.748046875</v>
      </c>
      <c r="C229" s="918">
        <f t="shared" ref="C229" si="273">100*B229/$B$8</f>
        <v>327.41555887659001</v>
      </c>
      <c r="D229" s="1036">
        <f t="shared" ref="D229" si="274">100*((B229/B228)-1)</f>
        <v>0</v>
      </c>
      <c r="E229" s="1036">
        <f t="shared" ref="E229" si="275">100*((B229/$B$220)-1)</f>
        <v>2.7008885519305581</v>
      </c>
      <c r="F229" s="1037">
        <f t="shared" ref="F229" si="276">100*((B229/B217)-1)</f>
        <v>2.7008885519305581</v>
      </c>
      <c r="G229" s="1038">
        <f t="shared" ref="G229" si="277">100*(B229/B205-1)</f>
        <v>4.7102916218302537</v>
      </c>
      <c r="H229" s="861">
        <f t="shared" si="157"/>
        <v>1.0683609925456878</v>
      </c>
    </row>
    <row r="230" spans="1:8">
      <c r="A230" s="1032" t="str">
        <f>cartru!A299</f>
        <v>OUTUBRO|18</v>
      </c>
      <c r="B230" s="918">
        <f>geral!O1146</f>
        <v>13384.748046875</v>
      </c>
      <c r="C230" s="918">
        <f t="shared" ref="C230" si="278">100*B230/$B$8</f>
        <v>327.41555887659001</v>
      </c>
      <c r="D230" s="1036">
        <f t="shared" ref="D230" si="279">100*((B230/B229)-1)</f>
        <v>0</v>
      </c>
      <c r="E230" s="1036">
        <f t="shared" ref="E230" si="280">100*((B230/$B$220)-1)</f>
        <v>2.7008885519305581</v>
      </c>
      <c r="F230" s="1037">
        <f t="shared" ref="F230" si="281">100*((B230/B218)-1)</f>
        <v>2.7008885519305581</v>
      </c>
      <c r="G230" s="1038">
        <f t="shared" ref="G230" si="282">100*(B230/B206-1)</f>
        <v>4.7102916218302537</v>
      </c>
      <c r="H230" s="861">
        <f t="shared" si="157"/>
        <v>1.0683609925456878</v>
      </c>
    </row>
    <row r="231" spans="1:8">
      <c r="A231" s="1032" t="str">
        <f>cartru!A300</f>
        <v>NOVEMBRO|18</v>
      </c>
      <c r="B231" s="918">
        <f>geral!O1147</f>
        <v>13384.748046875</v>
      </c>
      <c r="C231" s="918">
        <f t="shared" ref="C231" si="283">100*B231/$B$8</f>
        <v>327.41555887659001</v>
      </c>
      <c r="D231" s="1036">
        <f t="shared" ref="D231" si="284">100*((B231/B230)-1)</f>
        <v>0</v>
      </c>
      <c r="E231" s="1036">
        <f t="shared" ref="E231" si="285">100*((B231/$B$220)-1)</f>
        <v>2.7008885519305581</v>
      </c>
      <c r="F231" s="1037">
        <f t="shared" ref="F231" si="286">100*((B231/B219)-1)</f>
        <v>2.7008885519305581</v>
      </c>
      <c r="G231" s="1038">
        <f t="shared" ref="G231" si="287">100*(B231/B207-1)</f>
        <v>4.7102916218302537</v>
      </c>
      <c r="H231" s="861">
        <f t="shared" si="157"/>
        <v>1.0683609925456878</v>
      </c>
    </row>
    <row r="232" spans="1:8">
      <c r="A232" s="1032" t="str">
        <f>cartru!A301</f>
        <v>DEZEMBRO|18</v>
      </c>
      <c r="B232" s="918">
        <f>geral!O1148</f>
        <v>13384.748046875</v>
      </c>
      <c r="C232" s="918">
        <f t="shared" ref="C232" si="288">100*B232/$B$8</f>
        <v>327.41555887659001</v>
      </c>
      <c r="D232" s="1036">
        <f t="shared" ref="D232" si="289">100*((B232/B231)-1)</f>
        <v>0</v>
      </c>
      <c r="E232" s="1036">
        <f t="shared" ref="E232" si="290">100*((B232/$B$220)-1)</f>
        <v>2.7008885519305581</v>
      </c>
      <c r="F232" s="1037">
        <f t="shared" ref="F232" si="291">100*((B232/B220)-1)</f>
        <v>2.7008885519305581</v>
      </c>
      <c r="G232" s="1038">
        <f t="shared" ref="G232" si="292">100*(B232/B208-1)</f>
        <v>4.7102916218302537</v>
      </c>
      <c r="H232" s="861">
        <f t="shared" si="157"/>
        <v>1.0683609925456878</v>
      </c>
    </row>
    <row r="233" spans="1:8">
      <c r="A233" s="1032" t="str">
        <f>cartru!A302</f>
        <v>JANEIRO|19</v>
      </c>
      <c r="B233" s="918">
        <f>geral!Q1137</f>
        <v>13384.748046875</v>
      </c>
      <c r="C233" s="918">
        <f t="shared" ref="C233" si="293">100*B233/$B$8</f>
        <v>327.41555887659001</v>
      </c>
      <c r="D233" s="1036">
        <f t="shared" ref="D233" si="294">100*((B233/B232)-1)</f>
        <v>0</v>
      </c>
      <c r="E233" s="1036">
        <f t="shared" ref="E233:E238" si="295">100*((B233/$B$232)-1)</f>
        <v>0</v>
      </c>
      <c r="F233" s="1037">
        <f t="shared" ref="F233" si="296">100*((B233/B221)-1)</f>
        <v>2.7008885519305581</v>
      </c>
      <c r="G233" s="1038">
        <f t="shared" ref="G233" si="297">100*(B233/B209-1)</f>
        <v>4.3023076607672461</v>
      </c>
      <c r="H233" s="861">
        <f t="shared" si="157"/>
        <v>1.0683609925456878</v>
      </c>
    </row>
    <row r="234" spans="1:8">
      <c r="A234" s="1032" t="str">
        <f>cartru!A303</f>
        <v>FEVEREIRO|19</v>
      </c>
      <c r="B234" s="918">
        <f>geral!Q1138</f>
        <v>13712.223046874999</v>
      </c>
      <c r="C234" s="918">
        <f t="shared" ref="C234" si="298">100*B234/$B$8</f>
        <v>335.42619977678567</v>
      </c>
      <c r="D234" s="1036">
        <f t="shared" ref="D234" si="299">100*((B234/B233)-1)</f>
        <v>2.446628048978905</v>
      </c>
      <c r="E234" s="1036">
        <f t="shared" si="295"/>
        <v>2.446628048978905</v>
      </c>
      <c r="F234" s="1037">
        <f t="shared" ref="F234" si="300">100*((B234/B222)-1)</f>
        <v>5.2135972977926492</v>
      </c>
      <c r="G234" s="1038">
        <f t="shared" ref="G234" si="301">100*(B234/B210-1)</f>
        <v>6.8541971757278386</v>
      </c>
      <c r="H234" s="861">
        <f t="shared" si="157"/>
        <v>1.0428464195375109</v>
      </c>
    </row>
    <row r="235" spans="1:8">
      <c r="A235" s="1032" t="str">
        <f>cartru!A304</f>
        <v>MARÇO|19</v>
      </c>
      <c r="B235" s="918">
        <f>geral!Q1139</f>
        <v>13712.223046874999</v>
      </c>
      <c r="C235" s="918">
        <f t="shared" ref="C235" si="302">100*B235/$B$8</f>
        <v>335.42619977678567</v>
      </c>
      <c r="D235" s="1036">
        <f t="shared" ref="D235" si="303">100*((B235/B234)-1)</f>
        <v>0</v>
      </c>
      <c r="E235" s="1036">
        <f t="shared" si="295"/>
        <v>2.446628048978905</v>
      </c>
      <c r="F235" s="1037">
        <f t="shared" ref="F235" si="304">100*((B235/B223)-1)</f>
        <v>5.2135972977926492</v>
      </c>
      <c r="G235" s="1038">
        <f t="shared" ref="G235" si="305">100*(B235/B211-1)</f>
        <v>6.8541971757278386</v>
      </c>
      <c r="H235" s="861">
        <f t="shared" si="157"/>
        <v>1.0428464195375109</v>
      </c>
    </row>
    <row r="236" spans="1:8">
      <c r="A236" s="1032" t="str">
        <f>cartru!A305</f>
        <v>ABRIL|19</v>
      </c>
      <c r="B236" s="918">
        <f>geral!Q1140</f>
        <v>13712.223046874999</v>
      </c>
      <c r="C236" s="918">
        <f t="shared" ref="C236" si="306">100*B236/$B$8</f>
        <v>335.42619977678567</v>
      </c>
      <c r="D236" s="1036">
        <f t="shared" ref="D236" si="307">100*((B236/B235)-1)</f>
        <v>0</v>
      </c>
      <c r="E236" s="1036">
        <f t="shared" si="295"/>
        <v>2.446628048978905</v>
      </c>
      <c r="F236" s="1037">
        <f t="shared" ref="F236" si="308">100*((B236/B224)-1)</f>
        <v>2.446628048978905</v>
      </c>
      <c r="G236" s="1038">
        <f t="shared" ref="G236" si="309">100*(B236/B212-1)</f>
        <v>6.8541971757278386</v>
      </c>
      <c r="H236" s="861">
        <f t="shared" si="157"/>
        <v>1.0428464195375109</v>
      </c>
    </row>
    <row r="237" spans="1:8">
      <c r="A237" s="1032" t="str">
        <f>cartru!A306</f>
        <v>MAIO|19</v>
      </c>
      <c r="B237" s="918">
        <f>geral!Q1141</f>
        <v>13712.223046874999</v>
      </c>
      <c r="C237" s="918">
        <f t="shared" ref="C237" si="310">100*B237/$B$8</f>
        <v>335.42619977678567</v>
      </c>
      <c r="D237" s="1036">
        <f t="shared" ref="D237" si="311">100*((B237/B236)-1)</f>
        <v>0</v>
      </c>
      <c r="E237" s="1036">
        <f t="shared" si="295"/>
        <v>2.446628048978905</v>
      </c>
      <c r="F237" s="1037">
        <f t="shared" ref="F237" si="312">100*((B237/B225)-1)</f>
        <v>2.446628048978905</v>
      </c>
      <c r="G237" s="1038">
        <f t="shared" ref="G237" si="313">100*(B237/B213-1)</f>
        <v>6.8541971757278386</v>
      </c>
      <c r="H237" s="861">
        <f t="shared" si="157"/>
        <v>1.0428464195375109</v>
      </c>
    </row>
    <row r="238" spans="1:8">
      <c r="A238" s="1032" t="str">
        <f>cartru!A307</f>
        <v>JUNHO|19</v>
      </c>
      <c r="B238" s="918">
        <f>geral!Q1142</f>
        <v>13712.223046874999</v>
      </c>
      <c r="C238" s="918">
        <f t="shared" ref="C238" si="314">100*B238/$B$8</f>
        <v>335.42619977678567</v>
      </c>
      <c r="D238" s="1036">
        <f t="shared" ref="D238" si="315">100*((B238/B237)-1)</f>
        <v>0</v>
      </c>
      <c r="E238" s="1036">
        <f t="shared" si="295"/>
        <v>2.446628048978905</v>
      </c>
      <c r="F238" s="1037">
        <f t="shared" ref="F238" si="316">100*((B238/B226)-1)</f>
        <v>2.446628048978905</v>
      </c>
      <c r="G238" s="1038">
        <f t="shared" ref="G238" si="317">100*(B238/B214-1)</f>
        <v>6.8541971757278386</v>
      </c>
      <c r="H238" s="861">
        <f t="shared" si="157"/>
        <v>1.0428464195375109</v>
      </c>
    </row>
    <row r="239" spans="1:8">
      <c r="A239" s="1032" t="str">
        <f>cartru!A308</f>
        <v>JULHO|19</v>
      </c>
      <c r="B239" s="918">
        <f>geral!Q1143</f>
        <v>13712.223046874999</v>
      </c>
      <c r="C239" s="918">
        <f t="shared" ref="C239" si="318">100*B239/$B$8</f>
        <v>335.42619977678567</v>
      </c>
      <c r="D239" s="1036">
        <f t="shared" ref="D239" si="319">100*((B239/B238)-1)</f>
        <v>0</v>
      </c>
      <c r="E239" s="1036">
        <f t="shared" ref="E239" si="320">100*((B239/$B$232)-1)</f>
        <v>2.446628048978905</v>
      </c>
      <c r="F239" s="1037">
        <f t="shared" ref="F239" si="321">100*((B239/B227)-1)</f>
        <v>2.446628048978905</v>
      </c>
      <c r="G239" s="1038">
        <f t="shared" ref="G239" si="322">100*(B239/B215-1)</f>
        <v>6.8541971757278386</v>
      </c>
      <c r="H239" s="861">
        <f t="shared" si="157"/>
        <v>1.0428464195375109</v>
      </c>
    </row>
    <row r="240" spans="1:8">
      <c r="A240" s="1032" t="str">
        <f>cartru!A309</f>
        <v>AGOSTO|19</v>
      </c>
      <c r="B240" s="918">
        <f>geral!Q1144</f>
        <v>13712.223046874999</v>
      </c>
      <c r="C240" s="918">
        <f t="shared" ref="C240" si="323">100*B240/$B$8</f>
        <v>335.42619977678567</v>
      </c>
      <c r="D240" s="1036">
        <f t="shared" ref="D240" si="324">100*((B240/B239)-1)</f>
        <v>0</v>
      </c>
      <c r="E240" s="1036">
        <f t="shared" ref="E240" si="325">100*((B240/$B$232)-1)</f>
        <v>2.446628048978905</v>
      </c>
      <c r="F240" s="1037">
        <f t="shared" ref="F240" si="326">100*((B240/B228)-1)</f>
        <v>2.446628048978905</v>
      </c>
      <c r="G240" s="1038">
        <f t="shared" ref="G240" si="327">100*(B240/B216-1)</f>
        <v>5.2135972977926492</v>
      </c>
      <c r="H240" s="861">
        <f t="shared" si="157"/>
        <v>1.0428464195375109</v>
      </c>
    </row>
    <row r="241" spans="1:8">
      <c r="A241" s="1032" t="str">
        <f>cartru!A310</f>
        <v>SETEMBRO|19</v>
      </c>
      <c r="B241" s="918">
        <f>geral!Q1145</f>
        <v>13712.223046874999</v>
      </c>
      <c r="C241" s="918">
        <f t="shared" ref="C241" si="328">100*B241/$B$8</f>
        <v>335.42619977678567</v>
      </c>
      <c r="D241" s="1036">
        <f t="shared" ref="D241" si="329">100*((B241/B240)-1)</f>
        <v>0</v>
      </c>
      <c r="E241" s="1036">
        <f t="shared" ref="E241" si="330">100*((B241/$B$232)-1)</f>
        <v>2.446628048978905</v>
      </c>
      <c r="F241" s="1037">
        <f t="shared" ref="F241" si="331">100*((B241/B229)-1)</f>
        <v>2.446628048978905</v>
      </c>
      <c r="G241" s="1038">
        <f t="shared" ref="G241" si="332">100*(B241/B217-1)</f>
        <v>5.2135972977926492</v>
      </c>
      <c r="H241" s="861">
        <f t="shared" si="157"/>
        <v>1.0428464195375109</v>
      </c>
    </row>
    <row r="242" spans="1:8">
      <c r="A242" s="1032" t="str">
        <f>cartru!A311</f>
        <v>OUTUBRO|19</v>
      </c>
      <c r="B242" s="918">
        <f>geral!Q1146</f>
        <v>13712.223046874999</v>
      </c>
      <c r="C242" s="918">
        <f t="shared" ref="C242" si="333">100*B242/$B$8</f>
        <v>335.42619977678567</v>
      </c>
      <c r="D242" s="1036">
        <f t="shared" ref="D242" si="334">100*((B242/B241)-1)</f>
        <v>0</v>
      </c>
      <c r="E242" s="1036">
        <f t="shared" ref="E242" si="335">100*((B242/$B$232)-1)</f>
        <v>2.446628048978905</v>
      </c>
      <c r="F242" s="1037">
        <f t="shared" ref="F242" si="336">100*((B242/B230)-1)</f>
        <v>2.446628048978905</v>
      </c>
      <c r="G242" s="1038">
        <f t="shared" ref="G242" si="337">100*(B242/B218-1)</f>
        <v>5.2135972977926492</v>
      </c>
      <c r="H242" s="861">
        <f t="shared" si="157"/>
        <v>1.0428464195375109</v>
      </c>
    </row>
    <row r="243" spans="1:8">
      <c r="A243" s="1032" t="str">
        <f>cartru!A312</f>
        <v>NOVEMBRO|19</v>
      </c>
      <c r="B243" s="918">
        <f>geral!Q1147</f>
        <v>13712.223046874999</v>
      </c>
      <c r="C243" s="918">
        <f t="shared" ref="C243" si="338">100*B243/$B$8</f>
        <v>335.42619977678567</v>
      </c>
      <c r="D243" s="1036">
        <f t="shared" ref="D243" si="339">100*((B243/B242)-1)</f>
        <v>0</v>
      </c>
      <c r="E243" s="1036">
        <f t="shared" ref="E243" si="340">100*((B243/$B$232)-1)</f>
        <v>2.446628048978905</v>
      </c>
      <c r="F243" s="1037">
        <f t="shared" ref="F243" si="341">100*((B243/B231)-1)</f>
        <v>2.446628048978905</v>
      </c>
      <c r="G243" s="1038">
        <f t="shared" ref="G243" si="342">100*(B243/B219-1)</f>
        <v>5.2135972977926492</v>
      </c>
      <c r="H243" s="861">
        <f t="shared" si="157"/>
        <v>1.0428464195375109</v>
      </c>
    </row>
    <row r="244" spans="1:8">
      <c r="A244" s="1032" t="str">
        <f>cartru!A313</f>
        <v>DEZEMBRO|19</v>
      </c>
      <c r="B244" s="918">
        <f>geral!Q1148</f>
        <v>13712.223046874999</v>
      </c>
      <c r="C244" s="918">
        <f t="shared" ref="C244" si="343">100*B244/$B$8</f>
        <v>335.42619977678567</v>
      </c>
      <c r="D244" s="1036">
        <f t="shared" ref="D244" si="344">100*((B244/B243)-1)</f>
        <v>0</v>
      </c>
      <c r="E244" s="1036">
        <f t="shared" ref="E244" si="345">100*((B244/$B$232)-1)</f>
        <v>2.446628048978905</v>
      </c>
      <c r="F244" s="1037">
        <f t="shared" ref="F244" si="346">100*((B244/B232)-1)</f>
        <v>2.446628048978905</v>
      </c>
      <c r="G244" s="1038">
        <f t="shared" ref="G244" si="347">100*(B244/B220-1)</f>
        <v>5.2135972977926492</v>
      </c>
      <c r="H244" s="861">
        <f t="shared" si="157"/>
        <v>1.0428464195375109</v>
      </c>
    </row>
    <row r="245" spans="1:8">
      <c r="A245" s="1032" t="str">
        <f>cartru!A314</f>
        <v>JANEIRO|20</v>
      </c>
      <c r="B245" s="918">
        <f>geral!S1137</f>
        <v>13712.223046874999</v>
      </c>
      <c r="C245" s="918">
        <f t="shared" ref="C245" si="348">100*B245/$B$8</f>
        <v>335.42619977678567</v>
      </c>
      <c r="D245" s="1036">
        <f t="shared" ref="D245" si="349">100*((B245/B244)-1)</f>
        <v>0</v>
      </c>
      <c r="E245" s="1036">
        <f t="shared" ref="E245:E250" si="350">100*((B245/$B$244)-1)</f>
        <v>0</v>
      </c>
      <c r="F245" s="1037">
        <f t="shared" ref="F245" si="351">100*((B245/B233)-1)</f>
        <v>2.446628048978905</v>
      </c>
      <c r="G245" s="1038">
        <f t="shared" ref="G245" si="352">100*(B245/B221-1)</f>
        <v>5.2135972977926492</v>
      </c>
      <c r="H245" s="861">
        <f t="shared" si="157"/>
        <v>1.0428464195375109</v>
      </c>
    </row>
    <row r="246" spans="1:8">
      <c r="A246" s="1032" t="str">
        <f>cartru!A315</f>
        <v>FEVEREIRO|20</v>
      </c>
      <c r="B246" s="918">
        <f>geral!S1138</f>
        <v>13712.223046874999</v>
      </c>
      <c r="C246" s="918">
        <f t="shared" ref="C246" si="353">100*B246/$B$8</f>
        <v>335.42619977678567</v>
      </c>
      <c r="D246" s="1036">
        <f t="shared" ref="D246" si="354">100*((B246/B245)-1)</f>
        <v>0</v>
      </c>
      <c r="E246" s="1036">
        <f t="shared" si="350"/>
        <v>0</v>
      </c>
      <c r="F246" s="1037">
        <f t="shared" ref="F246" si="355">100*((B246/B234)-1)</f>
        <v>0</v>
      </c>
      <c r="G246" s="1038">
        <f t="shared" ref="G246" si="356">100*(B246/B222-1)</f>
        <v>5.2135972977926492</v>
      </c>
      <c r="H246" s="861">
        <f t="shared" si="157"/>
        <v>1.0428464195375109</v>
      </c>
    </row>
    <row r="247" spans="1:8">
      <c r="A247" s="1032" t="str">
        <f>cartru!A316</f>
        <v>MARÇO|20</v>
      </c>
      <c r="B247" s="918">
        <f>geral!S1139</f>
        <v>13712.223046874999</v>
      </c>
      <c r="C247" s="918">
        <f t="shared" ref="C247" si="357">100*B247/$B$8</f>
        <v>335.42619977678567</v>
      </c>
      <c r="D247" s="1036">
        <f t="shared" ref="D247" si="358">100*((B247/B246)-1)</f>
        <v>0</v>
      </c>
      <c r="E247" s="1036">
        <f t="shared" si="350"/>
        <v>0</v>
      </c>
      <c r="F247" s="1037">
        <f t="shared" ref="F247" si="359">100*((B247/B235)-1)</f>
        <v>0</v>
      </c>
      <c r="G247" s="1038">
        <f t="shared" ref="G247" si="360">100*(B247/B223-1)</f>
        <v>5.2135972977926492</v>
      </c>
      <c r="H247" s="861">
        <f t="shared" si="157"/>
        <v>1.0428464195375109</v>
      </c>
    </row>
    <row r="248" spans="1:8">
      <c r="A248" s="1032" t="str">
        <f>cartru!A317</f>
        <v>ABRIL|20</v>
      </c>
      <c r="B248" s="918">
        <f>geral!S1140</f>
        <v>13712.223046874999</v>
      </c>
      <c r="C248" s="918">
        <f t="shared" ref="C248" si="361">100*B248/$B$8</f>
        <v>335.42619977678567</v>
      </c>
      <c r="D248" s="1036">
        <f t="shared" ref="D248" si="362">100*((B248/B247)-1)</f>
        <v>0</v>
      </c>
      <c r="E248" s="1036">
        <f t="shared" si="350"/>
        <v>0</v>
      </c>
      <c r="F248" s="1037">
        <f t="shared" ref="F248" si="363">100*((B248/B236)-1)</f>
        <v>0</v>
      </c>
      <c r="G248" s="1038">
        <f t="shared" ref="G248" si="364">100*(B248/B224-1)</f>
        <v>2.446628048978905</v>
      </c>
      <c r="H248" s="861">
        <f t="shared" si="157"/>
        <v>1.0428464195375109</v>
      </c>
    </row>
    <row r="249" spans="1:8">
      <c r="A249" s="1032" t="str">
        <f>cartru!A318</f>
        <v>MAIO|20</v>
      </c>
      <c r="B249" s="918">
        <f>geral!S1141</f>
        <v>14299.742708333331</v>
      </c>
      <c r="C249" s="918">
        <f t="shared" ref="C249" si="365">100*B249/$B$8</f>
        <v>349.79801145629477</v>
      </c>
      <c r="D249" s="1036">
        <f t="shared" ref="D249" si="366">100*((B249/B248)-1)</f>
        <v>4.2846419537510894</v>
      </c>
      <c r="E249" s="1036">
        <f t="shared" si="350"/>
        <v>4.2846419537510894</v>
      </c>
      <c r="F249" s="1037">
        <f t="shared" ref="F249" si="367">100*((B249/B237)-1)</f>
        <v>4.2846419537510894</v>
      </c>
      <c r="G249" s="1038">
        <f t="shared" ref="G249" si="368">100*(B249/B225-1)</f>
        <v>6.8360992545687838</v>
      </c>
      <c r="H249" s="861">
        <f t="shared" si="157"/>
        <v>1</v>
      </c>
    </row>
    <row r="250" spans="1:8">
      <c r="A250" s="1032" t="str">
        <f>cartru!A319</f>
        <v>JUNHO|20</v>
      </c>
      <c r="B250" s="918">
        <f>geral!S1142</f>
        <v>14299.742708333331</v>
      </c>
      <c r="C250" s="918">
        <f t="shared" ref="C250" si="369">100*B250/$B$8</f>
        <v>349.79801145629477</v>
      </c>
      <c r="D250" s="1036">
        <f t="shared" ref="D250" si="370">100*((B250/B249)-1)</f>
        <v>0</v>
      </c>
      <c r="E250" s="1036">
        <f t="shared" si="350"/>
        <v>4.2846419537510894</v>
      </c>
      <c r="F250" s="1037">
        <f t="shared" ref="F250" si="371">100*((B250/B238)-1)</f>
        <v>4.2846419537510894</v>
      </c>
      <c r="G250" s="1038">
        <f t="shared" ref="G250" si="372">100*(B250/B226-1)</f>
        <v>6.8360992545687838</v>
      </c>
      <c r="H250" s="861">
        <f t="shared" si="157"/>
        <v>1</v>
      </c>
    </row>
    <row r="251" spans="1:8">
      <c r="A251" s="1032" t="str">
        <f>cartru!A320</f>
        <v>JULHO|20</v>
      </c>
      <c r="B251" s="918">
        <f>geral!S1143</f>
        <v>14299.742708333331</v>
      </c>
      <c r="C251" s="918">
        <f t="shared" ref="C251" si="373">100*B251/$B$8</f>
        <v>349.79801145629477</v>
      </c>
      <c r="D251" s="1036">
        <f t="shared" ref="D251" si="374">100*((B251/B250)-1)</f>
        <v>0</v>
      </c>
      <c r="E251" s="1036">
        <f t="shared" ref="E251" si="375">100*((B251/$B$244)-1)</f>
        <v>4.2846419537510894</v>
      </c>
      <c r="F251" s="1037">
        <f t="shared" ref="F251" si="376">100*((B251/B239)-1)</f>
        <v>4.2846419537510894</v>
      </c>
      <c r="G251" s="1038">
        <f t="shared" ref="G251" si="377">100*(B251/B227-1)</f>
        <v>6.8360992545687838</v>
      </c>
      <c r="H251" s="861">
        <f t="shared" si="157"/>
        <v>1</v>
      </c>
    </row>
    <row r="252" spans="1:8">
      <c r="A252" s="1032" t="str">
        <f>cartru!A321</f>
        <v>AGOSTO|20</v>
      </c>
      <c r="B252" s="918">
        <f>geral!S1144</f>
        <v>14299.742708333331</v>
      </c>
      <c r="C252" s="918">
        <f t="shared" ref="C252" si="378">100*B252/$B$8</f>
        <v>349.79801145629477</v>
      </c>
      <c r="D252" s="1036">
        <f t="shared" ref="D252" si="379">100*((B252/B251)-1)</f>
        <v>0</v>
      </c>
      <c r="E252" s="1036">
        <f t="shared" ref="E252" si="380">100*((B252/$B$244)-1)</f>
        <v>4.2846419537510894</v>
      </c>
      <c r="F252" s="1037">
        <f t="shared" ref="F252" si="381">100*((B252/B240)-1)</f>
        <v>4.2846419537510894</v>
      </c>
      <c r="G252" s="1038">
        <f t="shared" ref="G252" si="382">100*(B252/B228-1)</f>
        <v>6.8360992545687838</v>
      </c>
      <c r="H252" s="926">
        <f t="shared" si="157"/>
        <v>1</v>
      </c>
    </row>
    <row r="253" spans="1:8" ht="16.5" thickBot="1">
      <c r="A253" s="1046" t="str">
        <f>cartru!A322</f>
        <v>SETEMBRO|20</v>
      </c>
      <c r="B253" s="1047">
        <f>geral!S1145</f>
        <v>14299.742708333331</v>
      </c>
      <c r="C253" s="1047">
        <f t="shared" ref="C253" si="383">100*B253/$B$8</f>
        <v>349.79801145629477</v>
      </c>
      <c r="D253" s="1048">
        <f t="shared" ref="D253" si="384">100*((B253/B252)-1)</f>
        <v>0</v>
      </c>
      <c r="E253" s="1048">
        <f t="shared" ref="E253" si="385">100*((B253/$B$244)-1)</f>
        <v>4.2846419537510894</v>
      </c>
      <c r="F253" s="1051">
        <f t="shared" ref="F253" si="386">100*((B253/B241)-1)</f>
        <v>4.2846419537510894</v>
      </c>
      <c r="G253" s="1052">
        <f t="shared" ref="G253" si="387">100*(B253/B229-1)</f>
        <v>6.8360992545687838</v>
      </c>
      <c r="H253" s="1053">
        <f t="shared" si="157"/>
        <v>1</v>
      </c>
    </row>
    <row r="254" spans="1:8">
      <c r="A254" s="758" t="s">
        <v>238</v>
      </c>
    </row>
  </sheetData>
  <mergeCells count="7">
    <mergeCell ref="C1:H3"/>
    <mergeCell ref="A7:B7"/>
    <mergeCell ref="A4:C4"/>
    <mergeCell ref="A5:C5"/>
    <mergeCell ref="D5:G5"/>
    <mergeCell ref="H5:H6"/>
    <mergeCell ref="D4:H4"/>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rowBreaks count="1" manualBreakCount="1">
    <brk id="253"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21">
    <pageSetUpPr fitToPage="1"/>
  </sheetPr>
  <dimension ref="A1:J324"/>
  <sheetViews>
    <sheetView showGridLines="0" showOutlineSymbols="0" zoomScaleNormal="100" workbookViewId="0">
      <pane ySplit="2280" topLeftCell="A309" activePane="bottomLeft"/>
      <selection activeCell="A284" sqref="A284"/>
      <selection pane="bottomLeft" activeCell="H323" sqref="H323"/>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72" t="s">
        <v>368</v>
      </c>
      <c r="B4" s="1466"/>
      <c r="C4" s="1467"/>
      <c r="D4" s="1432" t="s">
        <v>365</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771" t="s">
        <v>341</v>
      </c>
      <c r="B6" s="772" t="s">
        <v>76</v>
      </c>
      <c r="C6" s="772" t="s">
        <v>68</v>
      </c>
      <c r="D6" s="772" t="s">
        <v>342</v>
      </c>
      <c r="E6" s="772" t="s">
        <v>343</v>
      </c>
      <c r="F6" s="772" t="s">
        <v>344</v>
      </c>
      <c r="G6" s="772" t="s">
        <v>345</v>
      </c>
      <c r="H6" s="1428"/>
    </row>
    <row r="7" spans="1:8" ht="15.75" customHeight="1" thickBot="1">
      <c r="A7" s="1419" t="s">
        <v>347</v>
      </c>
      <c r="B7" s="1420"/>
      <c r="C7" s="952"/>
      <c r="D7" s="952"/>
      <c r="E7" s="952"/>
      <c r="F7" s="952"/>
      <c r="G7" s="952"/>
      <c r="H7" s="953" t="s">
        <v>360</v>
      </c>
    </row>
    <row r="8" spans="1:8" ht="16.5" hidden="1" thickBot="1">
      <c r="A8" s="972" t="s">
        <v>637</v>
      </c>
      <c r="B8" s="997">
        <f>+geral!C487</f>
        <v>558.29999999999995</v>
      </c>
      <c r="C8" s="997">
        <v>100</v>
      </c>
      <c r="D8" s="998"/>
      <c r="E8" s="998"/>
      <c r="F8" s="999"/>
      <c r="G8" s="1000"/>
      <c r="H8" s="1001">
        <f>$B$322/B8</f>
        <v>1.70300080601827</v>
      </c>
    </row>
    <row r="9" spans="1:8" ht="16.5" hidden="1" thickBot="1">
      <c r="A9" s="973" t="s">
        <v>638</v>
      </c>
      <c r="B9" s="748">
        <f>+geral!C488</f>
        <v>685.68</v>
      </c>
      <c r="C9" s="748">
        <v>100</v>
      </c>
      <c r="D9" s="750">
        <f t="shared" ref="D9:D73" si="0">100*((B9/B8)-1)</f>
        <v>22.815690488984419</v>
      </c>
      <c r="E9" s="750"/>
      <c r="F9" s="751"/>
      <c r="G9" s="840"/>
      <c r="H9" s="842">
        <f>$B$322/B9</f>
        <v>1.3866313003150159</v>
      </c>
    </row>
    <row r="10" spans="1:8" ht="15" hidden="1" customHeight="1" thickBot="1">
      <c r="A10" s="973" t="s">
        <v>639</v>
      </c>
      <c r="B10" s="748">
        <f>+geral!C489</f>
        <v>685</v>
      </c>
      <c r="C10" s="748">
        <f t="shared" ref="C10:C73" si="1">100*B10/$B$9</f>
        <v>99.900828374752081</v>
      </c>
      <c r="D10" s="750">
        <f t="shared" si="0"/>
        <v>-9.9171625247918005E-2</v>
      </c>
      <c r="E10" s="750"/>
      <c r="F10" s="751"/>
      <c r="G10" s="840"/>
      <c r="H10" s="842">
        <f>$B$322/B10</f>
        <v>1.3880078102189783</v>
      </c>
    </row>
    <row r="11" spans="1:8" ht="16.5" hidden="1" thickBot="1">
      <c r="A11" s="973" t="s">
        <v>640</v>
      </c>
      <c r="B11" s="748">
        <f>+geral!C490</f>
        <v>685</v>
      </c>
      <c r="C11" s="748">
        <f t="shared" si="1"/>
        <v>99.900828374752081</v>
      </c>
      <c r="D11" s="750">
        <f t="shared" si="0"/>
        <v>0</v>
      </c>
      <c r="E11" s="750"/>
      <c r="F11" s="751"/>
      <c r="G11" s="840"/>
      <c r="H11" s="842">
        <f>$B$322/B11</f>
        <v>1.3880078102189783</v>
      </c>
    </row>
    <row r="12" spans="1:8" ht="16.5" hidden="1" thickBot="1">
      <c r="A12" s="973" t="s">
        <v>641</v>
      </c>
      <c r="B12" s="748">
        <f>+geral!C491</f>
        <v>685</v>
      </c>
      <c r="C12" s="748">
        <f t="shared" si="1"/>
        <v>99.900828374752081</v>
      </c>
      <c r="D12" s="750">
        <f t="shared" si="0"/>
        <v>0</v>
      </c>
      <c r="E12" s="750"/>
      <c r="F12" s="751"/>
      <c r="G12" s="840"/>
      <c r="H12" s="842">
        <f>$B$322/B12</f>
        <v>1.3880078102189783</v>
      </c>
    </row>
    <row r="13" spans="1:8" ht="16.5" hidden="1" thickBot="1">
      <c r="A13" s="973" t="s">
        <v>642</v>
      </c>
      <c r="B13" s="748">
        <f>+geral!C492</f>
        <v>685</v>
      </c>
      <c r="C13" s="748">
        <f t="shared" si="1"/>
        <v>99.900828374752081</v>
      </c>
      <c r="D13" s="750">
        <f t="shared" si="0"/>
        <v>0</v>
      </c>
      <c r="E13" s="750"/>
      <c r="F13" s="751"/>
      <c r="G13" s="840"/>
      <c r="H13" s="842">
        <f>$B$322/B13</f>
        <v>1.3880078102189783</v>
      </c>
    </row>
    <row r="14" spans="1:8" ht="16.5" hidden="1" thickBot="1">
      <c r="A14" s="973" t="s">
        <v>625</v>
      </c>
      <c r="B14" s="748">
        <f>+geral!E481</f>
        <v>685</v>
      </c>
      <c r="C14" s="748">
        <f t="shared" si="1"/>
        <v>99.900828374752081</v>
      </c>
      <c r="D14" s="750">
        <f t="shared" si="0"/>
        <v>0</v>
      </c>
      <c r="E14" s="750">
        <f>100*((B14/$B$13)-1)</f>
        <v>0</v>
      </c>
      <c r="F14" s="751"/>
      <c r="G14" s="840"/>
      <c r="H14" s="842">
        <f>$B$322/B14</f>
        <v>1.3880078102189783</v>
      </c>
    </row>
    <row r="15" spans="1:8" ht="16.5" hidden="1" thickBot="1">
      <c r="A15" s="973" t="s">
        <v>626</v>
      </c>
      <c r="B15" s="748">
        <f>+geral!E482</f>
        <v>685</v>
      </c>
      <c r="C15" s="748">
        <f t="shared" si="1"/>
        <v>99.900828374752081</v>
      </c>
      <c r="D15" s="750">
        <f t="shared" si="0"/>
        <v>0</v>
      </c>
      <c r="E15" s="750">
        <f t="shared" ref="E15:E25" si="2">100*((B15/$B$13)-1)</f>
        <v>0</v>
      </c>
      <c r="F15" s="751"/>
      <c r="G15" s="840"/>
      <c r="H15" s="842">
        <f>$B$322/B15</f>
        <v>1.3880078102189783</v>
      </c>
    </row>
    <row r="16" spans="1:8" ht="16.5" hidden="1" thickBot="1">
      <c r="A16" s="973" t="s">
        <v>627</v>
      </c>
      <c r="B16" s="748">
        <f>+geral!E483</f>
        <v>660</v>
      </c>
      <c r="C16" s="748">
        <f t="shared" si="1"/>
        <v>96.254812740637036</v>
      </c>
      <c r="D16" s="750">
        <f t="shared" si="0"/>
        <v>-3.6496350364963459</v>
      </c>
      <c r="E16" s="750">
        <f t="shared" si="2"/>
        <v>-3.6496350364963459</v>
      </c>
      <c r="F16" s="751"/>
      <c r="G16" s="840"/>
      <c r="H16" s="842">
        <f>$B$322/B16</f>
        <v>1.4405838636363637</v>
      </c>
    </row>
    <row r="17" spans="1:8" ht="16.5" hidden="1" thickBot="1">
      <c r="A17" s="973" t="s">
        <v>628</v>
      </c>
      <c r="B17" s="748">
        <f>+geral!E484</f>
        <v>660</v>
      </c>
      <c r="C17" s="748">
        <f t="shared" si="1"/>
        <v>96.254812740637036</v>
      </c>
      <c r="D17" s="750">
        <f t="shared" si="0"/>
        <v>0</v>
      </c>
      <c r="E17" s="750">
        <f t="shared" si="2"/>
        <v>-3.6496350364963459</v>
      </c>
      <c r="F17" s="751"/>
      <c r="G17" s="840"/>
      <c r="H17" s="842">
        <f>$B$322/B17</f>
        <v>1.4405838636363637</v>
      </c>
    </row>
    <row r="18" spans="1:8" ht="16.5" hidden="1" thickBot="1">
      <c r="A18" s="973" t="s">
        <v>629</v>
      </c>
      <c r="B18" s="748">
        <f>+geral!E485</f>
        <v>685.78</v>
      </c>
      <c r="C18" s="748">
        <f t="shared" si="1"/>
        <v>100.01458406253647</v>
      </c>
      <c r="D18" s="750">
        <f t="shared" si="0"/>
        <v>3.9060606060606018</v>
      </c>
      <c r="E18" s="750">
        <f t="shared" si="2"/>
        <v>0.11386861313869012</v>
      </c>
      <c r="F18" s="751"/>
      <c r="G18" s="840"/>
      <c r="H18" s="842">
        <f>$B$322/B18</f>
        <v>1.3864291026276652</v>
      </c>
    </row>
    <row r="19" spans="1:8" ht="16.5" hidden="1" thickBot="1">
      <c r="A19" s="973" t="s">
        <v>630</v>
      </c>
      <c r="B19" s="748">
        <f>+geral!E486</f>
        <v>685</v>
      </c>
      <c r="C19" s="748">
        <f t="shared" si="1"/>
        <v>99.900828374752081</v>
      </c>
      <c r="D19" s="750">
        <f t="shared" si="0"/>
        <v>-0.11373910000290754</v>
      </c>
      <c r="E19" s="750">
        <f t="shared" si="2"/>
        <v>0</v>
      </c>
      <c r="F19" s="751"/>
      <c r="G19" s="840"/>
      <c r="H19" s="842">
        <f>$B$322/B19</f>
        <v>1.3880078102189783</v>
      </c>
    </row>
    <row r="20" spans="1:8" ht="16.5" hidden="1" thickBot="1">
      <c r="A20" s="973" t="s">
        <v>631</v>
      </c>
      <c r="B20" s="748">
        <f>+geral!E487</f>
        <v>685</v>
      </c>
      <c r="C20" s="748">
        <f t="shared" si="1"/>
        <v>99.900828374752081</v>
      </c>
      <c r="D20" s="750">
        <f t="shared" si="0"/>
        <v>0</v>
      </c>
      <c r="E20" s="750">
        <f t="shared" si="2"/>
        <v>0</v>
      </c>
      <c r="F20" s="751">
        <f>100*((B20/B8)-1)</f>
        <v>22.693892172667042</v>
      </c>
      <c r="G20" s="840"/>
      <c r="H20" s="842">
        <f>$B$322/B20</f>
        <v>1.3880078102189783</v>
      </c>
    </row>
    <row r="21" spans="1:8" ht="16.5" hidden="1" thickBot="1">
      <c r="A21" s="973" t="s">
        <v>632</v>
      </c>
      <c r="B21" s="748">
        <f>+geral!E488</f>
        <v>723</v>
      </c>
      <c r="C21" s="748">
        <f t="shared" si="1"/>
        <v>105.44277213860694</v>
      </c>
      <c r="D21" s="750">
        <f t="shared" si="0"/>
        <v>5.5474452554744591</v>
      </c>
      <c r="E21" s="750">
        <f t="shared" si="2"/>
        <v>5.5474452554744591</v>
      </c>
      <c r="F21" s="751">
        <f t="shared" ref="F21:F84" si="3">100*((B21/B9)-1)</f>
        <v>5.4427721386069328</v>
      </c>
      <c r="G21" s="840"/>
      <c r="H21" s="842">
        <f>$B$322/B21</f>
        <v>1.3150558091286308</v>
      </c>
    </row>
    <row r="22" spans="1:8" ht="16.5" hidden="1" thickBot="1">
      <c r="A22" s="973" t="s">
        <v>633</v>
      </c>
      <c r="B22" s="748">
        <f>+geral!E489</f>
        <v>700</v>
      </c>
      <c r="C22" s="748">
        <f t="shared" si="1"/>
        <v>102.08843775522111</v>
      </c>
      <c r="D22" s="750">
        <f t="shared" si="0"/>
        <v>-3.18118948824343</v>
      </c>
      <c r="E22" s="750">
        <f t="shared" si="2"/>
        <v>2.1897810218978186</v>
      </c>
      <c r="F22" s="751">
        <f t="shared" si="3"/>
        <v>2.1897810218978186</v>
      </c>
      <c r="G22" s="840"/>
      <c r="H22" s="842">
        <f>$B$322/B22</f>
        <v>1.3582647857142858</v>
      </c>
    </row>
    <row r="23" spans="1:8" ht="16.5" hidden="1" thickBot="1">
      <c r="A23" s="973" t="s">
        <v>634</v>
      </c>
      <c r="B23" s="748">
        <f>+geral!E490</f>
        <v>723</v>
      </c>
      <c r="C23" s="748">
        <f t="shared" si="1"/>
        <v>105.44277213860694</v>
      </c>
      <c r="D23" s="750">
        <f t="shared" si="0"/>
        <v>3.2857142857142918</v>
      </c>
      <c r="E23" s="750">
        <f t="shared" si="2"/>
        <v>5.5474452554744591</v>
      </c>
      <c r="F23" s="751">
        <f t="shared" si="3"/>
        <v>5.5474452554744591</v>
      </c>
      <c r="G23" s="840"/>
      <c r="H23" s="842">
        <f>$B$322/B23</f>
        <v>1.3150558091286308</v>
      </c>
    </row>
    <row r="24" spans="1:8" ht="16.5" hidden="1" thickBot="1">
      <c r="A24" s="973" t="s">
        <v>635</v>
      </c>
      <c r="B24" s="748">
        <f>+geral!E491</f>
        <v>700</v>
      </c>
      <c r="C24" s="748">
        <f t="shared" si="1"/>
        <v>102.08843775522111</v>
      </c>
      <c r="D24" s="750">
        <f t="shared" si="0"/>
        <v>-3.18118948824343</v>
      </c>
      <c r="E24" s="750">
        <f t="shared" si="2"/>
        <v>2.1897810218978186</v>
      </c>
      <c r="F24" s="751">
        <f t="shared" si="3"/>
        <v>2.1897810218978186</v>
      </c>
      <c r="G24" s="840"/>
      <c r="H24" s="842">
        <f>$B$322/B24</f>
        <v>1.3582647857142858</v>
      </c>
    </row>
    <row r="25" spans="1:8" ht="16.5" hidden="1" thickBot="1">
      <c r="A25" s="973" t="s">
        <v>636</v>
      </c>
      <c r="B25" s="748">
        <f>+geral!E492</f>
        <v>700</v>
      </c>
      <c r="C25" s="748">
        <f t="shared" si="1"/>
        <v>102.08843775522111</v>
      </c>
      <c r="D25" s="750">
        <f t="shared" si="0"/>
        <v>0</v>
      </c>
      <c r="E25" s="750">
        <f t="shared" si="2"/>
        <v>2.1897810218978186</v>
      </c>
      <c r="F25" s="751">
        <f t="shared" si="3"/>
        <v>2.1897810218978186</v>
      </c>
      <c r="G25" s="840"/>
      <c r="H25" s="842">
        <f>$B$322/B25</f>
        <v>1.3582647857142858</v>
      </c>
    </row>
    <row r="26" spans="1:8" ht="16.5" hidden="1" thickBot="1">
      <c r="A26" s="973" t="s">
        <v>613</v>
      </c>
      <c r="B26" s="748">
        <f>+geral!G481</f>
        <v>846</v>
      </c>
      <c r="C26" s="748">
        <f t="shared" si="1"/>
        <v>123.38116905845293</v>
      </c>
      <c r="D26" s="750">
        <f t="shared" si="0"/>
        <v>20.857142857142861</v>
      </c>
      <c r="E26" s="750">
        <f>100*((B26/$B$25)-1)</f>
        <v>20.857142857142861</v>
      </c>
      <c r="F26" s="751">
        <f t="shared" si="3"/>
        <v>23.503649635036506</v>
      </c>
      <c r="G26" s="840"/>
      <c r="H26" s="842">
        <f>$B$322/B26</f>
        <v>1.1238597517730498</v>
      </c>
    </row>
    <row r="27" spans="1:8" ht="16.5" hidden="1" thickBot="1">
      <c r="A27" s="973" t="s">
        <v>614</v>
      </c>
      <c r="B27" s="748">
        <f>+geral!G482</f>
        <v>830</v>
      </c>
      <c r="C27" s="748">
        <f t="shared" si="1"/>
        <v>121.0477190526193</v>
      </c>
      <c r="D27" s="750">
        <f t="shared" si="0"/>
        <v>-1.891252955082745</v>
      </c>
      <c r="E27" s="750">
        <f t="shared" ref="E27:E37" si="4">100*((B27/$B$25)-1)</f>
        <v>18.571428571428573</v>
      </c>
      <c r="F27" s="751">
        <f t="shared" si="3"/>
        <v>21.167883211678841</v>
      </c>
      <c r="G27" s="840"/>
      <c r="H27" s="842">
        <f>$B$322/B27</f>
        <v>1.1455245180722893</v>
      </c>
    </row>
    <row r="28" spans="1:8" ht="16.5" hidden="1" thickBot="1">
      <c r="A28" s="973" t="s">
        <v>615</v>
      </c>
      <c r="B28" s="748">
        <f>+geral!G483</f>
        <v>830</v>
      </c>
      <c r="C28" s="748">
        <f t="shared" si="1"/>
        <v>121.0477190526193</v>
      </c>
      <c r="D28" s="750">
        <f t="shared" si="0"/>
        <v>0</v>
      </c>
      <c r="E28" s="750">
        <f t="shared" si="4"/>
        <v>18.571428571428573</v>
      </c>
      <c r="F28" s="751">
        <f t="shared" si="3"/>
        <v>25.757575757575758</v>
      </c>
      <c r="G28" s="840"/>
      <c r="H28" s="842">
        <f>$B$322/B28</f>
        <v>1.1455245180722893</v>
      </c>
    </row>
    <row r="29" spans="1:8" ht="16.5" hidden="1" thickBot="1">
      <c r="A29" s="973" t="s">
        <v>616</v>
      </c>
      <c r="B29" s="748">
        <f>+geral!G484</f>
        <v>830</v>
      </c>
      <c r="C29" s="748">
        <f t="shared" si="1"/>
        <v>121.0477190526193</v>
      </c>
      <c r="D29" s="750">
        <f t="shared" si="0"/>
        <v>0</v>
      </c>
      <c r="E29" s="750">
        <f t="shared" si="4"/>
        <v>18.571428571428573</v>
      </c>
      <c r="F29" s="751">
        <f t="shared" si="3"/>
        <v>25.757575757575758</v>
      </c>
      <c r="G29" s="840"/>
      <c r="H29" s="842">
        <f>$B$322/B29</f>
        <v>1.1455245180722893</v>
      </c>
    </row>
    <row r="30" spans="1:8" ht="16.5" hidden="1" thickBot="1">
      <c r="A30" s="973" t="s">
        <v>617</v>
      </c>
      <c r="B30" s="748">
        <f>+geral!G485</f>
        <v>805</v>
      </c>
      <c r="C30" s="748">
        <f t="shared" si="1"/>
        <v>117.40170341850427</v>
      </c>
      <c r="D30" s="750">
        <f t="shared" si="0"/>
        <v>-3.0120481927710885</v>
      </c>
      <c r="E30" s="750">
        <f t="shared" si="4"/>
        <v>14.999999999999991</v>
      </c>
      <c r="F30" s="751">
        <f t="shared" si="3"/>
        <v>17.384583977368841</v>
      </c>
      <c r="G30" s="840"/>
      <c r="H30" s="842">
        <f>$B$322/B30</f>
        <v>1.1810998136645965</v>
      </c>
    </row>
    <row r="31" spans="1:8" ht="16.5" hidden="1" thickBot="1">
      <c r="A31" s="973" t="s">
        <v>618</v>
      </c>
      <c r="B31" s="748">
        <f>+geral!G486</f>
        <v>825</v>
      </c>
      <c r="C31" s="748">
        <f t="shared" si="1"/>
        <v>120.31851592579631</v>
      </c>
      <c r="D31" s="750">
        <f t="shared" si="0"/>
        <v>2.4844720496894457</v>
      </c>
      <c r="E31" s="750">
        <f t="shared" si="4"/>
        <v>17.857142857142861</v>
      </c>
      <c r="F31" s="751">
        <f t="shared" si="3"/>
        <v>20.43795620437956</v>
      </c>
      <c r="G31" s="840"/>
      <c r="H31" s="842">
        <f>$B$322/B31</f>
        <v>1.1524670909090911</v>
      </c>
    </row>
    <row r="32" spans="1:8" ht="16.5" hidden="1" thickBot="1">
      <c r="A32" s="973" t="s">
        <v>619</v>
      </c>
      <c r="B32" s="748">
        <f>+geral!G487</f>
        <v>738</v>
      </c>
      <c r="C32" s="748">
        <f t="shared" si="1"/>
        <v>107.63038151907597</v>
      </c>
      <c r="D32" s="750">
        <f t="shared" si="0"/>
        <v>-10.545454545454547</v>
      </c>
      <c r="E32" s="750">
        <f t="shared" si="4"/>
        <v>5.428571428571427</v>
      </c>
      <c r="F32" s="751">
        <f t="shared" si="3"/>
        <v>7.7372262773722555</v>
      </c>
      <c r="G32" s="840">
        <f>100*(B32/B8-1)</f>
        <v>32.186996238581415</v>
      </c>
      <c r="H32" s="842">
        <f>$B$322/B32</f>
        <v>1.2883270325203253</v>
      </c>
    </row>
    <row r="33" spans="1:8" ht="16.5" hidden="1" thickBot="1">
      <c r="A33" s="973" t="s">
        <v>620</v>
      </c>
      <c r="B33" s="748">
        <f>+geral!G488</f>
        <v>780</v>
      </c>
      <c r="C33" s="748">
        <f t="shared" si="1"/>
        <v>113.75568778438922</v>
      </c>
      <c r="D33" s="750">
        <f t="shared" si="0"/>
        <v>5.6910569105691033</v>
      </c>
      <c r="E33" s="750">
        <f t="shared" si="4"/>
        <v>11.428571428571432</v>
      </c>
      <c r="F33" s="751">
        <f t="shared" si="3"/>
        <v>7.8838174273858863</v>
      </c>
      <c r="G33" s="840">
        <f t="shared" ref="G33:G96" si="5">100*(B33/B9-1)</f>
        <v>13.755687784389226</v>
      </c>
      <c r="H33" s="842">
        <f>$B$322/B33</f>
        <v>1.2189555769230771</v>
      </c>
    </row>
    <row r="34" spans="1:8" ht="16.5" hidden="1" thickBot="1">
      <c r="A34" s="973" t="s">
        <v>621</v>
      </c>
      <c r="B34" s="748">
        <f>+geral!G489</f>
        <v>715</v>
      </c>
      <c r="C34" s="748">
        <f t="shared" si="1"/>
        <v>104.27604713569012</v>
      </c>
      <c r="D34" s="750">
        <f t="shared" si="0"/>
        <v>-8.3333333333333375</v>
      </c>
      <c r="E34" s="750">
        <f t="shared" si="4"/>
        <v>2.1428571428571352</v>
      </c>
      <c r="F34" s="751">
        <f t="shared" si="3"/>
        <v>2.1428571428571352</v>
      </c>
      <c r="G34" s="840">
        <f t="shared" si="5"/>
        <v>4.3795620437956151</v>
      </c>
      <c r="H34" s="842">
        <f>$B$322/B34</f>
        <v>1.3297697202797205</v>
      </c>
    </row>
    <row r="35" spans="1:8" ht="16.5" hidden="1" thickBot="1">
      <c r="A35" s="973" t="s">
        <v>622</v>
      </c>
      <c r="B35" s="748">
        <f>+geral!G490</f>
        <v>678.75</v>
      </c>
      <c r="C35" s="748">
        <f t="shared" si="1"/>
        <v>98.989324466223323</v>
      </c>
      <c r="D35" s="750">
        <f t="shared" si="0"/>
        <v>-5.0699300699300736</v>
      </c>
      <c r="E35" s="750">
        <f t="shared" si="4"/>
        <v>-3.035714285714286</v>
      </c>
      <c r="F35" s="751">
        <f t="shared" si="3"/>
        <v>-6.1203319502074693</v>
      </c>
      <c r="G35" s="840">
        <f t="shared" si="5"/>
        <v>-0.9124087591240837</v>
      </c>
      <c r="H35" s="842">
        <f>$B$322/B35</f>
        <v>1.400788729281768</v>
      </c>
    </row>
    <row r="36" spans="1:8" ht="16.5" hidden="1" thickBot="1">
      <c r="A36" s="973" t="s">
        <v>623</v>
      </c>
      <c r="B36" s="748">
        <f>+geral!G491</f>
        <v>663.75</v>
      </c>
      <c r="C36" s="748">
        <f t="shared" si="1"/>
        <v>96.801715085754296</v>
      </c>
      <c r="D36" s="750">
        <f t="shared" si="0"/>
        <v>-2.2099447513812209</v>
      </c>
      <c r="E36" s="750">
        <f t="shared" si="4"/>
        <v>-5.1785714285714324</v>
      </c>
      <c r="F36" s="751">
        <f t="shared" si="3"/>
        <v>-5.1785714285714324</v>
      </c>
      <c r="G36" s="840">
        <f t="shared" si="5"/>
        <v>-3.1021897810219023</v>
      </c>
      <c r="H36" s="842">
        <f>$B$322/B36</f>
        <v>1.4324449717514125</v>
      </c>
    </row>
    <row r="37" spans="1:8" ht="16.5" hidden="1" thickBot="1">
      <c r="A37" s="973" t="s">
        <v>624</v>
      </c>
      <c r="B37" s="748">
        <f>+geral!G492</f>
        <v>635</v>
      </c>
      <c r="C37" s="748">
        <f t="shared" si="1"/>
        <v>92.608797106522005</v>
      </c>
      <c r="D37" s="750">
        <f t="shared" si="0"/>
        <v>-4.3314500941619594</v>
      </c>
      <c r="E37" s="750">
        <f t="shared" si="4"/>
        <v>-9.2857142857142865</v>
      </c>
      <c r="F37" s="751">
        <f t="shared" si="3"/>
        <v>-9.2857142857142865</v>
      </c>
      <c r="G37" s="840">
        <f t="shared" si="5"/>
        <v>-7.2992700729927034</v>
      </c>
      <c r="H37" s="842">
        <f>$B$322/B37</f>
        <v>1.4972997637795278</v>
      </c>
    </row>
    <row r="38" spans="1:8" ht="16.5" hidden="1" thickBot="1">
      <c r="A38" s="973" t="s">
        <v>601</v>
      </c>
      <c r="B38" s="748">
        <f>+geral!I481</f>
        <v>689.6</v>
      </c>
      <c r="C38" s="748">
        <f t="shared" si="1"/>
        <v>100.57169525142925</v>
      </c>
      <c r="D38" s="750">
        <f t="shared" si="0"/>
        <v>8.5984251968503891</v>
      </c>
      <c r="E38" s="750">
        <f>100*((B38/$B$37)-1)</f>
        <v>8.5984251968503891</v>
      </c>
      <c r="F38" s="751">
        <f t="shared" si="3"/>
        <v>-18.4869976359338</v>
      </c>
      <c r="G38" s="840">
        <f t="shared" si="5"/>
        <v>0.67153284671532809</v>
      </c>
      <c r="H38" s="842">
        <f>$B$322/B38</f>
        <v>1.378749057424594</v>
      </c>
    </row>
    <row r="39" spans="1:8" ht="16.5" hidden="1" thickBot="1">
      <c r="A39" s="973" t="s">
        <v>602</v>
      </c>
      <c r="B39" s="748">
        <f>+geral!I482</f>
        <v>635</v>
      </c>
      <c r="C39" s="748">
        <f t="shared" si="1"/>
        <v>92.608797106522005</v>
      </c>
      <c r="D39" s="750">
        <f t="shared" si="0"/>
        <v>-7.9176334106728525</v>
      </c>
      <c r="E39" s="750">
        <f t="shared" ref="E39:E49" si="6">100*((B39/$B$37)-1)</f>
        <v>0</v>
      </c>
      <c r="F39" s="751">
        <f t="shared" si="3"/>
        <v>-23.493975903614462</v>
      </c>
      <c r="G39" s="840">
        <f t="shared" si="5"/>
        <v>-7.2992700729927034</v>
      </c>
      <c r="H39" s="842">
        <f>$B$322/B39</f>
        <v>1.4972997637795278</v>
      </c>
    </row>
    <row r="40" spans="1:8" ht="16.5" hidden="1" thickBot="1">
      <c r="A40" s="973" t="s">
        <v>603</v>
      </c>
      <c r="B40" s="748">
        <f>+geral!I483</f>
        <v>642.33000000000004</v>
      </c>
      <c r="C40" s="748">
        <f t="shared" si="1"/>
        <v>93.677808890444538</v>
      </c>
      <c r="D40" s="750">
        <f t="shared" si="0"/>
        <v>1.1543307086614218</v>
      </c>
      <c r="E40" s="750">
        <f t="shared" si="6"/>
        <v>1.1543307086614218</v>
      </c>
      <c r="F40" s="751">
        <f t="shared" si="3"/>
        <v>-22.610843373493971</v>
      </c>
      <c r="G40" s="840">
        <f t="shared" si="5"/>
        <v>-2.677272727272717</v>
      </c>
      <c r="H40" s="842">
        <f>$B$322/B40</f>
        <v>1.480213208164028</v>
      </c>
    </row>
    <row r="41" spans="1:8" ht="16.5" hidden="1" thickBot="1">
      <c r="A41" s="973" t="s">
        <v>604</v>
      </c>
      <c r="B41" s="748">
        <f>+geral!I484</f>
        <v>672.86</v>
      </c>
      <c r="C41" s="748">
        <f t="shared" si="1"/>
        <v>98.130323182825819</v>
      </c>
      <c r="D41" s="750">
        <f t="shared" si="0"/>
        <v>4.7530085781451792</v>
      </c>
      <c r="E41" s="750">
        <f t="shared" si="6"/>
        <v>5.9622047244094478</v>
      </c>
      <c r="F41" s="751">
        <f t="shared" si="3"/>
        <v>-18.932530120481928</v>
      </c>
      <c r="G41" s="840">
        <f t="shared" si="5"/>
        <v>1.9484848484848438</v>
      </c>
      <c r="H41" s="842">
        <f>$B$322/B41</f>
        <v>1.4130507832238506</v>
      </c>
    </row>
    <row r="42" spans="1:8" ht="16.5" hidden="1" thickBot="1">
      <c r="A42" s="973" t="s">
        <v>605</v>
      </c>
      <c r="B42" s="748">
        <f>+geral!I485</f>
        <v>640</v>
      </c>
      <c r="C42" s="748">
        <f t="shared" si="1"/>
        <v>93.338000233345014</v>
      </c>
      <c r="D42" s="750">
        <f t="shared" si="0"/>
        <v>-4.8836310673840089</v>
      </c>
      <c r="E42" s="750">
        <f t="shared" si="6"/>
        <v>0.78740157480314821</v>
      </c>
      <c r="F42" s="751">
        <f t="shared" si="3"/>
        <v>-20.496894409937894</v>
      </c>
      <c r="G42" s="840">
        <f t="shared" si="5"/>
        <v>-6.6756102540173163</v>
      </c>
      <c r="H42" s="842">
        <f>$B$322/B42</f>
        <v>1.4856021093750003</v>
      </c>
    </row>
    <row r="43" spans="1:8" ht="16.5" hidden="1" thickBot="1">
      <c r="A43" s="973" t="s">
        <v>606</v>
      </c>
      <c r="B43" s="748">
        <f>+geral!I486</f>
        <v>638.75</v>
      </c>
      <c r="C43" s="748">
        <f t="shared" si="1"/>
        <v>93.155699451639251</v>
      </c>
      <c r="D43" s="750">
        <f t="shared" si="0"/>
        <v>-0.1953125</v>
      </c>
      <c r="E43" s="750">
        <f t="shared" si="6"/>
        <v>0.59055118110236116</v>
      </c>
      <c r="F43" s="751">
        <f t="shared" si="3"/>
        <v>-22.575757575757571</v>
      </c>
      <c r="G43" s="840">
        <f t="shared" si="5"/>
        <v>-6.7518248175182478</v>
      </c>
      <c r="H43" s="842">
        <f>$B$322/B43</f>
        <v>1.4885093542074366</v>
      </c>
    </row>
    <row r="44" spans="1:8" ht="16.5" hidden="1" thickBot="1">
      <c r="A44" s="973" t="s">
        <v>607</v>
      </c>
      <c r="B44" s="748">
        <f>+geral!I487</f>
        <v>672.75</v>
      </c>
      <c r="C44" s="748">
        <f t="shared" si="1"/>
        <v>98.114280714035715</v>
      </c>
      <c r="D44" s="750">
        <f t="shared" si="0"/>
        <v>5.3228962818003822</v>
      </c>
      <c r="E44" s="750">
        <f t="shared" si="6"/>
        <v>5.9448818897637867</v>
      </c>
      <c r="F44" s="751">
        <f t="shared" si="3"/>
        <v>-8.8414634146341431</v>
      </c>
      <c r="G44" s="840">
        <f t="shared" si="5"/>
        <v>-1.7883211678832112</v>
      </c>
      <c r="H44" s="842">
        <f>$B$322/B44</f>
        <v>1.4132818283166111</v>
      </c>
    </row>
    <row r="45" spans="1:8" ht="16.5" hidden="1" thickBot="1">
      <c r="A45" s="973" t="s">
        <v>608</v>
      </c>
      <c r="B45" s="748">
        <f>+geral!I488</f>
        <v>626</v>
      </c>
      <c r="C45" s="748">
        <f t="shared" si="1"/>
        <v>91.296231478240585</v>
      </c>
      <c r="D45" s="750">
        <f t="shared" si="0"/>
        <v>-6.9490895577852152</v>
      </c>
      <c r="E45" s="750">
        <f t="shared" si="6"/>
        <v>-1.4173228346456734</v>
      </c>
      <c r="F45" s="751">
        <f t="shared" si="3"/>
        <v>-19.743589743589741</v>
      </c>
      <c r="G45" s="840">
        <f t="shared" si="5"/>
        <v>-13.41632088520055</v>
      </c>
      <c r="H45" s="842">
        <f>$B$322/B45</f>
        <v>1.5188264376996807</v>
      </c>
    </row>
    <row r="46" spans="1:8" ht="16.5" hidden="1" thickBot="1">
      <c r="A46" s="973" t="s">
        <v>609</v>
      </c>
      <c r="B46" s="748">
        <f>+geral!I489</f>
        <v>623</v>
      </c>
      <c r="C46" s="748">
        <f t="shared" si="1"/>
        <v>90.858709602146774</v>
      </c>
      <c r="D46" s="750">
        <f t="shared" si="0"/>
        <v>-0.47923322683706138</v>
      </c>
      <c r="E46" s="750">
        <f t="shared" si="6"/>
        <v>-1.8897637795275646</v>
      </c>
      <c r="F46" s="751">
        <f t="shared" si="3"/>
        <v>-12.867132867132868</v>
      </c>
      <c r="G46" s="840">
        <f t="shared" si="5"/>
        <v>-10.999999999999998</v>
      </c>
      <c r="H46" s="842">
        <f>$B$322/B46</f>
        <v>1.5261402086677369</v>
      </c>
    </row>
    <row r="47" spans="1:8" ht="16.5" hidden="1" thickBot="1">
      <c r="A47" s="973" t="s">
        <v>610</v>
      </c>
      <c r="B47" s="748">
        <f>+geral!I490</f>
        <v>646.75</v>
      </c>
      <c r="C47" s="748">
        <f t="shared" si="1"/>
        <v>94.322424454556071</v>
      </c>
      <c r="D47" s="750">
        <f t="shared" si="0"/>
        <v>3.8121990369181402</v>
      </c>
      <c r="E47" s="750">
        <f t="shared" si="6"/>
        <v>1.8503937007874116</v>
      </c>
      <c r="F47" s="751">
        <f t="shared" si="3"/>
        <v>-4.7145488029465943</v>
      </c>
      <c r="G47" s="840">
        <f t="shared" si="5"/>
        <v>-10.546334716459194</v>
      </c>
      <c r="H47" s="842">
        <f>$B$322/B47</f>
        <v>1.4700971781986858</v>
      </c>
    </row>
    <row r="48" spans="1:8" ht="16.5" hidden="1" thickBot="1">
      <c r="A48" s="973" t="s">
        <v>611</v>
      </c>
      <c r="B48" s="748">
        <f>+geral!I491</f>
        <v>660.71</v>
      </c>
      <c r="C48" s="748">
        <f t="shared" si="1"/>
        <v>96.35835958464591</v>
      </c>
      <c r="D48" s="750">
        <f t="shared" si="0"/>
        <v>2.1584847313490529</v>
      </c>
      <c r="E48" s="750">
        <f t="shared" si="6"/>
        <v>4.0488188976377959</v>
      </c>
      <c r="F48" s="751">
        <f t="shared" si="3"/>
        <v>-0.45800376647833207</v>
      </c>
      <c r="G48" s="840">
        <f t="shared" si="5"/>
        <v>-5.6128571428571412</v>
      </c>
      <c r="H48" s="842">
        <f>$B$322/B48</f>
        <v>1.4390358099620106</v>
      </c>
    </row>
    <row r="49" spans="1:8" ht="16.5" hidden="1" thickBot="1">
      <c r="A49" s="973" t="s">
        <v>612</v>
      </c>
      <c r="B49" s="748">
        <f>+geral!I492</f>
        <v>608.5</v>
      </c>
      <c r="C49" s="748">
        <f t="shared" si="1"/>
        <v>88.744020534360061</v>
      </c>
      <c r="D49" s="750">
        <f t="shared" si="0"/>
        <v>-7.9021053109533774</v>
      </c>
      <c r="E49" s="750">
        <f t="shared" si="6"/>
        <v>-4.1732283464566926</v>
      </c>
      <c r="F49" s="751">
        <f t="shared" si="3"/>
        <v>-4.1732283464566926</v>
      </c>
      <c r="G49" s="840">
        <f t="shared" si="5"/>
        <v>-13.071428571428568</v>
      </c>
      <c r="H49" s="842">
        <f>$B$322/B49</f>
        <v>1.562506737880033</v>
      </c>
    </row>
    <row r="50" spans="1:8" ht="16.5" hidden="1" thickBot="1">
      <c r="A50" s="973" t="s">
        <v>589</v>
      </c>
      <c r="B50" s="748">
        <f>+geral!K481</f>
        <v>632.07000000000005</v>
      </c>
      <c r="C50" s="748">
        <f t="shared" si="1"/>
        <v>92.181484074203723</v>
      </c>
      <c r="D50" s="750">
        <f t="shared" si="0"/>
        <v>3.8734593262120143</v>
      </c>
      <c r="E50" s="750">
        <f>100*((B50/$B$49)-1)</f>
        <v>3.8734593262120143</v>
      </c>
      <c r="F50" s="751">
        <f t="shared" si="3"/>
        <v>-8.3425174013921026</v>
      </c>
      <c r="G50" s="840">
        <f t="shared" si="5"/>
        <v>-25.287234042553187</v>
      </c>
      <c r="H50" s="842">
        <f>$B$322/B50</f>
        <v>1.5042405904409322</v>
      </c>
    </row>
    <row r="51" spans="1:8" ht="16.5" hidden="1" thickBot="1">
      <c r="A51" s="973" t="s">
        <v>590</v>
      </c>
      <c r="B51" s="748">
        <f>+geral!K481</f>
        <v>632.07000000000005</v>
      </c>
      <c r="C51" s="748">
        <f t="shared" si="1"/>
        <v>92.181484074203723</v>
      </c>
      <c r="D51" s="750">
        <f t="shared" si="0"/>
        <v>0</v>
      </c>
      <c r="E51" s="750">
        <f>100*((B51/$B$50)-1)</f>
        <v>0</v>
      </c>
      <c r="F51" s="751">
        <f t="shared" si="3"/>
        <v>-0.4614173228346341</v>
      </c>
      <c r="G51" s="840">
        <f t="shared" si="5"/>
        <v>-23.846987951807218</v>
      </c>
      <c r="H51" s="842">
        <f>$B$322/B51</f>
        <v>1.5042405904409322</v>
      </c>
    </row>
    <row r="52" spans="1:8" ht="16.5" hidden="1" thickBot="1">
      <c r="A52" s="973" t="s">
        <v>591</v>
      </c>
      <c r="B52" s="748">
        <f>+geral!K482</f>
        <v>633.86</v>
      </c>
      <c r="C52" s="748">
        <f t="shared" si="1"/>
        <v>92.44253879360636</v>
      </c>
      <c r="D52" s="750">
        <f t="shared" si="0"/>
        <v>0.28319648140238129</v>
      </c>
      <c r="E52" s="750">
        <f t="shared" ref="E52:E61" si="7">100*((B52/$B$50)-1)</f>
        <v>0.28319648140238129</v>
      </c>
      <c r="F52" s="751">
        <f t="shared" si="3"/>
        <v>-1.3186368377625213</v>
      </c>
      <c r="G52" s="840">
        <f t="shared" si="5"/>
        <v>-23.631325301204818</v>
      </c>
      <c r="H52" s="842">
        <f>$B$322/B52</f>
        <v>1.4999926639952041</v>
      </c>
    </row>
    <row r="53" spans="1:8" ht="16.5" hidden="1" thickBot="1">
      <c r="A53" s="973" t="s">
        <v>592</v>
      </c>
      <c r="B53" s="748">
        <f>+geral!K483</f>
        <v>620.14</v>
      </c>
      <c r="C53" s="748">
        <f t="shared" si="1"/>
        <v>90.441605413604023</v>
      </c>
      <c r="D53" s="750">
        <f t="shared" si="0"/>
        <v>-2.1645158236834661</v>
      </c>
      <c r="E53" s="750">
        <f t="shared" si="7"/>
        <v>-1.8874491749331646</v>
      </c>
      <c r="F53" s="751">
        <f t="shared" si="3"/>
        <v>-7.8352108908242517</v>
      </c>
      <c r="G53" s="840">
        <f t="shared" si="5"/>
        <v>-25.284337349397589</v>
      </c>
      <c r="H53" s="842">
        <f>$B$322/B53</f>
        <v>1.5331785564549942</v>
      </c>
    </row>
    <row r="54" spans="1:8" ht="16.5" hidden="1" thickBot="1">
      <c r="A54" s="973" t="s">
        <v>593</v>
      </c>
      <c r="B54" s="748">
        <f>+geral!K484</f>
        <v>605</v>
      </c>
      <c r="C54" s="748">
        <f t="shared" si="1"/>
        <v>88.23357834558395</v>
      </c>
      <c r="D54" s="750">
        <f t="shared" si="0"/>
        <v>-2.441384203566932</v>
      </c>
      <c r="E54" s="750">
        <f t="shared" si="7"/>
        <v>-4.2827534924929296</v>
      </c>
      <c r="F54" s="751">
        <f t="shared" si="3"/>
        <v>-5.46875</v>
      </c>
      <c r="G54" s="840">
        <f t="shared" si="5"/>
        <v>-24.844720496894411</v>
      </c>
      <c r="H54" s="842">
        <f>$B$322/B54</f>
        <v>1.5715460330578515</v>
      </c>
    </row>
    <row r="55" spans="1:8" ht="16.5" hidden="1" thickBot="1">
      <c r="A55" s="973" t="s">
        <v>594</v>
      </c>
      <c r="B55" s="748">
        <f>+geral!K485</f>
        <v>607.14</v>
      </c>
      <c r="C55" s="748">
        <f t="shared" si="1"/>
        <v>88.545677283864194</v>
      </c>
      <c r="D55" s="750">
        <f t="shared" si="0"/>
        <v>0.35371900826446367</v>
      </c>
      <c r="E55" s="750">
        <f t="shared" si="7"/>
        <v>-3.9441833974085294</v>
      </c>
      <c r="F55" s="751">
        <f t="shared" si="3"/>
        <v>-4.9487279843444254</v>
      </c>
      <c r="G55" s="840">
        <f t="shared" si="5"/>
        <v>-26.407272727272723</v>
      </c>
      <c r="H55" s="842">
        <f>$B$322/B55</f>
        <v>1.566006769443621</v>
      </c>
    </row>
    <row r="56" spans="1:8" ht="16.5" hidden="1" thickBot="1">
      <c r="A56" s="973" t="s">
        <v>595</v>
      </c>
      <c r="B56" s="748">
        <f>+geral!K486</f>
        <v>641.08000000000004</v>
      </c>
      <c r="C56" s="748">
        <f t="shared" si="1"/>
        <v>93.49550810873879</v>
      </c>
      <c r="D56" s="750">
        <f t="shared" si="0"/>
        <v>5.5901439536186093</v>
      </c>
      <c r="E56" s="750">
        <f t="shared" si="7"/>
        <v>1.4254750265002336</v>
      </c>
      <c r="F56" s="751">
        <f t="shared" si="3"/>
        <v>-4.707543664065394</v>
      </c>
      <c r="G56" s="840">
        <f t="shared" si="5"/>
        <v>-13.132791327913274</v>
      </c>
      <c r="H56" s="842">
        <f>$B$322/B56</f>
        <v>1.4830993791726463</v>
      </c>
    </row>
    <row r="57" spans="1:8" ht="16.5" hidden="1" thickBot="1">
      <c r="A57" s="973" t="s">
        <v>596</v>
      </c>
      <c r="B57" s="748">
        <f>+geral!K487</f>
        <v>616.66999999999996</v>
      </c>
      <c r="C57" s="748">
        <f t="shared" si="1"/>
        <v>89.93553844358884</v>
      </c>
      <c r="D57" s="750">
        <f t="shared" si="0"/>
        <v>-3.8076371123728858</v>
      </c>
      <c r="E57" s="750">
        <f t="shared" si="7"/>
        <v>-2.436439002009283</v>
      </c>
      <c r="F57" s="751">
        <f t="shared" si="3"/>
        <v>-1.4904153354632688</v>
      </c>
      <c r="G57" s="840">
        <f t="shared" si="5"/>
        <v>-20.9397435897436</v>
      </c>
      <c r="H57" s="842">
        <f>$B$322/B57</f>
        <v>1.5418057469959625</v>
      </c>
    </row>
    <row r="58" spans="1:8" ht="16.5" hidden="1" thickBot="1">
      <c r="A58" s="973" t="s">
        <v>597</v>
      </c>
      <c r="B58" s="748">
        <f>+geral!K488</f>
        <v>690</v>
      </c>
      <c r="C58" s="748">
        <f t="shared" si="1"/>
        <v>100.63003150157509</v>
      </c>
      <c r="D58" s="750">
        <f t="shared" si="0"/>
        <v>11.891287074123923</v>
      </c>
      <c r="E58" s="750">
        <f t="shared" si="7"/>
        <v>9.1651241159998129</v>
      </c>
      <c r="F58" s="751">
        <f t="shared" si="3"/>
        <v>10.75441412520064</v>
      </c>
      <c r="G58" s="840">
        <f t="shared" si="5"/>
        <v>-3.4965034965035002</v>
      </c>
      <c r="H58" s="842">
        <f>$B$322/B58</f>
        <v>1.3779497826086957</v>
      </c>
    </row>
    <row r="59" spans="1:8" ht="16.5" hidden="1" thickBot="1">
      <c r="A59" s="973" t="s">
        <v>598</v>
      </c>
      <c r="B59" s="748">
        <f>+geral!K489</f>
        <v>627.11</v>
      </c>
      <c r="C59" s="748">
        <f t="shared" si="1"/>
        <v>91.458114572395289</v>
      </c>
      <c r="D59" s="750">
        <f t="shared" si="0"/>
        <v>-9.1144927536231819</v>
      </c>
      <c r="E59" s="750">
        <f t="shared" si="7"/>
        <v>-0.78472321103675302</v>
      </c>
      <c r="F59" s="751">
        <f t="shared" si="3"/>
        <v>-3.036722071897946</v>
      </c>
      <c r="G59" s="840">
        <f t="shared" si="5"/>
        <v>-7.6081031307550617</v>
      </c>
      <c r="H59" s="842">
        <f>$B$322/B59</f>
        <v>1.5161380778491813</v>
      </c>
    </row>
    <row r="60" spans="1:8" ht="16.5" hidden="1" thickBot="1">
      <c r="A60" s="973" t="s">
        <v>599</v>
      </c>
      <c r="B60" s="748">
        <f>+geral!K490</f>
        <v>684.8</v>
      </c>
      <c r="C60" s="748">
        <f t="shared" si="1"/>
        <v>99.871660249679152</v>
      </c>
      <c r="D60" s="750">
        <f t="shared" si="0"/>
        <v>9.1993430179713176</v>
      </c>
      <c r="E60" s="750">
        <f t="shared" si="7"/>
        <v>8.3424304270096616</v>
      </c>
      <c r="F60" s="751">
        <f t="shared" si="3"/>
        <v>3.6460777042877979</v>
      </c>
      <c r="G60" s="840">
        <f t="shared" si="5"/>
        <v>3.1713747645951029</v>
      </c>
      <c r="H60" s="842">
        <f>$B$322/B60</f>
        <v>1.3884131863317759</v>
      </c>
    </row>
    <row r="61" spans="1:8" ht="16.5" hidden="1" thickBot="1">
      <c r="A61" s="973" t="s">
        <v>600</v>
      </c>
      <c r="B61" s="748">
        <f>+geral!K491</f>
        <v>643.72</v>
      </c>
      <c r="C61" s="748">
        <f t="shared" si="1"/>
        <v>93.880527359701318</v>
      </c>
      <c r="D61" s="750">
        <f t="shared" si="0"/>
        <v>-5.9988317757009195</v>
      </c>
      <c r="E61" s="750">
        <f t="shared" si="7"/>
        <v>1.843150283987538</v>
      </c>
      <c r="F61" s="751">
        <f t="shared" si="3"/>
        <v>5.7880032867707598</v>
      </c>
      <c r="G61" s="840">
        <f t="shared" si="5"/>
        <v>1.3732283464567008</v>
      </c>
      <c r="H61" s="842">
        <f>$B$322/B61</f>
        <v>1.4770169483626423</v>
      </c>
    </row>
    <row r="62" spans="1:8" ht="16.5" hidden="1" thickBot="1">
      <c r="A62" s="973" t="s">
        <v>577</v>
      </c>
      <c r="B62" s="748">
        <f>+geral!M481</f>
        <v>621.57000000000005</v>
      </c>
      <c r="C62" s="748">
        <f t="shared" si="1"/>
        <v>90.650157507875406</v>
      </c>
      <c r="D62" s="750">
        <f t="shared" si="0"/>
        <v>-3.4409370533772465</v>
      </c>
      <c r="E62" s="750">
        <f>100*((B62/$B$61)-1)</f>
        <v>-3.4409370533772465</v>
      </c>
      <c r="F62" s="751">
        <f t="shared" si="3"/>
        <v>-1.6612084104608682</v>
      </c>
      <c r="G62" s="840">
        <f t="shared" si="5"/>
        <v>-9.8651392111368867</v>
      </c>
      <c r="H62" s="842">
        <f>$B$322/B62</f>
        <v>1.5296512862589893</v>
      </c>
    </row>
    <row r="63" spans="1:8" ht="16.5" hidden="1" thickBot="1">
      <c r="A63" s="973" t="s">
        <v>578</v>
      </c>
      <c r="B63" s="748">
        <f>+geral!M482</f>
        <v>634.14</v>
      </c>
      <c r="C63" s="748">
        <f t="shared" si="1"/>
        <v>92.483374168708437</v>
      </c>
      <c r="D63" s="750">
        <f t="shared" si="0"/>
        <v>2.0222983734736077</v>
      </c>
      <c r="E63" s="750">
        <f t="shared" ref="E63:E73" si="8">100*((B63/$B$61)-1)</f>
        <v>-1.4882246939663224</v>
      </c>
      <c r="F63" s="751">
        <f t="shared" si="3"/>
        <v>0.32749537234799675</v>
      </c>
      <c r="G63" s="840">
        <f t="shared" si="5"/>
        <v>-0.1354330708661422</v>
      </c>
      <c r="H63" s="842">
        <f>$B$322/B63</f>
        <v>1.4993303529189139</v>
      </c>
    </row>
    <row r="64" spans="1:8" ht="16.5" hidden="1" thickBot="1">
      <c r="A64" s="973" t="s">
        <v>579</v>
      </c>
      <c r="B64" s="748">
        <f>+geral!M483</f>
        <v>635.80999999999995</v>
      </c>
      <c r="C64" s="748">
        <f t="shared" si="1"/>
        <v>92.726928013067322</v>
      </c>
      <c r="D64" s="750">
        <f t="shared" si="0"/>
        <v>0.26334878733402789</v>
      </c>
      <c r="E64" s="750">
        <f t="shared" si="8"/>
        <v>-1.2287951283166731</v>
      </c>
      <c r="F64" s="751">
        <f t="shared" si="3"/>
        <v>0.30763891080047845</v>
      </c>
      <c r="G64" s="840">
        <f t="shared" si="5"/>
        <v>-1.0150545669671551</v>
      </c>
      <c r="H64" s="842">
        <f>$B$322/B64</f>
        <v>1.4953922555480414</v>
      </c>
    </row>
    <row r="65" spans="1:8" ht="16.5" hidden="1" thickBot="1">
      <c r="A65" s="973" t="s">
        <v>580</v>
      </c>
      <c r="B65" s="748">
        <f>+geral!M484</f>
        <v>591.25</v>
      </c>
      <c r="C65" s="748">
        <f t="shared" si="1"/>
        <v>86.228269746820686</v>
      </c>
      <c r="D65" s="750">
        <f t="shared" si="0"/>
        <v>-7.0083830075022284</v>
      </c>
      <c r="E65" s="750">
        <f t="shared" si="8"/>
        <v>-8.1510594668489418</v>
      </c>
      <c r="F65" s="751">
        <f t="shared" si="3"/>
        <v>-4.6586254716676878</v>
      </c>
      <c r="G65" s="840">
        <f t="shared" si="5"/>
        <v>-12.128823232173113</v>
      </c>
      <c r="H65" s="842">
        <f>$B$322/B65</f>
        <v>1.6080936152219876</v>
      </c>
    </row>
    <row r="66" spans="1:8" ht="16.5" hidden="1" thickBot="1">
      <c r="A66" s="973" t="s">
        <v>581</v>
      </c>
      <c r="B66" s="748">
        <f>+geral!M485</f>
        <v>654</v>
      </c>
      <c r="C66" s="748">
        <f t="shared" si="1"/>
        <v>95.379768988449428</v>
      </c>
      <c r="D66" s="750">
        <f t="shared" si="0"/>
        <v>10.613107822410139</v>
      </c>
      <c r="E66" s="750">
        <f t="shared" si="8"/>
        <v>1.5969676256757603</v>
      </c>
      <c r="F66" s="751">
        <f t="shared" si="3"/>
        <v>8.0991735537190088</v>
      </c>
      <c r="G66" s="840">
        <f t="shared" si="5"/>
        <v>2.1875000000000089</v>
      </c>
      <c r="H66" s="842">
        <f>$B$322/B66</f>
        <v>1.4538002293577983</v>
      </c>
    </row>
    <row r="67" spans="1:8" ht="16.5" hidden="1" thickBot="1">
      <c r="A67" s="973" t="s">
        <v>582</v>
      </c>
      <c r="B67" s="748">
        <f>+geral!M486</f>
        <v>632.46</v>
      </c>
      <c r="C67" s="748">
        <f t="shared" si="1"/>
        <v>92.238361918095904</v>
      </c>
      <c r="D67" s="750">
        <f t="shared" si="0"/>
        <v>-3.2935779816513744</v>
      </c>
      <c r="E67" s="750">
        <f t="shared" si="8"/>
        <v>-1.749207730068969</v>
      </c>
      <c r="F67" s="751">
        <f t="shared" si="3"/>
        <v>4.1703725664591351</v>
      </c>
      <c r="G67" s="840">
        <f t="shared" si="5"/>
        <v>-0.98473581213306405</v>
      </c>
      <c r="H67" s="842">
        <f>$B$322/B67</f>
        <v>1.5033130158428993</v>
      </c>
    </row>
    <row r="68" spans="1:8" ht="16.5" hidden="1" thickBot="1">
      <c r="A68" s="973" t="s">
        <v>583</v>
      </c>
      <c r="B68" s="748">
        <f>+geral!M487</f>
        <v>645.54999999999995</v>
      </c>
      <c r="C68" s="748">
        <f t="shared" si="1"/>
        <v>94.147415704118529</v>
      </c>
      <c r="D68" s="750">
        <f t="shared" si="0"/>
        <v>2.0696961072636855</v>
      </c>
      <c r="E68" s="750">
        <f t="shared" si="8"/>
        <v>0.28428509289752935</v>
      </c>
      <c r="F68" s="751">
        <f t="shared" si="3"/>
        <v>0.69726087227801603</v>
      </c>
      <c r="G68" s="840">
        <f t="shared" si="5"/>
        <v>-4.043106651802308</v>
      </c>
      <c r="H68" s="842">
        <f>$B$322/B68</f>
        <v>1.4728299124777324</v>
      </c>
    </row>
    <row r="69" spans="1:8" ht="16.5" hidden="1" thickBot="1">
      <c r="A69" s="973" t="s">
        <v>584</v>
      </c>
      <c r="B69" s="748">
        <f>+geral!M488</f>
        <v>624.34</v>
      </c>
      <c r="C69" s="748">
        <f t="shared" si="1"/>
        <v>91.054136040135347</v>
      </c>
      <c r="D69" s="750">
        <f t="shared" si="0"/>
        <v>-3.285570443807595</v>
      </c>
      <c r="E69" s="750">
        <f t="shared" si="8"/>
        <v>-3.0106257378984647</v>
      </c>
      <c r="F69" s="751">
        <f t="shared" si="3"/>
        <v>1.2437770606645415</v>
      </c>
      <c r="G69" s="840">
        <f t="shared" si="5"/>
        <v>-0.26517571884983049</v>
      </c>
      <c r="H69" s="842">
        <f>$B$322/B69</f>
        <v>1.5228647051286159</v>
      </c>
    </row>
    <row r="70" spans="1:8" ht="16.5" hidden="1" thickBot="1">
      <c r="A70" s="973" t="s">
        <v>585</v>
      </c>
      <c r="B70" s="748">
        <f>+geral!M489</f>
        <v>654</v>
      </c>
      <c r="C70" s="748">
        <f t="shared" si="1"/>
        <v>95.379768988449428</v>
      </c>
      <c r="D70" s="750">
        <f t="shared" si="0"/>
        <v>4.7506166511836367</v>
      </c>
      <c r="E70" s="750">
        <f t="shared" si="8"/>
        <v>1.5969676256757603</v>
      </c>
      <c r="F70" s="751">
        <f t="shared" si="3"/>
        <v>-5.2173913043478297</v>
      </c>
      <c r="G70" s="840">
        <f t="shared" si="5"/>
        <v>4.9759229534510396</v>
      </c>
      <c r="H70" s="842">
        <f>$B$322/B70</f>
        <v>1.4538002293577983</v>
      </c>
    </row>
    <row r="71" spans="1:8" ht="16.5" hidden="1" thickBot="1">
      <c r="A71" s="973" t="s">
        <v>586</v>
      </c>
      <c r="B71" s="748">
        <f>+geral!M490</f>
        <v>629.16999999999996</v>
      </c>
      <c r="C71" s="748">
        <f t="shared" si="1"/>
        <v>91.758546260646355</v>
      </c>
      <c r="D71" s="750">
        <f t="shared" si="0"/>
        <v>-3.7966360856269143</v>
      </c>
      <c r="E71" s="750">
        <f t="shared" si="8"/>
        <v>-2.2602995091033473</v>
      </c>
      <c r="F71" s="751">
        <f t="shared" si="3"/>
        <v>0.3284910143355857</v>
      </c>
      <c r="G71" s="840">
        <f t="shared" si="5"/>
        <v>-2.7182064166988873</v>
      </c>
      <c r="H71" s="842">
        <f>$B$322/B71</f>
        <v>1.5111740070251287</v>
      </c>
    </row>
    <row r="72" spans="1:8" ht="16.5" hidden="1" thickBot="1">
      <c r="A72" s="973" t="s">
        <v>587</v>
      </c>
      <c r="B72" s="748">
        <f>+geral!M491</f>
        <v>680.86</v>
      </c>
      <c r="C72" s="748">
        <f t="shared" si="1"/>
        <v>99.297048185742625</v>
      </c>
      <c r="D72" s="750">
        <f t="shared" si="0"/>
        <v>8.2155856127914539</v>
      </c>
      <c r="E72" s="750">
        <f t="shared" si="8"/>
        <v>5.7695892624122225</v>
      </c>
      <c r="F72" s="751">
        <f t="shared" si="3"/>
        <v>-0.57535046728971473</v>
      </c>
      <c r="G72" s="840">
        <f t="shared" si="5"/>
        <v>3.0497495118887219</v>
      </c>
      <c r="H72" s="842">
        <f>$B$322/B72</f>
        <v>1.3964476544370357</v>
      </c>
    </row>
    <row r="73" spans="1:8" ht="16.5" hidden="1" thickBot="1">
      <c r="A73" s="973" t="s">
        <v>588</v>
      </c>
      <c r="B73" s="748">
        <f>+geral!M492</f>
        <v>636.86</v>
      </c>
      <c r="C73" s="748">
        <f t="shared" si="1"/>
        <v>92.880060669700157</v>
      </c>
      <c r="D73" s="750">
        <f t="shared" si="0"/>
        <v>-6.4624151808007513</v>
      </c>
      <c r="E73" s="750">
        <f t="shared" si="8"/>
        <v>-1.0656807307525051</v>
      </c>
      <c r="F73" s="751">
        <f t="shared" si="3"/>
        <v>-1.0656807307525051</v>
      </c>
      <c r="G73" s="840">
        <f t="shared" si="5"/>
        <v>4.660640920295811</v>
      </c>
      <c r="H73" s="842">
        <f>$B$322/B73</f>
        <v>1.4929267813962255</v>
      </c>
    </row>
    <row r="74" spans="1:8" ht="16.5" hidden="1" thickBot="1">
      <c r="A74" s="973" t="s">
        <v>574</v>
      </c>
      <c r="B74" s="748">
        <f>+geral!C495</f>
        <v>685.71</v>
      </c>
      <c r="C74" s="748">
        <f t="shared" ref="C74:C120" si="9">100*B74/$B$9</f>
        <v>100.00437521876094</v>
      </c>
      <c r="D74" s="750">
        <f t="shared" ref="D74:D86" si="10">100*((B74/B73)-1)</f>
        <v>7.6704456238419816</v>
      </c>
      <c r="E74" s="750">
        <f>100*((B74/$B$73)-1)</f>
        <v>7.6704456238419816</v>
      </c>
      <c r="F74" s="751">
        <f t="shared" si="3"/>
        <v>10.319030841256804</v>
      </c>
      <c r="G74" s="840">
        <f t="shared" si="5"/>
        <v>8.4864018225829341</v>
      </c>
      <c r="H74" s="842">
        <f>$B$322/B74</f>
        <v>1.3865706348164677</v>
      </c>
    </row>
    <row r="75" spans="1:8" ht="16.5" hidden="1" thickBot="1">
      <c r="A75" s="973" t="s">
        <v>575</v>
      </c>
      <c r="B75" s="748">
        <f>+geral!C496</f>
        <v>609.33000000000004</v>
      </c>
      <c r="C75" s="748">
        <f t="shared" si="9"/>
        <v>88.865068253412687</v>
      </c>
      <c r="D75" s="750">
        <f t="shared" si="10"/>
        <v>-11.138819617622609</v>
      </c>
      <c r="E75" s="750">
        <f t="shared" ref="E75:E85" si="11">100*((B75/$B$73)-1)</f>
        <v>-4.3227710956882159</v>
      </c>
      <c r="F75" s="751">
        <f t="shared" si="3"/>
        <v>-3.9123852776989265</v>
      </c>
      <c r="G75" s="840">
        <f t="shared" si="5"/>
        <v>-3.5977027860838229</v>
      </c>
      <c r="H75" s="842">
        <f>$B$322/B75</f>
        <v>1.5603783664024422</v>
      </c>
    </row>
    <row r="76" spans="1:8" ht="16.5" hidden="1" thickBot="1">
      <c r="A76" s="973" t="s">
        <v>576</v>
      </c>
      <c r="B76" s="748">
        <f>+geral!C497</f>
        <v>639.83000000000004</v>
      </c>
      <c r="C76" s="748">
        <f t="shared" si="9"/>
        <v>93.313207327033041</v>
      </c>
      <c r="D76" s="750">
        <f t="shared" si="10"/>
        <v>5.0054978418919038</v>
      </c>
      <c r="E76" s="750">
        <f t="shared" si="11"/>
        <v>0.46635053229908685</v>
      </c>
      <c r="F76" s="751">
        <f t="shared" si="3"/>
        <v>0.63226435570375994</v>
      </c>
      <c r="G76" s="840">
        <f t="shared" si="5"/>
        <v>0.94184835768151842</v>
      </c>
      <c r="H76" s="842">
        <f>$B$322/B76</f>
        <v>1.485996827282247</v>
      </c>
    </row>
    <row r="77" spans="1:8" ht="16.5" hidden="1" thickBot="1">
      <c r="A77" s="973" t="s">
        <v>557</v>
      </c>
      <c r="B77" s="748">
        <f>+geral!C498</f>
        <v>613.66999999999996</v>
      </c>
      <c r="C77" s="748">
        <f t="shared" si="9"/>
        <v>89.498016567495043</v>
      </c>
      <c r="D77" s="750">
        <f t="shared" si="10"/>
        <v>-4.0885860306644091</v>
      </c>
      <c r="E77" s="750">
        <f t="shared" si="11"/>
        <v>-3.641302641082822</v>
      </c>
      <c r="F77" s="751">
        <f t="shared" si="3"/>
        <v>3.7919661733615051</v>
      </c>
      <c r="G77" s="840">
        <f t="shared" si="5"/>
        <v>-1.0433128003354164</v>
      </c>
      <c r="H77" s="842">
        <f>$B$322/B77</f>
        <v>1.5493430508253625</v>
      </c>
    </row>
    <row r="78" spans="1:8" ht="16.5" hidden="1" thickBot="1">
      <c r="A78" s="973" t="s">
        <v>558</v>
      </c>
      <c r="B78" s="748">
        <f>+geral!C499</f>
        <v>652.14</v>
      </c>
      <c r="C78" s="748">
        <f t="shared" si="9"/>
        <v>95.108505425271275</v>
      </c>
      <c r="D78" s="750">
        <f t="shared" si="10"/>
        <v>6.2688415597959901</v>
      </c>
      <c r="E78" s="750">
        <f t="shared" si="11"/>
        <v>2.3992714254310155</v>
      </c>
      <c r="F78" s="751">
        <f t="shared" si="3"/>
        <v>-0.28440366972477538</v>
      </c>
      <c r="G78" s="840">
        <f t="shared" si="5"/>
        <v>7.7917355371900809</v>
      </c>
      <c r="H78" s="842">
        <f>$B$322/B78</f>
        <v>1.4579466832275281</v>
      </c>
    </row>
    <row r="79" spans="1:8" ht="16.5" hidden="1" thickBot="1">
      <c r="A79" s="973" t="s">
        <v>559</v>
      </c>
      <c r="B79" s="748">
        <f>+geral!C500</f>
        <v>681.47</v>
      </c>
      <c r="C79" s="748">
        <f t="shared" si="9"/>
        <v>99.386010967215029</v>
      </c>
      <c r="D79" s="750">
        <f t="shared" si="10"/>
        <v>4.4975005366945764</v>
      </c>
      <c r="E79" s="750">
        <f t="shared" si="11"/>
        <v>7.0046792073611197</v>
      </c>
      <c r="F79" s="751">
        <f t="shared" si="3"/>
        <v>7.7491066628719629</v>
      </c>
      <c r="G79" s="840">
        <f t="shared" si="5"/>
        <v>12.24264584774517</v>
      </c>
      <c r="H79" s="842">
        <f>$B$322/B79</f>
        <v>1.3951976609388528</v>
      </c>
    </row>
    <row r="80" spans="1:8" ht="16.5" hidden="1" thickBot="1">
      <c r="A80" s="973" t="s">
        <v>560</v>
      </c>
      <c r="B80" s="748">
        <f>+geral!C501</f>
        <v>619.83000000000004</v>
      </c>
      <c r="C80" s="748">
        <f t="shared" si="9"/>
        <v>90.396394819741005</v>
      </c>
      <c r="D80" s="750">
        <f t="shared" si="10"/>
        <v>-9.0451523911544101</v>
      </c>
      <c r="E80" s="750">
        <f t="shared" si="11"/>
        <v>-2.6740570926106155</v>
      </c>
      <c r="F80" s="751">
        <f t="shared" si="3"/>
        <v>-3.984199519789311</v>
      </c>
      <c r="G80" s="840">
        <f t="shared" si="5"/>
        <v>-3.3147189118362785</v>
      </c>
      <c r="H80" s="842">
        <f>$B$322/B80</f>
        <v>1.5339453559847056</v>
      </c>
    </row>
    <row r="81" spans="1:8" ht="16.5" hidden="1" thickBot="1">
      <c r="A81" s="973" t="s">
        <v>561</v>
      </c>
      <c r="B81" s="748">
        <f>+geral!C502</f>
        <v>598.33000000000004</v>
      </c>
      <c r="C81" s="748">
        <f t="shared" si="9"/>
        <v>87.26082137440207</v>
      </c>
      <c r="D81" s="750">
        <f t="shared" si="10"/>
        <v>-3.4686930287336826</v>
      </c>
      <c r="E81" s="750">
        <f t="shared" si="11"/>
        <v>-6.0499952893885549</v>
      </c>
      <c r="F81" s="751">
        <f t="shared" si="3"/>
        <v>-4.1659992952557845</v>
      </c>
      <c r="G81" s="840">
        <f t="shared" si="5"/>
        <v>-2.974037978173083</v>
      </c>
      <c r="H81" s="842">
        <f>$B$322/B81</f>
        <v>1.5890651479952536</v>
      </c>
    </row>
    <row r="82" spans="1:8" ht="16.5" hidden="1" thickBot="1">
      <c r="A82" s="973" t="s">
        <v>562</v>
      </c>
      <c r="B82" s="748">
        <f>+geral!C503</f>
        <v>632.71</v>
      </c>
      <c r="C82" s="748">
        <f t="shared" si="9"/>
        <v>92.274822074437068</v>
      </c>
      <c r="D82" s="750">
        <f t="shared" si="10"/>
        <v>5.7459930138886506</v>
      </c>
      <c r="E82" s="750">
        <f t="shared" si="11"/>
        <v>-0.65163458216875858</v>
      </c>
      <c r="F82" s="751">
        <f t="shared" si="3"/>
        <v>-3.2553516819571859</v>
      </c>
      <c r="G82" s="840">
        <f t="shared" si="5"/>
        <v>-8.3028985507246347</v>
      </c>
      <c r="H82" s="842">
        <f>$B$322/B82</f>
        <v>1.5027190181915886</v>
      </c>
    </row>
    <row r="83" spans="1:8" ht="16.5" hidden="1" thickBot="1">
      <c r="A83" s="973" t="s">
        <v>534</v>
      </c>
      <c r="B83" s="748">
        <f>+geral!C504</f>
        <v>596.33000000000004</v>
      </c>
      <c r="C83" s="748">
        <f t="shared" si="9"/>
        <v>86.969140123672872</v>
      </c>
      <c r="D83" s="750">
        <f t="shared" si="10"/>
        <v>-5.7498696085094281</v>
      </c>
      <c r="E83" s="750">
        <f t="shared" si="11"/>
        <v>-6.3640360518795287</v>
      </c>
      <c r="F83" s="751">
        <f t="shared" si="3"/>
        <v>-5.2195749956291504</v>
      </c>
      <c r="G83" s="840">
        <f t="shared" si="5"/>
        <v>-4.9082298161407074</v>
      </c>
      <c r="H83" s="842">
        <f>$B$322/B83</f>
        <v>1.5943946304898295</v>
      </c>
    </row>
    <row r="84" spans="1:8" ht="16.5" hidden="1" thickBot="1">
      <c r="A84" s="973" t="s">
        <v>563</v>
      </c>
      <c r="B84" s="748">
        <f>+geral!C505</f>
        <v>564.29999999999995</v>
      </c>
      <c r="C84" s="748">
        <f t="shared" si="9"/>
        <v>82.297864893244665</v>
      </c>
      <c r="D84" s="750">
        <f t="shared" si="10"/>
        <v>-5.3711870943940587</v>
      </c>
      <c r="E84" s="750">
        <f t="shared" si="11"/>
        <v>-11.393398863172443</v>
      </c>
      <c r="F84" s="751">
        <f t="shared" si="3"/>
        <v>-17.119525306230365</v>
      </c>
      <c r="G84" s="840">
        <f t="shared" si="5"/>
        <v>-17.596378504672895</v>
      </c>
      <c r="H84" s="842">
        <f>$B$322/B84</f>
        <v>1.6848934077618292</v>
      </c>
    </row>
    <row r="85" spans="1:8" ht="16.5" hidden="1" thickBot="1">
      <c r="A85" s="973" t="s">
        <v>564</v>
      </c>
      <c r="B85" s="748">
        <f>+geral!C506</f>
        <v>595</v>
      </c>
      <c r="C85" s="748">
        <f t="shared" si="9"/>
        <v>86.775172091937932</v>
      </c>
      <c r="D85" s="750">
        <f t="shared" si="10"/>
        <v>5.4403685982633343</v>
      </c>
      <c r="E85" s="750">
        <f t="shared" si="11"/>
        <v>-6.5728731589360319</v>
      </c>
      <c r="F85" s="751">
        <f t="shared" ref="F85:F90" si="12">100*((B85/B73)-1)</f>
        <v>-6.5728731589360319</v>
      </c>
      <c r="G85" s="840">
        <f t="shared" si="5"/>
        <v>-7.5685080469769517</v>
      </c>
      <c r="H85" s="842">
        <f>$B$322/B85</f>
        <v>1.5979585714285716</v>
      </c>
    </row>
    <row r="86" spans="1:8" ht="16.5" hidden="1" thickBot="1">
      <c r="A86" s="973" t="s">
        <v>546</v>
      </c>
      <c r="B86" s="748">
        <f>+geral!E495</f>
        <v>512.5</v>
      </c>
      <c r="C86" s="748">
        <f t="shared" si="9"/>
        <v>74.743320499358305</v>
      </c>
      <c r="D86" s="750">
        <f t="shared" si="10"/>
        <v>-13.86554621848739</v>
      </c>
      <c r="E86" s="750">
        <f t="shared" ref="E86:E91" si="13">100*((B86/$B$85)-1)</f>
        <v>-13.86554621848739</v>
      </c>
      <c r="F86" s="751">
        <f t="shared" si="12"/>
        <v>-25.2599495413513</v>
      </c>
      <c r="G86" s="840">
        <f t="shared" si="5"/>
        <v>-17.547500683752439</v>
      </c>
      <c r="H86" s="842">
        <f>$B$322/B86</f>
        <v>1.8551909268292686</v>
      </c>
    </row>
    <row r="87" spans="1:8" ht="16.5" hidden="1" thickBot="1">
      <c r="A87" s="973" t="s">
        <v>547</v>
      </c>
      <c r="B87" s="748">
        <f>+geral!E496</f>
        <v>505.25</v>
      </c>
      <c r="C87" s="748">
        <f t="shared" si="9"/>
        <v>73.685975965464948</v>
      </c>
      <c r="D87" s="750">
        <f t="shared" ref="D87:D92" si="14">100*((B87/B86)-1)</f>
        <v>-1.4146341463414647</v>
      </c>
      <c r="E87" s="750">
        <f t="shared" si="13"/>
        <v>-15.08403361344538</v>
      </c>
      <c r="F87" s="751">
        <f t="shared" si="12"/>
        <v>-17.081056242101987</v>
      </c>
      <c r="G87" s="840">
        <f t="shared" si="5"/>
        <v>-20.32516479010944</v>
      </c>
      <c r="H87" s="842">
        <f>$B$322/B87</f>
        <v>1.8818116773874323</v>
      </c>
    </row>
    <row r="88" spans="1:8" ht="16.5" hidden="1" thickBot="1">
      <c r="A88" s="973" t="s">
        <v>548</v>
      </c>
      <c r="B88" s="748">
        <f>+geral!E497</f>
        <v>545</v>
      </c>
      <c r="C88" s="748">
        <f t="shared" si="9"/>
        <v>79.483140823707856</v>
      </c>
      <c r="D88" s="750">
        <f t="shared" si="14"/>
        <v>7.8673923800098855</v>
      </c>
      <c r="E88" s="750">
        <f t="shared" si="13"/>
        <v>-8.403361344537819</v>
      </c>
      <c r="F88" s="751">
        <f t="shared" si="12"/>
        <v>-14.821124361158432</v>
      </c>
      <c r="G88" s="840">
        <f t="shared" si="5"/>
        <v>-14.282568691904807</v>
      </c>
      <c r="H88" s="842">
        <f>$B$322/B88</f>
        <v>1.7445602752293581</v>
      </c>
    </row>
    <row r="89" spans="1:8" ht="16.5" hidden="1" thickBot="1">
      <c r="A89" s="973" t="s">
        <v>549</v>
      </c>
      <c r="B89" s="748">
        <f>+geral!E498</f>
        <v>552.5</v>
      </c>
      <c r="C89" s="748">
        <f t="shared" si="9"/>
        <v>80.576945513942363</v>
      </c>
      <c r="D89" s="750">
        <f t="shared" si="14"/>
        <v>1.3761467889908285</v>
      </c>
      <c r="E89" s="750">
        <f t="shared" si="13"/>
        <v>-7.1428571428571397</v>
      </c>
      <c r="F89" s="751">
        <f t="shared" si="12"/>
        <v>-9.9678980559584129</v>
      </c>
      <c r="G89" s="840">
        <f t="shared" si="5"/>
        <v>-6.5539112050739927</v>
      </c>
      <c r="H89" s="842">
        <f>$B$322/B89</f>
        <v>1.7208784615384618</v>
      </c>
    </row>
    <row r="90" spans="1:8" ht="16.5" hidden="1" thickBot="1">
      <c r="A90" s="973" t="s">
        <v>550</v>
      </c>
      <c r="B90" s="748">
        <f>+geral!E499</f>
        <v>542.5</v>
      </c>
      <c r="C90" s="748">
        <f t="shared" si="9"/>
        <v>79.118539260296359</v>
      </c>
      <c r="D90" s="750">
        <f t="shared" si="14"/>
        <v>-1.8099547511312264</v>
      </c>
      <c r="E90" s="750">
        <f t="shared" si="13"/>
        <v>-8.8235294117647083</v>
      </c>
      <c r="F90" s="751">
        <f t="shared" si="12"/>
        <v>-16.812340908393896</v>
      </c>
      <c r="G90" s="840">
        <f t="shared" si="5"/>
        <v>-17.048929663608558</v>
      </c>
      <c r="H90" s="842">
        <f>$B$322/B90</f>
        <v>1.7525997235023043</v>
      </c>
    </row>
    <row r="91" spans="1:8" ht="16.5" hidden="1" thickBot="1">
      <c r="A91" s="973" t="s">
        <v>551</v>
      </c>
      <c r="B91" s="748">
        <f>+geral!E500</f>
        <v>537.5</v>
      </c>
      <c r="C91" s="748">
        <f t="shared" si="9"/>
        <v>78.38933613347335</v>
      </c>
      <c r="D91" s="750">
        <f t="shared" si="14"/>
        <v>-0.92165898617511122</v>
      </c>
      <c r="E91" s="750">
        <f t="shared" si="13"/>
        <v>-9.6638655462184868</v>
      </c>
      <c r="F91" s="751">
        <f t="shared" ref="F91:F96" si="15">100*((B91/B79)-1)</f>
        <v>-21.126388542415665</v>
      </c>
      <c r="G91" s="840">
        <f t="shared" si="5"/>
        <v>-15.014388261708255</v>
      </c>
      <c r="H91" s="842">
        <f>$B$322/B91</f>
        <v>1.7689029767441862</v>
      </c>
    </row>
    <row r="92" spans="1:8" ht="16.5" hidden="1" thickBot="1">
      <c r="A92" s="973" t="s">
        <v>552</v>
      </c>
      <c r="B92" s="748">
        <f>+geral!E501</f>
        <v>552.79999999999995</v>
      </c>
      <c r="C92" s="748">
        <f t="shared" si="9"/>
        <v>80.620697701551734</v>
      </c>
      <c r="D92" s="750">
        <f t="shared" si="14"/>
        <v>2.8465116279069669</v>
      </c>
      <c r="E92" s="750">
        <f t="shared" ref="E92:E97" si="16">100*((B92/$B$85)-1)</f>
        <v>-7.0924369747899281</v>
      </c>
      <c r="F92" s="751">
        <f t="shared" si="15"/>
        <v>-10.814255521675308</v>
      </c>
      <c r="G92" s="840">
        <f t="shared" si="5"/>
        <v>-14.367593524901245</v>
      </c>
      <c r="H92" s="842">
        <f>$B$322/B92</f>
        <v>1.7199445549927646</v>
      </c>
    </row>
    <row r="93" spans="1:8" ht="16.5" hidden="1" thickBot="1">
      <c r="A93" s="973" t="s">
        <v>553</v>
      </c>
      <c r="B93" s="748">
        <f>+geral!E502</f>
        <v>576</v>
      </c>
      <c r="C93" s="748">
        <f t="shared" si="9"/>
        <v>84.004200210010509</v>
      </c>
      <c r="D93" s="750">
        <f t="shared" ref="D93:D98" si="17">100*((B93/B92)-1)</f>
        <v>4.19681620839365</v>
      </c>
      <c r="E93" s="750">
        <f t="shared" si="16"/>
        <v>-3.1932773109243695</v>
      </c>
      <c r="F93" s="751">
        <f t="shared" si="15"/>
        <v>-3.7320542175722449</v>
      </c>
      <c r="G93" s="840">
        <f t="shared" si="5"/>
        <v>-7.7425761604254184</v>
      </c>
      <c r="H93" s="842">
        <f>$B$322/B93</f>
        <v>1.6506690104166668</v>
      </c>
    </row>
    <row r="94" spans="1:8" ht="16.5" hidden="1" thickBot="1">
      <c r="A94" s="973" t="s">
        <v>554</v>
      </c>
      <c r="B94" s="748">
        <f>+geral!E503</f>
        <v>520.5</v>
      </c>
      <c r="C94" s="748">
        <f t="shared" si="9"/>
        <v>75.910045502275125</v>
      </c>
      <c r="D94" s="750">
        <f t="shared" si="17"/>
        <v>-9.6354166666666625</v>
      </c>
      <c r="E94" s="750">
        <f t="shared" si="16"/>
        <v>-12.521008403361344</v>
      </c>
      <c r="F94" s="751">
        <f t="shared" si="15"/>
        <v>-17.734823220748851</v>
      </c>
      <c r="G94" s="840">
        <f t="shared" si="5"/>
        <v>-20.412844036697251</v>
      </c>
      <c r="H94" s="842">
        <f>$B$322/B94</f>
        <v>1.8266769452449569</v>
      </c>
    </row>
    <row r="95" spans="1:8" ht="16.5" hidden="1" thickBot="1">
      <c r="A95" s="973" t="s">
        <v>533</v>
      </c>
      <c r="B95" s="748">
        <f>+geral!E504</f>
        <v>610</v>
      </c>
      <c r="C95" s="748">
        <f t="shared" si="9"/>
        <v>88.962781472406959</v>
      </c>
      <c r="D95" s="750">
        <f t="shared" si="17"/>
        <v>17.195004803073964</v>
      </c>
      <c r="E95" s="750">
        <f t="shared" si="16"/>
        <v>2.5210084033613356</v>
      </c>
      <c r="F95" s="751">
        <f t="shared" si="15"/>
        <v>2.2923549041637958</v>
      </c>
      <c r="G95" s="840">
        <f t="shared" si="5"/>
        <v>-3.0468712748541682</v>
      </c>
      <c r="H95" s="842">
        <f>$B$322/B95</f>
        <v>1.5586645081967214</v>
      </c>
    </row>
    <row r="96" spans="1:8" ht="16.5" hidden="1" thickBot="1">
      <c r="A96" s="973" t="s">
        <v>555</v>
      </c>
      <c r="B96" s="748">
        <f>+geral!E505</f>
        <v>532.5</v>
      </c>
      <c r="C96" s="748">
        <f t="shared" si="9"/>
        <v>77.660133006650341</v>
      </c>
      <c r="D96" s="750">
        <f t="shared" si="17"/>
        <v>-12.704918032786882</v>
      </c>
      <c r="E96" s="750">
        <f t="shared" si="16"/>
        <v>-10.504201680672265</v>
      </c>
      <c r="F96" s="751">
        <f t="shared" si="15"/>
        <v>-5.6353003721424706</v>
      </c>
      <c r="G96" s="840">
        <f t="shared" si="5"/>
        <v>-21.790089005081814</v>
      </c>
      <c r="H96" s="842">
        <f>$B$322/B96</f>
        <v>1.7855123943661975</v>
      </c>
    </row>
    <row r="97" spans="1:8" ht="16.5" hidden="1" thickBot="1">
      <c r="A97" s="973" t="s">
        <v>556</v>
      </c>
      <c r="B97" s="748">
        <f>+geral!E506</f>
        <v>569.5</v>
      </c>
      <c r="C97" s="748">
        <f t="shared" si="9"/>
        <v>83.056236145140602</v>
      </c>
      <c r="D97" s="750">
        <f t="shared" si="17"/>
        <v>6.9483568075117352</v>
      </c>
      <c r="E97" s="750">
        <f t="shared" si="16"/>
        <v>-4.2857142857142811</v>
      </c>
      <c r="F97" s="751">
        <f t="shared" ref="F97:F102" si="18">100*((B97/B85)-1)</f>
        <v>-4.2857142857142811</v>
      </c>
      <c r="G97" s="840">
        <f t="shared" ref="G97:G110" si="19">100*(B97/B73-1)</f>
        <v>-10.576892880695921</v>
      </c>
      <c r="H97" s="842">
        <f>$B$322/B97</f>
        <v>1.6695089552238809</v>
      </c>
    </row>
    <row r="98" spans="1:8" ht="16.5" hidden="1" thickBot="1">
      <c r="A98" s="973" t="s">
        <v>535</v>
      </c>
      <c r="B98" s="748">
        <f>+geral!G495</f>
        <v>616</v>
      </c>
      <c r="C98" s="748">
        <f t="shared" si="9"/>
        <v>89.837825224594567</v>
      </c>
      <c r="D98" s="750">
        <f t="shared" si="17"/>
        <v>8.1650570676031542</v>
      </c>
      <c r="E98" s="750">
        <f t="shared" ref="E98:E103" si="20">100*((B98/$B$97)-1)</f>
        <v>8.1650570676031542</v>
      </c>
      <c r="F98" s="751">
        <f t="shared" si="18"/>
        <v>20.195121951219509</v>
      </c>
      <c r="G98" s="840">
        <f t="shared" si="19"/>
        <v>-10.166105204824206</v>
      </c>
      <c r="H98" s="842">
        <f>$B$322/B98</f>
        <v>1.5434827110389613</v>
      </c>
    </row>
    <row r="99" spans="1:8" ht="16.5" hidden="1" thickBot="1">
      <c r="A99" s="973" t="s">
        <v>536</v>
      </c>
      <c r="B99" s="748">
        <f>+geral!G496</f>
        <v>637.6</v>
      </c>
      <c r="C99" s="748">
        <f t="shared" si="9"/>
        <v>92.987982732469959</v>
      </c>
      <c r="D99" s="750">
        <f t="shared" ref="D99:D104" si="21">100*((B99/B98)-1)</f>
        <v>3.5064935064935021</v>
      </c>
      <c r="E99" s="750">
        <f t="shared" si="20"/>
        <v>11.957857769973668</v>
      </c>
      <c r="F99" s="751">
        <f t="shared" si="18"/>
        <v>26.194952993567554</v>
      </c>
      <c r="G99" s="840">
        <f t="shared" si="19"/>
        <v>4.6395220980421037</v>
      </c>
      <c r="H99" s="842">
        <f>$B$322/B99</f>
        <v>1.4911940872020077</v>
      </c>
    </row>
    <row r="100" spans="1:8" ht="16.5" hidden="1" thickBot="1">
      <c r="A100" s="973" t="s">
        <v>537</v>
      </c>
      <c r="B100" s="748">
        <f>+geral!G497</f>
        <v>607.20000000000005</v>
      </c>
      <c r="C100" s="748">
        <f t="shared" si="9"/>
        <v>88.554427721386091</v>
      </c>
      <c r="D100" s="750">
        <f t="shared" si="21"/>
        <v>-4.7678795483061425</v>
      </c>
      <c r="E100" s="750">
        <f t="shared" si="20"/>
        <v>6.6198419666374075</v>
      </c>
      <c r="F100" s="751">
        <f t="shared" si="18"/>
        <v>11.412844036697244</v>
      </c>
      <c r="G100" s="840">
        <f t="shared" si="19"/>
        <v>-5.0997921322851418</v>
      </c>
      <c r="H100" s="842">
        <f>$B$322/B100</f>
        <v>1.5658520256916997</v>
      </c>
    </row>
    <row r="101" spans="1:8" ht="16.5" hidden="1" thickBot="1">
      <c r="A101" s="973" t="s">
        <v>538</v>
      </c>
      <c r="B101" s="748">
        <f>+geral!G498</f>
        <v>525</v>
      </c>
      <c r="C101" s="748">
        <f t="shared" si="9"/>
        <v>76.56632831641582</v>
      </c>
      <c r="D101" s="750">
        <f t="shared" si="21"/>
        <v>-13.537549407114636</v>
      </c>
      <c r="E101" s="750">
        <f t="shared" si="20"/>
        <v>-7.8138718173836663</v>
      </c>
      <c r="F101" s="751">
        <f t="shared" si="18"/>
        <v>-4.9773755656108642</v>
      </c>
      <c r="G101" s="840">
        <f t="shared" si="19"/>
        <v>-14.449133899326993</v>
      </c>
      <c r="H101" s="842">
        <f>$B$322/B101</f>
        <v>1.8110197142857145</v>
      </c>
    </row>
    <row r="102" spans="1:8" ht="16.5" hidden="1" thickBot="1">
      <c r="A102" s="973" t="s">
        <v>539</v>
      </c>
      <c r="B102" s="748">
        <f>+geral!G499</f>
        <v>552.5</v>
      </c>
      <c r="C102" s="748">
        <f t="shared" si="9"/>
        <v>80.576945513942363</v>
      </c>
      <c r="D102" s="750">
        <f t="shared" si="21"/>
        <v>5.2380952380952417</v>
      </c>
      <c r="E102" s="750">
        <f t="shared" si="20"/>
        <v>-2.9850746268656692</v>
      </c>
      <c r="F102" s="751">
        <f t="shared" si="18"/>
        <v>1.8433179723502224</v>
      </c>
      <c r="G102" s="840">
        <f t="shared" si="19"/>
        <v>-15.278927837580891</v>
      </c>
      <c r="H102" s="842">
        <f>$B$322/B102</f>
        <v>1.7208784615384618</v>
      </c>
    </row>
    <row r="103" spans="1:8" ht="16.5" hidden="1" thickBot="1">
      <c r="A103" s="973" t="s">
        <v>540</v>
      </c>
      <c r="B103" s="748">
        <f>+geral!G500</f>
        <v>569.5</v>
      </c>
      <c r="C103" s="748">
        <f t="shared" si="9"/>
        <v>83.056236145140602</v>
      </c>
      <c r="D103" s="750">
        <f t="shared" si="21"/>
        <v>3.076923076923066</v>
      </c>
      <c r="E103" s="750">
        <f t="shared" si="20"/>
        <v>0</v>
      </c>
      <c r="F103" s="751">
        <f t="shared" ref="F103:F108" si="22">100*((B103/B91)-1)</f>
        <v>5.9534883720930187</v>
      </c>
      <c r="G103" s="840">
        <f t="shared" si="19"/>
        <v>-16.430657255638547</v>
      </c>
      <c r="H103" s="842">
        <f>$B$322/B103</f>
        <v>1.6695089552238809</v>
      </c>
    </row>
    <row r="104" spans="1:8" ht="16.5" hidden="1" thickBot="1">
      <c r="A104" s="973" t="s">
        <v>541</v>
      </c>
      <c r="B104" s="748">
        <f>+geral!G501</f>
        <v>560</v>
      </c>
      <c r="C104" s="748">
        <f t="shared" si="9"/>
        <v>81.670750204176883</v>
      </c>
      <c r="D104" s="750">
        <f t="shared" si="21"/>
        <v>-1.6681299385425841</v>
      </c>
      <c r="E104" s="750">
        <f t="shared" ref="E104:E109" si="23">100*((B104/$B$97)-1)</f>
        <v>-1.6681299385425841</v>
      </c>
      <c r="F104" s="751">
        <f t="shared" si="22"/>
        <v>1.3024602026049381</v>
      </c>
      <c r="G104" s="840">
        <f t="shared" si="19"/>
        <v>-9.652646693448208</v>
      </c>
      <c r="H104" s="842">
        <f>$B$322/B104</f>
        <v>1.6978309821428574</v>
      </c>
    </row>
    <row r="105" spans="1:8" ht="16.5" hidden="1" thickBot="1">
      <c r="A105" s="973" t="s">
        <v>542</v>
      </c>
      <c r="B105" s="748">
        <f>+geral!G502</f>
        <v>597.17999999999995</v>
      </c>
      <c r="C105" s="748">
        <f t="shared" si="9"/>
        <v>87.093104655232764</v>
      </c>
      <c r="D105" s="750">
        <f t="shared" ref="D105:D110" si="24">100*((B105/B104)-1)</f>
        <v>6.6392857142857142</v>
      </c>
      <c r="E105" s="750">
        <f t="shared" si="23"/>
        <v>4.8604038630377433</v>
      </c>
      <c r="F105" s="751">
        <f t="shared" si="22"/>
        <v>3.6770833333333197</v>
      </c>
      <c r="G105" s="840">
        <f t="shared" si="19"/>
        <v>-0.19220162786424133</v>
      </c>
      <c r="H105" s="842">
        <f>$B$322/B105</f>
        <v>1.5921252386215214</v>
      </c>
    </row>
    <row r="106" spans="1:8" ht="16.5" hidden="1" thickBot="1">
      <c r="A106" s="973" t="s">
        <v>543</v>
      </c>
      <c r="B106" s="748">
        <f>+geral!G503</f>
        <v>632.5</v>
      </c>
      <c r="C106" s="748">
        <f t="shared" si="9"/>
        <v>92.244195543110493</v>
      </c>
      <c r="D106" s="750">
        <f t="shared" si="24"/>
        <v>5.9144646505241427</v>
      </c>
      <c r="E106" s="750">
        <f t="shared" si="23"/>
        <v>11.062335381913968</v>
      </c>
      <c r="F106" s="751">
        <f t="shared" si="22"/>
        <v>21.51777137367916</v>
      </c>
      <c r="G106" s="840">
        <f t="shared" si="19"/>
        <v>-3.3190561236595695E-2</v>
      </c>
      <c r="H106" s="842">
        <f>$B$322/B106</f>
        <v>1.5032179446640317</v>
      </c>
    </row>
    <row r="107" spans="1:8" ht="16.5" hidden="1" thickBot="1">
      <c r="A107" s="973" t="s">
        <v>532</v>
      </c>
      <c r="B107" s="748">
        <f>+geral!G504</f>
        <v>656.95</v>
      </c>
      <c r="C107" s="748">
        <f t="shared" si="9"/>
        <v>95.809998833275003</v>
      </c>
      <c r="D107" s="750">
        <f t="shared" si="24"/>
        <v>3.8656126482213615</v>
      </c>
      <c r="E107" s="750">
        <f t="shared" si="23"/>
        <v>15.355575065847237</v>
      </c>
      <c r="F107" s="751">
        <f t="shared" si="22"/>
        <v>7.6967213114754074</v>
      </c>
      <c r="G107" s="840">
        <f t="shared" si="19"/>
        <v>10.165512384082632</v>
      </c>
      <c r="H107" s="842">
        <f>$B$322/B107</f>
        <v>1.4472720146129843</v>
      </c>
    </row>
    <row r="108" spans="1:8" ht="16.5" hidden="1" thickBot="1">
      <c r="A108" s="973" t="s">
        <v>544</v>
      </c>
      <c r="B108" s="748">
        <f>+geral!G505</f>
        <v>679.2</v>
      </c>
      <c r="C108" s="748">
        <f t="shared" si="9"/>
        <v>99.054952747637387</v>
      </c>
      <c r="D108" s="750">
        <f t="shared" si="24"/>
        <v>3.386863536037743</v>
      </c>
      <c r="E108" s="750">
        <f t="shared" si="23"/>
        <v>19.262510974539083</v>
      </c>
      <c r="F108" s="751">
        <f t="shared" si="22"/>
        <v>27.549295774647888</v>
      </c>
      <c r="G108" s="840">
        <f t="shared" si="19"/>
        <v>20.36150983519407</v>
      </c>
      <c r="H108" s="842">
        <f>$B$322/B108</f>
        <v>1.3998606448763251</v>
      </c>
    </row>
    <row r="109" spans="1:8" ht="16.5" hidden="1" thickBot="1">
      <c r="A109" s="973" t="s">
        <v>545</v>
      </c>
      <c r="B109" s="748">
        <f>+geral!G506</f>
        <v>650</v>
      </c>
      <c r="C109" s="748">
        <f t="shared" si="9"/>
        <v>94.796406486991017</v>
      </c>
      <c r="D109" s="750">
        <f t="shared" si="24"/>
        <v>-4.2991755005889365</v>
      </c>
      <c r="E109" s="750">
        <f t="shared" si="23"/>
        <v>14.135206321334515</v>
      </c>
      <c r="F109" s="751">
        <f t="shared" ref="F109:F114" si="25">100*((B109/B97)-1)</f>
        <v>14.135206321334515</v>
      </c>
      <c r="G109" s="840">
        <f t="shared" si="19"/>
        <v>9.2436974789915851</v>
      </c>
      <c r="H109" s="842">
        <f>$B$322/B109</f>
        <v>1.4627466923076924</v>
      </c>
    </row>
    <row r="110" spans="1:8" ht="16.5" hidden="1" thickBot="1">
      <c r="A110" s="973" t="s">
        <v>565</v>
      </c>
      <c r="B110" s="748">
        <f>+geral!I495</f>
        <v>653.25</v>
      </c>
      <c r="C110" s="748">
        <f t="shared" si="9"/>
        <v>95.270388519425978</v>
      </c>
      <c r="D110" s="750">
        <f t="shared" si="24"/>
        <v>0.49999999999998934</v>
      </c>
      <c r="E110" s="750">
        <f t="shared" ref="E110:E115" si="26">100*((B110/$B$109)-1)</f>
        <v>0.49999999999998934</v>
      </c>
      <c r="F110" s="751">
        <f t="shared" si="25"/>
        <v>6.0470779220779258</v>
      </c>
      <c r="G110" s="840">
        <f t="shared" si="19"/>
        <v>27.463414634146343</v>
      </c>
      <c r="H110" s="842">
        <f>$B$322/B110</f>
        <v>1.4554693455797936</v>
      </c>
    </row>
    <row r="111" spans="1:8" ht="16.5" hidden="1" thickBot="1">
      <c r="A111" s="973" t="s">
        <v>566</v>
      </c>
      <c r="B111" s="748">
        <f>+geral!I496</f>
        <v>711.23</v>
      </c>
      <c r="C111" s="748">
        <f t="shared" si="9"/>
        <v>103.72622797806558</v>
      </c>
      <c r="D111" s="750">
        <f t="shared" ref="D111:D116" si="27">100*((B111/B110)-1)</f>
        <v>8.8756218905472686</v>
      </c>
      <c r="E111" s="750">
        <f t="shared" si="26"/>
        <v>9.4200000000000053</v>
      </c>
      <c r="F111" s="751">
        <f t="shared" si="25"/>
        <v>11.547992471769142</v>
      </c>
      <c r="G111" s="840">
        <f t="shared" ref="G111:G116" si="28">100*(B111/B87-1)</f>
        <v>40.767936665017324</v>
      </c>
      <c r="H111" s="842">
        <f>$B$322/B111</f>
        <v>1.3368183991113987</v>
      </c>
    </row>
    <row r="112" spans="1:8" ht="16.5" hidden="1" thickBot="1">
      <c r="A112" s="973" t="s">
        <v>567</v>
      </c>
      <c r="B112" s="748">
        <f>+geral!I497</f>
        <v>699.5</v>
      </c>
      <c r="C112" s="748">
        <f t="shared" si="9"/>
        <v>102.01551744253879</v>
      </c>
      <c r="D112" s="750">
        <f t="shared" si="27"/>
        <v>-1.6492555150935728</v>
      </c>
      <c r="E112" s="750">
        <f t="shared" si="26"/>
        <v>7.6153846153846239</v>
      </c>
      <c r="F112" s="751">
        <f t="shared" si="25"/>
        <v>15.200922266139649</v>
      </c>
      <c r="G112" s="840">
        <f t="shared" si="28"/>
        <v>28.34862385321102</v>
      </c>
      <c r="H112" s="842">
        <f>$B$322/B112</f>
        <v>1.3592356683345248</v>
      </c>
    </row>
    <row r="113" spans="1:8" ht="16.5" hidden="1" thickBot="1">
      <c r="A113" s="973" t="s">
        <v>568</v>
      </c>
      <c r="B113" s="748">
        <f>+geral!I498</f>
        <v>638.5</v>
      </c>
      <c r="C113" s="748">
        <f t="shared" si="9"/>
        <v>93.119239295298101</v>
      </c>
      <c r="D113" s="750">
        <f t="shared" si="27"/>
        <v>-8.7205146533238072</v>
      </c>
      <c r="E113" s="750">
        <f t="shared" si="26"/>
        <v>-1.7692307692307674</v>
      </c>
      <c r="F113" s="751">
        <f t="shared" si="25"/>
        <v>21.619047619047628</v>
      </c>
      <c r="G113" s="840">
        <f t="shared" si="28"/>
        <v>15.565610859728496</v>
      </c>
      <c r="H113" s="842">
        <f>$B$322/B113</f>
        <v>1.4890921691464372</v>
      </c>
    </row>
    <row r="114" spans="1:8" ht="16.5" hidden="1" thickBot="1">
      <c r="A114" s="973" t="s">
        <v>569</v>
      </c>
      <c r="B114" s="748">
        <f>+geral!I499</f>
        <v>692.38</v>
      </c>
      <c r="C114" s="748">
        <f t="shared" si="9"/>
        <v>100.97713218994284</v>
      </c>
      <c r="D114" s="750">
        <f t="shared" si="27"/>
        <v>8.4385277995301387</v>
      </c>
      <c r="E114" s="750">
        <f t="shared" si="26"/>
        <v>6.5199999999999925</v>
      </c>
      <c r="F114" s="751">
        <f t="shared" si="25"/>
        <v>25.317647058823532</v>
      </c>
      <c r="G114" s="840">
        <f t="shared" si="28"/>
        <v>27.627649769585251</v>
      </c>
      <c r="H114" s="842">
        <f>$B$322/B114</f>
        <v>1.373213192177706</v>
      </c>
    </row>
    <row r="115" spans="1:8" ht="16.5" hidden="1" thickBot="1">
      <c r="A115" s="973" t="s">
        <v>570</v>
      </c>
      <c r="B115" s="748">
        <f>+geral!I500</f>
        <v>683.16</v>
      </c>
      <c r="C115" s="748">
        <f t="shared" si="9"/>
        <v>99.632481624081208</v>
      </c>
      <c r="D115" s="750">
        <f t="shared" si="27"/>
        <v>-1.3316386955140258</v>
      </c>
      <c r="E115" s="750">
        <f t="shared" si="26"/>
        <v>5.1015384615384463</v>
      </c>
      <c r="F115" s="751">
        <f t="shared" ref="F115:F120" si="29">100*((B115/B103)-1)</f>
        <v>19.957857769973653</v>
      </c>
      <c r="G115" s="840">
        <f t="shared" si="28"/>
        <v>27.099534883720921</v>
      </c>
      <c r="H115" s="842">
        <f>$B$322/B115</f>
        <v>1.3917462234322855</v>
      </c>
    </row>
    <row r="116" spans="1:8" ht="16.5" hidden="1" thickBot="1">
      <c r="A116" s="973" t="s">
        <v>571</v>
      </c>
      <c r="B116" s="748">
        <f>+geral!I501</f>
        <v>701.8</v>
      </c>
      <c r="C116" s="748">
        <f t="shared" si="9"/>
        <v>102.35095088087739</v>
      </c>
      <c r="D116" s="750">
        <f t="shared" si="27"/>
        <v>2.728496984600981</v>
      </c>
      <c r="E116" s="750">
        <f t="shared" ref="E116:E121" si="30">100*((B116/$B$109)-1)</f>
        <v>7.9692307692307729</v>
      </c>
      <c r="F116" s="751">
        <f t="shared" si="29"/>
        <v>25.321428571428562</v>
      </c>
      <c r="G116" s="840">
        <f t="shared" si="28"/>
        <v>26.953690303907372</v>
      </c>
      <c r="H116" s="842">
        <f>$B$322/B116</f>
        <v>1.3547810629809065</v>
      </c>
    </row>
    <row r="117" spans="1:8" ht="16.5" hidden="1" thickBot="1">
      <c r="A117" s="973" t="s">
        <v>572</v>
      </c>
      <c r="B117" s="748">
        <f>+geral!I502</f>
        <v>711.2</v>
      </c>
      <c r="C117" s="748">
        <f t="shared" si="9"/>
        <v>103.72185275930464</v>
      </c>
      <c r="D117" s="750">
        <f t="shared" ref="D117:D122" si="31">100*((B117/B116)-1)</f>
        <v>1.3394129381590236</v>
      </c>
      <c r="E117" s="750">
        <f t="shared" si="30"/>
        <v>9.4153846153846246</v>
      </c>
      <c r="F117" s="751">
        <f t="shared" si="29"/>
        <v>19.093070765933227</v>
      </c>
      <c r="G117" s="840">
        <f t="shared" ref="G117:G122" si="32">100*(B117/B93-1)</f>
        <v>23.472222222222229</v>
      </c>
      <c r="H117" s="842">
        <f>$B$322/B117</f>
        <v>1.3368747890888639</v>
      </c>
    </row>
    <row r="118" spans="1:8" ht="16.5" hidden="1" thickBot="1">
      <c r="A118" s="973" t="s">
        <v>573</v>
      </c>
      <c r="B118" s="748">
        <f>+geral!I503</f>
        <v>728.2</v>
      </c>
      <c r="C118" s="748">
        <f t="shared" si="9"/>
        <v>106.20114339050286</v>
      </c>
      <c r="D118" s="750">
        <f t="shared" si="31"/>
        <v>2.3903262092238364</v>
      </c>
      <c r="E118" s="750">
        <f t="shared" si="30"/>
        <v>12.030769230769245</v>
      </c>
      <c r="F118" s="751">
        <f t="shared" si="29"/>
        <v>15.130434782608692</v>
      </c>
      <c r="G118" s="840">
        <f t="shared" si="32"/>
        <v>39.903938520653234</v>
      </c>
      <c r="H118" s="842">
        <f>$B$322/B118</f>
        <v>1.3056651332051634</v>
      </c>
    </row>
    <row r="119" spans="1:8" ht="16.5" hidden="1" thickBot="1">
      <c r="A119" s="973" t="s">
        <v>396</v>
      </c>
      <c r="B119" s="748">
        <f>+geral!I504</f>
        <v>663.4</v>
      </c>
      <c r="C119" s="748">
        <f t="shared" si="9"/>
        <v>96.750670866876689</v>
      </c>
      <c r="D119" s="750">
        <f t="shared" si="31"/>
        <v>-8.8986542158747675</v>
      </c>
      <c r="E119" s="750">
        <f t="shared" si="30"/>
        <v>2.061538461538448</v>
      </c>
      <c r="F119" s="751">
        <f t="shared" si="29"/>
        <v>0.9818098789862173</v>
      </c>
      <c r="G119" s="840">
        <f t="shared" si="32"/>
        <v>8.7540983606557266</v>
      </c>
      <c r="H119" s="842">
        <f>$B$322/B119</f>
        <v>1.4332007084715106</v>
      </c>
    </row>
    <row r="120" spans="1:8" ht="16.5" hidden="1" thickBot="1">
      <c r="A120" s="973" t="s">
        <v>397</v>
      </c>
      <c r="B120" s="748">
        <f>+geral!I505</f>
        <v>663.25</v>
      </c>
      <c r="C120" s="748">
        <f t="shared" si="9"/>
        <v>96.728794773071996</v>
      </c>
      <c r="D120" s="750">
        <f t="shared" si="31"/>
        <v>-2.2610792885136011E-2</v>
      </c>
      <c r="E120" s="750">
        <f t="shared" si="30"/>
        <v>2.0384615384615445</v>
      </c>
      <c r="F120" s="751">
        <f t="shared" si="29"/>
        <v>-2.3483510011778619</v>
      </c>
      <c r="G120" s="840">
        <f t="shared" si="32"/>
        <v>24.553990610328636</v>
      </c>
      <c r="H120" s="842">
        <f>$B$322/B120</f>
        <v>1.4335248398039957</v>
      </c>
    </row>
    <row r="121" spans="1:8" ht="16.5" hidden="1" thickBot="1">
      <c r="A121" s="973" t="s">
        <v>398</v>
      </c>
      <c r="B121" s="748">
        <f>+geral!I506</f>
        <v>690.25</v>
      </c>
      <c r="C121" s="748">
        <f t="shared" ref="C121:C157" si="33">100*B121/$B$9</f>
        <v>100.66649165791624</v>
      </c>
      <c r="D121" s="750">
        <f t="shared" si="31"/>
        <v>4.0708631737655487</v>
      </c>
      <c r="E121" s="750">
        <f t="shared" si="30"/>
        <v>6.192307692307697</v>
      </c>
      <c r="F121" s="751">
        <f t="shared" ref="F121:F126" si="34">100*((B121/B109)-1)</f>
        <v>6.192307692307697</v>
      </c>
      <c r="G121" s="840">
        <f t="shared" si="32"/>
        <v>21.202809482001751</v>
      </c>
      <c r="H121" s="842">
        <f>$B$322/B121</f>
        <v>1.3774507062658459</v>
      </c>
    </row>
    <row r="122" spans="1:8" ht="16.5" hidden="1" thickBot="1">
      <c r="A122" s="973" t="s">
        <v>399</v>
      </c>
      <c r="B122" s="748">
        <f>+geral!K495</f>
        <v>668.25</v>
      </c>
      <c r="C122" s="748">
        <f t="shared" si="33"/>
        <v>97.457997899895005</v>
      </c>
      <c r="D122" s="750">
        <f t="shared" si="31"/>
        <v>-3.1872509960159334</v>
      </c>
      <c r="E122" s="750">
        <f t="shared" ref="E122:E127" si="35">100*((B122/$B$121)-1)</f>
        <v>-3.1872509960159334</v>
      </c>
      <c r="F122" s="751">
        <f t="shared" si="34"/>
        <v>2.2962112514351318</v>
      </c>
      <c r="G122" s="840">
        <f t="shared" si="32"/>
        <v>8.4821428571428612</v>
      </c>
      <c r="H122" s="842">
        <f>$B$322/B122</f>
        <v>1.4227988776655445</v>
      </c>
    </row>
    <row r="123" spans="1:8" ht="16.5" hidden="1" thickBot="1">
      <c r="A123" s="973" t="s">
        <v>400</v>
      </c>
      <c r="B123" s="748">
        <f>+geral!K496</f>
        <v>685.25</v>
      </c>
      <c r="C123" s="748">
        <f t="shared" si="33"/>
        <v>99.93728853109323</v>
      </c>
      <c r="D123" s="750">
        <f t="shared" ref="D123:D128" si="36">100*((B123/B122)-1)</f>
        <v>2.5439580995136657</v>
      </c>
      <c r="E123" s="750">
        <f t="shared" si="35"/>
        <v>-0.7243752263672576</v>
      </c>
      <c r="F123" s="751">
        <f t="shared" si="34"/>
        <v>-3.6528267930205471</v>
      </c>
      <c r="G123" s="840">
        <f t="shared" ref="G123:G128" si="37">100*(B123/B99-1)</f>
        <v>7.47333751568382</v>
      </c>
      <c r="H123" s="842">
        <f>$B$322/B123</f>
        <v>1.3875014228383804</v>
      </c>
    </row>
    <row r="124" spans="1:8" ht="16.5" hidden="1" thickBot="1">
      <c r="A124" s="973" t="s">
        <v>401</v>
      </c>
      <c r="B124" s="748">
        <f>+geral!K497</f>
        <v>791.4</v>
      </c>
      <c r="C124" s="748">
        <f t="shared" si="33"/>
        <v>115.41827091354568</v>
      </c>
      <c r="D124" s="750">
        <f t="shared" si="36"/>
        <v>15.490696825975924</v>
      </c>
      <c r="E124" s="750">
        <f t="shared" si="35"/>
        <v>14.654110829409639</v>
      </c>
      <c r="F124" s="751">
        <f t="shared" si="34"/>
        <v>13.137955682630453</v>
      </c>
      <c r="G124" s="840">
        <f t="shared" si="37"/>
        <v>30.335968379446633</v>
      </c>
      <c r="H124" s="842">
        <f>$B$322/B124</f>
        <v>1.2013967020470055</v>
      </c>
    </row>
    <row r="125" spans="1:8" ht="16.5" hidden="1" thickBot="1">
      <c r="A125" s="973" t="s">
        <v>402</v>
      </c>
      <c r="B125" s="748">
        <f>+geral!K498</f>
        <v>761</v>
      </c>
      <c r="C125" s="748">
        <f t="shared" si="33"/>
        <v>110.9847159024618</v>
      </c>
      <c r="D125" s="750">
        <f t="shared" si="36"/>
        <v>-3.8412939095274212</v>
      </c>
      <c r="E125" s="750">
        <f t="shared" si="35"/>
        <v>10.249909453096695</v>
      </c>
      <c r="F125" s="751">
        <f t="shared" si="34"/>
        <v>19.185591229444011</v>
      </c>
      <c r="G125" s="840">
        <f t="shared" si="37"/>
        <v>44.952380952380942</v>
      </c>
      <c r="H125" s="842">
        <f>$B$322/B125</f>
        <v>1.2493894218134036</v>
      </c>
    </row>
    <row r="126" spans="1:8" ht="16.5" hidden="1" thickBot="1">
      <c r="A126" s="973" t="s">
        <v>403</v>
      </c>
      <c r="B126" s="748">
        <f>+geral!K499</f>
        <v>800</v>
      </c>
      <c r="C126" s="748">
        <f t="shared" si="33"/>
        <v>116.67250029168126</v>
      </c>
      <c r="D126" s="750">
        <f t="shared" si="36"/>
        <v>5.124835742444156</v>
      </c>
      <c r="E126" s="750">
        <f t="shared" si="35"/>
        <v>15.900036218761326</v>
      </c>
      <c r="F126" s="751">
        <f t="shared" si="34"/>
        <v>15.543487680175616</v>
      </c>
      <c r="G126" s="840">
        <f t="shared" si="37"/>
        <v>44.796380090497735</v>
      </c>
      <c r="H126" s="842">
        <f>$B$322/B126</f>
        <v>1.1884816875000002</v>
      </c>
    </row>
    <row r="127" spans="1:8" ht="16.5" hidden="1" thickBot="1">
      <c r="A127" s="973" t="s">
        <v>404</v>
      </c>
      <c r="B127" s="748">
        <f>+geral!K500</f>
        <v>846.6</v>
      </c>
      <c r="C127" s="748">
        <f t="shared" si="33"/>
        <v>123.4686734336717</v>
      </c>
      <c r="D127" s="750">
        <f t="shared" si="36"/>
        <v>5.8250000000000135</v>
      </c>
      <c r="E127" s="750">
        <f t="shared" si="35"/>
        <v>22.65121332850417</v>
      </c>
      <c r="F127" s="751">
        <f t="shared" ref="F127:F132" si="38">100*((B127/B115)-1)</f>
        <v>23.924117337080641</v>
      </c>
      <c r="G127" s="840">
        <f t="shared" si="37"/>
        <v>48.656716417910452</v>
      </c>
      <c r="H127" s="842">
        <f>$B$322/B127</f>
        <v>1.1230632530120483</v>
      </c>
    </row>
    <row r="128" spans="1:8" ht="16.5" hidden="1" thickBot="1">
      <c r="A128" s="973" t="s">
        <v>405</v>
      </c>
      <c r="B128" s="748">
        <f>+geral!K501</f>
        <v>803.64</v>
      </c>
      <c r="C128" s="748">
        <f t="shared" si="33"/>
        <v>117.20336016800842</v>
      </c>
      <c r="D128" s="750">
        <f t="shared" si="36"/>
        <v>-5.0744153082919912</v>
      </c>
      <c r="E128" s="750">
        <f t="shared" ref="E128:E133" si="39">100*((B128/$B$121)-1)</f>
        <v>16.427381383556682</v>
      </c>
      <c r="F128" s="751">
        <f t="shared" si="38"/>
        <v>14.511256768310066</v>
      </c>
      <c r="G128" s="840">
        <f t="shared" si="37"/>
        <v>43.507142857142853</v>
      </c>
      <c r="H128" s="842">
        <f>$B$322/B128</f>
        <v>1.1830985889204122</v>
      </c>
    </row>
    <row r="129" spans="1:8" ht="16.5" hidden="1" thickBot="1">
      <c r="A129" s="973" t="s">
        <v>406</v>
      </c>
      <c r="B129" s="748">
        <f>+geral!K502</f>
        <v>796.2</v>
      </c>
      <c r="C129" s="748">
        <f t="shared" si="33"/>
        <v>116.11830591529578</v>
      </c>
      <c r="D129" s="750">
        <f t="shared" ref="D129:D134" si="40">100*((B129/B128)-1)</f>
        <v>-0.92578766611914887</v>
      </c>
      <c r="E129" s="750">
        <f t="shared" si="39"/>
        <v>15.34951104672222</v>
      </c>
      <c r="F129" s="751">
        <f t="shared" si="38"/>
        <v>11.951631046119227</v>
      </c>
      <c r="G129" s="840">
        <f t="shared" ref="G129:G134" si="41">100*(B129/B105-1)</f>
        <v>33.326635185371266</v>
      </c>
      <c r="H129" s="842">
        <f>$B$322/B129</f>
        <v>1.1941539186134138</v>
      </c>
    </row>
    <row r="130" spans="1:8" ht="16.5" hidden="1" thickBot="1">
      <c r="A130" s="973" t="s">
        <v>407</v>
      </c>
      <c r="B130" s="748">
        <f>+geral!K503</f>
        <v>804.4</v>
      </c>
      <c r="C130" s="748">
        <f t="shared" si="33"/>
        <v>117.31419904328551</v>
      </c>
      <c r="D130" s="750">
        <f t="shared" si="40"/>
        <v>1.0298919869379475</v>
      </c>
      <c r="E130" s="750">
        <f t="shared" si="39"/>
        <v>16.537486417964509</v>
      </c>
      <c r="F130" s="751">
        <f t="shared" si="38"/>
        <v>10.464158198297158</v>
      </c>
      <c r="G130" s="840">
        <f t="shared" si="41"/>
        <v>27.177865612648212</v>
      </c>
      <c r="H130" s="842">
        <f>$B$322/B130</f>
        <v>1.1819807931377426</v>
      </c>
    </row>
    <row r="131" spans="1:8" ht="16.5" hidden="1" thickBot="1">
      <c r="A131" s="973" t="s">
        <v>408</v>
      </c>
      <c r="B131" s="748">
        <f>+geral!K504</f>
        <v>808.4</v>
      </c>
      <c r="C131" s="748">
        <f t="shared" si="33"/>
        <v>117.89756154474391</v>
      </c>
      <c r="D131" s="750">
        <f t="shared" si="40"/>
        <v>0.4972650422675251</v>
      </c>
      <c r="E131" s="750">
        <f t="shared" si="39"/>
        <v>17.116986599058315</v>
      </c>
      <c r="F131" s="751">
        <f t="shared" si="38"/>
        <v>21.857099788965929</v>
      </c>
      <c r="G131" s="840">
        <f t="shared" si="41"/>
        <v>23.053504832940085</v>
      </c>
      <c r="H131" s="842">
        <f>$B$322/B131</f>
        <v>1.1761322983671452</v>
      </c>
    </row>
    <row r="132" spans="1:8" ht="16.5" hidden="1" thickBot="1">
      <c r="A132" s="973" t="s">
        <v>409</v>
      </c>
      <c r="B132" s="748">
        <f>+geral!K505</f>
        <v>847.4</v>
      </c>
      <c r="C132" s="748">
        <f t="shared" si="33"/>
        <v>123.58534593396337</v>
      </c>
      <c r="D132" s="750">
        <f t="shared" si="40"/>
        <v>4.8243443839683264</v>
      </c>
      <c r="E132" s="750">
        <f t="shared" si="39"/>
        <v>22.767113364722924</v>
      </c>
      <c r="F132" s="751">
        <f t="shared" si="38"/>
        <v>27.764794572182439</v>
      </c>
      <c r="G132" s="840">
        <f t="shared" si="41"/>
        <v>24.764428739693756</v>
      </c>
      <c r="H132" s="842">
        <f>$B$322/B132</f>
        <v>1.122003009204626</v>
      </c>
    </row>
    <row r="133" spans="1:8" ht="16.5" hidden="1" thickBot="1">
      <c r="A133" s="973" t="s">
        <v>410</v>
      </c>
      <c r="B133" s="748">
        <f>+geral!K506</f>
        <v>816.4</v>
      </c>
      <c r="C133" s="748">
        <f t="shared" si="33"/>
        <v>119.06428654766073</v>
      </c>
      <c r="D133" s="750">
        <f t="shared" si="40"/>
        <v>-3.6582487609157388</v>
      </c>
      <c r="E133" s="750">
        <f t="shared" si="39"/>
        <v>18.275986961245927</v>
      </c>
      <c r="F133" s="751">
        <f t="shared" ref="F133:F138" si="42">100*((B133/B121)-1)</f>
        <v>18.275986961245927</v>
      </c>
      <c r="G133" s="840">
        <f t="shared" si="41"/>
        <v>25.6</v>
      </c>
      <c r="H133" s="842">
        <f>$B$322/B133</f>
        <v>1.1646072390984814</v>
      </c>
    </row>
    <row r="134" spans="1:8" ht="16.5" hidden="1" thickBot="1">
      <c r="A134" s="973" t="s">
        <v>411</v>
      </c>
      <c r="B134" s="748">
        <f>+geral!C509</f>
        <v>852.76</v>
      </c>
      <c r="C134" s="748">
        <f t="shared" si="33"/>
        <v>124.36705168591764</v>
      </c>
      <c r="D134" s="750">
        <f t="shared" si="40"/>
        <v>4.4536991670749648</v>
      </c>
      <c r="E134" s="750">
        <f t="shared" ref="E134:E139" si="43">100*((B134/$B$133)-1)</f>
        <v>4.4536991670749648</v>
      </c>
      <c r="F134" s="751">
        <f t="shared" si="42"/>
        <v>27.610924055368493</v>
      </c>
      <c r="G134" s="840">
        <f t="shared" si="41"/>
        <v>30.541140451588223</v>
      </c>
      <c r="H134" s="842">
        <f>$B$322/B134</f>
        <v>1.1149506895257753</v>
      </c>
    </row>
    <row r="135" spans="1:8" ht="16.5" hidden="1" thickBot="1">
      <c r="A135" s="973" t="s">
        <v>412</v>
      </c>
      <c r="B135" s="748">
        <f>+geral!C510</f>
        <v>837.7</v>
      </c>
      <c r="C135" s="748">
        <f t="shared" si="33"/>
        <v>122.17069186792673</v>
      </c>
      <c r="D135" s="750">
        <f t="shared" ref="D135:D140" si="44">100*((B135/B134)-1)</f>
        <v>-1.7660303016088896</v>
      </c>
      <c r="E135" s="750">
        <f t="shared" si="43"/>
        <v>2.6090151886330348</v>
      </c>
      <c r="F135" s="751">
        <f t="shared" si="42"/>
        <v>22.247354979934329</v>
      </c>
      <c r="G135" s="840">
        <f t="shared" ref="G135:G140" si="45">100*(B135/B111-1)</f>
        <v>17.781870843468361</v>
      </c>
      <c r="H135" s="842">
        <f>$B$322/B135</f>
        <v>1.134995045959174</v>
      </c>
    </row>
    <row r="136" spans="1:8" ht="16.5" hidden="1" thickBot="1">
      <c r="A136" s="973" t="s">
        <v>413</v>
      </c>
      <c r="B136" s="748">
        <f>+geral!C511</f>
        <v>819.27</v>
      </c>
      <c r="C136" s="748">
        <f t="shared" si="33"/>
        <v>119.48284914245713</v>
      </c>
      <c r="D136" s="750">
        <f t="shared" si="44"/>
        <v>-2.2000716246866503</v>
      </c>
      <c r="E136" s="750">
        <f t="shared" si="43"/>
        <v>0.35154336109750606</v>
      </c>
      <c r="F136" s="751">
        <f t="shared" si="42"/>
        <v>3.5216072782410901</v>
      </c>
      <c r="G136" s="840">
        <f t="shared" si="45"/>
        <v>17.122230164403152</v>
      </c>
      <c r="H136" s="842">
        <f>$B$322/B136</f>
        <v>1.1605274817825626</v>
      </c>
    </row>
    <row r="137" spans="1:8" ht="16.5" hidden="1" thickBot="1">
      <c r="A137" s="973" t="s">
        <v>414</v>
      </c>
      <c r="B137" s="748">
        <f>+geral!C512</f>
        <v>846.93</v>
      </c>
      <c r="C137" s="748">
        <f t="shared" si="33"/>
        <v>123.51680084004201</v>
      </c>
      <c r="D137" s="750">
        <f t="shared" si="44"/>
        <v>3.3761763521183541</v>
      </c>
      <c r="E137" s="750">
        <f t="shared" si="43"/>
        <v>3.7395884370406529</v>
      </c>
      <c r="F137" s="751">
        <f t="shared" si="42"/>
        <v>11.291721419185286</v>
      </c>
      <c r="G137" s="840">
        <f t="shared" si="45"/>
        <v>32.643696162881739</v>
      </c>
      <c r="H137" s="842">
        <f>$B$322/B137</f>
        <v>1.1226256597357516</v>
      </c>
    </row>
    <row r="138" spans="1:8" ht="16.5" hidden="1" thickBot="1">
      <c r="A138" s="973" t="s">
        <v>415</v>
      </c>
      <c r="B138" s="748">
        <f>+geral!C513</f>
        <v>830.25</v>
      </c>
      <c r="C138" s="748">
        <f t="shared" si="33"/>
        <v>121.08417920896046</v>
      </c>
      <c r="D138" s="750">
        <f t="shared" si="44"/>
        <v>-1.9694661896496712</v>
      </c>
      <c r="E138" s="750">
        <f t="shared" si="43"/>
        <v>1.6964723174914376</v>
      </c>
      <c r="F138" s="751">
        <f t="shared" si="42"/>
        <v>3.7812500000000027</v>
      </c>
      <c r="G138" s="840">
        <f t="shared" si="45"/>
        <v>19.912475808082263</v>
      </c>
      <c r="H138" s="842">
        <f>$B$322/B138</f>
        <v>1.1451795844625114</v>
      </c>
    </row>
    <row r="139" spans="1:8" ht="16.5" hidden="1" thickBot="1">
      <c r="A139" s="973" t="s">
        <v>416</v>
      </c>
      <c r="B139" s="748">
        <f>+geral!C514</f>
        <v>831</v>
      </c>
      <c r="C139" s="748">
        <f t="shared" si="33"/>
        <v>121.19355967798391</v>
      </c>
      <c r="D139" s="750">
        <f t="shared" si="44"/>
        <v>9.0334236675704283E-2</v>
      </c>
      <c r="E139" s="750">
        <f t="shared" si="43"/>
        <v>1.7883390494855433</v>
      </c>
      <c r="F139" s="751">
        <f t="shared" ref="F139:F144" si="46">100*((B139/B127)-1)</f>
        <v>-1.8426647767540771</v>
      </c>
      <c r="G139" s="840">
        <f t="shared" si="45"/>
        <v>21.640611277006848</v>
      </c>
      <c r="H139" s="842">
        <f>$B$322/B139</f>
        <v>1.1441460288808665</v>
      </c>
    </row>
    <row r="140" spans="1:8" ht="16.5" hidden="1" thickBot="1">
      <c r="A140" s="973" t="s">
        <v>417</v>
      </c>
      <c r="B140" s="748">
        <f>+geral!C515</f>
        <v>837.71</v>
      </c>
      <c r="C140" s="748">
        <f t="shared" si="33"/>
        <v>122.17215027418038</v>
      </c>
      <c r="D140" s="750">
        <f t="shared" si="44"/>
        <v>0.80746089049339442</v>
      </c>
      <c r="E140" s="750">
        <f t="shared" ref="E140:E145" si="47">100*((B140/$B$133)-1)</f>
        <v>2.6102400783929447</v>
      </c>
      <c r="F140" s="751">
        <f t="shared" si="46"/>
        <v>4.2394604549300663</v>
      </c>
      <c r="G140" s="840">
        <f t="shared" si="45"/>
        <v>19.36591621544601</v>
      </c>
      <c r="H140" s="842">
        <f>$B$322/B140</f>
        <v>1.1349814971768273</v>
      </c>
    </row>
    <row r="141" spans="1:8" ht="16.5" hidden="1" thickBot="1">
      <c r="A141" s="973" t="s">
        <v>418</v>
      </c>
      <c r="B141" s="748">
        <f>+geral!C516</f>
        <v>816.32</v>
      </c>
      <c r="C141" s="748">
        <f t="shared" si="33"/>
        <v>119.05261929763155</v>
      </c>
      <c r="D141" s="750">
        <f t="shared" ref="D141:D146" si="48">100*((B141/B140)-1)</f>
        <v>-2.5533895978321786</v>
      </c>
      <c r="E141" s="750">
        <f t="shared" si="47"/>
        <v>-9.7991180793677302E-3</v>
      </c>
      <c r="F141" s="751">
        <f t="shared" si="46"/>
        <v>2.5270032655111851</v>
      </c>
      <c r="G141" s="840">
        <f t="shared" ref="G141:G146" si="49">100*(B141/B117-1)</f>
        <v>14.780652418447705</v>
      </c>
      <c r="H141" s="842">
        <f>$B$322/B141</f>
        <v>1.1647213715209723</v>
      </c>
    </row>
    <row r="142" spans="1:8" ht="16.5" hidden="1" thickBot="1">
      <c r="A142" s="973" t="s">
        <v>419</v>
      </c>
      <c r="B142" s="748">
        <f>+geral!C517</f>
        <v>787.39</v>
      </c>
      <c r="C142" s="748">
        <f t="shared" si="33"/>
        <v>114.83345000583364</v>
      </c>
      <c r="D142" s="750">
        <f t="shared" si="48"/>
        <v>-3.5439533516268162</v>
      </c>
      <c r="E142" s="750">
        <f t="shared" si="47"/>
        <v>-3.5534051935325772</v>
      </c>
      <c r="F142" s="751">
        <f t="shared" si="46"/>
        <v>-2.1146195922426614</v>
      </c>
      <c r="G142" s="840">
        <f t="shared" si="49"/>
        <v>8.1282614666300379</v>
      </c>
      <c r="H142" s="842">
        <f>$B$322/B142</f>
        <v>1.2075151449726313</v>
      </c>
    </row>
    <row r="143" spans="1:8" ht="16.5" hidden="1" thickBot="1">
      <c r="A143" s="973" t="s">
        <v>420</v>
      </c>
      <c r="B143" s="748">
        <f>+geral!C518</f>
        <v>817.57</v>
      </c>
      <c r="C143" s="748">
        <f t="shared" si="33"/>
        <v>119.23492007933731</v>
      </c>
      <c r="D143" s="750">
        <f t="shared" si="48"/>
        <v>3.8329163438702629</v>
      </c>
      <c r="E143" s="750">
        <f t="shared" si="47"/>
        <v>0.14331210191083077</v>
      </c>
      <c r="F143" s="751">
        <f t="shared" si="46"/>
        <v>1.1343394359228265</v>
      </c>
      <c r="G143" s="840">
        <f t="shared" si="49"/>
        <v>23.239372927343993</v>
      </c>
      <c r="H143" s="842">
        <f>$B$322/B143</f>
        <v>1.1629406044742348</v>
      </c>
    </row>
    <row r="144" spans="1:8" ht="16.5" hidden="1" thickBot="1">
      <c r="A144" s="973" t="s">
        <v>421</v>
      </c>
      <c r="B144" s="748">
        <f>+geral!C519</f>
        <v>805.89</v>
      </c>
      <c r="C144" s="748">
        <f t="shared" si="33"/>
        <v>117.53150157507876</v>
      </c>
      <c r="D144" s="750">
        <f t="shared" si="48"/>
        <v>-1.4286238487224434</v>
      </c>
      <c r="E144" s="750">
        <f t="shared" si="47"/>
        <v>-1.2873591376776128</v>
      </c>
      <c r="F144" s="751">
        <f t="shared" si="46"/>
        <v>-4.8985130988907226</v>
      </c>
      <c r="G144" s="840">
        <f t="shared" si="49"/>
        <v>21.506219374293245</v>
      </c>
      <c r="H144" s="842">
        <f>$B$322/B144</f>
        <v>1.1797954435468863</v>
      </c>
    </row>
    <row r="145" spans="1:8" ht="16.5" hidden="1" thickBot="1">
      <c r="A145" s="973" t="s">
        <v>422</v>
      </c>
      <c r="B145" s="748">
        <f>+geral!C520</f>
        <v>809.13</v>
      </c>
      <c r="C145" s="748">
        <f t="shared" si="33"/>
        <v>118.00402520126008</v>
      </c>
      <c r="D145" s="750">
        <f t="shared" si="48"/>
        <v>0.40203998064252122</v>
      </c>
      <c r="E145" s="750">
        <f t="shared" si="47"/>
        <v>-0.89049485546300877</v>
      </c>
      <c r="F145" s="751">
        <f t="shared" ref="F145:F150" si="50">100*((B145/B133)-1)</f>
        <v>-0.89049485546300877</v>
      </c>
      <c r="G145" s="840">
        <f t="shared" si="49"/>
        <v>17.222745382107931</v>
      </c>
      <c r="H145" s="842">
        <f>$B$322/B145</f>
        <v>1.1750711875718365</v>
      </c>
    </row>
    <row r="146" spans="1:8" ht="16.5" hidden="1" thickBot="1">
      <c r="A146" s="973" t="s">
        <v>423</v>
      </c>
      <c r="B146" s="748">
        <f>geral!E509</f>
        <v>833.44</v>
      </c>
      <c r="C146" s="748">
        <f t="shared" si="33"/>
        <v>121.54941080387354</v>
      </c>
      <c r="D146" s="750">
        <f t="shared" si="48"/>
        <v>3.0044615821932297</v>
      </c>
      <c r="E146" s="750">
        <f t="shared" ref="E146:E151" si="51">100*((B146/$B$145)-1)</f>
        <v>3.0044615821932297</v>
      </c>
      <c r="F146" s="751">
        <f t="shared" si="50"/>
        <v>-2.2655846897133958</v>
      </c>
      <c r="G146" s="840">
        <f t="shared" si="49"/>
        <v>24.719790497568273</v>
      </c>
      <c r="H146" s="842">
        <f>$B$322/B146</f>
        <v>1.1407963980610483</v>
      </c>
    </row>
    <row r="147" spans="1:8" ht="16.5" hidden="1" thickBot="1">
      <c r="A147" s="973" t="s">
        <v>424</v>
      </c>
      <c r="B147" s="748">
        <f>geral!E510</f>
        <v>850.71</v>
      </c>
      <c r="C147" s="748">
        <f t="shared" si="33"/>
        <v>124.06807840392021</v>
      </c>
      <c r="D147" s="750">
        <f t="shared" ref="D147:D152" si="52">100*((B147/B146)-1)</f>
        <v>2.0721347667498557</v>
      </c>
      <c r="E147" s="750">
        <f t="shared" si="51"/>
        <v>5.1388528419413548</v>
      </c>
      <c r="F147" s="751">
        <f t="shared" si="50"/>
        <v>1.5530619553539404</v>
      </c>
      <c r="G147" s="840">
        <f t="shared" ref="G147:G152" si="53">100*(B147/B123-1)</f>
        <v>24.145932141554184</v>
      </c>
      <c r="H147" s="842">
        <f>$B$322/B147</f>
        <v>1.1176374440173502</v>
      </c>
    </row>
    <row r="148" spans="1:8" ht="16.5" hidden="1" thickBot="1">
      <c r="A148" s="973" t="s">
        <v>425</v>
      </c>
      <c r="B148" s="748">
        <f>geral!E511</f>
        <v>908.22</v>
      </c>
      <c r="C148" s="748">
        <f t="shared" si="33"/>
        <v>132.45537276863845</v>
      </c>
      <c r="D148" s="750">
        <f t="shared" si="52"/>
        <v>6.7602355679373671</v>
      </c>
      <c r="E148" s="750">
        <f t="shared" si="51"/>
        <v>12.246486967483605</v>
      </c>
      <c r="F148" s="751">
        <f t="shared" si="50"/>
        <v>10.857226555348065</v>
      </c>
      <c r="G148" s="840">
        <f t="shared" si="53"/>
        <v>14.761182714177412</v>
      </c>
      <c r="H148" s="842">
        <f>$B$322/B148</f>
        <v>1.0468667833784766</v>
      </c>
    </row>
    <row r="149" spans="1:8" ht="16.5" hidden="1" thickBot="1">
      <c r="A149" s="973" t="s">
        <v>426</v>
      </c>
      <c r="B149" s="748">
        <f>geral!E512</f>
        <v>876.38</v>
      </c>
      <c r="C149" s="748">
        <f t="shared" si="33"/>
        <v>127.81180725702953</v>
      </c>
      <c r="D149" s="750">
        <f t="shared" si="52"/>
        <v>-3.5057585166589633</v>
      </c>
      <c r="E149" s="750">
        <f t="shared" si="51"/>
        <v>8.3113961909705445</v>
      </c>
      <c r="F149" s="751">
        <f t="shared" si="50"/>
        <v>3.4772649451548565</v>
      </c>
      <c r="G149" s="840">
        <f t="shared" si="53"/>
        <v>15.161629434954005</v>
      </c>
      <c r="H149" s="842">
        <f>$B$322/B149</f>
        <v>1.0849007850475823</v>
      </c>
    </row>
    <row r="150" spans="1:8" ht="16.5" hidden="1" thickBot="1">
      <c r="A150" s="973" t="s">
        <v>427</v>
      </c>
      <c r="B150" s="748">
        <f>geral!E513</f>
        <v>824.6</v>
      </c>
      <c r="C150" s="748">
        <f t="shared" si="33"/>
        <v>120.26017967565046</v>
      </c>
      <c r="D150" s="750">
        <f t="shared" si="52"/>
        <v>-5.9083959013213398</v>
      </c>
      <c r="E150" s="750">
        <f t="shared" si="51"/>
        <v>1.9119300977593179</v>
      </c>
      <c r="F150" s="751">
        <f t="shared" si="50"/>
        <v>-0.68051791629026859</v>
      </c>
      <c r="G150" s="840">
        <f t="shared" si="53"/>
        <v>3.0750000000000055</v>
      </c>
      <c r="H150" s="842">
        <f>$B$322/B150</f>
        <v>1.1530261338830949</v>
      </c>
    </row>
    <row r="151" spans="1:8" ht="16.5" hidden="1" thickBot="1">
      <c r="A151" s="973" t="s">
        <v>428</v>
      </c>
      <c r="B151" s="748">
        <f>geral!E514</f>
        <v>815.8</v>
      </c>
      <c r="C151" s="748">
        <f t="shared" si="33"/>
        <v>118.97678217244196</v>
      </c>
      <c r="D151" s="750">
        <f t="shared" si="52"/>
        <v>-1.0671840892554019</v>
      </c>
      <c r="E151" s="750">
        <f t="shared" si="51"/>
        <v>0.82434219470295389</v>
      </c>
      <c r="F151" s="751">
        <f t="shared" ref="F151:F156" si="54">100*((B151/B139)-1)</f>
        <v>-1.8291215403128835</v>
      </c>
      <c r="G151" s="840">
        <f t="shared" si="53"/>
        <v>-3.6380817387195896</v>
      </c>
      <c r="H151" s="842">
        <f>$B$322/B151</f>
        <v>1.1654637778867372</v>
      </c>
    </row>
    <row r="152" spans="1:8" ht="16.5" hidden="1" thickBot="1">
      <c r="A152" s="973" t="s">
        <v>429</v>
      </c>
      <c r="B152" s="748">
        <f>geral!E515</f>
        <v>811.13</v>
      </c>
      <c r="C152" s="748">
        <f t="shared" si="33"/>
        <v>118.29570645198928</v>
      </c>
      <c r="D152" s="750">
        <f t="shared" si="52"/>
        <v>-0.57244422652610316</v>
      </c>
      <c r="E152" s="750">
        <f t="shared" ref="E152:E157" si="55">100*((B152/$B$145)-1)</f>
        <v>0.24717906887645746</v>
      </c>
      <c r="F152" s="751">
        <f t="shared" si="54"/>
        <v>-3.1729357414857162</v>
      </c>
      <c r="G152" s="840">
        <f t="shared" si="53"/>
        <v>0.93200935742372426</v>
      </c>
      <c r="H152" s="842">
        <f>$B$322/B152</f>
        <v>1.1721738192398261</v>
      </c>
    </row>
    <row r="153" spans="1:8" ht="16.5" hidden="1" thickBot="1">
      <c r="A153" s="973" t="s">
        <v>430</v>
      </c>
      <c r="B153" s="748">
        <f>geral!E516</f>
        <v>840.29</v>
      </c>
      <c r="C153" s="748">
        <f t="shared" si="33"/>
        <v>122.54841908762106</v>
      </c>
      <c r="D153" s="750">
        <f t="shared" ref="D153:D158" si="56">100*((B153/B152)-1)</f>
        <v>3.594984774327159</v>
      </c>
      <c r="E153" s="750">
        <f t="shared" si="55"/>
        <v>3.8510498930950599</v>
      </c>
      <c r="F153" s="751">
        <f t="shared" si="54"/>
        <v>2.9363484907879212</v>
      </c>
      <c r="G153" s="840">
        <f t="shared" ref="G153:G158" si="57">100*(B153/B129-1)</f>
        <v>5.5375533785480879</v>
      </c>
      <c r="H153" s="842">
        <f>$B$322/B153</f>
        <v>1.1314966856680433</v>
      </c>
    </row>
    <row r="154" spans="1:8" ht="16.5" hidden="1" thickBot="1">
      <c r="A154" s="973" t="s">
        <v>431</v>
      </c>
      <c r="B154" s="748">
        <f>geral!E517</f>
        <v>816.33</v>
      </c>
      <c r="C154" s="748">
        <f t="shared" si="33"/>
        <v>119.0540777038852</v>
      </c>
      <c r="D154" s="750">
        <f t="shared" si="56"/>
        <v>-2.8513965416701259</v>
      </c>
      <c r="E154" s="750">
        <f t="shared" si="55"/>
        <v>0.8898446479552069</v>
      </c>
      <c r="F154" s="751">
        <f t="shared" si="54"/>
        <v>3.6754340288802423</v>
      </c>
      <c r="G154" s="840">
        <f t="shared" si="57"/>
        <v>1.4830929885629063</v>
      </c>
      <c r="H154" s="842">
        <f>$B$322/B154</f>
        <v>1.1647071037448091</v>
      </c>
    </row>
    <row r="155" spans="1:8" ht="16.5" hidden="1" thickBot="1">
      <c r="A155" s="973" t="s">
        <v>432</v>
      </c>
      <c r="B155" s="748">
        <f>geral!E518</f>
        <v>783.33</v>
      </c>
      <c r="C155" s="748">
        <f t="shared" si="33"/>
        <v>114.24133706685335</v>
      </c>
      <c r="D155" s="750">
        <f t="shared" si="56"/>
        <v>-4.0424828194480122</v>
      </c>
      <c r="E155" s="750">
        <f t="shared" si="55"/>
        <v>-3.1886099885061636</v>
      </c>
      <c r="F155" s="751">
        <f t="shared" si="54"/>
        <v>-4.1880205976246643</v>
      </c>
      <c r="G155" s="840">
        <f t="shared" si="57"/>
        <v>-3.1011875309252757</v>
      </c>
      <c r="H155" s="842">
        <f>$B$322/B155</f>
        <v>1.2137736969093487</v>
      </c>
    </row>
    <row r="156" spans="1:8" ht="16.5" hidden="1" thickBot="1">
      <c r="A156" s="973" t="s">
        <v>433</v>
      </c>
      <c r="B156" s="748">
        <f>geral!E519</f>
        <v>805.22</v>
      </c>
      <c r="C156" s="748">
        <f t="shared" si="33"/>
        <v>117.43378835608448</v>
      </c>
      <c r="D156" s="750">
        <f t="shared" si="56"/>
        <v>2.7944799765105444</v>
      </c>
      <c r="E156" s="750">
        <f t="shared" si="55"/>
        <v>-0.48323507965345458</v>
      </c>
      <c r="F156" s="751">
        <f t="shared" si="54"/>
        <v>-8.3137897231622127E-2</v>
      </c>
      <c r="G156" s="840">
        <f t="shared" si="57"/>
        <v>-4.977578475336319</v>
      </c>
      <c r="H156" s="842">
        <f>$B$322/B156</f>
        <v>1.1807771168127965</v>
      </c>
    </row>
    <row r="157" spans="1:8" ht="16.5" hidden="1" thickBot="1">
      <c r="A157" s="973" t="s">
        <v>434</v>
      </c>
      <c r="B157" s="748">
        <f>geral!E520</f>
        <v>819.63</v>
      </c>
      <c r="C157" s="748">
        <f t="shared" si="33"/>
        <v>119.53535176758839</v>
      </c>
      <c r="D157" s="750">
        <f t="shared" si="56"/>
        <v>1.7895730359404949</v>
      </c>
      <c r="E157" s="750">
        <f t="shared" si="55"/>
        <v>1.2976901116013462</v>
      </c>
      <c r="F157" s="751">
        <f t="shared" ref="F157:F162" si="58">100*((B157/B145)-1)</f>
        <v>1.2976901116013462</v>
      </c>
      <c r="G157" s="840">
        <f t="shared" si="57"/>
        <v>0.39563939245468305</v>
      </c>
      <c r="H157" s="842">
        <f>$B$322/B157</f>
        <v>1.1600177519124484</v>
      </c>
    </row>
    <row r="158" spans="1:8" ht="16.5" hidden="1" thickBot="1">
      <c r="A158" s="973" t="s">
        <v>435</v>
      </c>
      <c r="B158" s="748">
        <f>geral!G509</f>
        <v>831.67</v>
      </c>
      <c r="C158" s="748">
        <f t="shared" ref="C158:C217" si="59">100*B158/$B$9</f>
        <v>121.29127289697819</v>
      </c>
      <c r="D158" s="750">
        <f t="shared" si="56"/>
        <v>1.4689555043129188</v>
      </c>
      <c r="E158" s="750">
        <f t="shared" ref="E158:E163" si="60">100*((B158/$B$157)-1)</f>
        <v>1.4689555043129188</v>
      </c>
      <c r="F158" s="751">
        <f t="shared" si="58"/>
        <v>-0.21237281627952687</v>
      </c>
      <c r="G158" s="840">
        <f t="shared" si="57"/>
        <v>-2.4731460199821753</v>
      </c>
      <c r="H158" s="842">
        <f>$B$322/B158</f>
        <v>1.1432242956942058</v>
      </c>
    </row>
    <row r="159" spans="1:8" ht="16.5" hidden="1" thickBot="1">
      <c r="A159" s="973" t="s">
        <v>436</v>
      </c>
      <c r="B159" s="748">
        <f>geral!G510</f>
        <v>846.16</v>
      </c>
      <c r="C159" s="748">
        <f t="shared" si="59"/>
        <v>123.40450355851127</v>
      </c>
      <c r="D159" s="750">
        <f t="shared" ref="D159:D169" si="61">100*((B159/B158)-1)</f>
        <v>1.7422775860617801</v>
      </c>
      <c r="E159" s="750">
        <f t="shared" si="60"/>
        <v>3.2368263728755675</v>
      </c>
      <c r="F159" s="751">
        <f t="shared" si="58"/>
        <v>-0.53484736279109102</v>
      </c>
      <c r="G159" s="840">
        <f t="shared" ref="G159:G169" si="62">100*(B159/B135-1)</f>
        <v>1.0099080816521333</v>
      </c>
      <c r="H159" s="842">
        <f>$B$322/B159</f>
        <v>1.1236472416564245</v>
      </c>
    </row>
    <row r="160" spans="1:8" ht="16.5" hidden="1" thickBot="1">
      <c r="A160" s="973" t="s">
        <v>437</v>
      </c>
      <c r="B160" s="748">
        <f>geral!G511</f>
        <v>842</v>
      </c>
      <c r="C160" s="748">
        <f t="shared" si="59"/>
        <v>122.79780655699453</v>
      </c>
      <c r="D160" s="750">
        <f t="shared" si="61"/>
        <v>-0.49163278812517364</v>
      </c>
      <c r="E160" s="750">
        <f t="shared" si="60"/>
        <v>2.7292802850066522</v>
      </c>
      <c r="F160" s="751">
        <f t="shared" si="58"/>
        <v>-7.2911849551870684</v>
      </c>
      <c r="G160" s="840">
        <f t="shared" si="62"/>
        <v>2.7744211310068767</v>
      </c>
      <c r="H160" s="842">
        <f>$B$322/B160</f>
        <v>1.1291987529691212</v>
      </c>
    </row>
    <row r="161" spans="1:10" ht="16.5" hidden="1" thickBot="1">
      <c r="A161" s="973" t="s">
        <v>438</v>
      </c>
      <c r="B161" s="748">
        <f>geral!G512</f>
        <v>806.43</v>
      </c>
      <c r="C161" s="748">
        <f t="shared" si="59"/>
        <v>117.61025551277565</v>
      </c>
      <c r="D161" s="750">
        <f t="shared" si="61"/>
        <v>-4.2244655581947788</v>
      </c>
      <c r="E161" s="750">
        <f t="shared" si="60"/>
        <v>-1.6104827788148368</v>
      </c>
      <c r="F161" s="751">
        <f t="shared" si="58"/>
        <v>-7.9816974371847866</v>
      </c>
      <c r="G161" s="840">
        <f t="shared" si="62"/>
        <v>-4.7819772590414811</v>
      </c>
      <c r="H161" s="842">
        <f>$B$322/B161</f>
        <v>1.1790054313455602</v>
      </c>
    </row>
    <row r="162" spans="1:10" ht="16.5" hidden="1" thickBot="1">
      <c r="A162" s="973" t="s">
        <v>439</v>
      </c>
      <c r="B162" s="748">
        <f>geral!G513</f>
        <v>827.33</v>
      </c>
      <c r="C162" s="748">
        <f t="shared" si="59"/>
        <v>120.65832458289582</v>
      </c>
      <c r="D162" s="750">
        <f t="shared" si="61"/>
        <v>2.5916694567414522</v>
      </c>
      <c r="E162" s="750">
        <f t="shared" si="60"/>
        <v>0.93944828764198629</v>
      </c>
      <c r="F162" s="751">
        <f t="shared" si="58"/>
        <v>0.33106960950763931</v>
      </c>
      <c r="G162" s="840">
        <f t="shared" si="62"/>
        <v>-0.35170129479071832</v>
      </c>
      <c r="H162" s="842">
        <f>$B$322/B162</f>
        <v>1.1492214110451695</v>
      </c>
    </row>
    <row r="163" spans="1:10" ht="16.5" hidden="1" thickBot="1">
      <c r="A163" s="973" t="s">
        <v>440</v>
      </c>
      <c r="B163" s="748">
        <f>geral!G514</f>
        <v>843.375</v>
      </c>
      <c r="C163" s="748">
        <f t="shared" si="59"/>
        <v>122.99833741687085</v>
      </c>
      <c r="D163" s="750">
        <f t="shared" si="61"/>
        <v>1.9393712303433785</v>
      </c>
      <c r="E163" s="750">
        <f t="shared" si="60"/>
        <v>2.8970389077998648</v>
      </c>
      <c r="F163" s="751">
        <f t="shared" ref="F163:F169" si="63">100*((B163/B151)-1)</f>
        <v>3.3801176759009621</v>
      </c>
      <c r="G163" s="840">
        <f t="shared" si="62"/>
        <v>1.4891696750902517</v>
      </c>
      <c r="H163" s="842">
        <f>$B$322/B163</f>
        <v>1.1273577590040018</v>
      </c>
      <c r="I163" s="822"/>
    </row>
    <row r="164" spans="1:10" ht="16.5" hidden="1" thickBot="1">
      <c r="A164" s="973" t="s">
        <v>441</v>
      </c>
      <c r="B164" s="748">
        <f>geral!G515</f>
        <v>760</v>
      </c>
      <c r="C164" s="748">
        <f t="shared" si="59"/>
        <v>110.8388752770972</v>
      </c>
      <c r="D164" s="750">
        <f t="shared" si="61"/>
        <v>-9.8858752037942814</v>
      </c>
      <c r="E164" s="750">
        <f t="shared" ref="E164:E169" si="64">100*((B164/$B$157)-1)</f>
        <v>-7.2752339470248728</v>
      </c>
      <c r="F164" s="751">
        <f t="shared" si="63"/>
        <v>-6.303551835094245</v>
      </c>
      <c r="G164" s="840">
        <f t="shared" si="62"/>
        <v>-9.2764799274211889</v>
      </c>
      <c r="H164" s="842">
        <f>$B$322/B164</f>
        <v>1.2510333552631581</v>
      </c>
      <c r="I164" s="823" t="s">
        <v>241</v>
      </c>
      <c r="J164" s="780"/>
    </row>
    <row r="165" spans="1:10" ht="16.5" hidden="1" thickBot="1">
      <c r="A165" s="973" t="s">
        <v>442</v>
      </c>
      <c r="B165" s="748">
        <f>geral!G516</f>
        <v>770</v>
      </c>
      <c r="C165" s="748">
        <f t="shared" si="59"/>
        <v>112.29728153074321</v>
      </c>
      <c r="D165" s="750">
        <f t="shared" si="61"/>
        <v>1.3157894736842035</v>
      </c>
      <c r="E165" s="750">
        <f t="shared" si="64"/>
        <v>-6.0551712358015148</v>
      </c>
      <c r="F165" s="751">
        <f t="shared" si="63"/>
        <v>-8.3649692368110919</v>
      </c>
      <c r="G165" s="840">
        <f t="shared" si="62"/>
        <v>-5.6742453939631616</v>
      </c>
      <c r="H165" s="842">
        <f>$B$322/B165</f>
        <v>1.234786168831169</v>
      </c>
      <c r="I165" s="822"/>
    </row>
    <row r="166" spans="1:10" ht="16.5" hidden="1" thickBot="1">
      <c r="A166" s="973" t="s">
        <v>443</v>
      </c>
      <c r="B166" s="748">
        <f>geral!G517</f>
        <v>770</v>
      </c>
      <c r="C166" s="748">
        <f t="shared" si="59"/>
        <v>112.29728153074321</v>
      </c>
      <c r="D166" s="750">
        <f t="shared" si="61"/>
        <v>0</v>
      </c>
      <c r="E166" s="750">
        <f t="shared" si="64"/>
        <v>-6.0551712358015148</v>
      </c>
      <c r="F166" s="751">
        <f t="shared" si="63"/>
        <v>-5.6754008795462667</v>
      </c>
      <c r="G166" s="840">
        <f t="shared" si="62"/>
        <v>-2.2085624658682468</v>
      </c>
      <c r="H166" s="842">
        <f>$B$322/B166</f>
        <v>1.234786168831169</v>
      </c>
    </row>
    <row r="167" spans="1:10" ht="16.5" hidden="1" thickBot="1">
      <c r="A167" s="973" t="s">
        <v>444</v>
      </c>
      <c r="B167" s="748">
        <f>geral!G518</f>
        <v>786.66666666666663</v>
      </c>
      <c r="C167" s="748">
        <f t="shared" si="59"/>
        <v>114.72795862015323</v>
      </c>
      <c r="D167" s="750">
        <f t="shared" si="61"/>
        <v>2.1645021645021689</v>
      </c>
      <c r="E167" s="750">
        <f t="shared" si="64"/>
        <v>-4.0217333837625935</v>
      </c>
      <c r="F167" s="751">
        <f t="shared" si="63"/>
        <v>0.42595925940109858</v>
      </c>
      <c r="G167" s="840">
        <f t="shared" si="62"/>
        <v>-3.7799005997447788</v>
      </c>
      <c r="H167" s="842">
        <f>$B$322/B167</f>
        <v>1.2086254449152545</v>
      </c>
    </row>
    <row r="168" spans="1:10" ht="16.5" hidden="1" thickBot="1">
      <c r="A168" s="973" t="s">
        <v>445</v>
      </c>
      <c r="B168" s="748">
        <f>geral!G519</f>
        <v>786.66666666666663</v>
      </c>
      <c r="C168" s="748">
        <f t="shared" si="59"/>
        <v>114.72795862015323</v>
      </c>
      <c r="D168" s="750">
        <f t="shared" si="61"/>
        <v>0</v>
      </c>
      <c r="E168" s="750">
        <f t="shared" si="64"/>
        <v>-4.0217333837625935</v>
      </c>
      <c r="F168" s="751">
        <f t="shared" si="63"/>
        <v>-2.3041322040353474</v>
      </c>
      <c r="G168" s="840">
        <f t="shared" si="62"/>
        <v>-2.3853544942030958</v>
      </c>
      <c r="H168" s="842">
        <f>$B$322/B168</f>
        <v>1.2086254449152545</v>
      </c>
    </row>
    <row r="169" spans="1:10" ht="16.5" hidden="1" thickBot="1">
      <c r="A169" s="973" t="s">
        <v>446</v>
      </c>
      <c r="B169" s="748">
        <f>geral!G520</f>
        <v>786.66666666666663</v>
      </c>
      <c r="C169" s="748">
        <f t="shared" si="59"/>
        <v>114.72795862015323</v>
      </c>
      <c r="D169" s="750">
        <f t="shared" si="61"/>
        <v>0</v>
      </c>
      <c r="E169" s="750">
        <f t="shared" si="64"/>
        <v>-4.0217333837625935</v>
      </c>
      <c r="F169" s="751">
        <f t="shared" si="63"/>
        <v>-4.0217333837625935</v>
      </c>
      <c r="G169" s="840">
        <f t="shared" si="62"/>
        <v>-2.7762329085973092</v>
      </c>
      <c r="H169" s="842">
        <f>$B$322/B169</f>
        <v>1.2086254449152545</v>
      </c>
    </row>
    <row r="170" spans="1:10" ht="16.5" hidden="1" thickBot="1">
      <c r="A170" s="973" t="s">
        <v>447</v>
      </c>
      <c r="B170" s="748">
        <f>geral!I509</f>
        <v>786.66666666666663</v>
      </c>
      <c r="C170" s="748">
        <f t="shared" si="59"/>
        <v>114.72795862015323</v>
      </c>
      <c r="D170" s="750">
        <f t="shared" ref="D170:D175" si="65">100*((B170/B169)-1)</f>
        <v>0</v>
      </c>
      <c r="E170" s="750">
        <f t="shared" ref="E170:E175" si="66">100*((B170/$B$169)-1)</f>
        <v>0</v>
      </c>
      <c r="F170" s="751">
        <f t="shared" ref="F170:F175" si="67">100*((B170/B158)-1)</f>
        <v>-5.4112007567103992</v>
      </c>
      <c r="G170" s="840">
        <f t="shared" ref="G170:G175" si="68">100*(B170/B146-1)</f>
        <v>-5.612081653548362</v>
      </c>
      <c r="H170" s="842">
        <f>$B$322/B170</f>
        <v>1.2086254449152545</v>
      </c>
    </row>
    <row r="171" spans="1:10" ht="16.5" hidden="1" thickBot="1">
      <c r="A171" s="973" t="s">
        <v>448</v>
      </c>
      <c r="B171" s="748">
        <f>geral!I510</f>
        <v>786.66666666666663</v>
      </c>
      <c r="C171" s="748">
        <f t="shared" si="59"/>
        <v>114.72795862015323</v>
      </c>
      <c r="D171" s="750">
        <f t="shared" si="65"/>
        <v>0</v>
      </c>
      <c r="E171" s="750">
        <f t="shared" si="66"/>
        <v>0</v>
      </c>
      <c r="F171" s="751">
        <f t="shared" si="67"/>
        <v>-7.0309791686363532</v>
      </c>
      <c r="G171" s="840">
        <f t="shared" si="68"/>
        <v>-7.5282215247655992</v>
      </c>
      <c r="H171" s="842">
        <f>$B$322/B171</f>
        <v>1.2086254449152545</v>
      </c>
    </row>
    <row r="172" spans="1:10" ht="16.5" hidden="1" thickBot="1">
      <c r="A172" s="973" t="s">
        <v>449</v>
      </c>
      <c r="B172" s="748">
        <f>geral!I511</f>
        <v>793.33333333333337</v>
      </c>
      <c r="C172" s="748">
        <f t="shared" si="59"/>
        <v>115.70022945591727</v>
      </c>
      <c r="D172" s="750">
        <f t="shared" si="65"/>
        <v>0.84745762711866401</v>
      </c>
      <c r="E172" s="750">
        <f t="shared" si="66"/>
        <v>0.84745762711866401</v>
      </c>
      <c r="F172" s="751">
        <f t="shared" si="67"/>
        <v>-5.7798891528107692</v>
      </c>
      <c r="G172" s="840">
        <f t="shared" si="68"/>
        <v>-12.649651699661613</v>
      </c>
      <c r="H172" s="842">
        <f>$B$322/B172</f>
        <v>1.1984689285714287</v>
      </c>
    </row>
    <row r="173" spans="1:10" ht="16.5" hidden="1" thickBot="1">
      <c r="A173" s="973" t="s">
        <v>450</v>
      </c>
      <c r="B173" s="748">
        <f>geral!I512</f>
        <v>793.33333333333337</v>
      </c>
      <c r="C173" s="748">
        <f t="shared" si="59"/>
        <v>115.70022945591727</v>
      </c>
      <c r="D173" s="750">
        <f t="shared" si="65"/>
        <v>0</v>
      </c>
      <c r="E173" s="750">
        <f t="shared" si="66"/>
        <v>0.84745762711866401</v>
      </c>
      <c r="F173" s="751">
        <f t="shared" si="67"/>
        <v>-1.6240301906757626</v>
      </c>
      <c r="G173" s="840">
        <f t="shared" si="68"/>
        <v>-9.4761024517522774</v>
      </c>
      <c r="H173" s="842">
        <f>$B$322/B173</f>
        <v>1.1984689285714287</v>
      </c>
    </row>
    <row r="174" spans="1:10" ht="16.5" hidden="1" thickBot="1">
      <c r="A174" s="973" t="s">
        <v>451</v>
      </c>
      <c r="B174" s="748">
        <f>geral!I513</f>
        <v>793.33333333333337</v>
      </c>
      <c r="C174" s="748">
        <f t="shared" si="59"/>
        <v>115.70022945591727</v>
      </c>
      <c r="D174" s="750">
        <f t="shared" si="65"/>
        <v>0</v>
      </c>
      <c r="E174" s="750">
        <f t="shared" si="66"/>
        <v>0.84745762711866401</v>
      </c>
      <c r="F174" s="751">
        <f t="shared" si="67"/>
        <v>-4.1092026962235906</v>
      </c>
      <c r="G174" s="840">
        <f t="shared" si="68"/>
        <v>-3.7917374080362221</v>
      </c>
      <c r="H174" s="842">
        <f>$B$322/B174</f>
        <v>1.1984689285714287</v>
      </c>
    </row>
    <row r="175" spans="1:10" ht="16.5" hidden="1" thickBot="1">
      <c r="A175" s="973" t="s">
        <v>452</v>
      </c>
      <c r="B175" s="748">
        <f>geral!I514</f>
        <v>800</v>
      </c>
      <c r="C175" s="748">
        <f t="shared" si="59"/>
        <v>116.67250029168126</v>
      </c>
      <c r="D175" s="750">
        <f t="shared" si="65"/>
        <v>0.84033613445377853</v>
      </c>
      <c r="E175" s="750">
        <f t="shared" si="66"/>
        <v>1.6949152542372836</v>
      </c>
      <c r="F175" s="751">
        <f t="shared" si="67"/>
        <v>-5.1430265303097684</v>
      </c>
      <c r="G175" s="840">
        <f t="shared" si="68"/>
        <v>-1.9367492032360767</v>
      </c>
      <c r="H175" s="842">
        <f>$B$322/B175</f>
        <v>1.1884816875000002</v>
      </c>
    </row>
    <row r="176" spans="1:10" ht="16.5" hidden="1" thickBot="1">
      <c r="A176" s="973" t="s">
        <v>453</v>
      </c>
      <c r="B176" s="755">
        <f>geral!I515</f>
        <v>810</v>
      </c>
      <c r="C176" s="755">
        <f t="shared" si="59"/>
        <v>118.13090654532728</v>
      </c>
      <c r="D176" s="756">
        <f t="shared" ref="D176:D181" si="69">100*((B176/B175)-1)</f>
        <v>1.2499999999999956</v>
      </c>
      <c r="E176" s="756">
        <f t="shared" ref="E176:E181" si="70">100*((B176/$B$169)-1)</f>
        <v>2.9661016949152685</v>
      </c>
      <c r="F176" s="757">
        <f t="shared" ref="F176:F181" si="71">100*((B176/B164)-1)</f>
        <v>6.578947368421062</v>
      </c>
      <c r="G176" s="841">
        <f t="shared" ref="G176:G181" si="72">100*(B176/B152-1)</f>
        <v>-0.13931182424519184</v>
      </c>
      <c r="H176" s="842">
        <f>$B$322/B176</f>
        <v>1.1738090740740743</v>
      </c>
    </row>
    <row r="177" spans="1:8" ht="16.5" hidden="1" thickBot="1">
      <c r="A177" s="973" t="s">
        <v>454</v>
      </c>
      <c r="B177" s="748">
        <f>geral!I516</f>
        <v>810</v>
      </c>
      <c r="C177" s="748">
        <f t="shared" si="59"/>
        <v>118.13090654532728</v>
      </c>
      <c r="D177" s="750">
        <f t="shared" si="69"/>
        <v>0</v>
      </c>
      <c r="E177" s="750">
        <f t="shared" si="70"/>
        <v>2.9661016949152685</v>
      </c>
      <c r="F177" s="751">
        <f t="shared" si="71"/>
        <v>5.1948051948051965</v>
      </c>
      <c r="G177" s="840">
        <f t="shared" si="72"/>
        <v>-3.6047078984636216</v>
      </c>
      <c r="H177" s="842">
        <f>$B$322/B177</f>
        <v>1.1738090740740743</v>
      </c>
    </row>
    <row r="178" spans="1:8" ht="16.5" hidden="1" thickBot="1">
      <c r="A178" s="973" t="s">
        <v>455</v>
      </c>
      <c r="B178" s="748">
        <f>geral!I517</f>
        <v>810</v>
      </c>
      <c r="C178" s="748">
        <f t="shared" si="59"/>
        <v>118.13090654532728</v>
      </c>
      <c r="D178" s="750">
        <f t="shared" si="69"/>
        <v>0</v>
      </c>
      <c r="E178" s="750">
        <f t="shared" si="70"/>
        <v>2.9661016949152685</v>
      </c>
      <c r="F178" s="751">
        <f t="shared" si="71"/>
        <v>5.1948051948051965</v>
      </c>
      <c r="G178" s="840">
        <f t="shared" si="72"/>
        <v>-0.77542170445775715</v>
      </c>
      <c r="H178" s="842">
        <f>$B$322/B178</f>
        <v>1.1738090740740743</v>
      </c>
    </row>
    <row r="179" spans="1:8" ht="16.5" hidden="1" thickBot="1">
      <c r="A179" s="973" t="s">
        <v>456</v>
      </c>
      <c r="B179" s="748">
        <f>geral!I518</f>
        <v>810</v>
      </c>
      <c r="C179" s="748">
        <f t="shared" si="59"/>
        <v>118.13090654532728</v>
      </c>
      <c r="D179" s="750">
        <f t="shared" si="69"/>
        <v>0</v>
      </c>
      <c r="E179" s="750">
        <f t="shared" si="70"/>
        <v>2.9661016949152685</v>
      </c>
      <c r="F179" s="751">
        <f t="shared" si="71"/>
        <v>2.9661016949152685</v>
      </c>
      <c r="G179" s="840">
        <f t="shared" si="72"/>
        <v>3.4046953391291046</v>
      </c>
      <c r="H179" s="842">
        <f>$B$322/B179</f>
        <v>1.1738090740740743</v>
      </c>
    </row>
    <row r="180" spans="1:8" ht="16.5" hidden="1" thickBot="1">
      <c r="A180" s="973" t="s">
        <v>457</v>
      </c>
      <c r="B180" s="748">
        <f>geral!I519</f>
        <v>810</v>
      </c>
      <c r="C180" s="748">
        <f t="shared" si="59"/>
        <v>118.13090654532728</v>
      </c>
      <c r="D180" s="750">
        <f t="shared" si="69"/>
        <v>0</v>
      </c>
      <c r="E180" s="750">
        <f t="shared" si="70"/>
        <v>2.9661016949152685</v>
      </c>
      <c r="F180" s="751">
        <f t="shared" si="71"/>
        <v>2.9661016949152685</v>
      </c>
      <c r="G180" s="840">
        <f t="shared" si="72"/>
        <v>0.59362658652293288</v>
      </c>
      <c r="H180" s="842">
        <f>$B$322/B180</f>
        <v>1.1738090740740743</v>
      </c>
    </row>
    <row r="181" spans="1:8" ht="16.5" hidden="1" thickBot="1">
      <c r="A181" s="973" t="s">
        <v>458</v>
      </c>
      <c r="B181" s="748">
        <f>geral!I520</f>
        <v>810</v>
      </c>
      <c r="C181" s="748">
        <f t="shared" si="59"/>
        <v>118.13090654532728</v>
      </c>
      <c r="D181" s="750">
        <f t="shared" si="69"/>
        <v>0</v>
      </c>
      <c r="E181" s="750">
        <f t="shared" si="70"/>
        <v>2.9661016949152685</v>
      </c>
      <c r="F181" s="751">
        <f t="shared" si="71"/>
        <v>2.9661016949152685</v>
      </c>
      <c r="G181" s="840">
        <f t="shared" si="72"/>
        <v>-1.1749203909080963</v>
      </c>
      <c r="H181" s="842">
        <f>$B$322/B181</f>
        <v>1.1738090740740743</v>
      </c>
    </row>
    <row r="182" spans="1:8" ht="16.5" hidden="1" thickBot="1">
      <c r="A182" s="973" t="s">
        <v>459</v>
      </c>
      <c r="B182" s="748">
        <f>geral!K509</f>
        <v>810</v>
      </c>
      <c r="C182" s="748">
        <f t="shared" si="59"/>
        <v>118.13090654532728</v>
      </c>
      <c r="D182" s="750">
        <f t="shared" ref="D182:D187" si="73">100*((B182/B181)-1)</f>
        <v>0</v>
      </c>
      <c r="E182" s="750">
        <f t="shared" ref="E182:E187" si="74">100*((B182/$B$181)-1)</f>
        <v>0</v>
      </c>
      <c r="F182" s="751">
        <f t="shared" ref="F182:F187" si="75">100*((B182/B170)-1)</f>
        <v>2.9661016949152685</v>
      </c>
      <c r="G182" s="840">
        <f t="shared" ref="G182:G187" si="76">100*(B182/B158-1)</f>
        <v>-2.6056007791551927</v>
      </c>
      <c r="H182" s="842">
        <f>$B$322/B182</f>
        <v>1.1738090740740743</v>
      </c>
    </row>
    <row r="183" spans="1:8" ht="16.5" hidden="1" thickBot="1">
      <c r="A183" s="973" t="s">
        <v>460</v>
      </c>
      <c r="B183" s="748">
        <f>geral!K510</f>
        <v>810</v>
      </c>
      <c r="C183" s="748">
        <f t="shared" si="59"/>
        <v>118.13090654532728</v>
      </c>
      <c r="D183" s="750">
        <f t="shared" si="73"/>
        <v>0</v>
      </c>
      <c r="E183" s="750">
        <f t="shared" si="74"/>
        <v>0</v>
      </c>
      <c r="F183" s="751">
        <f t="shared" si="75"/>
        <v>2.9661016949152685</v>
      </c>
      <c r="G183" s="840">
        <f t="shared" si="76"/>
        <v>-4.2734234660111508</v>
      </c>
      <c r="H183" s="842">
        <f>$B$322/B183</f>
        <v>1.1738090740740743</v>
      </c>
    </row>
    <row r="184" spans="1:8" ht="16.5" hidden="1" thickBot="1">
      <c r="A184" s="973" t="s">
        <v>461</v>
      </c>
      <c r="B184" s="748">
        <f>geral!K511</f>
        <v>810</v>
      </c>
      <c r="C184" s="748">
        <f t="shared" si="59"/>
        <v>118.13090654532728</v>
      </c>
      <c r="D184" s="750">
        <f t="shared" si="73"/>
        <v>0</v>
      </c>
      <c r="E184" s="750">
        <f t="shared" si="74"/>
        <v>0</v>
      </c>
      <c r="F184" s="751">
        <f t="shared" si="75"/>
        <v>2.1008403361344463</v>
      </c>
      <c r="G184" s="840">
        <f t="shared" si="76"/>
        <v>-3.8004750593824244</v>
      </c>
      <c r="H184" s="842">
        <f>$B$322/B184</f>
        <v>1.1738090740740743</v>
      </c>
    </row>
    <row r="185" spans="1:8" ht="16.5" hidden="1" thickBot="1">
      <c r="A185" s="973" t="s">
        <v>462</v>
      </c>
      <c r="B185" s="748">
        <f>geral!K512</f>
        <v>810</v>
      </c>
      <c r="C185" s="748">
        <f t="shared" si="59"/>
        <v>118.13090654532728</v>
      </c>
      <c r="D185" s="750">
        <f t="shared" si="73"/>
        <v>0</v>
      </c>
      <c r="E185" s="750">
        <f t="shared" si="74"/>
        <v>0</v>
      </c>
      <c r="F185" s="751">
        <f t="shared" si="75"/>
        <v>2.1008403361344463</v>
      </c>
      <c r="G185" s="840">
        <f t="shared" si="76"/>
        <v>0.44269186414196415</v>
      </c>
      <c r="H185" s="842">
        <f>$B$322/B185</f>
        <v>1.1738090740740743</v>
      </c>
    </row>
    <row r="186" spans="1:8" ht="16.5" hidden="1" thickBot="1">
      <c r="A186" s="973" t="s">
        <v>463</v>
      </c>
      <c r="B186" s="748">
        <f>geral!K513</f>
        <v>810</v>
      </c>
      <c r="C186" s="748">
        <f t="shared" si="59"/>
        <v>118.13090654532728</v>
      </c>
      <c r="D186" s="750">
        <f t="shared" si="73"/>
        <v>0</v>
      </c>
      <c r="E186" s="750">
        <f t="shared" si="74"/>
        <v>0</v>
      </c>
      <c r="F186" s="751">
        <f t="shared" si="75"/>
        <v>2.1008403361344463</v>
      </c>
      <c r="G186" s="840">
        <f t="shared" si="76"/>
        <v>-2.0946901478249402</v>
      </c>
      <c r="H186" s="842">
        <f>$B$322/B186</f>
        <v>1.1738090740740743</v>
      </c>
    </row>
    <row r="187" spans="1:8" ht="16.5" hidden="1" thickBot="1">
      <c r="A187" s="973" t="s">
        <v>464</v>
      </c>
      <c r="B187" s="748">
        <f>geral!K514</f>
        <v>810</v>
      </c>
      <c r="C187" s="748">
        <f t="shared" si="59"/>
        <v>118.13090654532728</v>
      </c>
      <c r="D187" s="750">
        <f t="shared" si="73"/>
        <v>0</v>
      </c>
      <c r="E187" s="750">
        <f t="shared" si="74"/>
        <v>0</v>
      </c>
      <c r="F187" s="751">
        <f t="shared" si="75"/>
        <v>1.2499999999999956</v>
      </c>
      <c r="G187" s="840">
        <f t="shared" si="76"/>
        <v>-3.9573143619386353</v>
      </c>
      <c r="H187" s="842">
        <f>$B$322/B187</f>
        <v>1.1738090740740743</v>
      </c>
    </row>
    <row r="188" spans="1:8" ht="16.5" hidden="1" thickBot="1">
      <c r="A188" s="973" t="s">
        <v>465</v>
      </c>
      <c r="B188" s="748">
        <f>geral!K515</f>
        <v>810</v>
      </c>
      <c r="C188" s="748">
        <f t="shared" si="59"/>
        <v>118.13090654532728</v>
      </c>
      <c r="D188" s="750">
        <f t="shared" ref="D188:D193" si="77">100*((B188/B187)-1)</f>
        <v>0</v>
      </c>
      <c r="E188" s="750">
        <f t="shared" ref="E188:E193" si="78">100*((B188/$B$181)-1)</f>
        <v>0</v>
      </c>
      <c r="F188" s="751">
        <f t="shared" ref="F188:F193" si="79">100*((B188/B176)-1)</f>
        <v>0</v>
      </c>
      <c r="G188" s="840">
        <f t="shared" ref="G188:G193" si="80">100*(B188/B164-1)</f>
        <v>6.578947368421062</v>
      </c>
      <c r="H188" s="842">
        <f>$B$322/B188</f>
        <v>1.1738090740740743</v>
      </c>
    </row>
    <row r="189" spans="1:8" ht="16.5" hidden="1" thickBot="1">
      <c r="A189" s="973" t="s">
        <v>466</v>
      </c>
      <c r="B189" s="748">
        <f>geral!K516</f>
        <v>810</v>
      </c>
      <c r="C189" s="748">
        <f t="shared" si="59"/>
        <v>118.13090654532728</v>
      </c>
      <c r="D189" s="750">
        <f t="shared" si="77"/>
        <v>0</v>
      </c>
      <c r="E189" s="750">
        <f t="shared" si="78"/>
        <v>0</v>
      </c>
      <c r="F189" s="751">
        <f t="shared" si="79"/>
        <v>0</v>
      </c>
      <c r="G189" s="840">
        <f t="shared" si="80"/>
        <v>5.1948051948051965</v>
      </c>
      <c r="H189" s="842">
        <f>$B$322/B189</f>
        <v>1.1738090740740743</v>
      </c>
    </row>
    <row r="190" spans="1:8" ht="16.5" hidden="1" thickBot="1">
      <c r="A190" s="973" t="s">
        <v>467</v>
      </c>
      <c r="B190" s="748">
        <f>geral!K517</f>
        <v>810</v>
      </c>
      <c r="C190" s="748">
        <f t="shared" si="59"/>
        <v>118.13090654532728</v>
      </c>
      <c r="D190" s="750">
        <f t="shared" si="77"/>
        <v>0</v>
      </c>
      <c r="E190" s="750">
        <f t="shared" si="78"/>
        <v>0</v>
      </c>
      <c r="F190" s="751">
        <f t="shared" si="79"/>
        <v>0</v>
      </c>
      <c r="G190" s="840">
        <f t="shared" si="80"/>
        <v>5.1948051948051965</v>
      </c>
      <c r="H190" s="842">
        <f>$B$322/B190</f>
        <v>1.1738090740740743</v>
      </c>
    </row>
    <row r="191" spans="1:8" ht="16.5" hidden="1" thickBot="1">
      <c r="A191" s="973" t="s">
        <v>468</v>
      </c>
      <c r="B191" s="748">
        <f>geral!K518</f>
        <v>810</v>
      </c>
      <c r="C191" s="748">
        <f t="shared" si="59"/>
        <v>118.13090654532728</v>
      </c>
      <c r="D191" s="750">
        <f t="shared" si="77"/>
        <v>0</v>
      </c>
      <c r="E191" s="750">
        <f t="shared" si="78"/>
        <v>0</v>
      </c>
      <c r="F191" s="751">
        <f t="shared" si="79"/>
        <v>0</v>
      </c>
      <c r="G191" s="840">
        <f t="shared" si="80"/>
        <v>2.9661016949152685</v>
      </c>
      <c r="H191" s="842">
        <f>$B$322/B191</f>
        <v>1.1738090740740743</v>
      </c>
    </row>
    <row r="192" spans="1:8" ht="16.5" hidden="1" thickBot="1">
      <c r="A192" s="973" t="s">
        <v>469</v>
      </c>
      <c r="B192" s="748">
        <f>geral!K519</f>
        <v>810</v>
      </c>
      <c r="C192" s="748">
        <f t="shared" si="59"/>
        <v>118.13090654532728</v>
      </c>
      <c r="D192" s="750">
        <f t="shared" si="77"/>
        <v>0</v>
      </c>
      <c r="E192" s="750">
        <f t="shared" si="78"/>
        <v>0</v>
      </c>
      <c r="F192" s="751">
        <f t="shared" si="79"/>
        <v>0</v>
      </c>
      <c r="G192" s="840">
        <f t="shared" si="80"/>
        <v>2.9661016949152685</v>
      </c>
      <c r="H192" s="842">
        <f>$B$322/B192</f>
        <v>1.1738090740740743</v>
      </c>
    </row>
    <row r="193" spans="1:8" ht="16.5" hidden="1" thickBot="1">
      <c r="A193" s="973" t="s">
        <v>470</v>
      </c>
      <c r="B193" s="748">
        <f>geral!K520</f>
        <v>810</v>
      </c>
      <c r="C193" s="748">
        <f t="shared" si="59"/>
        <v>118.13090654532728</v>
      </c>
      <c r="D193" s="750">
        <f t="shared" si="77"/>
        <v>0</v>
      </c>
      <c r="E193" s="750">
        <f t="shared" si="78"/>
        <v>0</v>
      </c>
      <c r="F193" s="751">
        <f t="shared" si="79"/>
        <v>0</v>
      </c>
      <c r="G193" s="840">
        <f t="shared" si="80"/>
        <v>2.9661016949152685</v>
      </c>
      <c r="H193" s="842">
        <f>$B$322/B193</f>
        <v>1.1738090740740743</v>
      </c>
    </row>
    <row r="194" spans="1:8" ht="16.5" hidden="1" thickBot="1">
      <c r="A194" s="973" t="s">
        <v>471</v>
      </c>
      <c r="B194" s="748">
        <f>geral!M509</f>
        <v>770</v>
      </c>
      <c r="C194" s="748">
        <f t="shared" si="59"/>
        <v>112.29728153074321</v>
      </c>
      <c r="D194" s="750">
        <f t="shared" ref="D194:D199" si="81">100*((B194/B193)-1)</f>
        <v>-4.9382716049382713</v>
      </c>
      <c r="E194" s="750">
        <f t="shared" ref="E194:E199" si="82">100*((B194/$B$193)-1)</f>
        <v>-4.9382716049382713</v>
      </c>
      <c r="F194" s="751">
        <f t="shared" ref="F194:F199" si="83">100*((B194/B182)-1)</f>
        <v>-4.9382716049382713</v>
      </c>
      <c r="G194" s="840">
        <f t="shared" ref="G194:G199" si="84">100*(B194/B170-1)</f>
        <v>-2.1186440677966045</v>
      </c>
      <c r="H194" s="842">
        <f>$B$322/B194</f>
        <v>1.234786168831169</v>
      </c>
    </row>
    <row r="195" spans="1:8" ht="16.5" hidden="1" thickBot="1">
      <c r="A195" s="973" t="s">
        <v>472</v>
      </c>
      <c r="B195" s="748">
        <f>geral!M510</f>
        <v>770</v>
      </c>
      <c r="C195" s="748">
        <f t="shared" si="59"/>
        <v>112.29728153074321</v>
      </c>
      <c r="D195" s="750">
        <f t="shared" si="81"/>
        <v>0</v>
      </c>
      <c r="E195" s="750">
        <f t="shared" si="82"/>
        <v>-4.9382716049382713</v>
      </c>
      <c r="F195" s="751">
        <f t="shared" si="83"/>
        <v>-4.9382716049382713</v>
      </c>
      <c r="G195" s="840">
        <f t="shared" si="84"/>
        <v>-2.1186440677966045</v>
      </c>
      <c r="H195" s="842">
        <f>$B$322/B195</f>
        <v>1.234786168831169</v>
      </c>
    </row>
    <row r="196" spans="1:8" ht="16.5" hidden="1" thickBot="1">
      <c r="A196" s="973" t="s">
        <v>473</v>
      </c>
      <c r="B196" s="748">
        <f>geral!M511</f>
        <v>770</v>
      </c>
      <c r="C196" s="748">
        <f t="shared" si="59"/>
        <v>112.29728153074321</v>
      </c>
      <c r="D196" s="750">
        <f t="shared" si="81"/>
        <v>0</v>
      </c>
      <c r="E196" s="750">
        <f t="shared" si="82"/>
        <v>-4.9382716049382713</v>
      </c>
      <c r="F196" s="751">
        <f t="shared" si="83"/>
        <v>-4.9382716049382713</v>
      </c>
      <c r="G196" s="840">
        <f t="shared" si="84"/>
        <v>-2.9411764705882359</v>
      </c>
      <c r="H196" s="842">
        <f>$B$322/B196</f>
        <v>1.234786168831169</v>
      </c>
    </row>
    <row r="197" spans="1:8" ht="16.5" hidden="1" thickBot="1">
      <c r="A197" s="973" t="s">
        <v>474</v>
      </c>
      <c r="B197" s="748">
        <f>geral!M512</f>
        <v>770</v>
      </c>
      <c r="C197" s="748">
        <f t="shared" si="59"/>
        <v>112.29728153074321</v>
      </c>
      <c r="D197" s="750">
        <f t="shared" si="81"/>
        <v>0</v>
      </c>
      <c r="E197" s="750">
        <f t="shared" si="82"/>
        <v>-4.9382716049382713</v>
      </c>
      <c r="F197" s="751">
        <f t="shared" si="83"/>
        <v>-4.9382716049382713</v>
      </c>
      <c r="G197" s="840">
        <f t="shared" si="84"/>
        <v>-2.9411764705882359</v>
      </c>
      <c r="H197" s="842">
        <f>$B$322/B197</f>
        <v>1.234786168831169</v>
      </c>
    </row>
    <row r="198" spans="1:8" ht="16.5" hidden="1" thickBot="1">
      <c r="A198" s="973" t="s">
        <v>475</v>
      </c>
      <c r="B198" s="748">
        <f>geral!M513</f>
        <v>743</v>
      </c>
      <c r="C198" s="748">
        <f t="shared" si="59"/>
        <v>108.35958464589896</v>
      </c>
      <c r="D198" s="750">
        <f t="shared" si="81"/>
        <v>-3.5064935064935021</v>
      </c>
      <c r="E198" s="750">
        <f t="shared" si="82"/>
        <v>-8.2716049382716044</v>
      </c>
      <c r="F198" s="751">
        <f t="shared" si="83"/>
        <v>-8.2716049382716044</v>
      </c>
      <c r="G198" s="840">
        <f t="shared" si="84"/>
        <v>-6.3445378151260501</v>
      </c>
      <c r="H198" s="842">
        <f>$B$322/B198</f>
        <v>1.2796572678331091</v>
      </c>
    </row>
    <row r="199" spans="1:8" ht="16.5" hidden="1" thickBot="1">
      <c r="A199" s="973" t="s">
        <v>476</v>
      </c>
      <c r="B199" s="748">
        <f>geral!M514</f>
        <v>743</v>
      </c>
      <c r="C199" s="748">
        <f t="shared" si="59"/>
        <v>108.35958464589896</v>
      </c>
      <c r="D199" s="750">
        <f t="shared" si="81"/>
        <v>0</v>
      </c>
      <c r="E199" s="750">
        <f t="shared" si="82"/>
        <v>-8.2716049382716044</v>
      </c>
      <c r="F199" s="751">
        <f t="shared" si="83"/>
        <v>-8.2716049382716044</v>
      </c>
      <c r="G199" s="840">
        <f t="shared" si="84"/>
        <v>-7.1250000000000036</v>
      </c>
      <c r="H199" s="842">
        <f>$B$322/B199</f>
        <v>1.2796572678331091</v>
      </c>
    </row>
    <row r="200" spans="1:8" ht="16.5" hidden="1" thickBot="1">
      <c r="A200" s="973" t="s">
        <v>477</v>
      </c>
      <c r="B200" s="748">
        <f>geral!M515</f>
        <v>743</v>
      </c>
      <c r="C200" s="748">
        <f t="shared" si="59"/>
        <v>108.35958464589896</v>
      </c>
      <c r="D200" s="750">
        <f t="shared" ref="D200:D205" si="85">100*((B200/B199)-1)</f>
        <v>0</v>
      </c>
      <c r="E200" s="750">
        <f t="shared" ref="E200:E205" si="86">100*((B200/$B$193)-1)</f>
        <v>-8.2716049382716044</v>
      </c>
      <c r="F200" s="751">
        <f t="shared" ref="F200:F205" si="87">100*((B200/B188)-1)</f>
        <v>-8.2716049382716044</v>
      </c>
      <c r="G200" s="840">
        <f t="shared" ref="G200:G205" si="88">100*(B200/B176-1)</f>
        <v>-8.2716049382716044</v>
      </c>
      <c r="H200" s="842">
        <f>$B$322/B200</f>
        <v>1.2796572678331091</v>
      </c>
    </row>
    <row r="201" spans="1:8" ht="16.5" hidden="1" thickBot="1">
      <c r="A201" s="973" t="s">
        <v>478</v>
      </c>
      <c r="B201" s="748">
        <f>geral!M516</f>
        <v>743</v>
      </c>
      <c r="C201" s="748">
        <f t="shared" si="59"/>
        <v>108.35958464589896</v>
      </c>
      <c r="D201" s="750">
        <f t="shared" si="85"/>
        <v>0</v>
      </c>
      <c r="E201" s="750">
        <f t="shared" si="86"/>
        <v>-8.2716049382716044</v>
      </c>
      <c r="F201" s="751">
        <f t="shared" si="87"/>
        <v>-8.2716049382716044</v>
      </c>
      <c r="G201" s="840">
        <f t="shared" si="88"/>
        <v>-8.2716049382716044</v>
      </c>
      <c r="H201" s="842">
        <f>$B$322/B201</f>
        <v>1.2796572678331091</v>
      </c>
    </row>
    <row r="202" spans="1:8" ht="16.5" hidden="1" thickBot="1">
      <c r="A202" s="973" t="s">
        <v>479</v>
      </c>
      <c r="B202" s="748">
        <f>geral!M517</f>
        <v>743</v>
      </c>
      <c r="C202" s="748">
        <f t="shared" si="59"/>
        <v>108.35958464589896</v>
      </c>
      <c r="D202" s="750">
        <f t="shared" si="85"/>
        <v>0</v>
      </c>
      <c r="E202" s="750">
        <f t="shared" si="86"/>
        <v>-8.2716049382716044</v>
      </c>
      <c r="F202" s="751">
        <f t="shared" si="87"/>
        <v>-8.2716049382716044</v>
      </c>
      <c r="G202" s="840">
        <f t="shared" si="88"/>
        <v>-8.2716049382716044</v>
      </c>
      <c r="H202" s="842">
        <f>$B$322/B202</f>
        <v>1.2796572678331091</v>
      </c>
    </row>
    <row r="203" spans="1:8" ht="16.5" hidden="1" thickBot="1">
      <c r="A203" s="973" t="s">
        <v>480</v>
      </c>
      <c r="B203" s="748">
        <f>geral!M518</f>
        <v>759.66666666666663</v>
      </c>
      <c r="C203" s="748">
        <f t="shared" si="59"/>
        <v>110.79026173530899</v>
      </c>
      <c r="D203" s="750">
        <f t="shared" si="85"/>
        <v>2.243158366980702</v>
      </c>
      <c r="E203" s="750">
        <f t="shared" si="86"/>
        <v>-6.2139917695473335</v>
      </c>
      <c r="F203" s="751">
        <f t="shared" si="87"/>
        <v>-6.2139917695473335</v>
      </c>
      <c r="G203" s="840">
        <f t="shared" si="88"/>
        <v>-6.2139917695473335</v>
      </c>
      <c r="H203" s="842">
        <f>$B$322/B203</f>
        <v>1.2515822948661697</v>
      </c>
    </row>
    <row r="204" spans="1:8" ht="16.5" hidden="1" thickBot="1">
      <c r="A204" s="973" t="s">
        <v>481</v>
      </c>
      <c r="B204" s="748">
        <f>geral!M519</f>
        <v>759.66666666666663</v>
      </c>
      <c r="C204" s="748">
        <f t="shared" si="59"/>
        <v>110.79026173530899</v>
      </c>
      <c r="D204" s="750">
        <f t="shared" si="85"/>
        <v>0</v>
      </c>
      <c r="E204" s="750">
        <f t="shared" si="86"/>
        <v>-6.2139917695473335</v>
      </c>
      <c r="F204" s="751">
        <f t="shared" si="87"/>
        <v>-6.2139917695473335</v>
      </c>
      <c r="G204" s="840">
        <f t="shared" si="88"/>
        <v>-6.2139917695473335</v>
      </c>
      <c r="H204" s="842">
        <f>$B$322/B204</f>
        <v>1.2515822948661697</v>
      </c>
    </row>
    <row r="205" spans="1:8" ht="16.5" hidden="1" thickBot="1">
      <c r="A205" s="1015" t="s">
        <v>482</v>
      </c>
      <c r="B205" s="755">
        <f>geral!M520</f>
        <v>759.66666666666663</v>
      </c>
      <c r="C205" s="755">
        <f t="shared" si="59"/>
        <v>110.79026173530899</v>
      </c>
      <c r="D205" s="756">
        <f t="shared" si="85"/>
        <v>0</v>
      </c>
      <c r="E205" s="756">
        <f t="shared" si="86"/>
        <v>-6.2139917695473335</v>
      </c>
      <c r="F205" s="757">
        <f t="shared" si="87"/>
        <v>-6.2139917695473335</v>
      </c>
      <c r="G205" s="841">
        <f t="shared" si="88"/>
        <v>-6.2139917695473335</v>
      </c>
      <c r="H205" s="922">
        <f>$B$322/B205</f>
        <v>1.2515822948661697</v>
      </c>
    </row>
    <row r="206" spans="1:8" ht="16.5" customHeight="1">
      <c r="A206" s="1013" t="s">
        <v>483</v>
      </c>
      <c r="B206" s="852">
        <f>geral!C524</f>
        <v>760.66666666666663</v>
      </c>
      <c r="C206" s="852">
        <f t="shared" si="59"/>
        <v>110.93610236067359</v>
      </c>
      <c r="D206" s="967">
        <f t="shared" ref="D206:D211" si="89">100*((B206/B205)-1)</f>
        <v>0.13163668275559814</v>
      </c>
      <c r="E206" s="967">
        <f t="shared" ref="E206:E211" si="90">100*((B206/$B$205)-1)</f>
        <v>0.13163668275559814</v>
      </c>
      <c r="F206" s="968">
        <f t="shared" ref="F206:F211" si="91">100*((B206/B194)-1)</f>
        <v>-1.2121212121212199</v>
      </c>
      <c r="G206" s="969">
        <f t="shared" ref="G206:G211" si="92">100*(B206/B182-1)</f>
        <v>-6.0905349794238788</v>
      </c>
      <c r="H206" s="856">
        <f>$B$322/B206</f>
        <v>1.2499369193689749</v>
      </c>
    </row>
    <row r="207" spans="1:8">
      <c r="A207" s="1014" t="s">
        <v>484</v>
      </c>
      <c r="B207" s="857">
        <f>geral!C525</f>
        <v>760.66666666666663</v>
      </c>
      <c r="C207" s="857">
        <f t="shared" si="59"/>
        <v>110.93610236067359</v>
      </c>
      <c r="D207" s="961">
        <f t="shared" si="89"/>
        <v>0</v>
      </c>
      <c r="E207" s="961">
        <f t="shared" si="90"/>
        <v>0.13163668275559814</v>
      </c>
      <c r="F207" s="965">
        <f t="shared" si="91"/>
        <v>-1.2121212121212199</v>
      </c>
      <c r="G207" s="966">
        <f t="shared" si="92"/>
        <v>-6.0905349794238788</v>
      </c>
      <c r="H207" s="861">
        <f>$B$322/B207</f>
        <v>1.2499369193689749</v>
      </c>
    </row>
    <row r="208" spans="1:8">
      <c r="A208" s="1014" t="s">
        <v>485</v>
      </c>
      <c r="B208" s="857">
        <f>geral!C526</f>
        <v>760.66666666666663</v>
      </c>
      <c r="C208" s="857">
        <f t="shared" si="59"/>
        <v>110.93610236067359</v>
      </c>
      <c r="D208" s="961">
        <f t="shared" si="89"/>
        <v>0</v>
      </c>
      <c r="E208" s="961">
        <f t="shared" si="90"/>
        <v>0.13163668275559814</v>
      </c>
      <c r="F208" s="965">
        <f t="shared" si="91"/>
        <v>-1.2121212121212199</v>
      </c>
      <c r="G208" s="966">
        <f t="shared" si="92"/>
        <v>-6.0905349794238788</v>
      </c>
      <c r="H208" s="861">
        <f t="shared" ref="H208:H271" si="93">$B$322/B208</f>
        <v>1.2499369193689749</v>
      </c>
    </row>
    <row r="209" spans="1:8">
      <c r="A209" s="1014" t="s">
        <v>486</v>
      </c>
      <c r="B209" s="857">
        <f>geral!C527</f>
        <v>760.66666666666663</v>
      </c>
      <c r="C209" s="857">
        <f t="shared" si="59"/>
        <v>110.93610236067359</v>
      </c>
      <c r="D209" s="961">
        <f t="shared" si="89"/>
        <v>0</v>
      </c>
      <c r="E209" s="961">
        <f t="shared" si="90"/>
        <v>0.13163668275559814</v>
      </c>
      <c r="F209" s="965">
        <f t="shared" si="91"/>
        <v>-1.2121212121212199</v>
      </c>
      <c r="G209" s="966">
        <f t="shared" si="92"/>
        <v>-6.0905349794238788</v>
      </c>
      <c r="H209" s="861">
        <f t="shared" si="93"/>
        <v>1.2499369193689749</v>
      </c>
    </row>
    <row r="210" spans="1:8">
      <c r="A210" s="1014" t="s">
        <v>487</v>
      </c>
      <c r="B210" s="857">
        <f>geral!C528</f>
        <v>770</v>
      </c>
      <c r="C210" s="857">
        <f t="shared" si="59"/>
        <v>112.29728153074321</v>
      </c>
      <c r="D210" s="961">
        <f t="shared" si="89"/>
        <v>1.22699386503069</v>
      </c>
      <c r="E210" s="961">
        <f t="shared" si="90"/>
        <v>1.3602457218078179</v>
      </c>
      <c r="F210" s="965">
        <f t="shared" si="91"/>
        <v>3.6339165545087537</v>
      </c>
      <c r="G210" s="966">
        <f t="shared" si="92"/>
        <v>-4.9382716049382713</v>
      </c>
      <c r="H210" s="861">
        <f t="shared" si="93"/>
        <v>1.234786168831169</v>
      </c>
    </row>
    <row r="211" spans="1:8">
      <c r="A211" s="1014" t="s">
        <v>488</v>
      </c>
      <c r="B211" s="857">
        <f>geral!C529</f>
        <v>770</v>
      </c>
      <c r="C211" s="857">
        <f t="shared" si="59"/>
        <v>112.29728153074321</v>
      </c>
      <c r="D211" s="961">
        <f t="shared" si="89"/>
        <v>0</v>
      </c>
      <c r="E211" s="961">
        <f t="shared" si="90"/>
        <v>1.3602457218078179</v>
      </c>
      <c r="F211" s="965">
        <f t="shared" si="91"/>
        <v>3.6339165545087537</v>
      </c>
      <c r="G211" s="966">
        <f t="shared" si="92"/>
        <v>-4.9382716049382713</v>
      </c>
      <c r="H211" s="861">
        <f t="shared" si="93"/>
        <v>1.234786168831169</v>
      </c>
    </row>
    <row r="212" spans="1:8">
      <c r="A212" s="1014" t="s">
        <v>489</v>
      </c>
      <c r="B212" s="857">
        <f>geral!C530</f>
        <v>770</v>
      </c>
      <c r="C212" s="857">
        <f t="shared" si="59"/>
        <v>112.29728153074321</v>
      </c>
      <c r="D212" s="961">
        <f t="shared" ref="D212:D217" si="94">100*((B212/B211)-1)</f>
        <v>0</v>
      </c>
      <c r="E212" s="961">
        <f t="shared" ref="E212:E217" si="95">100*((B212/$B$205)-1)</f>
        <v>1.3602457218078179</v>
      </c>
      <c r="F212" s="965">
        <f t="shared" ref="F212:F217" si="96">100*((B212/B200)-1)</f>
        <v>3.6339165545087537</v>
      </c>
      <c r="G212" s="966">
        <f t="shared" ref="G212:G217" si="97">100*(B212/B188-1)</f>
        <v>-4.9382716049382713</v>
      </c>
      <c r="H212" s="861">
        <f t="shared" si="93"/>
        <v>1.234786168831169</v>
      </c>
    </row>
    <row r="213" spans="1:8">
      <c r="A213" s="1014" t="s">
        <v>490</v>
      </c>
      <c r="B213" s="857">
        <f>geral!C531</f>
        <v>770</v>
      </c>
      <c r="C213" s="857">
        <f t="shared" si="59"/>
        <v>112.29728153074321</v>
      </c>
      <c r="D213" s="961">
        <f t="shared" si="94"/>
        <v>0</v>
      </c>
      <c r="E213" s="961">
        <f t="shared" si="95"/>
        <v>1.3602457218078179</v>
      </c>
      <c r="F213" s="965">
        <f t="shared" si="96"/>
        <v>3.6339165545087537</v>
      </c>
      <c r="G213" s="966">
        <f t="shared" si="97"/>
        <v>-4.9382716049382713</v>
      </c>
      <c r="H213" s="861">
        <f t="shared" si="93"/>
        <v>1.234786168831169</v>
      </c>
    </row>
    <row r="214" spans="1:8">
      <c r="A214" s="1014" t="s">
        <v>491</v>
      </c>
      <c r="B214" s="857">
        <f>geral!C532</f>
        <v>770</v>
      </c>
      <c r="C214" s="857">
        <f t="shared" si="59"/>
        <v>112.29728153074321</v>
      </c>
      <c r="D214" s="961">
        <f t="shared" si="94"/>
        <v>0</v>
      </c>
      <c r="E214" s="961">
        <f t="shared" si="95"/>
        <v>1.3602457218078179</v>
      </c>
      <c r="F214" s="965">
        <f t="shared" si="96"/>
        <v>3.6339165545087537</v>
      </c>
      <c r="G214" s="966">
        <f t="shared" si="97"/>
        <v>-4.9382716049382713</v>
      </c>
      <c r="H214" s="861">
        <f t="shared" si="93"/>
        <v>1.234786168831169</v>
      </c>
    </row>
    <row r="215" spans="1:8">
      <c r="A215" s="1014" t="s">
        <v>492</v>
      </c>
      <c r="B215" s="857">
        <f>geral!C533</f>
        <v>776.33333333333337</v>
      </c>
      <c r="C215" s="857">
        <f t="shared" si="59"/>
        <v>113.22093882471904</v>
      </c>
      <c r="D215" s="961">
        <f t="shared" si="94"/>
        <v>0.82251082251083574</v>
      </c>
      <c r="E215" s="961">
        <f t="shared" si="95"/>
        <v>2.1939447125932432</v>
      </c>
      <c r="F215" s="965">
        <f t="shared" si="96"/>
        <v>2.1939447125932432</v>
      </c>
      <c r="G215" s="966">
        <f t="shared" si="97"/>
        <v>-4.1563786008230412</v>
      </c>
      <c r="H215" s="861">
        <f t="shared" si="93"/>
        <v>1.2247127737226278</v>
      </c>
    </row>
    <row r="216" spans="1:8">
      <c r="A216" s="1014" t="s">
        <v>493</v>
      </c>
      <c r="B216" s="857">
        <f>geral!C534</f>
        <v>776.33333333333337</v>
      </c>
      <c r="C216" s="857">
        <f t="shared" si="59"/>
        <v>113.22093882471904</v>
      </c>
      <c r="D216" s="961">
        <f t="shared" si="94"/>
        <v>0</v>
      </c>
      <c r="E216" s="961">
        <f t="shared" si="95"/>
        <v>2.1939447125932432</v>
      </c>
      <c r="F216" s="965">
        <f t="shared" si="96"/>
        <v>2.1939447125932432</v>
      </c>
      <c r="G216" s="966">
        <f t="shared" si="97"/>
        <v>-4.1563786008230412</v>
      </c>
      <c r="H216" s="861">
        <f t="shared" si="93"/>
        <v>1.2247127737226278</v>
      </c>
    </row>
    <row r="217" spans="1:8">
      <c r="A217" s="1014" t="s">
        <v>494</v>
      </c>
      <c r="B217" s="857">
        <f>geral!C535</f>
        <v>776.33333333333337</v>
      </c>
      <c r="C217" s="857">
        <f t="shared" si="59"/>
        <v>113.22093882471904</v>
      </c>
      <c r="D217" s="961">
        <f t="shared" si="94"/>
        <v>0</v>
      </c>
      <c r="E217" s="961">
        <f t="shared" si="95"/>
        <v>2.1939447125932432</v>
      </c>
      <c r="F217" s="965">
        <f t="shared" si="96"/>
        <v>2.1939447125932432</v>
      </c>
      <c r="G217" s="966">
        <f t="shared" si="97"/>
        <v>-4.1563786008230412</v>
      </c>
      <c r="H217" s="861">
        <f t="shared" si="93"/>
        <v>1.2247127737226278</v>
      </c>
    </row>
    <row r="218" spans="1:8">
      <c r="A218" s="1014" t="s">
        <v>495</v>
      </c>
      <c r="B218" s="857">
        <f>geral!E524</f>
        <v>776.33333333333337</v>
      </c>
      <c r="C218" s="857">
        <f t="shared" ref="C218:C223" si="98">100*B218/$B$9</f>
        <v>113.22093882471904</v>
      </c>
      <c r="D218" s="961">
        <f t="shared" ref="D218:D223" si="99">100*((B218/B217)-1)</f>
        <v>0</v>
      </c>
      <c r="E218" s="961">
        <f t="shared" ref="E218:E223" si="100">100*((B218/$B$217)-1)</f>
        <v>0</v>
      </c>
      <c r="F218" s="965">
        <f t="shared" ref="F218:F223" si="101">100*((B218/B206)-1)</f>
        <v>2.0595968448729352</v>
      </c>
      <c r="G218" s="966">
        <f t="shared" ref="G218:G223" si="102">100*(B218/B194-1)</f>
        <v>0.82251082251083574</v>
      </c>
      <c r="H218" s="861">
        <f t="shared" si="93"/>
        <v>1.2247127737226278</v>
      </c>
    </row>
    <row r="219" spans="1:8">
      <c r="A219" s="1014" t="s">
        <v>496</v>
      </c>
      <c r="B219" s="857">
        <f>geral!E525</f>
        <v>776.33333333333337</v>
      </c>
      <c r="C219" s="857">
        <f t="shared" si="98"/>
        <v>113.22093882471904</v>
      </c>
      <c r="D219" s="961">
        <f t="shared" si="99"/>
        <v>0</v>
      </c>
      <c r="E219" s="961">
        <f t="shared" si="100"/>
        <v>0</v>
      </c>
      <c r="F219" s="965">
        <f t="shared" si="101"/>
        <v>2.0595968448729352</v>
      </c>
      <c r="G219" s="966">
        <f t="shared" si="102"/>
        <v>0.82251082251083574</v>
      </c>
      <c r="H219" s="861">
        <f t="shared" si="93"/>
        <v>1.2247127737226278</v>
      </c>
    </row>
    <row r="220" spans="1:8">
      <c r="A220" s="1014" t="s">
        <v>497</v>
      </c>
      <c r="B220" s="857">
        <f>geral!E526</f>
        <v>776.33333333333337</v>
      </c>
      <c r="C220" s="857">
        <f t="shared" si="98"/>
        <v>113.22093882471904</v>
      </c>
      <c r="D220" s="961">
        <f t="shared" si="99"/>
        <v>0</v>
      </c>
      <c r="E220" s="961">
        <f t="shared" si="100"/>
        <v>0</v>
      </c>
      <c r="F220" s="965">
        <f t="shared" si="101"/>
        <v>2.0595968448729352</v>
      </c>
      <c r="G220" s="966">
        <f t="shared" si="102"/>
        <v>0.82251082251083574</v>
      </c>
      <c r="H220" s="861">
        <f t="shared" si="93"/>
        <v>1.2247127737226278</v>
      </c>
    </row>
    <row r="221" spans="1:8">
      <c r="A221" s="1014" t="s">
        <v>498</v>
      </c>
      <c r="B221" s="857">
        <f>geral!E527</f>
        <v>776.33333333333337</v>
      </c>
      <c r="C221" s="857">
        <f t="shared" si="98"/>
        <v>113.22093882471904</v>
      </c>
      <c r="D221" s="961">
        <f t="shared" si="99"/>
        <v>0</v>
      </c>
      <c r="E221" s="961">
        <f t="shared" si="100"/>
        <v>0</v>
      </c>
      <c r="F221" s="965">
        <f t="shared" si="101"/>
        <v>2.0595968448729352</v>
      </c>
      <c r="G221" s="966">
        <f t="shared" si="102"/>
        <v>0.82251082251083574</v>
      </c>
      <c r="H221" s="861">
        <f t="shared" si="93"/>
        <v>1.2247127737226278</v>
      </c>
    </row>
    <row r="222" spans="1:8">
      <c r="A222" s="1014" t="s">
        <v>499</v>
      </c>
      <c r="B222" s="857">
        <f>geral!E528</f>
        <v>791.66666666666663</v>
      </c>
      <c r="C222" s="857">
        <f t="shared" si="98"/>
        <v>115.45716174697623</v>
      </c>
      <c r="D222" s="961">
        <f t="shared" si="99"/>
        <v>1.9750966079862486</v>
      </c>
      <c r="E222" s="961">
        <f t="shared" si="100"/>
        <v>1.9750966079862486</v>
      </c>
      <c r="F222" s="965">
        <f t="shared" si="101"/>
        <v>2.8138528138528018</v>
      </c>
      <c r="G222" s="966">
        <f t="shared" si="102"/>
        <v>6.5500224315836686</v>
      </c>
      <c r="H222" s="861">
        <f t="shared" si="93"/>
        <v>1.2009920210526317</v>
      </c>
    </row>
    <row r="223" spans="1:8">
      <c r="A223" s="1014" t="s">
        <v>500</v>
      </c>
      <c r="B223" s="857">
        <f>geral!E529</f>
        <v>791.66666666666663</v>
      </c>
      <c r="C223" s="857">
        <f t="shared" si="98"/>
        <v>115.45716174697623</v>
      </c>
      <c r="D223" s="961">
        <f t="shared" si="99"/>
        <v>0</v>
      </c>
      <c r="E223" s="961">
        <f t="shared" si="100"/>
        <v>1.9750966079862486</v>
      </c>
      <c r="F223" s="965">
        <f t="shared" si="101"/>
        <v>2.8138528138528018</v>
      </c>
      <c r="G223" s="966">
        <f t="shared" si="102"/>
        <v>6.5500224315836686</v>
      </c>
      <c r="H223" s="861">
        <f t="shared" si="93"/>
        <v>1.2009920210526317</v>
      </c>
    </row>
    <row r="224" spans="1:8">
      <c r="A224" s="1014" t="s">
        <v>501</v>
      </c>
      <c r="B224" s="857">
        <f>geral!E530</f>
        <v>791.66666666666663</v>
      </c>
      <c r="C224" s="857">
        <f t="shared" ref="C224:C229" si="103">100*B224/$B$9</f>
        <v>115.45716174697623</v>
      </c>
      <c r="D224" s="961">
        <f t="shared" ref="D224:D229" si="104">100*((B224/B223)-1)</f>
        <v>0</v>
      </c>
      <c r="E224" s="961">
        <f t="shared" ref="E224:E229" si="105">100*((B224/$B$217)-1)</f>
        <v>1.9750966079862486</v>
      </c>
      <c r="F224" s="965">
        <f t="shared" ref="F224:F229" si="106">100*((B224/B212)-1)</f>
        <v>2.8138528138528018</v>
      </c>
      <c r="G224" s="966">
        <f t="shared" ref="G224:G229" si="107">100*(B224/B200-1)</f>
        <v>6.5500224315836686</v>
      </c>
      <c r="H224" s="861">
        <f t="shared" si="93"/>
        <v>1.2009920210526317</v>
      </c>
    </row>
    <row r="225" spans="1:8">
      <c r="A225" s="1014" t="s">
        <v>502</v>
      </c>
      <c r="B225" s="857">
        <f>geral!E531</f>
        <v>791.66666666666663</v>
      </c>
      <c r="C225" s="857">
        <f t="shared" si="103"/>
        <v>115.45716174697623</v>
      </c>
      <c r="D225" s="961">
        <f t="shared" si="104"/>
        <v>0</v>
      </c>
      <c r="E225" s="961">
        <f t="shared" si="105"/>
        <v>1.9750966079862486</v>
      </c>
      <c r="F225" s="965">
        <f t="shared" si="106"/>
        <v>2.8138528138528018</v>
      </c>
      <c r="G225" s="966">
        <f t="shared" si="107"/>
        <v>6.5500224315836686</v>
      </c>
      <c r="H225" s="861">
        <f t="shared" si="93"/>
        <v>1.2009920210526317</v>
      </c>
    </row>
    <row r="226" spans="1:8">
      <c r="A226" s="1014" t="s">
        <v>503</v>
      </c>
      <c r="B226" s="857">
        <f>geral!E532</f>
        <v>791.66666666666663</v>
      </c>
      <c r="C226" s="857">
        <f t="shared" si="103"/>
        <v>115.45716174697623</v>
      </c>
      <c r="D226" s="961">
        <f t="shared" si="104"/>
        <v>0</v>
      </c>
      <c r="E226" s="961">
        <f t="shared" si="105"/>
        <v>1.9750966079862486</v>
      </c>
      <c r="F226" s="965">
        <f t="shared" si="106"/>
        <v>2.8138528138528018</v>
      </c>
      <c r="G226" s="966">
        <f t="shared" si="107"/>
        <v>6.5500224315836686</v>
      </c>
      <c r="H226" s="861">
        <f t="shared" si="93"/>
        <v>1.2009920210526317</v>
      </c>
    </row>
    <row r="227" spans="1:8">
      <c r="A227" s="1014" t="s">
        <v>504</v>
      </c>
      <c r="B227" s="857">
        <f>geral!E533</f>
        <v>791.66666666666663</v>
      </c>
      <c r="C227" s="857">
        <f t="shared" si="103"/>
        <v>115.45716174697623</v>
      </c>
      <c r="D227" s="961">
        <f t="shared" si="104"/>
        <v>0</v>
      </c>
      <c r="E227" s="961">
        <f t="shared" si="105"/>
        <v>1.9750966079862486</v>
      </c>
      <c r="F227" s="965">
        <f t="shared" si="106"/>
        <v>1.9750966079862486</v>
      </c>
      <c r="G227" s="966">
        <f t="shared" si="107"/>
        <v>4.2123738481790296</v>
      </c>
      <c r="H227" s="861">
        <f t="shared" si="93"/>
        <v>1.2009920210526317</v>
      </c>
    </row>
    <row r="228" spans="1:8">
      <c r="A228" s="1014" t="s">
        <v>505</v>
      </c>
      <c r="B228" s="857">
        <f>geral!E534</f>
        <v>791.66666666666663</v>
      </c>
      <c r="C228" s="857">
        <f t="shared" si="103"/>
        <v>115.45716174697623</v>
      </c>
      <c r="D228" s="961">
        <f t="shared" si="104"/>
        <v>0</v>
      </c>
      <c r="E228" s="961">
        <f t="shared" si="105"/>
        <v>1.9750966079862486</v>
      </c>
      <c r="F228" s="965">
        <f t="shared" si="106"/>
        <v>1.9750966079862486</v>
      </c>
      <c r="G228" s="966">
        <f t="shared" si="107"/>
        <v>4.2123738481790296</v>
      </c>
      <c r="H228" s="861">
        <f t="shared" si="93"/>
        <v>1.2009920210526317</v>
      </c>
    </row>
    <row r="229" spans="1:8">
      <c r="A229" s="1014" t="s">
        <v>506</v>
      </c>
      <c r="B229" s="857">
        <f>geral!E535</f>
        <v>791.66666666666663</v>
      </c>
      <c r="C229" s="857">
        <f t="shared" si="103"/>
        <v>115.45716174697623</v>
      </c>
      <c r="D229" s="961">
        <f t="shared" si="104"/>
        <v>0</v>
      </c>
      <c r="E229" s="961">
        <f t="shared" si="105"/>
        <v>1.9750966079862486</v>
      </c>
      <c r="F229" s="965">
        <f t="shared" si="106"/>
        <v>1.9750966079862486</v>
      </c>
      <c r="G229" s="966">
        <f t="shared" si="107"/>
        <v>4.2123738481790296</v>
      </c>
      <c r="H229" s="861">
        <f t="shared" si="93"/>
        <v>1.2009920210526317</v>
      </c>
    </row>
    <row r="230" spans="1:8">
      <c r="A230" s="1014" t="s">
        <v>507</v>
      </c>
      <c r="B230" s="857">
        <f>geral!G524</f>
        <v>800</v>
      </c>
      <c r="C230" s="857">
        <f t="shared" ref="C230:C235" si="108">100*B230/$B$9</f>
        <v>116.67250029168126</v>
      </c>
      <c r="D230" s="961">
        <f t="shared" ref="D230:D235" si="109">100*((B230/B229)-1)</f>
        <v>1.0526315789473717</v>
      </c>
      <c r="E230" s="961">
        <f t="shared" ref="E230:E235" si="110">100*((B230/$B$229)-1)</f>
        <v>1.0526315789473717</v>
      </c>
      <c r="F230" s="965">
        <f t="shared" ref="F230:F235" si="111">100*((B230/B218)-1)</f>
        <v>3.0485186775440098</v>
      </c>
      <c r="G230" s="966">
        <f t="shared" ref="G230:G235" si="112">100*(B230/B206-1)</f>
        <v>5.1709027169149824</v>
      </c>
      <c r="H230" s="861">
        <f t="shared" si="93"/>
        <v>1.1884816875000002</v>
      </c>
    </row>
    <row r="231" spans="1:8">
      <c r="A231" s="1014" t="s">
        <v>508</v>
      </c>
      <c r="B231" s="857">
        <f>geral!G525</f>
        <v>800</v>
      </c>
      <c r="C231" s="857">
        <f t="shared" si="108"/>
        <v>116.67250029168126</v>
      </c>
      <c r="D231" s="961">
        <f t="shared" si="109"/>
        <v>0</v>
      </c>
      <c r="E231" s="961">
        <f t="shared" si="110"/>
        <v>1.0526315789473717</v>
      </c>
      <c r="F231" s="965">
        <f t="shared" si="111"/>
        <v>3.0485186775440098</v>
      </c>
      <c r="G231" s="966">
        <f t="shared" si="112"/>
        <v>5.1709027169149824</v>
      </c>
      <c r="H231" s="861">
        <f t="shared" si="93"/>
        <v>1.1884816875000002</v>
      </c>
    </row>
    <row r="232" spans="1:8">
      <c r="A232" s="1014" t="s">
        <v>509</v>
      </c>
      <c r="B232" s="857">
        <f>geral!G526</f>
        <v>800</v>
      </c>
      <c r="C232" s="857">
        <f t="shared" si="108"/>
        <v>116.67250029168126</v>
      </c>
      <c r="D232" s="961">
        <f t="shared" si="109"/>
        <v>0</v>
      </c>
      <c r="E232" s="961">
        <f t="shared" si="110"/>
        <v>1.0526315789473717</v>
      </c>
      <c r="F232" s="965">
        <f t="shared" si="111"/>
        <v>3.0485186775440098</v>
      </c>
      <c r="G232" s="966">
        <f t="shared" si="112"/>
        <v>5.1709027169149824</v>
      </c>
      <c r="H232" s="861">
        <f t="shared" si="93"/>
        <v>1.1884816875000002</v>
      </c>
    </row>
    <row r="233" spans="1:8">
      <c r="A233" s="1014" t="s">
        <v>510</v>
      </c>
      <c r="B233" s="857">
        <f>geral!G527</f>
        <v>800</v>
      </c>
      <c r="C233" s="857">
        <f t="shared" si="108"/>
        <v>116.67250029168126</v>
      </c>
      <c r="D233" s="961">
        <f t="shared" si="109"/>
        <v>0</v>
      </c>
      <c r="E233" s="961">
        <f t="shared" si="110"/>
        <v>1.0526315789473717</v>
      </c>
      <c r="F233" s="965">
        <f t="shared" si="111"/>
        <v>3.0485186775440098</v>
      </c>
      <c r="G233" s="966">
        <f t="shared" si="112"/>
        <v>5.1709027169149824</v>
      </c>
      <c r="H233" s="861">
        <f t="shared" si="93"/>
        <v>1.1884816875000002</v>
      </c>
    </row>
    <row r="234" spans="1:8">
      <c r="A234" s="1014" t="s">
        <v>511</v>
      </c>
      <c r="B234" s="857">
        <f>geral!G528</f>
        <v>800</v>
      </c>
      <c r="C234" s="857">
        <f t="shared" si="108"/>
        <v>116.67250029168126</v>
      </c>
      <c r="D234" s="961">
        <f t="shared" si="109"/>
        <v>0</v>
      </c>
      <c r="E234" s="961">
        <f t="shared" si="110"/>
        <v>1.0526315789473717</v>
      </c>
      <c r="F234" s="965">
        <f t="shared" si="111"/>
        <v>1.0526315789473717</v>
      </c>
      <c r="G234" s="966">
        <f t="shared" si="112"/>
        <v>3.8961038961038863</v>
      </c>
      <c r="H234" s="861">
        <f t="shared" si="93"/>
        <v>1.1884816875000002</v>
      </c>
    </row>
    <row r="235" spans="1:8">
      <c r="A235" s="1014" t="s">
        <v>512</v>
      </c>
      <c r="B235" s="857">
        <f>geral!G529</f>
        <v>800</v>
      </c>
      <c r="C235" s="857">
        <f t="shared" si="108"/>
        <v>116.67250029168126</v>
      </c>
      <c r="D235" s="961">
        <f t="shared" si="109"/>
        <v>0</v>
      </c>
      <c r="E235" s="961">
        <f t="shared" si="110"/>
        <v>1.0526315789473717</v>
      </c>
      <c r="F235" s="965">
        <f t="shared" si="111"/>
        <v>1.0526315789473717</v>
      </c>
      <c r="G235" s="966">
        <f t="shared" si="112"/>
        <v>3.8961038961038863</v>
      </c>
      <c r="H235" s="861">
        <f t="shared" si="93"/>
        <v>1.1884816875000002</v>
      </c>
    </row>
    <row r="236" spans="1:8">
      <c r="A236" s="1014" t="s">
        <v>513</v>
      </c>
      <c r="B236" s="857">
        <f>geral!G530</f>
        <v>806.66666666666663</v>
      </c>
      <c r="C236" s="857">
        <f t="shared" ref="C236:C241" si="113">100*B236/$B$9</f>
        <v>117.64477112744525</v>
      </c>
      <c r="D236" s="961">
        <f t="shared" ref="D236:D241" si="114">100*((B236/B235)-1)</f>
        <v>0.83333333333333037</v>
      </c>
      <c r="E236" s="961">
        <f t="shared" ref="E236:E241" si="115">100*((B236/$B$229)-1)</f>
        <v>1.8947368421052602</v>
      </c>
      <c r="F236" s="965">
        <f t="shared" ref="F236:F241" si="116">100*((B236/B224)-1)</f>
        <v>1.8947368421052602</v>
      </c>
      <c r="G236" s="966">
        <f t="shared" ref="G236:G241" si="117">100*(B236/B212-1)</f>
        <v>4.7619047619047672</v>
      </c>
      <c r="H236" s="861">
        <f t="shared" si="93"/>
        <v>1.1786595247933886</v>
      </c>
    </row>
    <row r="237" spans="1:8">
      <c r="A237" s="1014" t="s">
        <v>514</v>
      </c>
      <c r="B237" s="857">
        <f>geral!G531</f>
        <v>806.66666666666663</v>
      </c>
      <c r="C237" s="857">
        <f t="shared" si="113"/>
        <v>117.64477112744525</v>
      </c>
      <c r="D237" s="961">
        <f t="shared" si="114"/>
        <v>0</v>
      </c>
      <c r="E237" s="961">
        <f t="shared" si="115"/>
        <v>1.8947368421052602</v>
      </c>
      <c r="F237" s="965">
        <f t="shared" si="116"/>
        <v>1.8947368421052602</v>
      </c>
      <c r="G237" s="966">
        <f t="shared" si="117"/>
        <v>4.7619047619047672</v>
      </c>
      <c r="H237" s="861">
        <f t="shared" si="93"/>
        <v>1.1786595247933886</v>
      </c>
    </row>
    <row r="238" spans="1:8">
      <c r="A238" s="1014" t="s">
        <v>515</v>
      </c>
      <c r="B238" s="857">
        <f>geral!G532</f>
        <v>806.66666666666663</v>
      </c>
      <c r="C238" s="857">
        <f t="shared" si="113"/>
        <v>117.64477112744525</v>
      </c>
      <c r="D238" s="961">
        <f t="shared" si="114"/>
        <v>0</v>
      </c>
      <c r="E238" s="961">
        <f t="shared" si="115"/>
        <v>1.8947368421052602</v>
      </c>
      <c r="F238" s="965">
        <f t="shared" si="116"/>
        <v>1.8947368421052602</v>
      </c>
      <c r="G238" s="966">
        <f t="shared" si="117"/>
        <v>4.7619047619047672</v>
      </c>
      <c r="H238" s="861">
        <f t="shared" si="93"/>
        <v>1.1786595247933886</v>
      </c>
    </row>
    <row r="239" spans="1:8">
      <c r="A239" s="1014" t="s">
        <v>516</v>
      </c>
      <c r="B239" s="857">
        <f>geral!G533</f>
        <v>806.66666666666663</v>
      </c>
      <c r="C239" s="857">
        <f t="shared" si="113"/>
        <v>117.64477112744525</v>
      </c>
      <c r="D239" s="961">
        <f t="shared" si="114"/>
        <v>0</v>
      </c>
      <c r="E239" s="961">
        <f t="shared" si="115"/>
        <v>1.8947368421052602</v>
      </c>
      <c r="F239" s="965">
        <f t="shared" si="116"/>
        <v>1.8947368421052602</v>
      </c>
      <c r="G239" s="966">
        <f t="shared" si="117"/>
        <v>3.907256333190201</v>
      </c>
      <c r="H239" s="861">
        <f t="shared" si="93"/>
        <v>1.1786595247933886</v>
      </c>
    </row>
    <row r="240" spans="1:8">
      <c r="A240" s="1014" t="s">
        <v>517</v>
      </c>
      <c r="B240" s="857">
        <f>geral!G534</f>
        <v>806.66666666666663</v>
      </c>
      <c r="C240" s="857">
        <f t="shared" si="113"/>
        <v>117.64477112744525</v>
      </c>
      <c r="D240" s="961">
        <f t="shared" si="114"/>
        <v>0</v>
      </c>
      <c r="E240" s="961">
        <f t="shared" si="115"/>
        <v>1.8947368421052602</v>
      </c>
      <c r="F240" s="965">
        <f t="shared" si="116"/>
        <v>1.8947368421052602</v>
      </c>
      <c r="G240" s="966">
        <f t="shared" si="117"/>
        <v>3.907256333190201</v>
      </c>
      <c r="H240" s="861">
        <f t="shared" si="93"/>
        <v>1.1786595247933886</v>
      </c>
    </row>
    <row r="241" spans="1:8">
      <c r="A241" s="1014" t="s">
        <v>518</v>
      </c>
      <c r="B241" s="857">
        <f>geral!G535</f>
        <v>806.66666666666663</v>
      </c>
      <c r="C241" s="857">
        <f t="shared" si="113"/>
        <v>117.64477112744525</v>
      </c>
      <c r="D241" s="961">
        <f t="shared" si="114"/>
        <v>0</v>
      </c>
      <c r="E241" s="961">
        <f t="shared" si="115"/>
        <v>1.8947368421052602</v>
      </c>
      <c r="F241" s="965">
        <f t="shared" si="116"/>
        <v>1.8947368421052602</v>
      </c>
      <c r="G241" s="966">
        <f t="shared" si="117"/>
        <v>3.907256333190201</v>
      </c>
      <c r="H241" s="861">
        <f t="shared" si="93"/>
        <v>1.1786595247933886</v>
      </c>
    </row>
    <row r="242" spans="1:8">
      <c r="A242" s="1014" t="s">
        <v>519</v>
      </c>
      <c r="B242" s="857">
        <f>geral!I524</f>
        <v>770</v>
      </c>
      <c r="C242" s="857">
        <f t="shared" ref="C242:C247" si="118">100*B242/$B$9</f>
        <v>112.29728153074321</v>
      </c>
      <c r="D242" s="961">
        <f t="shared" ref="D242:D247" si="119">100*((B242/B241)-1)</f>
        <v>-4.5454545454545414</v>
      </c>
      <c r="E242" s="961">
        <f t="shared" ref="E242:E247" si="120">100*((B242/$B$241)-1)</f>
        <v>-4.5454545454545414</v>
      </c>
      <c r="F242" s="965">
        <f t="shared" ref="F242:F247" si="121">100*((B242/B230)-1)</f>
        <v>-3.7499999999999978</v>
      </c>
      <c r="G242" s="966">
        <f t="shared" ref="G242:G247" si="122">100*(B242/B218-1)</f>
        <v>-0.81580077286389496</v>
      </c>
      <c r="H242" s="861">
        <f t="shared" si="93"/>
        <v>1.234786168831169</v>
      </c>
    </row>
    <row r="243" spans="1:8">
      <c r="A243" s="1014" t="s">
        <v>520</v>
      </c>
      <c r="B243" s="857">
        <f>geral!I525</f>
        <v>770</v>
      </c>
      <c r="C243" s="857">
        <f t="shared" si="118"/>
        <v>112.29728153074321</v>
      </c>
      <c r="D243" s="961">
        <f t="shared" si="119"/>
        <v>0</v>
      </c>
      <c r="E243" s="961">
        <f t="shared" si="120"/>
        <v>-4.5454545454545414</v>
      </c>
      <c r="F243" s="965">
        <f t="shared" si="121"/>
        <v>-3.7499999999999978</v>
      </c>
      <c r="G243" s="966">
        <f t="shared" si="122"/>
        <v>-0.81580077286389496</v>
      </c>
      <c r="H243" s="861">
        <f t="shared" si="93"/>
        <v>1.234786168831169</v>
      </c>
    </row>
    <row r="244" spans="1:8">
      <c r="A244" s="1014" t="s">
        <v>521</v>
      </c>
      <c r="B244" s="857">
        <f>geral!I526</f>
        <v>770</v>
      </c>
      <c r="C244" s="857">
        <f t="shared" si="118"/>
        <v>112.29728153074321</v>
      </c>
      <c r="D244" s="961">
        <f t="shared" si="119"/>
        <v>0</v>
      </c>
      <c r="E244" s="961">
        <f t="shared" si="120"/>
        <v>-4.5454545454545414</v>
      </c>
      <c r="F244" s="965">
        <f t="shared" si="121"/>
        <v>-3.7499999999999978</v>
      </c>
      <c r="G244" s="966">
        <f t="shared" si="122"/>
        <v>-0.81580077286389496</v>
      </c>
      <c r="H244" s="861">
        <f t="shared" si="93"/>
        <v>1.234786168831169</v>
      </c>
    </row>
    <row r="245" spans="1:8">
      <c r="A245" s="1014" t="s">
        <v>522</v>
      </c>
      <c r="B245" s="857">
        <f>geral!I527</f>
        <v>770</v>
      </c>
      <c r="C245" s="857">
        <f t="shared" si="118"/>
        <v>112.29728153074321</v>
      </c>
      <c r="D245" s="961">
        <f t="shared" si="119"/>
        <v>0</v>
      </c>
      <c r="E245" s="961">
        <f t="shared" si="120"/>
        <v>-4.5454545454545414</v>
      </c>
      <c r="F245" s="965">
        <f t="shared" si="121"/>
        <v>-3.7499999999999978</v>
      </c>
      <c r="G245" s="966">
        <f t="shared" si="122"/>
        <v>-0.81580077286389496</v>
      </c>
      <c r="H245" s="861">
        <f t="shared" si="93"/>
        <v>1.234786168831169</v>
      </c>
    </row>
    <row r="246" spans="1:8">
      <c r="A246" s="1014" t="s">
        <v>523</v>
      </c>
      <c r="B246" s="857">
        <f>geral!I528</f>
        <v>770</v>
      </c>
      <c r="C246" s="857">
        <f t="shared" si="118"/>
        <v>112.29728153074321</v>
      </c>
      <c r="D246" s="961">
        <f t="shared" si="119"/>
        <v>0</v>
      </c>
      <c r="E246" s="961">
        <f t="shared" si="120"/>
        <v>-4.5454545454545414</v>
      </c>
      <c r="F246" s="965">
        <f t="shared" si="121"/>
        <v>-3.7499999999999978</v>
      </c>
      <c r="G246" s="966">
        <f t="shared" si="122"/>
        <v>-2.7368421052631486</v>
      </c>
      <c r="H246" s="861">
        <f t="shared" si="93"/>
        <v>1.234786168831169</v>
      </c>
    </row>
    <row r="247" spans="1:8">
      <c r="A247" s="1014" t="s">
        <v>524</v>
      </c>
      <c r="B247" s="857">
        <f>geral!I529</f>
        <v>777.5</v>
      </c>
      <c r="C247" s="857">
        <f t="shared" si="118"/>
        <v>113.39108622097773</v>
      </c>
      <c r="D247" s="961">
        <f t="shared" si="119"/>
        <v>0.97402597402598268</v>
      </c>
      <c r="E247" s="961">
        <f t="shared" si="120"/>
        <v>-3.6157024793388337</v>
      </c>
      <c r="F247" s="965">
        <f t="shared" si="121"/>
        <v>-2.8124999999999956</v>
      </c>
      <c r="G247" s="966">
        <f t="shared" si="122"/>
        <v>-1.7894736842105186</v>
      </c>
      <c r="H247" s="861">
        <f t="shared" si="93"/>
        <v>1.2228750482315114</v>
      </c>
    </row>
    <row r="248" spans="1:8">
      <c r="A248" s="1014" t="s">
        <v>525</v>
      </c>
      <c r="B248" s="857">
        <f>geral!I530</f>
        <v>777.5</v>
      </c>
      <c r="C248" s="857">
        <f t="shared" ref="C248:C253" si="123">100*B248/$B$9</f>
        <v>113.39108622097773</v>
      </c>
      <c r="D248" s="961">
        <f t="shared" ref="D248:D253" si="124">100*((B248/B247)-1)</f>
        <v>0</v>
      </c>
      <c r="E248" s="961">
        <f t="shared" ref="E248:E253" si="125">100*((B248/$B$241)-1)</f>
        <v>-3.6157024793388337</v>
      </c>
      <c r="F248" s="965">
        <f t="shared" ref="F248:F253" si="126">100*((B248/B236)-1)</f>
        <v>-3.6157024793388337</v>
      </c>
      <c r="G248" s="966">
        <f t="shared" ref="G248:G253" si="127">100*(B248/B224-1)</f>
        <v>-1.7894736842105186</v>
      </c>
      <c r="H248" s="861">
        <f t="shared" si="93"/>
        <v>1.2228750482315114</v>
      </c>
    </row>
    <row r="249" spans="1:8">
      <c r="A249" s="1014" t="s">
        <v>526</v>
      </c>
      <c r="B249" s="857">
        <f>geral!I531</f>
        <v>777.5</v>
      </c>
      <c r="C249" s="857">
        <f t="shared" si="123"/>
        <v>113.39108622097773</v>
      </c>
      <c r="D249" s="961">
        <f t="shared" si="124"/>
        <v>0</v>
      </c>
      <c r="E249" s="961">
        <f t="shared" si="125"/>
        <v>-3.6157024793388337</v>
      </c>
      <c r="F249" s="965">
        <f t="shared" si="126"/>
        <v>-3.6157024793388337</v>
      </c>
      <c r="G249" s="966">
        <f t="shared" si="127"/>
        <v>-1.7894736842105186</v>
      </c>
      <c r="H249" s="861">
        <f t="shared" si="93"/>
        <v>1.2228750482315114</v>
      </c>
    </row>
    <row r="250" spans="1:8">
      <c r="A250" s="1014" t="s">
        <v>527</v>
      </c>
      <c r="B250" s="857">
        <f>geral!I532</f>
        <v>777.5</v>
      </c>
      <c r="C250" s="857">
        <f t="shared" si="123"/>
        <v>113.39108622097773</v>
      </c>
      <c r="D250" s="961">
        <f t="shared" si="124"/>
        <v>0</v>
      </c>
      <c r="E250" s="961">
        <f t="shared" si="125"/>
        <v>-3.6157024793388337</v>
      </c>
      <c r="F250" s="965">
        <f t="shared" si="126"/>
        <v>-3.6157024793388337</v>
      </c>
      <c r="G250" s="966">
        <f t="shared" si="127"/>
        <v>-1.7894736842105186</v>
      </c>
      <c r="H250" s="861">
        <f t="shared" si="93"/>
        <v>1.2228750482315114</v>
      </c>
    </row>
    <row r="251" spans="1:8">
      <c r="A251" s="1014" t="s">
        <v>528</v>
      </c>
      <c r="B251" s="857">
        <f>geral!I533</f>
        <v>777.5</v>
      </c>
      <c r="C251" s="857">
        <f t="shared" si="123"/>
        <v>113.39108622097773</v>
      </c>
      <c r="D251" s="961">
        <f t="shared" si="124"/>
        <v>0</v>
      </c>
      <c r="E251" s="961">
        <f t="shared" si="125"/>
        <v>-3.6157024793388337</v>
      </c>
      <c r="F251" s="965">
        <f t="shared" si="126"/>
        <v>-3.6157024793388337</v>
      </c>
      <c r="G251" s="966">
        <f t="shared" si="127"/>
        <v>-1.7894736842105186</v>
      </c>
      <c r="H251" s="861">
        <f t="shared" si="93"/>
        <v>1.2228750482315114</v>
      </c>
    </row>
    <row r="252" spans="1:8">
      <c r="A252" s="1014" t="s">
        <v>529</v>
      </c>
      <c r="B252" s="857">
        <f>geral!I534</f>
        <v>777.5</v>
      </c>
      <c r="C252" s="857">
        <f t="shared" si="123"/>
        <v>113.39108622097773</v>
      </c>
      <c r="D252" s="961">
        <f t="shared" si="124"/>
        <v>0</v>
      </c>
      <c r="E252" s="961">
        <f t="shared" si="125"/>
        <v>-3.6157024793388337</v>
      </c>
      <c r="F252" s="965">
        <f t="shared" si="126"/>
        <v>-3.6157024793388337</v>
      </c>
      <c r="G252" s="966">
        <f t="shared" si="127"/>
        <v>-1.7894736842105186</v>
      </c>
      <c r="H252" s="861">
        <f t="shared" si="93"/>
        <v>1.2228750482315114</v>
      </c>
    </row>
    <row r="253" spans="1:8">
      <c r="A253" s="1014" t="s">
        <v>530</v>
      </c>
      <c r="B253" s="857">
        <f>geral!I535</f>
        <v>777.5</v>
      </c>
      <c r="C253" s="857">
        <f t="shared" si="123"/>
        <v>113.39108622097773</v>
      </c>
      <c r="D253" s="961">
        <f t="shared" si="124"/>
        <v>0</v>
      </c>
      <c r="E253" s="961">
        <f t="shared" si="125"/>
        <v>-3.6157024793388337</v>
      </c>
      <c r="F253" s="965">
        <f t="shared" si="126"/>
        <v>-3.6157024793388337</v>
      </c>
      <c r="G253" s="966">
        <f t="shared" si="127"/>
        <v>-1.7894736842105186</v>
      </c>
      <c r="H253" s="861">
        <f t="shared" si="93"/>
        <v>1.2228750482315114</v>
      </c>
    </row>
    <row r="254" spans="1:8">
      <c r="A254" s="1014" t="s">
        <v>531</v>
      </c>
      <c r="B254" s="857">
        <f>geral!K524</f>
        <v>829.5</v>
      </c>
      <c r="C254" s="857">
        <f t="shared" ref="C254:C259" si="128">100*B254/$B$9</f>
        <v>120.974798739937</v>
      </c>
      <c r="D254" s="961">
        <f t="shared" ref="D254:D259" si="129">100*((B254/B253)-1)</f>
        <v>6.6881028938906795</v>
      </c>
      <c r="E254" s="961">
        <f t="shared" ref="E254:E259" si="130">100*((B254/$B$253)-1)</f>
        <v>6.6881028938906795</v>
      </c>
      <c r="F254" s="965">
        <f t="shared" ref="F254:F259" si="131">100*((B254/B242)-1)</f>
        <v>7.7272727272727382</v>
      </c>
      <c r="G254" s="966">
        <f t="shared" ref="G254:G259" si="132">100*(B254/B230-1)</f>
        <v>3.6874999999999991</v>
      </c>
      <c r="H254" s="861">
        <f t="shared" si="93"/>
        <v>1.1462150090415915</v>
      </c>
    </row>
    <row r="255" spans="1:8">
      <c r="A255" s="1014" t="s">
        <v>649</v>
      </c>
      <c r="B255" s="857">
        <f>geral!K525</f>
        <v>829.5</v>
      </c>
      <c r="C255" s="857">
        <f t="shared" si="128"/>
        <v>120.974798739937</v>
      </c>
      <c r="D255" s="961">
        <f t="shared" si="129"/>
        <v>0</v>
      </c>
      <c r="E255" s="961">
        <f t="shared" si="130"/>
        <v>6.6881028938906795</v>
      </c>
      <c r="F255" s="965">
        <f t="shared" si="131"/>
        <v>7.7272727272727382</v>
      </c>
      <c r="G255" s="966">
        <f t="shared" si="132"/>
        <v>3.6874999999999991</v>
      </c>
      <c r="H255" s="861">
        <f t="shared" si="93"/>
        <v>1.1462150090415915</v>
      </c>
    </row>
    <row r="256" spans="1:8">
      <c r="A256" s="1014" t="s">
        <v>650</v>
      </c>
      <c r="B256" s="857">
        <f>geral!K526</f>
        <v>829.5</v>
      </c>
      <c r="C256" s="857">
        <f t="shared" si="128"/>
        <v>120.974798739937</v>
      </c>
      <c r="D256" s="961">
        <f t="shared" si="129"/>
        <v>0</v>
      </c>
      <c r="E256" s="961">
        <f t="shared" si="130"/>
        <v>6.6881028938906795</v>
      </c>
      <c r="F256" s="965">
        <f t="shared" si="131"/>
        <v>7.7272727272727382</v>
      </c>
      <c r="G256" s="966">
        <f t="shared" si="132"/>
        <v>3.6874999999999991</v>
      </c>
      <c r="H256" s="861">
        <f t="shared" si="93"/>
        <v>1.1462150090415915</v>
      </c>
    </row>
    <row r="257" spans="1:8">
      <c r="A257" s="1014" t="s">
        <v>652</v>
      </c>
      <c r="B257" s="857">
        <f>geral!K527</f>
        <v>829.5</v>
      </c>
      <c r="C257" s="857">
        <f t="shared" si="128"/>
        <v>120.974798739937</v>
      </c>
      <c r="D257" s="961">
        <f t="shared" si="129"/>
        <v>0</v>
      </c>
      <c r="E257" s="961">
        <f t="shared" si="130"/>
        <v>6.6881028938906795</v>
      </c>
      <c r="F257" s="965">
        <f t="shared" si="131"/>
        <v>7.7272727272727382</v>
      </c>
      <c r="G257" s="966">
        <f t="shared" si="132"/>
        <v>3.6874999999999991</v>
      </c>
      <c r="H257" s="861">
        <f t="shared" si="93"/>
        <v>1.1462150090415915</v>
      </c>
    </row>
    <row r="258" spans="1:8">
      <c r="A258" s="1014" t="s">
        <v>653</v>
      </c>
      <c r="B258" s="857">
        <f>geral!K528</f>
        <v>829.5</v>
      </c>
      <c r="C258" s="857">
        <f t="shared" si="128"/>
        <v>120.974798739937</v>
      </c>
      <c r="D258" s="961">
        <f t="shared" si="129"/>
        <v>0</v>
      </c>
      <c r="E258" s="961">
        <f t="shared" si="130"/>
        <v>6.6881028938906795</v>
      </c>
      <c r="F258" s="965">
        <f t="shared" si="131"/>
        <v>7.7272727272727382</v>
      </c>
      <c r="G258" s="966">
        <f t="shared" si="132"/>
        <v>3.6874999999999991</v>
      </c>
      <c r="H258" s="861">
        <f t="shared" si="93"/>
        <v>1.1462150090415915</v>
      </c>
    </row>
    <row r="259" spans="1:8">
      <c r="A259" s="1014" t="s">
        <v>654</v>
      </c>
      <c r="B259" s="857">
        <f>geral!K529</f>
        <v>829.5</v>
      </c>
      <c r="C259" s="857">
        <f t="shared" si="128"/>
        <v>120.974798739937</v>
      </c>
      <c r="D259" s="961">
        <f t="shared" si="129"/>
        <v>0</v>
      </c>
      <c r="E259" s="961">
        <f t="shared" si="130"/>
        <v>6.6881028938906795</v>
      </c>
      <c r="F259" s="965">
        <f t="shared" si="131"/>
        <v>6.6881028938906795</v>
      </c>
      <c r="G259" s="966">
        <f t="shared" si="132"/>
        <v>3.6874999999999991</v>
      </c>
      <c r="H259" s="861">
        <f t="shared" si="93"/>
        <v>1.1462150090415915</v>
      </c>
    </row>
    <row r="260" spans="1:8">
      <c r="A260" s="1014" t="s">
        <v>657</v>
      </c>
      <c r="B260" s="857">
        <f>geral!K530</f>
        <v>829.5</v>
      </c>
      <c r="C260" s="857">
        <f t="shared" ref="C260:C265" si="133">100*B260/$B$9</f>
        <v>120.974798739937</v>
      </c>
      <c r="D260" s="961">
        <f t="shared" ref="D260:D265" si="134">100*((B260/B259)-1)</f>
        <v>0</v>
      </c>
      <c r="E260" s="961">
        <f t="shared" ref="E260:E265" si="135">100*((B260/$B$253)-1)</f>
        <v>6.6881028938906795</v>
      </c>
      <c r="F260" s="965">
        <f t="shared" ref="F260:F265" si="136">100*((B260/B248)-1)</f>
        <v>6.6881028938906795</v>
      </c>
      <c r="G260" s="966">
        <f t="shared" ref="G260:G265" si="137">100*(B260/B236-1)</f>
        <v>2.8305785123966976</v>
      </c>
      <c r="H260" s="861">
        <f t="shared" si="93"/>
        <v>1.1462150090415915</v>
      </c>
    </row>
    <row r="261" spans="1:8">
      <c r="A261" s="1032" t="str">
        <f>carlev!A192</f>
        <v>AGOSTO|15</v>
      </c>
      <c r="B261" s="918">
        <f>geral!K531</f>
        <v>829.5</v>
      </c>
      <c r="C261" s="918">
        <f t="shared" si="133"/>
        <v>120.974798739937</v>
      </c>
      <c r="D261" s="1036">
        <f t="shared" si="134"/>
        <v>0</v>
      </c>
      <c r="E261" s="1036">
        <f t="shared" si="135"/>
        <v>6.6881028938906795</v>
      </c>
      <c r="F261" s="1037">
        <f t="shared" si="136"/>
        <v>6.6881028938906795</v>
      </c>
      <c r="G261" s="1038">
        <f t="shared" si="137"/>
        <v>2.8305785123966976</v>
      </c>
      <c r="H261" s="861">
        <f t="shared" si="93"/>
        <v>1.1462150090415915</v>
      </c>
    </row>
    <row r="262" spans="1:8">
      <c r="A262" s="1032" t="str">
        <f>carlev!A193</f>
        <v>SETEMBRO|15</v>
      </c>
      <c r="B262" s="918">
        <f>geral!K532</f>
        <v>829.5</v>
      </c>
      <c r="C262" s="918">
        <f t="shared" si="133"/>
        <v>120.974798739937</v>
      </c>
      <c r="D262" s="1036">
        <f t="shared" si="134"/>
        <v>0</v>
      </c>
      <c r="E262" s="1036">
        <f t="shared" si="135"/>
        <v>6.6881028938906795</v>
      </c>
      <c r="F262" s="1037">
        <f t="shared" si="136"/>
        <v>6.6881028938906795</v>
      </c>
      <c r="G262" s="1038">
        <f t="shared" si="137"/>
        <v>2.8305785123966976</v>
      </c>
      <c r="H262" s="861">
        <f t="shared" si="93"/>
        <v>1.1462150090415915</v>
      </c>
    </row>
    <row r="263" spans="1:8">
      <c r="A263" s="1032" t="str">
        <f>carlev!A194</f>
        <v>OUTUBRO|15</v>
      </c>
      <c r="B263" s="918">
        <f>geral!K533</f>
        <v>829.5</v>
      </c>
      <c r="C263" s="918">
        <f t="shared" si="133"/>
        <v>120.974798739937</v>
      </c>
      <c r="D263" s="1036">
        <f t="shared" si="134"/>
        <v>0</v>
      </c>
      <c r="E263" s="1036">
        <f t="shared" si="135"/>
        <v>6.6881028938906795</v>
      </c>
      <c r="F263" s="1037">
        <f t="shared" si="136"/>
        <v>6.6881028938906795</v>
      </c>
      <c r="G263" s="1038">
        <f t="shared" si="137"/>
        <v>2.8305785123966976</v>
      </c>
      <c r="H263" s="861">
        <f t="shared" si="93"/>
        <v>1.1462150090415915</v>
      </c>
    </row>
    <row r="264" spans="1:8">
      <c r="A264" s="1032" t="str">
        <f>carlev!A195</f>
        <v>NOVEMBRO|15</v>
      </c>
      <c r="B264" s="918">
        <f>geral!K534</f>
        <v>829.5</v>
      </c>
      <c r="C264" s="918">
        <f t="shared" si="133"/>
        <v>120.974798739937</v>
      </c>
      <c r="D264" s="1036">
        <f t="shared" si="134"/>
        <v>0</v>
      </c>
      <c r="E264" s="1036">
        <f t="shared" si="135"/>
        <v>6.6881028938906795</v>
      </c>
      <c r="F264" s="1037">
        <f t="shared" si="136"/>
        <v>6.6881028938906795</v>
      </c>
      <c r="G264" s="1038">
        <f t="shared" si="137"/>
        <v>2.8305785123966976</v>
      </c>
      <c r="H264" s="861">
        <f t="shared" si="93"/>
        <v>1.1462150090415915</v>
      </c>
    </row>
    <row r="265" spans="1:8">
      <c r="A265" s="1032" t="str">
        <f>carlev!A196</f>
        <v>DEZEMBRO|15</v>
      </c>
      <c r="B265" s="918">
        <f>geral!K535</f>
        <v>829.5</v>
      </c>
      <c r="C265" s="918">
        <f t="shared" si="133"/>
        <v>120.974798739937</v>
      </c>
      <c r="D265" s="1036">
        <f t="shared" si="134"/>
        <v>0</v>
      </c>
      <c r="E265" s="1036">
        <f t="shared" si="135"/>
        <v>6.6881028938906795</v>
      </c>
      <c r="F265" s="1037">
        <f t="shared" si="136"/>
        <v>6.6881028938906795</v>
      </c>
      <c r="G265" s="1038">
        <f t="shared" si="137"/>
        <v>2.8305785123966976</v>
      </c>
      <c r="H265" s="861">
        <f t="shared" si="93"/>
        <v>1.1462150090415915</v>
      </c>
    </row>
    <row r="266" spans="1:8">
      <c r="A266" s="1032" t="str">
        <f>carlev!A197</f>
        <v>JANEIRO|16</v>
      </c>
      <c r="B266" s="918">
        <f>geral!M524</f>
        <v>829.5</v>
      </c>
      <c r="C266" s="918">
        <f t="shared" ref="C266" si="138">100*B266/$B$9</f>
        <v>120.974798739937</v>
      </c>
      <c r="D266" s="1036">
        <f t="shared" ref="D266" si="139">100*((B266/B265)-1)</f>
        <v>0</v>
      </c>
      <c r="E266" s="1036">
        <f t="shared" ref="E266:E271" si="140">100*((B266/$B$265)-1)</f>
        <v>0</v>
      </c>
      <c r="F266" s="1037">
        <f t="shared" ref="F266" si="141">100*((B266/B254)-1)</f>
        <v>0</v>
      </c>
      <c r="G266" s="1038">
        <f t="shared" ref="G266" si="142">100*(B266/B242-1)</f>
        <v>7.7272727272727382</v>
      </c>
      <c r="H266" s="861">
        <f t="shared" si="93"/>
        <v>1.1462150090415915</v>
      </c>
    </row>
    <row r="267" spans="1:8">
      <c r="A267" s="1032" t="str">
        <f>carlev!A198</f>
        <v>FEVEREIRO|16</v>
      </c>
      <c r="B267" s="918">
        <f>geral!M525</f>
        <v>829.5</v>
      </c>
      <c r="C267" s="918">
        <f t="shared" ref="C267" si="143">100*B267/$B$9</f>
        <v>120.974798739937</v>
      </c>
      <c r="D267" s="1036">
        <f t="shared" ref="D267" si="144">100*((B267/B266)-1)</f>
        <v>0</v>
      </c>
      <c r="E267" s="1036">
        <f t="shared" si="140"/>
        <v>0</v>
      </c>
      <c r="F267" s="1037">
        <f t="shared" ref="F267" si="145">100*((B267/B255)-1)</f>
        <v>0</v>
      </c>
      <c r="G267" s="1038">
        <f t="shared" ref="G267" si="146">100*(B267/B243-1)</f>
        <v>7.7272727272727382</v>
      </c>
      <c r="H267" s="861">
        <f t="shared" si="93"/>
        <v>1.1462150090415915</v>
      </c>
    </row>
    <row r="268" spans="1:8">
      <c r="A268" s="1032" t="str">
        <f>carlev!A199</f>
        <v>MARÇO|16</v>
      </c>
      <c r="B268" s="918">
        <f>geral!M526</f>
        <v>829.5</v>
      </c>
      <c r="C268" s="918">
        <f t="shared" ref="C268" si="147">100*B268/$B$9</f>
        <v>120.974798739937</v>
      </c>
      <c r="D268" s="1036">
        <f t="shared" ref="D268" si="148">100*((B268/B267)-1)</f>
        <v>0</v>
      </c>
      <c r="E268" s="1036">
        <f t="shared" si="140"/>
        <v>0</v>
      </c>
      <c r="F268" s="1037">
        <f t="shared" ref="F268" si="149">100*((B268/B256)-1)</f>
        <v>0</v>
      </c>
      <c r="G268" s="1038">
        <f t="shared" ref="G268" si="150">100*(B268/B244-1)</f>
        <v>7.7272727272727382</v>
      </c>
      <c r="H268" s="861">
        <f t="shared" si="93"/>
        <v>1.1462150090415915</v>
      </c>
    </row>
    <row r="269" spans="1:8">
      <c r="A269" s="1032" t="str">
        <f>carlev!A200</f>
        <v>ABRIL|16</v>
      </c>
      <c r="B269" s="918">
        <f>geral!M527</f>
        <v>839.95</v>
      </c>
      <c r="C269" s="918">
        <f t="shared" ref="C269" si="151">100*B269/$B$9</f>
        <v>122.4988332749971</v>
      </c>
      <c r="D269" s="1036">
        <f t="shared" ref="D269" si="152">100*((B269/B268)-1)</f>
        <v>1.2597950572634131</v>
      </c>
      <c r="E269" s="1036">
        <f t="shared" si="140"/>
        <v>1.2597950572634131</v>
      </c>
      <c r="F269" s="1037">
        <f t="shared" ref="F269" si="153">100*((B269/B257)-1)</f>
        <v>1.2597950572634131</v>
      </c>
      <c r="G269" s="1038">
        <f t="shared" ref="G269" si="154">100*(B269/B245-1)</f>
        <v>9.0844155844155949</v>
      </c>
      <c r="H269" s="861">
        <f t="shared" si="93"/>
        <v>1.1319546996845051</v>
      </c>
    </row>
    <row r="270" spans="1:8">
      <c r="A270" s="1032" t="str">
        <f>carlev!A201</f>
        <v>MAIO|16</v>
      </c>
      <c r="B270" s="918">
        <f>geral!M528</f>
        <v>839.95</v>
      </c>
      <c r="C270" s="918">
        <f t="shared" ref="C270" si="155">100*B270/$B$9</f>
        <v>122.4988332749971</v>
      </c>
      <c r="D270" s="1036">
        <f t="shared" ref="D270" si="156">100*((B270/B269)-1)</f>
        <v>0</v>
      </c>
      <c r="E270" s="1036">
        <f t="shared" si="140"/>
        <v>1.2597950572634131</v>
      </c>
      <c r="F270" s="1037">
        <f t="shared" ref="F270" si="157">100*((B270/B258)-1)</f>
        <v>1.2597950572634131</v>
      </c>
      <c r="G270" s="1038">
        <f t="shared" ref="G270" si="158">100*(B270/B246-1)</f>
        <v>9.0844155844155949</v>
      </c>
      <c r="H270" s="861">
        <f t="shared" si="93"/>
        <v>1.1319546996845051</v>
      </c>
    </row>
    <row r="271" spans="1:8">
      <c r="A271" s="1032" t="str">
        <f>carlev!A202</f>
        <v>JUNHO|16</v>
      </c>
      <c r="B271" s="918">
        <f>geral!M529</f>
        <v>839.95</v>
      </c>
      <c r="C271" s="918">
        <f t="shared" ref="C271" si="159">100*B271/$B$9</f>
        <v>122.4988332749971</v>
      </c>
      <c r="D271" s="1036">
        <f t="shared" ref="D271" si="160">100*((B271/B270)-1)</f>
        <v>0</v>
      </c>
      <c r="E271" s="1036">
        <f t="shared" si="140"/>
        <v>1.2597950572634131</v>
      </c>
      <c r="F271" s="1037">
        <f t="shared" ref="F271" si="161">100*((B271/B259)-1)</f>
        <v>1.2597950572634131</v>
      </c>
      <c r="G271" s="1038">
        <f t="shared" ref="G271" si="162">100*(B271/B247-1)</f>
        <v>8.0321543408360174</v>
      </c>
      <c r="H271" s="861">
        <f t="shared" si="93"/>
        <v>1.1319546996845051</v>
      </c>
    </row>
    <row r="272" spans="1:8">
      <c r="A272" s="1032" t="str">
        <f>carlev!A203</f>
        <v>JULHO|16</v>
      </c>
      <c r="B272" s="918">
        <f>geral!M530</f>
        <v>839.95</v>
      </c>
      <c r="C272" s="918">
        <f t="shared" ref="C272" si="163">100*B272/$B$9</f>
        <v>122.4988332749971</v>
      </c>
      <c r="D272" s="1036">
        <f t="shared" ref="D272" si="164">100*((B272/B271)-1)</f>
        <v>0</v>
      </c>
      <c r="E272" s="1036">
        <f t="shared" ref="E272" si="165">100*((B272/$B$265)-1)</f>
        <v>1.2597950572634131</v>
      </c>
      <c r="F272" s="1037">
        <f t="shared" ref="F272" si="166">100*((B272/B260)-1)</f>
        <v>1.2597950572634131</v>
      </c>
      <c r="G272" s="1038">
        <f t="shared" ref="G272" si="167">100*(B272/B248-1)</f>
        <v>8.0321543408360174</v>
      </c>
      <c r="H272" s="861">
        <f t="shared" ref="H272:H322" si="168">$B$322/B272</f>
        <v>1.1319546996845051</v>
      </c>
    </row>
    <row r="273" spans="1:8">
      <c r="A273" s="1032" t="str">
        <f>carlev!A204</f>
        <v>AGOSTO|16</v>
      </c>
      <c r="B273" s="918">
        <f>geral!M531</f>
        <v>839.95</v>
      </c>
      <c r="C273" s="918">
        <f t="shared" ref="C273" si="169">100*B273/$B$9</f>
        <v>122.4988332749971</v>
      </c>
      <c r="D273" s="1036">
        <f t="shared" ref="D273" si="170">100*((B273/B272)-1)</f>
        <v>0</v>
      </c>
      <c r="E273" s="1036">
        <f t="shared" ref="E273" si="171">100*((B273/$B$265)-1)</f>
        <v>1.2597950572634131</v>
      </c>
      <c r="F273" s="1037">
        <f t="shared" ref="F273" si="172">100*((B273/B261)-1)</f>
        <v>1.2597950572634131</v>
      </c>
      <c r="G273" s="1038">
        <f t="shared" ref="G273" si="173">100*(B273/B249-1)</f>
        <v>8.0321543408360174</v>
      </c>
      <c r="H273" s="861">
        <f t="shared" si="168"/>
        <v>1.1319546996845051</v>
      </c>
    </row>
    <row r="274" spans="1:8">
      <c r="A274" s="1032" t="str">
        <f>carlev!A205</f>
        <v>SETEMBRO|16</v>
      </c>
      <c r="B274" s="918">
        <f>geral!M532</f>
        <v>839.95</v>
      </c>
      <c r="C274" s="918">
        <f t="shared" ref="C274" si="174">100*B274/$B$9</f>
        <v>122.4988332749971</v>
      </c>
      <c r="D274" s="1036">
        <f t="shared" ref="D274" si="175">100*((B274/B273)-1)</f>
        <v>0</v>
      </c>
      <c r="E274" s="1036">
        <f t="shared" ref="E274" si="176">100*((B274/$B$265)-1)</f>
        <v>1.2597950572634131</v>
      </c>
      <c r="F274" s="1037">
        <f t="shared" ref="F274" si="177">100*((B274/B262)-1)</f>
        <v>1.2597950572634131</v>
      </c>
      <c r="G274" s="1038">
        <f t="shared" ref="G274" si="178">100*(B274/B250-1)</f>
        <v>8.0321543408360174</v>
      </c>
      <c r="H274" s="861">
        <f t="shared" si="168"/>
        <v>1.1319546996845051</v>
      </c>
    </row>
    <row r="275" spans="1:8">
      <c r="A275" s="1032" t="str">
        <f>carlev!A206</f>
        <v>OUTUBRO|16</v>
      </c>
      <c r="B275" s="918">
        <f>geral!M533</f>
        <v>839.95</v>
      </c>
      <c r="C275" s="918">
        <f t="shared" ref="C275" si="179">100*B275/$B$9</f>
        <v>122.4988332749971</v>
      </c>
      <c r="D275" s="1036">
        <f t="shared" ref="D275" si="180">100*((B275/B274)-1)</f>
        <v>0</v>
      </c>
      <c r="E275" s="1036">
        <f t="shared" ref="E275" si="181">100*((B275/$B$265)-1)</f>
        <v>1.2597950572634131</v>
      </c>
      <c r="F275" s="1037">
        <f t="shared" ref="F275" si="182">100*((B275/B263)-1)</f>
        <v>1.2597950572634131</v>
      </c>
      <c r="G275" s="1038">
        <f t="shared" ref="G275" si="183">100*(B275/B251-1)</f>
        <v>8.0321543408360174</v>
      </c>
      <c r="H275" s="861">
        <f t="shared" si="168"/>
        <v>1.1319546996845051</v>
      </c>
    </row>
    <row r="276" spans="1:8">
      <c r="A276" s="1032" t="str">
        <f>carlev!A207</f>
        <v>NOVEMBRO|16</v>
      </c>
      <c r="B276" s="918">
        <f>geral!M534</f>
        <v>839.95</v>
      </c>
      <c r="C276" s="918">
        <f t="shared" ref="C276" si="184">100*B276/$B$9</f>
        <v>122.4988332749971</v>
      </c>
      <c r="D276" s="1036">
        <f t="shared" ref="D276" si="185">100*((B276/B275)-1)</f>
        <v>0</v>
      </c>
      <c r="E276" s="1036">
        <f t="shared" ref="E276" si="186">100*((B276/$B$265)-1)</f>
        <v>1.2597950572634131</v>
      </c>
      <c r="F276" s="1037">
        <f t="shared" ref="F276" si="187">100*((B276/B264)-1)</f>
        <v>1.2597950572634131</v>
      </c>
      <c r="G276" s="1038">
        <f t="shared" ref="G276" si="188">100*(B276/B252-1)</f>
        <v>8.0321543408360174</v>
      </c>
      <c r="H276" s="861">
        <f t="shared" si="168"/>
        <v>1.1319546996845051</v>
      </c>
    </row>
    <row r="277" spans="1:8">
      <c r="A277" s="1032" t="str">
        <f>carlev!A208</f>
        <v>DEZEMBRO|16</v>
      </c>
      <c r="B277" s="918">
        <f>geral!M535</f>
        <v>839.95</v>
      </c>
      <c r="C277" s="918">
        <f t="shared" ref="C277" si="189">100*B277/$B$9</f>
        <v>122.4988332749971</v>
      </c>
      <c r="D277" s="1036">
        <f t="shared" ref="D277" si="190">100*((B277/B276)-1)</f>
        <v>0</v>
      </c>
      <c r="E277" s="1036">
        <f t="shared" ref="E277" si="191">100*((B277/$B$265)-1)</f>
        <v>1.2597950572634131</v>
      </c>
      <c r="F277" s="1037">
        <f t="shared" ref="F277" si="192">100*((B277/B265)-1)</f>
        <v>1.2597950572634131</v>
      </c>
      <c r="G277" s="1038">
        <f t="shared" ref="G277" si="193">100*(B277/B253-1)</f>
        <v>8.0321543408360174</v>
      </c>
      <c r="H277" s="861">
        <f t="shared" si="168"/>
        <v>1.1319546996845051</v>
      </c>
    </row>
    <row r="278" spans="1:8">
      <c r="A278" s="1032" t="str">
        <f>carlev!A209</f>
        <v>JANEIRO|17</v>
      </c>
      <c r="B278" s="918">
        <f>geral!O524</f>
        <v>839.95</v>
      </c>
      <c r="C278" s="918">
        <f t="shared" ref="C278" si="194">100*B278/$B$9</f>
        <v>122.4988332749971</v>
      </c>
      <c r="D278" s="1036">
        <f t="shared" ref="D278" si="195">100*((B278/B277)-1)</f>
        <v>0</v>
      </c>
      <c r="E278" s="1036">
        <f t="shared" ref="E278:E283" si="196">100*((B278/$B$277)-1)</f>
        <v>0</v>
      </c>
      <c r="F278" s="1037">
        <f t="shared" ref="F278" si="197">100*((B278/B266)-1)</f>
        <v>1.2597950572634131</v>
      </c>
      <c r="G278" s="1038">
        <f t="shared" ref="G278" si="198">100*(B278/B254-1)</f>
        <v>1.2597950572634131</v>
      </c>
      <c r="H278" s="861">
        <f t="shared" si="168"/>
        <v>1.1319546996845051</v>
      </c>
    </row>
    <row r="279" spans="1:8">
      <c r="A279" s="1032" t="str">
        <f>carlev!A210</f>
        <v>FEVEREIRO|17</v>
      </c>
      <c r="B279" s="918">
        <f>geral!O525</f>
        <v>839.95</v>
      </c>
      <c r="C279" s="918">
        <f t="shared" ref="C279" si="199">100*B279/$B$9</f>
        <v>122.4988332749971</v>
      </c>
      <c r="D279" s="1036">
        <f t="shared" ref="D279" si="200">100*((B279/B278)-1)</f>
        <v>0</v>
      </c>
      <c r="E279" s="1036">
        <f t="shared" si="196"/>
        <v>0</v>
      </c>
      <c r="F279" s="1037">
        <f t="shared" ref="F279" si="201">100*((B279/B267)-1)</f>
        <v>1.2597950572634131</v>
      </c>
      <c r="G279" s="1038">
        <f t="shared" ref="G279" si="202">100*(B279/B255-1)</f>
        <v>1.2597950572634131</v>
      </c>
      <c r="H279" s="861">
        <f t="shared" si="168"/>
        <v>1.1319546996845051</v>
      </c>
    </row>
    <row r="280" spans="1:8">
      <c r="A280" s="1032" t="str">
        <f>carlev!A211</f>
        <v>MARÇO|17</v>
      </c>
      <c r="B280" s="918">
        <f>geral!O526</f>
        <v>862.4</v>
      </c>
      <c r="C280" s="918">
        <f t="shared" ref="C280" si="203">100*B280/$B$9</f>
        <v>125.77295531443239</v>
      </c>
      <c r="D280" s="1036">
        <f t="shared" ref="D280" si="204">100*((B280/B279)-1)</f>
        <v>2.6727781415560425</v>
      </c>
      <c r="E280" s="1036">
        <f t="shared" si="196"/>
        <v>2.6727781415560425</v>
      </c>
      <c r="F280" s="1037">
        <f t="shared" ref="F280" si="205">100*((B280/B268)-1)</f>
        <v>3.9662447257383882</v>
      </c>
      <c r="G280" s="1038">
        <f t="shared" ref="G280" si="206">100*(B280/B256-1)</f>
        <v>3.9662447257383882</v>
      </c>
      <c r="H280" s="861">
        <f t="shared" si="168"/>
        <v>1.1024876507421151</v>
      </c>
    </row>
    <row r="281" spans="1:8">
      <c r="A281" s="1032" t="str">
        <f>carlev!A212</f>
        <v>ABRIL|17</v>
      </c>
      <c r="B281" s="918">
        <f>geral!O527</f>
        <v>862.4</v>
      </c>
      <c r="C281" s="918">
        <f t="shared" ref="C281" si="207">100*B281/$B$9</f>
        <v>125.77295531443239</v>
      </c>
      <c r="D281" s="1036">
        <f t="shared" ref="D281" si="208">100*((B281/B280)-1)</f>
        <v>0</v>
      </c>
      <c r="E281" s="1036">
        <f t="shared" si="196"/>
        <v>2.6727781415560425</v>
      </c>
      <c r="F281" s="1037">
        <f t="shared" ref="F281" si="209">100*((B281/B269)-1)</f>
        <v>2.6727781415560425</v>
      </c>
      <c r="G281" s="1038">
        <f t="shared" ref="G281" si="210">100*(B281/B257-1)</f>
        <v>3.9662447257383882</v>
      </c>
      <c r="H281" s="861">
        <f t="shared" si="168"/>
        <v>1.1024876507421151</v>
      </c>
    </row>
    <row r="282" spans="1:8">
      <c r="A282" s="1032" t="str">
        <f>carlev!A213</f>
        <v>MAIO|17</v>
      </c>
      <c r="B282" s="918">
        <f>geral!O528</f>
        <v>862.4</v>
      </c>
      <c r="C282" s="918">
        <f t="shared" ref="C282" si="211">100*B282/$B$9</f>
        <v>125.77295531443239</v>
      </c>
      <c r="D282" s="1036">
        <f t="shared" ref="D282" si="212">100*((B282/B281)-1)</f>
        <v>0</v>
      </c>
      <c r="E282" s="1036">
        <f t="shared" si="196"/>
        <v>2.6727781415560425</v>
      </c>
      <c r="F282" s="1037">
        <f t="shared" ref="F282" si="213">100*((B282/B270)-1)</f>
        <v>2.6727781415560425</v>
      </c>
      <c r="G282" s="1038">
        <f t="shared" ref="G282" si="214">100*(B282/B258-1)</f>
        <v>3.9662447257383882</v>
      </c>
      <c r="H282" s="861">
        <f t="shared" si="168"/>
        <v>1.1024876507421151</v>
      </c>
    </row>
    <row r="283" spans="1:8">
      <c r="A283" s="1032" t="str">
        <f>carlev!A214</f>
        <v>JUNHO|17</v>
      </c>
      <c r="B283" s="918">
        <f>geral!O529</f>
        <v>862.4</v>
      </c>
      <c r="C283" s="918">
        <f t="shared" ref="C283" si="215">100*B283/$B$9</f>
        <v>125.77295531443239</v>
      </c>
      <c r="D283" s="1036">
        <f t="shared" ref="D283" si="216">100*((B283/B282)-1)</f>
        <v>0</v>
      </c>
      <c r="E283" s="1036">
        <f t="shared" si="196"/>
        <v>2.6727781415560425</v>
      </c>
      <c r="F283" s="1037">
        <f t="shared" ref="F283" si="217">100*((B283/B271)-1)</f>
        <v>2.6727781415560425</v>
      </c>
      <c r="G283" s="1038">
        <f t="shared" ref="G283" si="218">100*(B283/B259-1)</f>
        <v>3.9662447257383882</v>
      </c>
      <c r="H283" s="861">
        <f t="shared" si="168"/>
        <v>1.1024876507421151</v>
      </c>
    </row>
    <row r="284" spans="1:8">
      <c r="A284" s="1032" t="str">
        <f>carlev!A215</f>
        <v>JULHO|17</v>
      </c>
      <c r="B284" s="918">
        <f>geral!O530</f>
        <v>862.4</v>
      </c>
      <c r="C284" s="918">
        <f t="shared" ref="C284" si="219">100*B284/$B$9</f>
        <v>125.77295531443239</v>
      </c>
      <c r="D284" s="1036">
        <f t="shared" ref="D284" si="220">100*((B284/B283)-1)</f>
        <v>0</v>
      </c>
      <c r="E284" s="1036">
        <f t="shared" ref="E284" si="221">100*((B284/$B$277)-1)</f>
        <v>2.6727781415560425</v>
      </c>
      <c r="F284" s="1037">
        <f t="shared" ref="F284" si="222">100*((B284/B272)-1)</f>
        <v>2.6727781415560425</v>
      </c>
      <c r="G284" s="1038">
        <f t="shared" ref="G284" si="223">100*(B284/B260-1)</f>
        <v>3.9662447257383882</v>
      </c>
      <c r="H284" s="861">
        <f t="shared" si="168"/>
        <v>1.1024876507421151</v>
      </c>
    </row>
    <row r="285" spans="1:8">
      <c r="A285" s="1032" t="str">
        <f>carlev!A216</f>
        <v>AGOSTO|17</v>
      </c>
      <c r="B285" s="918">
        <f>geral!O531</f>
        <v>882.4</v>
      </c>
      <c r="C285" s="918">
        <f t="shared" ref="C285" si="224">100*B285/$B$9</f>
        <v>128.68976782172442</v>
      </c>
      <c r="D285" s="1036">
        <f t="shared" ref="D285" si="225">100*((B285/B284)-1)</f>
        <v>2.3191094619666064</v>
      </c>
      <c r="E285" s="1036">
        <f t="shared" ref="E285" si="226">100*((B285/$B$277)-1)</f>
        <v>5.0538722543008507</v>
      </c>
      <c r="F285" s="1037">
        <f t="shared" ref="F285" si="227">100*((B285/B273)-1)</f>
        <v>5.0538722543008507</v>
      </c>
      <c r="G285" s="1038">
        <f t="shared" ref="G285" si="228">100*(B285/B261-1)</f>
        <v>6.3773357444243395</v>
      </c>
      <c r="H285" s="861">
        <f t="shared" si="168"/>
        <v>1.0774992633726204</v>
      </c>
    </row>
    <row r="286" spans="1:8">
      <c r="A286" s="1032" t="str">
        <f>carlev!A217</f>
        <v>SETEMBRO|17</v>
      </c>
      <c r="B286" s="918">
        <f>geral!O532</f>
        <v>882.4</v>
      </c>
      <c r="C286" s="918">
        <f t="shared" ref="C286" si="229">100*B286/$B$9</f>
        <v>128.68976782172442</v>
      </c>
      <c r="D286" s="1036">
        <f t="shared" ref="D286" si="230">100*((B286/B285)-1)</f>
        <v>0</v>
      </c>
      <c r="E286" s="1036">
        <f t="shared" ref="E286" si="231">100*((B286/$B$277)-1)</f>
        <v>5.0538722543008507</v>
      </c>
      <c r="F286" s="1037">
        <f t="shared" ref="F286" si="232">100*((B286/B274)-1)</f>
        <v>5.0538722543008507</v>
      </c>
      <c r="G286" s="1038">
        <f t="shared" ref="G286" si="233">100*(B286/B262-1)</f>
        <v>6.3773357444243395</v>
      </c>
      <c r="H286" s="861">
        <f t="shared" si="168"/>
        <v>1.0774992633726204</v>
      </c>
    </row>
    <row r="287" spans="1:8">
      <c r="A287" s="1032" t="str">
        <f>carlev!A218</f>
        <v>OUTUBRO|17</v>
      </c>
      <c r="B287" s="918">
        <f>geral!O533</f>
        <v>882.4</v>
      </c>
      <c r="C287" s="918">
        <f t="shared" ref="C287" si="234">100*B287/$B$9</f>
        <v>128.68976782172442</v>
      </c>
      <c r="D287" s="1036">
        <f t="shared" ref="D287" si="235">100*((B287/B286)-1)</f>
        <v>0</v>
      </c>
      <c r="E287" s="1036">
        <f t="shared" ref="E287" si="236">100*((B287/$B$277)-1)</f>
        <v>5.0538722543008507</v>
      </c>
      <c r="F287" s="1037">
        <f t="shared" ref="F287" si="237">100*((B287/B275)-1)</f>
        <v>5.0538722543008507</v>
      </c>
      <c r="G287" s="1038">
        <f t="shared" ref="G287" si="238">100*(B287/B263-1)</f>
        <v>6.3773357444243395</v>
      </c>
      <c r="H287" s="861">
        <f t="shared" si="168"/>
        <v>1.0774992633726204</v>
      </c>
    </row>
    <row r="288" spans="1:8">
      <c r="A288" s="1032" t="str">
        <f>carlev!A219</f>
        <v>NOVEMBRO|17</v>
      </c>
      <c r="B288" s="918">
        <f>geral!O534</f>
        <v>894.9</v>
      </c>
      <c r="C288" s="918">
        <f t="shared" ref="C288" si="239">100*B288/$B$9</f>
        <v>130.51277563878196</v>
      </c>
      <c r="D288" s="1036">
        <f t="shared" ref="D288" si="240">100*((B288/B287)-1)</f>
        <v>1.4165911151405197</v>
      </c>
      <c r="E288" s="1036">
        <f t="shared" ref="E288" si="241">100*((B288/$B$277)-1)</f>
        <v>6.5420560747663448</v>
      </c>
      <c r="F288" s="1037">
        <f t="shared" ref="F288" si="242">100*((B288/B276)-1)</f>
        <v>6.5420560747663448</v>
      </c>
      <c r="G288" s="1038">
        <f t="shared" ref="G288" si="243">100*(B288/B264-1)</f>
        <v>7.8842676311030813</v>
      </c>
      <c r="H288" s="861">
        <f t="shared" si="168"/>
        <v>1.0624487093530004</v>
      </c>
    </row>
    <row r="289" spans="1:8">
      <c r="A289" s="1032" t="str">
        <f>carlev!A220</f>
        <v>DEZEMBRO|17</v>
      </c>
      <c r="B289" s="918">
        <f>geral!O535</f>
        <v>894.9</v>
      </c>
      <c r="C289" s="918">
        <f t="shared" ref="C289" si="244">100*B289/$B$9</f>
        <v>130.51277563878196</v>
      </c>
      <c r="D289" s="1036">
        <f t="shared" ref="D289" si="245">100*((B289/B288)-1)</f>
        <v>0</v>
      </c>
      <c r="E289" s="1036">
        <f t="shared" ref="E289" si="246">100*((B289/$B$277)-1)</f>
        <v>6.5420560747663448</v>
      </c>
      <c r="F289" s="1037">
        <f t="shared" ref="F289" si="247">100*((B289/B277)-1)</f>
        <v>6.5420560747663448</v>
      </c>
      <c r="G289" s="1038">
        <f t="shared" ref="G289" si="248">100*(B289/B265-1)</f>
        <v>7.8842676311030813</v>
      </c>
      <c r="H289" s="861">
        <f t="shared" si="168"/>
        <v>1.0624487093530004</v>
      </c>
    </row>
    <row r="290" spans="1:8">
      <c r="A290" s="1032" t="str">
        <f>carlev!A221</f>
        <v>JANEIRO|18</v>
      </c>
      <c r="B290" s="918">
        <f>geral!Q524</f>
        <v>894.9</v>
      </c>
      <c r="C290" s="918">
        <f t="shared" ref="C290" si="249">100*B290/$B$9</f>
        <v>130.51277563878196</v>
      </c>
      <c r="D290" s="1036">
        <f t="shared" ref="D290" si="250">100*((B290/B289)-1)</f>
        <v>0</v>
      </c>
      <c r="E290" s="1036">
        <f t="shared" ref="E290:E295" si="251">100*((B290/$B$289)-1)</f>
        <v>0</v>
      </c>
      <c r="F290" s="1037">
        <f t="shared" ref="F290" si="252">100*((B290/B278)-1)</f>
        <v>6.5420560747663448</v>
      </c>
      <c r="G290" s="1038">
        <f t="shared" ref="G290" si="253">100*(B290/B266-1)</f>
        <v>7.8842676311030813</v>
      </c>
      <c r="H290" s="861">
        <f t="shared" si="168"/>
        <v>1.0624487093530004</v>
      </c>
    </row>
    <row r="291" spans="1:8">
      <c r="A291" s="1032" t="str">
        <f>carlev!A222</f>
        <v>FEVEREIRO|18</v>
      </c>
      <c r="B291" s="918">
        <f>geral!Q525</f>
        <v>894.9</v>
      </c>
      <c r="C291" s="918">
        <f t="shared" ref="C291" si="254">100*B291/$B$9</f>
        <v>130.51277563878196</v>
      </c>
      <c r="D291" s="1036">
        <f t="shared" ref="D291" si="255">100*((B291/B290)-1)</f>
        <v>0</v>
      </c>
      <c r="E291" s="1036">
        <f t="shared" si="251"/>
        <v>0</v>
      </c>
      <c r="F291" s="1037">
        <f t="shared" ref="F291" si="256">100*((B291/B279)-1)</f>
        <v>6.5420560747663448</v>
      </c>
      <c r="G291" s="1038">
        <f t="shared" ref="G291" si="257">100*(B291/B267-1)</f>
        <v>7.8842676311030813</v>
      </c>
      <c r="H291" s="861">
        <f t="shared" si="168"/>
        <v>1.0624487093530004</v>
      </c>
    </row>
    <row r="292" spans="1:8">
      <c r="A292" s="1032" t="str">
        <f>carlev!A223</f>
        <v>MARÇO|18</v>
      </c>
      <c r="B292" s="918">
        <f>geral!Q526</f>
        <v>894.9</v>
      </c>
      <c r="C292" s="918">
        <f t="shared" ref="C292" si="258">100*B292/$B$9</f>
        <v>130.51277563878196</v>
      </c>
      <c r="D292" s="1036">
        <f t="shared" ref="D292" si="259">100*((B292/B291)-1)</f>
        <v>0</v>
      </c>
      <c r="E292" s="1036">
        <f t="shared" si="251"/>
        <v>0</v>
      </c>
      <c r="F292" s="1037">
        <f t="shared" ref="F292" si="260">100*((B292/B280)-1)</f>
        <v>3.7685528756957298</v>
      </c>
      <c r="G292" s="1038">
        <f t="shared" ref="G292" si="261">100*(B292/B268-1)</f>
        <v>7.8842676311030813</v>
      </c>
      <c r="H292" s="861">
        <f t="shared" si="168"/>
        <v>1.0624487093530004</v>
      </c>
    </row>
    <row r="293" spans="1:8">
      <c r="A293" s="1032" t="str">
        <f>carlev!A224</f>
        <v>ABRIL|18</v>
      </c>
      <c r="B293" s="918">
        <f>geral!Q527</f>
        <v>899.9</v>
      </c>
      <c r="C293" s="918">
        <f t="shared" ref="C293" si="262">100*B293/$B$9</f>
        <v>131.24197876560496</v>
      </c>
      <c r="D293" s="1036">
        <f t="shared" ref="D293" si="263">100*((B293/B292)-1)</f>
        <v>0.55872164487651421</v>
      </c>
      <c r="E293" s="1036">
        <f t="shared" si="251"/>
        <v>0.55872164487651421</v>
      </c>
      <c r="F293" s="1037">
        <f t="shared" ref="F293" si="264">100*((B293/B281)-1)</f>
        <v>4.3483302411873925</v>
      </c>
      <c r="G293" s="1038">
        <f t="shared" ref="G293" si="265">100*(B293/B269-1)</f>
        <v>7.1373296029525468</v>
      </c>
      <c r="H293" s="861">
        <f t="shared" si="168"/>
        <v>1.0565455606178467</v>
      </c>
    </row>
    <row r="294" spans="1:8">
      <c r="A294" s="1032" t="str">
        <f>carlev!A225</f>
        <v>MAIO|18</v>
      </c>
      <c r="B294" s="918">
        <f>geral!Q528</f>
        <v>899.9</v>
      </c>
      <c r="C294" s="918">
        <f t="shared" ref="C294" si="266">100*B294/$B$9</f>
        <v>131.24197876560496</v>
      </c>
      <c r="D294" s="1036">
        <f t="shared" ref="D294" si="267">100*((B294/B293)-1)</f>
        <v>0</v>
      </c>
      <c r="E294" s="1036">
        <f t="shared" si="251"/>
        <v>0.55872164487651421</v>
      </c>
      <c r="F294" s="1037">
        <f t="shared" ref="F294" si="268">100*((B294/B282)-1)</f>
        <v>4.3483302411873925</v>
      </c>
      <c r="G294" s="1038">
        <f t="shared" ref="G294" si="269">100*(B294/B270-1)</f>
        <v>7.1373296029525468</v>
      </c>
      <c r="H294" s="861">
        <f t="shared" si="168"/>
        <v>1.0565455606178467</v>
      </c>
    </row>
    <row r="295" spans="1:8">
      <c r="A295" s="1032" t="str">
        <f>carlev!A226</f>
        <v>JUNHO|18</v>
      </c>
      <c r="B295" s="918">
        <f>geral!Q529</f>
        <v>899.9</v>
      </c>
      <c r="C295" s="918">
        <f t="shared" ref="C295" si="270">100*B295/$B$9</f>
        <v>131.24197876560496</v>
      </c>
      <c r="D295" s="1036">
        <f t="shared" ref="D295" si="271">100*((B295/B294)-1)</f>
        <v>0</v>
      </c>
      <c r="E295" s="1036">
        <f t="shared" si="251"/>
        <v>0.55872164487651421</v>
      </c>
      <c r="F295" s="1037">
        <f t="shared" ref="F295" si="272">100*((B295/B283)-1)</f>
        <v>4.3483302411873925</v>
      </c>
      <c r="G295" s="1038">
        <f t="shared" ref="G295" si="273">100*(B295/B271-1)</f>
        <v>7.1373296029525468</v>
      </c>
      <c r="H295" s="861">
        <f t="shared" si="168"/>
        <v>1.0565455606178467</v>
      </c>
    </row>
    <row r="296" spans="1:8">
      <c r="A296" s="1032" t="str">
        <f>carlev!A227</f>
        <v>JULHO|18</v>
      </c>
      <c r="B296" s="918">
        <f>geral!Q530</f>
        <v>899.9</v>
      </c>
      <c r="C296" s="918">
        <f t="shared" ref="C296" si="274">100*B296/$B$9</f>
        <v>131.24197876560496</v>
      </c>
      <c r="D296" s="1036">
        <f t="shared" ref="D296" si="275">100*((B296/B295)-1)</f>
        <v>0</v>
      </c>
      <c r="E296" s="1036">
        <f t="shared" ref="E296" si="276">100*((B296/$B$289)-1)</f>
        <v>0.55872164487651421</v>
      </c>
      <c r="F296" s="1037">
        <f t="shared" ref="F296" si="277">100*((B296/B284)-1)</f>
        <v>4.3483302411873925</v>
      </c>
      <c r="G296" s="1038">
        <f t="shared" ref="G296" si="278">100*(B296/B272-1)</f>
        <v>7.1373296029525468</v>
      </c>
      <c r="H296" s="861">
        <f t="shared" si="168"/>
        <v>1.0565455606178467</v>
      </c>
    </row>
    <row r="297" spans="1:8">
      <c r="A297" s="1032" t="str">
        <f>carlev!A228</f>
        <v>AGOSTO|18</v>
      </c>
      <c r="B297" s="918">
        <f>geral!Q531</f>
        <v>899.9</v>
      </c>
      <c r="C297" s="918">
        <f t="shared" ref="C297" si="279">100*B297/$B$9</f>
        <v>131.24197876560496</v>
      </c>
      <c r="D297" s="1036">
        <f t="shared" ref="D297" si="280">100*((B297/B296)-1)</f>
        <v>0</v>
      </c>
      <c r="E297" s="1036">
        <f t="shared" ref="E297" si="281">100*((B297/$B$289)-1)</f>
        <v>0.55872164487651421</v>
      </c>
      <c r="F297" s="1037">
        <f t="shared" ref="F297" si="282">100*((B297/B285)-1)</f>
        <v>1.983227561196732</v>
      </c>
      <c r="G297" s="1038">
        <f t="shared" ref="G297" si="283">100*(B297/B273-1)</f>
        <v>7.1373296029525468</v>
      </c>
      <c r="H297" s="861">
        <f t="shared" si="168"/>
        <v>1.0565455606178467</v>
      </c>
    </row>
    <row r="298" spans="1:8">
      <c r="A298" s="1032" t="str">
        <f>carlev!A229</f>
        <v>SETEMBRO|18</v>
      </c>
      <c r="B298" s="918">
        <f>geral!Q532</f>
        <v>899.9</v>
      </c>
      <c r="C298" s="918">
        <f t="shared" ref="C298" si="284">100*B298/$B$9</f>
        <v>131.24197876560496</v>
      </c>
      <c r="D298" s="1036">
        <f t="shared" ref="D298" si="285">100*((B298/B297)-1)</f>
        <v>0</v>
      </c>
      <c r="E298" s="1036">
        <f t="shared" ref="E298" si="286">100*((B298/$B$289)-1)</f>
        <v>0.55872164487651421</v>
      </c>
      <c r="F298" s="1037">
        <f t="shared" ref="F298" si="287">100*((B298/B286)-1)</f>
        <v>1.983227561196732</v>
      </c>
      <c r="G298" s="1038">
        <f t="shared" ref="G298" si="288">100*(B298/B274-1)</f>
        <v>7.1373296029525468</v>
      </c>
      <c r="H298" s="861">
        <f t="shared" si="168"/>
        <v>1.0565455606178467</v>
      </c>
    </row>
    <row r="299" spans="1:8">
      <c r="A299" s="1032" t="str">
        <f>carlev!A230</f>
        <v>OUTUBRO|18</v>
      </c>
      <c r="B299" s="918">
        <f>geral!Q533</f>
        <v>899.9</v>
      </c>
      <c r="C299" s="918">
        <f t="shared" ref="C299" si="289">100*B299/$B$9</f>
        <v>131.24197876560496</v>
      </c>
      <c r="D299" s="1036">
        <f t="shared" ref="D299" si="290">100*((B299/B298)-1)</f>
        <v>0</v>
      </c>
      <c r="E299" s="1036">
        <f t="shared" ref="E299" si="291">100*((B299/$B$289)-1)</f>
        <v>0.55872164487651421</v>
      </c>
      <c r="F299" s="1037">
        <f t="shared" ref="F299" si="292">100*((B299/B287)-1)</f>
        <v>1.983227561196732</v>
      </c>
      <c r="G299" s="1038">
        <f t="shared" ref="G299" si="293">100*(B299/B275-1)</f>
        <v>7.1373296029525468</v>
      </c>
      <c r="H299" s="861">
        <f t="shared" si="168"/>
        <v>1.0565455606178467</v>
      </c>
    </row>
    <row r="300" spans="1:8">
      <c r="A300" s="1032" t="str">
        <f>carlev!A231</f>
        <v>NOVEMBRO|18</v>
      </c>
      <c r="B300" s="918">
        <f>geral!Q534</f>
        <v>899.9</v>
      </c>
      <c r="C300" s="918">
        <f t="shared" ref="C300" si="294">100*B300/$B$9</f>
        <v>131.24197876560496</v>
      </c>
      <c r="D300" s="1036">
        <f t="shared" ref="D300" si="295">100*((B300/B299)-1)</f>
        <v>0</v>
      </c>
      <c r="E300" s="1036">
        <f t="shared" ref="E300" si="296">100*((B300/$B$289)-1)</f>
        <v>0.55872164487651421</v>
      </c>
      <c r="F300" s="1037">
        <f t="shared" ref="F300" si="297">100*((B300/B288)-1)</f>
        <v>0.55872164487651421</v>
      </c>
      <c r="G300" s="1038">
        <f t="shared" ref="G300" si="298">100*(B300/B276-1)</f>
        <v>7.1373296029525468</v>
      </c>
      <c r="H300" s="861">
        <f t="shared" si="168"/>
        <v>1.0565455606178467</v>
      </c>
    </row>
    <row r="301" spans="1:8">
      <c r="A301" s="1032" t="str">
        <f>carlev!A232</f>
        <v>DEZEMBRO|18</v>
      </c>
      <c r="B301" s="918">
        <f>geral!Q535</f>
        <v>899.9</v>
      </c>
      <c r="C301" s="918">
        <f t="shared" ref="C301" si="299">100*B301/$B$9</f>
        <v>131.24197876560496</v>
      </c>
      <c r="D301" s="1036">
        <f t="shared" ref="D301" si="300">100*((B301/B300)-1)</f>
        <v>0</v>
      </c>
      <c r="E301" s="1036">
        <f t="shared" ref="E301" si="301">100*((B301/$B$289)-1)</f>
        <v>0.55872164487651421</v>
      </c>
      <c r="F301" s="1037">
        <f t="shared" ref="F301" si="302">100*((B301/B289)-1)</f>
        <v>0.55872164487651421</v>
      </c>
      <c r="G301" s="1038">
        <f t="shared" ref="G301" si="303">100*(B301/B277-1)</f>
        <v>7.1373296029525468</v>
      </c>
      <c r="H301" s="861">
        <f t="shared" si="168"/>
        <v>1.0565455606178467</v>
      </c>
    </row>
    <row r="302" spans="1:8">
      <c r="A302" s="1032" t="str">
        <f>carlev!A233</f>
        <v>JANEIRO|19</v>
      </c>
      <c r="B302" s="918">
        <f>geral!S524</f>
        <v>899.9</v>
      </c>
      <c r="C302" s="918">
        <f t="shared" ref="C302" si="304">100*B302/$B$9</f>
        <v>131.24197876560496</v>
      </c>
      <c r="D302" s="1036">
        <f t="shared" ref="D302" si="305">100*((B302/B301)-1)</f>
        <v>0</v>
      </c>
      <c r="E302" s="1036">
        <f t="shared" ref="E302:E307" si="306">100*((B302/$B$301)-1)</f>
        <v>0</v>
      </c>
      <c r="F302" s="1037">
        <f t="shared" ref="F302" si="307">100*((B302/B290)-1)</f>
        <v>0.55872164487651421</v>
      </c>
      <c r="G302" s="1038">
        <f t="shared" ref="G302" si="308">100*(B302/B278-1)</f>
        <v>7.1373296029525468</v>
      </c>
      <c r="H302" s="861">
        <f t="shared" si="168"/>
        <v>1.0565455606178467</v>
      </c>
    </row>
    <row r="303" spans="1:8">
      <c r="A303" s="1032" t="str">
        <f>carlev!A234</f>
        <v>FEVEREIRO|19</v>
      </c>
      <c r="B303" s="918">
        <f>geral!S525</f>
        <v>912.9</v>
      </c>
      <c r="C303" s="918">
        <f t="shared" ref="C303" si="309">100*B303/$B$9</f>
        <v>133.13790689534477</v>
      </c>
      <c r="D303" s="1036">
        <f t="shared" ref="D303" si="310">100*((B303/B302)-1)</f>
        <v>1.4446049561062324</v>
      </c>
      <c r="E303" s="1036">
        <f t="shared" si="306"/>
        <v>1.4446049561062324</v>
      </c>
      <c r="F303" s="1037">
        <f t="shared" ref="F303" si="311">100*((B303/B291)-1)</f>
        <v>2.0113979215554911</v>
      </c>
      <c r="G303" s="1038">
        <f t="shared" ref="G303" si="312">100*(B303/B279-1)</f>
        <v>8.6850407762366633</v>
      </c>
      <c r="H303" s="861">
        <f t="shared" si="168"/>
        <v>1.0415000000000001</v>
      </c>
    </row>
    <row r="304" spans="1:8">
      <c r="A304" s="1032" t="str">
        <f>carlev!A235</f>
        <v>MARÇO|19</v>
      </c>
      <c r="B304" s="918">
        <f>geral!S526</f>
        <v>912.9</v>
      </c>
      <c r="C304" s="918">
        <f t="shared" ref="C304" si="313">100*B304/$B$9</f>
        <v>133.13790689534477</v>
      </c>
      <c r="D304" s="1036">
        <f t="shared" ref="D304" si="314">100*((B304/B303)-1)</f>
        <v>0</v>
      </c>
      <c r="E304" s="1036">
        <f t="shared" si="306"/>
        <v>1.4446049561062324</v>
      </c>
      <c r="F304" s="1037">
        <f t="shared" ref="F304" si="315">100*((B304/B292)-1)</f>
        <v>2.0113979215554911</v>
      </c>
      <c r="G304" s="1038">
        <f t="shared" ref="G304" si="316">100*(B304/B280-1)</f>
        <v>5.85575139146568</v>
      </c>
      <c r="H304" s="861">
        <f t="shared" si="168"/>
        <v>1.0415000000000001</v>
      </c>
    </row>
    <row r="305" spans="1:8">
      <c r="A305" s="1032" t="str">
        <f>carlev!A236</f>
        <v>ABRIL|19</v>
      </c>
      <c r="B305" s="918">
        <f>geral!S527</f>
        <v>912.9</v>
      </c>
      <c r="C305" s="918">
        <f t="shared" ref="C305" si="317">100*B305/$B$9</f>
        <v>133.13790689534477</v>
      </c>
      <c r="D305" s="1036">
        <f t="shared" ref="D305" si="318">100*((B305/B304)-1)</f>
        <v>0</v>
      </c>
      <c r="E305" s="1036">
        <f t="shared" si="306"/>
        <v>1.4446049561062324</v>
      </c>
      <c r="F305" s="1037">
        <f t="shared" ref="F305" si="319">100*((B305/B293)-1)</f>
        <v>1.4446049561062324</v>
      </c>
      <c r="G305" s="1038">
        <f t="shared" ref="G305" si="320">100*(B305/B281-1)</f>
        <v>5.85575139146568</v>
      </c>
      <c r="H305" s="861">
        <f t="shared" si="168"/>
        <v>1.0415000000000001</v>
      </c>
    </row>
    <row r="306" spans="1:8">
      <c r="A306" s="1032" t="str">
        <f>carlev!A237</f>
        <v>MAIO|19</v>
      </c>
      <c r="B306" s="918">
        <f>geral!S528</f>
        <v>912.9</v>
      </c>
      <c r="C306" s="918">
        <f t="shared" ref="C306" si="321">100*B306/$B$9</f>
        <v>133.13790689534477</v>
      </c>
      <c r="D306" s="1036">
        <f t="shared" ref="D306" si="322">100*((B306/B305)-1)</f>
        <v>0</v>
      </c>
      <c r="E306" s="1036">
        <f t="shared" si="306"/>
        <v>1.4446049561062324</v>
      </c>
      <c r="F306" s="1037">
        <f t="shared" ref="F306" si="323">100*((B306/B294)-1)</f>
        <v>1.4446049561062324</v>
      </c>
      <c r="G306" s="1038">
        <f t="shared" ref="G306" si="324">100*(B306/B282-1)</f>
        <v>5.85575139146568</v>
      </c>
      <c r="H306" s="861">
        <f t="shared" si="168"/>
        <v>1.0415000000000001</v>
      </c>
    </row>
    <row r="307" spans="1:8">
      <c r="A307" s="1032" t="str">
        <f>carlev!A238</f>
        <v>JUNHO|19</v>
      </c>
      <c r="B307" s="918">
        <f>geral!S529</f>
        <v>912.9</v>
      </c>
      <c r="C307" s="918">
        <f t="shared" ref="C307" si="325">100*B307/$B$9</f>
        <v>133.13790689534477</v>
      </c>
      <c r="D307" s="1036">
        <f t="shared" ref="D307" si="326">100*((B307/B306)-1)</f>
        <v>0</v>
      </c>
      <c r="E307" s="1036">
        <f t="shared" si="306"/>
        <v>1.4446049561062324</v>
      </c>
      <c r="F307" s="1037">
        <f t="shared" ref="F307" si="327">100*((B307/B295)-1)</f>
        <v>1.4446049561062324</v>
      </c>
      <c r="G307" s="1038">
        <f t="shared" ref="G307" si="328">100*(B307/B283-1)</f>
        <v>5.85575139146568</v>
      </c>
      <c r="H307" s="861">
        <f t="shared" si="168"/>
        <v>1.0415000000000001</v>
      </c>
    </row>
    <row r="308" spans="1:8">
      <c r="A308" s="1032" t="str">
        <f>carlev!A239</f>
        <v>JULHO|19</v>
      </c>
      <c r="B308" s="918">
        <f>geral!S530</f>
        <v>912.9</v>
      </c>
      <c r="C308" s="918">
        <f t="shared" ref="C308" si="329">100*B308/$B$9</f>
        <v>133.13790689534477</v>
      </c>
      <c r="D308" s="1036">
        <f t="shared" ref="D308" si="330">100*((B308/B307)-1)</f>
        <v>0</v>
      </c>
      <c r="E308" s="1036">
        <f t="shared" ref="E308" si="331">100*((B308/$B$301)-1)</f>
        <v>1.4446049561062324</v>
      </c>
      <c r="F308" s="1037">
        <f t="shared" ref="F308" si="332">100*((B308/B296)-1)</f>
        <v>1.4446049561062324</v>
      </c>
      <c r="G308" s="1038">
        <f t="shared" ref="G308" si="333">100*(B308/B284-1)</f>
        <v>5.85575139146568</v>
      </c>
      <c r="H308" s="861">
        <f t="shared" si="168"/>
        <v>1.0415000000000001</v>
      </c>
    </row>
    <row r="309" spans="1:8">
      <c r="A309" s="1032" t="str">
        <f>carlev!A240</f>
        <v>AGOSTO|19</v>
      </c>
      <c r="B309" s="918">
        <f>geral!S531</f>
        <v>912.9</v>
      </c>
      <c r="C309" s="918">
        <f t="shared" ref="C309" si="334">100*B309/$B$9</f>
        <v>133.13790689534477</v>
      </c>
      <c r="D309" s="1036">
        <f t="shared" ref="D309" si="335">100*((B309/B308)-1)</f>
        <v>0</v>
      </c>
      <c r="E309" s="1036">
        <f t="shared" ref="E309" si="336">100*((B309/$B$301)-1)</f>
        <v>1.4446049561062324</v>
      </c>
      <c r="F309" s="1037">
        <f t="shared" ref="F309" si="337">100*((B309/B297)-1)</f>
        <v>1.4446049561062324</v>
      </c>
      <c r="G309" s="1038">
        <f t="shared" ref="G309" si="338">100*(B309/B285-1)</f>
        <v>3.4564823209428885</v>
      </c>
      <c r="H309" s="861">
        <f t="shared" si="168"/>
        <v>1.0415000000000001</v>
      </c>
    </row>
    <row r="310" spans="1:8">
      <c r="A310" s="1032" t="str">
        <f>carlev!A241</f>
        <v>SETEMBRO|19</v>
      </c>
      <c r="B310" s="918">
        <f>geral!S532</f>
        <v>912.9</v>
      </c>
      <c r="C310" s="918">
        <f t="shared" ref="C310" si="339">100*B310/$B$9</f>
        <v>133.13790689534477</v>
      </c>
      <c r="D310" s="1036">
        <f t="shared" ref="D310" si="340">100*((B310/B309)-1)</f>
        <v>0</v>
      </c>
      <c r="E310" s="1036">
        <f t="shared" ref="E310" si="341">100*((B310/$B$301)-1)</f>
        <v>1.4446049561062324</v>
      </c>
      <c r="F310" s="1037">
        <f t="shared" ref="F310" si="342">100*((B310/B298)-1)</f>
        <v>1.4446049561062324</v>
      </c>
      <c r="G310" s="1038">
        <f t="shared" ref="G310" si="343">100*(B310/B286-1)</f>
        <v>3.4564823209428885</v>
      </c>
      <c r="H310" s="861">
        <f t="shared" si="168"/>
        <v>1.0415000000000001</v>
      </c>
    </row>
    <row r="311" spans="1:8">
      <c r="A311" s="1032" t="str">
        <f>carlev!A242</f>
        <v>OUTUBRO|19</v>
      </c>
      <c r="B311" s="918">
        <f>geral!S533</f>
        <v>912.9</v>
      </c>
      <c r="C311" s="918">
        <f t="shared" ref="C311" si="344">100*B311/$B$9</f>
        <v>133.13790689534477</v>
      </c>
      <c r="D311" s="1036">
        <f t="shared" ref="D311" si="345">100*((B311/B310)-1)</f>
        <v>0</v>
      </c>
      <c r="E311" s="1036">
        <f t="shared" ref="E311" si="346">100*((B311/$B$301)-1)</f>
        <v>1.4446049561062324</v>
      </c>
      <c r="F311" s="1037">
        <f t="shared" ref="F311" si="347">100*((B311/B299)-1)</f>
        <v>1.4446049561062324</v>
      </c>
      <c r="G311" s="1038">
        <f t="shared" ref="G311" si="348">100*(B311/B287-1)</f>
        <v>3.4564823209428885</v>
      </c>
      <c r="H311" s="861">
        <f t="shared" si="168"/>
        <v>1.0415000000000001</v>
      </c>
    </row>
    <row r="312" spans="1:8">
      <c r="A312" s="1032" t="str">
        <f>carlev!A243</f>
        <v>NOVEMBRO|19</v>
      </c>
      <c r="B312" s="918">
        <f>geral!S534</f>
        <v>912.9</v>
      </c>
      <c r="C312" s="918">
        <f t="shared" ref="C312" si="349">100*B312/$B$9</f>
        <v>133.13790689534477</v>
      </c>
      <c r="D312" s="1036">
        <f t="shared" ref="D312" si="350">100*((B312/B311)-1)</f>
        <v>0</v>
      </c>
      <c r="E312" s="1036">
        <f t="shared" ref="E312" si="351">100*((B312/$B$301)-1)</f>
        <v>1.4446049561062324</v>
      </c>
      <c r="F312" s="1037">
        <f t="shared" ref="F312" si="352">100*((B312/B300)-1)</f>
        <v>1.4446049561062324</v>
      </c>
      <c r="G312" s="1038">
        <f t="shared" ref="G312" si="353">100*(B312/B288-1)</f>
        <v>2.0113979215554911</v>
      </c>
      <c r="H312" s="861">
        <f t="shared" si="168"/>
        <v>1.0415000000000001</v>
      </c>
    </row>
    <row r="313" spans="1:8">
      <c r="A313" s="1032" t="str">
        <f>carlev!A244</f>
        <v>DEZEMBRO|19</v>
      </c>
      <c r="B313" s="918">
        <f>geral!S535</f>
        <v>912.9</v>
      </c>
      <c r="C313" s="918">
        <f t="shared" ref="C313" si="354">100*B313/$B$9</f>
        <v>133.13790689534477</v>
      </c>
      <c r="D313" s="1036">
        <f t="shared" ref="D313" si="355">100*((B313/B312)-1)</f>
        <v>0</v>
      </c>
      <c r="E313" s="1036">
        <f t="shared" ref="E313" si="356">100*((B313/$B$301)-1)</f>
        <v>1.4446049561062324</v>
      </c>
      <c r="F313" s="1037">
        <f t="shared" ref="F313" si="357">100*((B313/B301)-1)</f>
        <v>1.4446049561062324</v>
      </c>
      <c r="G313" s="1038">
        <f t="shared" ref="G313" si="358">100*(B313/B289-1)</f>
        <v>2.0113979215554911</v>
      </c>
      <c r="H313" s="861">
        <f t="shared" si="168"/>
        <v>1.0415000000000001</v>
      </c>
    </row>
    <row r="314" spans="1:8">
      <c r="A314" s="1032" t="str">
        <f>carlev!A245</f>
        <v>JANEIRO|20</v>
      </c>
      <c r="B314" s="918">
        <f>geral!U524</f>
        <v>912.9</v>
      </c>
      <c r="C314" s="918">
        <f t="shared" ref="C314" si="359">100*B314/$B$9</f>
        <v>133.13790689534477</v>
      </c>
      <c r="D314" s="1036">
        <f t="shared" ref="D314" si="360">100*((B314/B313)-1)</f>
        <v>0</v>
      </c>
      <c r="E314" s="1036">
        <f t="shared" ref="E314:E319" si="361">100*((B314/$B$313)-1)</f>
        <v>0</v>
      </c>
      <c r="F314" s="1037">
        <f t="shared" ref="F314" si="362">100*((B314/B302)-1)</f>
        <v>1.4446049561062324</v>
      </c>
      <c r="G314" s="1038">
        <f t="shared" ref="G314" si="363">100*(B314/B290-1)</f>
        <v>2.0113979215554911</v>
      </c>
      <c r="H314" s="861">
        <f t="shared" si="168"/>
        <v>1.0415000000000001</v>
      </c>
    </row>
    <row r="315" spans="1:8">
      <c r="A315" s="1032" t="str">
        <f>carlev!A246</f>
        <v>FEVEREIRO|20</v>
      </c>
      <c r="B315" s="918">
        <f>geral!U525</f>
        <v>950.78535000000011</v>
      </c>
      <c r="C315" s="918">
        <f t="shared" ref="C315" si="364">100*B315/$B$9</f>
        <v>138.66313003150159</v>
      </c>
      <c r="D315" s="1036">
        <f t="shared" ref="D315" si="365">100*((B315/B314)-1)</f>
        <v>4.1500000000000092</v>
      </c>
      <c r="E315" s="1036">
        <f t="shared" si="361"/>
        <v>4.1500000000000092</v>
      </c>
      <c r="F315" s="1037">
        <f t="shared" ref="F315" si="366">100*((B315/B303)-1)</f>
        <v>4.1500000000000092</v>
      </c>
      <c r="G315" s="1038">
        <f t="shared" ref="G315" si="367">100*(B315/B291-1)</f>
        <v>6.2448709353000398</v>
      </c>
      <c r="H315" s="861">
        <f t="shared" si="168"/>
        <v>1</v>
      </c>
    </row>
    <row r="316" spans="1:8">
      <c r="A316" s="1032" t="str">
        <f>carlev!A247</f>
        <v>MARÇO|20</v>
      </c>
      <c r="B316" s="918">
        <f>geral!U526</f>
        <v>950.78535000000011</v>
      </c>
      <c r="C316" s="918">
        <f t="shared" ref="C316" si="368">100*B316/$B$9</f>
        <v>138.66313003150159</v>
      </c>
      <c r="D316" s="1036">
        <f t="shared" ref="D316" si="369">100*((B316/B315)-1)</f>
        <v>0</v>
      </c>
      <c r="E316" s="1036">
        <f t="shared" si="361"/>
        <v>4.1500000000000092</v>
      </c>
      <c r="F316" s="1037">
        <f t="shared" ref="F316" si="370">100*((B316/B304)-1)</f>
        <v>4.1500000000000092</v>
      </c>
      <c r="G316" s="1038">
        <f t="shared" ref="G316" si="371">100*(B316/B292-1)</f>
        <v>6.2448709353000398</v>
      </c>
      <c r="H316" s="861">
        <f t="shared" si="168"/>
        <v>1</v>
      </c>
    </row>
    <row r="317" spans="1:8">
      <c r="A317" s="1032" t="str">
        <f>carlev!A248</f>
        <v>ABRIL|20</v>
      </c>
      <c r="B317" s="918">
        <f>geral!U527</f>
        <v>950.78535000000011</v>
      </c>
      <c r="C317" s="918">
        <f t="shared" ref="C317" si="372">100*B317/$B$9</f>
        <v>138.66313003150159</v>
      </c>
      <c r="D317" s="1036">
        <f t="shared" ref="D317" si="373">100*((B317/B316)-1)</f>
        <v>0</v>
      </c>
      <c r="E317" s="1036">
        <f t="shared" si="361"/>
        <v>4.1500000000000092</v>
      </c>
      <c r="F317" s="1037">
        <f t="shared" ref="F317" si="374">100*((B317/B305)-1)</f>
        <v>4.1500000000000092</v>
      </c>
      <c r="G317" s="1038">
        <f t="shared" ref="G317" si="375">100*(B317/B293-1)</f>
        <v>5.6545560617846657</v>
      </c>
      <c r="H317" s="861">
        <f t="shared" si="168"/>
        <v>1</v>
      </c>
    </row>
    <row r="318" spans="1:8">
      <c r="A318" s="1032" t="str">
        <f>carlev!A249</f>
        <v>MAIO|20</v>
      </c>
      <c r="B318" s="918">
        <f>geral!U528</f>
        <v>950.78535000000011</v>
      </c>
      <c r="C318" s="918">
        <f t="shared" ref="C318" si="376">100*B318/$B$9</f>
        <v>138.66313003150159</v>
      </c>
      <c r="D318" s="1036">
        <f t="shared" ref="D318" si="377">100*((B318/B317)-1)</f>
        <v>0</v>
      </c>
      <c r="E318" s="1036">
        <f t="shared" si="361"/>
        <v>4.1500000000000092</v>
      </c>
      <c r="F318" s="1037">
        <f t="shared" ref="F318" si="378">100*((B318/B306)-1)</f>
        <v>4.1500000000000092</v>
      </c>
      <c r="G318" s="1038">
        <f t="shared" ref="G318" si="379">100*(B318/B294-1)</f>
        <v>5.6545560617846657</v>
      </c>
      <c r="H318" s="861">
        <f t="shared" si="168"/>
        <v>1</v>
      </c>
    </row>
    <row r="319" spans="1:8">
      <c r="A319" s="1032" t="str">
        <f>carlev!A250</f>
        <v>JUNHO|20</v>
      </c>
      <c r="B319" s="918">
        <f>geral!U529</f>
        <v>950.78535000000011</v>
      </c>
      <c r="C319" s="918">
        <f t="shared" ref="C319" si="380">100*B319/$B$9</f>
        <v>138.66313003150159</v>
      </c>
      <c r="D319" s="1036">
        <f t="shared" ref="D319" si="381">100*((B319/B318)-1)</f>
        <v>0</v>
      </c>
      <c r="E319" s="1036">
        <f t="shared" si="361"/>
        <v>4.1500000000000092</v>
      </c>
      <c r="F319" s="1037">
        <f t="shared" ref="F319" si="382">100*((B319/B307)-1)</f>
        <v>4.1500000000000092</v>
      </c>
      <c r="G319" s="1038">
        <f t="shared" ref="G319" si="383">100*(B319/B295-1)</f>
        <v>5.6545560617846657</v>
      </c>
      <c r="H319" s="861">
        <f t="shared" si="168"/>
        <v>1</v>
      </c>
    </row>
    <row r="320" spans="1:8">
      <c r="A320" s="1032" t="str">
        <f>carlev!A251</f>
        <v>JULHO|20</v>
      </c>
      <c r="B320" s="918">
        <f>geral!U530</f>
        <v>950.78535000000011</v>
      </c>
      <c r="C320" s="918">
        <f t="shared" ref="C320" si="384">100*B320/$B$9</f>
        <v>138.66313003150159</v>
      </c>
      <c r="D320" s="1036">
        <f t="shared" ref="D320" si="385">100*((B320/B319)-1)</f>
        <v>0</v>
      </c>
      <c r="E320" s="1036">
        <f t="shared" ref="E320" si="386">100*((B320/$B$313)-1)</f>
        <v>4.1500000000000092</v>
      </c>
      <c r="F320" s="1037">
        <f t="shared" ref="F320" si="387">100*((B320/B308)-1)</f>
        <v>4.1500000000000092</v>
      </c>
      <c r="G320" s="1038">
        <f t="shared" ref="G320" si="388">100*(B320/B296-1)</f>
        <v>5.6545560617846657</v>
      </c>
      <c r="H320" s="861">
        <f t="shared" si="168"/>
        <v>1</v>
      </c>
    </row>
    <row r="321" spans="1:8">
      <c r="A321" s="1032" t="str">
        <f>carlev!A252</f>
        <v>AGOSTO|20</v>
      </c>
      <c r="B321" s="918">
        <f>geral!U531</f>
        <v>950.78535000000011</v>
      </c>
      <c r="C321" s="918">
        <f t="shared" ref="C321" si="389">100*B321/$B$9</f>
        <v>138.66313003150159</v>
      </c>
      <c r="D321" s="1036">
        <f t="shared" ref="D321" si="390">100*((B321/B320)-1)</f>
        <v>0</v>
      </c>
      <c r="E321" s="1036">
        <f t="shared" ref="E321" si="391">100*((B321/$B$313)-1)</f>
        <v>4.1500000000000092</v>
      </c>
      <c r="F321" s="1037">
        <f t="shared" ref="F321" si="392">100*((B321/B309)-1)</f>
        <v>4.1500000000000092</v>
      </c>
      <c r="G321" s="1038">
        <f t="shared" ref="G321" si="393">100*(B321/B297-1)</f>
        <v>5.6545560617846657</v>
      </c>
      <c r="H321" s="926">
        <f t="shared" si="168"/>
        <v>1</v>
      </c>
    </row>
    <row r="322" spans="1:8" ht="16.5" thickBot="1">
      <c r="A322" s="1046" t="str">
        <f>carlev!A253</f>
        <v>SETEMBRO|20</v>
      </c>
      <c r="B322" s="1047">
        <f>geral!U532</f>
        <v>950.78535000000011</v>
      </c>
      <c r="C322" s="1047">
        <f t="shared" ref="C322" si="394">100*B322/$B$9</f>
        <v>138.66313003150159</v>
      </c>
      <c r="D322" s="1048">
        <f t="shared" ref="D322" si="395">100*((B322/B321)-1)</f>
        <v>0</v>
      </c>
      <c r="E322" s="1048">
        <f t="shared" ref="E322" si="396">100*((B322/$B$313)-1)</f>
        <v>4.1500000000000092</v>
      </c>
      <c r="F322" s="1051">
        <f t="shared" ref="F322" si="397">100*((B322/B310)-1)</f>
        <v>4.1500000000000092</v>
      </c>
      <c r="G322" s="1052">
        <f t="shared" ref="G322" si="398">100*(B322/B298-1)</f>
        <v>5.6545560617846657</v>
      </c>
      <c r="H322" s="1053">
        <f t="shared" si="168"/>
        <v>1</v>
      </c>
    </row>
    <row r="323" spans="1:8" s="824" customFormat="1">
      <c r="A323" s="758" t="s">
        <v>238</v>
      </c>
      <c r="B323" s="707"/>
      <c r="C323" s="707"/>
      <c r="D323" s="707"/>
      <c r="E323" s="707"/>
      <c r="F323" s="707"/>
      <c r="G323" s="707"/>
      <c r="H323" s="707"/>
    </row>
    <row r="324" spans="1:8" s="824" customFormat="1">
      <c r="B324" s="707"/>
      <c r="C324" s="707"/>
      <c r="D324" s="707"/>
      <c r="E324" s="707"/>
      <c r="F324" s="707"/>
      <c r="G324" s="707"/>
      <c r="H324" s="707"/>
    </row>
  </sheetData>
  <mergeCells count="7">
    <mergeCell ref="A7:B7"/>
    <mergeCell ref="D4:H4"/>
    <mergeCell ref="C1:H3"/>
    <mergeCell ref="A4:C4"/>
    <mergeCell ref="A5:C5"/>
    <mergeCell ref="D5:G5"/>
    <mergeCell ref="H5:H6"/>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rowBreaks count="1" manualBreakCount="1">
    <brk id="323"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2">
    <pageSetUpPr fitToPage="1"/>
  </sheetPr>
  <dimension ref="A1:K324"/>
  <sheetViews>
    <sheetView showGridLines="0" zoomScaleNormal="100" workbookViewId="0">
      <pane ySplit="2595" topLeftCell="A242" activePane="bottomLeft"/>
      <selection activeCell="A215" sqref="A215"/>
      <selection pane="bottomLeft" activeCell="H254" sqref="H254"/>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72" t="s">
        <v>368</v>
      </c>
      <c r="B4" s="1466"/>
      <c r="C4" s="1467"/>
      <c r="D4" s="1432" t="s">
        <v>365</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771" t="s">
        <v>341</v>
      </c>
      <c r="B6" s="772" t="s">
        <v>76</v>
      </c>
      <c r="C6" s="772" t="s">
        <v>68</v>
      </c>
      <c r="D6" s="772" t="s">
        <v>342</v>
      </c>
      <c r="E6" s="772" t="s">
        <v>343</v>
      </c>
      <c r="F6" s="772" t="s">
        <v>344</v>
      </c>
      <c r="G6" s="772" t="s">
        <v>345</v>
      </c>
      <c r="H6" s="1428"/>
    </row>
    <row r="7" spans="1:8" ht="15.75" customHeight="1" thickBot="1">
      <c r="A7" s="1419" t="s">
        <v>347</v>
      </c>
      <c r="B7" s="1420"/>
      <c r="C7" s="952"/>
      <c r="D7" s="952"/>
      <c r="E7" s="952"/>
      <c r="F7" s="952"/>
      <c r="G7" s="952"/>
      <c r="H7" s="953" t="s">
        <v>361</v>
      </c>
    </row>
    <row r="8" spans="1:8" ht="16.5" hidden="1" customHeight="1" thickBot="1">
      <c r="A8" s="972" t="s">
        <v>557</v>
      </c>
      <c r="B8" s="997">
        <f>+geral!C1157</f>
        <v>495.17</v>
      </c>
      <c r="C8" s="997">
        <v>100</v>
      </c>
      <c r="D8" s="998"/>
      <c r="E8" s="998"/>
      <c r="F8" s="999"/>
      <c r="G8" s="1000"/>
      <c r="H8" s="1001">
        <f>$B$253/B8</f>
        <v>1.5341601874103843</v>
      </c>
    </row>
    <row r="9" spans="1:8" ht="16.5" hidden="1" customHeight="1" thickBot="1">
      <c r="A9" s="973" t="s">
        <v>558</v>
      </c>
      <c r="B9" s="748">
        <f>+geral!C1158</f>
        <v>518.57000000000005</v>
      </c>
      <c r="C9" s="748">
        <f t="shared" ref="C9:C41" si="0">100*B9/$B$8</f>
        <v>104.72564977684432</v>
      </c>
      <c r="D9" s="750">
        <f t="shared" ref="D9:D17" si="1">100*((B9/B8)-1)</f>
        <v>4.7256497768443317</v>
      </c>
      <c r="E9" s="750"/>
      <c r="F9" s="751"/>
      <c r="G9" s="840"/>
      <c r="H9" s="842">
        <f>$B$253/B9</f>
        <v>1.4649326031201186</v>
      </c>
    </row>
    <row r="10" spans="1:8" ht="16.5" hidden="1" customHeight="1" thickBot="1">
      <c r="A10" s="973" t="s">
        <v>559</v>
      </c>
      <c r="B10" s="748">
        <f>+geral!C1159</f>
        <v>543.32000000000005</v>
      </c>
      <c r="C10" s="748">
        <f t="shared" si="0"/>
        <v>109.72393319466043</v>
      </c>
      <c r="D10" s="750">
        <f t="shared" si="1"/>
        <v>4.7727404207725144</v>
      </c>
      <c r="E10" s="750"/>
      <c r="F10" s="751"/>
      <c r="G10" s="840"/>
      <c r="H10" s="842">
        <f>$B$253/B10</f>
        <v>1.3982001398807333</v>
      </c>
    </row>
    <row r="11" spans="1:8" ht="16.5" hidden="1" customHeight="1" thickBot="1">
      <c r="A11" s="973" t="s">
        <v>560</v>
      </c>
      <c r="B11" s="748">
        <f>+geral!C1160</f>
        <v>484.83</v>
      </c>
      <c r="C11" s="748">
        <f t="shared" si="0"/>
        <v>97.911828261001276</v>
      </c>
      <c r="D11" s="750">
        <f t="shared" si="1"/>
        <v>-10.765294853861452</v>
      </c>
      <c r="E11" s="750"/>
      <c r="F11" s="751"/>
      <c r="G11" s="840"/>
      <c r="H11" s="842">
        <f>$B$253/B11</f>
        <v>1.5668793185240188</v>
      </c>
    </row>
    <row r="12" spans="1:8" ht="16.5" hidden="1" customHeight="1" thickBot="1">
      <c r="A12" s="973" t="s">
        <v>561</v>
      </c>
      <c r="B12" s="748">
        <f>+geral!C1161</f>
        <v>490</v>
      </c>
      <c r="C12" s="748">
        <f t="shared" si="0"/>
        <v>98.955914130500631</v>
      </c>
      <c r="D12" s="750">
        <f t="shared" si="1"/>
        <v>1.066353154714017</v>
      </c>
      <c r="E12" s="750"/>
      <c r="F12" s="751"/>
      <c r="G12" s="840"/>
      <c r="H12" s="842">
        <f>$B$253/B12</f>
        <v>1.5503471428571429</v>
      </c>
    </row>
    <row r="13" spans="1:8" ht="16.5" hidden="1" customHeight="1" thickBot="1">
      <c r="A13" s="973" t="s">
        <v>562</v>
      </c>
      <c r="B13" s="748">
        <f>+geral!C1162</f>
        <v>505.86</v>
      </c>
      <c r="C13" s="748">
        <f t="shared" si="0"/>
        <v>102.15885453480622</v>
      </c>
      <c r="D13" s="750">
        <f t="shared" si="1"/>
        <v>3.2367346938775521</v>
      </c>
      <c r="E13" s="750"/>
      <c r="F13" s="751"/>
      <c r="G13" s="840"/>
      <c r="H13" s="842">
        <f>$B$253/B13</f>
        <v>1.5017398094334402</v>
      </c>
    </row>
    <row r="14" spans="1:8" ht="16.5" hidden="1" customHeight="1" thickBot="1">
      <c r="A14" s="973" t="s">
        <v>534</v>
      </c>
      <c r="B14" s="748">
        <f>+geral!C1163</f>
        <v>487.4</v>
      </c>
      <c r="C14" s="748">
        <f t="shared" si="0"/>
        <v>98.430841933073481</v>
      </c>
      <c r="D14" s="750">
        <f t="shared" si="1"/>
        <v>-3.6492310125331162</v>
      </c>
      <c r="E14" s="750"/>
      <c r="F14" s="751"/>
      <c r="G14" s="840"/>
      <c r="H14" s="842">
        <f>$B$253/B14</f>
        <v>1.5586173574066478</v>
      </c>
    </row>
    <row r="15" spans="1:8" ht="16.5" hidden="1" customHeight="1" thickBot="1">
      <c r="A15" s="973" t="s">
        <v>563</v>
      </c>
      <c r="B15" s="748">
        <f>+geral!C1164</f>
        <v>461</v>
      </c>
      <c r="C15" s="748">
        <f t="shared" si="0"/>
        <v>93.099339620736316</v>
      </c>
      <c r="D15" s="750">
        <f t="shared" si="1"/>
        <v>-5.4164956914238722</v>
      </c>
      <c r="E15" s="750"/>
      <c r="F15" s="751"/>
      <c r="G15" s="840"/>
      <c r="H15" s="842">
        <f>$B$253/B15</f>
        <v>1.647874403470716</v>
      </c>
    </row>
    <row r="16" spans="1:8" ht="16.5" hidden="1" customHeight="1" thickBot="1">
      <c r="A16" s="973" t="s">
        <v>564</v>
      </c>
      <c r="B16" s="748">
        <f>+geral!C1165</f>
        <v>468.5</v>
      </c>
      <c r="C16" s="748">
        <f t="shared" si="0"/>
        <v>94.61397095946846</v>
      </c>
      <c r="D16" s="750">
        <f t="shared" si="1"/>
        <v>1.626898047722336</v>
      </c>
      <c r="E16" s="750"/>
      <c r="F16" s="751"/>
      <c r="G16" s="840"/>
      <c r="H16" s="842">
        <f>$B$253/B16</f>
        <v>1.6214943436499467</v>
      </c>
    </row>
    <row r="17" spans="1:8" ht="16.5" hidden="1" customHeight="1" thickBot="1">
      <c r="A17" s="973" t="s">
        <v>546</v>
      </c>
      <c r="B17" s="748">
        <f>+geral!E1154</f>
        <v>412.5</v>
      </c>
      <c r="C17" s="748">
        <f t="shared" si="0"/>
        <v>83.304723630268384</v>
      </c>
      <c r="D17" s="750">
        <f t="shared" si="1"/>
        <v>-11.953041622198501</v>
      </c>
      <c r="E17" s="750">
        <f t="shared" ref="E17:E22" si="2">100*((B17/$B$16)-1)</f>
        <v>-11.953041622198501</v>
      </c>
      <c r="F17" s="751"/>
      <c r="G17" s="840"/>
      <c r="H17" s="842">
        <f>$B$253/B17</f>
        <v>1.8416244848484851</v>
      </c>
    </row>
    <row r="18" spans="1:8" ht="16.5" hidden="1" customHeight="1" thickBot="1">
      <c r="A18" s="973" t="s">
        <v>547</v>
      </c>
      <c r="B18" s="748">
        <f>+geral!E1155</f>
        <v>406.5</v>
      </c>
      <c r="C18" s="748">
        <f t="shared" si="0"/>
        <v>82.093018559282669</v>
      </c>
      <c r="D18" s="750">
        <f t="shared" ref="D18:D23" si="3">100*((B18/B17)-1)</f>
        <v>-1.4545454545454528</v>
      </c>
      <c r="E18" s="750">
        <f t="shared" si="2"/>
        <v>-13.233724653148348</v>
      </c>
      <c r="F18" s="751"/>
      <c r="G18" s="840"/>
      <c r="H18" s="842">
        <f>$B$253/B18</f>
        <v>1.8688071340713408</v>
      </c>
    </row>
    <row r="19" spans="1:8" ht="16.5" hidden="1" customHeight="1" thickBot="1">
      <c r="A19" s="973" t="s">
        <v>548</v>
      </c>
      <c r="B19" s="748">
        <f>+geral!E1156</f>
        <v>443.75</v>
      </c>
      <c r="C19" s="748">
        <f t="shared" si="0"/>
        <v>89.615687541652363</v>
      </c>
      <c r="D19" s="750">
        <f t="shared" si="3"/>
        <v>9.1635916359163581</v>
      </c>
      <c r="E19" s="750">
        <f t="shared" si="2"/>
        <v>-5.2828175026680917</v>
      </c>
      <c r="F19" s="751"/>
      <c r="G19" s="840"/>
      <c r="H19" s="842">
        <f>$B$253/B19</f>
        <v>1.71193261971831</v>
      </c>
    </row>
    <row r="20" spans="1:8" ht="16.5" hidden="1" customHeight="1" thickBot="1">
      <c r="A20" s="973" t="s">
        <v>549</v>
      </c>
      <c r="B20" s="748">
        <f>+geral!E1157</f>
        <v>410</v>
      </c>
      <c r="C20" s="748">
        <f t="shared" si="0"/>
        <v>82.799846517357679</v>
      </c>
      <c r="D20" s="750">
        <f t="shared" si="3"/>
        <v>-7.6056338028169019</v>
      </c>
      <c r="E20" s="750">
        <f t="shared" si="2"/>
        <v>-12.486659551760937</v>
      </c>
      <c r="F20" s="751">
        <f t="shared" ref="F20:F25" si="4">100*((B20/B8)-1)</f>
        <v>-17.200153482642332</v>
      </c>
      <c r="G20" s="840"/>
      <c r="H20" s="842">
        <f>$B$253/B20</f>
        <v>1.8528539024390245</v>
      </c>
    </row>
    <row r="21" spans="1:8" ht="16.5" hidden="1" customHeight="1" thickBot="1">
      <c r="A21" s="973" t="s">
        <v>550</v>
      </c>
      <c r="B21" s="748">
        <f>+geral!E1158</f>
        <v>403.33</v>
      </c>
      <c r="C21" s="748">
        <f t="shared" si="0"/>
        <v>81.452834380111881</v>
      </c>
      <c r="D21" s="750">
        <f t="shared" si="3"/>
        <v>-1.6268292682926844</v>
      </c>
      <c r="E21" s="750">
        <f t="shared" si="2"/>
        <v>-13.910352187833519</v>
      </c>
      <c r="F21" s="751">
        <f t="shared" si="4"/>
        <v>-22.222650751104013</v>
      </c>
      <c r="G21" s="840"/>
      <c r="H21" s="842">
        <f>$B$253/B21</f>
        <v>1.883495152852503</v>
      </c>
    </row>
    <row r="22" spans="1:8" ht="16.5" hidden="1" customHeight="1" thickBot="1">
      <c r="A22" s="973" t="s">
        <v>551</v>
      </c>
      <c r="B22" s="748">
        <f>+geral!E1159</f>
        <v>418</v>
      </c>
      <c r="C22" s="748">
        <f t="shared" si="0"/>
        <v>84.415453278671976</v>
      </c>
      <c r="D22" s="750">
        <f t="shared" si="3"/>
        <v>3.6372201423152228</v>
      </c>
      <c r="E22" s="750">
        <f t="shared" si="2"/>
        <v>-10.779082177161147</v>
      </c>
      <c r="F22" s="751">
        <f t="shared" si="4"/>
        <v>-23.06559670175956</v>
      </c>
      <c r="G22" s="840"/>
      <c r="H22" s="842">
        <f>$B$253/B22</f>
        <v>1.8173925837320575</v>
      </c>
    </row>
    <row r="23" spans="1:8" ht="16.5" hidden="1" customHeight="1" thickBot="1">
      <c r="A23" s="973" t="s">
        <v>552</v>
      </c>
      <c r="B23" s="748">
        <f>+geral!E1160</f>
        <v>454.5</v>
      </c>
      <c r="C23" s="748">
        <f t="shared" si="0"/>
        <v>91.786659127168448</v>
      </c>
      <c r="D23" s="750">
        <f t="shared" si="3"/>
        <v>8.7320574162679456</v>
      </c>
      <c r="E23" s="750">
        <f t="shared" ref="E23:E28" si="5">100*((B23/$B$16)-1)</f>
        <v>-2.9882604055496254</v>
      </c>
      <c r="F23" s="751">
        <f t="shared" si="4"/>
        <v>-6.2558010024132198</v>
      </c>
      <c r="G23" s="840"/>
      <c r="H23" s="842">
        <f>$B$253/B23</f>
        <v>1.6714413641364136</v>
      </c>
    </row>
    <row r="24" spans="1:8" ht="16.5" hidden="1" customHeight="1" thickBot="1">
      <c r="A24" s="973" t="s">
        <v>553</v>
      </c>
      <c r="B24" s="748">
        <f>+geral!E1161</f>
        <v>464</v>
      </c>
      <c r="C24" s="748">
        <f t="shared" si="0"/>
        <v>93.705192156229174</v>
      </c>
      <c r="D24" s="750">
        <f t="shared" ref="D24:D29" si="6">100*((B24/B23)-1)</f>
        <v>2.0902090209020896</v>
      </c>
      <c r="E24" s="750">
        <f t="shared" si="5"/>
        <v>-0.9605122732123772</v>
      </c>
      <c r="F24" s="751">
        <f t="shared" si="4"/>
        <v>-5.3061224489795888</v>
      </c>
      <c r="G24" s="840"/>
      <c r="H24" s="842">
        <f>$B$253/B24</f>
        <v>1.6372200431034485</v>
      </c>
    </row>
    <row r="25" spans="1:8" ht="16.5" hidden="1" customHeight="1" thickBot="1">
      <c r="A25" s="973" t="s">
        <v>554</v>
      </c>
      <c r="B25" s="748">
        <f>+geral!E1162</f>
        <v>416.88</v>
      </c>
      <c r="C25" s="748">
        <f t="shared" si="0"/>
        <v>84.189268332087963</v>
      </c>
      <c r="D25" s="750">
        <f t="shared" si="6"/>
        <v>-10.155172413793101</v>
      </c>
      <c r="E25" s="750">
        <f t="shared" si="5"/>
        <v>-11.018143009605119</v>
      </c>
      <c r="F25" s="751">
        <f t="shared" si="4"/>
        <v>-17.589846993239245</v>
      </c>
      <c r="G25" s="840"/>
      <c r="H25" s="842">
        <f>$B$253/B25</f>
        <v>1.8222752350796394</v>
      </c>
    </row>
    <row r="26" spans="1:8" ht="16.5" hidden="1" customHeight="1" thickBot="1">
      <c r="A26" s="973" t="s">
        <v>533</v>
      </c>
      <c r="B26" s="748">
        <f>+geral!E1163</f>
        <v>484</v>
      </c>
      <c r="C26" s="748">
        <f t="shared" si="0"/>
        <v>97.744209059514915</v>
      </c>
      <c r="D26" s="750">
        <f t="shared" si="6"/>
        <v>16.10055651506428</v>
      </c>
      <c r="E26" s="750">
        <f t="shared" si="5"/>
        <v>3.3084311632870955</v>
      </c>
      <c r="F26" s="751">
        <f t="shared" ref="F26:F31" si="7">100*((B26/B14)-1)</f>
        <v>-0.69757899056216432</v>
      </c>
      <c r="G26" s="840"/>
      <c r="H26" s="842">
        <f>$B$253/B26</f>
        <v>1.5695663223140497</v>
      </c>
    </row>
    <row r="27" spans="1:8" ht="16.5" hidden="1" customHeight="1" thickBot="1">
      <c r="A27" s="973" t="s">
        <v>555</v>
      </c>
      <c r="B27" s="748">
        <f>+geral!E1164</f>
        <v>427</v>
      </c>
      <c r="C27" s="748">
        <f t="shared" si="0"/>
        <v>86.233010885150549</v>
      </c>
      <c r="D27" s="750">
        <f t="shared" si="6"/>
        <v>-11.776859504132231</v>
      </c>
      <c r="E27" s="750">
        <f t="shared" si="5"/>
        <v>-8.8580576307363934</v>
      </c>
      <c r="F27" s="751">
        <f t="shared" si="7"/>
        <v>-7.3752711496746226</v>
      </c>
      <c r="G27" s="840"/>
      <c r="H27" s="842">
        <f>$B$253/B27</f>
        <v>1.7790868852459019</v>
      </c>
    </row>
    <row r="28" spans="1:8" ht="16.5" hidden="1" customHeight="1" thickBot="1">
      <c r="A28" s="973" t="s">
        <v>556</v>
      </c>
      <c r="B28" s="748">
        <f>+geral!E1165</f>
        <v>469.5</v>
      </c>
      <c r="C28" s="748">
        <f t="shared" si="0"/>
        <v>94.815921804632751</v>
      </c>
      <c r="D28" s="750">
        <f t="shared" si="6"/>
        <v>9.9531615925058539</v>
      </c>
      <c r="E28" s="750">
        <f t="shared" si="5"/>
        <v>0.21344717182496531</v>
      </c>
      <c r="F28" s="751">
        <f t="shared" si="7"/>
        <v>0.21344717182496531</v>
      </c>
      <c r="G28" s="840"/>
      <c r="H28" s="842">
        <f>$B$253/B28</f>
        <v>1.618040681576145</v>
      </c>
    </row>
    <row r="29" spans="1:8" ht="16.5" hidden="1" customHeight="1" thickBot="1">
      <c r="A29" s="973" t="s">
        <v>535</v>
      </c>
      <c r="B29" s="748">
        <f>+geral!G1154</f>
        <v>494</v>
      </c>
      <c r="C29" s="748">
        <f t="shared" si="0"/>
        <v>99.763717511157779</v>
      </c>
      <c r="D29" s="750">
        <f t="shared" si="6"/>
        <v>5.2183173588924436</v>
      </c>
      <c r="E29" s="750">
        <f t="shared" ref="E29:E34" si="8">100*((B29/$B$28)-1)</f>
        <v>5.2183173588924436</v>
      </c>
      <c r="F29" s="751">
        <f t="shared" si="7"/>
        <v>19.757575757575751</v>
      </c>
      <c r="G29" s="840"/>
      <c r="H29" s="842">
        <f>$B$253/B29</f>
        <v>1.5377937246963564</v>
      </c>
    </row>
    <row r="30" spans="1:8" ht="16.5" hidden="1" customHeight="1" thickBot="1">
      <c r="A30" s="973" t="s">
        <v>536</v>
      </c>
      <c r="B30" s="748">
        <f>+geral!G1155</f>
        <v>526</v>
      </c>
      <c r="C30" s="748">
        <f t="shared" si="0"/>
        <v>106.22614455641497</v>
      </c>
      <c r="D30" s="750">
        <f t="shared" ref="D30:D35" si="9">100*((B30/B29)-1)</f>
        <v>6.4777327935222617</v>
      </c>
      <c r="E30" s="750">
        <f t="shared" si="8"/>
        <v>12.034078807241745</v>
      </c>
      <c r="F30" s="751">
        <f t="shared" si="7"/>
        <v>29.397293972939732</v>
      </c>
      <c r="G30" s="840"/>
      <c r="H30" s="842">
        <f>$B$253/B30</f>
        <v>1.4442397338403044</v>
      </c>
    </row>
    <row r="31" spans="1:8" ht="16.5" hidden="1" customHeight="1" thickBot="1">
      <c r="A31" s="973" t="s">
        <v>537</v>
      </c>
      <c r="B31" s="748">
        <f>+geral!G1156</f>
        <v>447.5</v>
      </c>
      <c r="C31" s="748">
        <f t="shared" si="0"/>
        <v>90.373003211018428</v>
      </c>
      <c r="D31" s="750">
        <f t="shared" si="9"/>
        <v>-14.923954372623571</v>
      </c>
      <c r="E31" s="750">
        <f t="shared" si="8"/>
        <v>-4.6858359957401508</v>
      </c>
      <c r="F31" s="751">
        <f t="shared" si="7"/>
        <v>0.84507042253521014</v>
      </c>
      <c r="G31" s="840"/>
      <c r="H31" s="842">
        <f>$B$253/B31</f>
        <v>1.6975868156424583</v>
      </c>
    </row>
    <row r="32" spans="1:8" ht="16.5" hidden="1" customHeight="1" thickBot="1">
      <c r="A32" s="973" t="s">
        <v>538</v>
      </c>
      <c r="B32" s="748">
        <f>+geral!G1157</f>
        <v>420</v>
      </c>
      <c r="C32" s="748">
        <f t="shared" si="0"/>
        <v>84.819354969000543</v>
      </c>
      <c r="D32" s="750">
        <f t="shared" si="9"/>
        <v>-6.1452513966480442</v>
      </c>
      <c r="E32" s="750">
        <f t="shared" si="8"/>
        <v>-10.543130990415339</v>
      </c>
      <c r="F32" s="751">
        <f t="shared" ref="F32:F37" si="10">100*((B32/B20)-1)</f>
        <v>2.4390243902439046</v>
      </c>
      <c r="G32" s="840">
        <f>100*(B32/B8-1)</f>
        <v>-15.180645030999463</v>
      </c>
      <c r="H32" s="842">
        <f>$B$253/B32</f>
        <v>1.8087383333333333</v>
      </c>
    </row>
    <row r="33" spans="1:8" ht="16.5" hidden="1" customHeight="1" thickBot="1">
      <c r="A33" s="973" t="s">
        <v>539</v>
      </c>
      <c r="B33" s="748">
        <f>+geral!G1158</f>
        <v>452.5</v>
      </c>
      <c r="C33" s="748">
        <f t="shared" si="0"/>
        <v>91.382757436839867</v>
      </c>
      <c r="D33" s="750">
        <f t="shared" si="9"/>
        <v>7.7380952380952328</v>
      </c>
      <c r="E33" s="750">
        <f t="shared" si="8"/>
        <v>-3.620873269435565</v>
      </c>
      <c r="F33" s="751">
        <f t="shared" si="10"/>
        <v>12.191009843056566</v>
      </c>
      <c r="G33" s="840">
        <f t="shared" ref="G33:G41" si="11">100*(B33/B9-1)</f>
        <v>-12.740806448502617</v>
      </c>
      <c r="H33" s="842">
        <f>$B$253/B33</f>
        <v>1.6788289502762432</v>
      </c>
    </row>
    <row r="34" spans="1:8" ht="16.5" hidden="1" customHeight="1" thickBot="1">
      <c r="A34" s="973" t="s">
        <v>540</v>
      </c>
      <c r="B34" s="748">
        <f>+geral!G1159</f>
        <v>467.25</v>
      </c>
      <c r="C34" s="748">
        <f t="shared" si="0"/>
        <v>94.361532403013101</v>
      </c>
      <c r="D34" s="750">
        <f t="shared" si="9"/>
        <v>3.2596685082872945</v>
      </c>
      <c r="E34" s="750">
        <f t="shared" si="8"/>
        <v>-0.47923322683706138</v>
      </c>
      <c r="F34" s="751">
        <f t="shared" si="10"/>
        <v>11.782296650717704</v>
      </c>
      <c r="G34" s="840">
        <f t="shared" si="11"/>
        <v>-14.000957078701326</v>
      </c>
      <c r="H34" s="842">
        <f>$B$253/B34</f>
        <v>1.6258322097378277</v>
      </c>
    </row>
    <row r="35" spans="1:8" ht="16.5" hidden="1" customHeight="1" thickBot="1">
      <c r="A35" s="973" t="s">
        <v>541</v>
      </c>
      <c r="B35" s="748">
        <f>+geral!G1160</f>
        <v>478</v>
      </c>
      <c r="C35" s="748">
        <f t="shared" si="0"/>
        <v>96.532503988529186</v>
      </c>
      <c r="D35" s="750">
        <f t="shared" si="9"/>
        <v>2.3006955591225342</v>
      </c>
      <c r="E35" s="750">
        <f t="shared" ref="E35:E40" si="12">100*((B35/$B$28)-1)</f>
        <v>1.8104366347177825</v>
      </c>
      <c r="F35" s="751">
        <f t="shared" si="10"/>
        <v>5.1705170517051702</v>
      </c>
      <c r="G35" s="840">
        <f t="shared" si="11"/>
        <v>-1.4087412082585571</v>
      </c>
      <c r="H35" s="842">
        <f>$B$253/B35</f>
        <v>1.5892679916317993</v>
      </c>
    </row>
    <row r="36" spans="1:8" ht="16.5" hidden="1" customHeight="1" thickBot="1">
      <c r="A36" s="973" t="s">
        <v>542</v>
      </c>
      <c r="B36" s="748">
        <f>+geral!G1161</f>
        <v>475.62</v>
      </c>
      <c r="C36" s="748">
        <f t="shared" si="0"/>
        <v>96.051860977038189</v>
      </c>
      <c r="D36" s="750">
        <f t="shared" ref="D36:D41" si="13">100*((B36/B35)-1)</f>
        <v>-0.497907949790799</v>
      </c>
      <c r="E36" s="750">
        <f t="shared" si="12"/>
        <v>1.3035143769968061</v>
      </c>
      <c r="F36" s="751">
        <f t="shared" si="10"/>
        <v>2.5043103448275872</v>
      </c>
      <c r="G36" s="840">
        <f t="shared" si="11"/>
        <v>-2.9346938775510201</v>
      </c>
      <c r="H36" s="842">
        <f>$B$253/B36</f>
        <v>1.5972206803750895</v>
      </c>
    </row>
    <row r="37" spans="1:8" ht="16.5" hidden="1" customHeight="1" thickBot="1">
      <c r="A37" s="973" t="s">
        <v>543</v>
      </c>
      <c r="B37" s="748">
        <f>+geral!G1162</f>
        <v>502.5</v>
      </c>
      <c r="C37" s="748">
        <f t="shared" si="0"/>
        <v>101.48029969505421</v>
      </c>
      <c r="D37" s="750">
        <f t="shared" si="13"/>
        <v>5.6515705815566974</v>
      </c>
      <c r="E37" s="750">
        <f t="shared" si="12"/>
        <v>7.0287539936102261</v>
      </c>
      <c r="F37" s="751">
        <f t="shared" si="10"/>
        <v>20.538284398388029</v>
      </c>
      <c r="G37" s="840">
        <f t="shared" si="11"/>
        <v>-0.664215395563994</v>
      </c>
      <c r="H37" s="842">
        <f>$B$253/B37</f>
        <v>1.5117812935323385</v>
      </c>
    </row>
    <row r="38" spans="1:8" ht="16.5" hidden="1" customHeight="1" thickBot="1">
      <c r="A38" s="973" t="s">
        <v>532</v>
      </c>
      <c r="B38" s="748">
        <f>+geral!G1163</f>
        <v>514.95000000000005</v>
      </c>
      <c r="C38" s="748">
        <f t="shared" si="0"/>
        <v>103.9945877173496</v>
      </c>
      <c r="D38" s="750">
        <f t="shared" si="13"/>
        <v>2.4776119402985186</v>
      </c>
      <c r="E38" s="750">
        <f t="shared" si="12"/>
        <v>9.680511182108642</v>
      </c>
      <c r="F38" s="751">
        <f t="shared" ref="F38:F43" si="14">100*((B38/B26)-1)</f>
        <v>6.3946280991735716</v>
      </c>
      <c r="G38" s="840">
        <f t="shared" si="11"/>
        <v>5.6524415264669781</v>
      </c>
      <c r="H38" s="842">
        <f>$B$253/B38</f>
        <v>1.4752307991067093</v>
      </c>
    </row>
    <row r="39" spans="1:8" ht="16.5" hidden="1" customHeight="1" thickBot="1">
      <c r="A39" s="973" t="s">
        <v>544</v>
      </c>
      <c r="B39" s="748">
        <f>+geral!G1164</f>
        <v>560.6</v>
      </c>
      <c r="C39" s="748">
        <f t="shared" si="0"/>
        <v>113.2136437990993</v>
      </c>
      <c r="D39" s="750">
        <f t="shared" si="13"/>
        <v>8.8649383435284825</v>
      </c>
      <c r="E39" s="750">
        <f t="shared" si="12"/>
        <v>19.403620873269432</v>
      </c>
      <c r="F39" s="751">
        <f t="shared" si="14"/>
        <v>31.288056206088989</v>
      </c>
      <c r="G39" s="840">
        <f t="shared" si="11"/>
        <v>21.605206073752715</v>
      </c>
      <c r="H39" s="842">
        <f>$B$253/B39</f>
        <v>1.355101855155191</v>
      </c>
    </row>
    <row r="40" spans="1:8" ht="16.5" hidden="1" customHeight="1" thickBot="1">
      <c r="A40" s="973" t="s">
        <v>545</v>
      </c>
      <c r="B40" s="748">
        <f>+geral!G1165</f>
        <v>525</v>
      </c>
      <c r="C40" s="748">
        <f t="shared" si="0"/>
        <v>106.02419371125067</v>
      </c>
      <c r="D40" s="750">
        <f t="shared" si="13"/>
        <v>-6.3503389225829547</v>
      </c>
      <c r="E40" s="750">
        <f t="shared" si="12"/>
        <v>11.82108626198084</v>
      </c>
      <c r="F40" s="751">
        <f t="shared" si="14"/>
        <v>11.82108626198084</v>
      </c>
      <c r="G40" s="840">
        <f t="shared" si="11"/>
        <v>12.059765208110985</v>
      </c>
      <c r="H40" s="842">
        <f>$B$253/B40</f>
        <v>1.4469906666666668</v>
      </c>
    </row>
    <row r="41" spans="1:8" ht="16.5" hidden="1" customHeight="1" thickBot="1">
      <c r="A41" s="973" t="s">
        <v>565</v>
      </c>
      <c r="B41" s="748">
        <f>+geral!I1154</f>
        <v>530.75</v>
      </c>
      <c r="C41" s="748">
        <f t="shared" si="0"/>
        <v>107.18541107094534</v>
      </c>
      <c r="D41" s="750">
        <f t="shared" si="13"/>
        <v>1.0952380952381047</v>
      </c>
      <c r="E41" s="750">
        <f t="shared" ref="E41:E46" si="15">100*((B41/$B$40)-1)</f>
        <v>1.0952380952381047</v>
      </c>
      <c r="F41" s="751">
        <f t="shared" si="14"/>
        <v>7.4392712550607198</v>
      </c>
      <c r="G41" s="840">
        <f t="shared" si="11"/>
        <v>28.666666666666664</v>
      </c>
      <c r="H41" s="842">
        <f>$B$253/B41</f>
        <v>1.4313143664625532</v>
      </c>
    </row>
    <row r="42" spans="1:8" ht="16.5" hidden="1" customHeight="1" thickBot="1">
      <c r="A42" s="973" t="s">
        <v>566</v>
      </c>
      <c r="B42" s="748">
        <f>+geral!I1155</f>
        <v>580.35</v>
      </c>
      <c r="C42" s="748">
        <f t="shared" ref="C42:C88" si="16">100*B42/$B$8</f>
        <v>117.20217299109396</v>
      </c>
      <c r="D42" s="750">
        <f t="shared" ref="D42:D47" si="17">100*((B42/B41)-1)</f>
        <v>9.3452661328309095</v>
      </c>
      <c r="E42" s="750">
        <f t="shared" si="15"/>
        <v>10.542857142857143</v>
      </c>
      <c r="F42" s="751">
        <f t="shared" si="14"/>
        <v>10.332699619771857</v>
      </c>
      <c r="G42" s="840">
        <f t="shared" ref="G42:G47" si="18">100*(B42/B18-1)</f>
        <v>42.76752767527676</v>
      </c>
      <c r="H42" s="842">
        <f>$B$253/B42</f>
        <v>1.30898612906005</v>
      </c>
    </row>
    <row r="43" spans="1:8" ht="16.5" hidden="1" customHeight="1" thickBot="1">
      <c r="A43" s="973" t="s">
        <v>567</v>
      </c>
      <c r="B43" s="748">
        <f>+geral!I1156</f>
        <v>578.75</v>
      </c>
      <c r="C43" s="748">
        <f t="shared" si="16"/>
        <v>116.8790516388311</v>
      </c>
      <c r="D43" s="750">
        <f t="shared" si="17"/>
        <v>-0.27569570087017103</v>
      </c>
      <c r="E43" s="750">
        <f t="shared" si="15"/>
        <v>10.238095238095246</v>
      </c>
      <c r="F43" s="751">
        <f t="shared" si="14"/>
        <v>29.32960893854748</v>
      </c>
      <c r="G43" s="840">
        <f t="shared" si="18"/>
        <v>30.422535211267608</v>
      </c>
      <c r="H43" s="842">
        <f>$B$253/B43</f>
        <v>1.3126049244060476</v>
      </c>
    </row>
    <row r="44" spans="1:8" ht="16.5" hidden="1" customHeight="1" thickBot="1">
      <c r="A44" s="973" t="s">
        <v>568</v>
      </c>
      <c r="B44" s="748">
        <f>+geral!I1157</f>
        <v>527.5</v>
      </c>
      <c r="C44" s="748">
        <f t="shared" si="16"/>
        <v>106.52907082416139</v>
      </c>
      <c r="D44" s="750">
        <f t="shared" si="17"/>
        <v>-8.8552915766738636</v>
      </c>
      <c r="E44" s="750">
        <f t="shared" si="15"/>
        <v>0.4761904761904745</v>
      </c>
      <c r="F44" s="751">
        <f t="shared" ref="F44:F49" si="19">100*((B44/B32)-1)</f>
        <v>25.595238095238095</v>
      </c>
      <c r="G44" s="840">
        <f t="shared" si="18"/>
        <v>28.658536585365859</v>
      </c>
      <c r="H44" s="842">
        <f>$B$253/B44</f>
        <v>1.4401328909952607</v>
      </c>
    </row>
    <row r="45" spans="1:8" ht="16.5" hidden="1" customHeight="1" thickBot="1">
      <c r="A45" s="973" t="s">
        <v>569</v>
      </c>
      <c r="B45" s="748">
        <f>+geral!I1158</f>
        <v>576.58000000000004</v>
      </c>
      <c r="C45" s="748">
        <f t="shared" si="16"/>
        <v>116.44081830482462</v>
      </c>
      <c r="D45" s="750">
        <f t="shared" si="17"/>
        <v>9.3042654028436154</v>
      </c>
      <c r="E45" s="750">
        <f t="shared" si="15"/>
        <v>9.8247619047619139</v>
      </c>
      <c r="F45" s="751">
        <f t="shared" si="19"/>
        <v>27.420994475138126</v>
      </c>
      <c r="G45" s="840">
        <f t="shared" si="18"/>
        <v>42.954900453722765</v>
      </c>
      <c r="H45" s="842">
        <f>$B$253/B45</f>
        <v>1.3175450067640224</v>
      </c>
    </row>
    <row r="46" spans="1:8" ht="16.5" hidden="1" customHeight="1" thickBot="1">
      <c r="A46" s="973" t="s">
        <v>570</v>
      </c>
      <c r="B46" s="748">
        <f>+geral!I1159</f>
        <v>563.44000000000005</v>
      </c>
      <c r="C46" s="748">
        <f t="shared" si="16"/>
        <v>113.78718419936588</v>
      </c>
      <c r="D46" s="750">
        <f t="shared" si="17"/>
        <v>-2.2789552187033824</v>
      </c>
      <c r="E46" s="750">
        <f t="shared" si="15"/>
        <v>7.3219047619047739</v>
      </c>
      <c r="F46" s="751">
        <f t="shared" si="19"/>
        <v>20.586409844836815</v>
      </c>
      <c r="G46" s="840">
        <f t="shared" si="18"/>
        <v>34.794258373205757</v>
      </c>
      <c r="H46" s="842">
        <f>$B$253/B46</f>
        <v>1.3482715107198637</v>
      </c>
    </row>
    <row r="47" spans="1:8" ht="16.5" hidden="1" customHeight="1" thickBot="1">
      <c r="A47" s="973" t="s">
        <v>571</v>
      </c>
      <c r="B47" s="748">
        <f>+geral!I1160</f>
        <v>570.6</v>
      </c>
      <c r="C47" s="748">
        <f t="shared" si="16"/>
        <v>115.23315225074217</v>
      </c>
      <c r="D47" s="750">
        <f t="shared" si="17"/>
        <v>1.2707652988783069</v>
      </c>
      <c r="E47" s="750">
        <f t="shared" ref="E47:E52" si="20">100*((B47/$B$40)-1)</f>
        <v>8.6857142857142975</v>
      </c>
      <c r="F47" s="751">
        <f t="shared" si="19"/>
        <v>19.372384937238497</v>
      </c>
      <c r="G47" s="840">
        <f t="shared" si="18"/>
        <v>25.544554455445546</v>
      </c>
      <c r="H47" s="842">
        <f>$B$253/B47</f>
        <v>1.3313531370487206</v>
      </c>
    </row>
    <row r="48" spans="1:8" ht="16.5" hidden="1" customHeight="1" thickBot="1">
      <c r="A48" s="973" t="s">
        <v>572</v>
      </c>
      <c r="B48" s="748">
        <f>+geral!I1161</f>
        <v>595</v>
      </c>
      <c r="C48" s="748">
        <f t="shared" si="16"/>
        <v>120.16075287275076</v>
      </c>
      <c r="D48" s="750">
        <f t="shared" ref="D48:D53" si="21">100*((B48/B47)-1)</f>
        <v>4.2762004907115347</v>
      </c>
      <c r="E48" s="750">
        <f t="shared" si="20"/>
        <v>13.33333333333333</v>
      </c>
      <c r="F48" s="751">
        <f t="shared" si="19"/>
        <v>25.099869643833305</v>
      </c>
      <c r="G48" s="840">
        <f t="shared" ref="G48:G53" si="22">100*(B48/B24-1)</f>
        <v>28.232758620689658</v>
      </c>
      <c r="H48" s="842">
        <f>$B$253/B48</f>
        <v>1.2767564705882353</v>
      </c>
    </row>
    <row r="49" spans="1:8" ht="16.5" hidden="1" customHeight="1" thickBot="1">
      <c r="A49" s="973" t="s">
        <v>573</v>
      </c>
      <c r="B49" s="748">
        <f>+geral!I1162</f>
        <v>613.4</v>
      </c>
      <c r="C49" s="748">
        <f t="shared" si="16"/>
        <v>123.87664842377364</v>
      </c>
      <c r="D49" s="750">
        <f t="shared" si="21"/>
        <v>3.0924369747899139</v>
      </c>
      <c r="E49" s="750">
        <f t="shared" si="20"/>
        <v>16.838095238095228</v>
      </c>
      <c r="F49" s="751">
        <f t="shared" si="19"/>
        <v>22.069651741293541</v>
      </c>
      <c r="G49" s="840">
        <f t="shared" si="22"/>
        <v>47.14066398004222</v>
      </c>
      <c r="H49" s="842">
        <f>$B$253/B49</f>
        <v>1.2384579393544182</v>
      </c>
    </row>
    <row r="50" spans="1:8" ht="16.5" hidden="1" customHeight="1" thickBot="1">
      <c r="A50" s="973" t="s">
        <v>396</v>
      </c>
      <c r="B50" s="748">
        <f>+geral!I1163</f>
        <v>549.4</v>
      </c>
      <c r="C50" s="748">
        <f t="shared" si="16"/>
        <v>110.95179433325929</v>
      </c>
      <c r="D50" s="750">
        <f t="shared" si="21"/>
        <v>-10.433648516465599</v>
      </c>
      <c r="E50" s="750">
        <f t="shared" si="20"/>
        <v>4.6476190476190338</v>
      </c>
      <c r="F50" s="751">
        <f t="shared" ref="F50:F55" si="23">100*((B50/B38)-1)</f>
        <v>6.6899698999902668</v>
      </c>
      <c r="G50" s="840">
        <f t="shared" si="22"/>
        <v>13.512396694214868</v>
      </c>
      <c r="H50" s="842">
        <f>$B$253/B50</f>
        <v>1.3827267928649438</v>
      </c>
    </row>
    <row r="51" spans="1:8" ht="16.5" hidden="1" customHeight="1" thickBot="1">
      <c r="A51" s="973" t="s">
        <v>397</v>
      </c>
      <c r="B51" s="748">
        <f>+geral!I1164</f>
        <v>555.75</v>
      </c>
      <c r="C51" s="748">
        <f t="shared" si="16"/>
        <v>112.2341822000525</v>
      </c>
      <c r="D51" s="750">
        <f t="shared" si="21"/>
        <v>1.1558063341827518</v>
      </c>
      <c r="E51" s="750">
        <f t="shared" si="20"/>
        <v>5.8571428571428497</v>
      </c>
      <c r="F51" s="751">
        <f t="shared" si="23"/>
        <v>-0.86514448804851929</v>
      </c>
      <c r="G51" s="840">
        <f t="shared" si="22"/>
        <v>30.152224824355976</v>
      </c>
      <c r="H51" s="842">
        <f>$B$253/B51</f>
        <v>1.36692775528565</v>
      </c>
    </row>
    <row r="52" spans="1:8" ht="16.5" hidden="1" customHeight="1" thickBot="1">
      <c r="A52" s="973" t="s">
        <v>398</v>
      </c>
      <c r="B52" s="748">
        <f>+geral!I1165</f>
        <v>564</v>
      </c>
      <c r="C52" s="748">
        <f t="shared" si="16"/>
        <v>113.90027667265787</v>
      </c>
      <c r="D52" s="750">
        <f t="shared" si="21"/>
        <v>1.4844804318488558</v>
      </c>
      <c r="E52" s="750">
        <f t="shared" si="20"/>
        <v>7.4285714285714288</v>
      </c>
      <c r="F52" s="751">
        <f t="shared" si="23"/>
        <v>7.4285714285714288</v>
      </c>
      <c r="G52" s="840">
        <f t="shared" si="22"/>
        <v>20.127795527156557</v>
      </c>
      <c r="H52" s="842">
        <f>$B$253/B52</f>
        <v>1.3469328014184399</v>
      </c>
    </row>
    <row r="53" spans="1:8" ht="16.5" hidden="1" customHeight="1" thickBot="1">
      <c r="A53" s="973" t="s">
        <v>399</v>
      </c>
      <c r="B53" s="748">
        <f>+geral!K1154</f>
        <v>559.5</v>
      </c>
      <c r="C53" s="748">
        <f t="shared" si="16"/>
        <v>112.99149786941858</v>
      </c>
      <c r="D53" s="750">
        <f t="shared" si="21"/>
        <v>-0.79787234042553168</v>
      </c>
      <c r="E53" s="750">
        <f t="shared" ref="E53:E58" si="24">100*((B53/$B$52)-1)</f>
        <v>-0.79787234042553168</v>
      </c>
      <c r="F53" s="751">
        <f t="shared" si="23"/>
        <v>5.4168629298162907</v>
      </c>
      <c r="G53" s="840">
        <f t="shared" si="22"/>
        <v>13.259109311740879</v>
      </c>
      <c r="H53" s="842">
        <f>$B$253/B53</f>
        <v>1.3577660411081323</v>
      </c>
    </row>
    <row r="54" spans="1:8" ht="16.5" hidden="1" customHeight="1" thickBot="1">
      <c r="A54" s="973" t="s">
        <v>400</v>
      </c>
      <c r="B54" s="748">
        <f>+geral!K1155</f>
        <v>571.5</v>
      </c>
      <c r="C54" s="748">
        <f t="shared" si="16"/>
        <v>115.41490801139003</v>
      </c>
      <c r="D54" s="750">
        <f t="shared" ref="D54:D59" si="25">100*((B54/B53)-1)</f>
        <v>2.1447721179624679</v>
      </c>
      <c r="E54" s="750">
        <f t="shared" si="24"/>
        <v>1.3297872340425565</v>
      </c>
      <c r="F54" s="751">
        <f t="shared" si="23"/>
        <v>-1.5249418454380992</v>
      </c>
      <c r="G54" s="840">
        <f t="shared" ref="G54:G59" si="26">100*(B54/B30-1)</f>
        <v>8.6501901140684456</v>
      </c>
      <c r="H54" s="842">
        <f>$B$253/B54</f>
        <v>1.3292565179352582</v>
      </c>
    </row>
    <row r="55" spans="1:8" ht="16.5" hidden="1" customHeight="1" thickBot="1">
      <c r="A55" s="973" t="s">
        <v>401</v>
      </c>
      <c r="B55" s="748">
        <f>+geral!K1156</f>
        <v>661</v>
      </c>
      <c r="C55" s="748">
        <f t="shared" si="16"/>
        <v>133.4895086535937</v>
      </c>
      <c r="D55" s="750">
        <f t="shared" si="25"/>
        <v>15.660542432195967</v>
      </c>
      <c r="E55" s="750">
        <f t="shared" si="24"/>
        <v>17.198581560283689</v>
      </c>
      <c r="F55" s="751">
        <f t="shared" si="23"/>
        <v>14.21166306695465</v>
      </c>
      <c r="G55" s="840">
        <f t="shared" si="26"/>
        <v>47.709497206703922</v>
      </c>
      <c r="H55" s="842">
        <f>$B$253/B55</f>
        <v>1.1492739788199697</v>
      </c>
    </row>
    <row r="56" spans="1:8" ht="16.5" hidden="1" customHeight="1" thickBot="1">
      <c r="A56" s="973" t="s">
        <v>402</v>
      </c>
      <c r="B56" s="748">
        <f>+geral!K1157</f>
        <v>614</v>
      </c>
      <c r="C56" s="748">
        <f t="shared" si="16"/>
        <v>123.99781893087223</v>
      </c>
      <c r="D56" s="750">
        <f t="shared" si="25"/>
        <v>-7.1104387291981874</v>
      </c>
      <c r="E56" s="750">
        <f t="shared" si="24"/>
        <v>8.8652482269503619</v>
      </c>
      <c r="F56" s="751">
        <f t="shared" ref="F56:F61" si="27">100*((B56/B44)-1)</f>
        <v>16.398104265402846</v>
      </c>
      <c r="G56" s="840">
        <f t="shared" si="26"/>
        <v>46.190476190476183</v>
      </c>
      <c r="H56" s="842">
        <f>$B$253/B56</f>
        <v>1.2372477198697069</v>
      </c>
    </row>
    <row r="57" spans="1:8" ht="16.5" hidden="1" customHeight="1" thickBot="1">
      <c r="A57" s="973" t="s">
        <v>403</v>
      </c>
      <c r="B57" s="748">
        <f>+geral!K1158</f>
        <v>653.4</v>
      </c>
      <c r="C57" s="748">
        <f t="shared" si="16"/>
        <v>131.95468223034513</v>
      </c>
      <c r="D57" s="750">
        <f t="shared" si="25"/>
        <v>6.416938110749193</v>
      </c>
      <c r="E57" s="750">
        <f t="shared" si="24"/>
        <v>15.851063829787226</v>
      </c>
      <c r="F57" s="751">
        <f t="shared" si="27"/>
        <v>13.323389642373984</v>
      </c>
      <c r="G57" s="840">
        <f t="shared" si="26"/>
        <v>44.39779005524862</v>
      </c>
      <c r="H57" s="842">
        <f>$B$253/B57</f>
        <v>1.1626417202326293</v>
      </c>
    </row>
    <row r="58" spans="1:8" ht="16.5" hidden="1" customHeight="1" thickBot="1">
      <c r="A58" s="973" t="s">
        <v>404</v>
      </c>
      <c r="B58" s="748">
        <f>+geral!K1159</f>
        <v>696</v>
      </c>
      <c r="C58" s="748">
        <f t="shared" si="16"/>
        <v>140.55778823434375</v>
      </c>
      <c r="D58" s="750">
        <f t="shared" si="25"/>
        <v>6.5197428833792426</v>
      </c>
      <c r="E58" s="750">
        <f t="shared" si="24"/>
        <v>23.404255319148938</v>
      </c>
      <c r="F58" s="751">
        <f t="shared" si="27"/>
        <v>23.526906147948303</v>
      </c>
      <c r="G58" s="840">
        <f t="shared" si="26"/>
        <v>48.956661316211878</v>
      </c>
      <c r="H58" s="842">
        <f>$B$253/B58</f>
        <v>1.0914800287356323</v>
      </c>
    </row>
    <row r="59" spans="1:8" ht="16.5" hidden="1" customHeight="1" thickBot="1">
      <c r="A59" s="973" t="s">
        <v>405</v>
      </c>
      <c r="B59" s="748">
        <f>+geral!K1160</f>
        <v>653.6</v>
      </c>
      <c r="C59" s="748">
        <f t="shared" si="16"/>
        <v>131.99507239937799</v>
      </c>
      <c r="D59" s="750">
        <f t="shared" si="25"/>
        <v>-6.0919540229884994</v>
      </c>
      <c r="E59" s="750">
        <f t="shared" ref="E59:E64" si="28">100*((B59/$B$52)-1)</f>
        <v>15.886524822695037</v>
      </c>
      <c r="F59" s="751">
        <f t="shared" si="27"/>
        <v>14.546091833158069</v>
      </c>
      <c r="G59" s="840">
        <f t="shared" si="26"/>
        <v>36.73640167364016</v>
      </c>
      <c r="H59" s="842">
        <f>$B$253/B59</f>
        <v>1.1622859547123623</v>
      </c>
    </row>
    <row r="60" spans="1:8" ht="16.5" hidden="1" customHeight="1" thickBot="1">
      <c r="A60" s="973" t="s">
        <v>406</v>
      </c>
      <c r="B60" s="748">
        <f>+geral!K1161</f>
        <v>651.08000000000004</v>
      </c>
      <c r="C60" s="748">
        <f t="shared" si="16"/>
        <v>131.48615626956399</v>
      </c>
      <c r="D60" s="750">
        <f t="shared" ref="D60:D65" si="29">100*((B60/B59)-1)</f>
        <v>-0.38555691554467142</v>
      </c>
      <c r="E60" s="750">
        <f t="shared" si="28"/>
        <v>15.439716312056738</v>
      </c>
      <c r="F60" s="751">
        <f t="shared" si="27"/>
        <v>9.4252100840336297</v>
      </c>
      <c r="G60" s="840">
        <f t="shared" ref="G60:G65" si="30">100*(B60/B36-1)</f>
        <v>36.890795172616798</v>
      </c>
      <c r="H60" s="842">
        <f>$B$253/B60</f>
        <v>1.1667845733243227</v>
      </c>
    </row>
    <row r="61" spans="1:8" ht="16.5" hidden="1" customHeight="1" thickBot="1">
      <c r="A61" s="973" t="s">
        <v>407</v>
      </c>
      <c r="B61" s="748">
        <f>+geral!K1162</f>
        <v>663</v>
      </c>
      <c r="C61" s="748">
        <f t="shared" si="16"/>
        <v>133.89341034392228</v>
      </c>
      <c r="D61" s="750">
        <f t="shared" si="29"/>
        <v>1.8308042022485704</v>
      </c>
      <c r="E61" s="750">
        <f t="shared" si="28"/>
        <v>17.553191489361698</v>
      </c>
      <c r="F61" s="751">
        <f t="shared" si="27"/>
        <v>8.0860776002608539</v>
      </c>
      <c r="G61" s="840">
        <f t="shared" si="30"/>
        <v>31.940298507462693</v>
      </c>
      <c r="H61" s="842">
        <f>$B$253/B61</f>
        <v>1.1458070889894421</v>
      </c>
    </row>
    <row r="62" spans="1:8" ht="16.5" hidden="1" customHeight="1" thickBot="1">
      <c r="A62" s="973" t="s">
        <v>408</v>
      </c>
      <c r="B62" s="748">
        <f>+geral!K1163</f>
        <v>662</v>
      </c>
      <c r="C62" s="748">
        <f t="shared" si="16"/>
        <v>133.69145949875801</v>
      </c>
      <c r="D62" s="750">
        <f t="shared" si="29"/>
        <v>-0.15082956259426794</v>
      </c>
      <c r="E62" s="750">
        <f t="shared" si="28"/>
        <v>17.375886524822693</v>
      </c>
      <c r="F62" s="751">
        <f t="shared" ref="F62:F67" si="31">100*((B62/B50)-1)</f>
        <v>20.495085547870406</v>
      </c>
      <c r="G62" s="840">
        <f t="shared" si="30"/>
        <v>28.556170501990465</v>
      </c>
      <c r="H62" s="842">
        <f>$B$253/B62</f>
        <v>1.1475379154078551</v>
      </c>
    </row>
    <row r="63" spans="1:8" ht="16.5" hidden="1" customHeight="1" thickBot="1">
      <c r="A63" s="973" t="s">
        <v>409</v>
      </c>
      <c r="B63" s="748">
        <f>+geral!K1164</f>
        <v>683</v>
      </c>
      <c r="C63" s="748">
        <f t="shared" si="16"/>
        <v>137.93242724720801</v>
      </c>
      <c r="D63" s="750">
        <f t="shared" si="29"/>
        <v>3.1722054380664666</v>
      </c>
      <c r="E63" s="750">
        <f t="shared" si="28"/>
        <v>21.099290780141857</v>
      </c>
      <c r="F63" s="751">
        <f t="shared" si="31"/>
        <v>22.896986054880799</v>
      </c>
      <c r="G63" s="840">
        <f t="shared" si="30"/>
        <v>21.83374955404922</v>
      </c>
      <c r="H63" s="842">
        <f>$B$253/B63</f>
        <v>1.1122549048316253</v>
      </c>
    </row>
    <row r="64" spans="1:8" ht="16.5" hidden="1" customHeight="1" thickBot="1">
      <c r="A64" s="973" t="s">
        <v>410</v>
      </c>
      <c r="B64" s="748">
        <f>+geral!K1165</f>
        <v>658</v>
      </c>
      <c r="C64" s="748">
        <f t="shared" si="16"/>
        <v>132.88365611810084</v>
      </c>
      <c r="D64" s="750">
        <f t="shared" si="29"/>
        <v>-3.6603221083455373</v>
      </c>
      <c r="E64" s="750">
        <f t="shared" si="28"/>
        <v>16.666666666666675</v>
      </c>
      <c r="F64" s="751">
        <f t="shared" si="31"/>
        <v>16.666666666666675</v>
      </c>
      <c r="G64" s="840">
        <f t="shared" si="30"/>
        <v>25.333333333333343</v>
      </c>
      <c r="H64" s="842">
        <f>$B$253/B64</f>
        <v>1.1545138297872342</v>
      </c>
    </row>
    <row r="65" spans="1:8" ht="16.5" hidden="1" customHeight="1" thickBot="1">
      <c r="A65" s="973" t="s">
        <v>411</v>
      </c>
      <c r="B65" s="748">
        <f>+geral!M1154</f>
        <v>691.91</v>
      </c>
      <c r="C65" s="748">
        <f t="shared" si="16"/>
        <v>139.73180927762184</v>
      </c>
      <c r="D65" s="750">
        <f t="shared" si="29"/>
        <v>5.153495440729472</v>
      </c>
      <c r="E65" s="750">
        <f t="shared" ref="E65:E70" si="32">100*((B65/$B$64)-1)</f>
        <v>5.153495440729472</v>
      </c>
      <c r="F65" s="751">
        <f t="shared" si="31"/>
        <v>23.665773011617517</v>
      </c>
      <c r="G65" s="840">
        <f t="shared" si="30"/>
        <v>30.364578426754598</v>
      </c>
      <c r="H65" s="842">
        <f>$B$253/B65</f>
        <v>1.097931956468327</v>
      </c>
    </row>
    <row r="66" spans="1:8" ht="16.5" hidden="1" customHeight="1" thickBot="1">
      <c r="A66" s="973" t="s">
        <v>412</v>
      </c>
      <c r="B66" s="748">
        <f>+geral!M1155</f>
        <v>679.3</v>
      </c>
      <c r="C66" s="748">
        <f t="shared" si="16"/>
        <v>137.18520912010015</v>
      </c>
      <c r="D66" s="750">
        <f t="shared" ref="D66:D71" si="33">100*((B66/B65)-1)</f>
        <v>-1.8224913644838248</v>
      </c>
      <c r="E66" s="750">
        <f t="shared" si="32"/>
        <v>3.2370820668693012</v>
      </c>
      <c r="F66" s="751">
        <f t="shared" si="31"/>
        <v>18.862642169728773</v>
      </c>
      <c r="G66" s="840">
        <f t="shared" ref="G66:G71" si="34">100*(B66/B42-1)</f>
        <v>17.050056000689228</v>
      </c>
      <c r="H66" s="842">
        <f>$B$253/B66</f>
        <v>1.1183131164433977</v>
      </c>
    </row>
    <row r="67" spans="1:8" ht="16.5" hidden="1" customHeight="1" thickBot="1">
      <c r="A67" s="973" t="s">
        <v>413</v>
      </c>
      <c r="B67" s="748">
        <f>+geral!M1156</f>
        <v>674.38</v>
      </c>
      <c r="C67" s="748">
        <f t="shared" si="16"/>
        <v>136.19161096189188</v>
      </c>
      <c r="D67" s="750">
        <f t="shared" si="33"/>
        <v>-0.72427498895921705</v>
      </c>
      <c r="E67" s="750">
        <f t="shared" si="32"/>
        <v>2.4893617021276571</v>
      </c>
      <c r="F67" s="751">
        <f t="shared" si="31"/>
        <v>2.0242057488653487</v>
      </c>
      <c r="G67" s="840">
        <f t="shared" si="34"/>
        <v>16.523542116630672</v>
      </c>
      <c r="H67" s="842">
        <f>$B$253/B67</f>
        <v>1.1264718704587919</v>
      </c>
    </row>
    <row r="68" spans="1:8" ht="16.5" hidden="1" customHeight="1" thickBot="1">
      <c r="A68" s="973" t="s">
        <v>414</v>
      </c>
      <c r="B68" s="748">
        <f>+geral!M1157</f>
        <v>693.27</v>
      </c>
      <c r="C68" s="748">
        <f t="shared" si="16"/>
        <v>140.00646242704525</v>
      </c>
      <c r="D68" s="750">
        <f t="shared" si="33"/>
        <v>2.8010913728164999</v>
      </c>
      <c r="E68" s="750">
        <f t="shared" si="32"/>
        <v>5.3601823708206764</v>
      </c>
      <c r="F68" s="751">
        <f t="shared" ref="F68:F73" si="35">100*((B68/B56)-1)</f>
        <v>12.910423452768715</v>
      </c>
      <c r="G68" s="840">
        <f t="shared" si="34"/>
        <v>31.425592417061598</v>
      </c>
      <c r="H68" s="842">
        <f>$B$253/B68</f>
        <v>1.0957781239632467</v>
      </c>
    </row>
    <row r="69" spans="1:8" ht="16.5" hidden="1" customHeight="1" thickBot="1">
      <c r="A69" s="973" t="s">
        <v>415</v>
      </c>
      <c r="B69" s="748">
        <f>+geral!M1158</f>
        <v>668.13</v>
      </c>
      <c r="C69" s="748">
        <f t="shared" si="16"/>
        <v>134.92941817961508</v>
      </c>
      <c r="D69" s="750">
        <f t="shared" si="33"/>
        <v>-3.6262927863602856</v>
      </c>
      <c r="E69" s="750">
        <f t="shared" si="32"/>
        <v>1.5395136778115548</v>
      </c>
      <c r="F69" s="751">
        <f t="shared" si="35"/>
        <v>2.2543617998163512</v>
      </c>
      <c r="G69" s="840">
        <f t="shared" si="34"/>
        <v>15.878108848728711</v>
      </c>
      <c r="H69" s="842">
        <f>$B$253/B69</f>
        <v>1.1370094143355336</v>
      </c>
    </row>
    <row r="70" spans="1:8" ht="16.5" hidden="1" customHeight="1" thickBot="1">
      <c r="A70" s="973" t="s">
        <v>416</v>
      </c>
      <c r="B70" s="748">
        <f>+geral!M1159</f>
        <v>668.38</v>
      </c>
      <c r="C70" s="748">
        <f t="shared" si="16"/>
        <v>134.97990589090614</v>
      </c>
      <c r="D70" s="750">
        <f t="shared" si="33"/>
        <v>3.7417867780220604E-2</v>
      </c>
      <c r="E70" s="750">
        <f t="shared" si="32"/>
        <v>1.5775075987841891</v>
      </c>
      <c r="F70" s="751">
        <f t="shared" si="35"/>
        <v>-3.968390804597699</v>
      </c>
      <c r="G70" s="840">
        <f t="shared" si="34"/>
        <v>18.62487576316909</v>
      </c>
      <c r="H70" s="842">
        <f>$B$253/B70</f>
        <v>1.1365841287890124</v>
      </c>
    </row>
    <row r="71" spans="1:8" ht="16.5" hidden="1" customHeight="1" thickBot="1">
      <c r="A71" s="973" t="s">
        <v>417</v>
      </c>
      <c r="B71" s="748">
        <f>+geral!M1160</f>
        <v>675.14</v>
      </c>
      <c r="C71" s="748">
        <f t="shared" si="16"/>
        <v>136.34509360421674</v>
      </c>
      <c r="D71" s="750">
        <f t="shared" si="33"/>
        <v>1.0114007002004932</v>
      </c>
      <c r="E71" s="750">
        <f t="shared" ref="E71:E76" si="36">100*((B71/$B$64)-1)</f>
        <v>2.6048632218844903</v>
      </c>
      <c r="F71" s="751">
        <f t="shared" si="35"/>
        <v>3.2955936352509152</v>
      </c>
      <c r="G71" s="840">
        <f t="shared" si="34"/>
        <v>18.321065545040295</v>
      </c>
      <c r="H71" s="842">
        <f>$B$253/B71</f>
        <v>1.1252038095802352</v>
      </c>
    </row>
    <row r="72" spans="1:8" ht="16.5" hidden="1" customHeight="1" thickBot="1">
      <c r="A72" s="973" t="s">
        <v>418</v>
      </c>
      <c r="B72" s="748">
        <f>+geral!M1161</f>
        <v>644</v>
      </c>
      <c r="C72" s="748">
        <f t="shared" si="16"/>
        <v>130.05634428580083</v>
      </c>
      <c r="D72" s="750">
        <f t="shared" ref="D72:D77" si="37">100*((B72/B71)-1)</f>
        <v>-4.6123766922416038</v>
      </c>
      <c r="E72" s="750">
        <f t="shared" si="36"/>
        <v>-2.1276595744680882</v>
      </c>
      <c r="F72" s="751">
        <f t="shared" si="35"/>
        <v>-1.0874239724765089</v>
      </c>
      <c r="G72" s="840">
        <f t="shared" ref="G72:G77" si="38">100*(B72/B48-1)</f>
        <v>8.2352941176470509</v>
      </c>
      <c r="H72" s="842">
        <f>$B$253/B72</f>
        <v>1.1796119565217391</v>
      </c>
    </row>
    <row r="73" spans="1:8" ht="16.5" hidden="1" customHeight="1" thickBot="1">
      <c r="A73" s="973" t="s">
        <v>419</v>
      </c>
      <c r="B73" s="748">
        <f>+geral!M1162</f>
        <v>604.22</v>
      </c>
      <c r="C73" s="748">
        <f t="shared" si="16"/>
        <v>122.02273966516549</v>
      </c>
      <c r="D73" s="750">
        <f t="shared" si="37"/>
        <v>-6.1770186335403654</v>
      </c>
      <c r="E73" s="750">
        <f t="shared" si="36"/>
        <v>-8.1732522796352569</v>
      </c>
      <c r="F73" s="751">
        <f t="shared" si="35"/>
        <v>-8.8657616892910962</v>
      </c>
      <c r="G73" s="840">
        <f t="shared" si="38"/>
        <v>-1.4965764590805231</v>
      </c>
      <c r="H73" s="842">
        <f>$B$253/B73</f>
        <v>1.2572740061566978</v>
      </c>
    </row>
    <row r="74" spans="1:8" ht="16.5" hidden="1" customHeight="1" thickBot="1">
      <c r="A74" s="973" t="s">
        <v>420</v>
      </c>
      <c r="B74" s="748">
        <f>+geral!M1163</f>
        <v>669.8</v>
      </c>
      <c r="C74" s="748">
        <f t="shared" si="16"/>
        <v>135.26667609103944</v>
      </c>
      <c r="D74" s="750">
        <f t="shared" si="37"/>
        <v>10.853662573234901</v>
      </c>
      <c r="E74" s="750">
        <f t="shared" si="36"/>
        <v>1.7933130699087974</v>
      </c>
      <c r="F74" s="751">
        <f t="shared" ref="F74:F79" si="39">100*((B74/B62)-1)</f>
        <v>1.1782477341389708</v>
      </c>
      <c r="G74" s="840">
        <f t="shared" si="38"/>
        <v>21.914816163086993</v>
      </c>
      <c r="H74" s="842">
        <f>$B$253/B74</f>
        <v>1.1341745297103614</v>
      </c>
    </row>
    <row r="75" spans="1:8" ht="16.5" hidden="1" customHeight="1" thickBot="1">
      <c r="A75" s="973" t="s">
        <v>421</v>
      </c>
      <c r="B75" s="748">
        <f>+geral!M1164</f>
        <v>664.55</v>
      </c>
      <c r="C75" s="748">
        <f t="shared" si="16"/>
        <v>134.20643415392692</v>
      </c>
      <c r="D75" s="750">
        <f t="shared" si="37"/>
        <v>-0.78381606449686725</v>
      </c>
      <c r="E75" s="750">
        <f t="shared" si="36"/>
        <v>0.99544072948327678</v>
      </c>
      <c r="F75" s="751">
        <f t="shared" si="39"/>
        <v>-2.7013177159590063</v>
      </c>
      <c r="G75" s="840">
        <f t="shared" si="38"/>
        <v>19.57714799820063</v>
      </c>
      <c r="H75" s="842">
        <f>$B$253/B75</f>
        <v>1.1431346023625011</v>
      </c>
    </row>
    <row r="76" spans="1:8" ht="16.5" hidden="1" customHeight="1" thickBot="1">
      <c r="A76" s="973" t="s">
        <v>422</v>
      </c>
      <c r="B76" s="748">
        <f>+geral!M1165</f>
        <v>660.11</v>
      </c>
      <c r="C76" s="748">
        <f t="shared" si="16"/>
        <v>133.30977240139751</v>
      </c>
      <c r="D76" s="750">
        <f t="shared" si="37"/>
        <v>-0.66812128508012547</v>
      </c>
      <c r="E76" s="750">
        <f t="shared" si="36"/>
        <v>0.32066869300912959</v>
      </c>
      <c r="F76" s="751">
        <f t="shared" si="39"/>
        <v>0.32066869300912959</v>
      </c>
      <c r="G76" s="840">
        <f t="shared" si="38"/>
        <v>17.040780141843982</v>
      </c>
      <c r="H76" s="842">
        <f>$B$253/B76</f>
        <v>1.150823499113784</v>
      </c>
    </row>
    <row r="77" spans="1:8" ht="16.5" hidden="1" customHeight="1" thickBot="1">
      <c r="A77" s="973" t="s">
        <v>423</v>
      </c>
      <c r="B77" s="748">
        <f>+geral!C1170</f>
        <v>675.58</v>
      </c>
      <c r="C77" s="748">
        <f t="shared" si="16"/>
        <v>136.43395197608902</v>
      </c>
      <c r="D77" s="750">
        <f t="shared" si="37"/>
        <v>2.3435488024723172</v>
      </c>
      <c r="E77" s="750">
        <f t="shared" ref="E77:E82" si="40">100*((B77/$B$76)-1)</f>
        <v>2.3435488024723172</v>
      </c>
      <c r="F77" s="751">
        <f t="shared" si="39"/>
        <v>-2.3601335433799053</v>
      </c>
      <c r="G77" s="840">
        <f t="shared" si="38"/>
        <v>20.747095621090274</v>
      </c>
      <c r="H77" s="842">
        <f>$B$253/B77</f>
        <v>1.1244709730897895</v>
      </c>
    </row>
    <row r="78" spans="1:8" ht="16.5" hidden="1" customHeight="1" thickBot="1">
      <c r="A78" s="973" t="s">
        <v>424</v>
      </c>
      <c r="B78" s="748">
        <f>+geral!C1171</f>
        <v>709.29</v>
      </c>
      <c r="C78" s="748">
        <f t="shared" si="16"/>
        <v>143.24171496657712</v>
      </c>
      <c r="D78" s="750">
        <f t="shared" ref="D78:D83" si="41">100*((B78/B77)-1)</f>
        <v>4.9897865537759989</v>
      </c>
      <c r="E78" s="750">
        <f t="shared" si="40"/>
        <v>7.4502734392752679</v>
      </c>
      <c r="F78" s="751">
        <f t="shared" si="39"/>
        <v>4.414838804651855</v>
      </c>
      <c r="G78" s="840">
        <f t="shared" ref="G78:G83" si="42">100*(B78/B54-1)</f>
        <v>24.110236220472437</v>
      </c>
      <c r="H78" s="842">
        <f>$B$253/B78</f>
        <v>1.071028916240184</v>
      </c>
    </row>
    <row r="79" spans="1:8" ht="16.5" hidden="1" customHeight="1" thickBot="1">
      <c r="A79" s="973" t="s">
        <v>425</v>
      </c>
      <c r="B79" s="748">
        <f>+geral!C1172</f>
        <v>734.38</v>
      </c>
      <c r="C79" s="748">
        <f t="shared" si="16"/>
        <v>148.30866167174909</v>
      </c>
      <c r="D79" s="750">
        <f t="shared" si="41"/>
        <v>3.5373401570584662</v>
      </c>
      <c r="E79" s="750">
        <f t="shared" si="40"/>
        <v>11.25115511051189</v>
      </c>
      <c r="F79" s="751">
        <f t="shared" si="39"/>
        <v>8.8970610041816158</v>
      </c>
      <c r="G79" s="840">
        <f t="shared" si="42"/>
        <v>11.101361573373669</v>
      </c>
      <c r="H79" s="842">
        <f>$B$253/B79</f>
        <v>1.0344373485116698</v>
      </c>
    </row>
    <row r="80" spans="1:8" ht="16.5" hidden="1" customHeight="1" thickBot="1">
      <c r="A80" s="973" t="s">
        <v>426</v>
      </c>
      <c r="B80" s="748">
        <f>+geral!C1173</f>
        <v>719.38</v>
      </c>
      <c r="C80" s="748">
        <f t="shared" si="16"/>
        <v>145.27939899428478</v>
      </c>
      <c r="D80" s="750">
        <f t="shared" si="41"/>
        <v>-2.0425392848389068</v>
      </c>
      <c r="E80" s="750">
        <f t="shared" si="40"/>
        <v>8.9788065625425961</v>
      </c>
      <c r="F80" s="751">
        <f t="shared" ref="F80:F85" si="43">100*((B80/B68)-1)</f>
        <v>3.7662094133598778</v>
      </c>
      <c r="G80" s="840">
        <f t="shared" si="42"/>
        <v>17.162866449511395</v>
      </c>
      <c r="H80" s="842">
        <f>$B$253/B80</f>
        <v>1.0560067002140734</v>
      </c>
    </row>
    <row r="81" spans="1:11" ht="16.5" hidden="1" customHeight="1" thickBot="1">
      <c r="A81" s="973" t="s">
        <v>427</v>
      </c>
      <c r="B81" s="748">
        <f>+geral!C1174</f>
        <v>689</v>
      </c>
      <c r="C81" s="748">
        <f t="shared" si="16"/>
        <v>139.14413231819375</v>
      </c>
      <c r="D81" s="750">
        <f t="shared" si="41"/>
        <v>-4.223080986404959</v>
      </c>
      <c r="E81" s="750">
        <f t="shared" si="40"/>
        <v>4.3765433033888357</v>
      </c>
      <c r="F81" s="751">
        <f t="shared" si="43"/>
        <v>3.1236436022929581</v>
      </c>
      <c r="G81" s="840">
        <f t="shared" si="42"/>
        <v>5.4484236302418054</v>
      </c>
      <c r="H81" s="842">
        <f>$B$253/B81</f>
        <v>1.1025690856313499</v>
      </c>
    </row>
    <row r="82" spans="1:11" ht="16.5" hidden="1" customHeight="1" thickBot="1">
      <c r="A82" s="973" t="s">
        <v>428</v>
      </c>
      <c r="B82" s="748">
        <f>+geral!C1175</f>
        <v>671</v>
      </c>
      <c r="C82" s="748">
        <f t="shared" si="16"/>
        <v>135.50901710523658</v>
      </c>
      <c r="D82" s="750">
        <f t="shared" si="41"/>
        <v>-2.6124818577648812</v>
      </c>
      <c r="E82" s="750">
        <f t="shared" si="40"/>
        <v>1.6497250458257007</v>
      </c>
      <c r="F82" s="751">
        <f t="shared" si="43"/>
        <v>0.39199257907178708</v>
      </c>
      <c r="G82" s="840">
        <f t="shared" si="42"/>
        <v>-3.5919540229885083</v>
      </c>
      <c r="H82" s="842">
        <f>$B$253/B82</f>
        <v>1.1321461997019375</v>
      </c>
    </row>
    <row r="83" spans="1:11" ht="16.5" hidden="1" customHeight="1" thickBot="1">
      <c r="A83" s="973" t="s">
        <v>429</v>
      </c>
      <c r="B83" s="748">
        <f>+geral!C1176</f>
        <v>660.63</v>
      </c>
      <c r="C83" s="748">
        <f t="shared" si="16"/>
        <v>133.41478684088293</v>
      </c>
      <c r="D83" s="750">
        <f t="shared" si="41"/>
        <v>-1.5454545454545499</v>
      </c>
      <c r="E83" s="750">
        <f t="shared" ref="E83:E88" si="44">100*((B83/$B$76)-1)</f>
        <v>7.8774749662935406E-2</v>
      </c>
      <c r="F83" s="751">
        <f t="shared" si="43"/>
        <v>-2.1491838729744916</v>
      </c>
      <c r="G83" s="840">
        <f t="shared" si="42"/>
        <v>1.0755813953488236</v>
      </c>
      <c r="H83" s="842">
        <f>$B$253/B83</f>
        <v>1.1499176543602321</v>
      </c>
    </row>
    <row r="84" spans="1:11" ht="16.5" hidden="1" customHeight="1" thickBot="1">
      <c r="A84" s="973" t="s">
        <v>430</v>
      </c>
      <c r="B84" s="748">
        <f>+geral!C1177</f>
        <v>687.83</v>
      </c>
      <c r="C84" s="748">
        <f t="shared" si="16"/>
        <v>138.90784982935153</v>
      </c>
      <c r="D84" s="750">
        <f t="shared" ref="D84:D89" si="45">100*((B84/B83)-1)</f>
        <v>4.1172819884050194</v>
      </c>
      <c r="E84" s="750">
        <f t="shared" si="44"/>
        <v>4.1993001166472199</v>
      </c>
      <c r="F84" s="751">
        <f t="shared" si="43"/>
        <v>6.8059006211180106</v>
      </c>
      <c r="G84" s="840">
        <f t="shared" ref="G84:G89" si="46">100*(B84/B60-1)</f>
        <v>5.6444676537445559</v>
      </c>
      <c r="H84" s="842">
        <f>$B$253/B84</f>
        <v>1.1044445575214805</v>
      </c>
    </row>
    <row r="85" spans="1:11" ht="16.5" hidden="1" customHeight="1" thickBot="1">
      <c r="A85" s="973" t="s">
        <v>431</v>
      </c>
      <c r="B85" s="748">
        <f>+geral!C1178</f>
        <v>684.67</v>
      </c>
      <c r="C85" s="748">
        <f t="shared" si="16"/>
        <v>138.26968515863237</v>
      </c>
      <c r="D85" s="750">
        <f t="shared" si="45"/>
        <v>-0.45941584403124125</v>
      </c>
      <c r="E85" s="750">
        <f t="shared" si="44"/>
        <v>3.7205920225416911</v>
      </c>
      <c r="F85" s="751">
        <f t="shared" si="43"/>
        <v>13.314686703518564</v>
      </c>
      <c r="G85" s="840">
        <f t="shared" si="46"/>
        <v>3.2684766214177818</v>
      </c>
      <c r="H85" s="842">
        <f>$B$253/B85</f>
        <v>1.1095419691238115</v>
      </c>
    </row>
    <row r="86" spans="1:11" ht="16.5" hidden="1" customHeight="1" thickBot="1">
      <c r="A86" s="973" t="s">
        <v>432</v>
      </c>
      <c r="B86" s="748">
        <f>+geral!C1179</f>
        <v>655</v>
      </c>
      <c r="C86" s="748">
        <f t="shared" si="16"/>
        <v>132.27780358260799</v>
      </c>
      <c r="D86" s="750">
        <f t="shared" si="45"/>
        <v>-4.3334745205719454</v>
      </c>
      <c r="E86" s="750">
        <f t="shared" si="44"/>
        <v>-0.77411340534153661</v>
      </c>
      <c r="F86" s="751">
        <f t="shared" ref="F86:F91" si="47">100*((B86/B74)-1)</f>
        <v>-2.2096148103911584</v>
      </c>
      <c r="G86" s="840">
        <f t="shared" si="46"/>
        <v>-1.0574018126888185</v>
      </c>
      <c r="H86" s="842">
        <f>$B$253/B86</f>
        <v>1.1598016793893131</v>
      </c>
    </row>
    <row r="87" spans="1:11" ht="16.5" hidden="1" customHeight="1" thickBot="1">
      <c r="A87" s="973" t="s">
        <v>433</v>
      </c>
      <c r="B87" s="748">
        <f>+geral!C1180</f>
        <v>659.78</v>
      </c>
      <c r="C87" s="748">
        <f t="shared" si="16"/>
        <v>133.24312862249329</v>
      </c>
      <c r="D87" s="750">
        <f t="shared" si="45"/>
        <v>0.72977099236641862</v>
      </c>
      <c r="E87" s="750">
        <f t="shared" si="44"/>
        <v>-4.9991668055326954E-2</v>
      </c>
      <c r="F87" s="751">
        <f t="shared" si="47"/>
        <v>-0.71777894816040799</v>
      </c>
      <c r="G87" s="840">
        <f t="shared" si="46"/>
        <v>-3.3997071742313367</v>
      </c>
      <c r="H87" s="842">
        <f>$B$253/B87</f>
        <v>1.1513991027312136</v>
      </c>
    </row>
    <row r="88" spans="1:11" ht="16.5" hidden="1" customHeight="1" thickBot="1">
      <c r="A88" s="973" t="s">
        <v>434</v>
      </c>
      <c r="B88" s="748">
        <f>+geral!C1181</f>
        <v>695.29</v>
      </c>
      <c r="C88" s="748">
        <f t="shared" si="16"/>
        <v>140.41440313427711</v>
      </c>
      <c r="D88" s="750">
        <f t="shared" si="45"/>
        <v>5.3820970626572429</v>
      </c>
      <c r="E88" s="750">
        <f t="shared" si="44"/>
        <v>5.3294147945039283</v>
      </c>
      <c r="F88" s="751">
        <f t="shared" si="47"/>
        <v>5.3294147945039283</v>
      </c>
      <c r="G88" s="840">
        <f t="shared" si="46"/>
        <v>5.6671732522796336</v>
      </c>
      <c r="H88" s="842">
        <f>$B$253/B88</f>
        <v>1.092594600814049</v>
      </c>
    </row>
    <row r="89" spans="1:11" ht="16.5" hidden="1" customHeight="1" thickBot="1">
      <c r="A89" s="973" t="s">
        <v>435</v>
      </c>
      <c r="B89" s="748">
        <f>+geral!E1170</f>
        <v>699.86</v>
      </c>
      <c r="C89" s="748">
        <f t="shared" ref="C89:C148" si="48">100*B89/$B$8</f>
        <v>141.33731849667791</v>
      </c>
      <c r="D89" s="750">
        <f t="shared" si="45"/>
        <v>0.65727969624185256</v>
      </c>
      <c r="E89" s="750">
        <f t="shared" ref="E89:E94" si="49">100*((B89/$B$88)-1)</f>
        <v>0.65727969624185256</v>
      </c>
      <c r="F89" s="751">
        <f t="shared" si="47"/>
        <v>3.5939489031646898</v>
      </c>
      <c r="G89" s="840">
        <f t="shared" si="46"/>
        <v>1.1489933661892548</v>
      </c>
      <c r="H89" s="842">
        <f>$B$253/B89</f>
        <v>1.0854600920184037</v>
      </c>
    </row>
    <row r="90" spans="1:11" ht="16.5" hidden="1" customHeight="1" thickBot="1">
      <c r="A90" s="973" t="s">
        <v>436</v>
      </c>
      <c r="B90" s="748">
        <f>+geral!E1171</f>
        <v>710</v>
      </c>
      <c r="C90" s="748">
        <f t="shared" si="48"/>
        <v>143.38510006664379</v>
      </c>
      <c r="D90" s="750">
        <f t="shared" ref="D90:D100" si="50">100*((B90/B89)-1)</f>
        <v>1.4488612008115798</v>
      </c>
      <c r="E90" s="750">
        <f t="shared" si="49"/>
        <v>2.1156639675531164</v>
      </c>
      <c r="F90" s="751">
        <f t="shared" si="47"/>
        <v>0.10010010010010895</v>
      </c>
      <c r="G90" s="840">
        <f t="shared" ref="G90:G100" si="51">100*(B90/B66-1)</f>
        <v>4.5193581628146795</v>
      </c>
      <c r="H90" s="842">
        <f>$B$253/B90</f>
        <v>1.0699578873239437</v>
      </c>
    </row>
    <row r="91" spans="1:11" ht="16.5" hidden="1" customHeight="1" thickBot="1">
      <c r="A91" s="973" t="s">
        <v>437</v>
      </c>
      <c r="B91" s="748">
        <f>+geral!E1172</f>
        <v>692</v>
      </c>
      <c r="C91" s="748">
        <f t="shared" si="48"/>
        <v>139.74998485368661</v>
      </c>
      <c r="D91" s="750">
        <f t="shared" si="50"/>
        <v>-2.5352112676056304</v>
      </c>
      <c r="E91" s="750">
        <f t="shared" si="49"/>
        <v>-0.47318385134259566</v>
      </c>
      <c r="F91" s="751">
        <f t="shared" si="47"/>
        <v>-5.770854326098207</v>
      </c>
      <c r="G91" s="840">
        <f t="shared" si="51"/>
        <v>2.6127702482280135</v>
      </c>
      <c r="H91" s="842">
        <f>$B$253/B91</f>
        <v>1.0977891618497111</v>
      </c>
    </row>
    <row r="92" spans="1:11" ht="16.5" hidden="1" customHeight="1" thickBot="1">
      <c r="A92" s="973" t="s">
        <v>438</v>
      </c>
      <c r="B92" s="748">
        <f>+geral!E1173</f>
        <v>662.86</v>
      </c>
      <c r="C92" s="748">
        <f t="shared" si="48"/>
        <v>133.86513722559928</v>
      </c>
      <c r="D92" s="750">
        <f t="shared" si="50"/>
        <v>-4.2109826589595389</v>
      </c>
      <c r="E92" s="750">
        <f t="shared" si="49"/>
        <v>-4.6642408203770973</v>
      </c>
      <c r="F92" s="751">
        <f t="shared" ref="F92:F100" si="52">100*((B92/B80)-1)</f>
        <v>-7.8567655481108662</v>
      </c>
      <c r="G92" s="840">
        <f t="shared" si="51"/>
        <v>-4.3864583784095634</v>
      </c>
      <c r="H92" s="842">
        <f>$B$253/B92</f>
        <v>1.1460490903056453</v>
      </c>
    </row>
    <row r="93" spans="1:11" ht="16.5" hidden="1" customHeight="1" thickBot="1">
      <c r="A93" s="973" t="s">
        <v>439</v>
      </c>
      <c r="B93" s="748">
        <f>+geral!E1174</f>
        <v>687.71</v>
      </c>
      <c r="C93" s="748">
        <f t="shared" si="48"/>
        <v>138.88361572793181</v>
      </c>
      <c r="D93" s="750">
        <f t="shared" si="50"/>
        <v>3.7489062547144236</v>
      </c>
      <c r="E93" s="750">
        <f t="shared" si="49"/>
        <v>-1.0901925815127389</v>
      </c>
      <c r="F93" s="751">
        <f t="shared" si="52"/>
        <v>-0.18722786647314971</v>
      </c>
      <c r="G93" s="840">
        <f t="shared" si="51"/>
        <v>2.9305674045470242</v>
      </c>
      <c r="H93" s="842">
        <f>$B$253/B93</f>
        <v>1.104637274432537</v>
      </c>
    </row>
    <row r="94" spans="1:11" ht="15.75" hidden="1" customHeight="1" thickBot="1">
      <c r="A94" s="973" t="s">
        <v>440</v>
      </c>
      <c r="B94" s="748">
        <f>+geral!E1175</f>
        <v>685.33333333333337</v>
      </c>
      <c r="C94" s="748">
        <f t="shared" si="48"/>
        <v>138.4036458859247</v>
      </c>
      <c r="D94" s="750">
        <f t="shared" si="50"/>
        <v>-0.34559140723076087</v>
      </c>
      <c r="E94" s="750">
        <f t="shared" si="49"/>
        <v>-1.432016376859524</v>
      </c>
      <c r="F94" s="751">
        <f t="shared" si="52"/>
        <v>2.1361152508693637</v>
      </c>
      <c r="G94" s="840">
        <f t="shared" si="51"/>
        <v>2.5364812432049799</v>
      </c>
      <c r="H94" s="842">
        <f>$B$253/B94</f>
        <v>1.1084680447470818</v>
      </c>
      <c r="I94" s="825"/>
      <c r="J94" s="825"/>
      <c r="K94" s="825"/>
    </row>
    <row r="95" spans="1:11" ht="15.75" hidden="1" customHeight="1" thickBot="1">
      <c r="A95" s="973" t="s">
        <v>441</v>
      </c>
      <c r="B95" s="748">
        <f>+geral!E1176</f>
        <v>675</v>
      </c>
      <c r="C95" s="748">
        <f t="shared" si="48"/>
        <v>136.31682048589374</v>
      </c>
      <c r="D95" s="750">
        <f t="shared" si="50"/>
        <v>-1.5077821011673209</v>
      </c>
      <c r="E95" s="750">
        <f t="shared" ref="E95:E100" si="53">100*((B95/$B$88)-1)</f>
        <v>-2.9182067914107712</v>
      </c>
      <c r="F95" s="751">
        <f t="shared" si="52"/>
        <v>2.1751964034330884</v>
      </c>
      <c r="G95" s="840">
        <f t="shared" si="51"/>
        <v>-2.0736439849511346E-2</v>
      </c>
      <c r="H95" s="842">
        <f>$B$253/B95</f>
        <v>1.1254371851851852</v>
      </c>
      <c r="I95" s="758" t="s">
        <v>241</v>
      </c>
      <c r="J95" s="770"/>
      <c r="K95" s="825"/>
    </row>
    <row r="96" spans="1:11" ht="15.75" hidden="1" customHeight="1" thickBot="1">
      <c r="A96" s="973" t="s">
        <v>442</v>
      </c>
      <c r="B96" s="748">
        <f>+geral!E1177</f>
        <v>685</v>
      </c>
      <c r="C96" s="748">
        <f t="shared" si="48"/>
        <v>138.33632893753659</v>
      </c>
      <c r="D96" s="750">
        <f t="shared" si="50"/>
        <v>1.4814814814814836</v>
      </c>
      <c r="E96" s="750">
        <f t="shared" si="53"/>
        <v>-1.4799580031353732</v>
      </c>
      <c r="F96" s="751">
        <f t="shared" si="52"/>
        <v>-0.41143887297734327</v>
      </c>
      <c r="G96" s="840">
        <f t="shared" si="51"/>
        <v>6.3664596273292018</v>
      </c>
      <c r="H96" s="842">
        <f>$B$253/B96</f>
        <v>1.1090074452554746</v>
      </c>
      <c r="I96" s="825"/>
      <c r="J96" s="825"/>
      <c r="K96" s="825"/>
    </row>
    <row r="97" spans="1:8" ht="15.75" hidden="1" customHeight="1" thickBot="1">
      <c r="A97" s="973" t="s">
        <v>443</v>
      </c>
      <c r="B97" s="748">
        <f>+geral!E1178</f>
        <v>685</v>
      </c>
      <c r="C97" s="748">
        <f t="shared" si="48"/>
        <v>138.33632893753659</v>
      </c>
      <c r="D97" s="750">
        <f t="shared" si="50"/>
        <v>0</v>
      </c>
      <c r="E97" s="750">
        <f t="shared" si="53"/>
        <v>-1.4799580031353732</v>
      </c>
      <c r="F97" s="751">
        <f t="shared" si="52"/>
        <v>4.8198402149957076E-2</v>
      </c>
      <c r="G97" s="840">
        <f t="shared" si="51"/>
        <v>13.36930257191089</v>
      </c>
      <c r="H97" s="842">
        <f>$B$253/B97</f>
        <v>1.1090074452554746</v>
      </c>
    </row>
    <row r="98" spans="1:8" ht="15.75" hidden="1" customHeight="1" thickBot="1">
      <c r="A98" s="973" t="s">
        <v>444</v>
      </c>
      <c r="B98" s="748">
        <f>+geral!E1179</f>
        <v>698</v>
      </c>
      <c r="C98" s="748">
        <f t="shared" si="48"/>
        <v>140.96168992467233</v>
      </c>
      <c r="D98" s="750">
        <f t="shared" si="50"/>
        <v>1.8978102189781021</v>
      </c>
      <c r="E98" s="750">
        <f t="shared" si="53"/>
        <v>0.38976542162263428</v>
      </c>
      <c r="F98" s="751">
        <f t="shared" si="52"/>
        <v>6.5648854961832148</v>
      </c>
      <c r="G98" s="840">
        <f t="shared" si="51"/>
        <v>4.2102120035831581</v>
      </c>
      <c r="H98" s="842">
        <f>$B$253/B98</f>
        <v>1.0883525787965618</v>
      </c>
    </row>
    <row r="99" spans="1:8" ht="15.75" hidden="1" customHeight="1" thickBot="1">
      <c r="A99" s="973" t="s">
        <v>445</v>
      </c>
      <c r="B99" s="748">
        <f>+geral!E1180</f>
        <v>698</v>
      </c>
      <c r="C99" s="748">
        <f t="shared" si="48"/>
        <v>140.96168992467233</v>
      </c>
      <c r="D99" s="750">
        <f t="shared" si="50"/>
        <v>0</v>
      </c>
      <c r="E99" s="750">
        <f t="shared" si="53"/>
        <v>0.38976542162263428</v>
      </c>
      <c r="F99" s="751">
        <f t="shared" si="52"/>
        <v>5.7928400375882871</v>
      </c>
      <c r="G99" s="840">
        <f t="shared" si="51"/>
        <v>5.033481303137477</v>
      </c>
      <c r="H99" s="842">
        <f>$B$253/B99</f>
        <v>1.0883525787965618</v>
      </c>
    </row>
    <row r="100" spans="1:8" ht="15.75" hidden="1" customHeight="1" thickBot="1">
      <c r="A100" s="973" t="s">
        <v>446</v>
      </c>
      <c r="B100" s="748">
        <f>+geral!E1181</f>
        <v>698</v>
      </c>
      <c r="C100" s="748">
        <f t="shared" si="48"/>
        <v>140.96168992467233</v>
      </c>
      <c r="D100" s="750">
        <f t="shared" si="50"/>
        <v>0</v>
      </c>
      <c r="E100" s="750">
        <f t="shared" si="53"/>
        <v>0.38976542162263428</v>
      </c>
      <c r="F100" s="751">
        <f t="shared" si="52"/>
        <v>0.38976542162263428</v>
      </c>
      <c r="G100" s="840">
        <f t="shared" si="51"/>
        <v>5.7399524321704032</v>
      </c>
      <c r="H100" s="842">
        <f>$B$253/B100</f>
        <v>1.0883525787965618</v>
      </c>
    </row>
    <row r="101" spans="1:8" ht="15.75" hidden="1" customHeight="1" thickBot="1">
      <c r="A101" s="973" t="s">
        <v>447</v>
      </c>
      <c r="B101" s="748">
        <f>geral!G1170</f>
        <v>700</v>
      </c>
      <c r="C101" s="748">
        <f t="shared" si="48"/>
        <v>141.36559161500091</v>
      </c>
      <c r="D101" s="750">
        <f t="shared" ref="D101:D106" si="54">100*((B101/B100)-1)</f>
        <v>0.28653295128939771</v>
      </c>
      <c r="E101" s="750">
        <f t="shared" ref="E101:E106" si="55">100*((B101/$B$100)-1)</f>
        <v>0.28653295128939771</v>
      </c>
      <c r="F101" s="751">
        <f t="shared" ref="F101:F106" si="56">100*((B101/B89)-1)</f>
        <v>2.000400080015563E-2</v>
      </c>
      <c r="G101" s="840">
        <f t="shared" ref="G101:G106" si="57">100*(B101/B77-1)</f>
        <v>3.6146718375321907</v>
      </c>
      <c r="H101" s="842">
        <f>$B$253/B101</f>
        <v>1.085243</v>
      </c>
    </row>
    <row r="102" spans="1:8" ht="15.75" hidden="1" customHeight="1" thickBot="1">
      <c r="A102" s="973" t="s">
        <v>448</v>
      </c>
      <c r="B102" s="748">
        <f>geral!G1171</f>
        <v>700</v>
      </c>
      <c r="C102" s="748">
        <f t="shared" si="48"/>
        <v>141.36559161500091</v>
      </c>
      <c r="D102" s="750">
        <f t="shared" si="54"/>
        <v>0</v>
      </c>
      <c r="E102" s="750">
        <f t="shared" si="55"/>
        <v>0.28653295128939771</v>
      </c>
      <c r="F102" s="751">
        <f t="shared" si="56"/>
        <v>-1.4084507042253502</v>
      </c>
      <c r="G102" s="840">
        <f t="shared" si="57"/>
        <v>-1.3097604646900352</v>
      </c>
      <c r="H102" s="842">
        <f>$B$253/B102</f>
        <v>1.085243</v>
      </c>
    </row>
    <row r="103" spans="1:8" ht="15.75" hidden="1" customHeight="1" thickBot="1">
      <c r="A103" s="973" t="s">
        <v>449</v>
      </c>
      <c r="B103" s="748">
        <f>geral!G1172</f>
        <v>706.66666666666663</v>
      </c>
      <c r="C103" s="748">
        <f t="shared" si="48"/>
        <v>142.71193058276279</v>
      </c>
      <c r="D103" s="750">
        <f t="shared" si="54"/>
        <v>0.952380952380949</v>
      </c>
      <c r="E103" s="750">
        <f t="shared" si="55"/>
        <v>1.241642788920716</v>
      </c>
      <c r="F103" s="751">
        <f t="shared" si="56"/>
        <v>2.1194605009633882</v>
      </c>
      <c r="G103" s="840">
        <f t="shared" si="57"/>
        <v>-3.7737048031446063</v>
      </c>
      <c r="H103" s="842">
        <f>$B$253/B103</f>
        <v>1.0750048584905663</v>
      </c>
    </row>
    <row r="104" spans="1:8" ht="15.75" hidden="1" customHeight="1" thickBot="1">
      <c r="A104" s="973" t="s">
        <v>450</v>
      </c>
      <c r="B104" s="748">
        <f>geral!G1173</f>
        <v>706.66666666666663</v>
      </c>
      <c r="C104" s="748">
        <f t="shared" si="48"/>
        <v>142.71193058276279</v>
      </c>
      <c r="D104" s="750">
        <f t="shared" si="54"/>
        <v>0</v>
      </c>
      <c r="E104" s="750">
        <f t="shared" si="55"/>
        <v>1.241642788920716</v>
      </c>
      <c r="F104" s="751">
        <f t="shared" si="56"/>
        <v>6.6087358818855524</v>
      </c>
      <c r="G104" s="840">
        <f t="shared" si="57"/>
        <v>-1.7672625501589323</v>
      </c>
      <c r="H104" s="842">
        <f>$B$253/B104</f>
        <v>1.0750048584905663</v>
      </c>
    </row>
    <row r="105" spans="1:8" ht="15.75" hidden="1" customHeight="1" thickBot="1">
      <c r="A105" s="973" t="s">
        <v>451</v>
      </c>
      <c r="B105" s="748">
        <f>geral!G1174</f>
        <v>706.66666666666663</v>
      </c>
      <c r="C105" s="748">
        <f t="shared" si="48"/>
        <v>142.71193058276279</v>
      </c>
      <c r="D105" s="750">
        <f t="shared" si="54"/>
        <v>0</v>
      </c>
      <c r="E105" s="750">
        <f t="shared" si="55"/>
        <v>1.241642788920716</v>
      </c>
      <c r="F105" s="751">
        <f t="shared" si="56"/>
        <v>2.7564913505208066</v>
      </c>
      <c r="G105" s="840">
        <f t="shared" si="57"/>
        <v>2.564102564102555</v>
      </c>
      <c r="H105" s="842">
        <f>$B$253/B105</f>
        <v>1.0750048584905663</v>
      </c>
    </row>
    <row r="106" spans="1:8" ht="15.75" hidden="1" customHeight="1" thickBot="1">
      <c r="A106" s="973" t="s">
        <v>452</v>
      </c>
      <c r="B106" s="748">
        <f>geral!G1175</f>
        <v>710</v>
      </c>
      <c r="C106" s="748">
        <f t="shared" si="48"/>
        <v>143.38510006664379</v>
      </c>
      <c r="D106" s="750">
        <f t="shared" si="54"/>
        <v>0.47169811320755262</v>
      </c>
      <c r="E106" s="750">
        <f t="shared" si="55"/>
        <v>1.7191977077363862</v>
      </c>
      <c r="F106" s="751">
        <f t="shared" si="56"/>
        <v>3.5992217898832557</v>
      </c>
      <c r="G106" s="840">
        <f t="shared" si="57"/>
        <v>5.8122205663189375</v>
      </c>
      <c r="H106" s="842">
        <f>$B$253/B106</f>
        <v>1.0699578873239437</v>
      </c>
    </row>
    <row r="107" spans="1:8" ht="15.75" hidden="1" customHeight="1" thickBot="1">
      <c r="A107" s="973" t="s">
        <v>453</v>
      </c>
      <c r="B107" s="748">
        <f>geral!G1176</f>
        <v>716.66666666666663</v>
      </c>
      <c r="C107" s="748">
        <f t="shared" si="48"/>
        <v>144.73143903440567</v>
      </c>
      <c r="D107" s="750">
        <f t="shared" ref="D107:D112" si="58">100*((B107/B106)-1)</f>
        <v>0.93896713615022609</v>
      </c>
      <c r="E107" s="750">
        <f t="shared" ref="E107:E112" si="59">100*((B107/$B$100)-1)</f>
        <v>2.6743075453677045</v>
      </c>
      <c r="F107" s="751">
        <f t="shared" ref="F107:F112" si="60">100*((B107/B95)-1)</f>
        <v>6.1728395061728447</v>
      </c>
      <c r="G107" s="840">
        <f t="shared" ref="G107:G112" si="61">100*(B107/B83-1)</f>
        <v>8.4823072925338963</v>
      </c>
      <c r="H107" s="842">
        <f>$B$253/B107</f>
        <v>1.0600047906976746</v>
      </c>
    </row>
    <row r="108" spans="1:8" ht="15.75" hidden="1" customHeight="1" thickBot="1">
      <c r="A108" s="973" t="s">
        <v>454</v>
      </c>
      <c r="B108" s="748">
        <f>geral!G1177</f>
        <v>720</v>
      </c>
      <c r="C108" s="748">
        <f t="shared" si="48"/>
        <v>145.40460851828664</v>
      </c>
      <c r="D108" s="750">
        <f t="shared" si="58"/>
        <v>0.46511627906977715</v>
      </c>
      <c r="E108" s="750">
        <f t="shared" si="59"/>
        <v>3.1518624641833748</v>
      </c>
      <c r="F108" s="751">
        <f t="shared" si="60"/>
        <v>5.1094890510948954</v>
      </c>
      <c r="G108" s="840">
        <f t="shared" si="61"/>
        <v>4.6770277539508243</v>
      </c>
      <c r="H108" s="842">
        <f>$B$253/B108</f>
        <v>1.0550973611111112</v>
      </c>
    </row>
    <row r="109" spans="1:8" ht="15.75" hidden="1" customHeight="1" thickBot="1">
      <c r="A109" s="973" t="s">
        <v>455</v>
      </c>
      <c r="B109" s="748">
        <f>geral!G1178</f>
        <v>720</v>
      </c>
      <c r="C109" s="748">
        <f t="shared" si="48"/>
        <v>145.40460851828664</v>
      </c>
      <c r="D109" s="750">
        <f t="shared" si="58"/>
        <v>0</v>
      </c>
      <c r="E109" s="750">
        <f t="shared" si="59"/>
        <v>3.1518624641833748</v>
      </c>
      <c r="F109" s="751">
        <f t="shared" si="60"/>
        <v>5.1094890510948954</v>
      </c>
      <c r="G109" s="840">
        <f t="shared" si="61"/>
        <v>5.1601501453254928</v>
      </c>
      <c r="H109" s="842">
        <f>$B$253/B109</f>
        <v>1.0550973611111112</v>
      </c>
    </row>
    <row r="110" spans="1:8" ht="15.75" hidden="1" customHeight="1" thickBot="1">
      <c r="A110" s="973" t="s">
        <v>456</v>
      </c>
      <c r="B110" s="748">
        <f>geral!G1179</f>
        <v>720</v>
      </c>
      <c r="C110" s="748">
        <f t="shared" si="48"/>
        <v>145.40460851828664</v>
      </c>
      <c r="D110" s="750">
        <f t="shared" si="58"/>
        <v>0</v>
      </c>
      <c r="E110" s="750">
        <f t="shared" si="59"/>
        <v>3.1518624641833748</v>
      </c>
      <c r="F110" s="751">
        <f t="shared" si="60"/>
        <v>3.1518624641833748</v>
      </c>
      <c r="G110" s="840">
        <f t="shared" si="61"/>
        <v>9.92366412213741</v>
      </c>
      <c r="H110" s="842">
        <f>$B$253/B110</f>
        <v>1.0550973611111112</v>
      </c>
    </row>
    <row r="111" spans="1:8" ht="15.75" hidden="1" customHeight="1" thickBot="1">
      <c r="A111" s="973" t="s">
        <v>457</v>
      </c>
      <c r="B111" s="748">
        <f>geral!G1180</f>
        <v>720</v>
      </c>
      <c r="C111" s="748">
        <f t="shared" si="48"/>
        <v>145.40460851828664</v>
      </c>
      <c r="D111" s="750">
        <f t="shared" si="58"/>
        <v>0</v>
      </c>
      <c r="E111" s="750">
        <f t="shared" si="59"/>
        <v>3.1518624641833748</v>
      </c>
      <c r="F111" s="751">
        <f t="shared" si="60"/>
        <v>3.1518624641833748</v>
      </c>
      <c r="G111" s="840">
        <f t="shared" si="61"/>
        <v>9.127284852526607</v>
      </c>
      <c r="H111" s="842">
        <f>$B$253/B111</f>
        <v>1.0550973611111112</v>
      </c>
    </row>
    <row r="112" spans="1:8" ht="15.75" hidden="1" customHeight="1" thickBot="1">
      <c r="A112" s="973" t="s">
        <v>458</v>
      </c>
      <c r="B112" s="748">
        <f>geral!G1181</f>
        <v>720</v>
      </c>
      <c r="C112" s="748">
        <f t="shared" si="48"/>
        <v>145.40460851828664</v>
      </c>
      <c r="D112" s="750">
        <f t="shared" si="58"/>
        <v>0</v>
      </c>
      <c r="E112" s="750">
        <f t="shared" si="59"/>
        <v>3.1518624641833748</v>
      </c>
      <c r="F112" s="751">
        <f t="shared" si="60"/>
        <v>3.1518624641833748</v>
      </c>
      <c r="G112" s="840">
        <f t="shared" si="61"/>
        <v>3.5539127558285033</v>
      </c>
      <c r="H112" s="842">
        <f>$B$253/B112</f>
        <v>1.0550973611111112</v>
      </c>
    </row>
    <row r="113" spans="1:8" ht="15.75" hidden="1" customHeight="1" thickBot="1">
      <c r="A113" s="973" t="s">
        <v>459</v>
      </c>
      <c r="B113" s="748">
        <f>geral!I1170</f>
        <v>720</v>
      </c>
      <c r="C113" s="748">
        <f t="shared" si="48"/>
        <v>145.40460851828664</v>
      </c>
      <c r="D113" s="750">
        <f t="shared" ref="D113:D118" si="62">100*((B113/B112)-1)</f>
        <v>0</v>
      </c>
      <c r="E113" s="750">
        <f t="shared" ref="E113:E118" si="63">100*((B113/$B$112)-1)</f>
        <v>0</v>
      </c>
      <c r="F113" s="751">
        <f t="shared" ref="F113:F118" si="64">100*((B113/B101)-1)</f>
        <v>2.857142857142847</v>
      </c>
      <c r="G113" s="840">
        <f t="shared" ref="G113:G118" si="65">100*(B113/B89-1)</f>
        <v>2.8777184008230261</v>
      </c>
      <c r="H113" s="842">
        <f>$B$253/B113</f>
        <v>1.0550973611111112</v>
      </c>
    </row>
    <row r="114" spans="1:8" ht="15.75" hidden="1" customHeight="1" thickBot="1">
      <c r="A114" s="973" t="s">
        <v>460</v>
      </c>
      <c r="B114" s="748">
        <f>geral!I1171</f>
        <v>720</v>
      </c>
      <c r="C114" s="748">
        <f t="shared" si="48"/>
        <v>145.40460851828664</v>
      </c>
      <c r="D114" s="750">
        <f t="shared" si="62"/>
        <v>0</v>
      </c>
      <c r="E114" s="750">
        <f t="shared" si="63"/>
        <v>0</v>
      </c>
      <c r="F114" s="751">
        <f t="shared" si="64"/>
        <v>2.857142857142847</v>
      </c>
      <c r="G114" s="840">
        <f t="shared" si="65"/>
        <v>1.4084507042253502</v>
      </c>
      <c r="H114" s="842">
        <f>$B$253/B114</f>
        <v>1.0550973611111112</v>
      </c>
    </row>
    <row r="115" spans="1:8" ht="15.75" hidden="1" customHeight="1" thickBot="1">
      <c r="A115" s="973" t="s">
        <v>461</v>
      </c>
      <c r="B115" s="748">
        <f>geral!I1172</f>
        <v>720</v>
      </c>
      <c r="C115" s="748">
        <f t="shared" si="48"/>
        <v>145.40460851828664</v>
      </c>
      <c r="D115" s="750">
        <f t="shared" si="62"/>
        <v>0</v>
      </c>
      <c r="E115" s="750">
        <f t="shared" si="63"/>
        <v>0</v>
      </c>
      <c r="F115" s="751">
        <f t="shared" si="64"/>
        <v>1.8867924528301883</v>
      </c>
      <c r="G115" s="840">
        <f t="shared" si="65"/>
        <v>4.0462427745664664</v>
      </c>
      <c r="H115" s="842">
        <f>$B$253/B115</f>
        <v>1.0550973611111112</v>
      </c>
    </row>
    <row r="116" spans="1:8" ht="15.75" hidden="1" customHeight="1" thickBot="1">
      <c r="A116" s="973" t="s">
        <v>462</v>
      </c>
      <c r="B116" s="748">
        <f>geral!I1173</f>
        <v>720</v>
      </c>
      <c r="C116" s="748">
        <f t="shared" si="48"/>
        <v>145.40460851828664</v>
      </c>
      <c r="D116" s="750">
        <f t="shared" si="62"/>
        <v>0</v>
      </c>
      <c r="E116" s="750">
        <f t="shared" si="63"/>
        <v>0</v>
      </c>
      <c r="F116" s="751">
        <f t="shared" si="64"/>
        <v>1.8867924528301883</v>
      </c>
      <c r="G116" s="840">
        <f t="shared" si="65"/>
        <v>8.6202214645626505</v>
      </c>
      <c r="H116" s="842">
        <f>$B$253/B116</f>
        <v>1.0550973611111112</v>
      </c>
    </row>
    <row r="117" spans="1:8" ht="15.75" hidden="1" customHeight="1" thickBot="1">
      <c r="A117" s="973" t="s">
        <v>463</v>
      </c>
      <c r="B117" s="748">
        <f>geral!I1174</f>
        <v>720</v>
      </c>
      <c r="C117" s="748">
        <f t="shared" si="48"/>
        <v>145.40460851828664</v>
      </c>
      <c r="D117" s="750">
        <f t="shared" si="62"/>
        <v>0</v>
      </c>
      <c r="E117" s="750">
        <f t="shared" si="63"/>
        <v>0</v>
      </c>
      <c r="F117" s="751">
        <f t="shared" si="64"/>
        <v>1.8867924528301883</v>
      </c>
      <c r="G117" s="840">
        <f t="shared" si="65"/>
        <v>4.6952930741155363</v>
      </c>
      <c r="H117" s="842">
        <f>$B$253/B117</f>
        <v>1.0550973611111112</v>
      </c>
    </row>
    <row r="118" spans="1:8" ht="15.75" hidden="1" customHeight="1" thickBot="1">
      <c r="A118" s="973" t="s">
        <v>464</v>
      </c>
      <c r="B118" s="748">
        <f>geral!I1175</f>
        <v>720</v>
      </c>
      <c r="C118" s="748">
        <f t="shared" si="48"/>
        <v>145.40460851828664</v>
      </c>
      <c r="D118" s="750">
        <f t="shared" si="62"/>
        <v>0</v>
      </c>
      <c r="E118" s="750">
        <f t="shared" si="63"/>
        <v>0</v>
      </c>
      <c r="F118" s="751">
        <f t="shared" si="64"/>
        <v>1.4084507042253502</v>
      </c>
      <c r="G118" s="840">
        <f t="shared" si="65"/>
        <v>5.058365758754868</v>
      </c>
      <c r="H118" s="842">
        <f>$B$253/B118</f>
        <v>1.0550973611111112</v>
      </c>
    </row>
    <row r="119" spans="1:8" ht="15.75" hidden="1" customHeight="1" thickBot="1">
      <c r="A119" s="973" t="s">
        <v>465</v>
      </c>
      <c r="B119" s="748">
        <f>geral!I1176</f>
        <v>720</v>
      </c>
      <c r="C119" s="748">
        <f t="shared" si="48"/>
        <v>145.40460851828664</v>
      </c>
      <c r="D119" s="750">
        <f t="shared" ref="D119:D124" si="66">100*((B119/B118)-1)</f>
        <v>0</v>
      </c>
      <c r="E119" s="750">
        <f t="shared" ref="E119:E124" si="67">100*((B119/$B$112)-1)</f>
        <v>0</v>
      </c>
      <c r="F119" s="751">
        <f t="shared" ref="F119:F124" si="68">100*((B119/B107)-1)</f>
        <v>0.46511627906977715</v>
      </c>
      <c r="G119" s="840">
        <f t="shared" ref="G119:G124" si="69">100*(B119/B95-1)</f>
        <v>6.6666666666666652</v>
      </c>
      <c r="H119" s="842">
        <f>$B$253/B119</f>
        <v>1.0550973611111112</v>
      </c>
    </row>
    <row r="120" spans="1:8" ht="15.75" hidden="1" customHeight="1" thickBot="1">
      <c r="A120" s="973" t="s">
        <v>466</v>
      </c>
      <c r="B120" s="748">
        <f>geral!I1177</f>
        <v>720</v>
      </c>
      <c r="C120" s="748">
        <f t="shared" si="48"/>
        <v>145.40460851828664</v>
      </c>
      <c r="D120" s="750">
        <f t="shared" si="66"/>
        <v>0</v>
      </c>
      <c r="E120" s="750">
        <f t="shared" si="67"/>
        <v>0</v>
      </c>
      <c r="F120" s="751">
        <f t="shared" si="68"/>
        <v>0</v>
      </c>
      <c r="G120" s="840">
        <f t="shared" si="69"/>
        <v>5.1094890510948954</v>
      </c>
      <c r="H120" s="842">
        <f>$B$253/B120</f>
        <v>1.0550973611111112</v>
      </c>
    </row>
    <row r="121" spans="1:8" ht="15.75" hidden="1" customHeight="1" thickBot="1">
      <c r="A121" s="973" t="s">
        <v>467</v>
      </c>
      <c r="B121" s="748">
        <f>geral!I1178</f>
        <v>720</v>
      </c>
      <c r="C121" s="748">
        <f t="shared" si="48"/>
        <v>145.40460851828664</v>
      </c>
      <c r="D121" s="750">
        <f t="shared" si="66"/>
        <v>0</v>
      </c>
      <c r="E121" s="750">
        <f t="shared" si="67"/>
        <v>0</v>
      </c>
      <c r="F121" s="751">
        <f t="shared" si="68"/>
        <v>0</v>
      </c>
      <c r="G121" s="840">
        <f t="shared" si="69"/>
        <v>5.1094890510948954</v>
      </c>
      <c r="H121" s="842">
        <f>$B$253/B121</f>
        <v>1.0550973611111112</v>
      </c>
    </row>
    <row r="122" spans="1:8" ht="15.75" hidden="1" customHeight="1" thickBot="1">
      <c r="A122" s="973" t="s">
        <v>468</v>
      </c>
      <c r="B122" s="748">
        <f>geral!I1179</f>
        <v>720</v>
      </c>
      <c r="C122" s="748">
        <f t="shared" si="48"/>
        <v>145.40460851828664</v>
      </c>
      <c r="D122" s="750">
        <f t="shared" si="66"/>
        <v>0</v>
      </c>
      <c r="E122" s="750">
        <f t="shared" si="67"/>
        <v>0</v>
      </c>
      <c r="F122" s="751">
        <f t="shared" si="68"/>
        <v>0</v>
      </c>
      <c r="G122" s="840">
        <f t="shared" si="69"/>
        <v>3.1518624641833748</v>
      </c>
      <c r="H122" s="842">
        <f>$B$253/B122</f>
        <v>1.0550973611111112</v>
      </c>
    </row>
    <row r="123" spans="1:8" ht="15.75" hidden="1" customHeight="1" thickBot="1">
      <c r="A123" s="973" t="s">
        <v>469</v>
      </c>
      <c r="B123" s="748">
        <f>geral!I1180</f>
        <v>720</v>
      </c>
      <c r="C123" s="748">
        <f t="shared" si="48"/>
        <v>145.40460851828664</v>
      </c>
      <c r="D123" s="750">
        <f t="shared" si="66"/>
        <v>0</v>
      </c>
      <c r="E123" s="750">
        <f t="shared" si="67"/>
        <v>0</v>
      </c>
      <c r="F123" s="751">
        <f t="shared" si="68"/>
        <v>0</v>
      </c>
      <c r="G123" s="840">
        <f t="shared" si="69"/>
        <v>3.1518624641833748</v>
      </c>
      <c r="H123" s="842">
        <f>$B$253/B123</f>
        <v>1.0550973611111112</v>
      </c>
    </row>
    <row r="124" spans="1:8" ht="15.75" hidden="1" customHeight="1" thickBot="1">
      <c r="A124" s="973" t="s">
        <v>470</v>
      </c>
      <c r="B124" s="748">
        <f>geral!I1181</f>
        <v>720</v>
      </c>
      <c r="C124" s="748">
        <f t="shared" si="48"/>
        <v>145.40460851828664</v>
      </c>
      <c r="D124" s="750">
        <f t="shared" si="66"/>
        <v>0</v>
      </c>
      <c r="E124" s="750">
        <f t="shared" si="67"/>
        <v>0</v>
      </c>
      <c r="F124" s="751">
        <f t="shared" si="68"/>
        <v>0</v>
      </c>
      <c r="G124" s="840">
        <f t="shared" si="69"/>
        <v>3.1518624641833748</v>
      </c>
      <c r="H124" s="842">
        <f>$B$253/B124</f>
        <v>1.0550973611111112</v>
      </c>
    </row>
    <row r="125" spans="1:8" ht="15.75" hidden="1" customHeight="1" thickBot="1">
      <c r="A125" s="973" t="s">
        <v>471</v>
      </c>
      <c r="B125" s="748">
        <f>geral!K1170</f>
        <v>683.33333333333337</v>
      </c>
      <c r="C125" s="748">
        <f t="shared" si="48"/>
        <v>137.99974419559615</v>
      </c>
      <c r="D125" s="750">
        <f t="shared" ref="D125:D130" si="70">100*((B125/B124)-1)</f>
        <v>-5.0925925925925819</v>
      </c>
      <c r="E125" s="750">
        <f t="shared" ref="E125:E130" si="71">100*((B125/$B$124)-1)</f>
        <v>-5.0925925925925819</v>
      </c>
      <c r="F125" s="751">
        <f t="shared" ref="F125:F130" si="72">100*((B125/B113)-1)</f>
        <v>-5.0925925925925819</v>
      </c>
      <c r="G125" s="840">
        <f t="shared" ref="G125:G130" si="73">100*(B125/B101-1)</f>
        <v>-2.3809523809523725</v>
      </c>
      <c r="H125" s="842">
        <f>$B$253/B125</f>
        <v>1.1117123414634147</v>
      </c>
    </row>
    <row r="126" spans="1:8" ht="15.75" hidden="1" customHeight="1" thickBot="1">
      <c r="A126" s="973" t="s">
        <v>472</v>
      </c>
      <c r="B126" s="748">
        <f>geral!K1171</f>
        <v>683.33333333333337</v>
      </c>
      <c r="C126" s="748">
        <f t="shared" si="48"/>
        <v>137.99974419559615</v>
      </c>
      <c r="D126" s="750">
        <f t="shared" si="70"/>
        <v>0</v>
      </c>
      <c r="E126" s="750">
        <f t="shared" si="71"/>
        <v>-5.0925925925925819</v>
      </c>
      <c r="F126" s="751">
        <f t="shared" si="72"/>
        <v>-5.0925925925925819</v>
      </c>
      <c r="G126" s="840">
        <f t="shared" si="73"/>
        <v>-2.3809523809523725</v>
      </c>
      <c r="H126" s="842">
        <f>$B$253/B126</f>
        <v>1.1117123414634147</v>
      </c>
    </row>
    <row r="127" spans="1:8" ht="15.75" hidden="1" customHeight="1" thickBot="1">
      <c r="A127" s="973" t="s">
        <v>473</v>
      </c>
      <c r="B127" s="748">
        <f>geral!K1172</f>
        <v>683.33333333333337</v>
      </c>
      <c r="C127" s="748">
        <f t="shared" si="48"/>
        <v>137.99974419559615</v>
      </c>
      <c r="D127" s="750">
        <f t="shared" si="70"/>
        <v>0</v>
      </c>
      <c r="E127" s="750">
        <f t="shared" si="71"/>
        <v>-5.0925925925925819</v>
      </c>
      <c r="F127" s="751">
        <f t="shared" si="72"/>
        <v>-5.0925925925925819</v>
      </c>
      <c r="G127" s="840">
        <f t="shared" si="73"/>
        <v>-3.3018867924528239</v>
      </c>
      <c r="H127" s="842">
        <f>$B$253/B127</f>
        <v>1.1117123414634147</v>
      </c>
    </row>
    <row r="128" spans="1:8" ht="15.75" hidden="1" customHeight="1" thickBot="1">
      <c r="A128" s="973" t="s">
        <v>474</v>
      </c>
      <c r="B128" s="748">
        <f>geral!K1173</f>
        <v>683.33333333333337</v>
      </c>
      <c r="C128" s="748">
        <f t="shared" si="48"/>
        <v>137.99974419559615</v>
      </c>
      <c r="D128" s="750">
        <f t="shared" si="70"/>
        <v>0</v>
      </c>
      <c r="E128" s="750">
        <f t="shared" si="71"/>
        <v>-5.0925925925925819</v>
      </c>
      <c r="F128" s="751">
        <f t="shared" si="72"/>
        <v>-5.0925925925925819</v>
      </c>
      <c r="G128" s="840">
        <f t="shared" si="73"/>
        <v>-3.3018867924528239</v>
      </c>
      <c r="H128" s="842">
        <f>$B$253/B128</f>
        <v>1.1117123414634147</v>
      </c>
    </row>
    <row r="129" spans="1:8" ht="15.75" hidden="1" customHeight="1" thickBot="1">
      <c r="A129" s="973" t="s">
        <v>475</v>
      </c>
      <c r="B129" s="748">
        <f>geral!K1174</f>
        <v>633.33333333333337</v>
      </c>
      <c r="C129" s="748">
        <f t="shared" si="48"/>
        <v>127.90220193738178</v>
      </c>
      <c r="D129" s="750">
        <f t="shared" si="70"/>
        <v>-7.3170731707317032</v>
      </c>
      <c r="E129" s="750">
        <f t="shared" si="71"/>
        <v>-12.037037037037035</v>
      </c>
      <c r="F129" s="751">
        <f t="shared" si="72"/>
        <v>-12.037037037037035</v>
      </c>
      <c r="G129" s="840">
        <f t="shared" si="73"/>
        <v>-10.377358490566024</v>
      </c>
      <c r="H129" s="842">
        <f>$B$253/B129</f>
        <v>1.1994791052631579</v>
      </c>
    </row>
    <row r="130" spans="1:8" ht="15.75" hidden="1" customHeight="1" thickBot="1">
      <c r="A130" s="973" t="s">
        <v>476</v>
      </c>
      <c r="B130" s="748">
        <f>geral!K1175</f>
        <v>633.33333333333337</v>
      </c>
      <c r="C130" s="748">
        <f t="shared" si="48"/>
        <v>127.90220193738178</v>
      </c>
      <c r="D130" s="750">
        <f t="shared" si="70"/>
        <v>0</v>
      </c>
      <c r="E130" s="750">
        <f t="shared" si="71"/>
        <v>-12.037037037037035</v>
      </c>
      <c r="F130" s="751">
        <f t="shared" si="72"/>
        <v>-12.037037037037035</v>
      </c>
      <c r="G130" s="840">
        <f t="shared" si="73"/>
        <v>-10.798122065727689</v>
      </c>
      <c r="H130" s="842">
        <f>$B$253/B130</f>
        <v>1.1994791052631579</v>
      </c>
    </row>
    <row r="131" spans="1:8" ht="15.75" hidden="1" customHeight="1" thickBot="1">
      <c r="A131" s="973" t="s">
        <v>477</v>
      </c>
      <c r="B131" s="748">
        <f>geral!K1176</f>
        <v>633.33333333333337</v>
      </c>
      <c r="C131" s="748">
        <f t="shared" si="48"/>
        <v>127.90220193738178</v>
      </c>
      <c r="D131" s="750">
        <f t="shared" ref="D131:D136" si="74">100*((B131/B130)-1)</f>
        <v>0</v>
      </c>
      <c r="E131" s="750">
        <f t="shared" ref="E131:E136" si="75">100*((B131/$B$124)-1)</f>
        <v>-12.037037037037035</v>
      </c>
      <c r="F131" s="751">
        <f t="shared" ref="F131:F136" si="76">100*((B131/B119)-1)</f>
        <v>-12.037037037037035</v>
      </c>
      <c r="G131" s="840">
        <f t="shared" ref="G131:G136" si="77">100*(B131/B107-1)</f>
        <v>-11.627906976744173</v>
      </c>
      <c r="H131" s="842">
        <f>$B$253/B131</f>
        <v>1.1994791052631579</v>
      </c>
    </row>
    <row r="132" spans="1:8" ht="15.75" hidden="1" customHeight="1" thickBot="1">
      <c r="A132" s="973" t="s">
        <v>478</v>
      </c>
      <c r="B132" s="748">
        <f>geral!K1177</f>
        <v>633.33333333333337</v>
      </c>
      <c r="C132" s="748">
        <f t="shared" si="48"/>
        <v>127.90220193738178</v>
      </c>
      <c r="D132" s="750">
        <f t="shared" si="74"/>
        <v>0</v>
      </c>
      <c r="E132" s="750">
        <f t="shared" si="75"/>
        <v>-12.037037037037035</v>
      </c>
      <c r="F132" s="751">
        <f t="shared" si="76"/>
        <v>-12.037037037037035</v>
      </c>
      <c r="G132" s="840">
        <f t="shared" si="77"/>
        <v>-12.037037037037035</v>
      </c>
      <c r="H132" s="842">
        <f>$B$253/B132</f>
        <v>1.1994791052631579</v>
      </c>
    </row>
    <row r="133" spans="1:8" ht="15.75" hidden="1" customHeight="1" thickBot="1">
      <c r="A133" s="973" t="s">
        <v>479</v>
      </c>
      <c r="B133" s="748">
        <f>geral!K1178</f>
        <v>633.33333333333337</v>
      </c>
      <c r="C133" s="748">
        <f t="shared" si="48"/>
        <v>127.90220193738178</v>
      </c>
      <c r="D133" s="750">
        <f t="shared" si="74"/>
        <v>0</v>
      </c>
      <c r="E133" s="750">
        <f t="shared" si="75"/>
        <v>-12.037037037037035</v>
      </c>
      <c r="F133" s="751">
        <f t="shared" si="76"/>
        <v>-12.037037037037035</v>
      </c>
      <c r="G133" s="840">
        <f t="shared" si="77"/>
        <v>-12.037037037037035</v>
      </c>
      <c r="H133" s="842">
        <f>$B$253/B133</f>
        <v>1.1994791052631579</v>
      </c>
    </row>
    <row r="134" spans="1:8" ht="15.75" hidden="1" customHeight="1" thickBot="1">
      <c r="A134" s="973" t="s">
        <v>480</v>
      </c>
      <c r="B134" s="748">
        <f>geral!K1179</f>
        <v>640</v>
      </c>
      <c r="C134" s="748">
        <f t="shared" si="48"/>
        <v>129.24854090514367</v>
      </c>
      <c r="D134" s="750">
        <f t="shared" si="74"/>
        <v>1.0526315789473717</v>
      </c>
      <c r="E134" s="750">
        <f t="shared" si="75"/>
        <v>-11.111111111111116</v>
      </c>
      <c r="F134" s="751">
        <f t="shared" si="76"/>
        <v>-11.111111111111116</v>
      </c>
      <c r="G134" s="840">
        <f t="shared" si="77"/>
        <v>-11.111111111111116</v>
      </c>
      <c r="H134" s="842">
        <f>$B$253/B134</f>
        <v>1.18698453125</v>
      </c>
    </row>
    <row r="135" spans="1:8" ht="15.75" hidden="1" customHeight="1" thickBot="1">
      <c r="A135" s="973" t="s">
        <v>481</v>
      </c>
      <c r="B135" s="748">
        <f>geral!K1180</f>
        <v>640</v>
      </c>
      <c r="C135" s="748">
        <f t="shared" si="48"/>
        <v>129.24854090514367</v>
      </c>
      <c r="D135" s="750">
        <f t="shared" si="74"/>
        <v>0</v>
      </c>
      <c r="E135" s="750">
        <f t="shared" si="75"/>
        <v>-11.111111111111116</v>
      </c>
      <c r="F135" s="751">
        <f t="shared" si="76"/>
        <v>-11.111111111111116</v>
      </c>
      <c r="G135" s="840">
        <f t="shared" si="77"/>
        <v>-11.111111111111116</v>
      </c>
      <c r="H135" s="842">
        <f>$B$253/B135</f>
        <v>1.18698453125</v>
      </c>
    </row>
    <row r="136" spans="1:8" ht="15.75" hidden="1" customHeight="1" thickBot="1">
      <c r="A136" s="1015" t="s">
        <v>482</v>
      </c>
      <c r="B136" s="755">
        <f>geral!K1181</f>
        <v>640</v>
      </c>
      <c r="C136" s="755">
        <f t="shared" si="48"/>
        <v>129.24854090514367</v>
      </c>
      <c r="D136" s="756">
        <f t="shared" si="74"/>
        <v>0</v>
      </c>
      <c r="E136" s="756">
        <f t="shared" si="75"/>
        <v>-11.111111111111116</v>
      </c>
      <c r="F136" s="757">
        <f t="shared" si="76"/>
        <v>-11.111111111111116</v>
      </c>
      <c r="G136" s="841">
        <f t="shared" si="77"/>
        <v>-11.111111111111116</v>
      </c>
      <c r="H136" s="922">
        <f>$B$253/B136</f>
        <v>1.18698453125</v>
      </c>
    </row>
    <row r="137" spans="1:8" ht="16.5" customHeight="1">
      <c r="A137" s="1013" t="s">
        <v>483</v>
      </c>
      <c r="B137" s="852">
        <f>geral!M1170</f>
        <v>651.33333333333337</v>
      </c>
      <c r="C137" s="852">
        <f t="shared" si="48"/>
        <v>131.53731715033894</v>
      </c>
      <c r="D137" s="967">
        <f t="shared" ref="D137:D142" si="78">100*((B137/B136)-1)</f>
        <v>1.7708333333333437</v>
      </c>
      <c r="E137" s="967">
        <f t="shared" ref="E137:E142" si="79">100*((B137/$B$136)-1)</f>
        <v>1.7708333333333437</v>
      </c>
      <c r="F137" s="968">
        <f t="shared" ref="F137:F142" si="80">100*((B137/B125)-1)</f>
        <v>-4.6829268292682968</v>
      </c>
      <c r="G137" s="969">
        <f t="shared" ref="G137:G142" si="81">100*(B137/B113-1)</f>
        <v>-9.5370370370370328</v>
      </c>
      <c r="H137" s="856">
        <f>$B$253/B137</f>
        <v>1.1663307574206756</v>
      </c>
    </row>
    <row r="138" spans="1:8" ht="16.5" customHeight="1">
      <c r="A138" s="1014" t="s">
        <v>484</v>
      </c>
      <c r="B138" s="857">
        <f>geral!M1171</f>
        <v>651.33333333333337</v>
      </c>
      <c r="C138" s="857">
        <f t="shared" si="48"/>
        <v>131.53731715033894</v>
      </c>
      <c r="D138" s="961">
        <f t="shared" si="78"/>
        <v>0</v>
      </c>
      <c r="E138" s="961">
        <f t="shared" si="79"/>
        <v>1.7708333333333437</v>
      </c>
      <c r="F138" s="965">
        <f t="shared" si="80"/>
        <v>-4.6829268292682968</v>
      </c>
      <c r="G138" s="966">
        <f t="shared" si="81"/>
        <v>-9.5370370370370328</v>
      </c>
      <c r="H138" s="861">
        <f>$B$253/B138</f>
        <v>1.1663307574206756</v>
      </c>
    </row>
    <row r="139" spans="1:8" ht="16.5" customHeight="1">
      <c r="A139" s="1014" t="s">
        <v>485</v>
      </c>
      <c r="B139" s="857">
        <f>geral!M1172</f>
        <v>651.33333333333337</v>
      </c>
      <c r="C139" s="857">
        <f t="shared" si="48"/>
        <v>131.53731715033894</v>
      </c>
      <c r="D139" s="961">
        <f t="shared" si="78"/>
        <v>0</v>
      </c>
      <c r="E139" s="961">
        <f t="shared" si="79"/>
        <v>1.7708333333333437</v>
      </c>
      <c r="F139" s="965">
        <f t="shared" si="80"/>
        <v>-4.6829268292682968</v>
      </c>
      <c r="G139" s="966">
        <f t="shared" si="81"/>
        <v>-9.5370370370370328</v>
      </c>
      <c r="H139" s="861">
        <f t="shared" ref="H139:H202" si="82">$B$253/B139</f>
        <v>1.1663307574206756</v>
      </c>
    </row>
    <row r="140" spans="1:8" ht="16.5" customHeight="1">
      <c r="A140" s="1014" t="s">
        <v>486</v>
      </c>
      <c r="B140" s="857">
        <f>geral!M1173</f>
        <v>653.33333333333337</v>
      </c>
      <c r="C140" s="857">
        <f t="shared" si="48"/>
        <v>131.94121884066752</v>
      </c>
      <c r="D140" s="961">
        <f t="shared" si="78"/>
        <v>0.30706243602864891</v>
      </c>
      <c r="E140" s="961">
        <f t="shared" si="79"/>
        <v>2.0833333333333481</v>
      </c>
      <c r="F140" s="965">
        <f t="shared" si="80"/>
        <v>-4.3902439024390283</v>
      </c>
      <c r="G140" s="966">
        <f t="shared" si="81"/>
        <v>-9.259259259259256</v>
      </c>
      <c r="H140" s="861">
        <f t="shared" si="82"/>
        <v>1.1627603571428571</v>
      </c>
    </row>
    <row r="141" spans="1:8" ht="16.5" customHeight="1">
      <c r="A141" s="1014" t="s">
        <v>487</v>
      </c>
      <c r="B141" s="857">
        <f>geral!M1174</f>
        <v>653.33333333333337</v>
      </c>
      <c r="C141" s="857">
        <f t="shared" si="48"/>
        <v>131.94121884066752</v>
      </c>
      <c r="D141" s="961">
        <f t="shared" si="78"/>
        <v>0</v>
      </c>
      <c r="E141" s="961">
        <f t="shared" si="79"/>
        <v>2.0833333333333481</v>
      </c>
      <c r="F141" s="965">
        <f t="shared" si="80"/>
        <v>3.1578947368421151</v>
      </c>
      <c r="G141" s="966">
        <f t="shared" si="81"/>
        <v>-9.259259259259256</v>
      </c>
      <c r="H141" s="861">
        <f t="shared" si="82"/>
        <v>1.1627603571428571</v>
      </c>
    </row>
    <row r="142" spans="1:8" ht="16.5" customHeight="1">
      <c r="A142" s="1014" t="s">
        <v>488</v>
      </c>
      <c r="B142" s="857">
        <f>geral!M1175</f>
        <v>653.33333333333337</v>
      </c>
      <c r="C142" s="857">
        <f t="shared" si="48"/>
        <v>131.94121884066752</v>
      </c>
      <c r="D142" s="961">
        <f t="shared" si="78"/>
        <v>0</v>
      </c>
      <c r="E142" s="961">
        <f t="shared" si="79"/>
        <v>2.0833333333333481</v>
      </c>
      <c r="F142" s="965">
        <f t="shared" si="80"/>
        <v>3.1578947368421151</v>
      </c>
      <c r="G142" s="966">
        <f t="shared" si="81"/>
        <v>-9.259259259259256</v>
      </c>
      <c r="H142" s="861">
        <f t="shared" si="82"/>
        <v>1.1627603571428571</v>
      </c>
    </row>
    <row r="143" spans="1:8" ht="16.5" customHeight="1">
      <c r="A143" s="1014" t="s">
        <v>489</v>
      </c>
      <c r="B143" s="857">
        <f>geral!M1176</f>
        <v>653.33333333333337</v>
      </c>
      <c r="C143" s="857">
        <f t="shared" si="48"/>
        <v>131.94121884066752</v>
      </c>
      <c r="D143" s="961">
        <f t="shared" ref="D143:D148" si="83">100*((B143/B142)-1)</f>
        <v>0</v>
      </c>
      <c r="E143" s="961">
        <f t="shared" ref="E143:E148" si="84">100*((B143/$B$136)-1)</f>
        <v>2.0833333333333481</v>
      </c>
      <c r="F143" s="965">
        <f t="shared" ref="F143:F148" si="85">100*((B143/B131)-1)</f>
        <v>3.1578947368421151</v>
      </c>
      <c r="G143" s="966">
        <f t="shared" ref="G143:G148" si="86">100*(B143/B119-1)</f>
        <v>-9.259259259259256</v>
      </c>
      <c r="H143" s="861">
        <f t="shared" si="82"/>
        <v>1.1627603571428571</v>
      </c>
    </row>
    <row r="144" spans="1:8" ht="16.5" customHeight="1">
      <c r="A144" s="1014" t="s">
        <v>490</v>
      </c>
      <c r="B144" s="857">
        <f>geral!M1177</f>
        <v>653.33000000000004</v>
      </c>
      <c r="C144" s="857">
        <f t="shared" si="48"/>
        <v>131.94054567118366</v>
      </c>
      <c r="D144" s="961">
        <f t="shared" si="83"/>
        <v>-5.1020408162738562E-4</v>
      </c>
      <c r="E144" s="961">
        <f t="shared" si="84"/>
        <v>2.0828124999999975</v>
      </c>
      <c r="F144" s="965">
        <f t="shared" si="85"/>
        <v>3.1573684210526309</v>
      </c>
      <c r="G144" s="966">
        <f t="shared" si="86"/>
        <v>-9.2597222222222229</v>
      </c>
      <c r="H144" s="861">
        <f t="shared" si="82"/>
        <v>1.1627662896239266</v>
      </c>
    </row>
    <row r="145" spans="1:8" ht="16.5" customHeight="1">
      <c r="A145" s="1014" t="s">
        <v>491</v>
      </c>
      <c r="B145" s="857">
        <f>geral!M1178</f>
        <v>653.33000000000004</v>
      </c>
      <c r="C145" s="857">
        <f t="shared" si="48"/>
        <v>131.94054567118366</v>
      </c>
      <c r="D145" s="961">
        <f t="shared" si="83"/>
        <v>0</v>
      </c>
      <c r="E145" s="961">
        <f t="shared" si="84"/>
        <v>2.0828124999999975</v>
      </c>
      <c r="F145" s="965">
        <f t="shared" si="85"/>
        <v>3.1573684210526309</v>
      </c>
      <c r="G145" s="966">
        <f t="shared" si="86"/>
        <v>-9.2597222222222229</v>
      </c>
      <c r="H145" s="861">
        <f t="shared" si="82"/>
        <v>1.1627662896239266</v>
      </c>
    </row>
    <row r="146" spans="1:8" ht="16.5" customHeight="1">
      <c r="A146" s="1014" t="s">
        <v>492</v>
      </c>
      <c r="B146" s="857">
        <f>geral!M1179</f>
        <v>658.33333333333337</v>
      </c>
      <c r="C146" s="857">
        <f t="shared" si="48"/>
        <v>132.95097306648896</v>
      </c>
      <c r="D146" s="961">
        <f t="shared" si="83"/>
        <v>0.76582023377669284</v>
      </c>
      <c r="E146" s="961">
        <f t="shared" si="84"/>
        <v>2.8645833333333481</v>
      </c>
      <c r="F146" s="965">
        <f t="shared" si="85"/>
        <v>2.8645833333333481</v>
      </c>
      <c r="G146" s="966">
        <f t="shared" si="86"/>
        <v>-8.5648148148148131</v>
      </c>
      <c r="H146" s="861">
        <f t="shared" si="82"/>
        <v>1.1539292658227849</v>
      </c>
    </row>
    <row r="147" spans="1:8" ht="16.5" customHeight="1">
      <c r="A147" s="1014" t="s">
        <v>493</v>
      </c>
      <c r="B147" s="857">
        <f>geral!M1180</f>
        <v>658.33333333333337</v>
      </c>
      <c r="C147" s="857">
        <f t="shared" si="48"/>
        <v>132.95097306648896</v>
      </c>
      <c r="D147" s="961">
        <f t="shared" si="83"/>
        <v>0</v>
      </c>
      <c r="E147" s="961">
        <f t="shared" si="84"/>
        <v>2.8645833333333481</v>
      </c>
      <c r="F147" s="965">
        <f t="shared" si="85"/>
        <v>2.8645833333333481</v>
      </c>
      <c r="G147" s="966">
        <f t="shared" si="86"/>
        <v>-8.5648148148148131</v>
      </c>
      <c r="H147" s="861">
        <f t="shared" si="82"/>
        <v>1.1539292658227849</v>
      </c>
    </row>
    <row r="148" spans="1:8" ht="16.5" customHeight="1">
      <c r="A148" s="1014" t="s">
        <v>494</v>
      </c>
      <c r="B148" s="857">
        <f>geral!M1181</f>
        <v>658.33333333333337</v>
      </c>
      <c r="C148" s="857">
        <f t="shared" si="48"/>
        <v>132.95097306648896</v>
      </c>
      <c r="D148" s="961">
        <f t="shared" si="83"/>
        <v>0</v>
      </c>
      <c r="E148" s="961">
        <f t="shared" si="84"/>
        <v>2.8645833333333481</v>
      </c>
      <c r="F148" s="965">
        <f t="shared" si="85"/>
        <v>2.8645833333333481</v>
      </c>
      <c r="G148" s="966">
        <f t="shared" si="86"/>
        <v>-8.5648148148148131</v>
      </c>
      <c r="H148" s="861">
        <f t="shared" si="82"/>
        <v>1.1539292658227849</v>
      </c>
    </row>
    <row r="149" spans="1:8" ht="16.5" customHeight="1">
      <c r="A149" s="1014" t="s">
        <v>495</v>
      </c>
      <c r="B149" s="857">
        <f>geral!C1185</f>
        <v>658.33333333333337</v>
      </c>
      <c r="C149" s="857">
        <f t="shared" ref="C149:C154" si="87">100*B149/$B$8</f>
        <v>132.95097306648896</v>
      </c>
      <c r="D149" s="961">
        <f t="shared" ref="D149:D154" si="88">100*((B149/B148)-1)</f>
        <v>0</v>
      </c>
      <c r="E149" s="961">
        <f t="shared" ref="E149:E154" si="89">100*((B149/$B$148)-1)</f>
        <v>0</v>
      </c>
      <c r="F149" s="965">
        <f t="shared" ref="F149:F154" si="90">100*((B149/B137)-1)</f>
        <v>1.0747185261003045</v>
      </c>
      <c r="G149" s="966">
        <f t="shared" ref="G149:G154" si="91">100*(B149/B125-1)</f>
        <v>-3.6585365853658569</v>
      </c>
      <c r="H149" s="861">
        <f t="shared" si="82"/>
        <v>1.1539292658227849</v>
      </c>
    </row>
    <row r="150" spans="1:8" ht="16.5" customHeight="1">
      <c r="A150" s="1014" t="s">
        <v>496</v>
      </c>
      <c r="B150" s="857">
        <f>geral!C1186</f>
        <v>658.33333333333337</v>
      </c>
      <c r="C150" s="857">
        <f t="shared" si="87"/>
        <v>132.95097306648896</v>
      </c>
      <c r="D150" s="961">
        <f t="shared" si="88"/>
        <v>0</v>
      </c>
      <c r="E150" s="961">
        <f t="shared" si="89"/>
        <v>0</v>
      </c>
      <c r="F150" s="965">
        <f t="shared" si="90"/>
        <v>1.0747185261003045</v>
      </c>
      <c r="G150" s="966">
        <f t="shared" si="91"/>
        <v>-3.6585365853658569</v>
      </c>
      <c r="H150" s="861">
        <f t="shared" si="82"/>
        <v>1.1539292658227849</v>
      </c>
    </row>
    <row r="151" spans="1:8" ht="16.5" customHeight="1">
      <c r="A151" s="1014" t="s">
        <v>497</v>
      </c>
      <c r="B151" s="857">
        <f>geral!C1187</f>
        <v>658.33333333333337</v>
      </c>
      <c r="C151" s="857">
        <f t="shared" si="87"/>
        <v>132.95097306648896</v>
      </c>
      <c r="D151" s="961">
        <f t="shared" si="88"/>
        <v>0</v>
      </c>
      <c r="E151" s="961">
        <f t="shared" si="89"/>
        <v>0</v>
      </c>
      <c r="F151" s="965">
        <f t="shared" si="90"/>
        <v>1.0747185261003045</v>
      </c>
      <c r="G151" s="966">
        <f t="shared" si="91"/>
        <v>-3.6585365853658569</v>
      </c>
      <c r="H151" s="861">
        <f t="shared" si="82"/>
        <v>1.1539292658227849</v>
      </c>
    </row>
    <row r="152" spans="1:8" ht="16.5" customHeight="1">
      <c r="A152" s="1014" t="s">
        <v>498</v>
      </c>
      <c r="B152" s="857">
        <f>geral!C1188</f>
        <v>658.33333333333337</v>
      </c>
      <c r="C152" s="857">
        <f t="shared" si="87"/>
        <v>132.95097306648896</v>
      </c>
      <c r="D152" s="961">
        <f t="shared" si="88"/>
        <v>0</v>
      </c>
      <c r="E152" s="961">
        <f t="shared" si="89"/>
        <v>0</v>
      </c>
      <c r="F152" s="965">
        <f t="shared" si="90"/>
        <v>0.76530612244898322</v>
      </c>
      <c r="G152" s="966">
        <f t="shared" si="91"/>
        <v>-3.6585365853658569</v>
      </c>
      <c r="H152" s="861">
        <f t="shared" si="82"/>
        <v>1.1539292658227849</v>
      </c>
    </row>
    <row r="153" spans="1:8" ht="16.5" customHeight="1">
      <c r="A153" s="1014" t="s">
        <v>499</v>
      </c>
      <c r="B153" s="857">
        <f>geral!C1189</f>
        <v>675</v>
      </c>
      <c r="C153" s="857">
        <f t="shared" si="87"/>
        <v>136.31682048589374</v>
      </c>
      <c r="D153" s="961">
        <f t="shared" si="88"/>
        <v>2.5316455696202445</v>
      </c>
      <c r="E153" s="961">
        <f t="shared" si="89"/>
        <v>2.5316455696202445</v>
      </c>
      <c r="F153" s="965">
        <f t="shared" si="90"/>
        <v>3.3163265306122458</v>
      </c>
      <c r="G153" s="966">
        <f t="shared" si="91"/>
        <v>6.5789473684210398</v>
      </c>
      <c r="H153" s="861">
        <f t="shared" si="82"/>
        <v>1.1254371851851852</v>
      </c>
    </row>
    <row r="154" spans="1:8" ht="16.5" customHeight="1">
      <c r="A154" s="1014" t="s">
        <v>500</v>
      </c>
      <c r="B154" s="857">
        <f>geral!C1190</f>
        <v>675</v>
      </c>
      <c r="C154" s="857">
        <f t="shared" si="87"/>
        <v>136.31682048589374</v>
      </c>
      <c r="D154" s="961">
        <f t="shared" si="88"/>
        <v>0</v>
      </c>
      <c r="E154" s="961">
        <f t="shared" si="89"/>
        <v>2.5316455696202445</v>
      </c>
      <c r="F154" s="965">
        <f t="shared" si="90"/>
        <v>3.3163265306122458</v>
      </c>
      <c r="G154" s="966">
        <f t="shared" si="91"/>
        <v>6.5789473684210398</v>
      </c>
      <c r="H154" s="861">
        <f t="shared" si="82"/>
        <v>1.1254371851851852</v>
      </c>
    </row>
    <row r="155" spans="1:8" ht="16.5" customHeight="1">
      <c r="A155" s="1014" t="s">
        <v>501</v>
      </c>
      <c r="B155" s="857">
        <f>geral!C1191</f>
        <v>675</v>
      </c>
      <c r="C155" s="857">
        <f t="shared" ref="C155:C160" si="92">100*B155/$B$8</f>
        <v>136.31682048589374</v>
      </c>
      <c r="D155" s="961">
        <f t="shared" ref="D155:D160" si="93">100*((B155/B154)-1)</f>
        <v>0</v>
      </c>
      <c r="E155" s="961">
        <f t="shared" ref="E155:E160" si="94">100*((B155/$B$148)-1)</f>
        <v>2.5316455696202445</v>
      </c>
      <c r="F155" s="965">
        <f t="shared" ref="F155:F160" si="95">100*((B155/B143)-1)</f>
        <v>3.3163265306122458</v>
      </c>
      <c r="G155" s="966">
        <f t="shared" ref="G155:G160" si="96">100*(B155/B131-1)</f>
        <v>6.5789473684210398</v>
      </c>
      <c r="H155" s="861">
        <f t="shared" si="82"/>
        <v>1.1254371851851852</v>
      </c>
    </row>
    <row r="156" spans="1:8" ht="16.5" customHeight="1">
      <c r="A156" s="1014" t="s">
        <v>502</v>
      </c>
      <c r="B156" s="857">
        <f>geral!C1192</f>
        <v>675</v>
      </c>
      <c r="C156" s="857">
        <f t="shared" si="92"/>
        <v>136.31682048589374</v>
      </c>
      <c r="D156" s="961">
        <f t="shared" si="93"/>
        <v>0</v>
      </c>
      <c r="E156" s="961">
        <f t="shared" si="94"/>
        <v>2.5316455696202445</v>
      </c>
      <c r="F156" s="965">
        <f t="shared" si="95"/>
        <v>3.3168536574166074</v>
      </c>
      <c r="G156" s="966">
        <f t="shared" si="96"/>
        <v>6.5789473684210398</v>
      </c>
      <c r="H156" s="861">
        <f t="shared" si="82"/>
        <v>1.1254371851851852</v>
      </c>
    </row>
    <row r="157" spans="1:8" ht="16.5" customHeight="1">
      <c r="A157" s="1014" t="s">
        <v>503</v>
      </c>
      <c r="B157" s="857">
        <f>geral!C1193</f>
        <v>675</v>
      </c>
      <c r="C157" s="857">
        <f t="shared" si="92"/>
        <v>136.31682048589374</v>
      </c>
      <c r="D157" s="961">
        <f t="shared" si="93"/>
        <v>0</v>
      </c>
      <c r="E157" s="961">
        <f t="shared" si="94"/>
        <v>2.5316455696202445</v>
      </c>
      <c r="F157" s="965">
        <f t="shared" si="95"/>
        <v>3.3168536574166074</v>
      </c>
      <c r="G157" s="966">
        <f t="shared" si="96"/>
        <v>6.5789473684210398</v>
      </c>
      <c r="H157" s="861">
        <f t="shared" si="82"/>
        <v>1.1254371851851852</v>
      </c>
    </row>
    <row r="158" spans="1:8" ht="16.5" customHeight="1">
      <c r="A158" s="1014" t="s">
        <v>504</v>
      </c>
      <c r="B158" s="857">
        <f>geral!C1194</f>
        <v>675</v>
      </c>
      <c r="C158" s="857">
        <f t="shared" si="92"/>
        <v>136.31682048589374</v>
      </c>
      <c r="D158" s="961">
        <f t="shared" si="93"/>
        <v>0</v>
      </c>
      <c r="E158" s="961">
        <f t="shared" si="94"/>
        <v>2.5316455696202445</v>
      </c>
      <c r="F158" s="965">
        <f t="shared" si="95"/>
        <v>2.5316455696202445</v>
      </c>
      <c r="G158" s="966">
        <f t="shared" si="96"/>
        <v>5.46875</v>
      </c>
      <c r="H158" s="861">
        <f t="shared" si="82"/>
        <v>1.1254371851851852</v>
      </c>
    </row>
    <row r="159" spans="1:8" ht="16.5" customHeight="1">
      <c r="A159" s="1014" t="s">
        <v>505</v>
      </c>
      <c r="B159" s="857">
        <f>geral!C1195</f>
        <v>675</v>
      </c>
      <c r="C159" s="857">
        <f t="shared" si="92"/>
        <v>136.31682048589374</v>
      </c>
      <c r="D159" s="961">
        <f t="shared" si="93"/>
        <v>0</v>
      </c>
      <c r="E159" s="961">
        <f t="shared" si="94"/>
        <v>2.5316455696202445</v>
      </c>
      <c r="F159" s="965">
        <f t="shared" si="95"/>
        <v>2.5316455696202445</v>
      </c>
      <c r="G159" s="966">
        <f t="shared" si="96"/>
        <v>5.46875</v>
      </c>
      <c r="H159" s="861">
        <f t="shared" si="82"/>
        <v>1.1254371851851852</v>
      </c>
    </row>
    <row r="160" spans="1:8" ht="16.5" customHeight="1">
      <c r="A160" s="1014" t="s">
        <v>506</v>
      </c>
      <c r="B160" s="857">
        <f>geral!C1196</f>
        <v>675</v>
      </c>
      <c r="C160" s="857">
        <f t="shared" si="92"/>
        <v>136.31682048589374</v>
      </c>
      <c r="D160" s="961">
        <f t="shared" si="93"/>
        <v>0</v>
      </c>
      <c r="E160" s="961">
        <f t="shared" si="94"/>
        <v>2.5316455696202445</v>
      </c>
      <c r="F160" s="965">
        <f t="shared" si="95"/>
        <v>2.5316455696202445</v>
      </c>
      <c r="G160" s="966">
        <f t="shared" si="96"/>
        <v>5.46875</v>
      </c>
      <c r="H160" s="861">
        <f t="shared" si="82"/>
        <v>1.1254371851851852</v>
      </c>
    </row>
    <row r="161" spans="1:8" ht="16.5" customHeight="1">
      <c r="A161" s="1014" t="s">
        <v>507</v>
      </c>
      <c r="B161" s="857">
        <f>geral!E1185</f>
        <v>690</v>
      </c>
      <c r="C161" s="857">
        <f t="shared" ref="C161:C166" si="97">100*B161/$B$8</f>
        <v>139.34608316335803</v>
      </c>
      <c r="D161" s="961">
        <f t="shared" ref="D161:D166" si="98">100*((B161/B160)-1)</f>
        <v>2.2222222222222143</v>
      </c>
      <c r="E161" s="961">
        <f t="shared" ref="E161:E166" si="99">100*((B161/$B$160)-1)</f>
        <v>2.2222222222222143</v>
      </c>
      <c r="F161" s="965">
        <f t="shared" ref="F161:F166" si="100">100*((B161/B149)-1)</f>
        <v>4.8101265822784844</v>
      </c>
      <c r="G161" s="966">
        <f t="shared" ref="G161:G166" si="101">100*(B161/B137-1)</f>
        <v>5.9365404298874047</v>
      </c>
      <c r="H161" s="861">
        <f t="shared" si="82"/>
        <v>1.10097115942029</v>
      </c>
    </row>
    <row r="162" spans="1:8" ht="16.5" customHeight="1">
      <c r="A162" s="1014" t="s">
        <v>508</v>
      </c>
      <c r="B162" s="857">
        <f>geral!E1186</f>
        <v>690</v>
      </c>
      <c r="C162" s="857">
        <f t="shared" si="97"/>
        <v>139.34608316335803</v>
      </c>
      <c r="D162" s="961">
        <f t="shared" si="98"/>
        <v>0</v>
      </c>
      <c r="E162" s="961">
        <f t="shared" si="99"/>
        <v>2.2222222222222143</v>
      </c>
      <c r="F162" s="965">
        <f t="shared" si="100"/>
        <v>4.8101265822784844</v>
      </c>
      <c r="G162" s="966">
        <f t="shared" si="101"/>
        <v>5.9365404298874047</v>
      </c>
      <c r="H162" s="861">
        <f t="shared" si="82"/>
        <v>1.10097115942029</v>
      </c>
    </row>
    <row r="163" spans="1:8" ht="16.5" customHeight="1">
      <c r="A163" s="1014" t="s">
        <v>509</v>
      </c>
      <c r="B163" s="857">
        <f>geral!E1187</f>
        <v>690</v>
      </c>
      <c r="C163" s="857">
        <f t="shared" si="97"/>
        <v>139.34608316335803</v>
      </c>
      <c r="D163" s="961">
        <f t="shared" si="98"/>
        <v>0</v>
      </c>
      <c r="E163" s="961">
        <f t="shared" si="99"/>
        <v>2.2222222222222143</v>
      </c>
      <c r="F163" s="965">
        <f t="shared" si="100"/>
        <v>4.8101265822784844</v>
      </c>
      <c r="G163" s="966">
        <f t="shared" si="101"/>
        <v>5.9365404298874047</v>
      </c>
      <c r="H163" s="861">
        <f t="shared" si="82"/>
        <v>1.10097115942029</v>
      </c>
    </row>
    <row r="164" spans="1:8" ht="16.5" customHeight="1">
      <c r="A164" s="1014" t="s">
        <v>510</v>
      </c>
      <c r="B164" s="857">
        <f>geral!E1188</f>
        <v>690</v>
      </c>
      <c r="C164" s="857">
        <f t="shared" si="97"/>
        <v>139.34608316335803</v>
      </c>
      <c r="D164" s="961">
        <f t="shared" si="98"/>
        <v>0</v>
      </c>
      <c r="E164" s="961">
        <f t="shared" si="99"/>
        <v>2.2222222222222143</v>
      </c>
      <c r="F164" s="965">
        <f t="shared" si="100"/>
        <v>4.8101265822784844</v>
      </c>
      <c r="G164" s="966">
        <f t="shared" si="101"/>
        <v>5.6122448979591733</v>
      </c>
      <c r="H164" s="861">
        <f t="shared" si="82"/>
        <v>1.10097115942029</v>
      </c>
    </row>
    <row r="165" spans="1:8" ht="16.5" customHeight="1">
      <c r="A165" s="1014" t="s">
        <v>511</v>
      </c>
      <c r="B165" s="857">
        <f>geral!E1189</f>
        <v>690</v>
      </c>
      <c r="C165" s="857">
        <f t="shared" si="97"/>
        <v>139.34608316335803</v>
      </c>
      <c r="D165" s="961">
        <f t="shared" si="98"/>
        <v>0</v>
      </c>
      <c r="E165" s="961">
        <f t="shared" si="99"/>
        <v>2.2222222222222143</v>
      </c>
      <c r="F165" s="965">
        <f t="shared" si="100"/>
        <v>2.2222222222222143</v>
      </c>
      <c r="G165" s="966">
        <f t="shared" si="101"/>
        <v>5.6122448979591733</v>
      </c>
      <c r="H165" s="861">
        <f t="shared" si="82"/>
        <v>1.10097115942029</v>
      </c>
    </row>
    <row r="166" spans="1:8" ht="16.5" customHeight="1">
      <c r="A166" s="1014" t="s">
        <v>512</v>
      </c>
      <c r="B166" s="857">
        <f>geral!E1190</f>
        <v>690</v>
      </c>
      <c r="C166" s="857">
        <f t="shared" si="97"/>
        <v>139.34608316335803</v>
      </c>
      <c r="D166" s="961">
        <f t="shared" si="98"/>
        <v>0</v>
      </c>
      <c r="E166" s="961">
        <f t="shared" si="99"/>
        <v>2.2222222222222143</v>
      </c>
      <c r="F166" s="965">
        <f t="shared" si="100"/>
        <v>2.2222222222222143</v>
      </c>
      <c r="G166" s="966">
        <f t="shared" si="101"/>
        <v>5.6122448979591733</v>
      </c>
      <c r="H166" s="861">
        <f t="shared" si="82"/>
        <v>1.10097115942029</v>
      </c>
    </row>
    <row r="167" spans="1:8" ht="16.5" customHeight="1">
      <c r="A167" s="1014" t="s">
        <v>513</v>
      </c>
      <c r="B167" s="857">
        <f>geral!E1191</f>
        <v>690</v>
      </c>
      <c r="C167" s="857">
        <f t="shared" ref="C167:C172" si="102">100*B167/$B$8</f>
        <v>139.34608316335803</v>
      </c>
      <c r="D167" s="961">
        <f t="shared" ref="D167:D172" si="103">100*((B167/B166)-1)</f>
        <v>0</v>
      </c>
      <c r="E167" s="961">
        <f t="shared" ref="E167:E172" si="104">100*((B167/$B$160)-1)</f>
        <v>2.2222222222222143</v>
      </c>
      <c r="F167" s="965">
        <f t="shared" ref="F167:F172" si="105">100*((B167/B155)-1)</f>
        <v>2.2222222222222143</v>
      </c>
      <c r="G167" s="966">
        <f t="shared" ref="G167:G172" si="106">100*(B167/B143-1)</f>
        <v>5.6122448979591733</v>
      </c>
      <c r="H167" s="861">
        <f t="shared" si="82"/>
        <v>1.10097115942029</v>
      </c>
    </row>
    <row r="168" spans="1:8" ht="16.5" customHeight="1">
      <c r="A168" s="1014" t="s">
        <v>514</v>
      </c>
      <c r="B168" s="857">
        <f>geral!E1192</f>
        <v>690</v>
      </c>
      <c r="C168" s="857">
        <f t="shared" si="102"/>
        <v>139.34608316335803</v>
      </c>
      <c r="D168" s="961">
        <f t="shared" si="103"/>
        <v>0</v>
      </c>
      <c r="E168" s="961">
        <f t="shared" si="104"/>
        <v>2.2222222222222143</v>
      </c>
      <c r="F168" s="965">
        <f t="shared" si="105"/>
        <v>2.2222222222222143</v>
      </c>
      <c r="G168" s="966">
        <f t="shared" si="106"/>
        <v>5.6127837386925394</v>
      </c>
      <c r="H168" s="861">
        <f t="shared" si="82"/>
        <v>1.10097115942029</v>
      </c>
    </row>
    <row r="169" spans="1:8" ht="16.5" customHeight="1">
      <c r="A169" s="1014" t="s">
        <v>515</v>
      </c>
      <c r="B169" s="857">
        <f>geral!E1193</f>
        <v>690</v>
      </c>
      <c r="C169" s="857">
        <f t="shared" si="102"/>
        <v>139.34608316335803</v>
      </c>
      <c r="D169" s="961">
        <f t="shared" si="103"/>
        <v>0</v>
      </c>
      <c r="E169" s="961">
        <f t="shared" si="104"/>
        <v>2.2222222222222143</v>
      </c>
      <c r="F169" s="965">
        <f t="shared" si="105"/>
        <v>2.2222222222222143</v>
      </c>
      <c r="G169" s="966">
        <f t="shared" si="106"/>
        <v>5.6127837386925394</v>
      </c>
      <c r="H169" s="861">
        <f t="shared" si="82"/>
        <v>1.10097115942029</v>
      </c>
    </row>
    <row r="170" spans="1:8" ht="16.5" customHeight="1">
      <c r="A170" s="1014" t="s">
        <v>516</v>
      </c>
      <c r="B170" s="857">
        <f>geral!E1194</f>
        <v>690</v>
      </c>
      <c r="C170" s="857">
        <f t="shared" si="102"/>
        <v>139.34608316335803</v>
      </c>
      <c r="D170" s="961">
        <f t="shared" si="103"/>
        <v>0</v>
      </c>
      <c r="E170" s="961">
        <f t="shared" si="104"/>
        <v>2.2222222222222143</v>
      </c>
      <c r="F170" s="965">
        <f t="shared" si="105"/>
        <v>2.2222222222222143</v>
      </c>
      <c r="G170" s="966">
        <f t="shared" si="106"/>
        <v>4.8101265822784844</v>
      </c>
      <c r="H170" s="861">
        <f t="shared" si="82"/>
        <v>1.10097115942029</v>
      </c>
    </row>
    <row r="171" spans="1:8" ht="16.5" customHeight="1">
      <c r="A171" s="1014" t="s">
        <v>517</v>
      </c>
      <c r="B171" s="857">
        <f>geral!E1195</f>
        <v>690</v>
      </c>
      <c r="C171" s="857">
        <f t="shared" si="102"/>
        <v>139.34608316335803</v>
      </c>
      <c r="D171" s="961">
        <f t="shared" si="103"/>
        <v>0</v>
      </c>
      <c r="E171" s="961">
        <f t="shared" si="104"/>
        <v>2.2222222222222143</v>
      </c>
      <c r="F171" s="965">
        <f t="shared" si="105"/>
        <v>2.2222222222222143</v>
      </c>
      <c r="G171" s="966">
        <f t="shared" si="106"/>
        <v>4.8101265822784844</v>
      </c>
      <c r="H171" s="861">
        <f t="shared" si="82"/>
        <v>1.10097115942029</v>
      </c>
    </row>
    <row r="172" spans="1:8" ht="16.5" customHeight="1">
      <c r="A172" s="1014" t="s">
        <v>518</v>
      </c>
      <c r="B172" s="857">
        <f>geral!E1196</f>
        <v>690</v>
      </c>
      <c r="C172" s="857">
        <f t="shared" si="102"/>
        <v>139.34608316335803</v>
      </c>
      <c r="D172" s="961">
        <f t="shared" si="103"/>
        <v>0</v>
      </c>
      <c r="E172" s="961">
        <f t="shared" si="104"/>
        <v>2.2222222222222143</v>
      </c>
      <c r="F172" s="965">
        <f t="shared" si="105"/>
        <v>2.2222222222222143</v>
      </c>
      <c r="G172" s="966">
        <f t="shared" si="106"/>
        <v>4.8101265822784844</v>
      </c>
      <c r="H172" s="861">
        <f t="shared" si="82"/>
        <v>1.10097115942029</v>
      </c>
    </row>
    <row r="173" spans="1:8" ht="16.5" customHeight="1">
      <c r="A173" s="1014" t="s">
        <v>519</v>
      </c>
      <c r="B173" s="857">
        <f>geral!G1185</f>
        <v>680</v>
      </c>
      <c r="C173" s="857">
        <f t="shared" ref="C173:C178" si="107">100*B173/$B$8</f>
        <v>137.32657471171515</v>
      </c>
      <c r="D173" s="961">
        <f t="shared" ref="D173:D178" si="108">100*((B173/B172)-1)</f>
        <v>-1.4492753623188359</v>
      </c>
      <c r="E173" s="961">
        <f t="shared" ref="E173:E178" si="109">100*((B173/$B$172)-1)</f>
        <v>-1.4492753623188359</v>
      </c>
      <c r="F173" s="965">
        <f t="shared" ref="F173:F178" si="110">100*((B173/B161)-1)</f>
        <v>-1.4492753623188359</v>
      </c>
      <c r="G173" s="966">
        <f t="shared" ref="G173:G178" si="111">100*(B173/B149-1)</f>
        <v>3.2911392405063244</v>
      </c>
      <c r="H173" s="861">
        <f t="shared" si="82"/>
        <v>1.117161911764706</v>
      </c>
    </row>
    <row r="174" spans="1:8" ht="16.5" customHeight="1">
      <c r="A174" s="1014" t="s">
        <v>520</v>
      </c>
      <c r="B174" s="857">
        <f>geral!G1186</f>
        <v>680</v>
      </c>
      <c r="C174" s="857">
        <f t="shared" si="107"/>
        <v>137.32657471171515</v>
      </c>
      <c r="D174" s="961">
        <f t="shared" si="108"/>
        <v>0</v>
      </c>
      <c r="E174" s="961">
        <f t="shared" si="109"/>
        <v>-1.4492753623188359</v>
      </c>
      <c r="F174" s="965">
        <f t="shared" si="110"/>
        <v>-1.4492753623188359</v>
      </c>
      <c r="G174" s="966">
        <f t="shared" si="111"/>
        <v>3.2911392405063244</v>
      </c>
      <c r="H174" s="861">
        <f t="shared" si="82"/>
        <v>1.117161911764706</v>
      </c>
    </row>
    <row r="175" spans="1:8" ht="16.5" customHeight="1">
      <c r="A175" s="1014" t="s">
        <v>521</v>
      </c>
      <c r="B175" s="857">
        <f>geral!G1187</f>
        <v>680</v>
      </c>
      <c r="C175" s="857">
        <f t="shared" si="107"/>
        <v>137.32657471171515</v>
      </c>
      <c r="D175" s="961">
        <f t="shared" si="108"/>
        <v>0</v>
      </c>
      <c r="E175" s="961">
        <f t="shared" si="109"/>
        <v>-1.4492753623188359</v>
      </c>
      <c r="F175" s="965">
        <f t="shared" si="110"/>
        <v>-1.4492753623188359</v>
      </c>
      <c r="G175" s="966">
        <f t="shared" si="111"/>
        <v>3.2911392405063244</v>
      </c>
      <c r="H175" s="861">
        <f t="shared" si="82"/>
        <v>1.117161911764706</v>
      </c>
    </row>
    <row r="176" spans="1:8" ht="16.5" customHeight="1">
      <c r="A176" s="1014" t="s">
        <v>522</v>
      </c>
      <c r="B176" s="857">
        <f>geral!G1188</f>
        <v>680</v>
      </c>
      <c r="C176" s="857">
        <f t="shared" si="107"/>
        <v>137.32657471171515</v>
      </c>
      <c r="D176" s="961">
        <f t="shared" si="108"/>
        <v>0</v>
      </c>
      <c r="E176" s="961">
        <f t="shared" si="109"/>
        <v>-1.4492753623188359</v>
      </c>
      <c r="F176" s="965">
        <f t="shared" si="110"/>
        <v>-1.4492753623188359</v>
      </c>
      <c r="G176" s="966">
        <f t="shared" si="111"/>
        <v>3.2911392405063244</v>
      </c>
      <c r="H176" s="861">
        <f t="shared" si="82"/>
        <v>1.117161911764706</v>
      </c>
    </row>
    <row r="177" spans="1:8" ht="16.5" customHeight="1">
      <c r="A177" s="1014" t="s">
        <v>523</v>
      </c>
      <c r="B177" s="857">
        <f>geral!G1189</f>
        <v>680</v>
      </c>
      <c r="C177" s="857">
        <f t="shared" si="107"/>
        <v>137.32657471171515</v>
      </c>
      <c r="D177" s="961">
        <f t="shared" si="108"/>
        <v>0</v>
      </c>
      <c r="E177" s="961">
        <f t="shared" si="109"/>
        <v>-1.4492753623188359</v>
      </c>
      <c r="F177" s="965">
        <f t="shared" si="110"/>
        <v>-1.4492753623188359</v>
      </c>
      <c r="G177" s="966">
        <f t="shared" si="111"/>
        <v>0.74074074074073071</v>
      </c>
      <c r="H177" s="861">
        <f t="shared" si="82"/>
        <v>1.117161911764706</v>
      </c>
    </row>
    <row r="178" spans="1:8" ht="16.5" customHeight="1">
      <c r="A178" s="1014" t="s">
        <v>524</v>
      </c>
      <c r="B178" s="857">
        <f>geral!G1190</f>
        <v>690</v>
      </c>
      <c r="C178" s="857">
        <f t="shared" si="107"/>
        <v>139.34608316335803</v>
      </c>
      <c r="D178" s="961">
        <f t="shared" si="108"/>
        <v>1.4705882352941124</v>
      </c>
      <c r="E178" s="961">
        <f t="shared" si="109"/>
        <v>0</v>
      </c>
      <c r="F178" s="965">
        <f t="shared" si="110"/>
        <v>0</v>
      </c>
      <c r="G178" s="966">
        <f t="shared" si="111"/>
        <v>2.2222222222222143</v>
      </c>
      <c r="H178" s="861">
        <f t="shared" si="82"/>
        <v>1.10097115942029</v>
      </c>
    </row>
    <row r="179" spans="1:8" ht="16.5" customHeight="1">
      <c r="A179" s="1014" t="s">
        <v>525</v>
      </c>
      <c r="B179" s="857">
        <f>geral!G1191</f>
        <v>690</v>
      </c>
      <c r="C179" s="857">
        <f t="shared" ref="C179:C184" si="112">100*B179/$B$8</f>
        <v>139.34608316335803</v>
      </c>
      <c r="D179" s="961">
        <f t="shared" ref="D179:D184" si="113">100*((B179/B178)-1)</f>
        <v>0</v>
      </c>
      <c r="E179" s="961">
        <f t="shared" ref="E179:E184" si="114">100*((B179/$B$172)-1)</f>
        <v>0</v>
      </c>
      <c r="F179" s="965">
        <f t="shared" ref="F179:F184" si="115">100*((B179/B167)-1)</f>
        <v>0</v>
      </c>
      <c r="G179" s="966">
        <f t="shared" ref="G179:G184" si="116">100*(B179/B155-1)</f>
        <v>2.2222222222222143</v>
      </c>
      <c r="H179" s="861">
        <f t="shared" si="82"/>
        <v>1.10097115942029</v>
      </c>
    </row>
    <row r="180" spans="1:8" ht="16.5" customHeight="1">
      <c r="A180" s="1014" t="s">
        <v>526</v>
      </c>
      <c r="B180" s="857">
        <f>geral!G1192</f>
        <v>690</v>
      </c>
      <c r="C180" s="857">
        <f t="shared" si="112"/>
        <v>139.34608316335803</v>
      </c>
      <c r="D180" s="961">
        <f t="shared" si="113"/>
        <v>0</v>
      </c>
      <c r="E180" s="961">
        <f t="shared" si="114"/>
        <v>0</v>
      </c>
      <c r="F180" s="965">
        <f t="shared" si="115"/>
        <v>0</v>
      </c>
      <c r="G180" s="966">
        <f t="shared" si="116"/>
        <v>2.2222222222222143</v>
      </c>
      <c r="H180" s="861">
        <f t="shared" si="82"/>
        <v>1.10097115942029</v>
      </c>
    </row>
    <row r="181" spans="1:8" ht="16.5" customHeight="1">
      <c r="A181" s="1014" t="s">
        <v>527</v>
      </c>
      <c r="B181" s="857">
        <f>geral!G1193</f>
        <v>690</v>
      </c>
      <c r="C181" s="857">
        <f t="shared" si="112"/>
        <v>139.34608316335803</v>
      </c>
      <c r="D181" s="961">
        <f t="shared" si="113"/>
        <v>0</v>
      </c>
      <c r="E181" s="961">
        <f t="shared" si="114"/>
        <v>0</v>
      </c>
      <c r="F181" s="965">
        <f t="shared" si="115"/>
        <v>0</v>
      </c>
      <c r="G181" s="966">
        <f t="shared" si="116"/>
        <v>2.2222222222222143</v>
      </c>
      <c r="H181" s="861">
        <f t="shared" si="82"/>
        <v>1.10097115942029</v>
      </c>
    </row>
    <row r="182" spans="1:8" ht="16.5" customHeight="1">
      <c r="A182" s="1014" t="s">
        <v>528</v>
      </c>
      <c r="B182" s="857">
        <f>geral!G1194</f>
        <v>690</v>
      </c>
      <c r="C182" s="857">
        <f t="shared" si="112"/>
        <v>139.34608316335803</v>
      </c>
      <c r="D182" s="961">
        <f t="shared" si="113"/>
        <v>0</v>
      </c>
      <c r="E182" s="961">
        <f t="shared" si="114"/>
        <v>0</v>
      </c>
      <c r="F182" s="965">
        <f t="shared" si="115"/>
        <v>0</v>
      </c>
      <c r="G182" s="966">
        <f t="shared" si="116"/>
        <v>2.2222222222222143</v>
      </c>
      <c r="H182" s="861">
        <f t="shared" si="82"/>
        <v>1.10097115942029</v>
      </c>
    </row>
    <row r="183" spans="1:8" ht="16.5" customHeight="1">
      <c r="A183" s="1014" t="s">
        <v>529</v>
      </c>
      <c r="B183" s="857">
        <f>geral!G1195</f>
        <v>690</v>
      </c>
      <c r="C183" s="857">
        <f t="shared" si="112"/>
        <v>139.34608316335803</v>
      </c>
      <c r="D183" s="961">
        <f t="shared" si="113"/>
        <v>0</v>
      </c>
      <c r="E183" s="961">
        <f t="shared" si="114"/>
        <v>0</v>
      </c>
      <c r="F183" s="965">
        <f t="shared" si="115"/>
        <v>0</v>
      </c>
      <c r="G183" s="966">
        <f t="shared" si="116"/>
        <v>2.2222222222222143</v>
      </c>
      <c r="H183" s="861">
        <f t="shared" si="82"/>
        <v>1.10097115942029</v>
      </c>
    </row>
    <row r="184" spans="1:8" ht="16.5" customHeight="1">
      <c r="A184" s="1014" t="s">
        <v>530</v>
      </c>
      <c r="B184" s="857">
        <f>geral!G1196</f>
        <v>690</v>
      </c>
      <c r="C184" s="857">
        <f t="shared" si="112"/>
        <v>139.34608316335803</v>
      </c>
      <c r="D184" s="961">
        <f t="shared" si="113"/>
        <v>0</v>
      </c>
      <c r="E184" s="961">
        <f t="shared" si="114"/>
        <v>0</v>
      </c>
      <c r="F184" s="965">
        <f t="shared" si="115"/>
        <v>0</v>
      </c>
      <c r="G184" s="966">
        <f t="shared" si="116"/>
        <v>2.2222222222222143</v>
      </c>
      <c r="H184" s="861">
        <f t="shared" si="82"/>
        <v>1.10097115942029</v>
      </c>
    </row>
    <row r="185" spans="1:8" ht="16.5" customHeight="1">
      <c r="A185" s="1014" t="s">
        <v>531</v>
      </c>
      <c r="B185" s="857">
        <f>geral!I1185</f>
        <v>670</v>
      </c>
      <c r="C185" s="857">
        <f t="shared" ref="C185:C190" si="117">100*B185/$B$8</f>
        <v>135.3070662600723</v>
      </c>
      <c r="D185" s="961">
        <f t="shared" ref="D185:D190" si="118">100*((B185/B184)-1)</f>
        <v>-2.8985507246376829</v>
      </c>
      <c r="E185" s="961">
        <f t="shared" ref="E185:E190" si="119">100*((B185/$B$184)-1)</f>
        <v>-2.8985507246376829</v>
      </c>
      <c r="F185" s="965">
        <f t="shared" ref="F185:F190" si="120">100*((B185/B173)-1)</f>
        <v>-1.4705882352941124</v>
      </c>
      <c r="G185" s="966">
        <f t="shared" ref="G185:G190" si="121">100*(B185/B161-1)</f>
        <v>-2.8985507246376829</v>
      </c>
      <c r="H185" s="861">
        <f t="shared" si="82"/>
        <v>1.1338359701492537</v>
      </c>
    </row>
    <row r="186" spans="1:8" ht="16.5" customHeight="1">
      <c r="A186" s="1014" t="s">
        <v>649</v>
      </c>
      <c r="B186" s="857">
        <f>geral!I1186</f>
        <v>670</v>
      </c>
      <c r="C186" s="857">
        <f t="shared" si="117"/>
        <v>135.3070662600723</v>
      </c>
      <c r="D186" s="961">
        <f t="shared" si="118"/>
        <v>0</v>
      </c>
      <c r="E186" s="961">
        <f t="shared" si="119"/>
        <v>-2.8985507246376829</v>
      </c>
      <c r="F186" s="965">
        <f t="shared" si="120"/>
        <v>-1.4705882352941124</v>
      </c>
      <c r="G186" s="966">
        <f t="shared" si="121"/>
        <v>-2.8985507246376829</v>
      </c>
      <c r="H186" s="861">
        <f t="shared" si="82"/>
        <v>1.1338359701492537</v>
      </c>
    </row>
    <row r="187" spans="1:8" ht="16.5" customHeight="1">
      <c r="A187" s="1014" t="s">
        <v>650</v>
      </c>
      <c r="B187" s="857">
        <f>geral!I1187</f>
        <v>670</v>
      </c>
      <c r="C187" s="857">
        <f t="shared" si="117"/>
        <v>135.3070662600723</v>
      </c>
      <c r="D187" s="961">
        <f t="shared" si="118"/>
        <v>0</v>
      </c>
      <c r="E187" s="961">
        <f t="shared" si="119"/>
        <v>-2.8985507246376829</v>
      </c>
      <c r="F187" s="965">
        <f t="shared" si="120"/>
        <v>-1.4705882352941124</v>
      </c>
      <c r="G187" s="966">
        <f t="shared" si="121"/>
        <v>-2.8985507246376829</v>
      </c>
      <c r="H187" s="861">
        <f t="shared" si="82"/>
        <v>1.1338359701492537</v>
      </c>
    </row>
    <row r="188" spans="1:8" ht="16.5" customHeight="1">
      <c r="A188" s="1014" t="s">
        <v>652</v>
      </c>
      <c r="B188" s="857">
        <f>geral!I1188</f>
        <v>670</v>
      </c>
      <c r="C188" s="857">
        <f t="shared" si="117"/>
        <v>135.3070662600723</v>
      </c>
      <c r="D188" s="961">
        <f t="shared" si="118"/>
        <v>0</v>
      </c>
      <c r="E188" s="961">
        <f t="shared" si="119"/>
        <v>-2.8985507246376829</v>
      </c>
      <c r="F188" s="965">
        <f t="shared" si="120"/>
        <v>-1.4705882352941124</v>
      </c>
      <c r="G188" s="966">
        <f t="shared" si="121"/>
        <v>-2.8985507246376829</v>
      </c>
      <c r="H188" s="861">
        <f t="shared" si="82"/>
        <v>1.1338359701492537</v>
      </c>
    </row>
    <row r="189" spans="1:8" ht="16.5" customHeight="1">
      <c r="A189" s="1014" t="s">
        <v>653</v>
      </c>
      <c r="B189" s="857">
        <f>geral!I1189</f>
        <v>670</v>
      </c>
      <c r="C189" s="857">
        <f t="shared" si="117"/>
        <v>135.3070662600723</v>
      </c>
      <c r="D189" s="961">
        <f t="shared" si="118"/>
        <v>0</v>
      </c>
      <c r="E189" s="961">
        <f t="shared" si="119"/>
        <v>-2.8985507246376829</v>
      </c>
      <c r="F189" s="965">
        <f t="shared" si="120"/>
        <v>-1.4705882352941124</v>
      </c>
      <c r="G189" s="966">
        <f t="shared" si="121"/>
        <v>-2.8985507246376829</v>
      </c>
      <c r="H189" s="861">
        <f t="shared" si="82"/>
        <v>1.1338359701492537</v>
      </c>
    </row>
    <row r="190" spans="1:8" ht="16.5" customHeight="1">
      <c r="A190" s="1014" t="s">
        <v>654</v>
      </c>
      <c r="B190" s="857">
        <f>geral!I1190</f>
        <v>670</v>
      </c>
      <c r="C190" s="857">
        <f t="shared" si="117"/>
        <v>135.3070662600723</v>
      </c>
      <c r="D190" s="961">
        <f t="shared" si="118"/>
        <v>0</v>
      </c>
      <c r="E190" s="961">
        <f t="shared" si="119"/>
        <v>-2.8985507246376829</v>
      </c>
      <c r="F190" s="965">
        <f t="shared" si="120"/>
        <v>-2.8985507246376829</v>
      </c>
      <c r="G190" s="966">
        <f t="shared" si="121"/>
        <v>-2.8985507246376829</v>
      </c>
      <c r="H190" s="861">
        <f t="shared" si="82"/>
        <v>1.1338359701492537</v>
      </c>
    </row>
    <row r="191" spans="1:8" ht="16.5" customHeight="1">
      <c r="A191" s="1014" t="s">
        <v>657</v>
      </c>
      <c r="B191" s="857">
        <f>geral!I1191</f>
        <v>670</v>
      </c>
      <c r="C191" s="857">
        <f t="shared" ref="C191:C196" si="122">100*B191/$B$8</f>
        <v>135.3070662600723</v>
      </c>
      <c r="D191" s="961">
        <f t="shared" ref="D191:D196" si="123">100*((B191/B190)-1)</f>
        <v>0</v>
      </c>
      <c r="E191" s="961">
        <f t="shared" ref="E191:E196" si="124">100*((B191/$B$184)-1)</f>
        <v>-2.8985507246376829</v>
      </c>
      <c r="F191" s="965">
        <f t="shared" ref="F191:F196" si="125">100*((B191/B179)-1)</f>
        <v>-2.8985507246376829</v>
      </c>
      <c r="G191" s="966">
        <f t="shared" ref="G191:G196" si="126">100*(B191/B167-1)</f>
        <v>-2.8985507246376829</v>
      </c>
      <c r="H191" s="861">
        <f t="shared" si="82"/>
        <v>1.1338359701492537</v>
      </c>
    </row>
    <row r="192" spans="1:8" ht="16.5" customHeight="1">
      <c r="A192" s="1032" t="str">
        <f>rodoartq!A261</f>
        <v>AGOSTO|15</v>
      </c>
      <c r="B192" s="918">
        <f>geral!I1192</f>
        <v>670</v>
      </c>
      <c r="C192" s="918">
        <f t="shared" si="122"/>
        <v>135.3070662600723</v>
      </c>
      <c r="D192" s="1036">
        <f t="shared" si="123"/>
        <v>0</v>
      </c>
      <c r="E192" s="1036">
        <f t="shared" si="124"/>
        <v>-2.8985507246376829</v>
      </c>
      <c r="F192" s="1037">
        <f t="shared" si="125"/>
        <v>-2.8985507246376829</v>
      </c>
      <c r="G192" s="1038">
        <f t="shared" si="126"/>
        <v>-2.8985507246376829</v>
      </c>
      <c r="H192" s="861">
        <f t="shared" si="82"/>
        <v>1.1338359701492537</v>
      </c>
    </row>
    <row r="193" spans="1:8" ht="16.5" customHeight="1">
      <c r="A193" s="1032" t="str">
        <f>rodoartq!A262</f>
        <v>SETEMBRO|15</v>
      </c>
      <c r="B193" s="918">
        <f>geral!I1193</f>
        <v>670</v>
      </c>
      <c r="C193" s="918">
        <f t="shared" si="122"/>
        <v>135.3070662600723</v>
      </c>
      <c r="D193" s="1036">
        <f t="shared" si="123"/>
        <v>0</v>
      </c>
      <c r="E193" s="1036">
        <f t="shared" si="124"/>
        <v>-2.8985507246376829</v>
      </c>
      <c r="F193" s="1037">
        <f t="shared" si="125"/>
        <v>-2.8985507246376829</v>
      </c>
      <c r="G193" s="1038">
        <f t="shared" si="126"/>
        <v>-2.8985507246376829</v>
      </c>
      <c r="H193" s="861">
        <f t="shared" si="82"/>
        <v>1.1338359701492537</v>
      </c>
    </row>
    <row r="194" spans="1:8" ht="16.5" customHeight="1">
      <c r="A194" s="1032" t="str">
        <f>rodoartq!A263</f>
        <v>OUTUBRO|15</v>
      </c>
      <c r="B194" s="918">
        <f>geral!I1194</f>
        <v>670</v>
      </c>
      <c r="C194" s="918">
        <f t="shared" si="122"/>
        <v>135.3070662600723</v>
      </c>
      <c r="D194" s="1036">
        <f t="shared" si="123"/>
        <v>0</v>
      </c>
      <c r="E194" s="1036">
        <f t="shared" si="124"/>
        <v>-2.8985507246376829</v>
      </c>
      <c r="F194" s="1037">
        <f t="shared" si="125"/>
        <v>-2.8985507246376829</v>
      </c>
      <c r="G194" s="1038">
        <f t="shared" si="126"/>
        <v>-2.8985507246376829</v>
      </c>
      <c r="H194" s="861">
        <f t="shared" si="82"/>
        <v>1.1338359701492537</v>
      </c>
    </row>
    <row r="195" spans="1:8" ht="16.5" customHeight="1">
      <c r="A195" s="1032" t="str">
        <f>rodoartq!A264</f>
        <v>NOVEMBRO|15</v>
      </c>
      <c r="B195" s="918">
        <f>geral!I1195</f>
        <v>670</v>
      </c>
      <c r="C195" s="918">
        <f t="shared" si="122"/>
        <v>135.3070662600723</v>
      </c>
      <c r="D195" s="1036">
        <f t="shared" si="123"/>
        <v>0</v>
      </c>
      <c r="E195" s="1036">
        <f t="shared" si="124"/>
        <v>-2.8985507246376829</v>
      </c>
      <c r="F195" s="1037">
        <f t="shared" si="125"/>
        <v>-2.8985507246376829</v>
      </c>
      <c r="G195" s="1038">
        <f t="shared" si="126"/>
        <v>-2.8985507246376829</v>
      </c>
      <c r="H195" s="861">
        <f t="shared" si="82"/>
        <v>1.1338359701492537</v>
      </c>
    </row>
    <row r="196" spans="1:8" ht="16.5" customHeight="1">
      <c r="A196" s="1032" t="str">
        <f>rodoartq!A265</f>
        <v>DEZEMBRO|15</v>
      </c>
      <c r="B196" s="918">
        <f>geral!I1196</f>
        <v>670</v>
      </c>
      <c r="C196" s="918">
        <f t="shared" si="122"/>
        <v>135.3070662600723</v>
      </c>
      <c r="D196" s="1036">
        <f t="shared" si="123"/>
        <v>0</v>
      </c>
      <c r="E196" s="1036">
        <f t="shared" si="124"/>
        <v>-2.8985507246376829</v>
      </c>
      <c r="F196" s="1037">
        <f t="shared" si="125"/>
        <v>-2.8985507246376829</v>
      </c>
      <c r="G196" s="1038">
        <f t="shared" si="126"/>
        <v>-2.8985507246376829</v>
      </c>
      <c r="H196" s="861">
        <f t="shared" si="82"/>
        <v>1.1338359701492537</v>
      </c>
    </row>
    <row r="197" spans="1:8" ht="16.5" customHeight="1">
      <c r="A197" s="1032" t="str">
        <f>rodoartq!A266</f>
        <v>JANEIRO|16</v>
      </c>
      <c r="B197" s="918">
        <f>geral!K1185</f>
        <v>670</v>
      </c>
      <c r="C197" s="918">
        <f t="shared" ref="C197" si="127">100*B197/$B$8</f>
        <v>135.3070662600723</v>
      </c>
      <c r="D197" s="1036">
        <f t="shared" ref="D197" si="128">100*((B197/B196)-1)</f>
        <v>0</v>
      </c>
      <c r="E197" s="1036">
        <f t="shared" ref="E197:E202" si="129">100*((B197/$B$196)-1)</f>
        <v>0</v>
      </c>
      <c r="F197" s="1037">
        <f t="shared" ref="F197" si="130">100*((B197/B185)-1)</f>
        <v>0</v>
      </c>
      <c r="G197" s="1038">
        <f t="shared" ref="G197" si="131">100*(B197/B173-1)</f>
        <v>-1.4705882352941124</v>
      </c>
      <c r="H197" s="861">
        <f t="shared" si="82"/>
        <v>1.1338359701492537</v>
      </c>
    </row>
    <row r="198" spans="1:8" ht="16.5" customHeight="1">
      <c r="A198" s="1032" t="str">
        <f>rodoartq!A267</f>
        <v>FEVEREIRO|16</v>
      </c>
      <c r="B198" s="918">
        <f>geral!K1186</f>
        <v>670</v>
      </c>
      <c r="C198" s="918">
        <f t="shared" ref="C198" si="132">100*B198/$B$8</f>
        <v>135.3070662600723</v>
      </c>
      <c r="D198" s="1036">
        <f t="shared" ref="D198" si="133">100*((B198/B197)-1)</f>
        <v>0</v>
      </c>
      <c r="E198" s="1036">
        <f t="shared" si="129"/>
        <v>0</v>
      </c>
      <c r="F198" s="1037">
        <f t="shared" ref="F198" si="134">100*((B198/B186)-1)</f>
        <v>0</v>
      </c>
      <c r="G198" s="1038">
        <f t="shared" ref="G198" si="135">100*(B198/B174-1)</f>
        <v>-1.4705882352941124</v>
      </c>
      <c r="H198" s="861">
        <f t="shared" si="82"/>
        <v>1.1338359701492537</v>
      </c>
    </row>
    <row r="199" spans="1:8" ht="16.5" customHeight="1">
      <c r="A199" s="1032" t="str">
        <f>rodoartq!A268</f>
        <v>MARÇO|16</v>
      </c>
      <c r="B199" s="918">
        <f>geral!K1187</f>
        <v>670</v>
      </c>
      <c r="C199" s="918">
        <f t="shared" ref="C199" si="136">100*B199/$B$8</f>
        <v>135.3070662600723</v>
      </c>
      <c r="D199" s="1036">
        <f t="shared" ref="D199" si="137">100*((B199/B198)-1)</f>
        <v>0</v>
      </c>
      <c r="E199" s="1036">
        <f t="shared" si="129"/>
        <v>0</v>
      </c>
      <c r="F199" s="1037">
        <f t="shared" ref="F199" si="138">100*((B199/B187)-1)</f>
        <v>0</v>
      </c>
      <c r="G199" s="1038">
        <f t="shared" ref="G199" si="139">100*(B199/B175-1)</f>
        <v>-1.4705882352941124</v>
      </c>
      <c r="H199" s="861">
        <f t="shared" si="82"/>
        <v>1.1338359701492537</v>
      </c>
    </row>
    <row r="200" spans="1:8" ht="16.5" customHeight="1">
      <c r="A200" s="1032" t="str">
        <f>rodoartq!A269</f>
        <v>ABRIL|16</v>
      </c>
      <c r="B200" s="918">
        <f>geral!K1188</f>
        <v>690</v>
      </c>
      <c r="C200" s="918">
        <f t="shared" ref="C200" si="140">100*B200/$B$8</f>
        <v>139.34608316335803</v>
      </c>
      <c r="D200" s="1036">
        <f t="shared" ref="D200" si="141">100*((B200/B199)-1)</f>
        <v>2.9850746268656803</v>
      </c>
      <c r="E200" s="1036">
        <f t="shared" si="129"/>
        <v>2.9850746268656803</v>
      </c>
      <c r="F200" s="1037">
        <f t="shared" ref="F200" si="142">100*((B200/B188)-1)</f>
        <v>2.9850746268656803</v>
      </c>
      <c r="G200" s="1038">
        <f t="shared" ref="G200" si="143">100*(B200/B176-1)</f>
        <v>1.4705882352941124</v>
      </c>
      <c r="H200" s="861">
        <f t="shared" si="82"/>
        <v>1.10097115942029</v>
      </c>
    </row>
    <row r="201" spans="1:8" ht="16.5" customHeight="1">
      <c r="A201" s="1032" t="str">
        <f>rodoartq!A270</f>
        <v>MAIO|16</v>
      </c>
      <c r="B201" s="918">
        <f>geral!K1189</f>
        <v>690</v>
      </c>
      <c r="C201" s="918">
        <f t="shared" ref="C201" si="144">100*B201/$B$8</f>
        <v>139.34608316335803</v>
      </c>
      <c r="D201" s="1036">
        <f t="shared" ref="D201" si="145">100*((B201/B200)-1)</f>
        <v>0</v>
      </c>
      <c r="E201" s="1036">
        <f t="shared" si="129"/>
        <v>2.9850746268656803</v>
      </c>
      <c r="F201" s="1037">
        <f t="shared" ref="F201" si="146">100*((B201/B189)-1)</f>
        <v>2.9850746268656803</v>
      </c>
      <c r="G201" s="1038">
        <f t="shared" ref="G201" si="147">100*(B201/B177-1)</f>
        <v>1.4705882352941124</v>
      </c>
      <c r="H201" s="861">
        <f t="shared" si="82"/>
        <v>1.10097115942029</v>
      </c>
    </row>
    <row r="202" spans="1:8" ht="16.5" customHeight="1">
      <c r="A202" s="1032" t="str">
        <f>rodoartq!A271</f>
        <v>JUNHO|16</v>
      </c>
      <c r="B202" s="918">
        <f>geral!K1190</f>
        <v>690</v>
      </c>
      <c r="C202" s="918">
        <f t="shared" ref="C202" si="148">100*B202/$B$8</f>
        <v>139.34608316335803</v>
      </c>
      <c r="D202" s="1036">
        <f t="shared" ref="D202" si="149">100*((B202/B201)-1)</f>
        <v>0</v>
      </c>
      <c r="E202" s="1036">
        <f t="shared" si="129"/>
        <v>2.9850746268656803</v>
      </c>
      <c r="F202" s="1037">
        <f t="shared" ref="F202" si="150">100*((B202/B190)-1)</f>
        <v>2.9850746268656803</v>
      </c>
      <c r="G202" s="1038">
        <f t="shared" ref="G202" si="151">100*(B202/B178-1)</f>
        <v>0</v>
      </c>
      <c r="H202" s="861">
        <f t="shared" si="82"/>
        <v>1.10097115942029</v>
      </c>
    </row>
    <row r="203" spans="1:8" ht="16.5" customHeight="1">
      <c r="A203" s="1032" t="str">
        <f>rodoartq!A272</f>
        <v>JULHO|16</v>
      </c>
      <c r="B203" s="918">
        <f>geral!K1191</f>
        <v>690</v>
      </c>
      <c r="C203" s="918">
        <f t="shared" ref="C203" si="152">100*B203/$B$8</f>
        <v>139.34608316335803</v>
      </c>
      <c r="D203" s="1036">
        <f t="shared" ref="D203" si="153">100*((B203/B202)-1)</f>
        <v>0</v>
      </c>
      <c r="E203" s="1036">
        <f t="shared" ref="E203" si="154">100*((B203/$B$196)-1)</f>
        <v>2.9850746268656803</v>
      </c>
      <c r="F203" s="1037">
        <f t="shared" ref="F203" si="155">100*((B203/B191)-1)</f>
        <v>2.9850746268656803</v>
      </c>
      <c r="G203" s="1038">
        <f t="shared" ref="G203" si="156">100*(B203/B179-1)</f>
        <v>0</v>
      </c>
      <c r="H203" s="861">
        <f t="shared" ref="H203:H253" si="157">$B$253/B203</f>
        <v>1.10097115942029</v>
      </c>
    </row>
    <row r="204" spans="1:8" ht="16.5" customHeight="1">
      <c r="A204" s="1032" t="str">
        <f>rodoartq!A273</f>
        <v>AGOSTO|16</v>
      </c>
      <c r="B204" s="918">
        <f>geral!K1192</f>
        <v>690</v>
      </c>
      <c r="C204" s="918">
        <f t="shared" ref="C204" si="158">100*B204/$B$8</f>
        <v>139.34608316335803</v>
      </c>
      <c r="D204" s="1036">
        <f t="shared" ref="D204" si="159">100*((B204/B203)-1)</f>
        <v>0</v>
      </c>
      <c r="E204" s="1036">
        <f t="shared" ref="E204" si="160">100*((B204/$B$196)-1)</f>
        <v>2.9850746268656803</v>
      </c>
      <c r="F204" s="1037">
        <f t="shared" ref="F204" si="161">100*((B204/B192)-1)</f>
        <v>2.9850746268656803</v>
      </c>
      <c r="G204" s="1038">
        <f t="shared" ref="G204" si="162">100*(B204/B180-1)</f>
        <v>0</v>
      </c>
      <c r="H204" s="861">
        <f t="shared" si="157"/>
        <v>1.10097115942029</v>
      </c>
    </row>
    <row r="205" spans="1:8" ht="16.5" customHeight="1">
      <c r="A205" s="1032" t="str">
        <f>rodoartq!A274</f>
        <v>SETEMBRO|16</v>
      </c>
      <c r="B205" s="918">
        <f>geral!K1193</f>
        <v>690</v>
      </c>
      <c r="C205" s="918">
        <f t="shared" ref="C205" si="163">100*B205/$B$8</f>
        <v>139.34608316335803</v>
      </c>
      <c r="D205" s="1036">
        <f t="shared" ref="D205" si="164">100*((B205/B204)-1)</f>
        <v>0</v>
      </c>
      <c r="E205" s="1036">
        <f t="shared" ref="E205" si="165">100*((B205/$B$196)-1)</f>
        <v>2.9850746268656803</v>
      </c>
      <c r="F205" s="1037">
        <f t="shared" ref="F205" si="166">100*((B205/B193)-1)</f>
        <v>2.9850746268656803</v>
      </c>
      <c r="G205" s="1038">
        <f t="shared" ref="G205" si="167">100*(B205/B181-1)</f>
        <v>0</v>
      </c>
      <c r="H205" s="861">
        <f t="shared" si="157"/>
        <v>1.10097115942029</v>
      </c>
    </row>
    <row r="206" spans="1:8" ht="16.5" customHeight="1">
      <c r="A206" s="1032" t="str">
        <f>rodoartq!A275</f>
        <v>OUTUBRO|16</v>
      </c>
      <c r="B206" s="918">
        <f>geral!K1194</f>
        <v>690</v>
      </c>
      <c r="C206" s="918">
        <f t="shared" ref="C206" si="168">100*B206/$B$8</f>
        <v>139.34608316335803</v>
      </c>
      <c r="D206" s="1036">
        <f t="shared" ref="D206" si="169">100*((B206/B205)-1)</f>
        <v>0</v>
      </c>
      <c r="E206" s="1036">
        <f t="shared" ref="E206" si="170">100*((B206/$B$196)-1)</f>
        <v>2.9850746268656803</v>
      </c>
      <c r="F206" s="1037">
        <f t="shared" ref="F206" si="171">100*((B206/B194)-1)</f>
        <v>2.9850746268656803</v>
      </c>
      <c r="G206" s="1038">
        <f t="shared" ref="G206" si="172">100*(B206/B182-1)</f>
        <v>0</v>
      </c>
      <c r="H206" s="861">
        <f t="shared" si="157"/>
        <v>1.10097115942029</v>
      </c>
    </row>
    <row r="207" spans="1:8" ht="16.5" customHeight="1">
      <c r="A207" s="1032" t="str">
        <f>rodoartq!A276</f>
        <v>NOVEMBRO|16</v>
      </c>
      <c r="B207" s="918">
        <f>geral!K1195</f>
        <v>690</v>
      </c>
      <c r="C207" s="918">
        <f t="shared" ref="C207" si="173">100*B207/$B$8</f>
        <v>139.34608316335803</v>
      </c>
      <c r="D207" s="1036">
        <f t="shared" ref="D207" si="174">100*((B207/B206)-1)</f>
        <v>0</v>
      </c>
      <c r="E207" s="1036">
        <f t="shared" ref="E207" si="175">100*((B207/$B$196)-1)</f>
        <v>2.9850746268656803</v>
      </c>
      <c r="F207" s="1037">
        <f t="shared" ref="F207" si="176">100*((B207/B195)-1)</f>
        <v>2.9850746268656803</v>
      </c>
      <c r="G207" s="1038">
        <f t="shared" ref="G207" si="177">100*(B207/B183-1)</f>
        <v>0</v>
      </c>
      <c r="H207" s="861">
        <f t="shared" si="157"/>
        <v>1.10097115942029</v>
      </c>
    </row>
    <row r="208" spans="1:8" ht="16.5" customHeight="1">
      <c r="A208" s="1032" t="str">
        <f>rodoartq!A277</f>
        <v>DEZEMBRO|16</v>
      </c>
      <c r="B208" s="918">
        <f>geral!K1196</f>
        <v>690</v>
      </c>
      <c r="C208" s="918">
        <f t="shared" ref="C208" si="178">100*B208/$B$8</f>
        <v>139.34608316335803</v>
      </c>
      <c r="D208" s="1036">
        <f t="shared" ref="D208" si="179">100*((B208/B207)-1)</f>
        <v>0</v>
      </c>
      <c r="E208" s="1036">
        <f t="shared" ref="E208" si="180">100*((B208/$B$196)-1)</f>
        <v>2.9850746268656803</v>
      </c>
      <c r="F208" s="1037">
        <f t="shared" ref="F208" si="181">100*((B208/B196)-1)</f>
        <v>2.9850746268656803</v>
      </c>
      <c r="G208" s="1038">
        <f t="shared" ref="G208" si="182">100*(B208/B184-1)</f>
        <v>0</v>
      </c>
      <c r="H208" s="861">
        <f t="shared" si="157"/>
        <v>1.10097115942029</v>
      </c>
    </row>
    <row r="209" spans="1:8" ht="16.5" customHeight="1">
      <c r="A209" s="1032" t="str">
        <f>rodoartq!A278</f>
        <v>JANEIRO|17</v>
      </c>
      <c r="B209" s="918">
        <f>geral!M1185</f>
        <v>690</v>
      </c>
      <c r="C209" s="918">
        <f t="shared" ref="C209" si="183">100*B209/$B$8</f>
        <v>139.34608316335803</v>
      </c>
      <c r="D209" s="1036">
        <f t="shared" ref="D209" si="184">100*((B209/B208)-1)</f>
        <v>0</v>
      </c>
      <c r="E209" s="1036">
        <f t="shared" ref="E209:E214" si="185">100*((B209/$B$208)-1)</f>
        <v>0</v>
      </c>
      <c r="F209" s="1037">
        <f t="shared" ref="F209" si="186">100*((B209/B197)-1)</f>
        <v>2.9850746268656803</v>
      </c>
      <c r="G209" s="1038">
        <f t="shared" ref="G209" si="187">100*(B209/B185-1)</f>
        <v>2.9850746268656803</v>
      </c>
      <c r="H209" s="861">
        <f t="shared" si="157"/>
        <v>1.10097115942029</v>
      </c>
    </row>
    <row r="210" spans="1:8" ht="16.5" customHeight="1">
      <c r="A210" s="1032" t="str">
        <f>rodoartq!A279</f>
        <v>FEVEREIRO|17</v>
      </c>
      <c r="B210" s="918">
        <f>geral!M1186</f>
        <v>690</v>
      </c>
      <c r="C210" s="918">
        <f t="shared" ref="C210" si="188">100*B210/$B$8</f>
        <v>139.34608316335803</v>
      </c>
      <c r="D210" s="1036">
        <f t="shared" ref="D210" si="189">100*((B210/B209)-1)</f>
        <v>0</v>
      </c>
      <c r="E210" s="1036">
        <f t="shared" si="185"/>
        <v>0</v>
      </c>
      <c r="F210" s="1037">
        <f t="shared" ref="F210" si="190">100*((B210/B198)-1)</f>
        <v>2.9850746268656803</v>
      </c>
      <c r="G210" s="1038">
        <f t="shared" ref="G210" si="191">100*(B210/B186-1)</f>
        <v>2.9850746268656803</v>
      </c>
      <c r="H210" s="861">
        <f t="shared" si="157"/>
        <v>1.10097115942029</v>
      </c>
    </row>
    <row r="211" spans="1:8" ht="16.5" customHeight="1">
      <c r="A211" s="1032" t="str">
        <f>rodoartq!A280</f>
        <v>MARÇO|17</v>
      </c>
      <c r="B211" s="918">
        <f>geral!M1187</f>
        <v>699.9</v>
      </c>
      <c r="C211" s="918">
        <f t="shared" ref="C211" si="192">100*B211/$B$8</f>
        <v>141.34539653048446</v>
      </c>
      <c r="D211" s="1036">
        <f t="shared" ref="D211" si="193">100*((B211/B210)-1)</f>
        <v>1.4347826086956506</v>
      </c>
      <c r="E211" s="1036">
        <f t="shared" si="185"/>
        <v>1.4347826086956506</v>
      </c>
      <c r="F211" s="1037">
        <f t="shared" ref="F211" si="194">100*((B211/B199)-1)</f>
        <v>4.4626865671641758</v>
      </c>
      <c r="G211" s="1038">
        <f t="shared" ref="G211" si="195">100*(B211/B187-1)</f>
        <v>4.4626865671641758</v>
      </c>
      <c r="H211" s="861">
        <f t="shared" si="157"/>
        <v>1.0853980568652666</v>
      </c>
    </row>
    <row r="212" spans="1:8" ht="16.5" customHeight="1">
      <c r="A212" s="1032" t="str">
        <f>rodoartq!A281</f>
        <v>ABRIL|17</v>
      </c>
      <c r="B212" s="918">
        <f>geral!M1188</f>
        <v>699.9</v>
      </c>
      <c r="C212" s="918">
        <f t="shared" ref="C212" si="196">100*B212/$B$8</f>
        <v>141.34539653048446</v>
      </c>
      <c r="D212" s="1036">
        <f t="shared" ref="D212" si="197">100*((B212/B211)-1)</f>
        <v>0</v>
      </c>
      <c r="E212" s="1036">
        <f t="shared" si="185"/>
        <v>1.4347826086956506</v>
      </c>
      <c r="F212" s="1037">
        <f t="shared" ref="F212" si="198">100*((B212/B200)-1)</f>
        <v>1.4347826086956506</v>
      </c>
      <c r="G212" s="1038">
        <f t="shared" ref="G212" si="199">100*(B212/B188-1)</f>
        <v>4.4626865671641758</v>
      </c>
      <c r="H212" s="861">
        <f t="shared" si="157"/>
        <v>1.0853980568652666</v>
      </c>
    </row>
    <row r="213" spans="1:8" ht="16.5" customHeight="1">
      <c r="A213" s="1032" t="str">
        <f>rodoartq!A282</f>
        <v>MAIO|17</v>
      </c>
      <c r="B213" s="918">
        <f>geral!M1189</f>
        <v>699.9</v>
      </c>
      <c r="C213" s="918">
        <f t="shared" ref="C213" si="200">100*B213/$B$8</f>
        <v>141.34539653048446</v>
      </c>
      <c r="D213" s="1036">
        <f t="shared" ref="D213" si="201">100*((B213/B212)-1)</f>
        <v>0</v>
      </c>
      <c r="E213" s="1036">
        <f t="shared" si="185"/>
        <v>1.4347826086956506</v>
      </c>
      <c r="F213" s="1037">
        <f t="shared" ref="F213" si="202">100*((B213/B201)-1)</f>
        <v>1.4347826086956506</v>
      </c>
      <c r="G213" s="1038">
        <f t="shared" ref="G213" si="203">100*(B213/B189-1)</f>
        <v>4.4626865671641758</v>
      </c>
      <c r="H213" s="861">
        <f t="shared" si="157"/>
        <v>1.0853980568652666</v>
      </c>
    </row>
    <row r="214" spans="1:8" ht="16.5" customHeight="1">
      <c r="A214" s="1032" t="str">
        <f>rodoartq!A283</f>
        <v>JUNHO|17</v>
      </c>
      <c r="B214" s="918">
        <f>geral!M1190</f>
        <v>699.9</v>
      </c>
      <c r="C214" s="918">
        <f t="shared" ref="C214" si="204">100*B214/$B$8</f>
        <v>141.34539653048446</v>
      </c>
      <c r="D214" s="1036">
        <f t="shared" ref="D214" si="205">100*((B214/B213)-1)</f>
        <v>0</v>
      </c>
      <c r="E214" s="1036">
        <f t="shared" si="185"/>
        <v>1.4347826086956506</v>
      </c>
      <c r="F214" s="1037">
        <f t="shared" ref="F214" si="206">100*((B214/B202)-1)</f>
        <v>1.4347826086956506</v>
      </c>
      <c r="G214" s="1038">
        <f t="shared" ref="G214" si="207">100*(B214/B190-1)</f>
        <v>4.4626865671641758</v>
      </c>
      <c r="H214" s="861">
        <f t="shared" si="157"/>
        <v>1.0853980568652666</v>
      </c>
    </row>
    <row r="215" spans="1:8" ht="16.5" customHeight="1">
      <c r="A215" s="1032" t="str">
        <f>rodoartq!A284</f>
        <v>JULHO|17</v>
      </c>
      <c r="B215" s="918">
        <f>geral!M1191</f>
        <v>699.9</v>
      </c>
      <c r="C215" s="918">
        <f t="shared" ref="C215" si="208">100*B215/$B$8</f>
        <v>141.34539653048446</v>
      </c>
      <c r="D215" s="1036">
        <f t="shared" ref="D215" si="209">100*((B215/B214)-1)</f>
        <v>0</v>
      </c>
      <c r="E215" s="1036">
        <f t="shared" ref="E215" si="210">100*((B215/$B$208)-1)</f>
        <v>1.4347826086956506</v>
      </c>
      <c r="F215" s="1037">
        <f t="shared" ref="F215" si="211">100*((B215/B203)-1)</f>
        <v>1.4347826086956506</v>
      </c>
      <c r="G215" s="1038">
        <f t="shared" ref="G215" si="212">100*(B215/B191-1)</f>
        <v>4.4626865671641758</v>
      </c>
      <c r="H215" s="861">
        <f t="shared" si="157"/>
        <v>1.0853980568652666</v>
      </c>
    </row>
    <row r="216" spans="1:8" ht="16.5" customHeight="1">
      <c r="A216" s="1032" t="str">
        <f>rodoartq!A285</f>
        <v>AGOSTO|17</v>
      </c>
      <c r="B216" s="918">
        <f>geral!M1192</f>
        <v>704.9</v>
      </c>
      <c r="C216" s="918">
        <f t="shared" ref="C216" si="213">100*B216/$B$8</f>
        <v>142.3551507563059</v>
      </c>
      <c r="D216" s="1036">
        <f t="shared" ref="D216" si="214">100*((B216/B215)-1)</f>
        <v>0.7143877696813794</v>
      </c>
      <c r="E216" s="1036">
        <f t="shared" ref="E216" si="215">100*((B216/$B$208)-1)</f>
        <v>2.1594202898550741</v>
      </c>
      <c r="F216" s="1037">
        <f t="shared" ref="F216" si="216">100*((B216/B204)-1)</f>
        <v>2.1594202898550741</v>
      </c>
      <c r="G216" s="1038">
        <f t="shared" ref="G216" si="217">100*(B216/B192-1)</f>
        <v>5.2089552238805847</v>
      </c>
      <c r="H216" s="861">
        <f t="shared" si="157"/>
        <v>1.0776991062562067</v>
      </c>
    </row>
    <row r="217" spans="1:8" ht="16.5" customHeight="1">
      <c r="A217" s="1032" t="str">
        <f>rodoartq!A286</f>
        <v>SETEMBRO|17</v>
      </c>
      <c r="B217" s="918">
        <f>geral!M1193</f>
        <v>704.9</v>
      </c>
      <c r="C217" s="918">
        <f t="shared" ref="C217" si="218">100*B217/$B$8</f>
        <v>142.3551507563059</v>
      </c>
      <c r="D217" s="1036">
        <f t="shared" ref="D217" si="219">100*((B217/B216)-1)</f>
        <v>0</v>
      </c>
      <c r="E217" s="1036">
        <f t="shared" ref="E217" si="220">100*((B217/$B$208)-1)</f>
        <v>2.1594202898550741</v>
      </c>
      <c r="F217" s="1037">
        <f t="shared" ref="F217" si="221">100*((B217/B205)-1)</f>
        <v>2.1594202898550741</v>
      </c>
      <c r="G217" s="1038">
        <f t="shared" ref="G217" si="222">100*(B217/B193-1)</f>
        <v>5.2089552238805847</v>
      </c>
      <c r="H217" s="861">
        <f t="shared" si="157"/>
        <v>1.0776991062562067</v>
      </c>
    </row>
    <row r="218" spans="1:8" ht="16.5" customHeight="1">
      <c r="A218" s="1032" t="str">
        <f>rodoartq!A287</f>
        <v>OUTUBRO|17</v>
      </c>
      <c r="B218" s="918">
        <f>geral!M1194</f>
        <v>704.9</v>
      </c>
      <c r="C218" s="918">
        <f t="shared" ref="C218" si="223">100*B218/$B$8</f>
        <v>142.3551507563059</v>
      </c>
      <c r="D218" s="1036">
        <f t="shared" ref="D218" si="224">100*((B218/B217)-1)</f>
        <v>0</v>
      </c>
      <c r="E218" s="1036">
        <f t="shared" ref="E218" si="225">100*((B218/$B$208)-1)</f>
        <v>2.1594202898550741</v>
      </c>
      <c r="F218" s="1037">
        <f t="shared" ref="F218" si="226">100*((B218/B206)-1)</f>
        <v>2.1594202898550741</v>
      </c>
      <c r="G218" s="1038">
        <f t="shared" ref="G218" si="227">100*(B218/B194-1)</f>
        <v>5.2089552238805847</v>
      </c>
      <c r="H218" s="861">
        <f t="shared" si="157"/>
        <v>1.0776991062562067</v>
      </c>
    </row>
    <row r="219" spans="1:8" ht="16.5" customHeight="1">
      <c r="A219" s="1032" t="str">
        <f>rodoartq!A288</f>
        <v>NOVEMBRO|17</v>
      </c>
      <c r="B219" s="918">
        <f>geral!M1195</f>
        <v>710.4</v>
      </c>
      <c r="C219" s="918">
        <f t="shared" ref="C219" si="228">100*B219/$B$8</f>
        <v>143.46588040470948</v>
      </c>
      <c r="D219" s="1036">
        <f t="shared" ref="D219" si="229">100*((B219/B218)-1)</f>
        <v>0.78025251808766516</v>
      </c>
      <c r="E219" s="1036">
        <f t="shared" ref="E219" si="230">100*((B219/$B$208)-1)</f>
        <v>2.9565217391304355</v>
      </c>
      <c r="F219" s="1037">
        <f t="shared" ref="F219" si="231">100*((B219/B207)-1)</f>
        <v>2.9565217391304355</v>
      </c>
      <c r="G219" s="1038">
        <f t="shared" ref="G219" si="232">100*(B219/B195-1)</f>
        <v>6.0298507462686501</v>
      </c>
      <c r="H219" s="861">
        <f t="shared" si="157"/>
        <v>1.0693554335585587</v>
      </c>
    </row>
    <row r="220" spans="1:8" ht="16.5" customHeight="1">
      <c r="A220" s="1032" t="str">
        <f>rodoartq!A289</f>
        <v>DEZEMBRO|17</v>
      </c>
      <c r="B220" s="918">
        <f>geral!M1196</f>
        <v>710.4</v>
      </c>
      <c r="C220" s="918">
        <f t="shared" ref="C220" si="233">100*B220/$B$8</f>
        <v>143.46588040470948</v>
      </c>
      <c r="D220" s="1036">
        <f t="shared" ref="D220" si="234">100*((B220/B219)-1)</f>
        <v>0</v>
      </c>
      <c r="E220" s="1036">
        <f t="shared" ref="E220" si="235">100*((B220/$B$208)-1)</f>
        <v>2.9565217391304355</v>
      </c>
      <c r="F220" s="1037">
        <f t="shared" ref="F220" si="236">100*((B220/B208)-1)</f>
        <v>2.9565217391304355</v>
      </c>
      <c r="G220" s="1038">
        <f t="shared" ref="G220" si="237">100*(B220/B196-1)</f>
        <v>6.0298507462686501</v>
      </c>
      <c r="H220" s="861">
        <f t="shared" si="157"/>
        <v>1.0693554335585587</v>
      </c>
    </row>
    <row r="221" spans="1:8" ht="16.5" customHeight="1">
      <c r="A221" s="1032" t="str">
        <f>rodoartq!A290</f>
        <v>JANEIRO|18</v>
      </c>
      <c r="B221" s="918">
        <f>geral!O1185</f>
        <v>710.4</v>
      </c>
      <c r="C221" s="918">
        <f t="shared" ref="C221" si="238">100*B221/$B$8</f>
        <v>143.46588040470948</v>
      </c>
      <c r="D221" s="1036">
        <f t="shared" ref="D221" si="239">100*((B221/B220)-1)</f>
        <v>0</v>
      </c>
      <c r="E221" s="1036">
        <f t="shared" ref="E221:E226" si="240">100*((B221/$B$220)-1)</f>
        <v>0</v>
      </c>
      <c r="F221" s="1037">
        <f t="shared" ref="F221" si="241">100*((B221/B209)-1)</f>
        <v>2.9565217391304355</v>
      </c>
      <c r="G221" s="1038">
        <f t="shared" ref="G221" si="242">100*(B221/B197-1)</f>
        <v>6.0298507462686501</v>
      </c>
      <c r="H221" s="861">
        <f t="shared" si="157"/>
        <v>1.0693554335585587</v>
      </c>
    </row>
    <row r="222" spans="1:8" ht="16.5" customHeight="1">
      <c r="A222" s="1032" t="str">
        <f>rodoartq!A291</f>
        <v>FEVEREIRO|18</v>
      </c>
      <c r="B222" s="918">
        <f>geral!O1186</f>
        <v>710.4</v>
      </c>
      <c r="C222" s="918">
        <f t="shared" ref="C222" si="243">100*B222/$B$8</f>
        <v>143.46588040470948</v>
      </c>
      <c r="D222" s="1036">
        <f t="shared" ref="D222" si="244">100*((B222/B221)-1)</f>
        <v>0</v>
      </c>
      <c r="E222" s="1036">
        <f t="shared" si="240"/>
        <v>0</v>
      </c>
      <c r="F222" s="1037">
        <f t="shared" ref="F222" si="245">100*((B222/B210)-1)</f>
        <v>2.9565217391304355</v>
      </c>
      <c r="G222" s="1038">
        <f t="shared" ref="G222" si="246">100*(B222/B198-1)</f>
        <v>6.0298507462686501</v>
      </c>
      <c r="H222" s="861">
        <f t="shared" si="157"/>
        <v>1.0693554335585587</v>
      </c>
    </row>
    <row r="223" spans="1:8" ht="16.5" customHeight="1">
      <c r="A223" s="1032" t="str">
        <f>rodoartq!A292</f>
        <v>MARÇO|18</v>
      </c>
      <c r="B223" s="918">
        <f>geral!O1187</f>
        <v>710.4</v>
      </c>
      <c r="C223" s="918">
        <f t="shared" ref="C223" si="247">100*B223/$B$8</f>
        <v>143.46588040470948</v>
      </c>
      <c r="D223" s="1036">
        <f t="shared" ref="D223" si="248">100*((B223/B222)-1)</f>
        <v>0</v>
      </c>
      <c r="E223" s="1036">
        <f t="shared" si="240"/>
        <v>0</v>
      </c>
      <c r="F223" s="1037">
        <f t="shared" ref="F223" si="249">100*((B223/B211)-1)</f>
        <v>1.5002143163308945</v>
      </c>
      <c r="G223" s="1038">
        <f t="shared" ref="G223" si="250">100*(B223/B199-1)</f>
        <v>6.0298507462686501</v>
      </c>
      <c r="H223" s="861">
        <f t="shared" si="157"/>
        <v>1.0693554335585587</v>
      </c>
    </row>
    <row r="224" spans="1:8" ht="16.5" customHeight="1">
      <c r="A224" s="1032" t="str">
        <f>rodoartq!A293</f>
        <v>ABRIL|18</v>
      </c>
      <c r="B224" s="918">
        <f>geral!O1188</f>
        <v>718.9</v>
      </c>
      <c r="C224" s="918">
        <f t="shared" ref="C224" si="251">100*B224/$B$8</f>
        <v>145.18246258860592</v>
      </c>
      <c r="D224" s="1036">
        <f t="shared" ref="D224" si="252">100*((B224/B223)-1)</f>
        <v>1.1965090090090058</v>
      </c>
      <c r="E224" s="1036">
        <f t="shared" si="240"/>
        <v>1.1965090090090058</v>
      </c>
      <c r="F224" s="1037">
        <f t="shared" ref="F224" si="253">100*((B224/B212)-1)</f>
        <v>2.7146735247892462</v>
      </c>
      <c r="G224" s="1038">
        <f t="shared" ref="G224" si="254">100*(B224/B200-1)</f>
        <v>4.1884057971014466</v>
      </c>
      <c r="H224" s="861">
        <f t="shared" si="157"/>
        <v>1.0567117818889973</v>
      </c>
    </row>
    <row r="225" spans="1:8" ht="16.5" customHeight="1">
      <c r="A225" s="1032" t="str">
        <f>rodoartq!A294</f>
        <v>MAIO|18</v>
      </c>
      <c r="B225" s="918">
        <f>geral!O1189</f>
        <v>718.9</v>
      </c>
      <c r="C225" s="918">
        <f t="shared" ref="C225" si="255">100*B225/$B$8</f>
        <v>145.18246258860592</v>
      </c>
      <c r="D225" s="1036">
        <f t="shared" ref="D225" si="256">100*((B225/B224)-1)</f>
        <v>0</v>
      </c>
      <c r="E225" s="1036">
        <f t="shared" si="240"/>
        <v>1.1965090090090058</v>
      </c>
      <c r="F225" s="1037">
        <f t="shared" ref="F225" si="257">100*((B225/B213)-1)</f>
        <v>2.7146735247892462</v>
      </c>
      <c r="G225" s="1038">
        <f t="shared" ref="G225" si="258">100*(B225/B201-1)</f>
        <v>4.1884057971014466</v>
      </c>
      <c r="H225" s="861">
        <f t="shared" si="157"/>
        <v>1.0567117818889973</v>
      </c>
    </row>
    <row r="226" spans="1:8" ht="16.5" customHeight="1">
      <c r="A226" s="1032" t="str">
        <f>rodoartq!A295</f>
        <v>JUNHO|18</v>
      </c>
      <c r="B226" s="918">
        <f>geral!O1190</f>
        <v>718.9</v>
      </c>
      <c r="C226" s="918">
        <f t="shared" ref="C226" si="259">100*B226/$B$8</f>
        <v>145.18246258860592</v>
      </c>
      <c r="D226" s="1036">
        <f t="shared" ref="D226" si="260">100*((B226/B225)-1)</f>
        <v>0</v>
      </c>
      <c r="E226" s="1036">
        <f t="shared" si="240"/>
        <v>1.1965090090090058</v>
      </c>
      <c r="F226" s="1037">
        <f t="shared" ref="F226" si="261">100*((B226/B214)-1)</f>
        <v>2.7146735247892462</v>
      </c>
      <c r="G226" s="1038">
        <f t="shared" ref="G226" si="262">100*(B226/B202-1)</f>
        <v>4.1884057971014466</v>
      </c>
      <c r="H226" s="861">
        <f t="shared" si="157"/>
        <v>1.0567117818889973</v>
      </c>
    </row>
    <row r="227" spans="1:8" ht="16.5" customHeight="1">
      <c r="A227" s="1032" t="str">
        <f>rodoartq!A296</f>
        <v>JULHO|18</v>
      </c>
      <c r="B227" s="918">
        <f>geral!O1191</f>
        <v>718.9</v>
      </c>
      <c r="C227" s="918">
        <f t="shared" ref="C227" si="263">100*B227/$B$8</f>
        <v>145.18246258860592</v>
      </c>
      <c r="D227" s="1036">
        <f t="shared" ref="D227" si="264">100*((B227/B226)-1)</f>
        <v>0</v>
      </c>
      <c r="E227" s="1036">
        <f t="shared" ref="E227" si="265">100*((B227/$B$220)-1)</f>
        <v>1.1965090090090058</v>
      </c>
      <c r="F227" s="1037">
        <f t="shared" ref="F227" si="266">100*((B227/B215)-1)</f>
        <v>2.7146735247892462</v>
      </c>
      <c r="G227" s="1038">
        <f t="shared" ref="G227" si="267">100*(B227/B203-1)</f>
        <v>4.1884057971014466</v>
      </c>
      <c r="H227" s="861">
        <f t="shared" si="157"/>
        <v>1.0567117818889973</v>
      </c>
    </row>
    <row r="228" spans="1:8" ht="16.5" customHeight="1">
      <c r="A228" s="1032" t="str">
        <f>rodoartq!A297</f>
        <v>AGOSTO|18</v>
      </c>
      <c r="B228" s="918">
        <f>geral!O1192</f>
        <v>718.9</v>
      </c>
      <c r="C228" s="918">
        <f t="shared" ref="C228" si="268">100*B228/$B$8</f>
        <v>145.18246258860592</v>
      </c>
      <c r="D228" s="1036">
        <f t="shared" ref="D228" si="269">100*((B228/B227)-1)</f>
        <v>0</v>
      </c>
      <c r="E228" s="1036">
        <f t="shared" ref="E228" si="270">100*((B228/$B$220)-1)</f>
        <v>1.1965090090090058</v>
      </c>
      <c r="F228" s="1037">
        <f t="shared" ref="F228" si="271">100*((B228/B216)-1)</f>
        <v>1.9860973187686204</v>
      </c>
      <c r="G228" s="1038">
        <f t="shared" ref="G228" si="272">100*(B228/B204-1)</f>
        <v>4.1884057971014466</v>
      </c>
      <c r="H228" s="861">
        <f t="shared" si="157"/>
        <v>1.0567117818889973</v>
      </c>
    </row>
    <row r="229" spans="1:8" ht="16.5" customHeight="1">
      <c r="A229" s="1032" t="str">
        <f>rodoartq!A298</f>
        <v>SETEMBRO|18</v>
      </c>
      <c r="B229" s="918">
        <f>geral!O1193</f>
        <v>718.9</v>
      </c>
      <c r="C229" s="918">
        <f t="shared" ref="C229" si="273">100*B229/$B$8</f>
        <v>145.18246258860592</v>
      </c>
      <c r="D229" s="1036">
        <f t="shared" ref="D229" si="274">100*((B229/B228)-1)</f>
        <v>0</v>
      </c>
      <c r="E229" s="1036">
        <f t="shared" ref="E229" si="275">100*((B229/$B$220)-1)</f>
        <v>1.1965090090090058</v>
      </c>
      <c r="F229" s="1037">
        <f t="shared" ref="F229" si="276">100*((B229/B217)-1)</f>
        <v>1.9860973187686204</v>
      </c>
      <c r="G229" s="1038">
        <f t="shared" ref="G229" si="277">100*(B229/B205-1)</f>
        <v>4.1884057971014466</v>
      </c>
      <c r="H229" s="861">
        <f t="shared" si="157"/>
        <v>1.0567117818889973</v>
      </c>
    </row>
    <row r="230" spans="1:8" ht="16.5" customHeight="1">
      <c r="A230" s="1032" t="str">
        <f>rodoartq!A299</f>
        <v>OUTUBRO|18</v>
      </c>
      <c r="B230" s="918">
        <f>geral!O1194</f>
        <v>718.9</v>
      </c>
      <c r="C230" s="918">
        <f t="shared" ref="C230" si="278">100*B230/$B$8</f>
        <v>145.18246258860592</v>
      </c>
      <c r="D230" s="1036">
        <f t="shared" ref="D230" si="279">100*((B230/B229)-1)</f>
        <v>0</v>
      </c>
      <c r="E230" s="1036">
        <f t="shared" ref="E230" si="280">100*((B230/$B$220)-1)</f>
        <v>1.1965090090090058</v>
      </c>
      <c r="F230" s="1037">
        <f t="shared" ref="F230" si="281">100*((B230/B218)-1)</f>
        <v>1.9860973187686204</v>
      </c>
      <c r="G230" s="1038">
        <f t="shared" ref="G230" si="282">100*(B230/B206-1)</f>
        <v>4.1884057971014466</v>
      </c>
      <c r="H230" s="861">
        <f t="shared" si="157"/>
        <v>1.0567117818889973</v>
      </c>
    </row>
    <row r="231" spans="1:8" ht="16.5" customHeight="1">
      <c r="A231" s="1032" t="str">
        <f>rodoartq!A300</f>
        <v>NOVEMBRO|18</v>
      </c>
      <c r="B231" s="918">
        <f>geral!O1195</f>
        <v>718.9</v>
      </c>
      <c r="C231" s="918">
        <f t="shared" ref="C231" si="283">100*B231/$B$8</f>
        <v>145.18246258860592</v>
      </c>
      <c r="D231" s="1036">
        <f t="shared" ref="D231" si="284">100*((B231/B230)-1)</f>
        <v>0</v>
      </c>
      <c r="E231" s="1036">
        <f t="shared" ref="E231" si="285">100*((B231/$B$220)-1)</f>
        <v>1.1965090090090058</v>
      </c>
      <c r="F231" s="1037">
        <f t="shared" ref="F231" si="286">100*((B231/B219)-1)</f>
        <v>1.1965090090090058</v>
      </c>
      <c r="G231" s="1038">
        <f t="shared" ref="G231" si="287">100*(B231/B207-1)</f>
        <v>4.1884057971014466</v>
      </c>
      <c r="H231" s="861">
        <f t="shared" si="157"/>
        <v>1.0567117818889973</v>
      </c>
    </row>
    <row r="232" spans="1:8" ht="16.5" customHeight="1">
      <c r="A232" s="1032" t="str">
        <f>rodoartq!A301</f>
        <v>DEZEMBRO|18</v>
      </c>
      <c r="B232" s="918">
        <f>geral!O1196</f>
        <v>718.9</v>
      </c>
      <c r="C232" s="918">
        <f t="shared" ref="C232" si="288">100*B232/$B$8</f>
        <v>145.18246258860592</v>
      </c>
      <c r="D232" s="1036">
        <f t="shared" ref="D232" si="289">100*((B232/B231)-1)</f>
        <v>0</v>
      </c>
      <c r="E232" s="1036">
        <f t="shared" ref="E232" si="290">100*((B232/$B$220)-1)</f>
        <v>1.1965090090090058</v>
      </c>
      <c r="F232" s="1037">
        <f t="shared" ref="F232" si="291">100*((B232/B220)-1)</f>
        <v>1.1965090090090058</v>
      </c>
      <c r="G232" s="1038">
        <f t="shared" ref="G232" si="292">100*(B232/B208-1)</f>
        <v>4.1884057971014466</v>
      </c>
      <c r="H232" s="861">
        <f t="shared" si="157"/>
        <v>1.0567117818889973</v>
      </c>
    </row>
    <row r="233" spans="1:8" ht="16.5" customHeight="1">
      <c r="A233" s="1032" t="str">
        <f>rodoartq!A302</f>
        <v>JANEIRO|19</v>
      </c>
      <c r="B233" s="918">
        <f>geral!Q1185</f>
        <v>718.9</v>
      </c>
      <c r="C233" s="918">
        <f t="shared" ref="C233" si="293">100*B233/$B$8</f>
        <v>145.18246258860592</v>
      </c>
      <c r="D233" s="1036">
        <f t="shared" ref="D233" si="294">100*((B233/B232)-1)</f>
        <v>0</v>
      </c>
      <c r="E233" s="1036">
        <f t="shared" ref="E233:E238" si="295">100*((B233/$B$232)-1)</f>
        <v>0</v>
      </c>
      <c r="F233" s="1037">
        <f t="shared" ref="F233" si="296">100*((B233/B221)-1)</f>
        <v>1.1965090090090058</v>
      </c>
      <c r="G233" s="1038">
        <f t="shared" ref="G233" si="297">100*(B233/B209-1)</f>
        <v>4.1884057971014466</v>
      </c>
      <c r="H233" s="861">
        <f t="shared" si="157"/>
        <v>1.0567117818889973</v>
      </c>
    </row>
    <row r="234" spans="1:8" ht="16.5" customHeight="1">
      <c r="A234" s="1032" t="str">
        <f>rodoartq!A303</f>
        <v>FEVEREIRO|19</v>
      </c>
      <c r="B234" s="918">
        <f>geral!Q1186</f>
        <v>729.4</v>
      </c>
      <c r="C234" s="918">
        <f t="shared" ref="C234" si="298">100*B234/$B$8</f>
        <v>147.30294646283093</v>
      </c>
      <c r="D234" s="1036">
        <f t="shared" ref="D234" si="299">100*((B234/B233)-1)</f>
        <v>1.4605647517039966</v>
      </c>
      <c r="E234" s="1036">
        <f t="shared" si="295"/>
        <v>1.4605647517039966</v>
      </c>
      <c r="F234" s="1037">
        <f t="shared" ref="F234" si="300">100*((B234/B222)-1)</f>
        <v>2.6745495495495542</v>
      </c>
      <c r="G234" s="1038">
        <f t="shared" ref="G234" si="301">100*(B234/B210-1)</f>
        <v>5.7101449275362315</v>
      </c>
      <c r="H234" s="861">
        <f t="shared" si="157"/>
        <v>1.0415000000000001</v>
      </c>
    </row>
    <row r="235" spans="1:8" ht="16.5" customHeight="1">
      <c r="A235" s="1032" t="str">
        <f>rodoartq!A304</f>
        <v>MARÇO|19</v>
      </c>
      <c r="B235" s="918">
        <f>geral!Q1187</f>
        <v>729.4</v>
      </c>
      <c r="C235" s="918">
        <f t="shared" ref="C235" si="302">100*B235/$B$8</f>
        <v>147.30294646283093</v>
      </c>
      <c r="D235" s="1036">
        <f t="shared" ref="D235" si="303">100*((B235/B234)-1)</f>
        <v>0</v>
      </c>
      <c r="E235" s="1036">
        <f t="shared" si="295"/>
        <v>1.4605647517039966</v>
      </c>
      <c r="F235" s="1037">
        <f t="shared" ref="F235" si="304">100*((B235/B223)-1)</f>
        <v>2.6745495495495542</v>
      </c>
      <c r="G235" s="1038">
        <f t="shared" ref="G235" si="305">100*(B235/B211-1)</f>
        <v>4.2148878411201629</v>
      </c>
      <c r="H235" s="861">
        <f t="shared" si="157"/>
        <v>1.0415000000000001</v>
      </c>
    </row>
    <row r="236" spans="1:8" ht="16.5" customHeight="1">
      <c r="A236" s="1032" t="str">
        <f>rodoartq!A305</f>
        <v>ABRIL|19</v>
      </c>
      <c r="B236" s="918">
        <f>geral!Q1188</f>
        <v>729.4</v>
      </c>
      <c r="C236" s="918">
        <f t="shared" ref="C236" si="306">100*B236/$B$8</f>
        <v>147.30294646283093</v>
      </c>
      <c r="D236" s="1036">
        <f t="shared" ref="D236" si="307">100*((B236/B235)-1)</f>
        <v>0</v>
      </c>
      <c r="E236" s="1036">
        <f t="shared" si="295"/>
        <v>1.4605647517039966</v>
      </c>
      <c r="F236" s="1037">
        <f t="shared" ref="F236" si="308">100*((B236/B224)-1)</f>
        <v>1.4605647517039966</v>
      </c>
      <c r="G236" s="1038">
        <f t="shared" ref="G236" si="309">100*(B236/B212-1)</f>
        <v>4.2148878411201629</v>
      </c>
      <c r="H236" s="861">
        <f t="shared" si="157"/>
        <v>1.0415000000000001</v>
      </c>
    </row>
    <row r="237" spans="1:8" ht="16.5" customHeight="1">
      <c r="A237" s="1032" t="str">
        <f>rodoartq!A306</f>
        <v>MAIO|19</v>
      </c>
      <c r="B237" s="918">
        <f>geral!Q1189</f>
        <v>729.4</v>
      </c>
      <c r="C237" s="918">
        <f t="shared" ref="C237" si="310">100*B237/$B$8</f>
        <v>147.30294646283093</v>
      </c>
      <c r="D237" s="1036">
        <f t="shared" ref="D237" si="311">100*((B237/B236)-1)</f>
        <v>0</v>
      </c>
      <c r="E237" s="1036">
        <f t="shared" si="295"/>
        <v>1.4605647517039966</v>
      </c>
      <c r="F237" s="1037">
        <f t="shared" ref="F237" si="312">100*((B237/B225)-1)</f>
        <v>1.4605647517039966</v>
      </c>
      <c r="G237" s="1038">
        <f t="shared" ref="G237" si="313">100*(B237/B213-1)</f>
        <v>4.2148878411201629</v>
      </c>
      <c r="H237" s="861">
        <f t="shared" si="157"/>
        <v>1.0415000000000001</v>
      </c>
    </row>
    <row r="238" spans="1:8" ht="16.5" customHeight="1">
      <c r="A238" s="1032" t="str">
        <f>rodoartq!A307</f>
        <v>JUNHO|19</v>
      </c>
      <c r="B238" s="918">
        <f>geral!Q1190</f>
        <v>729.4</v>
      </c>
      <c r="C238" s="918">
        <f t="shared" ref="C238" si="314">100*B238/$B$8</f>
        <v>147.30294646283093</v>
      </c>
      <c r="D238" s="1036">
        <f t="shared" ref="D238" si="315">100*((B238/B237)-1)</f>
        <v>0</v>
      </c>
      <c r="E238" s="1036">
        <f t="shared" si="295"/>
        <v>1.4605647517039966</v>
      </c>
      <c r="F238" s="1037">
        <f t="shared" ref="F238" si="316">100*((B238/B226)-1)</f>
        <v>1.4605647517039966</v>
      </c>
      <c r="G238" s="1038">
        <f t="shared" ref="G238" si="317">100*(B238/B214-1)</f>
        <v>4.2148878411201629</v>
      </c>
      <c r="H238" s="861">
        <f t="shared" si="157"/>
        <v>1.0415000000000001</v>
      </c>
    </row>
    <row r="239" spans="1:8" ht="16.5" customHeight="1">
      <c r="A239" s="1032" t="str">
        <f>rodoartq!A308</f>
        <v>JULHO|19</v>
      </c>
      <c r="B239" s="918">
        <f>geral!Q1191</f>
        <v>729.4</v>
      </c>
      <c r="C239" s="918">
        <f t="shared" ref="C239" si="318">100*B239/$B$8</f>
        <v>147.30294646283093</v>
      </c>
      <c r="D239" s="1036">
        <f t="shared" ref="D239" si="319">100*((B239/B238)-1)</f>
        <v>0</v>
      </c>
      <c r="E239" s="1036">
        <f t="shared" ref="E239" si="320">100*((B239/$B$232)-1)</f>
        <v>1.4605647517039966</v>
      </c>
      <c r="F239" s="1037">
        <f t="shared" ref="F239" si="321">100*((B239/B227)-1)</f>
        <v>1.4605647517039966</v>
      </c>
      <c r="G239" s="1038">
        <f t="shared" ref="G239" si="322">100*(B239/B215-1)</f>
        <v>4.2148878411201629</v>
      </c>
      <c r="H239" s="861">
        <f t="shared" si="157"/>
        <v>1.0415000000000001</v>
      </c>
    </row>
    <row r="240" spans="1:8" ht="16.5" customHeight="1">
      <c r="A240" s="1032" t="str">
        <f>rodoartq!A309</f>
        <v>AGOSTO|19</v>
      </c>
      <c r="B240" s="918">
        <f>geral!Q1192</f>
        <v>729.4</v>
      </c>
      <c r="C240" s="918">
        <f t="shared" ref="C240" si="323">100*B240/$B$8</f>
        <v>147.30294646283093</v>
      </c>
      <c r="D240" s="1036">
        <f t="shared" ref="D240" si="324">100*((B240/B239)-1)</f>
        <v>0</v>
      </c>
      <c r="E240" s="1036">
        <f t="shared" ref="E240" si="325">100*((B240/$B$232)-1)</f>
        <v>1.4605647517039966</v>
      </c>
      <c r="F240" s="1037">
        <f t="shared" ref="F240" si="326">100*((B240/B228)-1)</f>
        <v>1.4605647517039966</v>
      </c>
      <c r="G240" s="1038">
        <f t="shared" ref="G240" si="327">100*(B240/B216-1)</f>
        <v>3.4756703078450801</v>
      </c>
      <c r="H240" s="861">
        <f t="shared" si="157"/>
        <v>1.0415000000000001</v>
      </c>
    </row>
    <row r="241" spans="1:8" ht="16.5" customHeight="1">
      <c r="A241" s="1032" t="str">
        <f>rodoartq!A310</f>
        <v>SETEMBRO|19</v>
      </c>
      <c r="B241" s="918">
        <f>geral!Q1193</f>
        <v>729.4</v>
      </c>
      <c r="C241" s="918">
        <f t="shared" ref="C241" si="328">100*B241/$B$8</f>
        <v>147.30294646283093</v>
      </c>
      <c r="D241" s="1036">
        <f t="shared" ref="D241" si="329">100*((B241/B240)-1)</f>
        <v>0</v>
      </c>
      <c r="E241" s="1036">
        <f t="shared" ref="E241" si="330">100*((B241/$B$232)-1)</f>
        <v>1.4605647517039966</v>
      </c>
      <c r="F241" s="1037">
        <f t="shared" ref="F241" si="331">100*((B241/B229)-1)</f>
        <v>1.4605647517039966</v>
      </c>
      <c r="G241" s="1038">
        <f t="shared" ref="G241" si="332">100*(B241/B217-1)</f>
        <v>3.4756703078450801</v>
      </c>
      <c r="H241" s="861">
        <f t="shared" si="157"/>
        <v>1.0415000000000001</v>
      </c>
    </row>
    <row r="242" spans="1:8" ht="16.5" customHeight="1">
      <c r="A242" s="1032" t="str">
        <f>rodoartq!A311</f>
        <v>OUTUBRO|19</v>
      </c>
      <c r="B242" s="918">
        <f>geral!Q1194</f>
        <v>729.4</v>
      </c>
      <c r="C242" s="918">
        <f t="shared" ref="C242" si="333">100*B242/$B$8</f>
        <v>147.30294646283093</v>
      </c>
      <c r="D242" s="1036">
        <f t="shared" ref="D242" si="334">100*((B242/B241)-1)</f>
        <v>0</v>
      </c>
      <c r="E242" s="1036">
        <f t="shared" ref="E242" si="335">100*((B242/$B$232)-1)</f>
        <v>1.4605647517039966</v>
      </c>
      <c r="F242" s="1037">
        <f t="shared" ref="F242" si="336">100*((B242/B230)-1)</f>
        <v>1.4605647517039966</v>
      </c>
      <c r="G242" s="1038">
        <f t="shared" ref="G242" si="337">100*(B242/B218-1)</f>
        <v>3.4756703078450801</v>
      </c>
      <c r="H242" s="861">
        <f t="shared" si="157"/>
        <v>1.0415000000000001</v>
      </c>
    </row>
    <row r="243" spans="1:8" ht="16.5" customHeight="1">
      <c r="A243" s="1032" t="str">
        <f>rodoartq!A312</f>
        <v>NOVEMBRO|19</v>
      </c>
      <c r="B243" s="918">
        <f>geral!Q1195</f>
        <v>729.4</v>
      </c>
      <c r="C243" s="918">
        <f t="shared" ref="C243" si="338">100*B243/$B$8</f>
        <v>147.30294646283093</v>
      </c>
      <c r="D243" s="1036">
        <f t="shared" ref="D243" si="339">100*((B243/B242)-1)</f>
        <v>0</v>
      </c>
      <c r="E243" s="1036">
        <f t="shared" ref="E243" si="340">100*((B243/$B$232)-1)</f>
        <v>1.4605647517039966</v>
      </c>
      <c r="F243" s="1037">
        <f t="shared" ref="F243" si="341">100*((B243/B231)-1)</f>
        <v>1.4605647517039966</v>
      </c>
      <c r="G243" s="1038">
        <f t="shared" ref="G243" si="342">100*(B243/B219-1)</f>
        <v>2.6745495495495542</v>
      </c>
      <c r="H243" s="861">
        <f t="shared" si="157"/>
        <v>1.0415000000000001</v>
      </c>
    </row>
    <row r="244" spans="1:8" ht="16.5" customHeight="1">
      <c r="A244" s="1032" t="str">
        <f>rodoartq!A313</f>
        <v>DEZEMBRO|19</v>
      </c>
      <c r="B244" s="918">
        <f>geral!Q1196</f>
        <v>729.4</v>
      </c>
      <c r="C244" s="918">
        <f t="shared" ref="C244" si="343">100*B244/$B$8</f>
        <v>147.30294646283093</v>
      </c>
      <c r="D244" s="1036">
        <f t="shared" ref="D244" si="344">100*((B244/B243)-1)</f>
        <v>0</v>
      </c>
      <c r="E244" s="1036">
        <f t="shared" ref="E244" si="345">100*((B244/$B$232)-1)</f>
        <v>1.4605647517039966</v>
      </c>
      <c r="F244" s="1037">
        <f t="shared" ref="F244" si="346">100*((B244/B232)-1)</f>
        <v>1.4605647517039966</v>
      </c>
      <c r="G244" s="1038">
        <f t="shared" ref="G244" si="347">100*(B244/B220-1)</f>
        <v>2.6745495495495542</v>
      </c>
      <c r="H244" s="861">
        <f t="shared" si="157"/>
        <v>1.0415000000000001</v>
      </c>
    </row>
    <row r="245" spans="1:8" ht="16.5" customHeight="1">
      <c r="A245" s="1032" t="str">
        <f>rodoartq!A314</f>
        <v>JANEIRO|20</v>
      </c>
      <c r="B245" s="918">
        <f>geral!S1185</f>
        <v>729.4</v>
      </c>
      <c r="C245" s="918">
        <f t="shared" ref="C245" si="348">100*B245/$B$8</f>
        <v>147.30294646283093</v>
      </c>
      <c r="D245" s="1036">
        <f t="shared" ref="D245" si="349">100*((B245/B244)-1)</f>
        <v>0</v>
      </c>
      <c r="E245" s="1036">
        <f t="shared" ref="E245:E250" si="350">100*((B245/$B$244)-1)</f>
        <v>0</v>
      </c>
      <c r="F245" s="1037">
        <f t="shared" ref="F245" si="351">100*((B245/B233)-1)</f>
        <v>1.4605647517039966</v>
      </c>
      <c r="G245" s="1038">
        <f t="shared" ref="G245" si="352">100*(B245/B221-1)</f>
        <v>2.6745495495495542</v>
      </c>
      <c r="H245" s="861">
        <f t="shared" si="157"/>
        <v>1.0415000000000001</v>
      </c>
    </row>
    <row r="246" spans="1:8" ht="16.5" customHeight="1">
      <c r="A246" s="1032" t="str">
        <f>rodoartq!A315</f>
        <v>FEVEREIRO|20</v>
      </c>
      <c r="B246" s="918">
        <f>geral!S1186</f>
        <v>759.67010000000005</v>
      </c>
      <c r="C246" s="918">
        <f t="shared" ref="C246" si="353">100*B246/$B$8</f>
        <v>153.41601874103844</v>
      </c>
      <c r="D246" s="1036">
        <f t="shared" ref="D246" si="354">100*((B246/B245)-1)</f>
        <v>4.1500000000000092</v>
      </c>
      <c r="E246" s="1036">
        <f t="shared" si="350"/>
        <v>4.1500000000000092</v>
      </c>
      <c r="F246" s="1037">
        <f t="shared" ref="F246" si="355">100*((B246/B234)-1)</f>
        <v>4.1500000000000092</v>
      </c>
      <c r="G246" s="1038">
        <f t="shared" ref="G246" si="356">100*(B246/B222-1)</f>
        <v>6.9355433558558666</v>
      </c>
      <c r="H246" s="861">
        <f t="shared" si="157"/>
        <v>1</v>
      </c>
    </row>
    <row r="247" spans="1:8" ht="16.5" customHeight="1">
      <c r="A247" s="1032" t="str">
        <f>rodoartq!A316</f>
        <v>MARÇO|20</v>
      </c>
      <c r="B247" s="918">
        <f>geral!S1187</f>
        <v>759.67010000000005</v>
      </c>
      <c r="C247" s="918">
        <f t="shared" ref="C247" si="357">100*B247/$B$8</f>
        <v>153.41601874103844</v>
      </c>
      <c r="D247" s="1036">
        <f t="shared" ref="D247" si="358">100*((B247/B246)-1)</f>
        <v>0</v>
      </c>
      <c r="E247" s="1036">
        <f t="shared" si="350"/>
        <v>4.1500000000000092</v>
      </c>
      <c r="F247" s="1037">
        <f t="shared" ref="F247" si="359">100*((B247/B235)-1)</f>
        <v>4.1500000000000092</v>
      </c>
      <c r="G247" s="1038">
        <f t="shared" ref="G247" si="360">100*(B247/B223-1)</f>
        <v>6.9355433558558666</v>
      </c>
      <c r="H247" s="861">
        <f t="shared" si="157"/>
        <v>1</v>
      </c>
    </row>
    <row r="248" spans="1:8" ht="16.5" customHeight="1">
      <c r="A248" s="1032" t="str">
        <f>rodoartq!A317</f>
        <v>ABRIL|20</v>
      </c>
      <c r="B248" s="918">
        <f>geral!S1188</f>
        <v>759.67010000000005</v>
      </c>
      <c r="C248" s="918">
        <f t="shared" ref="C248" si="361">100*B248/$B$8</f>
        <v>153.41601874103844</v>
      </c>
      <c r="D248" s="1036">
        <f t="shared" ref="D248" si="362">100*((B248/B247)-1)</f>
        <v>0</v>
      </c>
      <c r="E248" s="1036">
        <f t="shared" si="350"/>
        <v>4.1500000000000092</v>
      </c>
      <c r="F248" s="1037">
        <f t="shared" ref="F248" si="363">100*((B248/B236)-1)</f>
        <v>4.1500000000000092</v>
      </c>
      <c r="G248" s="1038">
        <f t="shared" ref="G248" si="364">100*(B248/B224-1)</f>
        <v>5.6711781888997281</v>
      </c>
      <c r="H248" s="861">
        <f t="shared" si="157"/>
        <v>1</v>
      </c>
    </row>
    <row r="249" spans="1:8" ht="16.5" customHeight="1">
      <c r="A249" s="1032" t="str">
        <f>rodoartq!A318</f>
        <v>MAIO|20</v>
      </c>
      <c r="B249" s="918">
        <f>geral!S1189</f>
        <v>759.67010000000005</v>
      </c>
      <c r="C249" s="918">
        <f t="shared" ref="C249" si="365">100*B249/$B$8</f>
        <v>153.41601874103844</v>
      </c>
      <c r="D249" s="1036">
        <f t="shared" ref="D249" si="366">100*((B249/B248)-1)</f>
        <v>0</v>
      </c>
      <c r="E249" s="1036">
        <f t="shared" si="350"/>
        <v>4.1500000000000092</v>
      </c>
      <c r="F249" s="1037">
        <f t="shared" ref="F249" si="367">100*((B249/B237)-1)</f>
        <v>4.1500000000000092</v>
      </c>
      <c r="G249" s="1038">
        <f t="shared" ref="G249" si="368">100*(B249/B225-1)</f>
        <v>5.6711781888997281</v>
      </c>
      <c r="H249" s="861">
        <f t="shared" si="157"/>
        <v>1</v>
      </c>
    </row>
    <row r="250" spans="1:8" ht="16.5" customHeight="1">
      <c r="A250" s="1032" t="str">
        <f>rodoartq!A319</f>
        <v>JUNHO|20</v>
      </c>
      <c r="B250" s="918">
        <f>geral!S1190</f>
        <v>759.67010000000005</v>
      </c>
      <c r="C250" s="918">
        <f t="shared" ref="C250" si="369">100*B250/$B$8</f>
        <v>153.41601874103844</v>
      </c>
      <c r="D250" s="1036">
        <f t="shared" ref="D250" si="370">100*((B250/B249)-1)</f>
        <v>0</v>
      </c>
      <c r="E250" s="1036">
        <f t="shared" si="350"/>
        <v>4.1500000000000092</v>
      </c>
      <c r="F250" s="1037">
        <f t="shared" ref="F250" si="371">100*((B250/B238)-1)</f>
        <v>4.1500000000000092</v>
      </c>
      <c r="G250" s="1038">
        <f t="shared" ref="G250" si="372">100*(B250/B226-1)</f>
        <v>5.6711781888997281</v>
      </c>
      <c r="H250" s="861">
        <f t="shared" si="157"/>
        <v>1</v>
      </c>
    </row>
    <row r="251" spans="1:8" ht="16.5" customHeight="1">
      <c r="A251" s="1032" t="str">
        <f>rodoartq!A320</f>
        <v>JULHO|20</v>
      </c>
      <c r="B251" s="918">
        <f>geral!S1191</f>
        <v>759.67010000000005</v>
      </c>
      <c r="C251" s="918">
        <f t="shared" ref="C251" si="373">100*B251/$B$8</f>
        <v>153.41601874103844</v>
      </c>
      <c r="D251" s="1036">
        <f>100*((B251/B250)-1)</f>
        <v>0</v>
      </c>
      <c r="E251" s="1036">
        <f t="shared" ref="E251" si="374">100*((B251/$B$244)-1)</f>
        <v>4.1500000000000092</v>
      </c>
      <c r="F251" s="1037">
        <f>100*((B251/B239)-1)</f>
        <v>4.1500000000000092</v>
      </c>
      <c r="G251" s="1038">
        <f>100*(B251/B227-1)</f>
        <v>5.6711781888997281</v>
      </c>
      <c r="H251" s="861">
        <f t="shared" si="157"/>
        <v>1</v>
      </c>
    </row>
    <row r="252" spans="1:8" ht="16.5" customHeight="1">
      <c r="A252" s="1032" t="str">
        <f>rodoartq!A321</f>
        <v>AGOSTO|20</v>
      </c>
      <c r="B252" s="918">
        <f>geral!S1192</f>
        <v>759.67010000000005</v>
      </c>
      <c r="C252" s="918">
        <f t="shared" ref="C252" si="375">100*B252/$B$8</f>
        <v>153.41601874103844</v>
      </c>
      <c r="D252" s="1036">
        <f>100*((B252/B251)-1)</f>
        <v>0</v>
      </c>
      <c r="E252" s="1036">
        <f t="shared" ref="E252" si="376">100*((B252/$B$244)-1)</f>
        <v>4.1500000000000092</v>
      </c>
      <c r="F252" s="1037">
        <f>100*((B252/B240)-1)</f>
        <v>4.1500000000000092</v>
      </c>
      <c r="G252" s="1038">
        <f>100*(B252/B228-1)</f>
        <v>5.6711781888997281</v>
      </c>
      <c r="H252" s="926">
        <f t="shared" si="157"/>
        <v>1</v>
      </c>
    </row>
    <row r="253" spans="1:8" ht="16.5" customHeight="1" thickBot="1">
      <c r="A253" s="1046" t="str">
        <f>rodoartq!A322</f>
        <v>SETEMBRO|20</v>
      </c>
      <c r="B253" s="1047">
        <f>geral!S1193</f>
        <v>759.67010000000005</v>
      </c>
      <c r="C253" s="1047">
        <f t="shared" ref="C253" si="377">100*B253/$B$8</f>
        <v>153.41601874103844</v>
      </c>
      <c r="D253" s="1048">
        <f>100*((B253/B252)-1)</f>
        <v>0</v>
      </c>
      <c r="E253" s="1048">
        <f t="shared" ref="E253" si="378">100*((B253/$B$244)-1)</f>
        <v>4.1500000000000092</v>
      </c>
      <c r="F253" s="1051">
        <f>100*((B253/B241)-1)</f>
        <v>4.1500000000000092</v>
      </c>
      <c r="G253" s="1052">
        <f>100*(B253/B229-1)</f>
        <v>5.6711781888997281</v>
      </c>
      <c r="H253" s="1053">
        <f t="shared" si="157"/>
        <v>1</v>
      </c>
    </row>
    <row r="254" spans="1:8">
      <c r="A254" s="758" t="s">
        <v>238</v>
      </c>
      <c r="B254" s="728"/>
      <c r="C254" s="728"/>
      <c r="D254" s="762"/>
      <c r="E254" s="762"/>
      <c r="F254" s="776"/>
      <c r="G254" s="763"/>
      <c r="H254" s="777"/>
    </row>
    <row r="255" spans="1:8">
      <c r="B255" s="728"/>
      <c r="C255" s="728"/>
      <c r="D255" s="762"/>
      <c r="E255" s="762"/>
      <c r="F255" s="776"/>
      <c r="G255" s="763"/>
      <c r="H255" s="777"/>
    </row>
    <row r="256" spans="1:8">
      <c r="A256" s="733"/>
      <c r="B256" s="728"/>
      <c r="C256" s="728"/>
      <c r="D256" s="762"/>
      <c r="E256" s="762"/>
      <c r="F256" s="776"/>
      <c r="G256" s="763"/>
      <c r="H256" s="777"/>
    </row>
    <row r="257" spans="1:8">
      <c r="A257" s="733"/>
      <c r="B257" s="728"/>
      <c r="C257" s="728"/>
      <c r="D257" s="762"/>
      <c r="E257" s="762"/>
      <c r="F257" s="776"/>
      <c r="G257" s="763"/>
      <c r="H257" s="777"/>
    </row>
    <row r="258" spans="1:8">
      <c r="A258" s="733"/>
      <c r="B258" s="728"/>
      <c r="C258" s="728"/>
      <c r="D258" s="762"/>
      <c r="E258" s="762"/>
      <c r="F258" s="776"/>
      <c r="G258" s="763"/>
      <c r="H258" s="777"/>
    </row>
    <row r="259" spans="1:8">
      <c r="A259" s="733"/>
      <c r="B259" s="728"/>
      <c r="C259" s="728"/>
      <c r="D259" s="762"/>
      <c r="E259" s="762"/>
      <c r="F259" s="776"/>
      <c r="G259" s="763"/>
      <c r="H259" s="777"/>
    </row>
    <row r="260" spans="1:8">
      <c r="A260" s="733"/>
      <c r="B260" s="728"/>
      <c r="C260" s="728"/>
      <c r="D260" s="762"/>
      <c r="E260" s="762"/>
      <c r="F260" s="776"/>
      <c r="G260" s="763"/>
      <c r="H260" s="777"/>
    </row>
    <row r="261" spans="1:8">
      <c r="A261" s="733"/>
      <c r="B261" s="728"/>
      <c r="C261" s="728"/>
      <c r="D261" s="762"/>
      <c r="E261" s="762"/>
      <c r="F261" s="776"/>
      <c r="G261" s="763"/>
      <c r="H261" s="777"/>
    </row>
    <row r="262" spans="1:8">
      <c r="A262" s="733"/>
      <c r="B262" s="728"/>
      <c r="C262" s="728"/>
      <c r="D262" s="762"/>
      <c r="E262" s="762"/>
      <c r="F262" s="776"/>
      <c r="G262" s="763"/>
      <c r="H262" s="777"/>
    </row>
    <row r="263" spans="1:8">
      <c r="A263" s="733"/>
      <c r="B263" s="728"/>
      <c r="C263" s="728"/>
      <c r="D263" s="762"/>
      <c r="E263" s="762"/>
      <c r="F263" s="776"/>
      <c r="G263" s="763"/>
      <c r="H263" s="777"/>
    </row>
    <row r="264" spans="1:8">
      <c r="A264" s="733"/>
      <c r="B264" s="728"/>
      <c r="C264" s="728"/>
      <c r="D264" s="762"/>
      <c r="E264" s="762"/>
      <c r="F264" s="776"/>
      <c r="G264" s="763"/>
      <c r="H264" s="777"/>
    </row>
    <row r="265" spans="1:8">
      <c r="A265" s="733"/>
      <c r="B265" s="728"/>
      <c r="C265" s="728"/>
      <c r="D265" s="762"/>
      <c r="E265" s="762"/>
      <c r="F265" s="776"/>
      <c r="G265" s="763"/>
      <c r="H265" s="777"/>
    </row>
    <row r="266" spans="1:8">
      <c r="A266" s="733"/>
      <c r="B266" s="728"/>
      <c r="C266" s="728"/>
      <c r="D266" s="762"/>
      <c r="E266" s="762"/>
      <c r="F266" s="776"/>
      <c r="G266" s="763"/>
      <c r="H266" s="777"/>
    </row>
    <row r="267" spans="1:8">
      <c r="A267" s="733"/>
      <c r="B267" s="728"/>
      <c r="C267" s="728"/>
      <c r="D267" s="762"/>
      <c r="E267" s="762"/>
      <c r="F267" s="776"/>
      <c r="G267" s="763"/>
      <c r="H267" s="777"/>
    </row>
    <row r="268" spans="1:8">
      <c r="A268" s="733"/>
      <c r="B268" s="728"/>
      <c r="C268" s="728"/>
      <c r="D268" s="762"/>
      <c r="E268" s="762"/>
      <c r="F268" s="776"/>
      <c r="G268" s="763"/>
      <c r="H268" s="777"/>
    </row>
    <row r="269" spans="1:8">
      <c r="A269" s="733"/>
      <c r="B269" s="728"/>
      <c r="C269" s="728"/>
      <c r="D269" s="762"/>
      <c r="E269" s="762"/>
      <c r="F269" s="776"/>
      <c r="G269" s="763"/>
      <c r="H269" s="777"/>
    </row>
    <row r="270" spans="1:8">
      <c r="A270" s="733"/>
      <c r="B270" s="728"/>
      <c r="C270" s="728"/>
      <c r="D270" s="762"/>
      <c r="E270" s="762"/>
      <c r="F270" s="776"/>
      <c r="G270" s="763"/>
      <c r="H270" s="777"/>
    </row>
    <row r="271" spans="1:8">
      <c r="A271" s="733"/>
      <c r="B271" s="728"/>
      <c r="C271" s="728"/>
      <c r="D271" s="762"/>
      <c r="E271" s="762"/>
      <c r="F271" s="776"/>
      <c r="G271" s="763"/>
      <c r="H271" s="777"/>
    </row>
    <row r="272" spans="1:8">
      <c r="A272" s="733"/>
      <c r="B272" s="728"/>
      <c r="C272" s="728"/>
      <c r="D272" s="762"/>
      <c r="E272" s="762"/>
      <c r="F272" s="776"/>
      <c r="G272" s="763"/>
      <c r="H272" s="777"/>
    </row>
    <row r="273" spans="1:8">
      <c r="A273" s="733"/>
      <c r="B273" s="728"/>
      <c r="C273" s="728"/>
      <c r="D273" s="762"/>
      <c r="E273" s="762"/>
      <c r="F273" s="776"/>
      <c r="G273" s="763"/>
      <c r="H273" s="777"/>
    </row>
    <row r="274" spans="1:8">
      <c r="A274" s="733"/>
      <c r="B274" s="728"/>
      <c r="C274" s="728"/>
      <c r="D274" s="762"/>
      <c r="E274" s="762"/>
      <c r="F274" s="776"/>
      <c r="G274" s="763"/>
      <c r="H274" s="777"/>
    </row>
    <row r="275" spans="1:8">
      <c r="A275" s="733"/>
      <c r="B275" s="728"/>
      <c r="C275" s="728"/>
      <c r="D275" s="762"/>
      <c r="E275" s="762"/>
      <c r="F275" s="776"/>
      <c r="G275" s="763"/>
      <c r="H275" s="777"/>
    </row>
    <row r="276" spans="1:8">
      <c r="A276" s="733"/>
      <c r="B276" s="728"/>
      <c r="C276" s="728"/>
      <c r="D276" s="762"/>
      <c r="E276" s="762"/>
      <c r="F276" s="776"/>
      <c r="G276" s="763"/>
      <c r="H276" s="777"/>
    </row>
    <row r="277" spans="1:8">
      <c r="A277" s="733"/>
      <c r="B277" s="728"/>
      <c r="C277" s="728"/>
      <c r="D277" s="762"/>
      <c r="E277" s="762"/>
      <c r="F277" s="776"/>
      <c r="G277" s="763"/>
      <c r="H277" s="777"/>
    </row>
    <row r="278" spans="1:8">
      <c r="A278" s="733"/>
      <c r="B278" s="728"/>
      <c r="C278" s="728"/>
      <c r="D278" s="762"/>
      <c r="E278" s="762"/>
      <c r="F278" s="776"/>
      <c r="G278" s="763"/>
      <c r="H278" s="777"/>
    </row>
    <row r="279" spans="1:8">
      <c r="A279" s="733"/>
      <c r="B279" s="728"/>
      <c r="C279" s="728"/>
      <c r="D279" s="762"/>
      <c r="E279" s="762"/>
      <c r="F279" s="776"/>
      <c r="G279" s="763"/>
      <c r="H279" s="777"/>
    </row>
    <row r="280" spans="1:8">
      <c r="A280" s="733"/>
      <c r="B280" s="728"/>
      <c r="C280" s="728"/>
      <c r="D280" s="762"/>
      <c r="E280" s="762"/>
      <c r="F280" s="776"/>
      <c r="G280" s="763"/>
      <c r="H280" s="777"/>
    </row>
    <row r="281" spans="1:8">
      <c r="A281" s="733"/>
      <c r="B281" s="728"/>
      <c r="C281" s="728"/>
      <c r="D281" s="762"/>
      <c r="E281" s="762"/>
      <c r="F281" s="776"/>
      <c r="G281" s="763"/>
      <c r="H281" s="777"/>
    </row>
    <row r="282" spans="1:8">
      <c r="A282" s="733"/>
      <c r="B282" s="728"/>
      <c r="C282" s="728"/>
      <c r="D282" s="762"/>
      <c r="E282" s="762"/>
      <c r="F282" s="776"/>
      <c r="G282" s="763"/>
      <c r="H282" s="777"/>
    </row>
    <row r="283" spans="1:8">
      <c r="A283" s="733"/>
      <c r="B283" s="728"/>
      <c r="C283" s="728"/>
      <c r="D283" s="762"/>
      <c r="E283" s="762"/>
      <c r="F283" s="776"/>
      <c r="G283" s="763"/>
      <c r="H283" s="777"/>
    </row>
    <row r="284" spans="1:8">
      <c r="A284" s="733"/>
      <c r="B284" s="728"/>
      <c r="C284" s="728"/>
      <c r="D284" s="762"/>
      <c r="E284" s="762"/>
      <c r="F284" s="776"/>
      <c r="G284" s="763"/>
      <c r="H284" s="777"/>
    </row>
    <row r="285" spans="1:8">
      <c r="A285" s="733"/>
      <c r="B285" s="728"/>
      <c r="C285" s="728"/>
      <c r="D285" s="762"/>
      <c r="E285" s="762"/>
      <c r="F285" s="776"/>
      <c r="G285" s="763"/>
      <c r="H285" s="777"/>
    </row>
    <row r="286" spans="1:8">
      <c r="A286" s="733"/>
      <c r="B286" s="728"/>
      <c r="C286" s="728"/>
      <c r="D286" s="762"/>
      <c r="E286" s="762"/>
      <c r="F286" s="776"/>
      <c r="G286" s="763"/>
      <c r="H286" s="777"/>
    </row>
    <row r="287" spans="1:8">
      <c r="A287" s="733"/>
      <c r="B287" s="728"/>
      <c r="C287" s="728"/>
      <c r="D287" s="762"/>
      <c r="E287" s="762"/>
      <c r="F287" s="776"/>
      <c r="G287" s="763"/>
      <c r="H287" s="777"/>
    </row>
    <row r="288" spans="1:8">
      <c r="A288" s="733"/>
      <c r="B288" s="728"/>
      <c r="C288" s="728"/>
      <c r="D288" s="762"/>
      <c r="E288" s="762"/>
      <c r="F288" s="776"/>
      <c r="G288" s="763"/>
      <c r="H288" s="777"/>
    </row>
    <row r="289" spans="1:8">
      <c r="A289" s="733"/>
      <c r="B289" s="728"/>
      <c r="C289" s="728"/>
      <c r="D289" s="762"/>
      <c r="E289" s="762"/>
      <c r="F289" s="776"/>
      <c r="G289" s="763"/>
      <c r="H289" s="777"/>
    </row>
    <row r="290" spans="1:8">
      <c r="A290" s="733"/>
      <c r="B290" s="728"/>
      <c r="C290" s="728"/>
      <c r="D290" s="762"/>
      <c r="E290" s="762"/>
      <c r="F290" s="776"/>
      <c r="G290" s="763"/>
      <c r="H290" s="777"/>
    </row>
    <row r="291" spans="1:8">
      <c r="A291" s="733"/>
      <c r="B291" s="728"/>
      <c r="C291" s="728"/>
      <c r="D291" s="762"/>
      <c r="E291" s="762"/>
      <c r="F291" s="776"/>
      <c r="G291" s="763"/>
      <c r="H291" s="777"/>
    </row>
    <row r="292" spans="1:8">
      <c r="A292" s="733"/>
      <c r="B292" s="728"/>
      <c r="C292" s="728"/>
      <c r="D292" s="762"/>
      <c r="E292" s="762"/>
      <c r="F292" s="776"/>
      <c r="G292" s="763"/>
      <c r="H292" s="777"/>
    </row>
    <row r="293" spans="1:8">
      <c r="A293" s="733"/>
      <c r="B293" s="728"/>
      <c r="C293" s="728"/>
      <c r="D293" s="762"/>
      <c r="E293" s="762"/>
      <c r="F293" s="776"/>
      <c r="G293" s="763"/>
      <c r="H293" s="777"/>
    </row>
    <row r="294" spans="1:8">
      <c r="A294" s="733"/>
      <c r="B294" s="728"/>
      <c r="C294" s="728"/>
      <c r="D294" s="762"/>
      <c r="E294" s="762"/>
      <c r="F294" s="776"/>
      <c r="G294" s="763"/>
      <c r="H294" s="777"/>
    </row>
    <row r="295" spans="1:8">
      <c r="A295" s="733"/>
      <c r="B295" s="728"/>
      <c r="C295" s="728"/>
      <c r="D295" s="762"/>
      <c r="E295" s="762"/>
      <c r="F295" s="776"/>
      <c r="G295" s="763"/>
      <c r="H295" s="777"/>
    </row>
    <row r="296" spans="1:8">
      <c r="A296" s="733"/>
      <c r="B296" s="728"/>
      <c r="C296" s="728"/>
      <c r="D296" s="762"/>
      <c r="E296" s="762"/>
      <c r="F296" s="776"/>
      <c r="G296" s="763"/>
      <c r="H296" s="777"/>
    </row>
    <row r="297" spans="1:8">
      <c r="A297" s="733"/>
      <c r="B297" s="728"/>
      <c r="C297" s="728"/>
      <c r="D297" s="762"/>
      <c r="E297" s="762"/>
      <c r="F297" s="776"/>
      <c r="G297" s="763"/>
      <c r="H297" s="777"/>
    </row>
    <row r="298" spans="1:8">
      <c r="A298" s="733"/>
      <c r="B298" s="728"/>
      <c r="C298" s="728"/>
      <c r="D298" s="762"/>
      <c r="E298" s="762"/>
      <c r="F298" s="776"/>
      <c r="G298" s="763"/>
      <c r="H298" s="777"/>
    </row>
    <row r="299" spans="1:8">
      <c r="A299" s="733"/>
      <c r="B299" s="728"/>
      <c r="C299" s="728"/>
      <c r="D299" s="762"/>
      <c r="E299" s="762"/>
      <c r="F299" s="776"/>
      <c r="G299" s="763"/>
      <c r="H299" s="777"/>
    </row>
    <row r="300" spans="1:8">
      <c r="A300" s="733"/>
      <c r="B300" s="728"/>
      <c r="C300" s="728"/>
      <c r="D300" s="762"/>
      <c r="E300" s="762"/>
      <c r="F300" s="776"/>
      <c r="G300" s="763"/>
      <c r="H300" s="777"/>
    </row>
    <row r="301" spans="1:8">
      <c r="A301" s="733"/>
      <c r="B301" s="728"/>
      <c r="C301" s="728"/>
      <c r="D301" s="762"/>
      <c r="E301" s="762"/>
      <c r="F301" s="776"/>
      <c r="G301" s="763"/>
      <c r="H301" s="777"/>
    </row>
    <row r="302" spans="1:8">
      <c r="A302" s="733"/>
      <c r="B302" s="728"/>
      <c r="C302" s="728"/>
      <c r="D302" s="762"/>
      <c r="E302" s="762"/>
      <c r="F302" s="776"/>
      <c r="G302" s="763"/>
      <c r="H302" s="777"/>
    </row>
    <row r="303" spans="1:8">
      <c r="A303" s="733"/>
      <c r="B303" s="728"/>
      <c r="C303" s="728"/>
      <c r="D303" s="762"/>
      <c r="E303" s="762"/>
      <c r="F303" s="776"/>
      <c r="G303" s="763"/>
      <c r="H303" s="777"/>
    </row>
    <row r="304" spans="1:8">
      <c r="A304" s="733"/>
      <c r="B304" s="728"/>
      <c r="C304" s="728"/>
      <c r="D304" s="762"/>
      <c r="E304" s="762"/>
      <c r="F304" s="776"/>
      <c r="G304" s="763"/>
      <c r="H304" s="777"/>
    </row>
    <row r="305" spans="1:8">
      <c r="A305" s="733"/>
      <c r="B305" s="728"/>
      <c r="C305" s="728"/>
      <c r="D305" s="762"/>
      <c r="E305" s="762"/>
      <c r="F305" s="776"/>
      <c r="G305" s="763"/>
      <c r="H305" s="777"/>
    </row>
    <row r="306" spans="1:8">
      <c r="A306" s="733"/>
      <c r="B306" s="728"/>
      <c r="C306" s="728"/>
      <c r="D306" s="762"/>
      <c r="E306" s="762"/>
      <c r="F306" s="776"/>
      <c r="G306" s="763"/>
      <c r="H306" s="777"/>
    </row>
    <row r="307" spans="1:8">
      <c r="A307" s="733"/>
      <c r="B307" s="728"/>
      <c r="C307" s="728"/>
      <c r="D307" s="762"/>
      <c r="E307" s="762"/>
      <c r="F307" s="776"/>
      <c r="G307" s="763"/>
      <c r="H307" s="777"/>
    </row>
    <row r="308" spans="1:8">
      <c r="A308" s="733"/>
      <c r="B308" s="728"/>
      <c r="C308" s="728"/>
      <c r="D308" s="762"/>
      <c r="E308" s="762"/>
      <c r="F308" s="776"/>
      <c r="G308" s="763"/>
      <c r="H308" s="777"/>
    </row>
    <row r="309" spans="1:8">
      <c r="A309" s="733"/>
      <c r="B309" s="728"/>
      <c r="C309" s="728"/>
      <c r="D309" s="762"/>
      <c r="E309" s="762"/>
      <c r="F309" s="776"/>
      <c r="G309" s="763"/>
      <c r="H309" s="777"/>
    </row>
    <row r="310" spans="1:8">
      <c r="A310" s="733"/>
      <c r="B310" s="728"/>
      <c r="C310" s="728"/>
      <c r="D310" s="762"/>
      <c r="E310" s="762"/>
      <c r="F310" s="776"/>
      <c r="G310" s="763"/>
      <c r="H310" s="777"/>
    </row>
    <row r="311" spans="1:8">
      <c r="A311" s="733"/>
      <c r="B311" s="728"/>
      <c r="C311" s="728"/>
      <c r="D311" s="762"/>
      <c r="E311" s="762"/>
      <c r="F311" s="776"/>
      <c r="G311" s="763"/>
      <c r="H311" s="777"/>
    </row>
    <row r="312" spans="1:8">
      <c r="A312" s="733"/>
      <c r="B312" s="728"/>
      <c r="C312" s="728"/>
      <c r="D312" s="762"/>
      <c r="E312" s="762"/>
      <c r="F312" s="776"/>
      <c r="G312" s="763"/>
      <c r="H312" s="777"/>
    </row>
    <row r="313" spans="1:8">
      <c r="A313" s="733"/>
      <c r="B313" s="728"/>
      <c r="C313" s="728"/>
      <c r="D313" s="762"/>
      <c r="E313" s="762"/>
      <c r="F313" s="776"/>
      <c r="G313" s="763"/>
      <c r="H313" s="777"/>
    </row>
    <row r="314" spans="1:8">
      <c r="A314" s="733"/>
      <c r="B314" s="728"/>
      <c r="C314" s="728"/>
      <c r="D314" s="762"/>
      <c r="E314" s="762"/>
      <c r="F314" s="776"/>
      <c r="G314" s="763"/>
      <c r="H314" s="777"/>
    </row>
    <row r="315" spans="1:8">
      <c r="A315" s="733"/>
      <c r="B315" s="728"/>
      <c r="C315" s="728"/>
      <c r="D315" s="762"/>
      <c r="E315" s="762"/>
      <c r="F315" s="776"/>
      <c r="G315" s="763"/>
      <c r="H315" s="777"/>
    </row>
    <row r="316" spans="1:8">
      <c r="A316" s="733"/>
      <c r="B316" s="728"/>
      <c r="C316" s="728"/>
      <c r="D316" s="762"/>
      <c r="E316" s="762"/>
      <c r="F316" s="776"/>
      <c r="G316" s="763"/>
      <c r="H316" s="777"/>
    </row>
    <row r="317" spans="1:8">
      <c r="A317" s="733"/>
      <c r="B317" s="728"/>
      <c r="C317" s="728"/>
      <c r="D317" s="762"/>
      <c r="E317" s="762"/>
      <c r="F317" s="776"/>
      <c r="G317" s="763"/>
      <c r="H317" s="777"/>
    </row>
    <row r="318" spans="1:8">
      <c r="A318" s="733"/>
      <c r="B318" s="728"/>
      <c r="C318" s="728"/>
      <c r="D318" s="762"/>
      <c r="E318" s="762"/>
      <c r="F318" s="776"/>
      <c r="G318" s="763"/>
      <c r="H318" s="777"/>
    </row>
    <row r="319" spans="1:8">
      <c r="A319" s="733"/>
      <c r="B319" s="728"/>
      <c r="C319" s="728"/>
      <c r="D319" s="762"/>
      <c r="E319" s="762"/>
      <c r="F319" s="776"/>
      <c r="G319" s="763"/>
      <c r="H319" s="777"/>
    </row>
    <row r="320" spans="1:8">
      <c r="A320" s="733"/>
      <c r="B320" s="728"/>
      <c r="C320" s="728"/>
      <c r="D320" s="762"/>
      <c r="E320" s="762"/>
      <c r="F320" s="776"/>
      <c r="G320" s="763"/>
      <c r="H320" s="777"/>
    </row>
    <row r="321" spans="1:8">
      <c r="A321" s="733"/>
      <c r="B321" s="728"/>
      <c r="C321" s="728"/>
      <c r="D321" s="762"/>
      <c r="E321" s="762"/>
      <c r="F321" s="776"/>
      <c r="G321" s="763"/>
      <c r="H321" s="777"/>
    </row>
    <row r="322" spans="1:8">
      <c r="A322" s="733"/>
    </row>
    <row r="324" spans="1:8">
      <c r="A324" s="758"/>
    </row>
  </sheetData>
  <mergeCells count="7">
    <mergeCell ref="H5:H6"/>
    <mergeCell ref="A7:B7"/>
    <mergeCell ref="D4:H4"/>
    <mergeCell ref="C1:H3"/>
    <mergeCell ref="A4:C4"/>
    <mergeCell ref="A5:C5"/>
    <mergeCell ref="D5:G5"/>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7" orientation="portrait" r:id="rId1"/>
  <headerFooter>
    <oddFooter>&amp;L&amp;"Calibri,Regular"&amp;K184782&amp;F&amp;C&amp;"Calibri,Regular"&amp;K184782&amp;A&amp;R&amp;"Calibri,Regular"&amp;K184782&amp;P</oddFooter>
  </headerFooter>
  <rowBreaks count="1" manualBreakCount="1">
    <brk id="254"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3"/>
  <dimension ref="A1:IV214"/>
  <sheetViews>
    <sheetView showGridLines="0" topLeftCell="A4" zoomScale="80" zoomScaleNormal="80" workbookViewId="0">
      <pane ySplit="2565" topLeftCell="A153"/>
      <selection activeCell="D7" sqref="D7"/>
      <selection pane="bottomLeft" activeCell="A132" sqref="A132:H171"/>
    </sheetView>
  </sheetViews>
  <sheetFormatPr defaultRowHeight="15"/>
  <cols>
    <col min="1" max="1" width="7.77734375" customWidth="1"/>
    <col min="2" max="2" width="8.6640625" customWidth="1"/>
    <col min="3" max="3" width="7.77734375" customWidth="1"/>
    <col min="4" max="7" width="9.77734375" customWidth="1"/>
    <col min="8" max="8" width="16" customWidth="1"/>
  </cols>
  <sheetData>
    <row r="1" spans="1:256" ht="21" thickBot="1">
      <c r="A1" s="1486" t="s">
        <v>283</v>
      </c>
      <c r="B1" s="1487"/>
      <c r="C1" s="1487"/>
      <c r="D1" s="1487"/>
      <c r="E1" s="1487"/>
      <c r="F1" s="1487"/>
      <c r="G1" s="1487"/>
      <c r="H1" s="1488"/>
    </row>
    <row r="2" spans="1:256" ht="16.5" customHeight="1" thickBot="1">
      <c r="A2" s="1489" t="s">
        <v>282</v>
      </c>
      <c r="B2" s="1490"/>
      <c r="C2" s="1490"/>
      <c r="D2" s="1490"/>
      <c r="E2" s="1490"/>
      <c r="F2" s="1490"/>
      <c r="G2" s="1490"/>
      <c r="H2" s="1491"/>
    </row>
    <row r="3" spans="1:256" ht="17.25" thickBot="1">
      <c r="A3" s="1492" t="s">
        <v>281</v>
      </c>
      <c r="B3" s="1493"/>
      <c r="C3" s="1494"/>
      <c r="D3" s="1498" t="s">
        <v>278</v>
      </c>
      <c r="E3" s="1499"/>
      <c r="F3" s="1499"/>
      <c r="G3" s="1499"/>
      <c r="H3" s="1500"/>
    </row>
    <row r="4" spans="1:256" ht="17.25" thickBot="1">
      <c r="A4" s="1495"/>
      <c r="B4" s="1496"/>
      <c r="C4" s="1497"/>
      <c r="D4" s="1501" t="s">
        <v>275</v>
      </c>
      <c r="E4" s="1502"/>
      <c r="F4" s="1502"/>
      <c r="G4" s="1502"/>
      <c r="H4" s="1503"/>
    </row>
    <row r="5" spans="1:256" s="671" customFormat="1" ht="50.25" thickBot="1">
      <c r="A5" s="672" t="s">
        <v>67</v>
      </c>
      <c r="B5" s="673" t="s">
        <v>76</v>
      </c>
      <c r="C5" s="673" t="s">
        <v>68</v>
      </c>
      <c r="D5" s="674" t="s">
        <v>66</v>
      </c>
      <c r="E5" s="674" t="s">
        <v>65</v>
      </c>
      <c r="F5" s="674" t="s">
        <v>70</v>
      </c>
      <c r="G5" s="673" t="s">
        <v>160</v>
      </c>
      <c r="H5" s="675" t="s">
        <v>186</v>
      </c>
      <c r="I5" s="669"/>
      <c r="J5" s="669"/>
      <c r="K5" s="669"/>
      <c r="L5" s="670"/>
      <c r="M5" s="670"/>
      <c r="N5" s="670"/>
      <c r="O5" s="669"/>
      <c r="P5" s="669"/>
      <c r="Q5" s="669"/>
      <c r="R5" s="669"/>
      <c r="S5" s="669"/>
      <c r="T5" s="670"/>
      <c r="U5" s="670"/>
      <c r="V5" s="670"/>
      <c r="W5" s="669"/>
      <c r="X5" s="669"/>
      <c r="Y5" s="669"/>
      <c r="Z5" s="669"/>
      <c r="AA5" s="669"/>
      <c r="AB5" s="670"/>
      <c r="AC5" s="670"/>
      <c r="AD5" s="670"/>
      <c r="AE5" s="669"/>
      <c r="AF5" s="669"/>
      <c r="AG5" s="669"/>
      <c r="AH5" s="669"/>
      <c r="AI5" s="669"/>
      <c r="AJ5" s="670"/>
      <c r="AK5" s="670"/>
      <c r="AL5" s="670"/>
      <c r="AM5" s="669"/>
      <c r="AN5" s="669"/>
      <c r="AO5" s="669"/>
      <c r="AP5" s="669"/>
      <c r="AQ5" s="669"/>
      <c r="AR5" s="670"/>
      <c r="AS5" s="670"/>
      <c r="AT5" s="670"/>
      <c r="AU5" s="669"/>
      <c r="AV5" s="669"/>
      <c r="AW5" s="669"/>
      <c r="AX5" s="669"/>
      <c r="AY5" s="669"/>
      <c r="AZ5" s="670"/>
      <c r="BA5" s="670"/>
      <c r="BB5" s="670"/>
      <c r="BC5" s="669"/>
      <c r="BD5" s="669"/>
      <c r="BE5" s="669"/>
      <c r="BF5" s="669"/>
      <c r="BG5" s="669"/>
      <c r="BH5" s="670"/>
      <c r="BI5" s="670"/>
      <c r="BJ5" s="670"/>
      <c r="BK5" s="669"/>
      <c r="BL5" s="669"/>
      <c r="BM5" s="669"/>
      <c r="BN5" s="669"/>
      <c r="BO5" s="669"/>
      <c r="BP5" s="670"/>
      <c r="BQ5" s="670"/>
      <c r="BR5" s="670"/>
      <c r="BS5" s="669"/>
      <c r="BT5" s="669"/>
      <c r="BU5" s="669"/>
      <c r="BV5" s="669"/>
      <c r="BW5" s="669"/>
      <c r="BX5" s="670"/>
      <c r="BY5" s="670"/>
      <c r="BZ5" s="670"/>
      <c r="CA5" s="669"/>
      <c r="CB5" s="669"/>
      <c r="CC5" s="669"/>
      <c r="CD5" s="669"/>
      <c r="CE5" s="669"/>
      <c r="CF5" s="670"/>
      <c r="CG5" s="670"/>
      <c r="CH5" s="670"/>
      <c r="CI5" s="669"/>
      <c r="CJ5" s="669"/>
      <c r="CK5" s="669"/>
      <c r="CL5" s="669"/>
      <c r="CM5" s="669"/>
      <c r="CN5" s="670"/>
      <c r="CO5" s="670"/>
      <c r="CP5" s="670"/>
      <c r="CQ5" s="669"/>
      <c r="CR5" s="669"/>
      <c r="CS5" s="669"/>
      <c r="CT5" s="669"/>
      <c r="CU5" s="669"/>
      <c r="CV5" s="670"/>
      <c r="CW5" s="670"/>
      <c r="CX5" s="670"/>
      <c r="CY5" s="669"/>
      <c r="CZ5" s="669"/>
      <c r="DA5" s="669"/>
      <c r="DB5" s="669"/>
      <c r="DC5" s="669"/>
      <c r="DD5" s="670"/>
      <c r="DE5" s="670"/>
      <c r="DF5" s="670"/>
      <c r="DG5" s="669"/>
      <c r="DH5" s="669"/>
      <c r="DI5" s="669"/>
      <c r="DJ5" s="669"/>
      <c r="DK5" s="669"/>
      <c r="DL5" s="670"/>
      <c r="DM5" s="670"/>
      <c r="DN5" s="670"/>
      <c r="DO5" s="669"/>
      <c r="DP5" s="669"/>
      <c r="DQ5" s="669"/>
      <c r="DR5" s="669"/>
      <c r="DS5" s="669"/>
      <c r="DT5" s="670"/>
      <c r="DU5" s="670"/>
      <c r="DV5" s="670"/>
      <c r="DW5" s="669"/>
      <c r="DX5" s="669"/>
      <c r="DY5" s="669"/>
      <c r="DZ5" s="669"/>
      <c r="EA5" s="669"/>
      <c r="EB5" s="670"/>
      <c r="EC5" s="670"/>
      <c r="ED5" s="670"/>
      <c r="EE5" s="669"/>
      <c r="EF5" s="669"/>
      <c r="EG5" s="669"/>
      <c r="EH5" s="669"/>
      <c r="EI5" s="669"/>
      <c r="EJ5" s="670"/>
      <c r="EK5" s="670"/>
      <c r="EL5" s="670"/>
      <c r="EM5" s="669"/>
      <c r="EN5" s="669"/>
      <c r="EO5" s="669"/>
      <c r="EP5" s="669"/>
      <c r="EQ5" s="669"/>
      <c r="ER5" s="670"/>
      <c r="ES5" s="670"/>
      <c r="ET5" s="670"/>
      <c r="EU5" s="669"/>
      <c r="EV5" s="669"/>
      <c r="EW5" s="669"/>
      <c r="EX5" s="669"/>
      <c r="EY5" s="669"/>
      <c r="EZ5" s="670"/>
      <c r="FA5" s="670"/>
      <c r="FB5" s="670"/>
      <c r="FC5" s="669"/>
      <c r="FD5" s="669"/>
      <c r="FE5" s="669"/>
      <c r="FF5" s="669"/>
      <c r="FG5" s="669"/>
      <c r="FH5" s="670"/>
      <c r="FI5" s="670"/>
      <c r="FJ5" s="670"/>
      <c r="FK5" s="669"/>
      <c r="FL5" s="669"/>
      <c r="FM5" s="669"/>
      <c r="FN5" s="669"/>
      <c r="FO5" s="669"/>
      <c r="FP5" s="670"/>
      <c r="FQ5" s="670"/>
      <c r="FR5" s="670"/>
      <c r="FS5" s="669"/>
      <c r="FT5" s="669"/>
      <c r="FU5" s="669"/>
      <c r="FV5" s="669"/>
      <c r="FW5" s="669"/>
      <c r="FX5" s="670"/>
      <c r="FY5" s="670"/>
      <c r="FZ5" s="670"/>
      <c r="GA5" s="669"/>
      <c r="GB5" s="669"/>
      <c r="GC5" s="669"/>
      <c r="GD5" s="669"/>
      <c r="GE5" s="669"/>
      <c r="GF5" s="670"/>
      <c r="GG5" s="670"/>
      <c r="GH5" s="670"/>
      <c r="GI5" s="669"/>
      <c r="GJ5" s="669"/>
      <c r="GK5" s="669"/>
      <c r="GL5" s="669"/>
      <c r="GM5" s="669"/>
      <c r="GN5" s="670"/>
      <c r="GO5" s="670"/>
      <c r="GP5" s="670"/>
      <c r="GQ5" s="669"/>
      <c r="GR5" s="669"/>
      <c r="GS5" s="669"/>
      <c r="GT5" s="669"/>
      <c r="GU5" s="669"/>
      <c r="GV5" s="670"/>
      <c r="GW5" s="670"/>
      <c r="GX5" s="670"/>
      <c r="GY5" s="669"/>
      <c r="GZ5" s="669"/>
      <c r="HA5" s="669"/>
      <c r="HB5" s="669"/>
      <c r="HC5" s="669"/>
      <c r="HD5" s="670"/>
      <c r="HE5" s="670"/>
      <c r="HF5" s="670"/>
      <c r="HG5" s="669"/>
      <c r="HH5" s="669"/>
      <c r="HI5" s="669"/>
      <c r="HJ5" s="669"/>
      <c r="HK5" s="669"/>
      <c r="HL5" s="670"/>
      <c r="HM5" s="670"/>
      <c r="HN5" s="670"/>
      <c r="HO5" s="669"/>
      <c r="HP5" s="669"/>
      <c r="HQ5" s="669"/>
      <c r="HR5" s="669"/>
      <c r="HS5" s="669"/>
      <c r="HT5" s="670"/>
      <c r="HU5" s="670"/>
      <c r="HV5" s="670"/>
      <c r="HW5" s="669"/>
      <c r="HX5" s="669"/>
      <c r="HY5" s="669"/>
      <c r="HZ5" s="669"/>
      <c r="IA5" s="669"/>
      <c r="IB5" s="670"/>
      <c r="IC5" s="670"/>
      <c r="ID5" s="670"/>
      <c r="IE5" s="669"/>
      <c r="IF5" s="669"/>
      <c r="IG5" s="669"/>
      <c r="IH5" s="669"/>
      <c r="II5" s="669"/>
      <c r="IJ5" s="670"/>
      <c r="IK5" s="670"/>
      <c r="IL5" s="670"/>
      <c r="IM5" s="669"/>
      <c r="IN5" s="669"/>
      <c r="IO5" s="669"/>
      <c r="IP5" s="669"/>
      <c r="IQ5" s="669"/>
      <c r="IR5" s="670"/>
      <c r="IS5" s="670"/>
      <c r="IT5" s="670"/>
      <c r="IU5" s="669"/>
      <c r="IV5" s="669"/>
    </row>
    <row r="6" spans="1:256" ht="15.75" thickBot="1">
      <c r="A6" s="1483" t="s">
        <v>279</v>
      </c>
      <c r="B6" s="1484"/>
      <c r="C6" s="1484"/>
      <c r="D6" s="1484"/>
      <c r="E6" s="1484"/>
      <c r="F6" s="1484"/>
      <c r="G6" s="1484"/>
      <c r="H6" s="1485"/>
    </row>
    <row r="7" spans="1:256" ht="16.5">
      <c r="A7" s="223">
        <v>36617</v>
      </c>
      <c r="B7" s="224">
        <f>+geral!C623</f>
        <v>446</v>
      </c>
      <c r="C7" s="229">
        <v>100</v>
      </c>
      <c r="D7" s="229">
        <f>100*((B7/'Pn900'!B73)-1)</f>
        <v>13.871371307478221</v>
      </c>
      <c r="E7" s="229"/>
      <c r="F7" s="229"/>
      <c r="G7" s="229"/>
      <c r="H7" s="225">
        <f t="shared" ref="H7:H38" si="0">+B$171/B7</f>
        <v>1.9882914798206275</v>
      </c>
    </row>
    <row r="8" spans="1:256" ht="16.5">
      <c r="A8" s="216">
        <v>36647</v>
      </c>
      <c r="B8" s="226">
        <f>+geral!C624</f>
        <v>455.17</v>
      </c>
      <c r="C8" s="211">
        <f>100*B8/$B$7</f>
        <v>102.0560538116592</v>
      </c>
      <c r="D8" s="211">
        <f t="shared" ref="D8:D16" si="1">100*((B8/B7)-1)</f>
        <v>2.0560538116591864</v>
      </c>
      <c r="E8" s="211"/>
      <c r="F8" s="211"/>
      <c r="G8" s="211"/>
      <c r="H8" s="217">
        <f t="shared" si="0"/>
        <v>1.9482347254871804</v>
      </c>
    </row>
    <row r="9" spans="1:256" ht="16.5">
      <c r="A9" s="216">
        <v>36678</v>
      </c>
      <c r="B9" s="226">
        <f>+geral!C625</f>
        <v>432.67</v>
      </c>
      <c r="C9" s="211">
        <f t="shared" ref="C9:C87" si="2">100*B9/$B$7</f>
        <v>97.011210762331842</v>
      </c>
      <c r="D9" s="211">
        <f t="shared" si="1"/>
        <v>-4.9432080321638043</v>
      </c>
      <c r="E9" s="211"/>
      <c r="F9" s="211"/>
      <c r="G9" s="211"/>
      <c r="H9" s="217">
        <f t="shared" si="0"/>
        <v>2.0495481544826308</v>
      </c>
    </row>
    <row r="10" spans="1:256" ht="16.5">
      <c r="A10" s="216">
        <v>36708</v>
      </c>
      <c r="B10" s="226">
        <f>+geral!C626</f>
        <v>451.5</v>
      </c>
      <c r="C10" s="211">
        <f t="shared" si="2"/>
        <v>101.23318385650224</v>
      </c>
      <c r="D10" s="211">
        <f t="shared" si="1"/>
        <v>4.3520465944022035</v>
      </c>
      <c r="E10" s="211"/>
      <c r="F10" s="211"/>
      <c r="G10" s="211"/>
      <c r="H10" s="217">
        <f t="shared" si="0"/>
        <v>1.9640708748615723</v>
      </c>
    </row>
    <row r="11" spans="1:256" ht="16.5">
      <c r="A11" s="216">
        <v>36739</v>
      </c>
      <c r="B11" s="226">
        <f>+geral!C627</f>
        <v>437.4</v>
      </c>
      <c r="C11" s="211">
        <f t="shared" si="2"/>
        <v>98.071748878923771</v>
      </c>
      <c r="D11" s="211">
        <f t="shared" si="1"/>
        <v>-3.122923588039872</v>
      </c>
      <c r="E11" s="211"/>
      <c r="F11" s="211"/>
      <c r="G11" s="211"/>
      <c r="H11" s="217">
        <f t="shared" si="0"/>
        <v>2.0273845450388661</v>
      </c>
    </row>
    <row r="12" spans="1:256" ht="16.5">
      <c r="A12" s="216">
        <v>36770</v>
      </c>
      <c r="B12" s="226">
        <f>+geral!C628</f>
        <v>479.67</v>
      </c>
      <c r="C12" s="211">
        <f t="shared" si="2"/>
        <v>107.54932735426009</v>
      </c>
      <c r="D12" s="211">
        <f t="shared" si="1"/>
        <v>9.6639231824417138</v>
      </c>
      <c r="E12" s="211"/>
      <c r="F12" s="211"/>
      <c r="G12" s="211"/>
      <c r="H12" s="217">
        <f t="shared" si="0"/>
        <v>1.8487251652177537</v>
      </c>
    </row>
    <row r="13" spans="1:256" ht="16.5">
      <c r="A13" s="216">
        <v>36800</v>
      </c>
      <c r="B13" s="226">
        <f>+geral!C629</f>
        <v>433.96</v>
      </c>
      <c r="C13" s="211">
        <f t="shared" si="2"/>
        <v>97.300448430493276</v>
      </c>
      <c r="D13" s="211">
        <f t="shared" si="1"/>
        <v>-9.5294681760377031</v>
      </c>
      <c r="E13" s="211"/>
      <c r="F13" s="211"/>
      <c r="G13" s="211"/>
      <c r="H13" s="217">
        <f t="shared" si="0"/>
        <v>2.0434556180293115</v>
      </c>
    </row>
    <row r="14" spans="1:256" ht="16.5">
      <c r="A14" s="216">
        <v>36831</v>
      </c>
      <c r="B14" s="226">
        <f>+geral!C630</f>
        <v>449.6</v>
      </c>
      <c r="C14" s="211">
        <f t="shared" si="2"/>
        <v>100.80717488789237</v>
      </c>
      <c r="D14" s="211">
        <f t="shared" si="1"/>
        <v>3.6040188035763698</v>
      </c>
      <c r="E14" s="211"/>
      <c r="F14" s="211"/>
      <c r="G14" s="211"/>
      <c r="H14" s="217">
        <f t="shared" si="0"/>
        <v>1.9723709964412808</v>
      </c>
    </row>
    <row r="15" spans="1:256" ht="16.5">
      <c r="A15" s="216">
        <v>36861</v>
      </c>
      <c r="B15" s="226">
        <f>+geral!C631</f>
        <v>452.6</v>
      </c>
      <c r="C15" s="211">
        <f t="shared" si="2"/>
        <v>101.4798206278027</v>
      </c>
      <c r="D15" s="211">
        <f t="shared" si="1"/>
        <v>0.66725978647685924</v>
      </c>
      <c r="E15" s="211"/>
      <c r="F15" s="211"/>
      <c r="G15" s="211"/>
      <c r="H15" s="217">
        <f t="shared" si="0"/>
        <v>1.9592973928413606</v>
      </c>
    </row>
    <row r="16" spans="1:256" ht="16.5">
      <c r="A16" s="216">
        <v>36892</v>
      </c>
      <c r="B16" s="226">
        <f>+geral!E620</f>
        <v>448.67</v>
      </c>
      <c r="C16" s="211">
        <f t="shared" si="2"/>
        <v>100.59865470852019</v>
      </c>
      <c r="D16" s="211">
        <f t="shared" si="1"/>
        <v>-0.86831639416703466</v>
      </c>
      <c r="E16" s="211">
        <f t="shared" ref="E16:E21" si="3">100*((B16/$B$15)-1)</f>
        <v>-0.86831639416703466</v>
      </c>
      <c r="F16" s="211"/>
      <c r="G16" s="211"/>
      <c r="H16" s="217">
        <f t="shared" si="0"/>
        <v>1.9764593130808832</v>
      </c>
    </row>
    <row r="17" spans="1:8" ht="16.5">
      <c r="A17" s="216">
        <v>36923</v>
      </c>
      <c r="B17" s="226">
        <f>+geral!E621</f>
        <v>476.25</v>
      </c>
      <c r="C17" s="211">
        <f t="shared" si="2"/>
        <v>106.78251121076234</v>
      </c>
      <c r="D17" s="211">
        <f t="shared" ref="D17:D22" si="4">100*((B17/B16)-1)</f>
        <v>6.1470568569327089</v>
      </c>
      <c r="E17" s="211">
        <f t="shared" si="3"/>
        <v>5.2253645603181464</v>
      </c>
      <c r="F17" s="213"/>
      <c r="G17" s="213"/>
      <c r="H17" s="217">
        <f t="shared" si="0"/>
        <v>1.8620010498687662</v>
      </c>
    </row>
    <row r="18" spans="1:8" ht="16.5">
      <c r="A18" s="216">
        <v>36951</v>
      </c>
      <c r="B18" s="226">
        <f>+geral!E622</f>
        <v>512.23</v>
      </c>
      <c r="C18" s="211">
        <f t="shared" si="2"/>
        <v>114.84977578475336</v>
      </c>
      <c r="D18" s="211">
        <f t="shared" si="4"/>
        <v>7.5548556430446334</v>
      </c>
      <c r="E18" s="211">
        <f t="shared" si="3"/>
        <v>13.174988952717626</v>
      </c>
      <c r="F18" s="213"/>
      <c r="G18" s="213"/>
      <c r="H18" s="217">
        <f t="shared" si="0"/>
        <v>1.7312105889932254</v>
      </c>
    </row>
    <row r="19" spans="1:8" ht="16.5">
      <c r="A19" s="216">
        <v>36982</v>
      </c>
      <c r="B19" s="226">
        <f>+geral!E623</f>
        <v>469</v>
      </c>
      <c r="C19" s="211">
        <f t="shared" si="2"/>
        <v>105.15695067264573</v>
      </c>
      <c r="D19" s="211">
        <f t="shared" si="4"/>
        <v>-8.4395681627393966</v>
      </c>
      <c r="E19" s="211">
        <f t="shared" si="3"/>
        <v>3.6235086168802333</v>
      </c>
      <c r="F19" s="214">
        <f t="shared" ref="F19:F24" si="5">100*((B19/B7)-1)</f>
        <v>5.1569506726457437</v>
      </c>
      <c r="G19" s="214"/>
      <c r="H19" s="217">
        <f t="shared" si="0"/>
        <v>1.8907846481876331</v>
      </c>
    </row>
    <row r="20" spans="1:8" ht="16.5">
      <c r="A20" s="216">
        <v>37012</v>
      </c>
      <c r="B20" s="226">
        <f>+geral!E624</f>
        <v>497.5</v>
      </c>
      <c r="C20" s="211">
        <f t="shared" si="2"/>
        <v>111.54708520179372</v>
      </c>
      <c r="D20" s="211">
        <f t="shared" si="4"/>
        <v>6.076759061833692</v>
      </c>
      <c r="E20" s="211">
        <f t="shared" si="3"/>
        <v>9.9204595669465157</v>
      </c>
      <c r="F20" s="214">
        <f t="shared" si="5"/>
        <v>9.2998220445108295</v>
      </c>
      <c r="G20" s="214"/>
      <c r="H20" s="217">
        <f t="shared" si="0"/>
        <v>1.7824683417085425</v>
      </c>
    </row>
    <row r="21" spans="1:8" ht="16.5">
      <c r="A21" s="216">
        <v>37043</v>
      </c>
      <c r="B21" s="226">
        <f>+geral!E625</f>
        <v>544.4</v>
      </c>
      <c r="C21" s="211">
        <f t="shared" si="2"/>
        <v>122.06278026905829</v>
      </c>
      <c r="D21" s="211">
        <f t="shared" si="4"/>
        <v>9.4271356783919522</v>
      </c>
      <c r="E21" s="211">
        <f t="shared" si="3"/>
        <v>20.282810428634534</v>
      </c>
      <c r="F21" s="214">
        <f t="shared" si="5"/>
        <v>25.823375782929237</v>
      </c>
      <c r="G21" s="214"/>
      <c r="H21" s="217">
        <f t="shared" si="0"/>
        <v>1.6289088905216751</v>
      </c>
    </row>
    <row r="22" spans="1:8" ht="16.5">
      <c r="A22" s="244">
        <v>37073</v>
      </c>
      <c r="B22" s="245">
        <f>+geral!E626</f>
        <v>518.20000000000005</v>
      </c>
      <c r="C22" s="230">
        <f t="shared" si="2"/>
        <v>116.18834080717491</v>
      </c>
      <c r="D22" s="230">
        <f t="shared" si="4"/>
        <v>-4.81263776634826</v>
      </c>
      <c r="E22" s="230">
        <f t="shared" ref="E22:E27" si="6">100*((B22/$B$15)-1)</f>
        <v>14.494034467521001</v>
      </c>
      <c r="F22" s="243">
        <f t="shared" si="5"/>
        <v>14.772978959025473</v>
      </c>
      <c r="G22" s="243"/>
      <c r="H22" s="217">
        <f t="shared" si="0"/>
        <v>1.7112659204940175</v>
      </c>
    </row>
    <row r="23" spans="1:8" ht="16.5">
      <c r="A23" s="216">
        <v>37104</v>
      </c>
      <c r="B23" s="226">
        <f>+geral!E627</f>
        <v>526.1</v>
      </c>
      <c r="C23" s="211">
        <f t="shared" si="2"/>
        <v>117.95964125560538</v>
      </c>
      <c r="D23" s="211">
        <f t="shared" ref="D23:D28" si="7">100*((B23/B22)-1)</f>
        <v>1.5245079120030924</v>
      </c>
      <c r="E23" s="211">
        <f t="shared" si="6"/>
        <v>16.239505081749893</v>
      </c>
      <c r="F23" s="214">
        <f t="shared" si="5"/>
        <v>20.278920896204866</v>
      </c>
      <c r="G23" s="214"/>
      <c r="H23" s="217">
        <f t="shared" si="0"/>
        <v>1.6855692834061964</v>
      </c>
    </row>
    <row r="24" spans="1:8" ht="16.5">
      <c r="A24" s="216">
        <v>37135</v>
      </c>
      <c r="B24" s="226">
        <f>+geral!E628</f>
        <v>527.75</v>
      </c>
      <c r="C24" s="211">
        <f t="shared" si="2"/>
        <v>118.32959641255606</v>
      </c>
      <c r="D24" s="211">
        <f t="shared" si="7"/>
        <v>0.31362858772097102</v>
      </c>
      <c r="E24" s="211">
        <f t="shared" si="6"/>
        <v>16.604065399911615</v>
      </c>
      <c r="F24" s="214">
        <f t="shared" si="5"/>
        <v>10.023557862697263</v>
      </c>
      <c r="G24" s="214"/>
      <c r="H24" s="217">
        <f t="shared" si="0"/>
        <v>1.6802993841781144</v>
      </c>
    </row>
    <row r="25" spans="1:8" ht="16.5">
      <c r="A25" s="216">
        <v>37165</v>
      </c>
      <c r="B25" s="226">
        <f>+geral!E629</f>
        <v>590</v>
      </c>
      <c r="C25" s="211">
        <f t="shared" si="2"/>
        <v>132.28699551569505</v>
      </c>
      <c r="D25" s="211">
        <f t="shared" si="7"/>
        <v>11.79535765040265</v>
      </c>
      <c r="E25" s="211">
        <f t="shared" si="6"/>
        <v>30.357931948740614</v>
      </c>
      <c r="F25" s="214">
        <f t="shared" ref="F25:F31" si="8">100*((B25/B13)-1)</f>
        <v>35.957231081205656</v>
      </c>
      <c r="G25" s="214"/>
      <c r="H25" s="217">
        <f t="shared" si="0"/>
        <v>1.5030135593220337</v>
      </c>
    </row>
    <row r="26" spans="1:8" ht="16.5">
      <c r="A26" s="216">
        <v>37196</v>
      </c>
      <c r="B26" s="226">
        <f>+geral!E630</f>
        <v>543</v>
      </c>
      <c r="C26" s="211">
        <f t="shared" si="2"/>
        <v>121.74887892376681</v>
      </c>
      <c r="D26" s="211">
        <f t="shared" si="7"/>
        <v>-7.9661016949152508</v>
      </c>
      <c r="E26" s="211">
        <f>100*((B26/$B$15)-1)</f>
        <v>19.973486522315497</v>
      </c>
      <c r="F26" s="214">
        <f t="shared" si="8"/>
        <v>20.774021352313166</v>
      </c>
      <c r="G26" s="214"/>
      <c r="H26" s="217">
        <f t="shared" si="0"/>
        <v>1.6331086556169427</v>
      </c>
    </row>
    <row r="27" spans="1:8" ht="16.5">
      <c r="A27" s="216">
        <v>37226</v>
      </c>
      <c r="B27" s="226">
        <f>+geral!E631</f>
        <v>509.76</v>
      </c>
      <c r="C27" s="211">
        <f t="shared" si="2"/>
        <v>114.29596412556054</v>
      </c>
      <c r="D27" s="211">
        <f t="shared" si="7"/>
        <v>-6.1215469613259632</v>
      </c>
      <c r="E27" s="211">
        <f t="shared" si="6"/>
        <v>12.629253203711887</v>
      </c>
      <c r="F27" s="214">
        <f t="shared" si="8"/>
        <v>12.629253203711887</v>
      </c>
      <c r="G27" s="214"/>
      <c r="H27" s="217">
        <f t="shared" si="0"/>
        <v>1.7395990269930945</v>
      </c>
    </row>
    <row r="28" spans="1:8" ht="16.5">
      <c r="A28" s="216">
        <v>37257</v>
      </c>
      <c r="B28" s="226">
        <f>+geral!G620</f>
        <v>516.20000000000005</v>
      </c>
      <c r="C28" s="211">
        <f t="shared" si="2"/>
        <v>115.73991031390136</v>
      </c>
      <c r="D28" s="211">
        <f t="shared" si="7"/>
        <v>1.2633396107972539</v>
      </c>
      <c r="E28" s="211">
        <f t="shared" ref="E28:E33" si="9">100*((B28/$B$27)-1)</f>
        <v>1.2633396107972539</v>
      </c>
      <c r="F28" s="214">
        <f t="shared" si="8"/>
        <v>15.051151180154676</v>
      </c>
      <c r="G28" s="214"/>
      <c r="H28" s="217">
        <f t="shared" si="0"/>
        <v>1.7178961642774115</v>
      </c>
    </row>
    <row r="29" spans="1:8" ht="16.5">
      <c r="A29" s="216">
        <v>37288</v>
      </c>
      <c r="B29" s="226">
        <f>+geral!G621</f>
        <v>525.4</v>
      </c>
      <c r="C29" s="211">
        <f t="shared" si="2"/>
        <v>117.80269058295964</v>
      </c>
      <c r="D29" s="211">
        <f t="shared" ref="D29:D34" si="10">100*((B29/B28)-1)</f>
        <v>1.7822549399457488</v>
      </c>
      <c r="E29" s="211">
        <f t="shared" si="9"/>
        <v>3.0681104833647277</v>
      </c>
      <c r="F29" s="214">
        <f t="shared" si="8"/>
        <v>10.320209973753268</v>
      </c>
      <c r="G29" s="214"/>
      <c r="H29" s="217">
        <f t="shared" si="0"/>
        <v>1.6878149980966881</v>
      </c>
    </row>
    <row r="30" spans="1:8" ht="16.5">
      <c r="A30" s="216">
        <v>37316</v>
      </c>
      <c r="B30" s="226">
        <f>+geral!G622</f>
        <v>545.79999999999995</v>
      </c>
      <c r="C30" s="211">
        <f t="shared" si="2"/>
        <v>122.37668161434976</v>
      </c>
      <c r="D30" s="211">
        <f t="shared" si="10"/>
        <v>3.8827559954320412</v>
      </c>
      <c r="E30" s="211">
        <f t="shared" si="9"/>
        <v>7.0699937225360943</v>
      </c>
      <c r="F30" s="214">
        <f t="shared" si="8"/>
        <v>6.5536965816137105</v>
      </c>
      <c r="G30" s="214"/>
      <c r="H30" s="217">
        <f t="shared" si="0"/>
        <v>1.6247306705753022</v>
      </c>
    </row>
    <row r="31" spans="1:8" ht="16.5">
      <c r="A31" s="216">
        <v>37347</v>
      </c>
      <c r="B31" s="226">
        <f>+geral!G623</f>
        <v>575.79999999999995</v>
      </c>
      <c r="C31" s="211">
        <f t="shared" si="2"/>
        <v>129.1031390134529</v>
      </c>
      <c r="D31" s="211">
        <f t="shared" si="10"/>
        <v>5.4965188713814506</v>
      </c>
      <c r="E31" s="211">
        <f t="shared" si="9"/>
        <v>12.955116133082223</v>
      </c>
      <c r="F31" s="214">
        <f t="shared" si="8"/>
        <v>22.771855010660968</v>
      </c>
      <c r="G31" s="214">
        <f>100*(B31/B7-1)</f>
        <v>29.103139013452896</v>
      </c>
      <c r="H31" s="217">
        <f t="shared" si="0"/>
        <v>1.5400798888502951</v>
      </c>
    </row>
    <row r="32" spans="1:8" ht="16.5">
      <c r="A32" s="216">
        <v>37377</v>
      </c>
      <c r="B32" s="226">
        <f>+geral!G624</f>
        <v>540.20000000000005</v>
      </c>
      <c r="C32" s="211">
        <f t="shared" si="2"/>
        <v>121.12107623318387</v>
      </c>
      <c r="D32" s="211">
        <f t="shared" si="10"/>
        <v>-6.1827023271969317</v>
      </c>
      <c r="E32" s="211">
        <f t="shared" si="9"/>
        <v>5.9714375392341701</v>
      </c>
      <c r="F32" s="214">
        <f t="shared" ref="F32:F37" si="11">100*((B32/B20)-1)</f>
        <v>8.5829145728643308</v>
      </c>
      <c r="G32" s="214">
        <f t="shared" ref="G32:G40" si="12">100*(B32/B8-1)</f>
        <v>18.680932398883932</v>
      </c>
      <c r="H32" s="217">
        <f t="shared" si="0"/>
        <v>1.6415734912995184</v>
      </c>
    </row>
    <row r="33" spans="1:8" ht="16.5">
      <c r="A33" s="216">
        <v>37408</v>
      </c>
      <c r="B33" s="226">
        <f>+geral!G625</f>
        <v>526.20000000000005</v>
      </c>
      <c r="C33" s="211">
        <f t="shared" si="2"/>
        <v>117.98206278026908</v>
      </c>
      <c r="D33" s="211">
        <f t="shared" si="10"/>
        <v>-2.591632728619031</v>
      </c>
      <c r="E33" s="211">
        <f t="shared" si="9"/>
        <v>3.2250470809793041</v>
      </c>
      <c r="F33" s="214">
        <f t="shared" si="11"/>
        <v>-3.3431300514327522</v>
      </c>
      <c r="G33" s="214">
        <f t="shared" si="12"/>
        <v>21.616936695402966</v>
      </c>
      <c r="H33" s="217">
        <f t="shared" si="0"/>
        <v>1.6852489547700491</v>
      </c>
    </row>
    <row r="34" spans="1:8" ht="16.5">
      <c r="A34" s="216">
        <v>37438</v>
      </c>
      <c r="B34" s="226">
        <f>+geral!G626</f>
        <v>543.62</v>
      </c>
      <c r="C34" s="211">
        <f t="shared" si="2"/>
        <v>121.88789237668162</v>
      </c>
      <c r="D34" s="211">
        <f t="shared" si="10"/>
        <v>3.3105283162295551</v>
      </c>
      <c r="E34" s="211">
        <f t="shared" ref="E34:E39" si="13">100*((B34/$B$27)-1)</f>
        <v>6.6423414940364189</v>
      </c>
      <c r="F34" s="214">
        <f t="shared" si="11"/>
        <v>4.9054419143187866</v>
      </c>
      <c r="G34" s="214">
        <f t="shared" si="12"/>
        <v>20.403100775193806</v>
      </c>
      <c r="H34" s="217">
        <f t="shared" si="0"/>
        <v>1.6312460910194619</v>
      </c>
    </row>
    <row r="35" spans="1:8" ht="16.5">
      <c r="A35" s="216">
        <v>37469</v>
      </c>
      <c r="B35" s="226">
        <f>+geral!G627</f>
        <v>591.6</v>
      </c>
      <c r="C35" s="211">
        <f t="shared" si="2"/>
        <v>132.64573991031389</v>
      </c>
      <c r="D35" s="211">
        <f t="shared" ref="D35:D40" si="14">100*((B35/B34)-1)</f>
        <v>8.8260181744601152</v>
      </c>
      <c r="E35" s="211">
        <f t="shared" si="13"/>
        <v>16.054613935969876</v>
      </c>
      <c r="F35" s="214">
        <f t="shared" si="11"/>
        <v>12.450104542862572</v>
      </c>
      <c r="G35" s="214">
        <f t="shared" si="12"/>
        <v>35.253772290809351</v>
      </c>
      <c r="H35" s="217">
        <f t="shared" si="0"/>
        <v>1.4989486139283297</v>
      </c>
    </row>
    <row r="36" spans="1:8" ht="16.5">
      <c r="A36" s="216">
        <v>37500</v>
      </c>
      <c r="B36" s="226">
        <f>+geral!G628</f>
        <v>577.5</v>
      </c>
      <c r="C36" s="211">
        <f t="shared" si="2"/>
        <v>129.48430493273543</v>
      </c>
      <c r="D36" s="211">
        <f t="shared" si="14"/>
        <v>-2.3833671399594358</v>
      </c>
      <c r="E36" s="211">
        <f t="shared" si="13"/>
        <v>13.288606403013192</v>
      </c>
      <c r="F36" s="214">
        <f t="shared" si="11"/>
        <v>9.4268119374703918</v>
      </c>
      <c r="G36" s="214">
        <f t="shared" si="12"/>
        <v>20.395271749327648</v>
      </c>
      <c r="H36" s="217">
        <f t="shared" si="0"/>
        <v>1.5355463203463202</v>
      </c>
    </row>
    <row r="37" spans="1:8" ht="16.5">
      <c r="A37" s="216">
        <v>37530</v>
      </c>
      <c r="B37" s="226">
        <f>+geral!G629</f>
        <v>599.6</v>
      </c>
      <c r="C37" s="211">
        <f t="shared" si="2"/>
        <v>134.43946188340809</v>
      </c>
      <c r="D37" s="211">
        <f t="shared" si="14"/>
        <v>3.8268398268398229</v>
      </c>
      <c r="E37" s="211">
        <f t="shared" si="13"/>
        <v>17.623979912115505</v>
      </c>
      <c r="F37" s="214">
        <f t="shared" si="11"/>
        <v>1.6271186440677932</v>
      </c>
      <c r="G37" s="214">
        <f t="shared" si="12"/>
        <v>38.169416536086295</v>
      </c>
      <c r="H37" s="217">
        <f t="shared" si="0"/>
        <v>1.4789492995330218</v>
      </c>
    </row>
    <row r="38" spans="1:8" ht="16.5">
      <c r="A38" s="216">
        <v>37561</v>
      </c>
      <c r="B38" s="226">
        <f>+geral!G630</f>
        <v>676.87</v>
      </c>
      <c r="C38" s="211">
        <f t="shared" si="2"/>
        <v>151.7645739910314</v>
      </c>
      <c r="D38" s="211">
        <f t="shared" si="14"/>
        <v>12.886924616410944</v>
      </c>
      <c r="E38" s="211">
        <f t="shared" si="13"/>
        <v>32.782093534212173</v>
      </c>
      <c r="F38" s="214">
        <f t="shared" ref="F38:F43" si="15">100*((B38/B26)-1)</f>
        <v>24.653775322283611</v>
      </c>
      <c r="G38" s="214">
        <f t="shared" si="12"/>
        <v>50.549377224199276</v>
      </c>
      <c r="H38" s="217">
        <f t="shared" si="0"/>
        <v>1.3101156795248716</v>
      </c>
    </row>
    <row r="39" spans="1:8" ht="16.5">
      <c r="A39" s="216">
        <v>37591</v>
      </c>
      <c r="B39" s="226">
        <f>+geral!G631</f>
        <v>678.23</v>
      </c>
      <c r="C39" s="211">
        <f t="shared" si="2"/>
        <v>152.0695067264574</v>
      </c>
      <c r="D39" s="211">
        <f t="shared" si="14"/>
        <v>0.20092484524354415</v>
      </c>
      <c r="E39" s="211">
        <f t="shared" si="13"/>
        <v>33.048885750156941</v>
      </c>
      <c r="F39" s="214">
        <f t="shared" si="15"/>
        <v>33.048885750156941</v>
      </c>
      <c r="G39" s="214">
        <f t="shared" si="12"/>
        <v>49.851966416261597</v>
      </c>
      <c r="H39" s="217">
        <f t="shared" ref="H39:H70" si="16">+B$171/B39</f>
        <v>1.3074886100585346</v>
      </c>
    </row>
    <row r="40" spans="1:8" ht="16.5">
      <c r="A40" s="216">
        <v>37622</v>
      </c>
      <c r="B40" s="226">
        <f>+geral!I620</f>
        <v>726.88</v>
      </c>
      <c r="C40" s="211">
        <f t="shared" si="2"/>
        <v>162.97757847533632</v>
      </c>
      <c r="D40" s="211">
        <f t="shared" si="14"/>
        <v>7.1730828774899225</v>
      </c>
      <c r="E40" s="211">
        <f t="shared" ref="E40:E45" si="17">100*((B40/$B$39)-1)</f>
        <v>7.1730828774899225</v>
      </c>
      <c r="F40" s="214">
        <f t="shared" si="15"/>
        <v>40.813638124757823</v>
      </c>
      <c r="G40" s="214">
        <f t="shared" si="12"/>
        <v>62.007711681191083</v>
      </c>
      <c r="H40" s="217">
        <f t="shared" si="16"/>
        <v>1.2199785384107418</v>
      </c>
    </row>
    <row r="41" spans="1:8" ht="16.5">
      <c r="A41" s="216">
        <v>37653</v>
      </c>
      <c r="B41" s="226">
        <f>+geral!I621</f>
        <v>690</v>
      </c>
      <c r="C41" s="211">
        <f t="shared" si="2"/>
        <v>154.70852017937219</v>
      </c>
      <c r="D41" s="211">
        <f t="shared" ref="D41:D46" si="18">100*((B41/B40)-1)</f>
        <v>-5.0737398195025314</v>
      </c>
      <c r="E41" s="211">
        <f t="shared" si="17"/>
        <v>1.7353994957462815</v>
      </c>
      <c r="F41" s="214">
        <f t="shared" si="15"/>
        <v>31.328511610201758</v>
      </c>
      <c r="G41" s="214">
        <f t="shared" ref="G41:G46" si="19">100*(B41/B17-1)</f>
        <v>44.88188976377954</v>
      </c>
      <c r="H41" s="217">
        <f t="shared" si="16"/>
        <v>1.2851855072463767</v>
      </c>
    </row>
    <row r="42" spans="1:8" ht="16.5">
      <c r="A42" s="216">
        <v>37681</v>
      </c>
      <c r="B42" s="226">
        <f>+geral!I622</f>
        <v>818.8</v>
      </c>
      <c r="C42" s="211">
        <f t="shared" si="2"/>
        <v>183.58744394618833</v>
      </c>
      <c r="D42" s="211">
        <f t="shared" si="18"/>
        <v>18.666666666666654</v>
      </c>
      <c r="E42" s="211">
        <f t="shared" si="17"/>
        <v>20.726007401618919</v>
      </c>
      <c r="F42" s="214">
        <f t="shared" si="15"/>
        <v>50.018321729571284</v>
      </c>
      <c r="G42" s="214">
        <f t="shared" si="19"/>
        <v>59.850067352556444</v>
      </c>
      <c r="H42" s="217">
        <f t="shared" si="16"/>
        <v>1.0830214948705421</v>
      </c>
    </row>
    <row r="43" spans="1:8" ht="16.5">
      <c r="A43" s="216">
        <v>37712</v>
      </c>
      <c r="B43" s="226">
        <f>+geral!I623</f>
        <v>822.6</v>
      </c>
      <c r="C43" s="211">
        <f t="shared" si="2"/>
        <v>184.43946188340809</v>
      </c>
      <c r="D43" s="211">
        <f t="shared" si="18"/>
        <v>0.46409379579874788</v>
      </c>
      <c r="E43" s="211">
        <f t="shared" si="17"/>
        <v>21.286289311885341</v>
      </c>
      <c r="F43" s="214">
        <f t="shared" si="15"/>
        <v>42.862104897533882</v>
      </c>
      <c r="G43" s="214">
        <f t="shared" si="19"/>
        <v>75.394456289978677</v>
      </c>
      <c r="H43" s="217">
        <f t="shared" si="16"/>
        <v>1.078018477996596</v>
      </c>
    </row>
    <row r="44" spans="1:8" ht="16.5">
      <c r="A44" s="216">
        <v>37742</v>
      </c>
      <c r="B44" s="226">
        <f>+geral!I624</f>
        <v>823.01</v>
      </c>
      <c r="C44" s="211">
        <f t="shared" si="2"/>
        <v>184.53139013452915</v>
      </c>
      <c r="D44" s="211">
        <f t="shared" si="18"/>
        <v>4.9841964502794767E-2</v>
      </c>
      <c r="E44" s="211">
        <f t="shared" si="17"/>
        <v>21.346740781150931</v>
      </c>
      <c r="F44" s="214">
        <f t="shared" ref="F44:F50" si="20">100*((B44/B32)-1)</f>
        <v>52.352832284339115</v>
      </c>
      <c r="G44" s="214">
        <f t="shared" si="19"/>
        <v>65.429145728643221</v>
      </c>
      <c r="H44" s="217">
        <f t="shared" si="16"/>
        <v>1.0774814400797073</v>
      </c>
    </row>
    <row r="45" spans="1:8" ht="16.5">
      <c r="A45" s="216">
        <v>37773</v>
      </c>
      <c r="B45" s="226">
        <f>+geral!I625</f>
        <v>823.73</v>
      </c>
      <c r="C45" s="211">
        <f t="shared" si="2"/>
        <v>184.69282511210761</v>
      </c>
      <c r="D45" s="211">
        <f t="shared" si="18"/>
        <v>8.7483748678640616E-2</v>
      </c>
      <c r="E45" s="211">
        <f t="shared" si="17"/>
        <v>21.452899458885621</v>
      </c>
      <c r="F45" s="214">
        <f t="shared" si="20"/>
        <v>56.543139490687942</v>
      </c>
      <c r="G45" s="214">
        <f t="shared" si="19"/>
        <v>51.309698750918443</v>
      </c>
      <c r="H45" s="217">
        <f t="shared" si="16"/>
        <v>1.0765396428441356</v>
      </c>
    </row>
    <row r="46" spans="1:8" ht="16.5">
      <c r="A46" s="216">
        <v>37803</v>
      </c>
      <c r="B46" s="226">
        <f>+geral!I626</f>
        <v>821.8</v>
      </c>
      <c r="C46" s="211">
        <f t="shared" si="2"/>
        <v>184.26008968609867</v>
      </c>
      <c r="D46" s="211">
        <f t="shared" si="18"/>
        <v>-0.23430007405339515</v>
      </c>
      <c r="E46" s="211">
        <f t="shared" ref="E46:E51" si="21">100*((B46/$B$39)-1)</f>
        <v>21.168335225513466</v>
      </c>
      <c r="F46" s="214">
        <f t="shared" si="20"/>
        <v>51.171774401236149</v>
      </c>
      <c r="G46" s="214">
        <f t="shared" si="19"/>
        <v>58.587417985333822</v>
      </c>
      <c r="H46" s="217">
        <f t="shared" si="16"/>
        <v>1.0790678997322949</v>
      </c>
    </row>
    <row r="47" spans="1:8" ht="16.5">
      <c r="A47" s="216">
        <v>37834</v>
      </c>
      <c r="B47" s="226">
        <f>+geral!I627</f>
        <v>806.3</v>
      </c>
      <c r="C47" s="211">
        <f t="shared" si="2"/>
        <v>180.7847533632287</v>
      </c>
      <c r="D47" s="211">
        <f t="shared" ref="D47:D52" si="22">100*((B47/B46)-1)</f>
        <v>-1.8861036748600624</v>
      </c>
      <c r="E47" s="211">
        <f t="shared" si="21"/>
        <v>18.882974802058293</v>
      </c>
      <c r="F47" s="214">
        <f t="shared" si="20"/>
        <v>36.291413116970908</v>
      </c>
      <c r="G47" s="214">
        <f t="shared" ref="G47:G52" si="23">100*(B47/B23-1)</f>
        <v>53.259836532978497</v>
      </c>
      <c r="H47" s="217">
        <f t="shared" si="16"/>
        <v>1.0998114845590972</v>
      </c>
    </row>
    <row r="48" spans="1:8" ht="16.5">
      <c r="A48" s="216">
        <v>37865</v>
      </c>
      <c r="B48" s="226">
        <f>+geral!I628</f>
        <v>802.64</v>
      </c>
      <c r="C48" s="211">
        <f t="shared" si="2"/>
        <v>179.96412556053812</v>
      </c>
      <c r="D48" s="211">
        <f t="shared" si="22"/>
        <v>-0.4539253379635344</v>
      </c>
      <c r="E48" s="211">
        <f t="shared" si="21"/>
        <v>18.343334856906935</v>
      </c>
      <c r="F48" s="214">
        <f t="shared" si="20"/>
        <v>38.98528138528139</v>
      </c>
      <c r="G48" s="214">
        <f t="shared" si="23"/>
        <v>52.087162482235904</v>
      </c>
      <c r="H48" s="217">
        <f t="shared" si="16"/>
        <v>1.1048265723113724</v>
      </c>
    </row>
    <row r="49" spans="1:8" ht="16.5">
      <c r="A49" s="216">
        <v>37895</v>
      </c>
      <c r="B49" s="226">
        <f>+geral!I629</f>
        <v>775.79</v>
      </c>
      <c r="C49" s="211">
        <f t="shared" si="2"/>
        <v>173.94394618834082</v>
      </c>
      <c r="D49" s="211">
        <f t="shared" si="22"/>
        <v>-3.3452108043456663</v>
      </c>
      <c r="E49" s="211">
        <f t="shared" si="21"/>
        <v>14.384500833050717</v>
      </c>
      <c r="F49" s="214">
        <f t="shared" si="20"/>
        <v>29.384589726484322</v>
      </c>
      <c r="G49" s="214">
        <f t="shared" si="23"/>
        <v>31.489830508474583</v>
      </c>
      <c r="H49" s="217">
        <f t="shared" si="16"/>
        <v>1.1430644891014321</v>
      </c>
    </row>
    <row r="50" spans="1:8" ht="16.5">
      <c r="A50" s="216">
        <v>37926</v>
      </c>
      <c r="B50" s="226">
        <f>+geral!I630</f>
        <v>857.04</v>
      </c>
      <c r="C50" s="211">
        <f t="shared" si="2"/>
        <v>192.16143497757847</v>
      </c>
      <c r="D50" s="211">
        <f t="shared" si="22"/>
        <v>10.473195065674989</v>
      </c>
      <c r="E50" s="211">
        <f t="shared" si="21"/>
        <v>26.364212730194758</v>
      </c>
      <c r="F50" s="214">
        <f t="shared" si="20"/>
        <v>26.618109829066139</v>
      </c>
      <c r="G50" s="214">
        <f t="shared" si="23"/>
        <v>57.834254143646405</v>
      </c>
      <c r="H50" s="217">
        <f t="shared" si="16"/>
        <v>1.0346984971529916</v>
      </c>
    </row>
    <row r="51" spans="1:8" ht="16.5">
      <c r="A51" s="216">
        <v>37956</v>
      </c>
      <c r="B51" s="226">
        <f>+geral!I631</f>
        <v>808</v>
      </c>
      <c r="C51" s="211">
        <f t="shared" si="2"/>
        <v>181.1659192825112</v>
      </c>
      <c r="D51" s="211">
        <f t="shared" si="22"/>
        <v>-5.7220199757304187</v>
      </c>
      <c r="E51" s="211">
        <f t="shared" si="21"/>
        <v>19.133627235598549</v>
      </c>
      <c r="F51" s="214">
        <f t="shared" ref="F51:F56" si="24">100*((B51/B39)-1)</f>
        <v>19.133627235598549</v>
      </c>
      <c r="G51" s="214">
        <f t="shared" si="23"/>
        <v>58.505963590709364</v>
      </c>
      <c r="H51" s="217">
        <f t="shared" si="16"/>
        <v>1.0974975247524752</v>
      </c>
    </row>
    <row r="52" spans="1:8" ht="16.5">
      <c r="A52" s="216">
        <v>37987</v>
      </c>
      <c r="B52" s="226">
        <f>+geral!K620</f>
        <v>875.93</v>
      </c>
      <c r="C52" s="211">
        <f t="shared" si="2"/>
        <v>196.3968609865471</v>
      </c>
      <c r="D52" s="211">
        <f t="shared" si="22"/>
        <v>8.4071782178217767</v>
      </c>
      <c r="E52" s="211">
        <f t="shared" ref="E52:E57" si="25">100*((B52/$B$51)-1)</f>
        <v>8.4071782178217767</v>
      </c>
      <c r="F52" s="214">
        <f t="shared" si="24"/>
        <v>20.505447941888622</v>
      </c>
      <c r="G52" s="214">
        <f t="shared" si="23"/>
        <v>69.688105385509473</v>
      </c>
      <c r="H52" s="217">
        <f t="shared" si="16"/>
        <v>1.0123845512769285</v>
      </c>
    </row>
    <row r="53" spans="1:8" ht="16.5">
      <c r="A53" s="216">
        <v>38018</v>
      </c>
      <c r="B53" s="226">
        <f>+geral!K621</f>
        <v>881.25</v>
      </c>
      <c r="C53" s="211">
        <f t="shared" si="2"/>
        <v>197.58968609865471</v>
      </c>
      <c r="D53" s="211">
        <f t="shared" ref="D53:D58" si="26">100*((B53/B52)-1)</f>
        <v>0.60735446896442724</v>
      </c>
      <c r="E53" s="211">
        <f t="shared" si="25"/>
        <v>9.0655940594059459</v>
      </c>
      <c r="F53" s="214">
        <f t="shared" si="24"/>
        <v>27.717391304347828</v>
      </c>
      <c r="G53" s="214">
        <f t="shared" ref="G53:G58" si="27">100*(B53/B29-1)</f>
        <v>67.729349067377242</v>
      </c>
      <c r="H53" s="217">
        <f t="shared" si="16"/>
        <v>1.0062729078014183</v>
      </c>
    </row>
    <row r="54" spans="1:8" ht="16.5">
      <c r="A54" s="216">
        <v>38047</v>
      </c>
      <c r="B54" s="226">
        <f>+geral!K622</f>
        <v>918.4</v>
      </c>
      <c r="C54" s="211">
        <f t="shared" si="2"/>
        <v>205.91928251121075</v>
      </c>
      <c r="D54" s="211">
        <f t="shared" si="26"/>
        <v>4.2156028368794285</v>
      </c>
      <c r="E54" s="211">
        <f t="shared" si="25"/>
        <v>13.663366336633654</v>
      </c>
      <c r="F54" s="214">
        <f t="shared" si="24"/>
        <v>12.164142647777233</v>
      </c>
      <c r="G54" s="214">
        <f t="shared" si="27"/>
        <v>68.266764382557724</v>
      </c>
      <c r="H54" s="217">
        <f t="shared" si="16"/>
        <v>0.96556837979094068</v>
      </c>
    </row>
    <row r="55" spans="1:8" ht="16.5">
      <c r="A55" s="216">
        <v>38078</v>
      </c>
      <c r="B55" s="226">
        <f>+geral!K623</f>
        <v>933.8</v>
      </c>
      <c r="C55" s="211">
        <f t="shared" si="2"/>
        <v>209.37219730941703</v>
      </c>
      <c r="D55" s="211">
        <f t="shared" si="26"/>
        <v>1.67682926829269</v>
      </c>
      <c r="E55" s="211">
        <f t="shared" si="25"/>
        <v>15.569306930693072</v>
      </c>
      <c r="F55" s="214">
        <f t="shared" si="24"/>
        <v>13.51811329929491</v>
      </c>
      <c r="G55" s="214">
        <f t="shared" si="27"/>
        <v>62.174366099340062</v>
      </c>
      <c r="H55" s="217">
        <f t="shared" si="16"/>
        <v>0.94964446348254439</v>
      </c>
    </row>
    <row r="56" spans="1:8" ht="16.5">
      <c r="A56" s="216">
        <v>38108</v>
      </c>
      <c r="B56" s="226">
        <f>+geral!K624</f>
        <v>954.8</v>
      </c>
      <c r="C56" s="211">
        <f t="shared" si="2"/>
        <v>214.08071748878925</v>
      </c>
      <c r="D56" s="211">
        <f t="shared" si="26"/>
        <v>2.2488755622188883</v>
      </c>
      <c r="E56" s="211">
        <f t="shared" si="25"/>
        <v>18.168316831683164</v>
      </c>
      <c r="F56" s="214">
        <f t="shared" si="24"/>
        <v>16.013171164384389</v>
      </c>
      <c r="G56" s="214">
        <f t="shared" si="27"/>
        <v>76.749352091817812</v>
      </c>
      <c r="H56" s="217">
        <f t="shared" si="16"/>
        <v>0.92875785504817754</v>
      </c>
    </row>
    <row r="57" spans="1:8" ht="16.5">
      <c r="A57" s="216">
        <v>38139</v>
      </c>
      <c r="B57" s="226">
        <f>+geral!K625</f>
        <v>977.2</v>
      </c>
      <c r="C57" s="211">
        <f t="shared" si="2"/>
        <v>219.1031390134529</v>
      </c>
      <c r="D57" s="211">
        <f t="shared" si="26"/>
        <v>2.3460410557184952</v>
      </c>
      <c r="E57" s="211">
        <f t="shared" si="25"/>
        <v>20.940594059405939</v>
      </c>
      <c r="F57" s="214">
        <f t="shared" ref="F57:F62" si="28">100*((B57/B45)-1)</f>
        <v>18.631104852318114</v>
      </c>
      <c r="G57" s="214">
        <f t="shared" si="27"/>
        <v>85.70885594830861</v>
      </c>
      <c r="H57" s="217">
        <f t="shared" si="16"/>
        <v>0.90746827670896424</v>
      </c>
    </row>
    <row r="58" spans="1:8" ht="16.5">
      <c r="A58" s="216">
        <v>38169</v>
      </c>
      <c r="B58" s="226">
        <f>+geral!K626</f>
        <v>990.6</v>
      </c>
      <c r="C58" s="211">
        <f t="shared" si="2"/>
        <v>222.10762331838566</v>
      </c>
      <c r="D58" s="211">
        <f t="shared" si="26"/>
        <v>1.3712648383135573</v>
      </c>
      <c r="E58" s="211">
        <f t="shared" ref="E58:E63" si="29">100*((B58/$B$51)-1)</f>
        <v>22.599009900990108</v>
      </c>
      <c r="F58" s="214">
        <f t="shared" si="28"/>
        <v>20.540277439766385</v>
      </c>
      <c r="G58" s="214">
        <f t="shared" si="27"/>
        <v>82.222876273867769</v>
      </c>
      <c r="H58" s="217">
        <f t="shared" si="16"/>
        <v>0.89519281243690685</v>
      </c>
    </row>
    <row r="59" spans="1:8" ht="16.5">
      <c r="A59" s="216">
        <v>38200</v>
      </c>
      <c r="B59" s="226">
        <f>+geral!K627</f>
        <v>952.63</v>
      </c>
      <c r="C59" s="211">
        <f t="shared" si="2"/>
        <v>213.59417040358744</v>
      </c>
      <c r="D59" s="211">
        <f t="shared" ref="D59:D64" si="30">100*((B59/B58)-1)</f>
        <v>-3.8330304865737963</v>
      </c>
      <c r="E59" s="211">
        <f t="shared" si="29"/>
        <v>17.899752475247531</v>
      </c>
      <c r="F59" s="214">
        <f t="shared" si="28"/>
        <v>18.148331886394644</v>
      </c>
      <c r="G59" s="214">
        <f t="shared" ref="G59:G64" si="31">100*(B59/B35-1)</f>
        <v>61.026031102096013</v>
      </c>
      <c r="H59" s="217">
        <f t="shared" si="16"/>
        <v>0.93087347658587272</v>
      </c>
    </row>
    <row r="60" spans="1:8" ht="16.5">
      <c r="A60" s="216">
        <v>38231</v>
      </c>
      <c r="B60" s="226">
        <f>+geral!K628</f>
        <v>968.6</v>
      </c>
      <c r="C60" s="211">
        <f t="shared" si="2"/>
        <v>217.17488789237669</v>
      </c>
      <c r="D60" s="211">
        <f t="shared" si="30"/>
        <v>1.6764116183618061</v>
      </c>
      <c r="E60" s="211">
        <f t="shared" si="29"/>
        <v>19.876237623762382</v>
      </c>
      <c r="F60" s="214">
        <f t="shared" si="28"/>
        <v>20.676766669989032</v>
      </c>
      <c r="G60" s="214">
        <f t="shared" si="31"/>
        <v>67.722943722943711</v>
      </c>
      <c r="H60" s="217">
        <f t="shared" si="16"/>
        <v>0.91552550072269245</v>
      </c>
    </row>
    <row r="61" spans="1:8" ht="16.5">
      <c r="A61" s="216">
        <v>38261</v>
      </c>
      <c r="B61" s="226">
        <f>+geral!K629</f>
        <v>967.4</v>
      </c>
      <c r="C61" s="211">
        <f t="shared" si="2"/>
        <v>216.90582959641256</v>
      </c>
      <c r="D61" s="211">
        <f t="shared" si="30"/>
        <v>-0.12389015073301923</v>
      </c>
      <c r="E61" s="211">
        <f t="shared" si="29"/>
        <v>19.727722772277232</v>
      </c>
      <c r="F61" s="214">
        <f t="shared" si="28"/>
        <v>24.69869423426443</v>
      </c>
      <c r="G61" s="214">
        <f t="shared" si="31"/>
        <v>61.340893929286189</v>
      </c>
      <c r="H61" s="217">
        <f t="shared" si="16"/>
        <v>0.91666115360760791</v>
      </c>
    </row>
    <row r="62" spans="1:8" ht="16.5">
      <c r="A62" s="216">
        <v>38292</v>
      </c>
      <c r="B62" s="226">
        <f>+geral!K630</f>
        <v>1104.3</v>
      </c>
      <c r="C62" s="211">
        <f t="shared" si="2"/>
        <v>247.60089686098655</v>
      </c>
      <c r="D62" s="211">
        <f t="shared" si="30"/>
        <v>14.151333471159798</v>
      </c>
      <c r="E62" s="211">
        <f t="shared" si="29"/>
        <v>36.670792079207914</v>
      </c>
      <c r="F62" s="214">
        <f t="shared" si="28"/>
        <v>28.850462055446656</v>
      </c>
      <c r="G62" s="214">
        <f t="shared" si="31"/>
        <v>63.148019560624633</v>
      </c>
      <c r="H62" s="217">
        <f t="shared" si="16"/>
        <v>0.80302272933079777</v>
      </c>
    </row>
    <row r="63" spans="1:8" ht="16.5">
      <c r="A63" s="216">
        <v>38322</v>
      </c>
      <c r="B63" s="226">
        <f>+geral!K631</f>
        <v>971.17</v>
      </c>
      <c r="C63" s="211">
        <f t="shared" si="2"/>
        <v>217.75112107623318</v>
      </c>
      <c r="D63" s="211">
        <f t="shared" si="30"/>
        <v>-12.055600833106951</v>
      </c>
      <c r="E63" s="211">
        <f t="shared" si="29"/>
        <v>20.194306930693063</v>
      </c>
      <c r="F63" s="214">
        <f t="shared" ref="F63:F68" si="32">100*((B63/B51)-1)</f>
        <v>20.194306930693063</v>
      </c>
      <c r="G63" s="214">
        <f t="shared" si="31"/>
        <v>43.191837577223048</v>
      </c>
      <c r="H63" s="217">
        <f t="shared" si="16"/>
        <v>0.91310275235025784</v>
      </c>
    </row>
    <row r="64" spans="1:8" ht="16.5">
      <c r="A64" s="216">
        <v>38353</v>
      </c>
      <c r="B64" s="226">
        <f>+geral!M620</f>
        <v>1017</v>
      </c>
      <c r="C64" s="211">
        <f t="shared" si="2"/>
        <v>228.02690582959642</v>
      </c>
      <c r="D64" s="211">
        <f t="shared" si="30"/>
        <v>4.7190502177785643</v>
      </c>
      <c r="E64" s="211">
        <f t="shared" ref="E64:E69" si="33">100*((B64/$B$63)-1)</f>
        <v>4.7190502177785643</v>
      </c>
      <c r="F64" s="214">
        <f t="shared" si="32"/>
        <v>16.105168221204892</v>
      </c>
      <c r="G64" s="214">
        <f t="shared" si="31"/>
        <v>39.913053048646276</v>
      </c>
      <c r="H64" s="217">
        <f t="shared" si="16"/>
        <v>0.87195476892822021</v>
      </c>
    </row>
    <row r="65" spans="1:8" ht="16.5">
      <c r="A65" s="216">
        <v>38384</v>
      </c>
      <c r="B65" s="226">
        <f>+geral!M621</f>
        <v>1021.77</v>
      </c>
      <c r="C65" s="211">
        <f t="shared" si="2"/>
        <v>229.09641255605382</v>
      </c>
      <c r="D65" s="211">
        <f t="shared" ref="D65:D70" si="34">100*((B65/B64)-1)</f>
        <v>0.46902654867255755</v>
      </c>
      <c r="E65" s="211">
        <f t="shared" si="33"/>
        <v>5.2102103648177023</v>
      </c>
      <c r="F65" s="214">
        <f t="shared" si="32"/>
        <v>15.945531914893607</v>
      </c>
      <c r="G65" s="214">
        <f t="shared" ref="G65:G70" si="35">100*(B65/B41-1)</f>
        <v>48.082608695652176</v>
      </c>
      <c r="H65" s="217">
        <f t="shared" si="16"/>
        <v>0.86788416179766481</v>
      </c>
    </row>
    <row r="66" spans="1:8" ht="16.5">
      <c r="A66" s="216">
        <v>38412</v>
      </c>
      <c r="B66" s="226">
        <f>+geral!M622</f>
        <v>1061.57</v>
      </c>
      <c r="C66" s="211">
        <f t="shared" si="2"/>
        <v>238.0201793721973</v>
      </c>
      <c r="D66" s="211">
        <f t="shared" si="34"/>
        <v>3.8952014641259636</v>
      </c>
      <c r="E66" s="211">
        <f t="shared" si="33"/>
        <v>9.3083600193580871</v>
      </c>
      <c r="F66" s="214">
        <f t="shared" si="32"/>
        <v>15.589067944250857</v>
      </c>
      <c r="G66" s="214">
        <f t="shared" si="35"/>
        <v>29.649487054225698</v>
      </c>
      <c r="H66" s="217">
        <f t="shared" si="16"/>
        <v>0.83534576146650708</v>
      </c>
    </row>
    <row r="67" spans="1:8" ht="16.5">
      <c r="A67" s="216">
        <v>38443</v>
      </c>
      <c r="B67" s="226">
        <f>+geral!M623</f>
        <v>1095</v>
      </c>
      <c r="C67" s="211">
        <f t="shared" si="2"/>
        <v>245.51569506726457</v>
      </c>
      <c r="D67" s="211">
        <f t="shared" si="34"/>
        <v>3.1491093380558999</v>
      </c>
      <c r="E67" s="211">
        <f t="shared" si="33"/>
        <v>12.750599792003459</v>
      </c>
      <c r="F67" s="214">
        <f t="shared" si="32"/>
        <v>17.262797172842159</v>
      </c>
      <c r="G67" s="214">
        <f t="shared" si="35"/>
        <v>33.114514952589346</v>
      </c>
      <c r="H67" s="217">
        <f t="shared" si="16"/>
        <v>0.80984292237442912</v>
      </c>
    </row>
    <row r="68" spans="1:8" ht="16.5">
      <c r="A68" s="216">
        <v>38473</v>
      </c>
      <c r="B68" s="226">
        <f>+geral!M624</f>
        <v>1053.67</v>
      </c>
      <c r="C68" s="211">
        <f t="shared" si="2"/>
        <v>236.24887892376682</v>
      </c>
      <c r="D68" s="211">
        <f t="shared" si="34"/>
        <v>-3.7744292237442911</v>
      </c>
      <c r="E68" s="211">
        <f t="shared" si="33"/>
        <v>8.4949082035071122</v>
      </c>
      <c r="F68" s="214">
        <f t="shared" si="32"/>
        <v>10.355048177628845</v>
      </c>
      <c r="G68" s="214">
        <f t="shared" si="35"/>
        <v>28.026390930851399</v>
      </c>
      <c r="H68" s="217">
        <f t="shared" si="16"/>
        <v>0.84160885286664688</v>
      </c>
    </row>
    <row r="69" spans="1:8" ht="16.5">
      <c r="A69" s="216">
        <v>38504</v>
      </c>
      <c r="B69" s="226">
        <f>+geral!M625</f>
        <v>1055.67</v>
      </c>
      <c r="C69" s="211">
        <f t="shared" si="2"/>
        <v>236.69730941704037</v>
      </c>
      <c r="D69" s="211">
        <f t="shared" si="34"/>
        <v>0.18981274972240669</v>
      </c>
      <c r="E69" s="211">
        <f t="shared" si="33"/>
        <v>8.7008453720769818</v>
      </c>
      <c r="F69" s="214">
        <f t="shared" ref="F69:F74" si="36">100*((B69/B57)-1)</f>
        <v>8.0300859598853904</v>
      </c>
      <c r="G69" s="214">
        <f t="shared" si="35"/>
        <v>28.15728454712103</v>
      </c>
      <c r="H69" s="217">
        <f t="shared" si="16"/>
        <v>0.84001439843890591</v>
      </c>
    </row>
    <row r="70" spans="1:8" ht="16.5">
      <c r="A70" s="216">
        <v>38534</v>
      </c>
      <c r="B70" s="226">
        <f>+geral!M626</f>
        <v>1080.29</v>
      </c>
      <c r="C70" s="211">
        <f t="shared" si="2"/>
        <v>242.21748878923768</v>
      </c>
      <c r="D70" s="211">
        <f t="shared" si="34"/>
        <v>2.3321681965007945</v>
      </c>
      <c r="E70" s="211">
        <f t="shared" ref="E70:E75" si="37">100*((B70/$B$63)-1)</f>
        <v>11.235931917172071</v>
      </c>
      <c r="F70" s="214">
        <f t="shared" si="36"/>
        <v>9.0541086210377486</v>
      </c>
      <c r="G70" s="214">
        <f t="shared" si="35"/>
        <v>31.454125091263087</v>
      </c>
      <c r="H70" s="217">
        <f t="shared" si="16"/>
        <v>0.82087032185801956</v>
      </c>
    </row>
    <row r="71" spans="1:8" ht="16.5">
      <c r="A71" s="216">
        <v>38565</v>
      </c>
      <c r="B71" s="226">
        <f>+geral!M627</f>
        <v>1003.59</v>
      </c>
      <c r="C71" s="211">
        <f t="shared" si="2"/>
        <v>225.0201793721973</v>
      </c>
      <c r="D71" s="211">
        <f t="shared" ref="D71:D76" si="38">100*((B71/B70)-1)</f>
        <v>-7.0999453850354888</v>
      </c>
      <c r="E71" s="211">
        <f t="shared" si="37"/>
        <v>3.3382415025175805</v>
      </c>
      <c r="F71" s="214">
        <f t="shared" si="36"/>
        <v>5.3494011316040924</v>
      </c>
      <c r="G71" s="214">
        <f t="shared" ref="G71:G76" si="39">100*(B71/B47-1)</f>
        <v>24.468560089296808</v>
      </c>
      <c r="H71" s="217">
        <f t="shared" ref="H71:H102" si="40">+B$171/B71</f>
        <v>0.8836058549806195</v>
      </c>
    </row>
    <row r="72" spans="1:8" ht="16.5">
      <c r="A72" s="216">
        <v>38596</v>
      </c>
      <c r="B72" s="226">
        <f>+geral!M628</f>
        <v>1011.18</v>
      </c>
      <c r="C72" s="211">
        <f t="shared" si="2"/>
        <v>226.72197309417041</v>
      </c>
      <c r="D72" s="211">
        <f t="shared" si="38"/>
        <v>0.75628493707589062</v>
      </c>
      <c r="E72" s="211">
        <f t="shared" si="37"/>
        <v>4.119773057240228</v>
      </c>
      <c r="F72" s="214">
        <f t="shared" si="36"/>
        <v>4.3960355151765329</v>
      </c>
      <c r="G72" s="214">
        <f t="shared" si="39"/>
        <v>25.981760191368487</v>
      </c>
      <c r="H72" s="217">
        <f t="shared" si="40"/>
        <v>0.87697343697462371</v>
      </c>
    </row>
    <row r="73" spans="1:8" ht="16.5">
      <c r="A73" s="216">
        <v>38626</v>
      </c>
      <c r="B73" s="226">
        <f>+geral!M629</f>
        <v>1050.22</v>
      </c>
      <c r="C73" s="211">
        <f t="shared" si="2"/>
        <v>235.47533632286996</v>
      </c>
      <c r="D73" s="211">
        <f t="shared" si="38"/>
        <v>3.8608358551395439</v>
      </c>
      <c r="E73" s="211">
        <f t="shared" si="37"/>
        <v>8.1396665877240935</v>
      </c>
      <c r="F73" s="214">
        <f t="shared" si="36"/>
        <v>8.5610915856936245</v>
      </c>
      <c r="G73" s="214">
        <f t="shared" si="39"/>
        <v>35.37426365382386</v>
      </c>
      <c r="H73" s="217">
        <f t="shared" si="40"/>
        <v>0.84437355982556028</v>
      </c>
    </row>
    <row r="74" spans="1:8" ht="16.5">
      <c r="A74" s="216">
        <v>38657</v>
      </c>
      <c r="B74" s="226">
        <f>+geral!M630</f>
        <v>1036.76</v>
      </c>
      <c r="C74" s="211">
        <f t="shared" si="2"/>
        <v>232.45739910313901</v>
      </c>
      <c r="D74" s="211">
        <f t="shared" si="38"/>
        <v>-1.2816362285997251</v>
      </c>
      <c r="E74" s="211">
        <f t="shared" si="37"/>
        <v>6.7537094432488676</v>
      </c>
      <c r="F74" s="214">
        <f t="shared" si="36"/>
        <v>-6.1160916417640099</v>
      </c>
      <c r="G74" s="214">
        <f t="shared" si="39"/>
        <v>20.969849715299183</v>
      </c>
      <c r="H74" s="217">
        <f t="shared" si="40"/>
        <v>0.85533585400671319</v>
      </c>
    </row>
    <row r="75" spans="1:8" ht="16.5">
      <c r="A75" s="216">
        <v>38687</v>
      </c>
      <c r="B75" s="226">
        <f>+geral!M631</f>
        <v>1025.5</v>
      </c>
      <c r="C75" s="211">
        <f t="shared" si="2"/>
        <v>229.93273542600897</v>
      </c>
      <c r="D75" s="211">
        <f t="shared" si="38"/>
        <v>-1.0860758516918034</v>
      </c>
      <c r="E75" s="211">
        <f t="shared" si="37"/>
        <v>5.5942831842004992</v>
      </c>
      <c r="F75" s="214">
        <f t="shared" ref="F75:F80" si="41">100*((B75/B63)-1)</f>
        <v>5.5942831842004992</v>
      </c>
      <c r="G75" s="214">
        <f t="shared" si="39"/>
        <v>26.918316831683175</v>
      </c>
      <c r="H75" s="217">
        <f t="shared" si="40"/>
        <v>0.86472745002437823</v>
      </c>
    </row>
    <row r="76" spans="1:8" ht="16.5">
      <c r="A76" s="216">
        <v>38718</v>
      </c>
      <c r="B76" s="227">
        <f>geral!C635</f>
        <v>975.14</v>
      </c>
      <c r="C76" s="211">
        <f t="shared" si="2"/>
        <v>218.64125560538116</v>
      </c>
      <c r="D76" s="211">
        <f t="shared" si="38"/>
        <v>-4.9107752315943447</v>
      </c>
      <c r="E76" s="211">
        <f t="shared" ref="E76:E81" si="42">100*((B76/$B$75)-1)</f>
        <v>-4.9107752315943447</v>
      </c>
      <c r="F76" s="214">
        <f t="shared" si="41"/>
        <v>-4.1160275319567337</v>
      </c>
      <c r="G76" s="214">
        <f t="shared" si="39"/>
        <v>11.32624753119542</v>
      </c>
      <c r="H76" s="217">
        <f t="shared" si="40"/>
        <v>0.90938531903111341</v>
      </c>
    </row>
    <row r="77" spans="1:8" ht="16.5">
      <c r="A77" s="216">
        <v>38749</v>
      </c>
      <c r="B77" s="227">
        <f>geral!C636</f>
        <v>1003</v>
      </c>
      <c r="C77" s="211">
        <f t="shared" si="2"/>
        <v>224.88789237668161</v>
      </c>
      <c r="D77" s="211">
        <f t="shared" ref="D77:D82" si="43">100*((B77/B76)-1)</f>
        <v>2.8570256578542619</v>
      </c>
      <c r="E77" s="211">
        <f t="shared" si="42"/>
        <v>-2.1940516821062905</v>
      </c>
      <c r="F77" s="214">
        <f t="shared" si="41"/>
        <v>-1.8370083286845307</v>
      </c>
      <c r="G77" s="214">
        <f t="shared" ref="G77:G82" si="44">100*(B77/B53-1)</f>
        <v>13.815602836879437</v>
      </c>
      <c r="H77" s="217">
        <f t="shared" si="40"/>
        <v>0.88412562313060805</v>
      </c>
    </row>
    <row r="78" spans="1:8" ht="16.5">
      <c r="A78" s="216">
        <v>38777</v>
      </c>
      <c r="B78" s="227">
        <f>geral!C637</f>
        <v>1003.97</v>
      </c>
      <c r="C78" s="211">
        <f t="shared" si="2"/>
        <v>225.10538116591928</v>
      </c>
      <c r="D78" s="211">
        <f t="shared" si="43"/>
        <v>9.6709870388833608E-2</v>
      </c>
      <c r="E78" s="211">
        <f t="shared" si="42"/>
        <v>-2.0994636762554864</v>
      </c>
      <c r="F78" s="214">
        <f t="shared" si="41"/>
        <v>-5.4259257514812864</v>
      </c>
      <c r="G78" s="214">
        <f t="shared" si="44"/>
        <v>9.3172909407665649</v>
      </c>
      <c r="H78" s="217">
        <f t="shared" si="40"/>
        <v>0.88327141249240504</v>
      </c>
    </row>
    <row r="79" spans="1:8" ht="16.5">
      <c r="A79" s="216">
        <v>38808</v>
      </c>
      <c r="B79" s="227">
        <f>geral!C638</f>
        <v>999.21</v>
      </c>
      <c r="C79" s="211">
        <f t="shared" si="2"/>
        <v>224.03811659192826</v>
      </c>
      <c r="D79" s="211">
        <f t="shared" si="43"/>
        <v>-0.47411775252248489</v>
      </c>
      <c r="E79" s="211">
        <f t="shared" si="42"/>
        <v>-2.5636274987810737</v>
      </c>
      <c r="F79" s="214">
        <f t="shared" si="41"/>
        <v>-8.7479452054794464</v>
      </c>
      <c r="G79" s="214">
        <f t="shared" si="44"/>
        <v>7.0047119297494298</v>
      </c>
      <c r="H79" s="217">
        <f t="shared" si="40"/>
        <v>0.88747910849571143</v>
      </c>
    </row>
    <row r="80" spans="1:8" ht="16.5">
      <c r="A80" s="216">
        <v>38838</v>
      </c>
      <c r="B80" s="227">
        <f>geral!C639</f>
        <v>994.88</v>
      </c>
      <c r="C80" s="211">
        <f t="shared" si="2"/>
        <v>223.06726457399103</v>
      </c>
      <c r="D80" s="211">
        <f t="shared" si="43"/>
        <v>-0.43334234044896114</v>
      </c>
      <c r="E80" s="211">
        <f t="shared" si="42"/>
        <v>-2.9858605558264251</v>
      </c>
      <c r="F80" s="214">
        <f t="shared" si="41"/>
        <v>-5.5795457780899227</v>
      </c>
      <c r="G80" s="214">
        <f t="shared" si="44"/>
        <v>4.1977377461248411</v>
      </c>
      <c r="H80" s="217">
        <f t="shared" si="40"/>
        <v>0.89134166934705683</v>
      </c>
    </row>
    <row r="81" spans="1:10" ht="16.5">
      <c r="A81" s="216">
        <v>38869</v>
      </c>
      <c r="B81" s="227">
        <f>geral!C640</f>
        <v>978.75</v>
      </c>
      <c r="C81" s="211">
        <f t="shared" si="2"/>
        <v>219.4506726457399</v>
      </c>
      <c r="D81" s="211">
        <f t="shared" si="43"/>
        <v>-1.6213010614345436</v>
      </c>
      <c r="E81" s="211">
        <f t="shared" si="42"/>
        <v>-4.5587518283764066</v>
      </c>
      <c r="F81" s="214">
        <f t="shared" ref="F81:F86" si="45">100*((B81/B69)-1)</f>
        <v>-7.2863678990593765</v>
      </c>
      <c r="G81" s="214">
        <f t="shared" si="44"/>
        <v>0.15861645517805112</v>
      </c>
      <c r="H81" s="217">
        <f t="shared" si="40"/>
        <v>0.90603116219667934</v>
      </c>
    </row>
    <row r="82" spans="1:10" ht="16.5">
      <c r="A82" s="216">
        <v>38899</v>
      </c>
      <c r="B82" s="227">
        <f>geral!C641</f>
        <v>992.33</v>
      </c>
      <c r="C82" s="211">
        <f t="shared" si="2"/>
        <v>222.49551569506727</v>
      </c>
      <c r="D82" s="211">
        <f t="shared" si="43"/>
        <v>1.3874840357599005</v>
      </c>
      <c r="E82" s="211">
        <f t="shared" ref="E82:E87" si="46">100*((B82/$B$75)-1)</f>
        <v>-3.2345197464651365</v>
      </c>
      <c r="F82" s="214">
        <f t="shared" si="45"/>
        <v>-8.1422580973627419</v>
      </c>
      <c r="G82" s="214">
        <f t="shared" si="44"/>
        <v>0.17464163133453781</v>
      </c>
      <c r="H82" s="217">
        <f t="shared" si="40"/>
        <v>0.89363215865689827</v>
      </c>
    </row>
    <row r="83" spans="1:10" ht="16.5">
      <c r="A83" s="216">
        <v>38930</v>
      </c>
      <c r="B83" s="227">
        <f>geral!C642</f>
        <v>982.43</v>
      </c>
      <c r="C83" s="211">
        <f t="shared" si="2"/>
        <v>220.27578475336324</v>
      </c>
      <c r="D83" s="211">
        <f t="shared" ref="D83:D88" si="47">100*((B83/B82)-1)</f>
        <v>-0.99765199076921052</v>
      </c>
      <c r="E83" s="211">
        <f t="shared" si="46"/>
        <v>-4.1999024865919115</v>
      </c>
      <c r="F83" s="214">
        <f t="shared" si="45"/>
        <v>-2.1084307336661445</v>
      </c>
      <c r="G83" s="214">
        <f t="shared" ref="G83:G88" si="48">100*(B83/B59-1)</f>
        <v>3.1281819804121147</v>
      </c>
      <c r="H83" s="217">
        <f t="shared" si="40"/>
        <v>0.90263733802917256</v>
      </c>
    </row>
    <row r="84" spans="1:10" ht="16.5">
      <c r="A84" s="216">
        <v>38961</v>
      </c>
      <c r="B84" s="227">
        <f>geral!C643</f>
        <v>945.5</v>
      </c>
      <c r="C84" s="211">
        <f t="shared" si="2"/>
        <v>211.99551569506727</v>
      </c>
      <c r="D84" s="211">
        <f t="shared" si="47"/>
        <v>-3.7590464460572237</v>
      </c>
      <c r="E84" s="211">
        <f t="shared" si="46"/>
        <v>-7.8010726474890273</v>
      </c>
      <c r="F84" s="214">
        <f t="shared" si="45"/>
        <v>-6.4953816333392584</v>
      </c>
      <c r="G84" s="214">
        <f t="shared" si="48"/>
        <v>-2.3848854016105703</v>
      </c>
      <c r="H84" s="217">
        <f t="shared" si="40"/>
        <v>0.93789317821258589</v>
      </c>
    </row>
    <row r="85" spans="1:10" ht="16.5">
      <c r="A85" s="216">
        <v>38991</v>
      </c>
      <c r="B85" s="227">
        <f>geral!C644</f>
        <v>950.53</v>
      </c>
      <c r="C85" s="211">
        <f t="shared" si="2"/>
        <v>213.12331838565024</v>
      </c>
      <c r="D85" s="211">
        <f t="shared" si="47"/>
        <v>0.53199365415124156</v>
      </c>
      <c r="E85" s="211">
        <f t="shared" si="46"/>
        <v>-7.3105802047781605</v>
      </c>
      <c r="F85" s="214">
        <f t="shared" si="45"/>
        <v>-9.492296852088133</v>
      </c>
      <c r="G85" s="214">
        <f t="shared" si="48"/>
        <v>-1.7438494934877036</v>
      </c>
      <c r="H85" s="217">
        <f t="shared" si="40"/>
        <v>0.93293004955130288</v>
      </c>
    </row>
    <row r="86" spans="1:10" ht="16.5">
      <c r="A86" s="216">
        <v>39022</v>
      </c>
      <c r="B86" s="227">
        <f>geral!C645</f>
        <v>969.38</v>
      </c>
      <c r="C86" s="211">
        <f t="shared" si="2"/>
        <v>217.34977578475338</v>
      </c>
      <c r="D86" s="211">
        <f t="shared" si="47"/>
        <v>1.9831041629406743</v>
      </c>
      <c r="E86" s="211">
        <f t="shared" si="46"/>
        <v>-5.4724524622135506</v>
      </c>
      <c r="F86" s="214">
        <f t="shared" si="45"/>
        <v>-6.4990933292179527</v>
      </c>
      <c r="G86" s="214">
        <f t="shared" si="48"/>
        <v>-12.217694467083218</v>
      </c>
      <c r="H86" s="217">
        <f t="shared" si="40"/>
        <v>0.91478883410014644</v>
      </c>
    </row>
    <row r="87" spans="1:10" ht="16.5">
      <c r="A87" s="216">
        <v>39052</v>
      </c>
      <c r="B87" s="227">
        <f>geral!C646</f>
        <v>921</v>
      </c>
      <c r="C87" s="211">
        <f t="shared" si="2"/>
        <v>206.50224215246638</v>
      </c>
      <c r="D87" s="211">
        <f t="shared" si="47"/>
        <v>-4.9908188739194115</v>
      </c>
      <c r="E87" s="211">
        <f t="shared" si="46"/>
        <v>-10.190151145782544</v>
      </c>
      <c r="F87" s="214">
        <f t="shared" ref="F87:F92" si="49">100*((B87/B75)-1)</f>
        <v>-10.190151145782544</v>
      </c>
      <c r="G87" s="214">
        <f t="shared" si="48"/>
        <v>-5.1659338735751685</v>
      </c>
      <c r="H87" s="217">
        <f t="shared" si="40"/>
        <v>0.96284256243213884</v>
      </c>
    </row>
    <row r="88" spans="1:10" ht="16.5">
      <c r="A88" s="216">
        <v>39083</v>
      </c>
      <c r="B88" s="227">
        <f>geral!E635</f>
        <v>942.83</v>
      </c>
      <c r="C88" s="211">
        <f t="shared" ref="C88:C147" si="50">100*B88/$B$7</f>
        <v>211.3968609865471</v>
      </c>
      <c r="D88" s="211">
        <f t="shared" si="47"/>
        <v>2.3702497285559287</v>
      </c>
      <c r="E88" s="211">
        <f t="shared" ref="E88:E93" si="51">100*((B88/$B$87)-1)</f>
        <v>2.3702497285559287</v>
      </c>
      <c r="F88" s="214">
        <f t="shared" si="49"/>
        <v>-3.3133703878417409</v>
      </c>
      <c r="G88" s="214">
        <f t="shared" si="48"/>
        <v>-7.2930186823992109</v>
      </c>
      <c r="H88" s="217">
        <f t="shared" si="40"/>
        <v>0.94054919762841649</v>
      </c>
    </row>
    <row r="89" spans="1:10" ht="16.5">
      <c r="A89" s="216">
        <v>39114</v>
      </c>
      <c r="B89" s="227">
        <f>geral!E636</f>
        <v>921.29</v>
      </c>
      <c r="C89" s="211">
        <f t="shared" si="50"/>
        <v>206.56726457399103</v>
      </c>
      <c r="D89" s="211">
        <f t="shared" ref="D89:D99" si="52">100*((B89/B88)-1)</f>
        <v>-2.284611223656452</v>
      </c>
      <c r="E89" s="211">
        <f t="shared" si="51"/>
        <v>3.1487513572203696E-2</v>
      </c>
      <c r="F89" s="214">
        <f t="shared" si="49"/>
        <v>-8.146560319042873</v>
      </c>
      <c r="G89" s="214">
        <f t="shared" ref="G89:G99" si="53">100*(B89/B65-1)</f>
        <v>-9.8339156561652814</v>
      </c>
      <c r="H89" s="217">
        <f t="shared" si="40"/>
        <v>0.9625394826818916</v>
      </c>
    </row>
    <row r="90" spans="1:10" ht="16.5">
      <c r="A90" s="216">
        <v>39142</v>
      </c>
      <c r="B90" s="227">
        <f>geral!E637</f>
        <v>896</v>
      </c>
      <c r="C90" s="211">
        <f t="shared" si="50"/>
        <v>200.8968609865471</v>
      </c>
      <c r="D90" s="211">
        <f t="shared" si="52"/>
        <v>-2.7450639863669357</v>
      </c>
      <c r="E90" s="211">
        <f t="shared" si="51"/>
        <v>-2.7144408251900121</v>
      </c>
      <c r="F90" s="214">
        <f t="shared" si="49"/>
        <v>-10.754305407532105</v>
      </c>
      <c r="G90" s="214">
        <f t="shared" si="53"/>
        <v>-15.596710532513159</v>
      </c>
      <c r="H90" s="217">
        <f t="shared" si="40"/>
        <v>0.98970758928571423</v>
      </c>
    </row>
    <row r="91" spans="1:10" ht="16.5">
      <c r="A91" s="216">
        <v>39173</v>
      </c>
      <c r="B91" s="227">
        <f>geral!E638</f>
        <v>962.8</v>
      </c>
      <c r="C91" s="211">
        <f t="shared" si="50"/>
        <v>215.87443946188341</v>
      </c>
      <c r="D91" s="211">
        <f t="shared" si="52"/>
        <v>7.4553571428571441</v>
      </c>
      <c r="E91" s="211">
        <f t="shared" si="51"/>
        <v>4.5385450597176913</v>
      </c>
      <c r="F91" s="214">
        <f t="shared" si="49"/>
        <v>-3.6438786641446841</v>
      </c>
      <c r="G91" s="214">
        <f t="shared" si="53"/>
        <v>-12.073059360730598</v>
      </c>
      <c r="H91" s="217">
        <f t="shared" si="40"/>
        <v>0.92104071458246772</v>
      </c>
    </row>
    <row r="92" spans="1:10" ht="16.5">
      <c r="A92" s="216">
        <v>39203</v>
      </c>
      <c r="B92" s="227">
        <f>geral!E639</f>
        <v>948.7</v>
      </c>
      <c r="C92" s="211">
        <f t="shared" si="50"/>
        <v>212.71300448430495</v>
      </c>
      <c r="D92" s="211">
        <f t="shared" si="52"/>
        <v>-1.4644786040714508</v>
      </c>
      <c r="E92" s="211">
        <f t="shared" si="51"/>
        <v>3.0076004343105422</v>
      </c>
      <c r="F92" s="214">
        <f t="shared" si="49"/>
        <v>-4.6417658411064604</v>
      </c>
      <c r="G92" s="214">
        <f t="shared" si="53"/>
        <v>-9.9623221691801049</v>
      </c>
      <c r="H92" s="217">
        <f t="shared" si="40"/>
        <v>0.93472963002002729</v>
      </c>
    </row>
    <row r="93" spans="1:10" ht="16.5">
      <c r="A93" s="216">
        <v>39234</v>
      </c>
      <c r="B93" s="227">
        <f>geral!E640</f>
        <v>933.22222222222217</v>
      </c>
      <c r="C93" s="211">
        <f t="shared" si="50"/>
        <v>209.24265072247135</v>
      </c>
      <c r="D93" s="211">
        <f t="shared" si="52"/>
        <v>-1.6314723071337522</v>
      </c>
      <c r="E93" s="211">
        <f t="shared" si="51"/>
        <v>1.3270599589817689</v>
      </c>
      <c r="F93" s="214">
        <f t="shared" ref="F93:F99" si="54">100*((B93/B81)-1)</f>
        <v>-4.6516248048815161</v>
      </c>
      <c r="G93" s="214">
        <f t="shared" si="53"/>
        <v>-11.599058207373314</v>
      </c>
      <c r="H93" s="217">
        <f t="shared" si="40"/>
        <v>0.95023240862007374</v>
      </c>
    </row>
    <row r="94" spans="1:10" ht="16.5">
      <c r="A94" s="216">
        <v>39264</v>
      </c>
      <c r="B94" s="227">
        <f>geral!E641</f>
        <v>995</v>
      </c>
      <c r="C94" s="211">
        <f t="shared" si="50"/>
        <v>223.09417040358744</v>
      </c>
      <c r="D94" s="211">
        <f t="shared" si="52"/>
        <v>6.6198356947255732</v>
      </c>
      <c r="E94" s="211">
        <f t="shared" ref="E94:E99" si="55">100*((B94/$B$87)-1)</f>
        <v>8.0347448425624357</v>
      </c>
      <c r="F94" s="214">
        <f t="shared" si="54"/>
        <v>0.26906371872259527</v>
      </c>
      <c r="G94" s="214">
        <f t="shared" si="53"/>
        <v>-7.8951022410648992</v>
      </c>
      <c r="H94" s="217">
        <f t="shared" si="40"/>
        <v>0.89123417085427126</v>
      </c>
      <c r="I94" s="215" t="s">
        <v>241</v>
      </c>
      <c r="J94" s="64"/>
    </row>
    <row r="95" spans="1:10" ht="16.5">
      <c r="A95" s="216">
        <v>39295</v>
      </c>
      <c r="B95" s="227">
        <f>geral!E642</f>
        <v>1004</v>
      </c>
      <c r="C95" s="211">
        <f t="shared" si="50"/>
        <v>225.11210762331839</v>
      </c>
      <c r="D95" s="211">
        <f t="shared" si="52"/>
        <v>0.90452261306532833</v>
      </c>
      <c r="E95" s="211">
        <f t="shared" si="55"/>
        <v>9.01194353963084</v>
      </c>
      <c r="F95" s="214">
        <f t="shared" si="54"/>
        <v>2.1955762751544761</v>
      </c>
      <c r="G95" s="214">
        <f t="shared" si="53"/>
        <v>4.0853336521884387E-2</v>
      </c>
      <c r="H95" s="217">
        <f t="shared" si="40"/>
        <v>0.88324501992031867</v>
      </c>
    </row>
    <row r="96" spans="1:10" ht="16.5">
      <c r="A96" s="216">
        <v>39326</v>
      </c>
      <c r="B96" s="227">
        <f>geral!E643</f>
        <v>989.8</v>
      </c>
      <c r="C96" s="211">
        <f t="shared" si="50"/>
        <v>221.92825112107624</v>
      </c>
      <c r="D96" s="211">
        <f t="shared" si="52"/>
        <v>-1.4143426294820793</v>
      </c>
      <c r="E96" s="211">
        <f t="shared" si="55"/>
        <v>7.4701411509229043</v>
      </c>
      <c r="F96" s="214">
        <f t="shared" si="54"/>
        <v>4.6853516657852978</v>
      </c>
      <c r="G96" s="214">
        <f t="shared" si="53"/>
        <v>-2.1143614391107457</v>
      </c>
      <c r="H96" s="217">
        <f t="shared" si="40"/>
        <v>0.89591634673671439</v>
      </c>
    </row>
    <row r="97" spans="1:8" ht="16.5">
      <c r="A97" s="216">
        <v>39356</v>
      </c>
      <c r="B97" s="227">
        <f>geral!E644</f>
        <v>991.14285714285711</v>
      </c>
      <c r="C97" s="211">
        <f t="shared" si="50"/>
        <v>222.22934016655989</v>
      </c>
      <c r="D97" s="211">
        <f t="shared" si="52"/>
        <v>0.13566954363075645</v>
      </c>
      <c r="E97" s="211">
        <f t="shared" si="55"/>
        <v>7.6159454009616878</v>
      </c>
      <c r="F97" s="214">
        <f t="shared" si="54"/>
        <v>4.2726539028602017</v>
      </c>
      <c r="G97" s="214">
        <f t="shared" si="53"/>
        <v>-5.6252159411497527</v>
      </c>
      <c r="H97" s="217">
        <f t="shared" si="40"/>
        <v>0.89470250792735651</v>
      </c>
    </row>
    <row r="98" spans="1:8" ht="16.5">
      <c r="A98" s="216">
        <v>39387</v>
      </c>
      <c r="B98" s="227">
        <f>geral!E645</f>
        <v>989</v>
      </c>
      <c r="C98" s="211">
        <f t="shared" si="50"/>
        <v>221.74887892376682</v>
      </c>
      <c r="D98" s="211">
        <f t="shared" si="52"/>
        <v>-0.21620063418852364</v>
      </c>
      <c r="E98" s="211">
        <f t="shared" si="55"/>
        <v>7.3832790445168328</v>
      </c>
      <c r="F98" s="214">
        <f t="shared" si="54"/>
        <v>2.0239740865295452</v>
      </c>
      <c r="G98" s="214">
        <f t="shared" si="53"/>
        <v>-4.6066592075311501</v>
      </c>
      <c r="H98" s="217">
        <f t="shared" si="40"/>
        <v>0.8966410515672395</v>
      </c>
    </row>
    <row r="99" spans="1:8" ht="16.5">
      <c r="A99" s="216">
        <v>39417</v>
      </c>
      <c r="B99" s="227">
        <f>geral!E646</f>
        <v>997</v>
      </c>
      <c r="C99" s="211">
        <f t="shared" si="50"/>
        <v>223.54260089686099</v>
      </c>
      <c r="D99" s="211">
        <f t="shared" si="52"/>
        <v>0.80889787664306656</v>
      </c>
      <c r="E99" s="211">
        <f t="shared" si="55"/>
        <v>8.2519001085776367</v>
      </c>
      <c r="F99" s="214">
        <f t="shared" si="54"/>
        <v>8.2519001085776367</v>
      </c>
      <c r="G99" s="214">
        <f t="shared" si="53"/>
        <v>-2.7791321306679717</v>
      </c>
      <c r="H99" s="217">
        <f t="shared" si="40"/>
        <v>0.88944633901705106</v>
      </c>
    </row>
    <row r="100" spans="1:8" ht="16.5">
      <c r="A100" s="216">
        <v>39448</v>
      </c>
      <c r="B100" s="227">
        <f>geral!G635</f>
        <v>971.06</v>
      </c>
      <c r="C100" s="211">
        <f t="shared" si="50"/>
        <v>217.72645739910314</v>
      </c>
      <c r="D100" s="211">
        <f t="shared" ref="D100:D105" si="56">100*((B100/B99)-1)</f>
        <v>-2.6018054162487481</v>
      </c>
      <c r="E100" s="211">
        <f t="shared" ref="E100:E105" si="57">100*((B100/$B$99)-1)</f>
        <v>-2.6018054162487481</v>
      </c>
      <c r="F100" s="214">
        <f t="shared" ref="F100:F105" si="58">100*((B100/B88)-1)</f>
        <v>2.9941771050984611</v>
      </c>
      <c r="G100" s="214">
        <f t="shared" ref="G100:G105" si="59">100*(B100/B76-1)</f>
        <v>-0.41840146030314163</v>
      </c>
      <c r="H100" s="217">
        <f t="shared" si="40"/>
        <v>0.91320618705332313</v>
      </c>
    </row>
    <row r="101" spans="1:8" ht="16.5">
      <c r="A101" s="216">
        <v>39479</v>
      </c>
      <c r="B101" s="227">
        <f>geral!G636</f>
        <v>992.33333333333337</v>
      </c>
      <c r="C101" s="211">
        <f t="shared" si="50"/>
        <v>222.49626307922273</v>
      </c>
      <c r="D101" s="211">
        <f t="shared" si="56"/>
        <v>2.1907331507150296</v>
      </c>
      <c r="E101" s="211">
        <f t="shared" si="57"/>
        <v>-0.46807087930457181</v>
      </c>
      <c r="F101" s="214">
        <f t="shared" si="58"/>
        <v>7.7112888811702529</v>
      </c>
      <c r="G101" s="214">
        <f t="shared" si="59"/>
        <v>-1.0634762379528095</v>
      </c>
      <c r="H101" s="217">
        <f t="shared" si="40"/>
        <v>0.89362915686933142</v>
      </c>
    </row>
    <row r="102" spans="1:8" ht="17.25" customHeight="1">
      <c r="A102" s="216">
        <v>39508</v>
      </c>
      <c r="B102" s="227">
        <f>geral!G637</f>
        <v>1003.8333333333334</v>
      </c>
      <c r="C102" s="211">
        <f t="shared" si="50"/>
        <v>225.07473841554562</v>
      </c>
      <c r="D102" s="211">
        <f t="shared" si="56"/>
        <v>1.1588847833389426</v>
      </c>
      <c r="E102" s="211">
        <f t="shared" si="57"/>
        <v>0.68538950183885117</v>
      </c>
      <c r="F102" s="214">
        <f t="shared" si="58"/>
        <v>12.034970238095234</v>
      </c>
      <c r="G102" s="214">
        <f t="shared" si="59"/>
        <v>-1.3612624547210128E-2</v>
      </c>
      <c r="H102" s="217">
        <f t="shared" si="40"/>
        <v>0.88339166528308144</v>
      </c>
    </row>
    <row r="103" spans="1:8" ht="17.25" customHeight="1">
      <c r="A103" s="216">
        <v>39539</v>
      </c>
      <c r="B103" s="227">
        <f>geral!G638</f>
        <v>998.42857142857144</v>
      </c>
      <c r="C103" s="211">
        <f t="shared" si="50"/>
        <v>223.86290839205637</v>
      </c>
      <c r="D103" s="211">
        <f t="shared" si="56"/>
        <v>-0.53841227674865655</v>
      </c>
      <c r="E103" s="211">
        <f t="shared" si="57"/>
        <v>0.14328700386874171</v>
      </c>
      <c r="F103" s="214">
        <f t="shared" si="58"/>
        <v>3.7005163511187655</v>
      </c>
      <c r="G103" s="214">
        <f t="shared" si="59"/>
        <v>-7.8204638807521931E-2</v>
      </c>
      <c r="H103" s="217">
        <f t="shared" ref="H103:H134" si="60">+B$171/B103</f>
        <v>0.88817370153097719</v>
      </c>
    </row>
    <row r="104" spans="1:8" ht="17.25" customHeight="1">
      <c r="A104" s="216">
        <v>39569</v>
      </c>
      <c r="B104" s="227">
        <f>geral!G639</f>
        <v>1028</v>
      </c>
      <c r="C104" s="211">
        <f t="shared" si="50"/>
        <v>230.49327354260089</v>
      </c>
      <c r="D104" s="211">
        <f t="shared" si="56"/>
        <v>2.9617971097438911</v>
      </c>
      <c r="E104" s="211">
        <f t="shared" si="57"/>
        <v>3.1093279839518484</v>
      </c>
      <c r="F104" s="214">
        <f t="shared" si="58"/>
        <v>8.358806788236528</v>
      </c>
      <c r="G104" s="214">
        <f t="shared" si="59"/>
        <v>3.3290447089096231</v>
      </c>
      <c r="H104" s="217">
        <f t="shared" si="60"/>
        <v>0.86262451361867698</v>
      </c>
    </row>
    <row r="105" spans="1:8" ht="17.25" customHeight="1">
      <c r="A105" s="216">
        <v>39600</v>
      </c>
      <c r="B105" s="227">
        <f>geral!G640</f>
        <v>1015.8</v>
      </c>
      <c r="C105" s="211">
        <f t="shared" si="50"/>
        <v>227.75784753363229</v>
      </c>
      <c r="D105" s="211">
        <f t="shared" si="56"/>
        <v>-1.1867704280155711</v>
      </c>
      <c r="E105" s="211">
        <f t="shared" si="57"/>
        <v>1.8856569709127413</v>
      </c>
      <c r="F105" s="214">
        <f t="shared" si="58"/>
        <v>8.8486724610072685</v>
      </c>
      <c r="G105" s="214">
        <f t="shared" si="59"/>
        <v>3.7854406130268137</v>
      </c>
      <c r="H105" s="217">
        <f t="shared" si="60"/>
        <v>0.87298483953534156</v>
      </c>
    </row>
    <row r="106" spans="1:8" ht="17.25" customHeight="1">
      <c r="A106" s="216">
        <v>39630</v>
      </c>
      <c r="B106" s="227">
        <f>geral!G641</f>
        <v>1020.43</v>
      </c>
      <c r="C106" s="211">
        <f t="shared" si="50"/>
        <v>228.79596412556054</v>
      </c>
      <c r="D106" s="211">
        <f t="shared" ref="D106:D111" si="61">100*((B106/B105)-1)</f>
        <v>0.45579838550895424</v>
      </c>
      <c r="E106" s="211">
        <f t="shared" ref="E106:E111" si="62">100*((B106/$B$99)-1)</f>
        <v>2.3500501504513549</v>
      </c>
      <c r="F106" s="214">
        <f t="shared" ref="F106:F111" si="63">100*((B106/B94)-1)</f>
        <v>2.5557788944723603</v>
      </c>
      <c r="G106" s="214">
        <f t="shared" ref="G106:G111" si="64">100*(B106/B82-1)</f>
        <v>2.8317192869307561</v>
      </c>
      <c r="H106" s="217">
        <f t="shared" si="60"/>
        <v>0.86902384288976209</v>
      </c>
    </row>
    <row r="107" spans="1:8" ht="17.25" customHeight="1">
      <c r="A107" s="216">
        <v>39661</v>
      </c>
      <c r="B107" s="227">
        <f>geral!G642</f>
        <v>1026.5714285714287</v>
      </c>
      <c r="C107" s="211">
        <f t="shared" si="50"/>
        <v>230.17296604740554</v>
      </c>
      <c r="D107" s="211">
        <f t="shared" si="61"/>
        <v>0.60184712047164357</v>
      </c>
      <c r="E107" s="211">
        <f t="shared" si="62"/>
        <v>2.9660409800831067</v>
      </c>
      <c r="F107" s="214">
        <f t="shared" si="63"/>
        <v>2.2481502561183975</v>
      </c>
      <c r="G107" s="214">
        <f t="shared" si="64"/>
        <v>4.4930863849260261</v>
      </c>
      <c r="H107" s="217">
        <f t="shared" si="60"/>
        <v>0.86382493737823529</v>
      </c>
    </row>
    <row r="108" spans="1:8" ht="17.25" customHeight="1">
      <c r="A108" s="216">
        <v>39692</v>
      </c>
      <c r="B108" s="227">
        <f>geral!G643</f>
        <v>1025.5999999999999</v>
      </c>
      <c r="C108" s="211">
        <f t="shared" si="50"/>
        <v>229.9551569506726</v>
      </c>
      <c r="D108" s="211">
        <f t="shared" si="61"/>
        <v>-9.4628444197064621E-2</v>
      </c>
      <c r="E108" s="211">
        <f t="shared" si="62"/>
        <v>2.868605817452341</v>
      </c>
      <c r="F108" s="214">
        <f t="shared" si="63"/>
        <v>3.6168923014750387</v>
      </c>
      <c r="G108" s="214">
        <f t="shared" si="64"/>
        <v>8.4717080909571649</v>
      </c>
      <c r="H108" s="217">
        <f t="shared" si="60"/>
        <v>0.86464313572542906</v>
      </c>
    </row>
    <row r="109" spans="1:8" ht="17.25" customHeight="1">
      <c r="A109" s="216">
        <v>39722</v>
      </c>
      <c r="B109" s="227">
        <f>geral!G644</f>
        <v>1078.8571428571429</v>
      </c>
      <c r="C109" s="211">
        <f t="shared" si="50"/>
        <v>241.89622037155669</v>
      </c>
      <c r="D109" s="211">
        <f t="shared" si="61"/>
        <v>5.192779139737036</v>
      </c>
      <c r="E109" s="211">
        <f t="shared" si="62"/>
        <v>8.2103453216793234</v>
      </c>
      <c r="F109" s="214">
        <f t="shared" si="63"/>
        <v>8.8498126261170373</v>
      </c>
      <c r="G109" s="214">
        <f t="shared" si="64"/>
        <v>13.500588393542866</v>
      </c>
      <c r="H109" s="217">
        <f t="shared" si="60"/>
        <v>0.82196054025423715</v>
      </c>
    </row>
    <row r="110" spans="1:8" ht="17.25" customHeight="1">
      <c r="A110" s="216">
        <v>39753</v>
      </c>
      <c r="B110" s="227">
        <f>geral!G645</f>
        <v>1095.5999999999999</v>
      </c>
      <c r="C110" s="211">
        <f t="shared" si="50"/>
        <v>245.6502242152466</v>
      </c>
      <c r="D110" s="211">
        <f t="shared" si="61"/>
        <v>1.5519067796610164</v>
      </c>
      <c r="E110" s="211">
        <f t="shared" si="62"/>
        <v>9.8896690070210624</v>
      </c>
      <c r="F110" s="214">
        <f t="shared" si="63"/>
        <v>10.778564206268948</v>
      </c>
      <c r="G110" s="214">
        <f t="shared" si="64"/>
        <v>13.020693639233304</v>
      </c>
      <c r="H110" s="217">
        <f t="shared" si="60"/>
        <v>0.80939941584519892</v>
      </c>
    </row>
    <row r="111" spans="1:8" ht="17.25" customHeight="1">
      <c r="A111" s="216">
        <v>39783</v>
      </c>
      <c r="B111" s="227">
        <f>geral!G646</f>
        <v>1097.5714285714287</v>
      </c>
      <c r="C111" s="211">
        <f t="shared" si="50"/>
        <v>246.09224855861629</v>
      </c>
      <c r="D111" s="211">
        <f t="shared" si="61"/>
        <v>0.17994054138634752</v>
      </c>
      <c r="E111" s="211">
        <f t="shared" si="62"/>
        <v>10.087405072359946</v>
      </c>
      <c r="F111" s="214">
        <f t="shared" si="63"/>
        <v>10.087405072359946</v>
      </c>
      <c r="G111" s="214">
        <f t="shared" si="64"/>
        <v>19.171707771056322</v>
      </c>
      <c r="H111" s="217">
        <f t="shared" si="60"/>
        <v>0.80794559416894429</v>
      </c>
    </row>
    <row r="112" spans="1:8" ht="17.25" customHeight="1">
      <c r="A112" s="216">
        <v>39814</v>
      </c>
      <c r="B112" s="227">
        <f>geral!I635</f>
        <v>1095.5999999999999</v>
      </c>
      <c r="C112" s="211">
        <f t="shared" si="50"/>
        <v>245.6502242152466</v>
      </c>
      <c r="D112" s="212">
        <f t="shared" ref="D112:D117" si="65">100*((B112/B111)-1)</f>
        <v>-0.17961733697775539</v>
      </c>
      <c r="E112" s="212">
        <f t="shared" ref="E112:E117" si="66">100*((B112/$B$111)-1)</f>
        <v>-0.17961733697775539</v>
      </c>
      <c r="F112" s="214">
        <f t="shared" ref="F112:F117" si="67">100*((B112/B100)-1)</f>
        <v>12.82516013428625</v>
      </c>
      <c r="G112" s="214">
        <f t="shared" ref="G112:G117" si="68">100*(B112/B88-1)</f>
        <v>16.203345247817722</v>
      </c>
      <c r="H112" s="217">
        <f t="shared" si="60"/>
        <v>0.80939941584519892</v>
      </c>
    </row>
    <row r="113" spans="1:10" ht="17.25" customHeight="1">
      <c r="A113" s="216">
        <v>39845</v>
      </c>
      <c r="B113" s="227">
        <f>geral!I636</f>
        <v>1099</v>
      </c>
      <c r="C113" s="211">
        <f t="shared" si="50"/>
        <v>246.41255605381167</v>
      </c>
      <c r="D113" s="212">
        <f t="shared" si="65"/>
        <v>0.31033223804308729</v>
      </c>
      <c r="E113" s="212">
        <f t="shared" si="66"/>
        <v>0.13015749056357606</v>
      </c>
      <c r="F113" s="214">
        <f t="shared" si="67"/>
        <v>10.749076251259648</v>
      </c>
      <c r="G113" s="214">
        <f t="shared" si="68"/>
        <v>19.289257454221808</v>
      </c>
      <c r="H113" s="217">
        <f t="shared" si="60"/>
        <v>0.80689535941765234</v>
      </c>
      <c r="J113" s="68"/>
    </row>
    <row r="114" spans="1:10" ht="17.25" customHeight="1">
      <c r="A114" s="216">
        <v>39873</v>
      </c>
      <c r="B114" s="227">
        <f>geral!I637</f>
        <v>1108.5999999999999</v>
      </c>
      <c r="C114" s="211">
        <f t="shared" si="50"/>
        <v>248.56502242152462</v>
      </c>
      <c r="D114" s="212">
        <f t="shared" si="65"/>
        <v>0.87352138307550398</v>
      </c>
      <c r="E114" s="212">
        <f t="shared" si="66"/>
        <v>1.0048158271508401</v>
      </c>
      <c r="F114" s="214">
        <f t="shared" si="67"/>
        <v>10.436659472023901</v>
      </c>
      <c r="G114" s="214">
        <f t="shared" si="68"/>
        <v>23.727678571428569</v>
      </c>
      <c r="H114" s="217">
        <f t="shared" si="60"/>
        <v>0.7999079920620602</v>
      </c>
      <c r="J114" s="68"/>
    </row>
    <row r="115" spans="1:10" ht="17.25" customHeight="1">
      <c r="A115" s="216">
        <v>39904</v>
      </c>
      <c r="B115" s="227">
        <f>geral!I638</f>
        <v>1115.5</v>
      </c>
      <c r="C115" s="211">
        <f t="shared" si="50"/>
        <v>250.11210762331839</v>
      </c>
      <c r="D115" s="212">
        <f t="shared" si="65"/>
        <v>0.62240663900414717</v>
      </c>
      <c r="E115" s="212">
        <f t="shared" si="66"/>
        <v>1.6334765065729506</v>
      </c>
      <c r="F115" s="214">
        <f t="shared" si="67"/>
        <v>11.725568750894254</v>
      </c>
      <c r="G115" s="214">
        <f t="shared" si="68"/>
        <v>15.859991690901554</v>
      </c>
      <c r="H115" s="217">
        <f t="shared" si="60"/>
        <v>0.7949601075750784</v>
      </c>
      <c r="J115" s="68"/>
    </row>
    <row r="116" spans="1:10" ht="17.25" customHeight="1">
      <c r="A116" s="216">
        <v>39934</v>
      </c>
      <c r="B116" s="227">
        <f>geral!I639</f>
        <v>1128.2857142857142</v>
      </c>
      <c r="C116" s="211">
        <f t="shared" si="50"/>
        <v>252.97885970531709</v>
      </c>
      <c r="D116" s="212">
        <f t="shared" si="65"/>
        <v>1.1461868476660086</v>
      </c>
      <c r="E116" s="212">
        <f t="shared" si="66"/>
        <v>2.7983860471169963</v>
      </c>
      <c r="F116" s="214">
        <f t="shared" si="67"/>
        <v>9.7554196775986526</v>
      </c>
      <c r="G116" s="214">
        <f t="shared" si="68"/>
        <v>18.929663148067277</v>
      </c>
      <c r="H116" s="217">
        <f t="shared" si="60"/>
        <v>0.78595163332489237</v>
      </c>
      <c r="J116" s="68"/>
    </row>
    <row r="117" spans="1:10" ht="17.25" customHeight="1">
      <c r="A117" s="216">
        <v>39965</v>
      </c>
      <c r="B117" s="227">
        <f>geral!I640</f>
        <v>1134.1428571428571</v>
      </c>
      <c r="C117" s="211">
        <f t="shared" si="50"/>
        <v>254.29212043561819</v>
      </c>
      <c r="D117" s="212">
        <f t="shared" si="65"/>
        <v>0.51911876424410863</v>
      </c>
      <c r="E117" s="212">
        <f t="shared" si="66"/>
        <v>3.3320317584276893</v>
      </c>
      <c r="F117" s="214">
        <f t="shared" si="67"/>
        <v>11.650212359013313</v>
      </c>
      <c r="G117" s="214">
        <f t="shared" si="68"/>
        <v>21.529773952681452</v>
      </c>
      <c r="H117" s="217">
        <f t="shared" si="60"/>
        <v>0.78189268169794679</v>
      </c>
      <c r="J117" s="68"/>
    </row>
    <row r="118" spans="1:10" ht="17.25" customHeight="1">
      <c r="A118" s="216">
        <v>39995</v>
      </c>
      <c r="B118" s="227">
        <f>geral!I641</f>
        <v>1129</v>
      </c>
      <c r="C118" s="211">
        <f t="shared" si="50"/>
        <v>253.13901345291481</v>
      </c>
      <c r="D118" s="212">
        <f t="shared" ref="D118:D123" si="69">100*((B118/B117)-1)</f>
        <v>-0.45345761430910514</v>
      </c>
      <c r="E118" s="212">
        <f t="shared" ref="E118:E123" si="70">100*((B118/$B$111)-1)</f>
        <v>2.8634647923987844</v>
      </c>
      <c r="F118" s="214">
        <f t="shared" ref="F118:F123" si="71">100*((B118/B106)-1)</f>
        <v>10.63963231186853</v>
      </c>
      <c r="G118" s="214">
        <f t="shared" ref="G118:G123" si="72">100*(B118/B94-1)</f>
        <v>13.467336683417086</v>
      </c>
      <c r="H118" s="217">
        <f t="shared" si="60"/>
        <v>0.78545438441098314</v>
      </c>
      <c r="J118" s="68"/>
    </row>
    <row r="119" spans="1:10" ht="17.25" customHeight="1">
      <c r="A119" s="216">
        <v>40026</v>
      </c>
      <c r="B119" s="227">
        <f>geral!I642</f>
        <v>1142</v>
      </c>
      <c r="C119" s="211">
        <f t="shared" si="50"/>
        <v>256.05381165919283</v>
      </c>
      <c r="D119" s="212">
        <f t="shared" si="69"/>
        <v>1.1514614703277193</v>
      </c>
      <c r="E119" s="212">
        <f t="shared" si="70"/>
        <v>4.0478979565273798</v>
      </c>
      <c r="F119" s="214">
        <f t="shared" si="71"/>
        <v>11.244085722237674</v>
      </c>
      <c r="G119" s="214">
        <f t="shared" si="72"/>
        <v>13.745019920318736</v>
      </c>
      <c r="H119" s="217">
        <f t="shared" si="60"/>
        <v>0.77651313485113826</v>
      </c>
      <c r="J119" s="68"/>
    </row>
    <row r="120" spans="1:10" ht="17.25" customHeight="1">
      <c r="A120" s="216">
        <v>40057</v>
      </c>
      <c r="B120" s="227">
        <f>geral!I643</f>
        <v>1147.7142857142858</v>
      </c>
      <c r="C120" s="211">
        <f t="shared" si="50"/>
        <v>257.33504163997441</v>
      </c>
      <c r="D120" s="212">
        <f t="shared" si="69"/>
        <v>0.50037528146109622</v>
      </c>
      <c r="E120" s="212">
        <f t="shared" si="70"/>
        <v>4.5685279187817285</v>
      </c>
      <c r="F120" s="214">
        <f t="shared" si="71"/>
        <v>11.906619121907758</v>
      </c>
      <c r="G120" s="214">
        <f t="shared" si="72"/>
        <v>15.954161013769031</v>
      </c>
      <c r="H120" s="217">
        <f t="shared" si="60"/>
        <v>0.77264700024894184</v>
      </c>
      <c r="J120" s="68"/>
    </row>
    <row r="121" spans="1:10" ht="17.25" customHeight="1">
      <c r="A121" s="216">
        <v>40087</v>
      </c>
      <c r="B121" s="227">
        <f>geral!I644</f>
        <v>1153.4285714285713</v>
      </c>
      <c r="C121" s="211">
        <f t="shared" si="50"/>
        <v>258.61627162075592</v>
      </c>
      <c r="D121" s="212">
        <f t="shared" si="69"/>
        <v>0.49788399302961306</v>
      </c>
      <c r="E121" s="212">
        <f t="shared" si="70"/>
        <v>5.0891578810360327</v>
      </c>
      <c r="F121" s="214">
        <f t="shared" si="71"/>
        <v>6.9120762711864181</v>
      </c>
      <c r="G121" s="214">
        <f t="shared" si="72"/>
        <v>16.373594695877756</v>
      </c>
      <c r="H121" s="217">
        <f t="shared" si="60"/>
        <v>0.76881917265296007</v>
      </c>
      <c r="J121" s="68"/>
    </row>
    <row r="122" spans="1:10" ht="17.25" customHeight="1">
      <c r="A122" s="216">
        <v>40118</v>
      </c>
      <c r="B122" s="227">
        <f>geral!I645</f>
        <v>1156.5</v>
      </c>
      <c r="C122" s="211">
        <f t="shared" si="50"/>
        <v>259.30493273542601</v>
      </c>
      <c r="D122" s="212">
        <f t="shared" si="69"/>
        <v>0.2662868466683177</v>
      </c>
      <c r="E122" s="212">
        <f t="shared" si="70"/>
        <v>5.3689964857477346</v>
      </c>
      <c r="F122" s="214">
        <f t="shared" si="71"/>
        <v>5.5585980284775571</v>
      </c>
      <c r="G122" s="214">
        <f t="shared" si="72"/>
        <v>16.936299292214365</v>
      </c>
      <c r="H122" s="217">
        <f t="shared" si="60"/>
        <v>0.76677734543882392</v>
      </c>
      <c r="J122" s="68"/>
    </row>
    <row r="123" spans="1:10" ht="17.25" customHeight="1">
      <c r="A123" s="216">
        <v>40148</v>
      </c>
      <c r="B123" s="227">
        <f>geral!I646</f>
        <v>1170</v>
      </c>
      <c r="C123" s="211">
        <f t="shared" si="50"/>
        <v>262.33183856502239</v>
      </c>
      <c r="D123" s="212">
        <f t="shared" si="69"/>
        <v>1.1673151750972721</v>
      </c>
      <c r="E123" s="212">
        <f t="shared" si="70"/>
        <v>6.5989847715735905</v>
      </c>
      <c r="F123" s="214">
        <f t="shared" si="71"/>
        <v>6.5989847715735905</v>
      </c>
      <c r="G123" s="214">
        <f t="shared" si="72"/>
        <v>17.352056168505527</v>
      </c>
      <c r="H123" s="217">
        <f t="shared" si="60"/>
        <v>0.75792991452991443</v>
      </c>
      <c r="J123" s="68"/>
    </row>
    <row r="124" spans="1:10" ht="17.25" customHeight="1">
      <c r="A124" s="216">
        <v>40179</v>
      </c>
      <c r="B124" s="227">
        <f>geral!K635</f>
        <v>1170</v>
      </c>
      <c r="C124" s="211">
        <f t="shared" si="50"/>
        <v>262.33183856502239</v>
      </c>
      <c r="D124" s="212">
        <f t="shared" ref="D124:D129" si="73">100*((B124/B123)-1)</f>
        <v>0</v>
      </c>
      <c r="E124" s="212">
        <f t="shared" ref="E124:E129" si="74">100*((B124/$B$123)-1)</f>
        <v>0</v>
      </c>
      <c r="F124" s="214">
        <f t="shared" ref="F124:F129" si="75">100*((B124/B112)-1)</f>
        <v>6.790799561883909</v>
      </c>
      <c r="G124" s="214">
        <f t="shared" ref="G124:G129" si="76">100*(B124/B100-1)</f>
        <v>20.486890614380158</v>
      </c>
      <c r="H124" s="217">
        <f t="shared" si="60"/>
        <v>0.75792991452991443</v>
      </c>
      <c r="J124" s="68"/>
    </row>
    <row r="125" spans="1:10" ht="17.25" customHeight="1">
      <c r="A125" s="216">
        <v>40210</v>
      </c>
      <c r="B125" s="227">
        <f>geral!K636</f>
        <v>1116.24</v>
      </c>
      <c r="C125" s="211">
        <f t="shared" si="50"/>
        <v>250.27802690582959</v>
      </c>
      <c r="D125" s="212">
        <f t="shared" si="73"/>
        <v>-4.594871794871791</v>
      </c>
      <c r="E125" s="212">
        <f t="shared" si="74"/>
        <v>-4.594871794871791</v>
      </c>
      <c r="F125" s="214">
        <f t="shared" si="75"/>
        <v>1.568698817106462</v>
      </c>
      <c r="G125" s="214">
        <f t="shared" si="76"/>
        <v>12.48639570036949</v>
      </c>
      <c r="H125" s="217">
        <f t="shared" si="60"/>
        <v>0.79443309682505547</v>
      </c>
      <c r="J125" s="68"/>
    </row>
    <row r="126" spans="1:10" ht="17.25" customHeight="1">
      <c r="A126" s="216">
        <v>40238</v>
      </c>
      <c r="B126" s="227">
        <f>geral!K637</f>
        <v>1193.0266666666666</v>
      </c>
      <c r="C126" s="211">
        <f t="shared" si="50"/>
        <v>267.49476831091181</v>
      </c>
      <c r="D126" s="212">
        <f t="shared" si="73"/>
        <v>6.8790463221768183</v>
      </c>
      <c r="E126" s="212">
        <f t="shared" si="74"/>
        <v>1.9680911680911573</v>
      </c>
      <c r="F126" s="214">
        <f t="shared" si="75"/>
        <v>7.6156112814961929</v>
      </c>
      <c r="G126" s="214">
        <f t="shared" si="76"/>
        <v>18.847086169682868</v>
      </c>
      <c r="H126" s="217">
        <f t="shared" si="60"/>
        <v>0.74330107178381033</v>
      </c>
      <c r="J126" s="68"/>
    </row>
    <row r="127" spans="1:10" ht="17.25" customHeight="1">
      <c r="A127" s="216">
        <v>40269</v>
      </c>
      <c r="B127" s="227">
        <f>geral!K638</f>
        <v>1170</v>
      </c>
      <c r="C127" s="211">
        <f t="shared" si="50"/>
        <v>262.33183856502239</v>
      </c>
      <c r="D127" s="212">
        <f t="shared" si="73"/>
        <v>-1.9301049431697526</v>
      </c>
      <c r="E127" s="212">
        <f t="shared" si="74"/>
        <v>0</v>
      </c>
      <c r="F127" s="214">
        <f t="shared" si="75"/>
        <v>4.8857014791573228</v>
      </c>
      <c r="G127" s="214">
        <f t="shared" si="76"/>
        <v>17.184146515953636</v>
      </c>
      <c r="H127" s="217">
        <f t="shared" si="60"/>
        <v>0.75792991452991443</v>
      </c>
      <c r="J127" s="68"/>
    </row>
    <row r="128" spans="1:10" ht="17.25" customHeight="1">
      <c r="A128" s="216">
        <v>40299</v>
      </c>
      <c r="B128" s="227">
        <f>geral!K639</f>
        <v>1188</v>
      </c>
      <c r="C128" s="211">
        <f t="shared" si="50"/>
        <v>266.3677130044843</v>
      </c>
      <c r="D128" s="212">
        <f t="shared" si="73"/>
        <v>1.538461538461533</v>
      </c>
      <c r="E128" s="212">
        <f t="shared" si="74"/>
        <v>1.538461538461533</v>
      </c>
      <c r="F128" s="214">
        <f t="shared" si="75"/>
        <v>5.2924791086351064</v>
      </c>
      <c r="G128" s="214">
        <f t="shared" si="76"/>
        <v>15.564202334630339</v>
      </c>
      <c r="H128" s="217">
        <f t="shared" si="60"/>
        <v>0.74644612794612786</v>
      </c>
      <c r="J128" s="68"/>
    </row>
    <row r="129" spans="1:10" ht="17.25" customHeight="1">
      <c r="A129" s="216">
        <v>40330</v>
      </c>
      <c r="B129" s="227">
        <f>geral!K640</f>
        <v>1060.6666666666667</v>
      </c>
      <c r="C129" s="211">
        <f t="shared" si="50"/>
        <v>237.81763826606877</v>
      </c>
      <c r="D129" s="212">
        <f t="shared" si="73"/>
        <v>-10.718294051627375</v>
      </c>
      <c r="E129" s="212">
        <f t="shared" si="74"/>
        <v>-9.3447293447293411</v>
      </c>
      <c r="F129" s="214">
        <f t="shared" si="75"/>
        <v>-6.4785657303606525</v>
      </c>
      <c r="G129" s="214">
        <f t="shared" si="76"/>
        <v>4.4168799632473776</v>
      </c>
      <c r="H129" s="217">
        <f t="shared" si="60"/>
        <v>0.83605719673161516</v>
      </c>
      <c r="J129" s="68"/>
    </row>
    <row r="130" spans="1:10" ht="17.25" customHeight="1">
      <c r="A130" s="216">
        <v>40360</v>
      </c>
      <c r="B130" s="227">
        <f>geral!K641</f>
        <v>1202.5899999999999</v>
      </c>
      <c r="C130" s="211">
        <f t="shared" si="50"/>
        <v>269.63901345291475</v>
      </c>
      <c r="D130" s="212">
        <f t="shared" ref="D130:D135" si="77">100*((B130/B129)-1)</f>
        <v>13.380578252671249</v>
      </c>
      <c r="E130" s="212">
        <f t="shared" ref="E130:E135" si="78">100*((B130/$B$123)-1)</f>
        <v>2.7854700854700765</v>
      </c>
      <c r="F130" s="214">
        <f t="shared" ref="F130:F135" si="79">100*((B130/B118)-1)</f>
        <v>6.5181576616474723</v>
      </c>
      <c r="G130" s="214">
        <f t="shared" ref="G130:G135" si="80">100*(B130/B106-1)</f>
        <v>17.85129798222318</v>
      </c>
      <c r="H130" s="217">
        <f t="shared" si="60"/>
        <v>0.73739013296302147</v>
      </c>
      <c r="J130" s="68"/>
    </row>
    <row r="131" spans="1:10" ht="17.25" customHeight="1">
      <c r="A131" s="216">
        <v>40391</v>
      </c>
      <c r="B131" s="227">
        <f>geral!K642</f>
        <v>1265.1866666666665</v>
      </c>
      <c r="C131" s="211">
        <f t="shared" si="50"/>
        <v>283.67414050822123</v>
      </c>
      <c r="D131" s="212">
        <f t="shared" si="77"/>
        <v>5.205154430576231</v>
      </c>
      <c r="E131" s="212">
        <f t="shared" si="78"/>
        <v>8.1356125356125233</v>
      </c>
      <c r="F131" s="214">
        <f t="shared" si="79"/>
        <v>10.786923525977809</v>
      </c>
      <c r="G131" s="214">
        <f t="shared" si="80"/>
        <v>23.243900176268649</v>
      </c>
      <c r="H131" s="217">
        <f t="shared" si="60"/>
        <v>0.70090684905521194</v>
      </c>
      <c r="J131" s="68"/>
    </row>
    <row r="132" spans="1:10" ht="17.25" customHeight="1">
      <c r="A132" s="216">
        <v>40422</v>
      </c>
      <c r="B132" s="227">
        <f>geral!K643</f>
        <v>1394.1179999999999</v>
      </c>
      <c r="C132" s="211">
        <f t="shared" si="50"/>
        <v>312.58251121076233</v>
      </c>
      <c r="D132" s="212">
        <f t="shared" si="77"/>
        <v>10.190696498013473</v>
      </c>
      <c r="E132" s="212">
        <f t="shared" si="78"/>
        <v>19.155384615384619</v>
      </c>
      <c r="F132" s="214">
        <f t="shared" si="79"/>
        <v>21.469081404032853</v>
      </c>
      <c r="G132" s="214">
        <f t="shared" si="80"/>
        <v>35.931942277691121</v>
      </c>
      <c r="H132" s="217">
        <f t="shared" si="60"/>
        <v>0.63608532419780817</v>
      </c>
      <c r="J132" s="68"/>
    </row>
    <row r="133" spans="1:10" ht="17.25" customHeight="1">
      <c r="A133" s="216">
        <v>40452</v>
      </c>
      <c r="B133" s="227">
        <f>geral!K644</f>
        <v>1361.9683333333332</v>
      </c>
      <c r="C133" s="211">
        <f t="shared" si="50"/>
        <v>305.37406576980561</v>
      </c>
      <c r="D133" s="212">
        <f t="shared" si="77"/>
        <v>-2.3060936496528073</v>
      </c>
      <c r="E133" s="212">
        <f t="shared" si="78"/>
        <v>16.407549857549842</v>
      </c>
      <c r="F133" s="214">
        <f t="shared" si="79"/>
        <v>18.079989265956577</v>
      </c>
      <c r="G133" s="214">
        <f t="shared" si="80"/>
        <v>26.241768185028235</v>
      </c>
      <c r="H133" s="217">
        <f t="shared" si="60"/>
        <v>0.65110030703112287</v>
      </c>
      <c r="J133" s="68"/>
    </row>
    <row r="134" spans="1:10" ht="17.25" customHeight="1">
      <c r="A134" s="216">
        <v>40483</v>
      </c>
      <c r="B134" s="227">
        <f>geral!K645</f>
        <v>1384.355</v>
      </c>
      <c r="C134" s="211">
        <f t="shared" si="50"/>
        <v>310.39349775784751</v>
      </c>
      <c r="D134" s="212">
        <f t="shared" si="77"/>
        <v>1.6436994986422926</v>
      </c>
      <c r="E134" s="212">
        <f t="shared" si="78"/>
        <v>18.320940170940169</v>
      </c>
      <c r="F134" s="214">
        <f t="shared" si="79"/>
        <v>19.702118460873329</v>
      </c>
      <c r="G134" s="214">
        <f t="shared" si="80"/>
        <v>26.355878057685288</v>
      </c>
      <c r="H134" s="217">
        <f t="shared" si="60"/>
        <v>0.64057124075833138</v>
      </c>
      <c r="J134" s="68"/>
    </row>
    <row r="135" spans="1:10" ht="17.25" customHeight="1">
      <c r="A135" s="216">
        <v>40513</v>
      </c>
      <c r="B135" s="227">
        <f>geral!K646</f>
        <v>1361.2566666666669</v>
      </c>
      <c r="C135" s="211">
        <f t="shared" si="50"/>
        <v>305.21449925261589</v>
      </c>
      <c r="D135" s="212">
        <f t="shared" si="77"/>
        <v>-1.6685267386857494</v>
      </c>
      <c r="E135" s="212">
        <f t="shared" si="78"/>
        <v>16.346723646723671</v>
      </c>
      <c r="F135" s="214">
        <f t="shared" si="79"/>
        <v>16.346723646723671</v>
      </c>
      <c r="G135" s="214">
        <f t="shared" si="80"/>
        <v>24.024426222395778</v>
      </c>
      <c r="H135" s="217">
        <f t="shared" ref="H135:H161" si="81">+B$171/B135</f>
        <v>0.65144070307583413</v>
      </c>
      <c r="J135" s="68"/>
    </row>
    <row r="136" spans="1:10" ht="17.25" customHeight="1">
      <c r="A136" s="216">
        <v>40544</v>
      </c>
      <c r="B136" s="227">
        <f>geral!M635</f>
        <v>1389.152</v>
      </c>
      <c r="C136" s="211">
        <f t="shared" si="50"/>
        <v>311.46905829596415</v>
      </c>
      <c r="D136" s="212">
        <f t="shared" ref="D136:D141" si="82">100*((B136/B135)-1)</f>
        <v>2.0492339186584774</v>
      </c>
      <c r="E136" s="212">
        <f t="shared" ref="E136:E141" si="83">100*((B136/$B$135)-1)</f>
        <v>2.0492339186584774</v>
      </c>
      <c r="F136" s="214">
        <f t="shared" ref="F136:F141" si="84">100*((B136/B124)-1)</f>
        <v>18.730940170940169</v>
      </c>
      <c r="G136" s="214">
        <f t="shared" ref="G136:G141" si="85">100*(B136/B112-1)</f>
        <v>26.793720335889027</v>
      </c>
      <c r="H136" s="217">
        <f t="shared" si="81"/>
        <v>0.63835922922761501</v>
      </c>
      <c r="J136" s="68"/>
    </row>
    <row r="137" spans="1:10" ht="17.25" customHeight="1">
      <c r="A137" s="216">
        <v>40575</v>
      </c>
      <c r="B137" s="227">
        <f>geral!M636</f>
        <v>1387.69</v>
      </c>
      <c r="C137" s="211">
        <f t="shared" si="50"/>
        <v>311.14125560538116</v>
      </c>
      <c r="D137" s="212">
        <f t="shared" si="82"/>
        <v>-0.10524406256479102</v>
      </c>
      <c r="E137" s="212">
        <f t="shared" si="83"/>
        <v>1.9418331590662419</v>
      </c>
      <c r="F137" s="214">
        <f t="shared" si="84"/>
        <v>24.318246971977352</v>
      </c>
      <c r="G137" s="214">
        <f t="shared" si="85"/>
        <v>26.268425841674258</v>
      </c>
      <c r="H137" s="217">
        <f t="shared" si="81"/>
        <v>0.63903177222578522</v>
      </c>
      <c r="J137" s="68"/>
    </row>
    <row r="138" spans="1:10" ht="17.25" customHeight="1">
      <c r="A138" s="216">
        <v>40603</v>
      </c>
      <c r="B138" s="227">
        <f>geral!M637</f>
        <v>1448.25</v>
      </c>
      <c r="C138" s="211">
        <f t="shared" si="50"/>
        <v>324.71973094170403</v>
      </c>
      <c r="D138" s="212">
        <f t="shared" si="82"/>
        <v>4.364087079967427</v>
      </c>
      <c r="E138" s="212">
        <f t="shared" si="83"/>
        <v>6.3906635290430058</v>
      </c>
      <c r="F138" s="214">
        <f t="shared" si="84"/>
        <v>21.392927791499481</v>
      </c>
      <c r="G138" s="214">
        <f t="shared" si="85"/>
        <v>30.637741295327459</v>
      </c>
      <c r="H138" s="217">
        <f t="shared" si="81"/>
        <v>0.61231002934576206</v>
      </c>
      <c r="J138" s="68"/>
    </row>
    <row r="139" spans="1:10" ht="17.25" customHeight="1">
      <c r="A139" s="216">
        <v>40634</v>
      </c>
      <c r="B139" s="227">
        <f>geral!M638</f>
        <v>1420.6860000000001</v>
      </c>
      <c r="C139" s="211">
        <f t="shared" si="50"/>
        <v>318.53946188340808</v>
      </c>
      <c r="D139" s="212">
        <f t="shared" si="82"/>
        <v>-1.9032625582599549</v>
      </c>
      <c r="E139" s="212">
        <f t="shared" si="83"/>
        <v>4.3657698646103915</v>
      </c>
      <c r="F139" s="214">
        <f t="shared" si="84"/>
        <v>21.426153846153852</v>
      </c>
      <c r="G139" s="214">
        <f t="shared" si="85"/>
        <v>27.35867324069925</v>
      </c>
      <c r="H139" s="217">
        <f t="shared" si="81"/>
        <v>0.62419000398399072</v>
      </c>
      <c r="J139" s="68"/>
    </row>
    <row r="140" spans="1:10" ht="17.25" customHeight="1">
      <c r="A140" s="216">
        <v>40664</v>
      </c>
      <c r="B140" s="227">
        <f>geral!M639</f>
        <v>1493.43</v>
      </c>
      <c r="C140" s="211">
        <f t="shared" si="50"/>
        <v>334.84977578475338</v>
      </c>
      <c r="D140" s="212">
        <f t="shared" si="82"/>
        <v>5.1203432707860763</v>
      </c>
      <c r="E140" s="212">
        <f t="shared" si="83"/>
        <v>9.70965553887706</v>
      </c>
      <c r="F140" s="214">
        <f t="shared" si="84"/>
        <v>25.709595959595966</v>
      </c>
      <c r="G140" s="214">
        <f t="shared" si="85"/>
        <v>32.362750063307175</v>
      </c>
      <c r="H140" s="217">
        <f t="shared" si="81"/>
        <v>0.59378611652370705</v>
      </c>
      <c r="J140" s="68"/>
    </row>
    <row r="141" spans="1:10" ht="17.25" customHeight="1">
      <c r="A141" s="216">
        <v>40695</v>
      </c>
      <c r="B141" s="227">
        <f>geral!M640</f>
        <v>1656.27</v>
      </c>
      <c r="C141" s="211">
        <f t="shared" si="50"/>
        <v>371.36098654708519</v>
      </c>
      <c r="D141" s="212">
        <f t="shared" si="82"/>
        <v>10.903758462063839</v>
      </c>
      <c r="E141" s="212">
        <f t="shared" si="83"/>
        <v>21.672131388398451</v>
      </c>
      <c r="F141" s="214">
        <f t="shared" si="84"/>
        <v>56.153676932746691</v>
      </c>
      <c r="G141" s="214">
        <f t="shared" si="85"/>
        <v>46.037158332283653</v>
      </c>
      <c r="H141" s="217">
        <f t="shared" si="81"/>
        <v>0.53540666678741988</v>
      </c>
      <c r="J141" s="68"/>
    </row>
    <row r="142" spans="1:10" ht="17.25" customHeight="1">
      <c r="A142" s="216">
        <v>40725</v>
      </c>
      <c r="B142" s="227">
        <f>geral!M641</f>
        <v>1444.8740000000003</v>
      </c>
      <c r="C142" s="211">
        <f t="shared" si="50"/>
        <v>323.96278026905833</v>
      </c>
      <c r="D142" s="212">
        <f t="shared" ref="D142:D147" si="86">100*((B142/B141)-1)</f>
        <v>-12.763377951662457</v>
      </c>
      <c r="E142" s="212">
        <f t="shared" ref="E142:E147" si="87">100*((B142/$B$135)-1)</f>
        <v>6.1426573974538323</v>
      </c>
      <c r="F142" s="214">
        <f t="shared" ref="F142:F147" si="88">100*((B142/B130)-1)</f>
        <v>20.146849716029603</v>
      </c>
      <c r="G142" s="214">
        <f t="shared" ref="G142:G147" si="89">100*(B142/B118-1)</f>
        <v>27.97821080602305</v>
      </c>
      <c r="H142" s="217">
        <f t="shared" si="81"/>
        <v>0.61374071372313421</v>
      </c>
      <c r="J142" s="68"/>
    </row>
    <row r="143" spans="1:10" ht="17.25" customHeight="1">
      <c r="A143" s="216">
        <v>40756</v>
      </c>
      <c r="B143" s="227">
        <f>geral!M642</f>
        <v>1564.8770000000004</v>
      </c>
      <c r="C143" s="211">
        <f t="shared" si="50"/>
        <v>350.86928251121083</v>
      </c>
      <c r="D143" s="212">
        <f t="shared" si="86"/>
        <v>8.3054300928662386</v>
      </c>
      <c r="E143" s="212">
        <f t="shared" si="87"/>
        <v>14.958261606309865</v>
      </c>
      <c r="F143" s="214">
        <f t="shared" si="88"/>
        <v>23.68744006154564</v>
      </c>
      <c r="G143" s="214">
        <f t="shared" si="89"/>
        <v>37.029509632224197</v>
      </c>
      <c r="H143" s="217">
        <f t="shared" si="81"/>
        <v>0.56667584736691745</v>
      </c>
      <c r="J143" s="68"/>
    </row>
    <row r="144" spans="1:10" ht="17.25" customHeight="1">
      <c r="A144" s="216">
        <v>40787</v>
      </c>
      <c r="B144" s="227">
        <f>geral!M643</f>
        <v>1564.8770000000004</v>
      </c>
      <c r="C144" s="211">
        <f t="shared" si="50"/>
        <v>350.86928251121083</v>
      </c>
      <c r="D144" s="212">
        <f t="shared" si="86"/>
        <v>0</v>
      </c>
      <c r="E144" s="212">
        <f t="shared" si="87"/>
        <v>14.958261606309865</v>
      </c>
      <c r="F144" s="214">
        <f t="shared" si="88"/>
        <v>12.248532764084574</v>
      </c>
      <c r="G144" s="214">
        <f t="shared" si="89"/>
        <v>36.347261638038361</v>
      </c>
      <c r="H144" s="217">
        <f t="shared" si="81"/>
        <v>0.56667584736691745</v>
      </c>
      <c r="J144" s="68"/>
    </row>
    <row r="145" spans="1:10" ht="17.25" customHeight="1">
      <c r="A145" s="216">
        <v>40817</v>
      </c>
      <c r="B145" s="227">
        <f>geral!M644</f>
        <v>1474.5139999999999</v>
      </c>
      <c r="C145" s="211">
        <f t="shared" si="50"/>
        <v>330.60852017937219</v>
      </c>
      <c r="D145" s="212">
        <f t="shared" si="86"/>
        <v>-5.7744474485854518</v>
      </c>
      <c r="E145" s="212">
        <f t="shared" si="87"/>
        <v>8.3200572020461152</v>
      </c>
      <c r="F145" s="214">
        <f t="shared" si="88"/>
        <v>8.2634569330417573</v>
      </c>
      <c r="G145" s="214">
        <f t="shared" si="89"/>
        <v>27.837478325489219</v>
      </c>
      <c r="H145" s="217">
        <f t="shared" si="81"/>
        <v>0.60140358111214942</v>
      </c>
      <c r="J145" s="68"/>
    </row>
    <row r="146" spans="1:10" ht="17.25" customHeight="1">
      <c r="A146" s="216">
        <v>40848</v>
      </c>
      <c r="B146" s="227">
        <f>geral!M645</f>
        <v>1387.5139999999999</v>
      </c>
      <c r="C146" s="211">
        <f t="shared" si="50"/>
        <v>311.10179372197308</v>
      </c>
      <c r="D146" s="212">
        <f t="shared" si="86"/>
        <v>-5.9002491668441293</v>
      </c>
      <c r="E146" s="212">
        <f t="shared" si="87"/>
        <v>1.9289039294573262</v>
      </c>
      <c r="F146" s="214">
        <f t="shared" si="88"/>
        <v>0.22819291294500221</v>
      </c>
      <c r="G146" s="214">
        <f t="shared" si="89"/>
        <v>19.975270211846087</v>
      </c>
      <c r="H146" s="217">
        <f t="shared" si="81"/>
        <v>0.63911283057324109</v>
      </c>
      <c r="J146" s="68"/>
    </row>
    <row r="147" spans="1:10" ht="17.25" customHeight="1">
      <c r="A147" s="244">
        <v>40878</v>
      </c>
      <c r="B147" s="278">
        <f>geral!M646</f>
        <v>1348.1760000000002</v>
      </c>
      <c r="C147" s="230">
        <f t="shared" si="50"/>
        <v>302.28161434977579</v>
      </c>
      <c r="D147" s="233">
        <f t="shared" si="86"/>
        <v>-2.8351425643272643</v>
      </c>
      <c r="E147" s="233">
        <f t="shared" si="87"/>
        <v>-0.96092581119896492</v>
      </c>
      <c r="F147" s="243">
        <f t="shared" si="88"/>
        <v>-0.96092581119896492</v>
      </c>
      <c r="G147" s="243">
        <f t="shared" si="89"/>
        <v>15.228717948717962</v>
      </c>
      <c r="H147" s="217">
        <f t="shared" si="81"/>
        <v>0.65776130119509602</v>
      </c>
      <c r="J147" s="68"/>
    </row>
    <row r="148" spans="1:10" ht="17.25" customHeight="1">
      <c r="A148" s="244">
        <v>40909</v>
      </c>
      <c r="B148" s="278">
        <f>geral!C650</f>
        <v>886.03833333333341</v>
      </c>
      <c r="C148" s="230">
        <f t="shared" ref="C148:C153" si="90">100*B148/$B$7</f>
        <v>198.66330343796713</v>
      </c>
      <c r="D148" s="233">
        <f t="shared" ref="D148:D153" si="91">100*((B148/B147)-1)</f>
        <v>-34.278734131646516</v>
      </c>
      <c r="E148" s="233">
        <f t="shared" ref="E148:E153" si="92">100*((B148/$B$147)-1)</f>
        <v>-34.278734131646516</v>
      </c>
      <c r="F148" s="243">
        <f t="shared" ref="F148:F153" si="93">100*((B148/B136)-1)</f>
        <v>-36.217322990332711</v>
      </c>
      <c r="G148" s="243">
        <f t="shared" ref="G148:G153" si="94">100*(B148/B124-1)</f>
        <v>-24.270227920227917</v>
      </c>
      <c r="H148" s="217">
        <f t="shared" si="81"/>
        <v>1.0008348021060034</v>
      </c>
      <c r="J148" s="68"/>
    </row>
    <row r="149" spans="1:10" ht="17.25" customHeight="1">
      <c r="A149" s="244">
        <v>40940</v>
      </c>
      <c r="B149" s="278">
        <f>geral!C651</f>
        <v>845.64333333333343</v>
      </c>
      <c r="C149" s="230">
        <f t="shared" si="90"/>
        <v>189.60612855007477</v>
      </c>
      <c r="D149" s="233">
        <f t="shared" si="91"/>
        <v>-4.5590578285740087</v>
      </c>
      <c r="E149" s="233">
        <f t="shared" si="92"/>
        <v>-37.275004648255617</v>
      </c>
      <c r="F149" s="243">
        <f t="shared" si="93"/>
        <v>-39.061077522117081</v>
      </c>
      <c r="G149" s="243">
        <f t="shared" si="94"/>
        <v>-24.241799851883695</v>
      </c>
      <c r="H149" s="217">
        <f t="shared" si="81"/>
        <v>1.048643044940144</v>
      </c>
      <c r="J149" s="68"/>
    </row>
    <row r="150" spans="1:10" ht="17.25" customHeight="1">
      <c r="A150" s="244">
        <v>40969</v>
      </c>
      <c r="B150" s="278">
        <f>geral!C652</f>
        <v>876.84500000000014</v>
      </c>
      <c r="C150" s="230">
        <f t="shared" si="90"/>
        <v>196.60201793721976</v>
      </c>
      <c r="D150" s="233">
        <f t="shared" si="91"/>
        <v>3.6896958134438052</v>
      </c>
      <c r="E150" s="233">
        <f t="shared" si="92"/>
        <v>-34.96064312077948</v>
      </c>
      <c r="F150" s="243">
        <f t="shared" si="93"/>
        <v>-39.454859312963904</v>
      </c>
      <c r="G150" s="243">
        <f t="shared" si="94"/>
        <v>-26.502481084524497</v>
      </c>
      <c r="H150" s="217">
        <f t="shared" si="81"/>
        <v>1.011328113862769</v>
      </c>
      <c r="J150" s="68"/>
    </row>
    <row r="151" spans="1:10" ht="17.25" customHeight="1">
      <c r="A151" s="244">
        <v>41000</v>
      </c>
      <c r="B151" s="278">
        <f>geral!C653</f>
        <v>882.64166666666677</v>
      </c>
      <c r="C151" s="230">
        <f t="shared" si="90"/>
        <v>197.90171898355757</v>
      </c>
      <c r="D151" s="233">
        <f t="shared" si="91"/>
        <v>0.6610822513291037</v>
      </c>
      <c r="E151" s="233">
        <f t="shared" si="92"/>
        <v>-34.530679476072365</v>
      </c>
      <c r="F151" s="243">
        <f t="shared" si="93"/>
        <v>-37.872150027052655</v>
      </c>
      <c r="G151" s="243">
        <f t="shared" si="94"/>
        <v>-24.560541310541307</v>
      </c>
      <c r="H151" s="217">
        <f t="shared" si="81"/>
        <v>1.0046863109793516</v>
      </c>
      <c r="J151" s="68"/>
    </row>
    <row r="152" spans="1:10" ht="17.25" customHeight="1">
      <c r="A152" s="244">
        <v>41030</v>
      </c>
      <c r="B152" s="278">
        <f>geral!C654</f>
        <v>903.62999999999988</v>
      </c>
      <c r="C152" s="230">
        <f t="shared" si="90"/>
        <v>202.60762331838561</v>
      </c>
      <c r="D152" s="233">
        <f t="shared" si="91"/>
        <v>2.3778996761614879</v>
      </c>
      <c r="E152" s="233">
        <f t="shared" si="92"/>
        <v>-32.973884715348753</v>
      </c>
      <c r="F152" s="243">
        <f t="shared" si="93"/>
        <v>-39.492979249111116</v>
      </c>
      <c r="G152" s="243">
        <f t="shared" si="94"/>
        <v>-23.936868686868696</v>
      </c>
      <c r="H152" s="217">
        <f t="shared" si="81"/>
        <v>0.98135077410001881</v>
      </c>
      <c r="J152" s="68"/>
    </row>
    <row r="153" spans="1:10" ht="17.25" customHeight="1">
      <c r="A153" s="244">
        <v>41061</v>
      </c>
      <c r="B153" s="278">
        <f>geral!C655</f>
        <v>913.62999999999988</v>
      </c>
      <c r="C153" s="230">
        <f t="shared" si="90"/>
        <v>204.84977578475332</v>
      </c>
      <c r="D153" s="233">
        <f t="shared" si="91"/>
        <v>1.1066476323273955</v>
      </c>
      <c r="E153" s="233">
        <f t="shared" si="92"/>
        <v>-32.232141797510138</v>
      </c>
      <c r="F153" s="243">
        <f t="shared" si="93"/>
        <v>-44.838100068225593</v>
      </c>
      <c r="G153" s="243">
        <f t="shared" si="94"/>
        <v>-13.862664990571982</v>
      </c>
      <c r="H153" s="279">
        <f t="shared" si="81"/>
        <v>0.97060954653415499</v>
      </c>
      <c r="J153" s="68"/>
    </row>
    <row r="154" spans="1:10" ht="17.25" customHeight="1">
      <c r="A154" s="244">
        <v>41091</v>
      </c>
      <c r="B154" s="278">
        <f>geral!C656</f>
        <v>922.26800000000003</v>
      </c>
      <c r="C154" s="230">
        <f t="shared" ref="C154:C159" si="95">100*B154/$B$7</f>
        <v>206.78654708520179</v>
      </c>
      <c r="D154" s="233">
        <f t="shared" ref="D154:D159" si="96">100*((B154/B153)-1)</f>
        <v>0.94545932160723378</v>
      </c>
      <c r="E154" s="233">
        <f t="shared" ref="E154:E159" si="97">100*((B154/$B$147)-1)</f>
        <v>-31.591424265081123</v>
      </c>
      <c r="F154" s="243">
        <f t="shared" ref="F154:F159" si="98">100*((B154/B142)-1)</f>
        <v>-36.169659084459973</v>
      </c>
      <c r="G154" s="243">
        <f t="shared" ref="G154:G159" si="99">100*(B154/B130-1)</f>
        <v>-23.309856226976766</v>
      </c>
      <c r="H154" s="279">
        <f t="shared" si="81"/>
        <v>0.96151877762212268</v>
      </c>
      <c r="J154" s="68"/>
    </row>
    <row r="155" spans="1:10" ht="17.25" customHeight="1">
      <c r="A155" s="244">
        <v>41122</v>
      </c>
      <c r="B155" s="278">
        <f>geral!C657</f>
        <v>917.77200000000016</v>
      </c>
      <c r="C155" s="230">
        <f t="shared" si="95"/>
        <v>205.77847533632288</v>
      </c>
      <c r="D155" s="233">
        <f t="shared" si="96"/>
        <v>-0.48749387379806164</v>
      </c>
      <c r="E155" s="233">
        <f t="shared" si="97"/>
        <v>-31.924911880941352</v>
      </c>
      <c r="F155" s="243">
        <f t="shared" si="98"/>
        <v>-41.351812314961499</v>
      </c>
      <c r="G155" s="243">
        <f t="shared" si="99"/>
        <v>-27.45955800988521</v>
      </c>
      <c r="H155" s="279">
        <f t="shared" si="81"/>
        <v>0.96622908521942241</v>
      </c>
      <c r="J155" s="68"/>
    </row>
    <row r="156" spans="1:10" ht="17.25" customHeight="1">
      <c r="A156" s="244">
        <v>41153</v>
      </c>
      <c r="B156" s="278">
        <f>geral!C658</f>
        <v>929.952</v>
      </c>
      <c r="C156" s="230">
        <f t="shared" si="95"/>
        <v>208.50941704035873</v>
      </c>
      <c r="D156" s="233">
        <f t="shared" si="96"/>
        <v>1.3271269988624379</v>
      </c>
      <c r="E156" s="233">
        <f t="shared" si="97"/>
        <v>-31.021469007013923</v>
      </c>
      <c r="F156" s="243">
        <f t="shared" si="98"/>
        <v>-40.573476381849837</v>
      </c>
      <c r="G156" s="243">
        <f t="shared" si="99"/>
        <v>-33.294599165924254</v>
      </c>
      <c r="H156" s="279">
        <f t="shared" si="81"/>
        <v>0.95357394790268735</v>
      </c>
      <c r="J156" s="68"/>
    </row>
    <row r="157" spans="1:10" ht="17.25" customHeight="1">
      <c r="A157" s="244">
        <v>41183</v>
      </c>
      <c r="B157" s="278">
        <f>geral!C659</f>
        <v>945.21800000000007</v>
      </c>
      <c r="C157" s="230">
        <f t="shared" si="95"/>
        <v>211.93228699551571</v>
      </c>
      <c r="D157" s="233">
        <f t="shared" si="96"/>
        <v>1.6415901035752523</v>
      </c>
      <c r="E157" s="233">
        <f t="shared" si="97"/>
        <v>-29.889124268641488</v>
      </c>
      <c r="F157" s="243">
        <f t="shared" si="98"/>
        <v>-35.89630210360837</v>
      </c>
      <c r="G157" s="243">
        <f t="shared" si="99"/>
        <v>-30.599120635452849</v>
      </c>
      <c r="H157" s="279">
        <f t="shared" si="81"/>
        <v>0.9381729928968765</v>
      </c>
      <c r="J157" s="68"/>
    </row>
    <row r="158" spans="1:10" ht="17.25" customHeight="1">
      <c r="A158" s="244">
        <v>41214</v>
      </c>
      <c r="B158" s="278">
        <f>geral!C660</f>
        <v>947.04</v>
      </c>
      <c r="C158" s="230">
        <f t="shared" si="95"/>
        <v>212.34080717488789</v>
      </c>
      <c r="D158" s="233">
        <f t="shared" si="96"/>
        <v>0.19275976547208362</v>
      </c>
      <c r="E158" s="233">
        <f t="shared" si="97"/>
        <v>-29.753978709011296</v>
      </c>
      <c r="F158" s="243">
        <f t="shared" si="98"/>
        <v>-31.745553558378504</v>
      </c>
      <c r="G158" s="243">
        <f t="shared" si="99"/>
        <v>-31.589801748828883</v>
      </c>
      <c r="H158" s="279">
        <f t="shared" si="81"/>
        <v>0.93636805203581674</v>
      </c>
      <c r="J158" s="68"/>
    </row>
    <row r="159" spans="1:10" ht="17.25" customHeight="1">
      <c r="A159" s="244">
        <v>41244</v>
      </c>
      <c r="B159" s="278">
        <f>geral!C661</f>
        <v>947.04</v>
      </c>
      <c r="C159" s="230">
        <f t="shared" si="95"/>
        <v>212.34080717488789</v>
      </c>
      <c r="D159" s="233">
        <f t="shared" si="96"/>
        <v>0</v>
      </c>
      <c r="E159" s="233">
        <f t="shared" si="97"/>
        <v>-29.753978709011296</v>
      </c>
      <c r="F159" s="243">
        <f t="shared" si="98"/>
        <v>-29.753978709011296</v>
      </c>
      <c r="G159" s="243">
        <f t="shared" si="99"/>
        <v>-30.428990858936732</v>
      </c>
      <c r="H159" s="279">
        <f t="shared" si="81"/>
        <v>0.93636805203581674</v>
      </c>
      <c r="J159" s="68"/>
    </row>
    <row r="160" spans="1:10" ht="17.25" customHeight="1">
      <c r="A160" s="244">
        <v>41275</v>
      </c>
      <c r="B160" s="278">
        <f>geral!E650</f>
        <v>935.04</v>
      </c>
      <c r="C160" s="230">
        <f t="shared" ref="C160:C165" si="100">100*B160/$B$7</f>
        <v>209.65022421524662</v>
      </c>
      <c r="D160" s="233">
        <f t="shared" ref="D160:D165" si="101">100*((B160/B159)-1)</f>
        <v>-1.2671059300557563</v>
      </c>
      <c r="E160" s="233">
        <f t="shared" ref="E160:E165" si="102">100*((B160/$B$159)-1)</f>
        <v>-1.2671059300557563</v>
      </c>
      <c r="F160" s="243">
        <f t="shared" ref="F160:F165" si="103">100*((B160/B148)-1)</f>
        <v>5.5304228748567885</v>
      </c>
      <c r="G160" s="243">
        <f t="shared" ref="G160:G165" si="104">100*(B160/B136-1)</f>
        <v>-32.68987123079404</v>
      </c>
      <c r="H160" s="279">
        <f t="shared" si="81"/>
        <v>0.94838509582477748</v>
      </c>
      <c r="J160" s="68"/>
    </row>
    <row r="161" spans="1:10" ht="17.25" customHeight="1">
      <c r="A161" s="244">
        <v>41306</v>
      </c>
      <c r="B161" s="278">
        <f>geral!E651</f>
        <v>935.97200000000009</v>
      </c>
      <c r="C161" s="230">
        <f t="shared" si="100"/>
        <v>209.85919282511213</v>
      </c>
      <c r="D161" s="233">
        <f t="shared" si="101"/>
        <v>9.9674880219047246E-2</v>
      </c>
      <c r="E161" s="233">
        <f t="shared" si="102"/>
        <v>-1.1686940361547382</v>
      </c>
      <c r="F161" s="243">
        <f t="shared" si="103"/>
        <v>10.68165065650215</v>
      </c>
      <c r="G161" s="243">
        <f t="shared" si="104"/>
        <v>-32.551794709192968</v>
      </c>
      <c r="H161" s="279">
        <f t="shared" si="81"/>
        <v>0.94744073540661455</v>
      </c>
      <c r="J161" s="68"/>
    </row>
    <row r="162" spans="1:10" ht="17.25" customHeight="1">
      <c r="A162" s="244">
        <v>41334</v>
      </c>
      <c r="B162" s="278">
        <f>geral!E652</f>
        <v>940.47799999999984</v>
      </c>
      <c r="C162" s="230">
        <f t="shared" si="100"/>
        <v>210.86950672645736</v>
      </c>
      <c r="D162" s="233">
        <f t="shared" si="101"/>
        <v>0.48142465800256051</v>
      </c>
      <c r="E162" s="233">
        <f t="shared" si="102"/>
        <v>-0.6928957594188323</v>
      </c>
      <c r="F162" s="243">
        <f t="shared" si="103"/>
        <v>7.2570408681123411</v>
      </c>
      <c r="G162" s="243">
        <f t="shared" si="104"/>
        <v>-35.061073709649591</v>
      </c>
      <c r="H162" s="279">
        <f t="shared" ref="H162:H171" si="105">+B$171/B162</f>
        <v>0.94290137568342913</v>
      </c>
      <c r="J162" s="68"/>
    </row>
    <row r="163" spans="1:10" ht="17.25" customHeight="1">
      <c r="A163" s="244">
        <v>41365</v>
      </c>
      <c r="B163" s="278">
        <f>geral!E653</f>
        <v>940.47799999999984</v>
      </c>
      <c r="C163" s="230">
        <f t="shared" si="100"/>
        <v>210.86950672645736</v>
      </c>
      <c r="D163" s="233">
        <f t="shared" si="101"/>
        <v>0</v>
      </c>
      <c r="E163" s="233">
        <f t="shared" si="102"/>
        <v>-0.6928957594188323</v>
      </c>
      <c r="F163" s="243">
        <f t="shared" si="103"/>
        <v>6.552640274932231</v>
      </c>
      <c r="G163" s="243">
        <f t="shared" si="104"/>
        <v>-33.80113550777584</v>
      </c>
      <c r="H163" s="279">
        <f t="shared" si="105"/>
        <v>0.94290137568342913</v>
      </c>
      <c r="J163" s="68"/>
    </row>
    <row r="164" spans="1:10" ht="17.25" customHeight="1">
      <c r="A164" s="244">
        <v>41395</v>
      </c>
      <c r="B164" s="278">
        <f>geral!E654</f>
        <v>920.81600000000003</v>
      </c>
      <c r="C164" s="230">
        <f t="shared" si="100"/>
        <v>206.46098654708521</v>
      </c>
      <c r="D164" s="233">
        <f t="shared" si="101"/>
        <v>-2.0906390154793453</v>
      </c>
      <c r="E164" s="233">
        <f t="shared" si="102"/>
        <v>-2.769048825815168</v>
      </c>
      <c r="F164" s="243">
        <f t="shared" si="103"/>
        <v>1.9018846209178708</v>
      </c>
      <c r="G164" s="243">
        <f t="shared" si="104"/>
        <v>-38.342205526874373</v>
      </c>
      <c r="H164" s="279">
        <f t="shared" si="105"/>
        <v>0.96303496029608504</v>
      </c>
      <c r="J164" s="68"/>
    </row>
    <row r="165" spans="1:10" ht="17.25" customHeight="1">
      <c r="A165" s="244">
        <v>41426</v>
      </c>
      <c r="B165" s="278">
        <f>geral!E655</f>
        <v>924.13199999999995</v>
      </c>
      <c r="C165" s="230">
        <f t="shared" si="100"/>
        <v>207.20448430493272</v>
      </c>
      <c r="D165" s="233">
        <f t="shared" si="101"/>
        <v>0.36011537592743892</v>
      </c>
      <c r="E165" s="233">
        <f t="shared" si="102"/>
        <v>-2.4189052204764305</v>
      </c>
      <c r="F165" s="243">
        <f t="shared" si="103"/>
        <v>1.1494806431487703</v>
      </c>
      <c r="G165" s="243">
        <f t="shared" si="104"/>
        <v>-44.204024706116762</v>
      </c>
      <c r="H165" s="279">
        <f t="shared" si="105"/>
        <v>0.95957936744967165</v>
      </c>
      <c r="J165" s="68"/>
    </row>
    <row r="166" spans="1:10" ht="17.25" customHeight="1">
      <c r="A166" s="244">
        <v>41456</v>
      </c>
      <c r="B166" s="278">
        <f>geral!E656</f>
        <v>923.00800000000004</v>
      </c>
      <c r="C166" s="230">
        <f t="shared" ref="C166:C171" si="106">100*B166/$B$7</f>
        <v>206.95246636771301</v>
      </c>
      <c r="D166" s="233">
        <f t="shared" ref="D166:D171" si="107">100*((B166/B165)-1)</f>
        <v>-0.1216276462669752</v>
      </c>
      <c r="E166" s="233">
        <f t="shared" ref="E166:E171" si="108">100*((B166/$B$159)-1)</f>
        <v>-2.5375908092583166</v>
      </c>
      <c r="F166" s="243">
        <f t="shared" ref="F166:F171" si="109">100*((B166/B154)-1)</f>
        <v>8.0236981007697494E-2</v>
      </c>
      <c r="G166" s="243">
        <f t="shared" ref="G166:G171" si="110">100*(B166/B142-1)</f>
        <v>-36.118443545942426</v>
      </c>
      <c r="H166" s="279">
        <f t="shared" si="105"/>
        <v>0.96074790251005393</v>
      </c>
      <c r="J166" s="68"/>
    </row>
    <row r="167" spans="1:10" ht="17.25" customHeight="1">
      <c r="A167" s="244">
        <v>41487</v>
      </c>
      <c r="B167" s="278">
        <f>geral!E657</f>
        <v>923.00800000000004</v>
      </c>
      <c r="C167" s="230">
        <f t="shared" si="106"/>
        <v>206.95246636771301</v>
      </c>
      <c r="D167" s="233">
        <f t="shared" si="107"/>
        <v>0</v>
      </c>
      <c r="E167" s="233">
        <f t="shared" si="108"/>
        <v>-2.5375908092583166</v>
      </c>
      <c r="F167" s="243">
        <f t="shared" si="109"/>
        <v>0.57051206617764194</v>
      </c>
      <c r="G167" s="243">
        <f t="shared" si="110"/>
        <v>-41.017217327623847</v>
      </c>
      <c r="H167" s="279">
        <f t="shared" si="105"/>
        <v>0.96074790251005393</v>
      </c>
      <c r="J167" s="68"/>
    </row>
    <row r="168" spans="1:10" ht="17.25" customHeight="1">
      <c r="A168" s="244">
        <v>41518</v>
      </c>
      <c r="B168" s="278">
        <f>geral!E658</f>
        <v>923.00800000000004</v>
      </c>
      <c r="C168" s="230">
        <f t="shared" si="106"/>
        <v>206.95246636771301</v>
      </c>
      <c r="D168" s="233">
        <f t="shared" si="107"/>
        <v>0</v>
      </c>
      <c r="E168" s="233">
        <f t="shared" si="108"/>
        <v>-2.5375908092583166</v>
      </c>
      <c r="F168" s="243">
        <f t="shared" si="109"/>
        <v>-0.7467052062902102</v>
      </c>
      <c r="G168" s="243">
        <f t="shared" si="110"/>
        <v>-41.017217327623847</v>
      </c>
      <c r="H168" s="279">
        <f t="shared" si="105"/>
        <v>0.96074790251005393</v>
      </c>
      <c r="J168" s="68"/>
    </row>
    <row r="169" spans="1:10" ht="17.25" customHeight="1">
      <c r="A169" s="244">
        <v>41548</v>
      </c>
      <c r="B169" s="278">
        <f>geral!E659</f>
        <v>923.00800000000004</v>
      </c>
      <c r="C169" s="230">
        <f t="shared" si="106"/>
        <v>206.95246636771301</v>
      </c>
      <c r="D169" s="233">
        <f t="shared" si="107"/>
        <v>0</v>
      </c>
      <c r="E169" s="233">
        <f t="shared" si="108"/>
        <v>-2.5375908092583166</v>
      </c>
      <c r="F169" s="243">
        <f t="shared" si="109"/>
        <v>-2.3497224978788034</v>
      </c>
      <c r="G169" s="243">
        <f t="shared" si="110"/>
        <v>-37.402561115052137</v>
      </c>
      <c r="H169" s="279">
        <f t="shared" si="105"/>
        <v>0.96074790251005393</v>
      </c>
      <c r="J169" s="68"/>
    </row>
    <row r="170" spans="1:10" ht="17.25" customHeight="1">
      <c r="A170" s="244">
        <v>41579</v>
      </c>
      <c r="B170" s="278">
        <f>geral!E660</f>
        <v>903.50800000000004</v>
      </c>
      <c r="C170" s="230">
        <f t="shared" si="106"/>
        <v>202.58026905829598</v>
      </c>
      <c r="D170" s="233">
        <f t="shared" si="107"/>
        <v>-2.1126577451116346</v>
      </c>
      <c r="E170" s="233">
        <f t="shared" si="108"/>
        <v>-4.5966379455989141</v>
      </c>
      <c r="F170" s="243">
        <f t="shared" si="109"/>
        <v>-4.5966379455989141</v>
      </c>
      <c r="G170" s="243">
        <f t="shared" si="110"/>
        <v>-34.882963343072568</v>
      </c>
      <c r="H170" s="279">
        <f t="shared" si="105"/>
        <v>0.98148328515076777</v>
      </c>
      <c r="J170" s="68"/>
    </row>
    <row r="171" spans="1:10" ht="17.25" customHeight="1" thickBot="1">
      <c r="A171" s="219">
        <v>41609</v>
      </c>
      <c r="B171" s="228">
        <f>geral!E661</f>
        <v>886.77799999999991</v>
      </c>
      <c r="C171" s="220">
        <f t="shared" si="106"/>
        <v>198.82914798206275</v>
      </c>
      <c r="D171" s="234">
        <f t="shared" si="107"/>
        <v>-1.851671484923223</v>
      </c>
      <c r="E171" s="234">
        <f t="shared" si="108"/>
        <v>-6.3631947964183251</v>
      </c>
      <c r="F171" s="221">
        <f t="shared" si="109"/>
        <v>-6.3631947964183251</v>
      </c>
      <c r="G171" s="221">
        <f t="shared" si="110"/>
        <v>-34.223869880490398</v>
      </c>
      <c r="H171" s="222">
        <f t="shared" si="105"/>
        <v>1</v>
      </c>
      <c r="J171" s="68"/>
    </row>
    <row r="172" spans="1:10">
      <c r="H172" s="52"/>
    </row>
    <row r="173" spans="1:10">
      <c r="A173" s="700" t="s">
        <v>324</v>
      </c>
    </row>
    <row r="174" spans="1:10">
      <c r="A174" s="700"/>
    </row>
    <row r="175" spans="1:10">
      <c r="A175" s="5"/>
      <c r="B175" s="5"/>
      <c r="C175" s="5"/>
      <c r="D175" s="5"/>
      <c r="E175" s="5"/>
      <c r="F175" s="5"/>
      <c r="G175" s="5"/>
    </row>
    <row r="176" spans="1:10">
      <c r="A176" s="5"/>
      <c r="B176" s="5"/>
      <c r="C176" s="5"/>
      <c r="D176" s="5"/>
      <c r="E176" s="5"/>
      <c r="F176" s="5"/>
      <c r="G176" s="5"/>
    </row>
    <row r="177" spans="1:7">
      <c r="A177" s="5"/>
      <c r="B177" s="5"/>
      <c r="C177" s="5"/>
      <c r="D177" s="5"/>
      <c r="E177" s="5"/>
      <c r="F177" s="5"/>
      <c r="G177" s="5"/>
    </row>
    <row r="178" spans="1:7">
      <c r="A178" s="5"/>
      <c r="B178" s="5"/>
      <c r="C178" s="5"/>
      <c r="D178" s="5"/>
      <c r="E178" s="5"/>
      <c r="F178" s="5"/>
      <c r="G178" s="5"/>
    </row>
    <row r="179" spans="1:7">
      <c r="A179" s="5"/>
      <c r="B179" s="5"/>
      <c r="C179" s="5"/>
      <c r="D179" s="5"/>
      <c r="E179" s="5"/>
      <c r="F179" s="5"/>
      <c r="G179" s="5"/>
    </row>
    <row r="180" spans="1:7">
      <c r="A180" s="5"/>
      <c r="B180" s="5"/>
      <c r="C180" s="5"/>
      <c r="D180" s="5"/>
      <c r="E180" s="5"/>
      <c r="F180" s="5"/>
      <c r="G180" s="5"/>
    </row>
    <row r="181" spans="1:7">
      <c r="A181" s="5"/>
      <c r="B181" s="5"/>
      <c r="C181" s="5"/>
      <c r="D181" s="5"/>
      <c r="E181" s="5"/>
      <c r="F181" s="5"/>
      <c r="G181" s="5"/>
    </row>
    <row r="182" spans="1:7">
      <c r="A182" s="5"/>
      <c r="B182" s="5"/>
      <c r="C182" s="5"/>
      <c r="D182" s="5"/>
      <c r="E182" s="5"/>
      <c r="F182" s="5"/>
      <c r="G182" s="5"/>
    </row>
    <row r="183" spans="1:7">
      <c r="A183" s="5"/>
      <c r="B183" s="5"/>
      <c r="C183" s="5"/>
      <c r="D183" s="5"/>
      <c r="E183" s="5"/>
      <c r="F183" s="5"/>
      <c r="G183" s="5"/>
    </row>
    <row r="184" spans="1:7">
      <c r="A184" s="5"/>
      <c r="B184" s="5"/>
      <c r="C184" s="5"/>
      <c r="D184" s="5"/>
      <c r="E184" s="5"/>
      <c r="F184" s="5"/>
      <c r="G184" s="5"/>
    </row>
    <row r="185" spans="1:7">
      <c r="A185" s="5"/>
      <c r="B185" s="5"/>
      <c r="C185" s="5"/>
      <c r="D185" s="5"/>
      <c r="E185" s="5"/>
      <c r="F185" s="5"/>
      <c r="G185" s="5"/>
    </row>
    <row r="186" spans="1:7">
      <c r="A186" s="5"/>
      <c r="B186" s="5"/>
      <c r="C186" s="5"/>
      <c r="D186" s="5"/>
      <c r="E186" s="5"/>
      <c r="F186" s="5"/>
      <c r="G186" s="5"/>
    </row>
    <row r="187" spans="1:7">
      <c r="A187" s="5"/>
      <c r="B187" s="5"/>
      <c r="C187" s="5"/>
      <c r="D187" s="5"/>
      <c r="E187" s="5"/>
      <c r="F187" s="5"/>
      <c r="G187" s="5"/>
    </row>
    <row r="188" spans="1:7">
      <c r="A188" s="5"/>
      <c r="B188" s="5"/>
      <c r="C188" s="5"/>
      <c r="D188" s="5"/>
      <c r="E188" s="5"/>
      <c r="F188" s="5"/>
      <c r="G188" s="5"/>
    </row>
    <row r="189" spans="1:7">
      <c r="A189" s="5"/>
      <c r="B189" s="5"/>
      <c r="C189" s="5"/>
      <c r="D189" s="5"/>
      <c r="E189" s="5"/>
      <c r="F189" s="5"/>
      <c r="G189" s="5"/>
    </row>
    <row r="190" spans="1:7">
      <c r="A190" s="5"/>
      <c r="B190" s="5"/>
      <c r="C190" s="5"/>
      <c r="D190" s="5"/>
      <c r="E190" s="5"/>
      <c r="F190" s="5"/>
      <c r="G190" s="5"/>
    </row>
    <row r="191" spans="1:7">
      <c r="A191" s="5"/>
      <c r="B191" s="5"/>
      <c r="C191" s="5"/>
      <c r="D191" s="5"/>
      <c r="E191" s="5"/>
      <c r="F191" s="5"/>
      <c r="G191" s="5"/>
    </row>
    <row r="192" spans="1:7">
      <c r="A192" s="5"/>
      <c r="B192" s="5"/>
      <c r="C192" s="5"/>
      <c r="D192" s="5"/>
      <c r="E192" s="5"/>
      <c r="F192" s="5"/>
      <c r="G192" s="5"/>
    </row>
    <row r="193" spans="1:7">
      <c r="A193" s="5"/>
      <c r="B193" s="5"/>
      <c r="C193" s="5"/>
      <c r="D193" s="5"/>
      <c r="E193" s="5"/>
      <c r="F193" s="5"/>
      <c r="G193" s="5"/>
    </row>
    <row r="194" spans="1:7">
      <c r="A194" s="5"/>
      <c r="B194" s="5"/>
      <c r="C194" s="5"/>
      <c r="D194" s="5"/>
      <c r="E194" s="5"/>
      <c r="F194" s="5"/>
      <c r="G194" s="5"/>
    </row>
    <row r="195" spans="1:7">
      <c r="A195" s="5"/>
      <c r="B195" s="5"/>
      <c r="C195" s="5"/>
      <c r="D195" s="5"/>
      <c r="E195" s="5"/>
      <c r="F195" s="5"/>
      <c r="G195" s="5"/>
    </row>
    <row r="196" spans="1:7">
      <c r="A196" s="5"/>
      <c r="B196" s="5"/>
      <c r="C196" s="5"/>
      <c r="D196" s="5"/>
      <c r="E196" s="5"/>
      <c r="F196" s="5"/>
      <c r="G196" s="5"/>
    </row>
    <row r="197" spans="1:7">
      <c r="A197" s="5"/>
      <c r="B197" s="5"/>
      <c r="C197" s="5"/>
      <c r="D197" s="5"/>
      <c r="E197" s="5"/>
      <c r="F197" s="5"/>
      <c r="G197" s="5"/>
    </row>
    <row r="198" spans="1:7">
      <c r="A198" s="5"/>
      <c r="B198" s="5"/>
      <c r="C198" s="5"/>
      <c r="D198" s="5"/>
      <c r="E198" s="5"/>
      <c r="F198" s="5"/>
      <c r="G198" s="5"/>
    </row>
    <row r="199" spans="1:7">
      <c r="A199" s="5"/>
      <c r="B199" s="5"/>
      <c r="C199" s="5"/>
      <c r="D199" s="5"/>
      <c r="E199" s="5"/>
      <c r="F199" s="5"/>
      <c r="G199" s="5"/>
    </row>
    <row r="200" spans="1:7">
      <c r="A200" s="5"/>
      <c r="B200" s="5"/>
      <c r="C200" s="5"/>
      <c r="D200" s="5"/>
      <c r="E200" s="5"/>
      <c r="F200" s="5"/>
      <c r="G200" s="5"/>
    </row>
    <row r="201" spans="1:7">
      <c r="A201" s="5"/>
      <c r="B201" s="5"/>
      <c r="C201" s="5"/>
      <c r="D201" s="5"/>
      <c r="E201" s="5"/>
      <c r="F201" s="5"/>
      <c r="G201" s="5"/>
    </row>
    <row r="202" spans="1:7">
      <c r="A202" s="5"/>
      <c r="B202" s="5"/>
      <c r="C202" s="5"/>
      <c r="D202" s="5"/>
      <c r="E202" s="5"/>
      <c r="F202" s="5"/>
      <c r="G202" s="5"/>
    </row>
    <row r="203" spans="1:7">
      <c r="A203" s="5"/>
      <c r="B203" s="5"/>
      <c r="C203" s="5"/>
      <c r="D203" s="5"/>
      <c r="E203" s="5"/>
      <c r="F203" s="5"/>
      <c r="G203" s="5"/>
    </row>
    <row r="204" spans="1:7">
      <c r="A204" s="5"/>
      <c r="B204" s="5"/>
      <c r="C204" s="5"/>
      <c r="D204" s="5"/>
      <c r="E204" s="5"/>
      <c r="F204" s="5"/>
      <c r="G204" s="5"/>
    </row>
    <row r="205" spans="1:7">
      <c r="A205" s="5"/>
      <c r="B205" s="5"/>
      <c r="C205" s="5"/>
      <c r="D205" s="5"/>
      <c r="E205" s="5"/>
      <c r="F205" s="5"/>
      <c r="G205" s="5"/>
    </row>
    <row r="206" spans="1:7">
      <c r="A206" s="5"/>
      <c r="B206" s="5"/>
      <c r="C206" s="5"/>
      <c r="D206" s="5"/>
      <c r="E206" s="5"/>
      <c r="F206" s="5"/>
      <c r="G206" s="5"/>
    </row>
    <row r="207" spans="1:7">
      <c r="A207" s="5"/>
      <c r="B207" s="5"/>
      <c r="C207" s="5"/>
      <c r="D207" s="5"/>
      <c r="E207" s="5"/>
      <c r="F207" s="5"/>
      <c r="G207" s="5"/>
    </row>
    <row r="208" spans="1:7">
      <c r="A208" s="5"/>
      <c r="B208" s="5"/>
      <c r="C208" s="5"/>
      <c r="D208" s="5"/>
      <c r="E208" s="5"/>
      <c r="F208" s="5"/>
      <c r="G208" s="5"/>
    </row>
    <row r="209" spans="1:7">
      <c r="A209" s="5"/>
      <c r="B209" s="5"/>
      <c r="C209" s="5"/>
      <c r="D209" s="5"/>
      <c r="E209" s="5"/>
      <c r="F209" s="5"/>
      <c r="G209" s="5"/>
    </row>
    <row r="210" spans="1:7">
      <c r="A210" s="5"/>
      <c r="B210" s="5"/>
      <c r="C210" s="5"/>
      <c r="D210" s="5"/>
      <c r="E210" s="5"/>
      <c r="F210" s="5"/>
      <c r="G210" s="5"/>
    </row>
    <row r="211" spans="1:7">
      <c r="A211" s="5"/>
      <c r="B211" s="5"/>
      <c r="C211" s="5"/>
      <c r="D211" s="5"/>
      <c r="E211" s="5"/>
      <c r="F211" s="5"/>
      <c r="G211" s="5"/>
    </row>
    <row r="212" spans="1:7">
      <c r="A212" s="5"/>
      <c r="B212" s="5"/>
      <c r="C212" s="5"/>
      <c r="D212" s="5"/>
      <c r="E212" s="5"/>
      <c r="F212" s="5"/>
      <c r="G212" s="5"/>
    </row>
    <row r="213" spans="1:7">
      <c r="A213" s="5"/>
      <c r="B213" s="5"/>
      <c r="C213" s="5"/>
      <c r="D213" s="5"/>
      <c r="E213" s="5"/>
      <c r="F213" s="5"/>
      <c r="G213" s="5"/>
    </row>
    <row r="214" spans="1:7">
      <c r="A214" s="5"/>
      <c r="B214" s="5"/>
      <c r="C214" s="5"/>
      <c r="D214" s="5"/>
      <c r="E214" s="5"/>
      <c r="F214" s="5"/>
      <c r="G214" s="5"/>
    </row>
  </sheetData>
  <mergeCells count="6">
    <mergeCell ref="A6:H6"/>
    <mergeCell ref="A1:H1"/>
    <mergeCell ref="A2:H2"/>
    <mergeCell ref="A3:C4"/>
    <mergeCell ref="D3:H3"/>
    <mergeCell ref="D4:H4"/>
  </mergeCells>
  <phoneticPr fontId="0" type="noConversion"/>
  <pageMargins left="0.78740157499999996" right="0.78740157499999996" top="0.984251969" bottom="0.984251969" header="0.49212598499999999" footer="0.49212598499999999"/>
  <pageSetup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24"/>
  <dimension ref="A1:J174"/>
  <sheetViews>
    <sheetView showGridLines="0" zoomScale="80" zoomScaleNormal="80" workbookViewId="0">
      <pane ySplit="2295" topLeftCell="A155" activePane="bottomLeft"/>
      <selection activeCell="J236" sqref="J236"/>
      <selection pane="bottomLeft" activeCell="I172" sqref="I172"/>
    </sheetView>
  </sheetViews>
  <sheetFormatPr defaultRowHeight="15"/>
  <cols>
    <col min="1" max="1" width="9" bestFit="1" customWidth="1"/>
    <col min="2" max="2" width="9.21875" customWidth="1"/>
    <col min="3" max="3" width="11.77734375" bestFit="1" customWidth="1"/>
    <col min="4" max="4" width="9.77734375" customWidth="1"/>
    <col min="5" max="5" width="10" customWidth="1"/>
    <col min="6" max="6" width="10.44140625" customWidth="1"/>
    <col min="7" max="7" width="10.77734375" customWidth="1"/>
    <col min="8" max="8" width="12.44140625" customWidth="1"/>
  </cols>
  <sheetData>
    <row r="1" spans="1:8" ht="21" thickBot="1">
      <c r="A1" s="1507" t="s">
        <v>276</v>
      </c>
      <c r="B1" s="1507"/>
      <c r="C1" s="1507"/>
      <c r="D1" s="1507"/>
      <c r="E1" s="1507"/>
      <c r="F1" s="1507"/>
      <c r="G1" s="1507"/>
      <c r="H1" s="1507"/>
    </row>
    <row r="2" spans="1:8" ht="17.25" thickBot="1">
      <c r="A2" s="1508" t="s">
        <v>284</v>
      </c>
      <c r="B2" s="1509"/>
      <c r="C2" s="1509"/>
      <c r="D2" s="1509"/>
      <c r="E2" s="1509"/>
      <c r="F2" s="1509"/>
      <c r="G2" s="1509"/>
      <c r="H2" s="1510"/>
    </row>
    <row r="3" spans="1:8" ht="17.25" thickBot="1">
      <c r="A3" s="1511" t="s">
        <v>281</v>
      </c>
      <c r="B3" s="1512"/>
      <c r="C3" s="1513"/>
      <c r="D3" s="1517" t="s">
        <v>278</v>
      </c>
      <c r="E3" s="1518"/>
      <c r="F3" s="1518"/>
      <c r="G3" s="1518"/>
      <c r="H3" s="1519"/>
    </row>
    <row r="4" spans="1:8" ht="17.25" thickBot="1">
      <c r="A4" s="1514"/>
      <c r="B4" s="1515"/>
      <c r="C4" s="1516"/>
      <c r="D4" s="1520" t="s">
        <v>275</v>
      </c>
      <c r="E4" s="1521"/>
      <c r="F4" s="1521"/>
      <c r="G4" s="1521"/>
      <c r="H4" s="1522"/>
    </row>
    <row r="5" spans="1:8" ht="49.5">
      <c r="A5" s="246" t="s">
        <v>67</v>
      </c>
      <c r="B5" s="246" t="s">
        <v>76</v>
      </c>
      <c r="C5" s="246" t="s">
        <v>68</v>
      </c>
      <c r="D5" s="247" t="s">
        <v>66</v>
      </c>
      <c r="E5" s="247" t="s">
        <v>65</v>
      </c>
      <c r="F5" s="247" t="s">
        <v>70</v>
      </c>
      <c r="G5" s="246" t="s">
        <v>160</v>
      </c>
      <c r="H5" s="246" t="s">
        <v>186</v>
      </c>
    </row>
    <row r="6" spans="1:8" ht="15.75" thickBot="1">
      <c r="A6" s="1504" t="s">
        <v>279</v>
      </c>
      <c r="B6" s="1505"/>
      <c r="C6" s="1505"/>
      <c r="D6" s="1505"/>
      <c r="E6" s="1505"/>
      <c r="F6" s="1505"/>
      <c r="G6" s="1505"/>
      <c r="H6" s="1506"/>
    </row>
    <row r="7" spans="1:8" ht="16.5">
      <c r="A7" s="223">
        <v>36617</v>
      </c>
      <c r="B7" s="224">
        <f>+geral!C1220</f>
        <v>151.80000000000001</v>
      </c>
      <c r="C7" s="229">
        <v>100</v>
      </c>
      <c r="D7" s="229"/>
      <c r="E7" s="229"/>
      <c r="F7" s="229"/>
      <c r="G7" s="229"/>
      <c r="H7" s="225">
        <f t="shared" ref="H7:H38" si="0">$B$171/B7</f>
        <v>3.5819060166886252</v>
      </c>
    </row>
    <row r="8" spans="1:8" ht="16.5">
      <c r="A8" s="216">
        <v>36647</v>
      </c>
      <c r="B8" s="226">
        <f>+geral!C1221</f>
        <v>183.67</v>
      </c>
      <c r="C8" s="211">
        <f t="shared" ref="C8:C19" si="1">100*B8/$B$7</f>
        <v>120.99472990777338</v>
      </c>
      <c r="D8" s="211">
        <f>100*((B8/B7)-1)</f>
        <v>20.99472990777338</v>
      </c>
      <c r="E8" s="211"/>
      <c r="F8" s="211"/>
      <c r="G8" s="211"/>
      <c r="H8" s="217">
        <f t="shared" si="0"/>
        <v>2.960381844249651</v>
      </c>
    </row>
    <row r="9" spans="1:8" ht="16.5">
      <c r="A9" s="216">
        <v>36678</v>
      </c>
      <c r="B9" s="226">
        <f>+geral!C1222</f>
        <v>155.16999999999999</v>
      </c>
      <c r="C9" s="211">
        <f t="shared" si="1"/>
        <v>102.22002635046111</v>
      </c>
      <c r="D9" s="211">
        <f t="shared" ref="D9:D16" si="2">100*((B9/B8)-1)</f>
        <v>-15.516959764795557</v>
      </c>
      <c r="E9" s="211"/>
      <c r="F9" s="211"/>
      <c r="G9" s="211"/>
      <c r="H9" s="217">
        <f t="shared" si="0"/>
        <v>3.504113767695646</v>
      </c>
    </row>
    <row r="10" spans="1:8" ht="16.5">
      <c r="A10" s="216">
        <v>36708</v>
      </c>
      <c r="B10" s="226">
        <f>+geral!C1223</f>
        <v>159.62</v>
      </c>
      <c r="C10" s="211">
        <f t="shared" si="1"/>
        <v>105.15151515151514</v>
      </c>
      <c r="D10" s="211">
        <f t="shared" si="2"/>
        <v>2.8678223883482845</v>
      </c>
      <c r="E10" s="211"/>
      <c r="F10" s="211"/>
      <c r="G10" s="211"/>
      <c r="H10" s="217">
        <f t="shared" si="0"/>
        <v>3.4064235893580586</v>
      </c>
    </row>
    <row r="11" spans="1:8" ht="16.5">
      <c r="A11" s="216">
        <v>36739</v>
      </c>
      <c r="B11" s="226">
        <f>+geral!C1224</f>
        <v>150.19999999999999</v>
      </c>
      <c r="C11" s="211">
        <f t="shared" si="1"/>
        <v>98.945981554677189</v>
      </c>
      <c r="D11" s="211">
        <f t="shared" si="2"/>
        <v>-5.9015161007392685</v>
      </c>
      <c r="E11" s="211"/>
      <c r="F11" s="211"/>
      <c r="G11" s="211"/>
      <c r="H11" s="217">
        <f t="shared" si="0"/>
        <v>3.6200621393697294</v>
      </c>
    </row>
    <row r="12" spans="1:8" ht="16.5">
      <c r="A12" s="216">
        <v>36770</v>
      </c>
      <c r="B12" s="226">
        <f>+geral!C1225</f>
        <v>155.33000000000001</v>
      </c>
      <c r="C12" s="211">
        <f t="shared" si="1"/>
        <v>102.32542819499342</v>
      </c>
      <c r="D12" s="211">
        <f t="shared" si="2"/>
        <v>3.415446071904138</v>
      </c>
      <c r="E12" s="211"/>
      <c r="F12" s="211"/>
      <c r="G12" s="211"/>
      <c r="H12" s="217">
        <f t="shared" si="0"/>
        <v>3.5005043026674389</v>
      </c>
    </row>
    <row r="13" spans="1:8" ht="16.5">
      <c r="A13" s="216">
        <v>36800</v>
      </c>
      <c r="B13" s="226">
        <f>+geral!C1226</f>
        <v>154.43</v>
      </c>
      <c r="C13" s="211">
        <f t="shared" si="1"/>
        <v>101.73254281949933</v>
      </c>
      <c r="D13" s="211">
        <f t="shared" si="2"/>
        <v>-0.57941157535569277</v>
      </c>
      <c r="E13" s="211"/>
      <c r="F13" s="211"/>
      <c r="G13" s="211"/>
      <c r="H13" s="217">
        <f t="shared" si="0"/>
        <v>3.5209048328260915</v>
      </c>
    </row>
    <row r="14" spans="1:8" ht="16.5">
      <c r="A14" s="216">
        <v>36831</v>
      </c>
      <c r="B14" s="226">
        <f>+geral!C1227</f>
        <v>165.5</v>
      </c>
      <c r="C14" s="211">
        <f t="shared" si="1"/>
        <v>109.02503293807641</v>
      </c>
      <c r="D14" s="211">
        <f t="shared" si="2"/>
        <v>7.1682963154827473</v>
      </c>
      <c r="E14" s="211"/>
      <c r="F14" s="211"/>
      <c r="G14" s="211"/>
      <c r="H14" s="217">
        <f t="shared" si="0"/>
        <v>3.2853977844914404</v>
      </c>
    </row>
    <row r="15" spans="1:8" ht="16.5">
      <c r="A15" s="216">
        <v>36861</v>
      </c>
      <c r="B15" s="226">
        <f>+geral!C1228</f>
        <v>159.75</v>
      </c>
      <c r="C15" s="211">
        <f t="shared" si="1"/>
        <v>105.23715415019763</v>
      </c>
      <c r="D15" s="211">
        <f t="shared" si="2"/>
        <v>-3.4743202416918417</v>
      </c>
      <c r="E15" s="211"/>
      <c r="F15" s="211"/>
      <c r="G15" s="211"/>
      <c r="H15" s="217">
        <f t="shared" si="0"/>
        <v>3.4036515388628064</v>
      </c>
    </row>
    <row r="16" spans="1:8" ht="16.5">
      <c r="A16" s="216">
        <v>36892</v>
      </c>
      <c r="B16" s="226">
        <f>+geral!E1217</f>
        <v>161.83000000000001</v>
      </c>
      <c r="C16" s="211">
        <f t="shared" si="1"/>
        <v>106.60737812911727</v>
      </c>
      <c r="D16" s="211">
        <f t="shared" si="2"/>
        <v>1.3020344287949959</v>
      </c>
      <c r="E16" s="211">
        <f t="shared" ref="E16:E21" si="3">100*((B16/$B$15)-1)</f>
        <v>1.3020344287949959</v>
      </c>
      <c r="F16" s="211"/>
      <c r="G16" s="211"/>
      <c r="H16" s="217">
        <f t="shared" si="0"/>
        <v>3.3599044264557456</v>
      </c>
    </row>
    <row r="17" spans="1:8" ht="16.5">
      <c r="A17" s="216">
        <v>36923</v>
      </c>
      <c r="B17" s="226">
        <f>+geral!E1218</f>
        <v>173.33</v>
      </c>
      <c r="C17" s="211">
        <f t="shared" si="1"/>
        <v>114.18313570487483</v>
      </c>
      <c r="D17" s="211">
        <f t="shared" ref="D17:D22" si="4">100*((B17/B16)-1)</f>
        <v>7.1062225792498213</v>
      </c>
      <c r="E17" s="211">
        <f t="shared" si="3"/>
        <v>8.5007824726134764</v>
      </c>
      <c r="F17" s="213"/>
      <c r="G17" s="213"/>
      <c r="H17" s="217">
        <f t="shared" si="0"/>
        <v>3.1369834035269908</v>
      </c>
    </row>
    <row r="18" spans="1:8" ht="16.5">
      <c r="A18" s="216">
        <v>36951</v>
      </c>
      <c r="B18" s="226">
        <f>+geral!E1219</f>
        <v>178</v>
      </c>
      <c r="C18" s="211">
        <f t="shared" si="1"/>
        <v>117.25955204216073</v>
      </c>
      <c r="D18" s="211">
        <f t="shared" si="4"/>
        <v>2.6942825823573546</v>
      </c>
      <c r="E18" s="211">
        <f t="shared" si="3"/>
        <v>11.424100156494532</v>
      </c>
      <c r="F18" s="213"/>
      <c r="G18" s="213"/>
      <c r="H18" s="217">
        <f t="shared" si="0"/>
        <v>3.0546816479400749</v>
      </c>
    </row>
    <row r="19" spans="1:8" ht="16.5">
      <c r="A19" s="216">
        <v>36982</v>
      </c>
      <c r="B19" s="226">
        <f>+geral!E1220</f>
        <v>172</v>
      </c>
      <c r="C19" s="211">
        <f t="shared" si="1"/>
        <v>113.30698287220025</v>
      </c>
      <c r="D19" s="211">
        <f t="shared" si="4"/>
        <v>-3.3707865168539297</v>
      </c>
      <c r="E19" s="211">
        <f t="shared" si="3"/>
        <v>7.6682316118935834</v>
      </c>
      <c r="F19" s="214">
        <f t="shared" ref="F19:F24" si="5">100*((B19/B7)-1)</f>
        <v>13.306982872200246</v>
      </c>
      <c r="G19" s="214"/>
      <c r="H19" s="217">
        <f t="shared" si="0"/>
        <v>3.1612403100775195</v>
      </c>
    </row>
    <row r="20" spans="1:8" ht="16.5">
      <c r="A20" s="216">
        <v>37012</v>
      </c>
      <c r="B20" s="226">
        <f>+geral!E1221</f>
        <v>163.69999999999999</v>
      </c>
      <c r="C20" s="211">
        <f t="shared" ref="C20:C66" si="6">100*B20/$B$7</f>
        <v>107.83926218708825</v>
      </c>
      <c r="D20" s="211">
        <f t="shared" si="4"/>
        <v>-4.8255813953488431</v>
      </c>
      <c r="E20" s="211">
        <f t="shared" si="3"/>
        <v>2.4726134585289383</v>
      </c>
      <c r="F20" s="214">
        <f t="shared" si="5"/>
        <v>-10.872760929928681</v>
      </c>
      <c r="G20" s="214"/>
      <c r="H20" s="217">
        <f t="shared" si="0"/>
        <v>3.3215231113826107</v>
      </c>
    </row>
    <row r="21" spans="1:8" ht="16.5">
      <c r="A21" s="216">
        <v>37043</v>
      </c>
      <c r="B21" s="226">
        <f>+geral!E1222</f>
        <v>174.6</v>
      </c>
      <c r="C21" s="211">
        <f t="shared" si="6"/>
        <v>115.0197628458498</v>
      </c>
      <c r="D21" s="211">
        <f t="shared" si="4"/>
        <v>6.6585216860109986</v>
      </c>
      <c r="E21" s="211">
        <f t="shared" si="3"/>
        <v>9.2957746478873116</v>
      </c>
      <c r="F21" s="214">
        <f t="shared" si="5"/>
        <v>12.521750338338599</v>
      </c>
      <c r="G21" s="214"/>
      <c r="H21" s="217">
        <f t="shared" si="0"/>
        <v>3.1141657121038566</v>
      </c>
    </row>
    <row r="22" spans="1:8" ht="16.5">
      <c r="A22" s="216">
        <v>37073</v>
      </c>
      <c r="B22" s="226">
        <f>+geral!E1223</f>
        <v>182</v>
      </c>
      <c r="C22" s="211">
        <f t="shared" si="6"/>
        <v>119.8945981554677</v>
      </c>
      <c r="D22" s="211">
        <f t="shared" si="4"/>
        <v>4.2382588774341423</v>
      </c>
      <c r="E22" s="211">
        <f t="shared" ref="E22:E27" si="7">100*((B22/$B$15)-1)</f>
        <v>13.928012519561817</v>
      </c>
      <c r="F22" s="214">
        <f t="shared" si="5"/>
        <v>14.020799398571615</v>
      </c>
      <c r="G22" s="214"/>
      <c r="H22" s="217">
        <f t="shared" si="0"/>
        <v>2.9875457875457876</v>
      </c>
    </row>
    <row r="23" spans="1:8" ht="16.5">
      <c r="A23" s="216">
        <v>37104</v>
      </c>
      <c r="B23" s="226">
        <f>+geral!E1224</f>
        <v>184.64</v>
      </c>
      <c r="C23" s="211">
        <f t="shared" si="6"/>
        <v>121.63372859025031</v>
      </c>
      <c r="D23" s="211">
        <f t="shared" ref="D23:D28" si="8">100*((B23/B22)-1)</f>
        <v>1.4505494505494321</v>
      </c>
      <c r="E23" s="211">
        <f t="shared" si="7"/>
        <v>15.580594679186222</v>
      </c>
      <c r="F23" s="214">
        <f t="shared" si="5"/>
        <v>22.929427430093206</v>
      </c>
      <c r="G23" s="214"/>
      <c r="H23" s="217">
        <f t="shared" si="0"/>
        <v>2.9448295782784522</v>
      </c>
    </row>
    <row r="24" spans="1:8" ht="16.5">
      <c r="A24" s="216">
        <v>37135</v>
      </c>
      <c r="B24" s="226">
        <f>+geral!E1225</f>
        <v>184.6</v>
      </c>
      <c r="C24" s="211">
        <f t="shared" si="6"/>
        <v>121.60737812911725</v>
      </c>
      <c r="D24" s="211">
        <f t="shared" si="8"/>
        <v>-2.1663778162905878E-2</v>
      </c>
      <c r="E24" s="211">
        <f t="shared" si="7"/>
        <v>15.555555555555545</v>
      </c>
      <c r="F24" s="214">
        <f t="shared" si="5"/>
        <v>18.843752011845737</v>
      </c>
      <c r="G24" s="214"/>
      <c r="H24" s="217">
        <f t="shared" si="0"/>
        <v>2.9454676778620441</v>
      </c>
    </row>
    <row r="25" spans="1:8" ht="16.5">
      <c r="A25" s="216">
        <v>37165</v>
      </c>
      <c r="B25" s="226">
        <f>+geral!E1226</f>
        <v>182.4</v>
      </c>
      <c r="C25" s="211">
        <f t="shared" si="6"/>
        <v>120.15810276679841</v>
      </c>
      <c r="D25" s="211">
        <f t="shared" si="8"/>
        <v>-1.1917659804983716</v>
      </c>
      <c r="E25" s="211">
        <f t="shared" si="7"/>
        <v>14.178403755868541</v>
      </c>
      <c r="F25" s="214">
        <f t="shared" ref="F25:F30" si="9">100*((B25/B13)-1)</f>
        <v>18.111765848604545</v>
      </c>
      <c r="G25" s="214"/>
      <c r="H25" s="217">
        <f t="shared" si="0"/>
        <v>2.9809941520467835</v>
      </c>
    </row>
    <row r="26" spans="1:8" ht="16.5">
      <c r="A26" s="216">
        <v>37196</v>
      </c>
      <c r="B26" s="226">
        <f>+geral!E1227</f>
        <v>192.4</v>
      </c>
      <c r="C26" s="211">
        <f t="shared" si="6"/>
        <v>126.74571805006586</v>
      </c>
      <c r="D26" s="211">
        <f t="shared" si="8"/>
        <v>5.4824561403508776</v>
      </c>
      <c r="E26" s="211">
        <f t="shared" si="7"/>
        <v>20.438184663536774</v>
      </c>
      <c r="F26" s="214">
        <f t="shared" si="9"/>
        <v>16.253776435045332</v>
      </c>
      <c r="G26" s="214"/>
      <c r="H26" s="217">
        <f t="shared" si="0"/>
        <v>2.826056826056826</v>
      </c>
    </row>
    <row r="27" spans="1:8" ht="16.5">
      <c r="A27" s="216">
        <v>37226</v>
      </c>
      <c r="B27" s="226">
        <f>+geral!E1228</f>
        <v>179.8</v>
      </c>
      <c r="C27" s="211">
        <f t="shared" si="6"/>
        <v>118.44532279314888</v>
      </c>
      <c r="D27" s="211">
        <f t="shared" si="8"/>
        <v>-6.5488565488565413</v>
      </c>
      <c r="E27" s="211">
        <f t="shared" si="7"/>
        <v>12.550860719874812</v>
      </c>
      <c r="F27" s="214">
        <f t="shared" si="9"/>
        <v>12.550860719874812</v>
      </c>
      <c r="G27" s="214"/>
      <c r="H27" s="217">
        <f t="shared" si="0"/>
        <v>3.0241008527994064</v>
      </c>
    </row>
    <row r="28" spans="1:8" ht="16.5">
      <c r="A28" s="216">
        <v>37257</v>
      </c>
      <c r="B28" s="226">
        <f>+geral!G1217</f>
        <v>190</v>
      </c>
      <c r="C28" s="211">
        <f t="shared" si="6"/>
        <v>125.16469038208167</v>
      </c>
      <c r="D28" s="211">
        <f t="shared" si="8"/>
        <v>5.6729699666295819</v>
      </c>
      <c r="E28" s="211">
        <f t="shared" ref="E28:E33" si="10">100*((B28/$B$27)-1)</f>
        <v>5.6729699666295819</v>
      </c>
      <c r="F28" s="214">
        <f t="shared" si="9"/>
        <v>17.407155657171103</v>
      </c>
      <c r="G28" s="214"/>
      <c r="H28" s="217">
        <f t="shared" si="0"/>
        <v>2.8617543859649124</v>
      </c>
    </row>
    <row r="29" spans="1:8" ht="16.5">
      <c r="A29" s="216">
        <v>37288</v>
      </c>
      <c r="B29" s="226">
        <f>+geral!G1218</f>
        <v>178.8</v>
      </c>
      <c r="C29" s="211">
        <f t="shared" si="6"/>
        <v>117.78656126482213</v>
      </c>
      <c r="D29" s="211">
        <f t="shared" ref="D29:D34" si="11">100*((B29/B28)-1)</f>
        <v>-5.8947368421052531</v>
      </c>
      <c r="E29" s="211">
        <f t="shared" si="10"/>
        <v>-0.55617352614015791</v>
      </c>
      <c r="F29" s="214">
        <f t="shared" si="9"/>
        <v>3.1558299198061412</v>
      </c>
      <c r="G29" s="214"/>
      <c r="H29" s="217">
        <f t="shared" si="0"/>
        <v>3.0410141685309471</v>
      </c>
    </row>
    <row r="30" spans="1:8" ht="16.5">
      <c r="A30" s="216">
        <v>37316</v>
      </c>
      <c r="B30" s="226">
        <f>+geral!G1219</f>
        <v>191.4</v>
      </c>
      <c r="C30" s="211">
        <f t="shared" si="6"/>
        <v>126.08695652173913</v>
      </c>
      <c r="D30" s="211">
        <f t="shared" si="11"/>
        <v>7.0469798657718075</v>
      </c>
      <c r="E30" s="211">
        <f t="shared" si="10"/>
        <v>6.4516129032258007</v>
      </c>
      <c r="F30" s="214">
        <f t="shared" si="9"/>
        <v>7.5280898876404434</v>
      </c>
      <c r="G30" s="214"/>
      <c r="H30" s="217">
        <f t="shared" si="0"/>
        <v>2.8408220132358064</v>
      </c>
    </row>
    <row r="31" spans="1:8" ht="16.5">
      <c r="A31" s="216">
        <v>37347</v>
      </c>
      <c r="B31" s="226">
        <f>+geral!G1220</f>
        <v>189.5</v>
      </c>
      <c r="C31" s="211">
        <f t="shared" si="6"/>
        <v>124.8353096179183</v>
      </c>
      <c r="D31" s="211">
        <f t="shared" si="11"/>
        <v>-0.99268547544409946</v>
      </c>
      <c r="E31" s="211">
        <f t="shared" si="10"/>
        <v>5.3948832035594974</v>
      </c>
      <c r="F31" s="214">
        <f t="shared" ref="F31:F36" si="12">100*((B31/B19)-1)</f>
        <v>10.174418604651159</v>
      </c>
      <c r="G31" s="214">
        <f>100*(B31/B7-1)</f>
        <v>24.835309617918313</v>
      </c>
      <c r="H31" s="217">
        <f t="shared" si="0"/>
        <v>2.8693051890941073</v>
      </c>
    </row>
    <row r="32" spans="1:8" ht="16.5">
      <c r="A32" s="216">
        <v>37377</v>
      </c>
      <c r="B32" s="226">
        <f>+geral!G1221</f>
        <v>204</v>
      </c>
      <c r="C32" s="211">
        <f t="shared" si="6"/>
        <v>134.38735177865613</v>
      </c>
      <c r="D32" s="211">
        <f t="shared" si="11"/>
        <v>7.6517150395778444</v>
      </c>
      <c r="E32" s="211">
        <f t="shared" si="10"/>
        <v>13.45939933259177</v>
      </c>
      <c r="F32" s="214">
        <f t="shared" si="12"/>
        <v>24.618204031765423</v>
      </c>
      <c r="G32" s="214">
        <f t="shared" ref="G32:G40" si="13">100*(B32/B8-1)</f>
        <v>11.068764632220841</v>
      </c>
      <c r="H32" s="217">
        <f t="shared" si="0"/>
        <v>2.6653594771241829</v>
      </c>
    </row>
    <row r="33" spans="1:8" ht="16.5">
      <c r="A33" s="216">
        <v>37408</v>
      </c>
      <c r="B33" s="226">
        <f>+geral!G1222</f>
        <v>193.8</v>
      </c>
      <c r="C33" s="211">
        <f t="shared" si="6"/>
        <v>127.66798418972331</v>
      </c>
      <c r="D33" s="211">
        <f t="shared" si="11"/>
        <v>-4.9999999999999929</v>
      </c>
      <c r="E33" s="211">
        <f t="shared" si="10"/>
        <v>7.7864293659621886</v>
      </c>
      <c r="F33" s="214">
        <f t="shared" si="12"/>
        <v>10.996563573883167</v>
      </c>
      <c r="G33" s="214">
        <f t="shared" si="13"/>
        <v>24.89527614874012</v>
      </c>
      <c r="H33" s="217">
        <f t="shared" si="0"/>
        <v>2.8056415548675608</v>
      </c>
    </row>
    <row r="34" spans="1:8" ht="16.5">
      <c r="A34" s="216">
        <v>37438</v>
      </c>
      <c r="B34" s="226">
        <f>+geral!G1223</f>
        <v>187.67</v>
      </c>
      <c r="C34" s="211">
        <f t="shared" si="6"/>
        <v>123.62977602108036</v>
      </c>
      <c r="D34" s="211">
        <f t="shared" si="11"/>
        <v>-3.1630546955624506</v>
      </c>
      <c r="E34" s="211">
        <f t="shared" ref="E34:E39" si="14">100*((B34/$B$27)-1)</f>
        <v>4.3770856507230116</v>
      </c>
      <c r="F34" s="214">
        <f t="shared" si="12"/>
        <v>3.1153846153846088</v>
      </c>
      <c r="G34" s="214">
        <f t="shared" si="13"/>
        <v>17.572985841373256</v>
      </c>
      <c r="H34" s="217">
        <f t="shared" si="0"/>
        <v>2.8972842400667842</v>
      </c>
    </row>
    <row r="35" spans="1:8" ht="16.5">
      <c r="A35" s="216">
        <v>37469</v>
      </c>
      <c r="B35" s="226">
        <f>+geral!G1224</f>
        <v>206.8</v>
      </c>
      <c r="C35" s="211">
        <f t="shared" si="6"/>
        <v>136.231884057971</v>
      </c>
      <c r="D35" s="211">
        <f t="shared" ref="D35:D40" si="15">100*((B35/B34)-1)</f>
        <v>10.193424628336988</v>
      </c>
      <c r="E35" s="211">
        <f t="shared" si="14"/>
        <v>15.016685205784208</v>
      </c>
      <c r="F35" s="214">
        <f t="shared" si="12"/>
        <v>12.001733102253054</v>
      </c>
      <c r="G35" s="214">
        <f t="shared" si="13"/>
        <v>37.683089214380836</v>
      </c>
      <c r="H35" s="217">
        <f t="shared" si="0"/>
        <v>2.6292714377820761</v>
      </c>
    </row>
    <row r="36" spans="1:8" ht="16.5">
      <c r="A36" s="216">
        <v>37500</v>
      </c>
      <c r="B36" s="226">
        <f>+geral!G1225</f>
        <v>210.67</v>
      </c>
      <c r="C36" s="211">
        <f t="shared" si="6"/>
        <v>138.7812911725955</v>
      </c>
      <c r="D36" s="211">
        <f t="shared" si="15"/>
        <v>1.8713733075435002</v>
      </c>
      <c r="E36" s="211">
        <f t="shared" si="14"/>
        <v>17.169076751946587</v>
      </c>
      <c r="F36" s="214">
        <f t="shared" si="12"/>
        <v>14.122426868905746</v>
      </c>
      <c r="G36" s="214">
        <f t="shared" si="13"/>
        <v>35.627373977982344</v>
      </c>
      <c r="H36" s="217">
        <f t="shared" si="0"/>
        <v>2.5809718200661385</v>
      </c>
    </row>
    <row r="37" spans="1:8" ht="16.5">
      <c r="A37" s="216">
        <v>37530</v>
      </c>
      <c r="B37" s="226">
        <f>+geral!G1226</f>
        <v>217.75</v>
      </c>
      <c r="C37" s="211">
        <f t="shared" si="6"/>
        <v>143.44532279314888</v>
      </c>
      <c r="D37" s="211">
        <f t="shared" si="15"/>
        <v>3.3607063179380114</v>
      </c>
      <c r="E37" s="211">
        <f t="shared" si="14"/>
        <v>21.106785317018904</v>
      </c>
      <c r="F37" s="214">
        <f t="shared" ref="F37:F42" si="16">100*((B37/B25)-1)</f>
        <v>19.380482456140346</v>
      </c>
      <c r="G37" s="214">
        <f t="shared" si="13"/>
        <v>41.002395907530918</v>
      </c>
      <c r="H37" s="217">
        <f t="shared" si="0"/>
        <v>2.4970531955606585</v>
      </c>
    </row>
    <row r="38" spans="1:8" ht="16.5">
      <c r="A38" s="216">
        <v>37561</v>
      </c>
      <c r="B38" s="226">
        <f>+geral!G1227</f>
        <v>232.2</v>
      </c>
      <c r="C38" s="211">
        <f t="shared" si="6"/>
        <v>152.96442687747034</v>
      </c>
      <c r="D38" s="211">
        <f t="shared" si="15"/>
        <v>6.6360505166475292</v>
      </c>
      <c r="E38" s="211">
        <f t="shared" si="14"/>
        <v>29.143492769744149</v>
      </c>
      <c r="F38" s="214">
        <f t="shared" si="16"/>
        <v>20.686070686070668</v>
      </c>
      <c r="G38" s="214">
        <f t="shared" si="13"/>
        <v>40.302114803625379</v>
      </c>
      <c r="H38" s="217">
        <f t="shared" si="0"/>
        <v>2.3416594889463109</v>
      </c>
    </row>
    <row r="39" spans="1:8" ht="16.5">
      <c r="A39" s="216">
        <v>37591</v>
      </c>
      <c r="B39" s="226">
        <f>+geral!G1228</f>
        <v>259.2</v>
      </c>
      <c r="C39" s="211">
        <f t="shared" si="6"/>
        <v>170.75098814229247</v>
      </c>
      <c r="D39" s="211">
        <f t="shared" si="15"/>
        <v>11.627906976744185</v>
      </c>
      <c r="E39" s="211">
        <f t="shared" si="14"/>
        <v>44.160177975528356</v>
      </c>
      <c r="F39" s="214">
        <f t="shared" si="16"/>
        <v>44.160177975528356</v>
      </c>
      <c r="G39" s="214">
        <f t="shared" si="13"/>
        <v>62.253521126760546</v>
      </c>
      <c r="H39" s="217">
        <f t="shared" ref="H39:H70" si="17">$B$171/B39</f>
        <v>2.0977366255144037</v>
      </c>
    </row>
    <row r="40" spans="1:8" ht="16.5">
      <c r="A40" s="216">
        <v>37622</v>
      </c>
      <c r="B40" s="226">
        <f>+geral!I1217</f>
        <v>252.96</v>
      </c>
      <c r="C40" s="211">
        <f t="shared" si="6"/>
        <v>166.64031620553359</v>
      </c>
      <c r="D40" s="211">
        <f t="shared" si="15"/>
        <v>-2.4074074074074026</v>
      </c>
      <c r="E40" s="211">
        <f t="shared" ref="E40:E45" si="18">100*((B40/$B$39)-1)</f>
        <v>-2.4074074074074026</v>
      </c>
      <c r="F40" s="214">
        <f t="shared" si="16"/>
        <v>33.136842105263156</v>
      </c>
      <c r="G40" s="214">
        <f t="shared" si="13"/>
        <v>56.312179447568433</v>
      </c>
      <c r="H40" s="217">
        <f t="shared" si="17"/>
        <v>2.1494834492936961</v>
      </c>
    </row>
    <row r="41" spans="1:8" ht="16.5">
      <c r="A41" s="216">
        <v>37653</v>
      </c>
      <c r="B41" s="226">
        <f>+geral!I1218</f>
        <v>238</v>
      </c>
      <c r="C41" s="211">
        <f t="shared" si="6"/>
        <v>156.78524374176547</v>
      </c>
      <c r="D41" s="211">
        <f t="shared" ref="D41:D46" si="19">100*((B41/B40)-1)</f>
        <v>-5.9139784946236613</v>
      </c>
      <c r="E41" s="211">
        <f t="shared" si="18"/>
        <v>-8.1790123456790038</v>
      </c>
      <c r="F41" s="214">
        <f t="shared" si="16"/>
        <v>33.109619686800883</v>
      </c>
      <c r="G41" s="214">
        <f t="shared" ref="G41:G46" si="20">100*(B41/B17-1)</f>
        <v>37.310332891017126</v>
      </c>
      <c r="H41" s="217">
        <f t="shared" si="17"/>
        <v>2.2845938375350139</v>
      </c>
    </row>
    <row r="42" spans="1:8" ht="16.5">
      <c r="A42" s="216">
        <v>37681</v>
      </c>
      <c r="B42" s="226">
        <f>+geral!I1219</f>
        <v>285.2</v>
      </c>
      <c r="C42" s="211">
        <f t="shared" si="6"/>
        <v>187.87878787878788</v>
      </c>
      <c r="D42" s="211">
        <f t="shared" si="19"/>
        <v>19.831932773109241</v>
      </c>
      <c r="E42" s="211">
        <f t="shared" si="18"/>
        <v>10.030864197530875</v>
      </c>
      <c r="F42" s="214">
        <f t="shared" si="16"/>
        <v>49.007314524555888</v>
      </c>
      <c r="G42" s="214">
        <f t="shared" si="20"/>
        <v>60.22471910112359</v>
      </c>
      <c r="H42" s="217">
        <f t="shared" si="17"/>
        <v>1.9064983637213653</v>
      </c>
    </row>
    <row r="43" spans="1:8" ht="16.5">
      <c r="A43" s="216">
        <v>37712</v>
      </c>
      <c r="B43" s="226">
        <f>+geral!I1220</f>
        <v>281.60000000000002</v>
      </c>
      <c r="C43" s="211">
        <f t="shared" si="6"/>
        <v>185.50724637681159</v>
      </c>
      <c r="D43" s="211">
        <f t="shared" si="19"/>
        <v>-1.2622720897615625</v>
      </c>
      <c r="E43" s="211">
        <f t="shared" si="18"/>
        <v>8.6419753086419924</v>
      </c>
      <c r="F43" s="214">
        <f t="shared" ref="F43:F48" si="21">100*((B43/B31)-1)</f>
        <v>48.601583113456485</v>
      </c>
      <c r="G43" s="214">
        <f t="shared" si="20"/>
        <v>63.72093023255816</v>
      </c>
      <c r="H43" s="217">
        <f t="shared" si="17"/>
        <v>1.9308712121212119</v>
      </c>
    </row>
    <row r="44" spans="1:8" ht="16.5">
      <c r="A44" s="216">
        <v>37742</v>
      </c>
      <c r="B44" s="226">
        <f>+geral!I1221</f>
        <v>260.38</v>
      </c>
      <c r="C44" s="211">
        <f t="shared" si="6"/>
        <v>171.52832674571803</v>
      </c>
      <c r="D44" s="211">
        <f t="shared" si="19"/>
        <v>-7.5355113636363713</v>
      </c>
      <c r="E44" s="211">
        <f t="shared" si="18"/>
        <v>0.45524691358025393</v>
      </c>
      <c r="F44" s="214">
        <f t="shared" si="21"/>
        <v>27.637254901960784</v>
      </c>
      <c r="G44" s="214">
        <f t="shared" si="20"/>
        <v>59.059254734270006</v>
      </c>
      <c r="H44" s="217">
        <f t="shared" si="17"/>
        <v>2.0882300227872084</v>
      </c>
    </row>
    <row r="45" spans="1:8" ht="16.5">
      <c r="A45" s="216">
        <v>37773</v>
      </c>
      <c r="B45" s="226">
        <f>+geral!I1222</f>
        <v>269.25</v>
      </c>
      <c r="C45" s="211">
        <f t="shared" si="6"/>
        <v>177.37154150197628</v>
      </c>
      <c r="D45" s="211">
        <f t="shared" si="19"/>
        <v>3.4065596435978174</v>
      </c>
      <c r="E45" s="211">
        <f t="shared" si="18"/>
        <v>3.877314814814814</v>
      </c>
      <c r="F45" s="214">
        <f t="shared" si="21"/>
        <v>38.931888544891621</v>
      </c>
      <c r="G45" s="214">
        <f t="shared" si="20"/>
        <v>54.209621993127158</v>
      </c>
      <c r="H45" s="217">
        <f t="shared" si="17"/>
        <v>2.0194367069018879</v>
      </c>
    </row>
    <row r="46" spans="1:8" ht="16.5">
      <c r="A46" s="216">
        <v>37803</v>
      </c>
      <c r="B46" s="226">
        <f>+geral!I1223</f>
        <v>262.2</v>
      </c>
      <c r="C46" s="211">
        <f t="shared" si="6"/>
        <v>172.72727272727272</v>
      </c>
      <c r="D46" s="211">
        <f t="shared" si="19"/>
        <v>-2.6183844011142154</v>
      </c>
      <c r="E46" s="211">
        <f t="shared" ref="E46:E51" si="22">100*((B46/$B$39)-1)</f>
        <v>1.1574074074074181</v>
      </c>
      <c r="F46" s="214">
        <f t="shared" si="21"/>
        <v>39.713326583897278</v>
      </c>
      <c r="G46" s="214">
        <f t="shared" si="20"/>
        <v>44.065934065934066</v>
      </c>
      <c r="H46" s="217">
        <f t="shared" si="17"/>
        <v>2.073735062293415</v>
      </c>
    </row>
    <row r="47" spans="1:8" ht="16.5">
      <c r="A47" s="216">
        <v>37834</v>
      </c>
      <c r="B47" s="226">
        <f>+geral!I1224</f>
        <v>261.5</v>
      </c>
      <c r="C47" s="211">
        <f t="shared" si="6"/>
        <v>172.266139657444</v>
      </c>
      <c r="D47" s="211">
        <f t="shared" ref="D47:D52" si="23">100*((B47/B46)-1)</f>
        <v>-0.2669717772692537</v>
      </c>
      <c r="E47" s="211">
        <f t="shared" si="22"/>
        <v>0.88734567901234129</v>
      </c>
      <c r="F47" s="214">
        <f t="shared" si="21"/>
        <v>26.450676982591869</v>
      </c>
      <c r="G47" s="214">
        <f t="shared" ref="G47:G52" si="24">100*(B47/B23-1)</f>
        <v>41.626949740034668</v>
      </c>
      <c r="H47" s="217">
        <f t="shared" si="17"/>
        <v>2.0792861695347358</v>
      </c>
    </row>
    <row r="48" spans="1:8" ht="16.5">
      <c r="A48" s="216">
        <v>37865</v>
      </c>
      <c r="B48" s="226">
        <f>+geral!I1225</f>
        <v>277.08</v>
      </c>
      <c r="C48" s="211">
        <f t="shared" si="6"/>
        <v>182.52964426877469</v>
      </c>
      <c r="D48" s="211">
        <f t="shared" si="23"/>
        <v>5.9579349904397727</v>
      </c>
      <c r="E48" s="211">
        <f t="shared" si="22"/>
        <v>6.8981481481481532</v>
      </c>
      <c r="F48" s="214">
        <f t="shared" si="21"/>
        <v>31.523235391845073</v>
      </c>
      <c r="G48" s="214">
        <f t="shared" si="24"/>
        <v>50.097508125677123</v>
      </c>
      <c r="H48" s="217">
        <f t="shared" si="17"/>
        <v>1.9623694721139504</v>
      </c>
    </row>
    <row r="49" spans="1:8" ht="16.5">
      <c r="A49" s="216">
        <v>37895</v>
      </c>
      <c r="B49" s="226">
        <f>+geral!I1226</f>
        <v>290.81</v>
      </c>
      <c r="C49" s="211">
        <f t="shared" si="6"/>
        <v>191.57444005270091</v>
      </c>
      <c r="D49" s="211">
        <f t="shared" si="23"/>
        <v>4.9552475819258035</v>
      </c>
      <c r="E49" s="211">
        <f t="shared" si="22"/>
        <v>12.195216049382719</v>
      </c>
      <c r="F49" s="214">
        <f t="shared" ref="F49:F54" si="25">100*((B49/B37)-1)</f>
        <v>33.552238805970156</v>
      </c>
      <c r="G49" s="214">
        <f t="shared" si="24"/>
        <v>59.435307017543849</v>
      </c>
      <c r="H49" s="217">
        <f t="shared" si="17"/>
        <v>1.8697202067787675</v>
      </c>
    </row>
    <row r="50" spans="1:8" ht="16.5">
      <c r="A50" s="216">
        <v>37926</v>
      </c>
      <c r="B50" s="226">
        <f>+geral!I1227</f>
        <v>290.81</v>
      </c>
      <c r="C50" s="211">
        <f t="shared" si="6"/>
        <v>191.57444005270091</v>
      </c>
      <c r="D50" s="211">
        <f t="shared" si="23"/>
        <v>0</v>
      </c>
      <c r="E50" s="211">
        <f t="shared" si="22"/>
        <v>12.195216049382719</v>
      </c>
      <c r="F50" s="214">
        <f t="shared" si="25"/>
        <v>25.241171403962113</v>
      </c>
      <c r="G50" s="214">
        <f t="shared" si="24"/>
        <v>51.148648648648653</v>
      </c>
      <c r="H50" s="217">
        <f t="shared" si="17"/>
        <v>1.8697202067787675</v>
      </c>
    </row>
    <row r="51" spans="1:8" ht="16.5">
      <c r="A51" s="216">
        <v>37956</v>
      </c>
      <c r="B51" s="226">
        <f>+geral!I1228</f>
        <v>277.39999999999998</v>
      </c>
      <c r="C51" s="211">
        <f t="shared" si="6"/>
        <v>182.74044795783922</v>
      </c>
      <c r="D51" s="211">
        <f t="shared" si="23"/>
        <v>-4.6112582098277288</v>
      </c>
      <c r="E51" s="211">
        <f t="shared" si="22"/>
        <v>7.0216049382715973</v>
      </c>
      <c r="F51" s="214">
        <f t="shared" si="25"/>
        <v>7.0216049382715973</v>
      </c>
      <c r="G51" s="214">
        <f t="shared" si="24"/>
        <v>54.282536151279182</v>
      </c>
      <c r="H51" s="217">
        <f t="shared" si="17"/>
        <v>1.9601057438115839</v>
      </c>
    </row>
    <row r="52" spans="1:8" ht="16.5">
      <c r="A52" s="216">
        <v>37987</v>
      </c>
      <c r="B52" s="226">
        <f>+geral!K1217</f>
        <v>261.16000000000003</v>
      </c>
      <c r="C52" s="211">
        <f t="shared" si="6"/>
        <v>172.04216073781294</v>
      </c>
      <c r="D52" s="211">
        <f t="shared" si="23"/>
        <v>-5.854361932227814</v>
      </c>
      <c r="E52" s="211">
        <f t="shared" ref="E52:E57" si="26">100*((B52/$B$51)-1)</f>
        <v>-5.854361932227814</v>
      </c>
      <c r="F52" s="214">
        <f t="shared" si="25"/>
        <v>3.2416192283365008</v>
      </c>
      <c r="G52" s="214">
        <f t="shared" si="24"/>
        <v>37.452631578947383</v>
      </c>
      <c r="H52" s="217">
        <f t="shared" si="17"/>
        <v>2.0819931587277276</v>
      </c>
    </row>
    <row r="53" spans="1:8" ht="16.5">
      <c r="A53" s="216">
        <v>38018</v>
      </c>
      <c r="B53" s="226">
        <f>+geral!K1218</f>
        <v>269.68</v>
      </c>
      <c r="C53" s="211">
        <f t="shared" si="6"/>
        <v>177.65480895915678</v>
      </c>
      <c r="D53" s="211">
        <f t="shared" ref="D53:D58" si="27">100*((B53/B52)-1)</f>
        <v>3.2623678970745917</v>
      </c>
      <c r="E53" s="211">
        <f t="shared" si="26"/>
        <v>-2.782984859408788</v>
      </c>
      <c r="F53" s="214">
        <f t="shared" si="25"/>
        <v>13.310924369747902</v>
      </c>
      <c r="G53" s="214">
        <f t="shared" ref="G53:G58" si="28">100*(B53/B29-1)</f>
        <v>50.827740492170022</v>
      </c>
      <c r="H53" s="217">
        <f t="shared" si="17"/>
        <v>2.0162167507168989</v>
      </c>
    </row>
    <row r="54" spans="1:8" ht="16.5">
      <c r="A54" s="216">
        <v>38047</v>
      </c>
      <c r="B54" s="226">
        <f>+geral!K1219</f>
        <v>284.60000000000002</v>
      </c>
      <c r="C54" s="211">
        <f t="shared" si="6"/>
        <v>187.48353096179184</v>
      </c>
      <c r="D54" s="211">
        <f t="shared" si="27"/>
        <v>5.5324829427469746</v>
      </c>
      <c r="E54" s="211">
        <f t="shared" si="26"/>
        <v>2.5955299206921634</v>
      </c>
      <c r="F54" s="214">
        <f t="shared" si="25"/>
        <v>-0.21037868162692153</v>
      </c>
      <c r="G54" s="214">
        <f t="shared" si="28"/>
        <v>48.693834900731467</v>
      </c>
      <c r="H54" s="217">
        <f t="shared" si="17"/>
        <v>1.9105176856406652</v>
      </c>
    </row>
    <row r="55" spans="1:8" ht="16.5">
      <c r="A55" s="216">
        <v>38078</v>
      </c>
      <c r="B55" s="226">
        <f>+geral!K1220</f>
        <v>296.60000000000002</v>
      </c>
      <c r="C55" s="211">
        <f t="shared" si="6"/>
        <v>195.38866930171278</v>
      </c>
      <c r="D55" s="211">
        <f t="shared" si="27"/>
        <v>4.2164441321152601</v>
      </c>
      <c r="E55" s="211">
        <f t="shared" si="26"/>
        <v>6.921413121845732</v>
      </c>
      <c r="F55" s="214">
        <f t="shared" ref="F55:F60" si="29">100*((B55/B43)-1)</f>
        <v>5.3267045454545414</v>
      </c>
      <c r="G55" s="214">
        <f t="shared" si="28"/>
        <v>56.51715039577838</v>
      </c>
      <c r="H55" s="217">
        <f t="shared" si="17"/>
        <v>1.8332209485277589</v>
      </c>
    </row>
    <row r="56" spans="1:8" ht="16.5">
      <c r="A56" s="216">
        <v>38108</v>
      </c>
      <c r="B56" s="226">
        <f>+geral!K1221</f>
        <v>310</v>
      </c>
      <c r="C56" s="211">
        <f t="shared" si="6"/>
        <v>204.21607378129116</v>
      </c>
      <c r="D56" s="211">
        <f t="shared" si="27"/>
        <v>4.5178691840862983</v>
      </c>
      <c r="E56" s="211">
        <f t="shared" si="26"/>
        <v>11.7519826964672</v>
      </c>
      <c r="F56" s="214">
        <f t="shared" si="29"/>
        <v>19.056763192257463</v>
      </c>
      <c r="G56" s="214">
        <f t="shared" si="28"/>
        <v>51.960784313725483</v>
      </c>
      <c r="H56" s="217">
        <f t="shared" si="17"/>
        <v>1.7539784946236561</v>
      </c>
    </row>
    <row r="57" spans="1:8" ht="16.5">
      <c r="A57" s="216">
        <v>38139</v>
      </c>
      <c r="B57" s="226">
        <f>+geral!K1222</f>
        <v>326.60000000000002</v>
      </c>
      <c r="C57" s="211">
        <f t="shared" si="6"/>
        <v>215.15151515151516</v>
      </c>
      <c r="D57" s="211">
        <f t="shared" si="27"/>
        <v>5.3548387096774341</v>
      </c>
      <c r="E57" s="211">
        <f t="shared" si="26"/>
        <v>17.736121124729642</v>
      </c>
      <c r="F57" s="214">
        <f t="shared" si="29"/>
        <v>21.299907149489329</v>
      </c>
      <c r="G57" s="214">
        <f t="shared" si="28"/>
        <v>68.524251805985557</v>
      </c>
      <c r="H57" s="217">
        <f t="shared" si="17"/>
        <v>1.6648295570524596</v>
      </c>
    </row>
    <row r="58" spans="1:8" ht="16.5">
      <c r="A58" s="216">
        <v>38169</v>
      </c>
      <c r="B58" s="226">
        <f>+geral!K1223</f>
        <v>321.60000000000002</v>
      </c>
      <c r="C58" s="211">
        <f t="shared" si="6"/>
        <v>211.85770750988144</v>
      </c>
      <c r="D58" s="211">
        <f t="shared" si="27"/>
        <v>-1.5309246785058184</v>
      </c>
      <c r="E58" s="211">
        <f t="shared" ref="E58:E63" si="30">100*((B58/$B$51)-1)</f>
        <v>15.933669790915662</v>
      </c>
      <c r="F58" s="214">
        <f t="shared" si="29"/>
        <v>22.654462242562936</v>
      </c>
      <c r="G58" s="214">
        <f t="shared" si="28"/>
        <v>71.364629402674936</v>
      </c>
      <c r="H58" s="217">
        <f t="shared" si="17"/>
        <v>1.6907131011608623</v>
      </c>
    </row>
    <row r="59" spans="1:8" ht="16.5">
      <c r="A59" s="216">
        <v>38200</v>
      </c>
      <c r="B59" s="226">
        <f>+geral!K1224</f>
        <v>308</v>
      </c>
      <c r="C59" s="211">
        <f t="shared" si="6"/>
        <v>202.89855072463766</v>
      </c>
      <c r="D59" s="211">
        <f t="shared" ref="D59:D64" si="31">100*((B59/B58)-1)</f>
        <v>-4.2288557213930433</v>
      </c>
      <c r="E59" s="211">
        <f t="shared" si="30"/>
        <v>11.031002162941617</v>
      </c>
      <c r="F59" s="214">
        <f t="shared" si="29"/>
        <v>17.782026768642446</v>
      </c>
      <c r="G59" s="214">
        <f t="shared" ref="G59:G64" si="32">100*(B59/B35-1)</f>
        <v>48.936170212765951</v>
      </c>
      <c r="H59" s="217">
        <f t="shared" si="17"/>
        <v>1.7653679653679655</v>
      </c>
    </row>
    <row r="60" spans="1:8" ht="16.5">
      <c r="A60" s="216">
        <v>38231</v>
      </c>
      <c r="B60" s="226">
        <f>+geral!K1225</f>
        <v>322.39999999999998</v>
      </c>
      <c r="C60" s="211">
        <f t="shared" si="6"/>
        <v>212.38471673254278</v>
      </c>
      <c r="D60" s="211">
        <f t="shared" si="31"/>
        <v>4.6753246753246769</v>
      </c>
      <c r="E60" s="211">
        <f t="shared" si="30"/>
        <v>16.222062004325878</v>
      </c>
      <c r="F60" s="214">
        <f t="shared" si="29"/>
        <v>16.35628699292624</v>
      </c>
      <c r="G60" s="214">
        <f t="shared" si="32"/>
        <v>53.035553234917174</v>
      </c>
      <c r="H60" s="217">
        <f t="shared" si="17"/>
        <v>1.6865177832919771</v>
      </c>
    </row>
    <row r="61" spans="1:8" ht="16.5">
      <c r="A61" s="216">
        <v>38261</v>
      </c>
      <c r="B61" s="226">
        <f>+geral!K1226</f>
        <v>317.77999999999997</v>
      </c>
      <c r="C61" s="211">
        <f t="shared" si="6"/>
        <v>209.34123847167322</v>
      </c>
      <c r="D61" s="211">
        <f t="shared" si="31"/>
        <v>-1.4330024813895781</v>
      </c>
      <c r="E61" s="211">
        <f t="shared" si="30"/>
        <v>14.556596971881763</v>
      </c>
      <c r="F61" s="214">
        <f t="shared" ref="F61:F66" si="33">100*((B61/B49)-1)</f>
        <v>9.2740964891165909</v>
      </c>
      <c r="G61" s="214">
        <f t="shared" si="32"/>
        <v>45.938002296211231</v>
      </c>
      <c r="H61" s="217">
        <f t="shared" si="17"/>
        <v>1.7110369857553445</v>
      </c>
    </row>
    <row r="62" spans="1:8" ht="16.5">
      <c r="A62" s="216">
        <v>38292</v>
      </c>
      <c r="B62" s="226">
        <f>+geral!K1227</f>
        <v>331.9</v>
      </c>
      <c r="C62" s="211">
        <f t="shared" si="6"/>
        <v>218.64295125164688</v>
      </c>
      <c r="D62" s="211">
        <f t="shared" si="31"/>
        <v>4.4433255711498587</v>
      </c>
      <c r="E62" s="211">
        <f t="shared" si="30"/>
        <v>19.646719538572466</v>
      </c>
      <c r="F62" s="214">
        <f t="shared" si="33"/>
        <v>14.129500361060487</v>
      </c>
      <c r="G62" s="214">
        <f t="shared" si="32"/>
        <v>42.9371231696813</v>
      </c>
      <c r="H62" s="217">
        <f t="shared" si="17"/>
        <v>1.6382444511399017</v>
      </c>
    </row>
    <row r="63" spans="1:8" ht="16.5">
      <c r="A63" s="216">
        <v>38322</v>
      </c>
      <c r="B63" s="226">
        <f>+geral!K1228</f>
        <v>319.14999999999998</v>
      </c>
      <c r="C63" s="211">
        <f t="shared" si="6"/>
        <v>210.24374176548085</v>
      </c>
      <c r="D63" s="211">
        <f t="shared" si="31"/>
        <v>-3.8415185296776122</v>
      </c>
      <c r="E63" s="211">
        <f t="shared" si="30"/>
        <v>15.050468637346803</v>
      </c>
      <c r="F63" s="214">
        <f t="shared" si="33"/>
        <v>15.050468637346803</v>
      </c>
      <c r="G63" s="214">
        <f t="shared" si="32"/>
        <v>23.128858024691358</v>
      </c>
      <c r="H63" s="217">
        <f t="shared" si="17"/>
        <v>1.7036920988041153</v>
      </c>
    </row>
    <row r="64" spans="1:8" ht="16.5">
      <c r="A64" s="216">
        <v>38353</v>
      </c>
      <c r="B64" s="226">
        <f>+geral!M1217</f>
        <v>334.15</v>
      </c>
      <c r="C64" s="211">
        <f t="shared" si="6"/>
        <v>220.12516469038206</v>
      </c>
      <c r="D64" s="211">
        <f t="shared" si="31"/>
        <v>4.6999843333855651</v>
      </c>
      <c r="E64" s="211">
        <f>100*((B64/$B$63)-1)</f>
        <v>4.6999843333855651</v>
      </c>
      <c r="F64" s="214">
        <f t="shared" si="33"/>
        <v>27.948384132332649</v>
      </c>
      <c r="G64" s="214">
        <f t="shared" si="32"/>
        <v>32.095983554712191</v>
      </c>
      <c r="H64" s="217">
        <f t="shared" si="17"/>
        <v>1.6272133273479976</v>
      </c>
    </row>
    <row r="65" spans="1:8" ht="16.5">
      <c r="A65" s="216">
        <v>38384</v>
      </c>
      <c r="B65" s="226">
        <f>+geral!M1218</f>
        <v>333.31</v>
      </c>
      <c r="C65" s="211">
        <f t="shared" si="6"/>
        <v>219.5718050065876</v>
      </c>
      <c r="D65" s="211">
        <f t="shared" ref="D65:D70" si="34">100*((B65/B64)-1)</f>
        <v>-0.25138410893310592</v>
      </c>
      <c r="E65" s="211">
        <f t="shared" ref="E65:E70" si="35">100*((B65/$B$64)-1)</f>
        <v>-0.25138410893310592</v>
      </c>
      <c r="F65" s="214">
        <f t="shared" si="33"/>
        <v>23.594630673390693</v>
      </c>
      <c r="G65" s="214">
        <f t="shared" ref="G65:G70" si="36">100*(B65/B41-1)</f>
        <v>40.04621848739496</v>
      </c>
      <c r="H65" s="217">
        <f t="shared" si="17"/>
        <v>1.6313141919934395</v>
      </c>
    </row>
    <row r="66" spans="1:8" ht="16.5">
      <c r="A66" s="216">
        <v>38412</v>
      </c>
      <c r="B66" s="226">
        <f>+geral!M1219</f>
        <v>341.6</v>
      </c>
      <c r="C66" s="211">
        <f t="shared" si="6"/>
        <v>225.03293807641631</v>
      </c>
      <c r="D66" s="211">
        <f t="shared" si="34"/>
        <v>2.4871741021871507</v>
      </c>
      <c r="E66" s="211">
        <f t="shared" si="35"/>
        <v>2.2295376327996497</v>
      </c>
      <c r="F66" s="214">
        <f t="shared" si="33"/>
        <v>20.02810962754744</v>
      </c>
      <c r="G66" s="214">
        <f t="shared" si="36"/>
        <v>19.77559607293129</v>
      </c>
      <c r="H66" s="217">
        <f t="shared" si="17"/>
        <v>1.5917252146760343</v>
      </c>
    </row>
    <row r="67" spans="1:8" ht="16.5">
      <c r="A67" s="216">
        <v>38443</v>
      </c>
      <c r="B67" s="226">
        <f>+geral!M1220</f>
        <v>351.13</v>
      </c>
      <c r="C67" s="211">
        <f t="shared" ref="C67:C87" si="37">100*B67/$B$7</f>
        <v>231.31093544137022</v>
      </c>
      <c r="D67" s="211">
        <f t="shared" si="34"/>
        <v>2.7898126463700157</v>
      </c>
      <c r="E67" s="211">
        <f t="shared" si="35"/>
        <v>5.0815502020050918</v>
      </c>
      <c r="F67" s="214">
        <f t="shared" ref="F67:F72" si="38">100*((B67/B55)-1)</f>
        <v>18.38503034389749</v>
      </c>
      <c r="G67" s="214">
        <f t="shared" si="36"/>
        <v>24.69105113636363</v>
      </c>
      <c r="H67" s="217">
        <f t="shared" si="17"/>
        <v>1.5485242882503156</v>
      </c>
    </row>
    <row r="68" spans="1:8" ht="16.5">
      <c r="A68" s="216">
        <v>38473</v>
      </c>
      <c r="B68" s="226">
        <f>+geral!M1221</f>
        <v>351.67</v>
      </c>
      <c r="C68" s="211">
        <f t="shared" si="37"/>
        <v>231.66666666666666</v>
      </c>
      <c r="D68" s="211">
        <f t="shared" si="34"/>
        <v>0.15378919488509002</v>
      </c>
      <c r="E68" s="211">
        <f t="shared" si="35"/>
        <v>5.2431542720335234</v>
      </c>
      <c r="F68" s="214">
        <f t="shared" si="38"/>
        <v>13.441935483870981</v>
      </c>
      <c r="G68" s="214">
        <f t="shared" si="36"/>
        <v>35.06029648974576</v>
      </c>
      <c r="H68" s="217">
        <f t="shared" si="17"/>
        <v>1.5461464820238671</v>
      </c>
    </row>
    <row r="69" spans="1:8" ht="16.5">
      <c r="A69" s="216">
        <v>38504</v>
      </c>
      <c r="B69" s="226">
        <f>+geral!M1222</f>
        <v>351.33</v>
      </c>
      <c r="C69" s="211">
        <f t="shared" si="37"/>
        <v>231.44268774703556</v>
      </c>
      <c r="D69" s="211">
        <f t="shared" si="34"/>
        <v>-9.6681548042210075E-2</v>
      </c>
      <c r="E69" s="211">
        <f t="shared" si="35"/>
        <v>5.1414035612748821</v>
      </c>
      <c r="F69" s="214">
        <f t="shared" si="38"/>
        <v>7.5719534598897686</v>
      </c>
      <c r="G69" s="214">
        <f t="shared" si="36"/>
        <v>30.484679665738156</v>
      </c>
      <c r="H69" s="217">
        <f t="shared" si="17"/>
        <v>1.5476427670091748</v>
      </c>
    </row>
    <row r="70" spans="1:8" ht="16.5">
      <c r="A70" s="216">
        <v>38534</v>
      </c>
      <c r="B70" s="226">
        <f>+geral!M1223</f>
        <v>349.43</v>
      </c>
      <c r="C70" s="211">
        <f t="shared" si="37"/>
        <v>230.19104084321475</v>
      </c>
      <c r="D70" s="211">
        <f t="shared" si="34"/>
        <v>-0.54080209489653086</v>
      </c>
      <c r="E70" s="211">
        <f t="shared" si="35"/>
        <v>4.5727966482118854</v>
      </c>
      <c r="F70" s="214">
        <f t="shared" si="38"/>
        <v>8.6536069651741201</v>
      </c>
      <c r="G70" s="214">
        <f t="shared" si="36"/>
        <v>33.26849733028223</v>
      </c>
      <c r="H70" s="217">
        <f t="shared" si="17"/>
        <v>1.5560579610603935</v>
      </c>
    </row>
    <row r="71" spans="1:8" ht="16.5">
      <c r="A71" s="216">
        <v>38565</v>
      </c>
      <c r="B71" s="226">
        <f>+geral!M1224</f>
        <v>332.29</v>
      </c>
      <c r="C71" s="211">
        <f t="shared" si="37"/>
        <v>218.89986824769431</v>
      </c>
      <c r="D71" s="211">
        <f t="shared" ref="D71:D76" si="39">100*((B71/B70)-1)</f>
        <v>-4.9051312136908614</v>
      </c>
      <c r="E71" s="211">
        <f>100*((B71/$B$64)-1)</f>
        <v>-0.55663624120902977</v>
      </c>
      <c r="F71" s="214">
        <f t="shared" si="38"/>
        <v>7.8863636363636358</v>
      </c>
      <c r="G71" s="214">
        <f t="shared" ref="G71:G76" si="40">100*(B71/B47-1)</f>
        <v>27.070745697896758</v>
      </c>
      <c r="H71" s="217">
        <f t="shared" ref="H71:H102" si="41">$B$171/B71</f>
        <v>1.6363216868799342</v>
      </c>
    </row>
    <row r="72" spans="1:8" ht="16.5">
      <c r="A72" s="216">
        <v>38596</v>
      </c>
      <c r="B72" s="226">
        <f>+geral!M1225</f>
        <v>387.86</v>
      </c>
      <c r="C72" s="211">
        <f t="shared" si="37"/>
        <v>255.50724637681157</v>
      </c>
      <c r="D72" s="211">
        <f t="shared" si="39"/>
        <v>16.723344066929478</v>
      </c>
      <c r="E72" s="211">
        <f>100*((B72/$B$64)-1)</f>
        <v>16.07361963190186</v>
      </c>
      <c r="F72" s="214">
        <f t="shared" si="38"/>
        <v>20.303970223325084</v>
      </c>
      <c r="G72" s="214">
        <f t="shared" si="40"/>
        <v>39.981232856936643</v>
      </c>
      <c r="H72" s="217">
        <f t="shared" si="41"/>
        <v>1.4018804035820485</v>
      </c>
    </row>
    <row r="73" spans="1:8" ht="16.5">
      <c r="A73" s="216">
        <v>38626</v>
      </c>
      <c r="B73" s="226">
        <f>+geral!M1226</f>
        <v>328</v>
      </c>
      <c r="C73" s="211">
        <f t="shared" si="37"/>
        <v>216.07378129117257</v>
      </c>
      <c r="D73" s="211">
        <f t="shared" si="39"/>
        <v>-15.433403805496837</v>
      </c>
      <c r="E73" s="211">
        <f>100*((B73/$B$64)-1)</f>
        <v>-1.8404907975460016</v>
      </c>
      <c r="F73" s="214">
        <f t="shared" ref="F73:F78" si="42">100*((B73/B61)-1)</f>
        <v>3.2160614261438791</v>
      </c>
      <c r="G73" s="214">
        <f t="shared" si="40"/>
        <v>12.788418555070313</v>
      </c>
      <c r="H73" s="217">
        <f t="shared" si="41"/>
        <v>1.6577235772357723</v>
      </c>
    </row>
    <row r="74" spans="1:8" ht="16.5">
      <c r="A74" s="216">
        <v>38657</v>
      </c>
      <c r="B74" s="226">
        <f>+geral!M1227</f>
        <v>343.69</v>
      </c>
      <c r="C74" s="211">
        <f t="shared" si="37"/>
        <v>226.40974967061922</v>
      </c>
      <c r="D74" s="211">
        <f t="shared" si="39"/>
        <v>4.7835365853658551</v>
      </c>
      <c r="E74" s="211">
        <f>100*((B74/$B$64)-1)</f>
        <v>2.8550052371689505</v>
      </c>
      <c r="F74" s="214">
        <f t="shared" si="42"/>
        <v>3.552274781560727</v>
      </c>
      <c r="G74" s="214">
        <f t="shared" si="40"/>
        <v>18.183693820707681</v>
      </c>
      <c r="H74" s="217">
        <f t="shared" si="41"/>
        <v>1.5820458358792322</v>
      </c>
    </row>
    <row r="75" spans="1:8" ht="16.5">
      <c r="A75" s="216">
        <v>38687</v>
      </c>
      <c r="B75" s="226">
        <f>+geral!M1228</f>
        <v>341.4</v>
      </c>
      <c r="C75" s="211">
        <f t="shared" si="37"/>
        <v>224.90118577075097</v>
      </c>
      <c r="D75" s="211">
        <f t="shared" si="39"/>
        <v>-0.66629811748960543</v>
      </c>
      <c r="E75" s="211">
        <f>100*((B75/$B$64)-1)</f>
        <v>2.1696842735298594</v>
      </c>
      <c r="F75" s="214">
        <f t="shared" si="42"/>
        <v>6.9716434278552342</v>
      </c>
      <c r="G75" s="214">
        <f t="shared" si="40"/>
        <v>23.071377072819033</v>
      </c>
      <c r="H75" s="217">
        <f t="shared" si="41"/>
        <v>1.5926576840460849</v>
      </c>
    </row>
    <row r="76" spans="1:8" ht="16.5">
      <c r="A76" s="216">
        <v>38718</v>
      </c>
      <c r="B76" s="226">
        <f>geral!C1232</f>
        <v>335.11</v>
      </c>
      <c r="C76" s="211">
        <f t="shared" si="37"/>
        <v>220.75757575757575</v>
      </c>
      <c r="D76" s="211">
        <f t="shared" si="39"/>
        <v>-1.842413591095482</v>
      </c>
      <c r="E76" s="211">
        <f t="shared" ref="E76:E81" si="43">100*((B76/$B$75)-1)</f>
        <v>-1.842413591095482</v>
      </c>
      <c r="F76" s="214">
        <f t="shared" si="42"/>
        <v>0.28729612449500674</v>
      </c>
      <c r="G76" s="214">
        <f t="shared" si="40"/>
        <v>28.315974881298821</v>
      </c>
      <c r="H76" s="217">
        <f t="shared" si="41"/>
        <v>1.6225517989118001</v>
      </c>
    </row>
    <row r="77" spans="1:8" ht="16.5">
      <c r="A77" s="216">
        <v>38749</v>
      </c>
      <c r="B77" s="226">
        <f>geral!C1233</f>
        <v>336.6</v>
      </c>
      <c r="C77" s="211">
        <f t="shared" si="37"/>
        <v>221.7391304347826</v>
      </c>
      <c r="D77" s="211">
        <f t="shared" ref="D77:D82" si="44">100*((B77/B76)-1)</f>
        <v>0.44463012145266045</v>
      </c>
      <c r="E77" s="211">
        <f t="shared" si="43"/>
        <v>-1.4059753954305698</v>
      </c>
      <c r="F77" s="214">
        <f t="shared" si="42"/>
        <v>0.98706909483663452</v>
      </c>
      <c r="G77" s="214">
        <f t="shared" ref="G77:G82" si="45">100*(B77/B53-1)</f>
        <v>24.814595075645208</v>
      </c>
      <c r="H77" s="217">
        <f t="shared" si="41"/>
        <v>1.6153693800752624</v>
      </c>
    </row>
    <row r="78" spans="1:8" ht="16.5">
      <c r="A78" s="216">
        <v>38777</v>
      </c>
      <c r="B78" s="226">
        <f>geral!C1234</f>
        <v>336.6</v>
      </c>
      <c r="C78" s="211">
        <f t="shared" si="37"/>
        <v>221.7391304347826</v>
      </c>
      <c r="D78" s="211">
        <f t="shared" si="44"/>
        <v>0</v>
      </c>
      <c r="E78" s="211">
        <f t="shared" si="43"/>
        <v>-1.4059753954305698</v>
      </c>
      <c r="F78" s="214">
        <f t="shared" si="42"/>
        <v>-1.4637002341920335</v>
      </c>
      <c r="G78" s="214">
        <f t="shared" si="45"/>
        <v>18.271257905832748</v>
      </c>
      <c r="H78" s="217">
        <f t="shared" si="41"/>
        <v>1.6153693800752624</v>
      </c>
    </row>
    <row r="79" spans="1:8" ht="16.5">
      <c r="A79" s="216">
        <v>38808</v>
      </c>
      <c r="B79" s="226">
        <f>geral!C1235</f>
        <v>340.34</v>
      </c>
      <c r="C79" s="211">
        <f t="shared" si="37"/>
        <v>224.20289855072463</v>
      </c>
      <c r="D79" s="211">
        <f t="shared" si="44"/>
        <v>1.1111111111111072</v>
      </c>
      <c r="E79" s="211">
        <f t="shared" si="43"/>
        <v>-0.31048623315759194</v>
      </c>
      <c r="F79" s="214">
        <f t="shared" ref="F79:F84" si="46">100*((B79/B67)-1)</f>
        <v>-3.0729359496482811</v>
      </c>
      <c r="G79" s="214">
        <f t="shared" si="45"/>
        <v>14.747134187457833</v>
      </c>
      <c r="H79" s="217">
        <f t="shared" si="41"/>
        <v>1.5976180682063037</v>
      </c>
    </row>
    <row r="80" spans="1:8" ht="16.5">
      <c r="A80" s="216">
        <v>38838</v>
      </c>
      <c r="B80" s="226">
        <f>geral!C1236</f>
        <v>337.75</v>
      </c>
      <c r="C80" s="211">
        <f t="shared" si="37"/>
        <v>222.49670619235835</v>
      </c>
      <c r="D80" s="211">
        <f t="shared" si="44"/>
        <v>-0.761003702180163</v>
      </c>
      <c r="E80" s="211">
        <f t="shared" si="43"/>
        <v>-1.0691271236086597</v>
      </c>
      <c r="F80" s="214">
        <f t="shared" si="46"/>
        <v>-3.9582563198453102</v>
      </c>
      <c r="G80" s="214">
        <f t="shared" si="45"/>
        <v>8.9516129032258149</v>
      </c>
      <c r="H80" s="217">
        <f t="shared" si="41"/>
        <v>1.6098692326671602</v>
      </c>
    </row>
    <row r="81" spans="1:10" ht="16.5">
      <c r="A81" s="216">
        <v>38869</v>
      </c>
      <c r="B81" s="226">
        <f>geral!C1237</f>
        <v>333.38</v>
      </c>
      <c r="C81" s="211">
        <f t="shared" si="37"/>
        <v>219.61791831357047</v>
      </c>
      <c r="D81" s="211">
        <f t="shared" si="44"/>
        <v>-1.2938564026646948</v>
      </c>
      <c r="E81" s="211">
        <f t="shared" si="43"/>
        <v>-2.3491505565319204</v>
      </c>
      <c r="F81" s="214">
        <f t="shared" si="46"/>
        <v>-5.1091566333646421</v>
      </c>
      <c r="G81" s="214">
        <f t="shared" si="45"/>
        <v>2.0759338640538694</v>
      </c>
      <c r="H81" s="217">
        <f t="shared" si="41"/>
        <v>1.6309716639670446</v>
      </c>
    </row>
    <row r="82" spans="1:10" ht="16.5">
      <c r="A82" s="216">
        <v>38899</v>
      </c>
      <c r="B82" s="226">
        <f>geral!C1238</f>
        <v>332</v>
      </c>
      <c r="C82" s="211">
        <f t="shared" si="37"/>
        <v>218.70882740447956</v>
      </c>
      <c r="D82" s="211">
        <f t="shared" si="44"/>
        <v>-0.4139420481132583</v>
      </c>
      <c r="E82" s="211">
        <f t="shared" ref="E82:E87" si="47">100*((B82/$B$75)-1)</f>
        <v>-2.7533684827182103</v>
      </c>
      <c r="F82" s="214">
        <f t="shared" si="46"/>
        <v>-4.988123515439435</v>
      </c>
      <c r="G82" s="214">
        <f t="shared" si="45"/>
        <v>3.2338308457711351</v>
      </c>
      <c r="H82" s="217">
        <f t="shared" si="41"/>
        <v>1.6377510040160643</v>
      </c>
    </row>
    <row r="83" spans="1:10" ht="16.5">
      <c r="A83" s="216">
        <v>38930</v>
      </c>
      <c r="B83" s="226">
        <f>geral!C1239</f>
        <v>335.67</v>
      </c>
      <c r="C83" s="211">
        <f t="shared" si="37"/>
        <v>221.12648221343872</v>
      </c>
      <c r="D83" s="211">
        <f t="shared" ref="D83:D88" si="48">100*((B83/B82)-1)</f>
        <v>1.1054216867469879</v>
      </c>
      <c r="E83" s="211">
        <f t="shared" si="47"/>
        <v>-1.6783831282952466</v>
      </c>
      <c r="F83" s="214">
        <f t="shared" si="46"/>
        <v>1.0171837852478216</v>
      </c>
      <c r="G83" s="214">
        <f t="shared" ref="G83:G88" si="49">100*(B83/B59-1)</f>
        <v>8.9837662337662429</v>
      </c>
      <c r="H83" s="217">
        <f t="shared" si="41"/>
        <v>1.6198448873397484</v>
      </c>
    </row>
    <row r="84" spans="1:10" ht="16.5">
      <c r="A84" s="216">
        <v>38596</v>
      </c>
      <c r="B84" s="226">
        <f>geral!C1240</f>
        <v>320.5</v>
      </c>
      <c r="C84" s="211">
        <f t="shared" si="37"/>
        <v>211.133069828722</v>
      </c>
      <c r="D84" s="211">
        <f t="shared" si="48"/>
        <v>-4.5193195698155941</v>
      </c>
      <c r="E84" s="211">
        <f t="shared" si="47"/>
        <v>-6.1218512009373116</v>
      </c>
      <c r="F84" s="214">
        <f t="shared" si="46"/>
        <v>-17.367091218480901</v>
      </c>
      <c r="G84" s="214">
        <f t="shared" si="49"/>
        <v>-0.5893300248138833</v>
      </c>
      <c r="H84" s="217">
        <f t="shared" si="41"/>
        <v>1.6965158606344255</v>
      </c>
    </row>
    <row r="85" spans="1:10" ht="16.5">
      <c r="A85" s="216">
        <v>38991</v>
      </c>
      <c r="B85" s="226">
        <f>geral!C1241</f>
        <v>327</v>
      </c>
      <c r="C85" s="211">
        <f t="shared" si="37"/>
        <v>215.41501976284584</v>
      </c>
      <c r="D85" s="211">
        <f t="shared" si="48"/>
        <v>2.0280811232449292</v>
      </c>
      <c r="E85" s="211">
        <f t="shared" si="47"/>
        <v>-4.2179261862917317</v>
      </c>
      <c r="F85" s="214">
        <f t="shared" ref="F85:F90" si="50">100*((B85/B73)-1)</f>
        <v>-0.30487804878048808</v>
      </c>
      <c r="G85" s="214">
        <f t="shared" si="49"/>
        <v>2.9013783120397818</v>
      </c>
      <c r="H85" s="217">
        <f t="shared" si="41"/>
        <v>1.6627930682976555</v>
      </c>
    </row>
    <row r="86" spans="1:10" ht="16.5">
      <c r="A86" s="216">
        <v>39022</v>
      </c>
      <c r="B86" s="226">
        <f>geral!C1242</f>
        <v>329.24</v>
      </c>
      <c r="C86" s="211">
        <f t="shared" si="37"/>
        <v>216.89064558629775</v>
      </c>
      <c r="D86" s="211">
        <f t="shared" si="48"/>
        <v>0.68501529051987475</v>
      </c>
      <c r="E86" s="211">
        <f t="shared" si="47"/>
        <v>-3.5618043350907902</v>
      </c>
      <c r="F86" s="214">
        <f t="shared" si="50"/>
        <v>-4.2043702173470194</v>
      </c>
      <c r="G86" s="214">
        <f t="shared" si="49"/>
        <v>-0.80144621874057576</v>
      </c>
      <c r="H86" s="217">
        <f t="shared" si="41"/>
        <v>1.6514801765682583</v>
      </c>
    </row>
    <row r="87" spans="1:10" ht="16.5">
      <c r="A87" s="216">
        <v>39052</v>
      </c>
      <c r="B87" s="226">
        <f>geral!C1243</f>
        <v>329.62</v>
      </c>
      <c r="C87" s="211">
        <f t="shared" si="37"/>
        <v>217.14097496706191</v>
      </c>
      <c r="D87" s="211">
        <f t="shared" si="48"/>
        <v>0.11541732474791289</v>
      </c>
      <c r="E87" s="211">
        <f t="shared" si="47"/>
        <v>-3.4504979496192023</v>
      </c>
      <c r="F87" s="214">
        <f t="shared" si="50"/>
        <v>-3.4504979496192023</v>
      </c>
      <c r="G87" s="214">
        <f t="shared" si="49"/>
        <v>3.2805890647031211</v>
      </c>
      <c r="H87" s="217">
        <f t="shared" si="41"/>
        <v>1.6495762797564872</v>
      </c>
    </row>
    <row r="88" spans="1:10" ht="16.5">
      <c r="A88" s="216">
        <v>39083</v>
      </c>
      <c r="B88" s="226">
        <f>geral!E1232</f>
        <v>334.57</v>
      </c>
      <c r="C88" s="211">
        <f t="shared" ref="C88:C147" si="51">100*B88/$B$7</f>
        <v>220.40184453227928</v>
      </c>
      <c r="D88" s="211">
        <f t="shared" si="48"/>
        <v>1.5017292640009616</v>
      </c>
      <c r="E88" s="211">
        <f t="shared" ref="E88:E93" si="52">100*((B88/$B$87)-1)</f>
        <v>1.5017292640009616</v>
      </c>
      <c r="F88" s="214">
        <f t="shared" si="50"/>
        <v>-0.16114111784191198</v>
      </c>
      <c r="G88" s="214">
        <f t="shared" si="49"/>
        <v>0.12569205446655296</v>
      </c>
      <c r="H88" s="217">
        <f t="shared" si="41"/>
        <v>1.6251706170108897</v>
      </c>
    </row>
    <row r="89" spans="1:10" ht="16.5">
      <c r="A89" s="216">
        <v>39114</v>
      </c>
      <c r="B89" s="226">
        <f>geral!E1233</f>
        <v>317.13</v>
      </c>
      <c r="C89" s="211">
        <f t="shared" si="51"/>
        <v>208.91304347826085</v>
      </c>
      <c r="D89" s="211">
        <f t="shared" ref="D89:D99" si="53">100*((B89/B88)-1)</f>
        <v>-5.2126610275876502</v>
      </c>
      <c r="E89" s="211">
        <f t="shared" si="52"/>
        <v>-3.7892118196711344</v>
      </c>
      <c r="F89" s="214">
        <f t="shared" si="50"/>
        <v>-5.7843137254902093</v>
      </c>
      <c r="G89" s="214">
        <f t="shared" ref="G89:G99" si="54">100*(B89/B65-1)</f>
        <v>-4.8543398037862673</v>
      </c>
      <c r="H89" s="217">
        <f t="shared" si="41"/>
        <v>1.7145439830143265</v>
      </c>
    </row>
    <row r="90" spans="1:10" ht="16.5">
      <c r="A90" s="216">
        <v>39142</v>
      </c>
      <c r="B90" s="226">
        <f>geral!E1234</f>
        <v>313.70999999999998</v>
      </c>
      <c r="C90" s="211">
        <f t="shared" si="51"/>
        <v>206.66007905138335</v>
      </c>
      <c r="D90" s="211">
        <f t="shared" si="53"/>
        <v>-1.0784220981931769</v>
      </c>
      <c r="E90" s="211">
        <f t="shared" si="52"/>
        <v>-4.8267702202536285</v>
      </c>
      <c r="F90" s="214">
        <f t="shared" si="50"/>
        <v>-6.8003565062388693</v>
      </c>
      <c r="G90" s="214">
        <f t="shared" si="54"/>
        <v>-8.1645199063231981</v>
      </c>
      <c r="H90" s="217">
        <f t="shared" si="41"/>
        <v>1.7332355785066889</v>
      </c>
    </row>
    <row r="91" spans="1:10" ht="16.5">
      <c r="A91" s="216">
        <v>39173</v>
      </c>
      <c r="B91" s="226">
        <f>geral!E1235</f>
        <v>325.60000000000002</v>
      </c>
      <c r="C91" s="211">
        <f t="shared" si="51"/>
        <v>214.49275362318841</v>
      </c>
      <c r="D91" s="211">
        <f t="shared" si="53"/>
        <v>3.7901246374039799</v>
      </c>
      <c r="E91" s="211">
        <f t="shared" si="52"/>
        <v>-1.2195861901583616</v>
      </c>
      <c r="F91" s="214">
        <f t="shared" ref="F91:F99" si="55">100*((B91/B79)-1)</f>
        <v>-4.3309631544925509</v>
      </c>
      <c r="G91" s="214">
        <f t="shared" si="54"/>
        <v>-7.27081138040041</v>
      </c>
      <c r="H91" s="217">
        <f t="shared" si="41"/>
        <v>1.6699426699426698</v>
      </c>
    </row>
    <row r="92" spans="1:10" ht="16.5">
      <c r="A92" s="216">
        <v>39203</v>
      </c>
      <c r="B92" s="226">
        <f>geral!E1236</f>
        <v>315</v>
      </c>
      <c r="C92" s="211">
        <f t="shared" si="51"/>
        <v>207.50988142292488</v>
      </c>
      <c r="D92" s="211">
        <f t="shared" si="53"/>
        <v>-3.2555282555282616</v>
      </c>
      <c r="E92" s="211">
        <f t="shared" si="52"/>
        <v>-4.4354104726654908</v>
      </c>
      <c r="F92" s="214">
        <f t="shared" si="55"/>
        <v>-6.7357512953367893</v>
      </c>
      <c r="G92" s="214">
        <f t="shared" si="54"/>
        <v>-10.427389313845371</v>
      </c>
      <c r="H92" s="217">
        <f t="shared" si="41"/>
        <v>1.7261375661375662</v>
      </c>
    </row>
    <row r="93" spans="1:10" ht="16.5">
      <c r="A93" s="216">
        <v>39234</v>
      </c>
      <c r="B93" s="226">
        <f>geral!E1237</f>
        <v>317.28571428571428</v>
      </c>
      <c r="C93" s="211">
        <f t="shared" si="51"/>
        <v>209.01562205910031</v>
      </c>
      <c r="D93" s="211">
        <f t="shared" si="53"/>
        <v>0.72562358276644368</v>
      </c>
      <c r="E93" s="211">
        <f t="shared" si="52"/>
        <v>-3.7419712742812083</v>
      </c>
      <c r="F93" s="214">
        <f t="shared" si="55"/>
        <v>-4.8276098489068664</v>
      </c>
      <c r="G93" s="214">
        <f t="shared" si="54"/>
        <v>-9.6901163334431217</v>
      </c>
      <c r="H93" s="217">
        <f t="shared" si="41"/>
        <v>1.7137025363950174</v>
      </c>
    </row>
    <row r="94" spans="1:10" ht="16.5">
      <c r="A94" s="216">
        <v>39264</v>
      </c>
      <c r="B94" s="226">
        <f>geral!E1238</f>
        <v>445.57142857142856</v>
      </c>
      <c r="C94" s="211">
        <f t="shared" si="51"/>
        <v>293.52531526444568</v>
      </c>
      <c r="D94" s="211">
        <f t="shared" si="53"/>
        <v>40.432237730751908</v>
      </c>
      <c r="E94" s="211">
        <f t="shared" ref="E94:E99" si="56">100*((B94/$B$87)-1)</f>
        <v>35.177303735036872</v>
      </c>
      <c r="F94" s="214">
        <f t="shared" si="55"/>
        <v>34.208261617900163</v>
      </c>
      <c r="G94" s="214">
        <f t="shared" si="54"/>
        <v>27.513787760475218</v>
      </c>
      <c r="H94" s="217">
        <f t="shared" si="41"/>
        <v>1.2203056535214278</v>
      </c>
      <c r="I94" s="215" t="s">
        <v>241</v>
      </c>
      <c r="J94" s="64"/>
    </row>
    <row r="95" spans="1:10" ht="16.5">
      <c r="A95" s="216">
        <v>39295</v>
      </c>
      <c r="B95" s="226">
        <f>geral!E1239</f>
        <v>447.5</v>
      </c>
      <c r="C95" s="211">
        <f t="shared" si="51"/>
        <v>294.79578392621869</v>
      </c>
      <c r="D95" s="211">
        <f t="shared" si="53"/>
        <v>0.43283103558833247</v>
      </c>
      <c r="E95" s="211">
        <f t="shared" si="56"/>
        <v>35.762393058673617</v>
      </c>
      <c r="F95" s="214">
        <f t="shared" si="55"/>
        <v>33.315458634968856</v>
      </c>
      <c r="G95" s="214">
        <f t="shared" si="54"/>
        <v>34.671521863432545</v>
      </c>
      <c r="H95" s="217">
        <f t="shared" si="41"/>
        <v>1.2150465549348231</v>
      </c>
    </row>
    <row r="96" spans="1:10" ht="16.5">
      <c r="A96" s="216">
        <v>39326</v>
      </c>
      <c r="B96" s="226">
        <f>geral!E1240</f>
        <v>436.2</v>
      </c>
      <c r="C96" s="211">
        <f t="shared" si="51"/>
        <v>287.35177865612644</v>
      </c>
      <c r="D96" s="211">
        <f t="shared" si="53"/>
        <v>-2.5251396648044766</v>
      </c>
      <c r="E96" s="211">
        <f t="shared" si="56"/>
        <v>32.334203021661303</v>
      </c>
      <c r="F96" s="214">
        <f t="shared" si="55"/>
        <v>36.099843993759741</v>
      </c>
      <c r="G96" s="214">
        <f t="shared" si="54"/>
        <v>12.463259939153293</v>
      </c>
      <c r="H96" s="217">
        <f t="shared" si="41"/>
        <v>1.2465230016811861</v>
      </c>
    </row>
    <row r="97" spans="1:8" ht="16.5">
      <c r="A97" s="216">
        <v>39356</v>
      </c>
      <c r="B97" s="226">
        <f>geral!E1241</f>
        <v>439.42857142857144</v>
      </c>
      <c r="C97" s="211">
        <f t="shared" si="51"/>
        <v>289.47863730472426</v>
      </c>
      <c r="D97" s="211">
        <f t="shared" si="53"/>
        <v>0.74015851182289705</v>
      </c>
      <c r="E97" s="211">
        <f t="shared" si="56"/>
        <v>33.313685889379109</v>
      </c>
      <c r="F97" s="214">
        <f t="shared" si="55"/>
        <v>34.381826124945405</v>
      </c>
      <c r="G97" s="214">
        <f t="shared" si="54"/>
        <v>33.972125435540065</v>
      </c>
      <c r="H97" s="217">
        <f t="shared" si="41"/>
        <v>1.2373645426961422</v>
      </c>
    </row>
    <row r="98" spans="1:8" ht="16.5">
      <c r="A98" s="216">
        <v>39387</v>
      </c>
      <c r="B98" s="226">
        <f>geral!E1242</f>
        <v>437</v>
      </c>
      <c r="C98" s="211">
        <f t="shared" si="51"/>
        <v>287.87878787878788</v>
      </c>
      <c r="D98" s="211">
        <f t="shared" si="53"/>
        <v>-0.55266579973992647</v>
      </c>
      <c r="E98" s="211">
        <f t="shared" si="56"/>
        <v>32.576906741095812</v>
      </c>
      <c r="F98" s="214">
        <f t="shared" si="55"/>
        <v>32.729923460089893</v>
      </c>
      <c r="G98" s="214">
        <f t="shared" si="54"/>
        <v>27.149466088626383</v>
      </c>
      <c r="H98" s="217">
        <f t="shared" si="41"/>
        <v>1.2442410373760489</v>
      </c>
    </row>
    <row r="99" spans="1:8" ht="16.5">
      <c r="A99" s="216">
        <v>39417</v>
      </c>
      <c r="B99" s="226">
        <f>geral!E1243</f>
        <v>440</v>
      </c>
      <c r="C99" s="211">
        <f t="shared" si="51"/>
        <v>289.85507246376807</v>
      </c>
      <c r="D99" s="211">
        <f t="shared" si="53"/>
        <v>0.68649885583524917</v>
      </c>
      <c r="E99" s="211">
        <f t="shared" si="56"/>
        <v>33.487045688975179</v>
      </c>
      <c r="F99" s="214">
        <f t="shared" si="55"/>
        <v>33.487045688975179</v>
      </c>
      <c r="G99" s="214">
        <f t="shared" si="54"/>
        <v>28.881077914469834</v>
      </c>
      <c r="H99" s="217">
        <f t="shared" si="41"/>
        <v>1.2357575757575758</v>
      </c>
    </row>
    <row r="100" spans="1:8" ht="16.5">
      <c r="A100" s="216">
        <v>39448</v>
      </c>
      <c r="B100" s="226">
        <f>geral!G1232</f>
        <v>438.92</v>
      </c>
      <c r="C100" s="211">
        <f t="shared" si="51"/>
        <v>289.14361001317519</v>
      </c>
      <c r="D100" s="211">
        <f t="shared" ref="D100:D105" si="57">100*((B100/B99)-1)</f>
        <v>-0.2454545454545376</v>
      </c>
      <c r="E100" s="211">
        <f t="shared" ref="E100:E105" si="58">100*((B100/$B$99)-1)</f>
        <v>-0.2454545454545376</v>
      </c>
      <c r="F100" s="214">
        <f t="shared" ref="F100:F105" si="59">100*((B100/B88)-1)</f>
        <v>31.189287742475425</v>
      </c>
      <c r="G100" s="214">
        <f t="shared" ref="G100:G105" si="60">100*(B100/B76-1)</f>
        <v>30.977887857718358</v>
      </c>
      <c r="H100" s="217">
        <f t="shared" si="41"/>
        <v>1.2387982624016525</v>
      </c>
    </row>
    <row r="101" spans="1:8" ht="16.5">
      <c r="A101" s="216">
        <v>39479</v>
      </c>
      <c r="B101" s="226">
        <f>geral!G1233</f>
        <v>441.66666666666669</v>
      </c>
      <c r="C101" s="211">
        <f t="shared" si="51"/>
        <v>290.95300834431271</v>
      </c>
      <c r="D101" s="211">
        <f t="shared" si="57"/>
        <v>0.62577842583311227</v>
      </c>
      <c r="E101" s="211">
        <f t="shared" si="58"/>
        <v>0.37878787878788955</v>
      </c>
      <c r="F101" s="214">
        <f t="shared" si="59"/>
        <v>39.26991034171057</v>
      </c>
      <c r="G101" s="214">
        <f t="shared" si="60"/>
        <v>31.214101802337101</v>
      </c>
      <c r="H101" s="217">
        <f t="shared" si="41"/>
        <v>1.2310943396226415</v>
      </c>
    </row>
    <row r="102" spans="1:8" ht="16.5">
      <c r="A102" s="216">
        <v>39508</v>
      </c>
      <c r="B102" s="226">
        <f>geral!G1234</f>
        <v>440.83333333333331</v>
      </c>
      <c r="C102" s="211">
        <f t="shared" si="51"/>
        <v>290.40404040404036</v>
      </c>
      <c r="D102" s="211">
        <f t="shared" si="57"/>
        <v>-0.18867924528302993</v>
      </c>
      <c r="E102" s="211">
        <f t="shared" si="58"/>
        <v>0.18939393939394478</v>
      </c>
      <c r="F102" s="214">
        <f t="shared" si="59"/>
        <v>40.522563301563011</v>
      </c>
      <c r="G102" s="214">
        <f t="shared" si="60"/>
        <v>30.966528025351536</v>
      </c>
      <c r="H102" s="217">
        <f t="shared" si="41"/>
        <v>1.233421550094518</v>
      </c>
    </row>
    <row r="103" spans="1:8" ht="16.5">
      <c r="A103" s="216">
        <v>39539</v>
      </c>
      <c r="B103" s="226">
        <f>geral!G1235</f>
        <v>444.85714285714283</v>
      </c>
      <c r="C103" s="211">
        <f t="shared" si="51"/>
        <v>293.05477131564083</v>
      </c>
      <c r="D103" s="211">
        <f t="shared" si="57"/>
        <v>0.91277342695113006</v>
      </c>
      <c r="E103" s="211">
        <f t="shared" si="58"/>
        <v>1.1038961038960959</v>
      </c>
      <c r="F103" s="214">
        <f t="shared" si="59"/>
        <v>36.626886626886602</v>
      </c>
      <c r="G103" s="214">
        <f t="shared" si="60"/>
        <v>30.709626507945842</v>
      </c>
      <c r="H103" s="217">
        <f t="shared" ref="H103:H134" si="61">$B$171/B103</f>
        <v>1.2222650396060801</v>
      </c>
    </row>
    <row r="104" spans="1:8" ht="16.5">
      <c r="A104" s="216">
        <v>39569</v>
      </c>
      <c r="B104" s="226">
        <f>geral!G1236</f>
        <v>459</v>
      </c>
      <c r="C104" s="211">
        <f t="shared" si="51"/>
        <v>302.37154150197625</v>
      </c>
      <c r="D104" s="211">
        <f t="shared" si="57"/>
        <v>3.1791907514450823</v>
      </c>
      <c r="E104" s="211">
        <f t="shared" si="58"/>
        <v>4.318181818181821</v>
      </c>
      <c r="F104" s="214">
        <f t="shared" si="59"/>
        <v>45.714285714285708</v>
      </c>
      <c r="G104" s="214">
        <f t="shared" si="60"/>
        <v>35.89933382679498</v>
      </c>
      <c r="H104" s="217">
        <f t="shared" si="61"/>
        <v>1.1846042120551925</v>
      </c>
    </row>
    <row r="105" spans="1:8" ht="16.5">
      <c r="A105" s="216">
        <v>39600</v>
      </c>
      <c r="B105" s="226">
        <f>geral!G1237</f>
        <v>444.6</v>
      </c>
      <c r="C105" s="211">
        <f t="shared" si="51"/>
        <v>292.88537549407113</v>
      </c>
      <c r="D105" s="211">
        <f t="shared" si="57"/>
        <v>-3.1372549019607843</v>
      </c>
      <c r="E105" s="211">
        <f t="shared" si="58"/>
        <v>1.0454545454545494</v>
      </c>
      <c r="F105" s="214">
        <f t="shared" si="59"/>
        <v>40.126069338135984</v>
      </c>
      <c r="G105" s="214">
        <f t="shared" si="60"/>
        <v>33.361329413882061</v>
      </c>
      <c r="H105" s="217">
        <f t="shared" si="61"/>
        <v>1.2229719598140651</v>
      </c>
    </row>
    <row r="106" spans="1:8" ht="16.5">
      <c r="A106" s="216">
        <v>39630</v>
      </c>
      <c r="B106" s="226">
        <f>geral!G1238</f>
        <v>451</v>
      </c>
      <c r="C106" s="211">
        <f t="shared" si="51"/>
        <v>297.10144927536231</v>
      </c>
      <c r="D106" s="211">
        <f t="shared" ref="D106:D111" si="62">100*((B106/B105)-1)</f>
        <v>1.439496176338273</v>
      </c>
      <c r="E106" s="211">
        <f t="shared" ref="E106:E111" si="63">100*((B106/$B$99)-1)</f>
        <v>2.4999999999999911</v>
      </c>
      <c r="F106" s="214">
        <f t="shared" ref="F106:F111" si="64">100*((B106/B94)-1)</f>
        <v>1.2183392112856684</v>
      </c>
      <c r="G106" s="214">
        <f t="shared" ref="G106:G111" si="65">100*(B106/B82-1)</f>
        <v>35.843373493975903</v>
      </c>
      <c r="H106" s="217">
        <f t="shared" si="61"/>
        <v>1.2056171470805617</v>
      </c>
    </row>
    <row r="107" spans="1:8" ht="16.5">
      <c r="A107" s="216">
        <v>39661</v>
      </c>
      <c r="B107" s="226">
        <f>geral!G1239</f>
        <v>454.57142857142856</v>
      </c>
      <c r="C107" s="211">
        <f t="shared" si="51"/>
        <v>299.45416901938637</v>
      </c>
      <c r="D107" s="211">
        <f t="shared" si="62"/>
        <v>0.79189103579346831</v>
      </c>
      <c r="E107" s="211">
        <f t="shared" si="63"/>
        <v>3.31168831168831</v>
      </c>
      <c r="F107" s="214">
        <f t="shared" si="64"/>
        <v>1.5802075019952122</v>
      </c>
      <c r="G107" s="214">
        <f t="shared" si="65"/>
        <v>35.422119513637959</v>
      </c>
      <c r="H107" s="217">
        <f t="shared" si="61"/>
        <v>1.1961449821914938</v>
      </c>
    </row>
    <row r="108" spans="1:8" ht="16.5">
      <c r="A108" s="216">
        <v>39692</v>
      </c>
      <c r="B108" s="226">
        <f>geral!G1240</f>
        <v>459.8</v>
      </c>
      <c r="C108" s="211">
        <f t="shared" si="51"/>
        <v>302.89855072463763</v>
      </c>
      <c r="D108" s="211">
        <f t="shared" si="62"/>
        <v>1.1502199874293018</v>
      </c>
      <c r="E108" s="211">
        <f t="shared" si="63"/>
        <v>4.4999999999999929</v>
      </c>
      <c r="F108" s="214">
        <f t="shared" si="64"/>
        <v>5.4103622191655321</v>
      </c>
      <c r="G108" s="214">
        <f t="shared" si="65"/>
        <v>43.463338533541339</v>
      </c>
      <c r="H108" s="217">
        <f t="shared" si="61"/>
        <v>1.1825431346962447</v>
      </c>
    </row>
    <row r="109" spans="1:8" ht="16.5">
      <c r="A109" s="216">
        <v>39722</v>
      </c>
      <c r="B109" s="226">
        <f>geral!G1241</f>
        <v>482.57142857142856</v>
      </c>
      <c r="C109" s="211">
        <f t="shared" si="51"/>
        <v>317.89949181253525</v>
      </c>
      <c r="D109" s="211">
        <f t="shared" si="62"/>
        <v>4.9524638041384295</v>
      </c>
      <c r="E109" s="211">
        <f t="shared" si="63"/>
        <v>9.6753246753246813</v>
      </c>
      <c r="F109" s="214">
        <f t="shared" si="64"/>
        <v>9.8179453836150685</v>
      </c>
      <c r="G109" s="214">
        <f t="shared" si="65"/>
        <v>47.575360419397114</v>
      </c>
      <c r="H109" s="217">
        <f t="shared" si="61"/>
        <v>1.1267416617327808</v>
      </c>
    </row>
    <row r="110" spans="1:8" ht="16.5">
      <c r="A110" s="216">
        <v>39753</v>
      </c>
      <c r="B110" s="226">
        <f>geral!G1242</f>
        <v>477.6</v>
      </c>
      <c r="C110" s="211">
        <f t="shared" si="51"/>
        <v>314.62450592885375</v>
      </c>
      <c r="D110" s="211">
        <f t="shared" si="62"/>
        <v>-1.0301953818827592</v>
      </c>
      <c r="E110" s="211">
        <f t="shared" si="63"/>
        <v>8.545454545454545</v>
      </c>
      <c r="F110" s="214">
        <f t="shared" si="64"/>
        <v>9.2906178489702498</v>
      </c>
      <c r="G110" s="214">
        <f t="shared" si="65"/>
        <v>45.061353419997573</v>
      </c>
      <c r="H110" s="217">
        <f t="shared" si="61"/>
        <v>1.138470128419877</v>
      </c>
    </row>
    <row r="111" spans="1:8" ht="16.5">
      <c r="A111" s="216">
        <v>39783</v>
      </c>
      <c r="B111" s="226">
        <f>geral!G1243</f>
        <v>489.71428571428572</v>
      </c>
      <c r="C111" s="211">
        <f t="shared" si="51"/>
        <v>322.60493130058347</v>
      </c>
      <c r="D111" s="211">
        <f t="shared" si="62"/>
        <v>2.5364919837281619</v>
      </c>
      <c r="E111" s="211">
        <f t="shared" si="63"/>
        <v>11.298701298701296</v>
      </c>
      <c r="F111" s="214">
        <f t="shared" si="64"/>
        <v>11.298701298701296</v>
      </c>
      <c r="G111" s="214">
        <f t="shared" si="65"/>
        <v>48.569348253833411</v>
      </c>
      <c r="H111" s="217">
        <f t="shared" si="61"/>
        <v>1.1103072734344612</v>
      </c>
    </row>
    <row r="112" spans="1:8" ht="16.5">
      <c r="A112" s="216">
        <v>39814</v>
      </c>
      <c r="B112" s="226">
        <f>geral!I1232</f>
        <v>489.71428571428572</v>
      </c>
      <c r="C112" s="211">
        <f t="shared" si="51"/>
        <v>322.60493130058347</v>
      </c>
      <c r="D112" s="211">
        <f t="shared" ref="D112:D117" si="66">100*((B112/B111)-1)</f>
        <v>0</v>
      </c>
      <c r="E112" s="211">
        <f t="shared" ref="E112:E117" si="67">100*((B112/$B$111)-1)</f>
        <v>0</v>
      </c>
      <c r="F112" s="214">
        <f t="shared" ref="F112:F117" si="68">100*((B112/B100)-1)</f>
        <v>11.572561221700006</v>
      </c>
      <c r="G112" s="214">
        <f t="shared" ref="G112:G117" si="69">100*(B112/B88-1)</f>
        <v>46.371248382785588</v>
      </c>
      <c r="H112" s="217">
        <f t="shared" si="61"/>
        <v>1.1103072734344612</v>
      </c>
    </row>
    <row r="113" spans="1:8" ht="16.5">
      <c r="A113" s="216">
        <v>39845</v>
      </c>
      <c r="B113" s="226">
        <f>geral!I1233</f>
        <v>490</v>
      </c>
      <c r="C113" s="211">
        <f t="shared" si="51"/>
        <v>322.79314888010538</v>
      </c>
      <c r="D113" s="211">
        <f t="shared" si="66"/>
        <v>5.8343057176202251E-2</v>
      </c>
      <c r="E113" s="211">
        <f t="shared" si="67"/>
        <v>5.8343057176202251E-2</v>
      </c>
      <c r="F113" s="214">
        <f t="shared" si="68"/>
        <v>10.943396226415093</v>
      </c>
      <c r="G113" s="214">
        <f t="shared" si="69"/>
        <v>54.510768454576983</v>
      </c>
      <c r="H113" s="217">
        <f t="shared" si="61"/>
        <v>1.1096598639455784</v>
      </c>
    </row>
    <row r="114" spans="1:8" ht="16.5">
      <c r="A114" s="216">
        <v>39873</v>
      </c>
      <c r="B114" s="226">
        <f>geral!I1234</f>
        <v>496.6</v>
      </c>
      <c r="C114" s="211">
        <f t="shared" si="51"/>
        <v>327.14097496706188</v>
      </c>
      <c r="D114" s="211">
        <f t="shared" si="66"/>
        <v>1.346938775510198</v>
      </c>
      <c r="E114" s="211">
        <f t="shared" si="67"/>
        <v>1.4060676779463321</v>
      </c>
      <c r="F114" s="214">
        <f t="shared" si="68"/>
        <v>12.650283553875251</v>
      </c>
      <c r="G114" s="214">
        <f t="shared" si="69"/>
        <v>58.299066016384572</v>
      </c>
      <c r="H114" s="217">
        <f t="shared" si="61"/>
        <v>1.0949120687340583</v>
      </c>
    </row>
    <row r="115" spans="1:8" ht="16.5">
      <c r="A115" s="216">
        <v>39904</v>
      </c>
      <c r="B115" s="226">
        <f>geral!I1235</f>
        <v>496.6</v>
      </c>
      <c r="C115" s="211">
        <f t="shared" si="51"/>
        <v>327.14097496706188</v>
      </c>
      <c r="D115" s="211">
        <f t="shared" si="66"/>
        <v>0</v>
      </c>
      <c r="E115" s="211">
        <f t="shared" si="67"/>
        <v>1.4060676779463321</v>
      </c>
      <c r="F115" s="214">
        <f t="shared" si="68"/>
        <v>11.631342324983951</v>
      </c>
      <c r="G115" s="214">
        <f t="shared" si="69"/>
        <v>52.518427518427522</v>
      </c>
      <c r="H115" s="217">
        <f t="shared" si="61"/>
        <v>1.0949120687340583</v>
      </c>
    </row>
    <row r="116" spans="1:8" ht="16.5">
      <c r="A116" s="216">
        <v>39934</v>
      </c>
      <c r="B116" s="226">
        <f>geral!I1236</f>
        <v>497.42857142857144</v>
      </c>
      <c r="C116" s="211">
        <f t="shared" si="51"/>
        <v>327.68680594767551</v>
      </c>
      <c r="D116" s="211">
        <f t="shared" si="66"/>
        <v>0.16684885794833182</v>
      </c>
      <c r="E116" s="211">
        <f t="shared" si="67"/>
        <v>1.5752625437573053</v>
      </c>
      <c r="F116" s="214">
        <f t="shared" si="68"/>
        <v>8.3722377840024897</v>
      </c>
      <c r="G116" s="214">
        <f t="shared" si="69"/>
        <v>57.913832199546491</v>
      </c>
      <c r="H116" s="217">
        <f t="shared" si="61"/>
        <v>1.0930882634501244</v>
      </c>
    </row>
    <row r="117" spans="1:8" ht="16.5">
      <c r="A117" s="216">
        <v>39965</v>
      </c>
      <c r="B117" s="226">
        <f>geral!I1237</f>
        <v>500.85714285714283</v>
      </c>
      <c r="C117" s="211">
        <f t="shared" si="51"/>
        <v>329.94541690193859</v>
      </c>
      <c r="D117" s="211">
        <f t="shared" si="66"/>
        <v>0.68925904652497039</v>
      </c>
      <c r="E117" s="211">
        <f t="shared" si="67"/>
        <v>2.2753792298716435</v>
      </c>
      <c r="F117" s="214">
        <f t="shared" si="68"/>
        <v>12.653428442902115</v>
      </c>
      <c r="G117" s="214">
        <f t="shared" si="69"/>
        <v>57.85682125168843</v>
      </c>
      <c r="H117" s="217">
        <f t="shared" si="61"/>
        <v>1.0856056284464728</v>
      </c>
    </row>
    <row r="118" spans="1:8" ht="15.75" customHeight="1">
      <c r="A118" s="216">
        <v>39995</v>
      </c>
      <c r="B118" s="226">
        <f>geral!I1238</f>
        <v>508</v>
      </c>
      <c r="C118" s="211">
        <f t="shared" si="51"/>
        <v>334.65085638998681</v>
      </c>
      <c r="D118" s="211">
        <f t="shared" ref="D118:D123" si="70">100*((B118/B117)-1)</f>
        <v>1.426126640045644</v>
      </c>
      <c r="E118" s="211">
        <f t="shared" ref="E118:E123" si="71">100*((B118/$B$111)-1)</f>
        <v>3.7339556592765444</v>
      </c>
      <c r="F118" s="214">
        <f t="shared" ref="F118:F123" si="72">100*((B118/B106)-1)</f>
        <v>12.638580931263865</v>
      </c>
      <c r="G118" s="214">
        <f t="shared" ref="G118:G123" si="73">100*(B118/B94-1)</f>
        <v>14.010900929785187</v>
      </c>
      <c r="H118" s="217">
        <f t="shared" si="61"/>
        <v>1.0703412073490814</v>
      </c>
    </row>
    <row r="119" spans="1:8" ht="15.75" customHeight="1">
      <c r="A119" s="216">
        <v>40026</v>
      </c>
      <c r="B119" s="226">
        <f>geral!I1239</f>
        <v>510.28571428571428</v>
      </c>
      <c r="C119" s="211">
        <f t="shared" si="51"/>
        <v>336.15659702616222</v>
      </c>
      <c r="D119" s="211">
        <f t="shared" si="70"/>
        <v>0.44994375703037992</v>
      </c>
      <c r="E119" s="211">
        <f t="shared" si="71"/>
        <v>4.200700116686118</v>
      </c>
      <c r="F119" s="214">
        <f t="shared" si="72"/>
        <v>12.256442489000641</v>
      </c>
      <c r="G119" s="214">
        <f t="shared" si="73"/>
        <v>14.030327214684757</v>
      </c>
      <c r="H119" s="217">
        <f t="shared" si="61"/>
        <v>1.0655468458379993</v>
      </c>
    </row>
    <row r="120" spans="1:8" ht="15.75" customHeight="1">
      <c r="A120" s="216">
        <v>40057</v>
      </c>
      <c r="B120" s="226">
        <f>geral!I1240</f>
        <v>513.14285714285711</v>
      </c>
      <c r="C120" s="211">
        <f t="shared" si="51"/>
        <v>338.03877282138149</v>
      </c>
      <c r="D120" s="211">
        <f t="shared" si="70"/>
        <v>0.55991041433369748</v>
      </c>
      <c r="E120" s="211">
        <f t="shared" si="71"/>
        <v>4.7841306884480739</v>
      </c>
      <c r="F120" s="214">
        <f t="shared" si="72"/>
        <v>11.601317342944117</v>
      </c>
      <c r="G120" s="214">
        <f t="shared" si="73"/>
        <v>17.639352852557799</v>
      </c>
      <c r="H120" s="217">
        <f t="shared" si="61"/>
        <v>1.0596139569413512</v>
      </c>
    </row>
    <row r="121" spans="1:8" ht="15.75" customHeight="1">
      <c r="A121" s="216">
        <v>40087</v>
      </c>
      <c r="B121" s="226">
        <f>geral!I1241</f>
        <v>518.85714285714289</v>
      </c>
      <c r="C121" s="211">
        <f t="shared" si="51"/>
        <v>341.80312441182008</v>
      </c>
      <c r="D121" s="211">
        <f t="shared" si="70"/>
        <v>1.1135857461024523</v>
      </c>
      <c r="E121" s="211">
        <f t="shared" si="71"/>
        <v>5.9509918319720079</v>
      </c>
      <c r="F121" s="214">
        <f t="shared" si="72"/>
        <v>7.5192421551213862</v>
      </c>
      <c r="G121" s="214">
        <f t="shared" si="73"/>
        <v>18.075422626788029</v>
      </c>
      <c r="H121" s="217">
        <f t="shared" si="61"/>
        <v>1.0479441997063141</v>
      </c>
    </row>
    <row r="122" spans="1:8" ht="15.75" customHeight="1">
      <c r="A122" s="216">
        <v>40118</v>
      </c>
      <c r="B122" s="226">
        <f>geral!I1242</f>
        <v>525.5</v>
      </c>
      <c r="C122" s="211">
        <f t="shared" si="51"/>
        <v>346.17918313570487</v>
      </c>
      <c r="D122" s="211">
        <f t="shared" si="70"/>
        <v>1.2802863436123246</v>
      </c>
      <c r="E122" s="211">
        <f t="shared" si="71"/>
        <v>7.3074679113185548</v>
      </c>
      <c r="F122" s="214">
        <f t="shared" si="72"/>
        <v>10.029313232830805</v>
      </c>
      <c r="G122" s="214">
        <f t="shared" si="73"/>
        <v>20.251716247139594</v>
      </c>
      <c r="H122" s="217">
        <f t="shared" si="61"/>
        <v>1.034697113859816</v>
      </c>
    </row>
    <row r="123" spans="1:8" ht="15.75" customHeight="1">
      <c r="A123" s="216">
        <v>40148</v>
      </c>
      <c r="B123" s="226">
        <f>geral!I1243</f>
        <v>532.85714285714289</v>
      </c>
      <c r="C123" s="211">
        <f t="shared" si="51"/>
        <v>351.02578580839452</v>
      </c>
      <c r="D123" s="211">
        <f t="shared" si="70"/>
        <v>1.4000271849938795</v>
      </c>
      <c r="E123" s="211">
        <f t="shared" si="71"/>
        <v>8.8098016336056073</v>
      </c>
      <c r="F123" s="214">
        <f t="shared" si="72"/>
        <v>8.8098016336056073</v>
      </c>
      <c r="G123" s="214">
        <f t="shared" si="73"/>
        <v>21.103896103896112</v>
      </c>
      <c r="H123" s="217">
        <f t="shared" si="61"/>
        <v>1.0204110813226095</v>
      </c>
    </row>
    <row r="124" spans="1:8" ht="15.75" customHeight="1">
      <c r="A124" s="216">
        <v>40179</v>
      </c>
      <c r="B124" s="226">
        <f>geral!K1232</f>
        <v>532.85714285714289</v>
      </c>
      <c r="C124" s="211">
        <f t="shared" si="51"/>
        <v>351.02578580839452</v>
      </c>
      <c r="D124" s="211">
        <f t="shared" ref="D124:D129" si="74">100*((B124/B123)-1)</f>
        <v>0</v>
      </c>
      <c r="E124" s="211">
        <f t="shared" ref="E124:E129" si="75">100*((B124/$B$123)-1)</f>
        <v>0</v>
      </c>
      <c r="F124" s="214">
        <f t="shared" ref="F124:F129" si="76">100*((B124/B112)-1)</f>
        <v>8.8098016336056073</v>
      </c>
      <c r="G124" s="214">
        <f t="shared" ref="G124:G129" si="77">100*(B124/B100-1)</f>
        <v>21.401882542864946</v>
      </c>
      <c r="H124" s="217">
        <f t="shared" si="61"/>
        <v>1.0204110813226095</v>
      </c>
    </row>
    <row r="125" spans="1:8" ht="15.75" customHeight="1">
      <c r="A125" s="216">
        <v>40210</v>
      </c>
      <c r="B125" s="226">
        <f>geral!K1233</f>
        <v>519.14166666666665</v>
      </c>
      <c r="C125" s="211">
        <f t="shared" si="51"/>
        <v>341.99055775142727</v>
      </c>
      <c r="D125" s="211">
        <f t="shared" si="74"/>
        <v>-2.5739499553172562</v>
      </c>
      <c r="E125" s="211">
        <f t="shared" si="75"/>
        <v>-2.5739499553172562</v>
      </c>
      <c r="F125" s="214">
        <f t="shared" si="76"/>
        <v>5.947278911564613</v>
      </c>
      <c r="G125" s="214">
        <f t="shared" si="77"/>
        <v>17.541509433962265</v>
      </c>
      <c r="H125" s="217">
        <f t="shared" si="61"/>
        <v>1.0473698572964991</v>
      </c>
    </row>
    <row r="126" spans="1:8" ht="15.75" customHeight="1">
      <c r="A126" s="216">
        <v>40238</v>
      </c>
      <c r="B126" s="226">
        <f>geral!K1234</f>
        <v>528.17333333333329</v>
      </c>
      <c r="C126" s="211">
        <f t="shared" si="51"/>
        <v>347.9402722880983</v>
      </c>
      <c r="D126" s="211">
        <f t="shared" si="74"/>
        <v>1.7397306451353955</v>
      </c>
      <c r="E126" s="211">
        <f t="shared" si="75"/>
        <v>-0.87899910634496869</v>
      </c>
      <c r="F126" s="214">
        <f t="shared" si="76"/>
        <v>6.3579003893139863</v>
      </c>
      <c r="G126" s="214">
        <f t="shared" si="77"/>
        <v>19.812476370510403</v>
      </c>
      <c r="H126" s="217">
        <f t="shared" si="61"/>
        <v>1.0294600257491229</v>
      </c>
    </row>
    <row r="127" spans="1:8" ht="15.75" customHeight="1">
      <c r="A127" s="216">
        <v>40269</v>
      </c>
      <c r="B127" s="226">
        <f>geral!K1235</f>
        <v>508.5</v>
      </c>
      <c r="C127" s="211">
        <f t="shared" si="51"/>
        <v>334.98023715415019</v>
      </c>
      <c r="D127" s="211">
        <f t="shared" si="74"/>
        <v>-3.7247873172948198</v>
      </c>
      <c r="E127" s="211">
        <f t="shared" si="75"/>
        <v>-4.5710455764075171</v>
      </c>
      <c r="F127" s="214">
        <f t="shared" si="76"/>
        <v>2.3962948046717614</v>
      </c>
      <c r="G127" s="214">
        <f t="shared" si="77"/>
        <v>14.306358381502893</v>
      </c>
      <c r="H127" s="217">
        <f t="shared" si="61"/>
        <v>1.0692887577843331</v>
      </c>
    </row>
    <row r="128" spans="1:8" ht="15.75" customHeight="1">
      <c r="A128" s="216">
        <v>40299</v>
      </c>
      <c r="B128" s="226">
        <f>geral!K1236</f>
        <v>540</v>
      </c>
      <c r="C128" s="211">
        <f t="shared" si="51"/>
        <v>355.73122529644269</v>
      </c>
      <c r="D128" s="211">
        <f t="shared" si="74"/>
        <v>6.1946902654867353</v>
      </c>
      <c r="E128" s="211">
        <f t="shared" si="75"/>
        <v>1.3404825737265424</v>
      </c>
      <c r="F128" s="214">
        <f t="shared" si="76"/>
        <v>8.558299827685234</v>
      </c>
      <c r="G128" s="214">
        <f t="shared" si="77"/>
        <v>17.647058823529417</v>
      </c>
      <c r="H128" s="217">
        <f t="shared" si="61"/>
        <v>1.0069135802469136</v>
      </c>
    </row>
    <row r="129" spans="1:8" ht="15.75" customHeight="1">
      <c r="A129" s="216">
        <v>40330</v>
      </c>
      <c r="B129" s="226">
        <f>geral!K1237</f>
        <v>491.1825</v>
      </c>
      <c r="C129" s="211">
        <f t="shared" si="51"/>
        <v>323.57213438735175</v>
      </c>
      <c r="D129" s="211">
        <f t="shared" si="74"/>
        <v>-9.0402777777777725</v>
      </c>
      <c r="E129" s="211">
        <f t="shared" si="75"/>
        <v>-7.8209785522788238</v>
      </c>
      <c r="F129" s="214">
        <f t="shared" si="76"/>
        <v>-1.9316172276098054</v>
      </c>
      <c r="G129" s="214">
        <f t="shared" si="77"/>
        <v>10.477395411605928</v>
      </c>
      <c r="H129" s="217">
        <f t="shared" si="61"/>
        <v>1.1069884072281349</v>
      </c>
    </row>
    <row r="130" spans="1:8" ht="15.75" customHeight="1">
      <c r="A130" s="216">
        <v>40360</v>
      </c>
      <c r="B130" s="226">
        <f>geral!K1238</f>
        <v>552.11</v>
      </c>
      <c r="C130" s="211">
        <f t="shared" si="51"/>
        <v>363.70882740447956</v>
      </c>
      <c r="D130" s="211">
        <f t="shared" ref="D130:D135" si="78">100*((B130/B129)-1)</f>
        <v>12.404248929878413</v>
      </c>
      <c r="E130" s="211">
        <f t="shared" ref="E130:E135" si="79">100*((B130/$B$123)-1)</f>
        <v>3.6131367292225214</v>
      </c>
      <c r="F130" s="214">
        <f t="shared" ref="F130:F135" si="80">100*((B130/B118)-1)</f>
        <v>8.6830708661417297</v>
      </c>
      <c r="G130" s="214">
        <f t="shared" ref="G130:G135" si="81">100*(B130/B106-1)</f>
        <v>22.419068736141902</v>
      </c>
      <c r="H130" s="217">
        <f t="shared" si="61"/>
        <v>0.98482790265224929</v>
      </c>
    </row>
    <row r="131" spans="1:8" ht="15.75" customHeight="1">
      <c r="A131" s="216">
        <v>40391</v>
      </c>
      <c r="B131" s="226">
        <f>geral!K1239</f>
        <v>530.49199999999996</v>
      </c>
      <c r="C131" s="211">
        <f t="shared" si="51"/>
        <v>349.46772068511194</v>
      </c>
      <c r="D131" s="211">
        <f t="shared" si="78"/>
        <v>-3.915524080346322</v>
      </c>
      <c r="E131" s="211">
        <f t="shared" si="79"/>
        <v>-0.44386058981235044</v>
      </c>
      <c r="F131" s="214">
        <f t="shared" si="80"/>
        <v>3.9597984322508273</v>
      </c>
      <c r="G131" s="214">
        <f t="shared" si="81"/>
        <v>16.701571338780631</v>
      </c>
      <c r="H131" s="217">
        <f t="shared" si="61"/>
        <v>1.0249604769409029</v>
      </c>
    </row>
    <row r="132" spans="1:8" ht="15.75" customHeight="1">
      <c r="A132" s="216">
        <v>40422</v>
      </c>
      <c r="B132" s="226">
        <f>geral!K1240</f>
        <v>551.06500000000005</v>
      </c>
      <c r="C132" s="211">
        <f t="shared" si="51"/>
        <v>363.02042160737813</v>
      </c>
      <c r="D132" s="211">
        <f t="shared" si="78"/>
        <v>3.878098067454383</v>
      </c>
      <c r="E132" s="211">
        <f t="shared" si="79"/>
        <v>3.4170241286863412</v>
      </c>
      <c r="F132" s="214">
        <f t="shared" si="80"/>
        <v>7.390172605790668</v>
      </c>
      <c r="G132" s="214">
        <f t="shared" si="81"/>
        <v>19.848847324923891</v>
      </c>
      <c r="H132" s="217">
        <f t="shared" si="61"/>
        <v>0.98669545939831649</v>
      </c>
    </row>
    <row r="133" spans="1:8" ht="15.75" customHeight="1">
      <c r="A133" s="216">
        <v>40452</v>
      </c>
      <c r="B133" s="226">
        <f>geral!K1241</f>
        <v>531.58500000000004</v>
      </c>
      <c r="C133" s="211">
        <f t="shared" si="51"/>
        <v>350.18774703557307</v>
      </c>
      <c r="D133" s="211">
        <f t="shared" si="78"/>
        <v>-3.5349731882808766</v>
      </c>
      <c r="E133" s="211">
        <f t="shared" si="79"/>
        <v>-0.23873994638069496</v>
      </c>
      <c r="F133" s="214">
        <f t="shared" si="80"/>
        <v>2.4530561674008799</v>
      </c>
      <c r="G133" s="214">
        <f t="shared" si="81"/>
        <v>10.156749555950274</v>
      </c>
      <c r="H133" s="217">
        <f t="shared" si="61"/>
        <v>1.0228530401221503</v>
      </c>
    </row>
    <row r="134" spans="1:8" ht="15.75" customHeight="1">
      <c r="A134" s="216">
        <v>40483</v>
      </c>
      <c r="B134" s="226">
        <f>geral!K1242</f>
        <v>493.73333333333335</v>
      </c>
      <c r="C134" s="211">
        <f t="shared" si="51"/>
        <v>325.25252525252523</v>
      </c>
      <c r="D134" s="211">
        <f t="shared" si="78"/>
        <v>-7.1205294857203842</v>
      </c>
      <c r="E134" s="211">
        <f t="shared" si="79"/>
        <v>-7.3422698838248479</v>
      </c>
      <c r="F134" s="214">
        <f t="shared" si="80"/>
        <v>-6.0450364732001276</v>
      </c>
      <c r="G134" s="214">
        <f t="shared" si="81"/>
        <v>3.3780011166945734</v>
      </c>
      <c r="H134" s="217">
        <f t="shared" si="61"/>
        <v>1.1012692411558196</v>
      </c>
    </row>
    <row r="135" spans="1:8" ht="15.75" customHeight="1">
      <c r="A135" s="216">
        <v>40513</v>
      </c>
      <c r="B135" s="226">
        <f>geral!K1243</f>
        <v>477.05500000000001</v>
      </c>
      <c r="C135" s="211">
        <f t="shared" si="51"/>
        <v>314.26548089591563</v>
      </c>
      <c r="D135" s="211">
        <f t="shared" si="78"/>
        <v>-3.3780043208209598</v>
      </c>
      <c r="E135" s="211">
        <f t="shared" si="79"/>
        <v>-10.47225201072386</v>
      </c>
      <c r="F135" s="214">
        <f t="shared" si="80"/>
        <v>-10.47225201072386</v>
      </c>
      <c r="G135" s="214">
        <f t="shared" si="81"/>
        <v>-2.5850350058343019</v>
      </c>
      <c r="H135" s="217">
        <f t="shared" ref="H135:H160" si="82">$B$171/B135</f>
        <v>1.1397707462102553</v>
      </c>
    </row>
    <row r="136" spans="1:8" ht="15.75" customHeight="1">
      <c r="A136" s="216">
        <v>40544</v>
      </c>
      <c r="B136" s="226">
        <f>geral!M1232</f>
        <v>533.72199999999998</v>
      </c>
      <c r="C136" s="211">
        <f t="shared" si="51"/>
        <v>351.59552042160732</v>
      </c>
      <c r="D136" s="211">
        <f t="shared" ref="D136:D142" si="83">100*((B136/B135)-1)</f>
        <v>11.878504574944193</v>
      </c>
      <c r="E136" s="211">
        <f t="shared" ref="E136:E141" si="84">100*((B136/$B$135)-1)</f>
        <v>11.878504574944193</v>
      </c>
      <c r="F136" s="214">
        <f t="shared" ref="F136:F142" si="85">100*((B136/B124)-1)</f>
        <v>0.16230563002679332</v>
      </c>
      <c r="G136" s="214">
        <f t="shared" ref="G136:G142" si="86">100*(B136/B112-1)</f>
        <v>8.9864060676779332</v>
      </c>
      <c r="H136" s="217">
        <f t="shared" si="82"/>
        <v>1.0187575804132738</v>
      </c>
    </row>
    <row r="137" spans="1:8" ht="15.75" customHeight="1">
      <c r="A137" s="216">
        <v>40575</v>
      </c>
      <c r="B137" s="226">
        <f>geral!M1233</f>
        <v>492.72200000000004</v>
      </c>
      <c r="C137" s="211">
        <f t="shared" si="51"/>
        <v>324.58629776021081</v>
      </c>
      <c r="D137" s="211">
        <f t="shared" si="83"/>
        <v>-7.6819018140529938</v>
      </c>
      <c r="E137" s="211">
        <f t="shared" si="84"/>
        <v>3.284107702466188</v>
      </c>
      <c r="F137" s="214">
        <f t="shared" si="85"/>
        <v>-5.0891054143859193</v>
      </c>
      <c r="G137" s="214">
        <f t="shared" si="86"/>
        <v>0.55551020408164398</v>
      </c>
      <c r="H137" s="217">
        <f t="shared" si="82"/>
        <v>1.1035296441671638</v>
      </c>
    </row>
    <row r="138" spans="1:8" ht="15.75" customHeight="1">
      <c r="A138" s="216">
        <v>40603</v>
      </c>
      <c r="B138" s="226">
        <f>geral!M1234</f>
        <v>502.1</v>
      </c>
      <c r="C138" s="211">
        <f t="shared" si="51"/>
        <v>330.764163372859</v>
      </c>
      <c r="D138" s="211">
        <f t="shared" si="83"/>
        <v>1.9033045003064686</v>
      </c>
      <c r="E138" s="211">
        <f t="shared" si="84"/>
        <v>5.249918772468587</v>
      </c>
      <c r="F138" s="214">
        <f t="shared" si="85"/>
        <v>-4.9365107414232607</v>
      </c>
      <c r="G138" s="214">
        <f t="shared" si="86"/>
        <v>1.1075312122432512</v>
      </c>
      <c r="H138" s="217">
        <f t="shared" si="82"/>
        <v>1.0829184093474076</v>
      </c>
    </row>
    <row r="139" spans="1:8" ht="15.75" customHeight="1">
      <c r="A139" s="216">
        <v>40634</v>
      </c>
      <c r="B139" s="226">
        <f>geral!M1235</f>
        <v>502.1</v>
      </c>
      <c r="C139" s="211">
        <f t="shared" si="51"/>
        <v>330.764163372859</v>
      </c>
      <c r="D139" s="211">
        <f t="shared" si="83"/>
        <v>0</v>
      </c>
      <c r="E139" s="211">
        <f t="shared" si="84"/>
        <v>5.249918772468587</v>
      </c>
      <c r="F139" s="214">
        <f t="shared" si="85"/>
        <v>-1.2586037364798353</v>
      </c>
      <c r="G139" s="214">
        <f t="shared" si="86"/>
        <v>1.1075312122432512</v>
      </c>
      <c r="H139" s="217">
        <f t="shared" si="82"/>
        <v>1.0829184093474076</v>
      </c>
    </row>
    <row r="140" spans="1:8" ht="15.75" customHeight="1">
      <c r="A140" s="216">
        <v>40664</v>
      </c>
      <c r="B140" s="226">
        <f>geral!M1236</f>
        <v>512.16</v>
      </c>
      <c r="C140" s="211">
        <f t="shared" si="51"/>
        <v>337.39130434782606</v>
      </c>
      <c r="D140" s="211">
        <f t="shared" si="83"/>
        <v>2.003584943238379</v>
      </c>
      <c r="E140" s="211">
        <f t="shared" si="84"/>
        <v>7.358690297764392</v>
      </c>
      <c r="F140" s="214">
        <f t="shared" si="85"/>
        <v>-5.1555555555555577</v>
      </c>
      <c r="G140" s="214">
        <f t="shared" si="86"/>
        <v>2.9615163699023395</v>
      </c>
      <c r="H140" s="217">
        <f t="shared" si="82"/>
        <v>1.0616474018535875</v>
      </c>
    </row>
    <row r="141" spans="1:8" ht="15.75" customHeight="1">
      <c r="A141" s="216">
        <v>40695</v>
      </c>
      <c r="B141" s="226">
        <f>geral!M1237</f>
        <v>512.16</v>
      </c>
      <c r="C141" s="211">
        <f t="shared" si="51"/>
        <v>337.39130434782606</v>
      </c>
      <c r="D141" s="211">
        <f t="shared" si="83"/>
        <v>0</v>
      </c>
      <c r="E141" s="211">
        <f t="shared" si="84"/>
        <v>7.358690297764392</v>
      </c>
      <c r="F141" s="214">
        <f t="shared" si="85"/>
        <v>4.2708158372906091</v>
      </c>
      <c r="G141" s="214">
        <f t="shared" si="86"/>
        <v>2.2567027952082208</v>
      </c>
      <c r="H141" s="217">
        <f t="shared" si="82"/>
        <v>1.0616474018535875</v>
      </c>
    </row>
    <row r="142" spans="1:8" ht="15.75" customHeight="1">
      <c r="A142" s="216">
        <v>40725</v>
      </c>
      <c r="B142" s="226">
        <f>geral!M1238</f>
        <v>509.4</v>
      </c>
      <c r="C142" s="211">
        <f t="shared" si="51"/>
        <v>335.57312252964425</v>
      </c>
      <c r="D142" s="211">
        <f t="shared" si="83"/>
        <v>-0.53889409559512158</v>
      </c>
      <c r="E142" s="211">
        <f t="shared" ref="E142:E147" si="87">100*((B142/$B$135)-1)</f>
        <v>6.7801406546414977</v>
      </c>
      <c r="F142" s="214">
        <f t="shared" si="85"/>
        <v>-7.7357772907572837</v>
      </c>
      <c r="G142" s="214">
        <f t="shared" si="86"/>
        <v>0.27559055118109299</v>
      </c>
      <c r="H142" s="217">
        <f t="shared" si="82"/>
        <v>1.0673995550320639</v>
      </c>
    </row>
    <row r="143" spans="1:8" ht="15.75" customHeight="1">
      <c r="A143" s="216">
        <v>40756</v>
      </c>
      <c r="B143" s="226">
        <f>geral!M1239</f>
        <v>510.13</v>
      </c>
      <c r="C143" s="211">
        <f t="shared" si="51"/>
        <v>336.05401844532275</v>
      </c>
      <c r="D143" s="211">
        <f t="shared" ref="D143:D148" si="88">100*((B143/B142)-1)</f>
        <v>0.14330585001962604</v>
      </c>
      <c r="E143" s="211">
        <f t="shared" si="87"/>
        <v>6.9331628428587866</v>
      </c>
      <c r="F143" s="214">
        <f t="shared" ref="F143:F148" si="89">100*((B143/B131)-1)</f>
        <v>-3.8383236693484424</v>
      </c>
      <c r="G143" s="214">
        <f t="shared" ref="G143:G148" si="90">100*(B143/B119-1)</f>
        <v>-3.0515117581186857E-2</v>
      </c>
      <c r="H143" s="217">
        <f t="shared" si="82"/>
        <v>1.0658720979619574</v>
      </c>
    </row>
    <row r="144" spans="1:8" ht="15.75" customHeight="1">
      <c r="A144" s="216">
        <v>40787</v>
      </c>
      <c r="B144" s="226">
        <f>geral!M1240</f>
        <v>510.13</v>
      </c>
      <c r="C144" s="211">
        <f t="shared" si="51"/>
        <v>336.05401844532275</v>
      </c>
      <c r="D144" s="211">
        <f t="shared" si="88"/>
        <v>0</v>
      </c>
      <c r="E144" s="211">
        <f t="shared" si="87"/>
        <v>6.9331628428587866</v>
      </c>
      <c r="F144" s="214">
        <f t="shared" si="89"/>
        <v>-7.428343298884899</v>
      </c>
      <c r="G144" s="214">
        <f t="shared" si="90"/>
        <v>-0.58713808463251027</v>
      </c>
      <c r="H144" s="217">
        <f t="shared" si="82"/>
        <v>1.0658720979619574</v>
      </c>
    </row>
    <row r="145" spans="1:8" ht="15.75" customHeight="1">
      <c r="A145" s="216">
        <v>40817</v>
      </c>
      <c r="B145" s="226">
        <f>geral!M1241</f>
        <v>510.69200000000001</v>
      </c>
      <c r="C145" s="211">
        <f t="shared" si="51"/>
        <v>336.42424242424238</v>
      </c>
      <c r="D145" s="211">
        <f t="shared" si="88"/>
        <v>0.11016799639307351</v>
      </c>
      <c r="E145" s="211">
        <f t="shared" si="87"/>
        <v>7.050968965842519</v>
      </c>
      <c r="F145" s="214">
        <f t="shared" si="89"/>
        <v>-3.930321585447305</v>
      </c>
      <c r="G145" s="214">
        <f t="shared" si="90"/>
        <v>-1.573678414096924</v>
      </c>
      <c r="H145" s="217">
        <f t="shared" si="82"/>
        <v>1.064699140251528</v>
      </c>
    </row>
    <row r="146" spans="1:8" ht="15.75" customHeight="1">
      <c r="A146" s="216">
        <v>40848</v>
      </c>
      <c r="B146" s="226">
        <f>geral!M1242</f>
        <v>510.69200000000001</v>
      </c>
      <c r="C146" s="211">
        <f t="shared" si="51"/>
        <v>336.42424242424238</v>
      </c>
      <c r="D146" s="211">
        <f t="shared" si="88"/>
        <v>0</v>
      </c>
      <c r="E146" s="211">
        <f t="shared" si="87"/>
        <v>7.050968965842519</v>
      </c>
      <c r="F146" s="214">
        <f t="shared" si="89"/>
        <v>3.4347826086956523</v>
      </c>
      <c r="G146" s="214">
        <f t="shared" si="90"/>
        <v>-2.8178877259752655</v>
      </c>
      <c r="H146" s="217">
        <f t="shared" si="82"/>
        <v>1.064699140251528</v>
      </c>
    </row>
    <row r="147" spans="1:8" ht="15.75" customHeight="1">
      <c r="A147" s="244">
        <v>40878</v>
      </c>
      <c r="B147" s="245">
        <f>geral!M1243</f>
        <v>500.69200000000001</v>
      </c>
      <c r="C147" s="230">
        <f t="shared" si="51"/>
        <v>329.83662714097494</v>
      </c>
      <c r="D147" s="230">
        <f t="shared" si="88"/>
        <v>-1.958127403601384</v>
      </c>
      <c r="E147" s="230">
        <f t="shared" si="87"/>
        <v>4.9547746067015286</v>
      </c>
      <c r="F147" s="243">
        <f t="shared" si="89"/>
        <v>4.9547746067015286</v>
      </c>
      <c r="G147" s="243">
        <f t="shared" si="90"/>
        <v>-6.0363538873994704</v>
      </c>
      <c r="H147" s="217">
        <f t="shared" si="82"/>
        <v>1.0859636929156713</v>
      </c>
    </row>
    <row r="148" spans="1:8" ht="15.75" customHeight="1">
      <c r="A148" s="244">
        <v>40909</v>
      </c>
      <c r="B148" s="245">
        <f>geral!C1247</f>
        <v>500.69200000000001</v>
      </c>
      <c r="C148" s="230">
        <f t="shared" ref="C148:C153" si="91">100*B148/$B$7</f>
        <v>329.83662714097494</v>
      </c>
      <c r="D148" s="230">
        <f t="shared" si="88"/>
        <v>0</v>
      </c>
      <c r="E148" s="230">
        <f t="shared" ref="E148:E153" si="92">100*((B148/$B$147)-1)</f>
        <v>0</v>
      </c>
      <c r="F148" s="243">
        <f t="shared" si="89"/>
        <v>-6.1886150467846512</v>
      </c>
      <c r="G148" s="243">
        <f t="shared" si="90"/>
        <v>-6.0363538873994704</v>
      </c>
      <c r="H148" s="217">
        <f t="shared" si="82"/>
        <v>1.0859636929156713</v>
      </c>
    </row>
    <row r="149" spans="1:8" ht="15.75" customHeight="1">
      <c r="A149" s="244">
        <v>40940</v>
      </c>
      <c r="B149" s="245">
        <f>geral!C1248</f>
        <v>531.37</v>
      </c>
      <c r="C149" s="230">
        <f t="shared" si="91"/>
        <v>350.04611330698282</v>
      </c>
      <c r="D149" s="230">
        <f t="shared" ref="D149:D154" si="93">100*((B149/B148)-1)</f>
        <v>6.1271200658288949</v>
      </c>
      <c r="E149" s="230">
        <f t="shared" si="92"/>
        <v>6.1271200658288949</v>
      </c>
      <c r="F149" s="243">
        <f t="shared" ref="F149:F154" si="94">100*((B149/B137)-1)</f>
        <v>7.8437739739650292</v>
      </c>
      <c r="G149" s="243">
        <f t="shared" ref="G149:G154" si="95">100*(B149/B125-1)</f>
        <v>2.3554906335778725</v>
      </c>
      <c r="H149" s="217">
        <f t="shared" si="82"/>
        <v>1.0232669012803384</v>
      </c>
    </row>
    <row r="150" spans="1:8" ht="15.75" customHeight="1">
      <c r="A150" s="244">
        <v>40969</v>
      </c>
      <c r="B150" s="245">
        <f>geral!C1249</f>
        <v>534.02</v>
      </c>
      <c r="C150" s="230">
        <f t="shared" si="91"/>
        <v>351.79183135704875</v>
      </c>
      <c r="D150" s="230">
        <f t="shared" si="93"/>
        <v>0.49871087942487957</v>
      </c>
      <c r="E150" s="230">
        <f t="shared" si="92"/>
        <v>6.6563875596174826</v>
      </c>
      <c r="F150" s="243">
        <f t="shared" si="94"/>
        <v>6.3572993427603919</v>
      </c>
      <c r="G150" s="243">
        <f t="shared" si="95"/>
        <v>1.1069598364173316</v>
      </c>
      <c r="H150" s="217">
        <f t="shared" si="82"/>
        <v>1.0181890815574948</v>
      </c>
    </row>
    <row r="151" spans="1:8" ht="15.75" customHeight="1">
      <c r="A151" s="244">
        <v>41000</v>
      </c>
      <c r="B151" s="245">
        <f>geral!C1250</f>
        <v>493.18666666666667</v>
      </c>
      <c r="C151" s="230">
        <f t="shared" si="91"/>
        <v>324.89240228370659</v>
      </c>
      <c r="D151" s="230">
        <f t="shared" si="93"/>
        <v>-7.6464052532364546</v>
      </c>
      <c r="E151" s="230">
        <f t="shared" si="92"/>
        <v>-1.498992061653337</v>
      </c>
      <c r="F151" s="243">
        <f t="shared" si="94"/>
        <v>-1.7752107813848506</v>
      </c>
      <c r="G151" s="243">
        <f t="shared" si="95"/>
        <v>-3.0114716486397852</v>
      </c>
      <c r="H151" s="217">
        <f t="shared" si="82"/>
        <v>1.1024899294384818</v>
      </c>
    </row>
    <row r="152" spans="1:8" ht="15.75" customHeight="1">
      <c r="A152" s="244">
        <v>41030</v>
      </c>
      <c r="B152" s="245">
        <f>geral!C1251</f>
        <v>493.18666666666667</v>
      </c>
      <c r="C152" s="230">
        <f t="shared" si="91"/>
        <v>324.89240228370659</v>
      </c>
      <c r="D152" s="230">
        <f t="shared" si="93"/>
        <v>0</v>
      </c>
      <c r="E152" s="230">
        <f t="shared" si="92"/>
        <v>-1.498992061653337</v>
      </c>
      <c r="F152" s="243">
        <f t="shared" si="94"/>
        <v>-3.7045714880766356</v>
      </c>
      <c r="G152" s="243">
        <f t="shared" si="95"/>
        <v>-8.6691358024691407</v>
      </c>
      <c r="H152" s="217">
        <f t="shared" si="82"/>
        <v>1.1024899294384818</v>
      </c>
    </row>
    <row r="153" spans="1:8" ht="15.75" customHeight="1">
      <c r="A153" s="244">
        <v>41061</v>
      </c>
      <c r="B153" s="245">
        <f>geral!C1252</f>
        <v>489.45833333333326</v>
      </c>
      <c r="C153" s="230">
        <f t="shared" si="91"/>
        <v>322.43631971892836</v>
      </c>
      <c r="D153" s="230">
        <f t="shared" si="93"/>
        <v>-0.75596799048367469</v>
      </c>
      <c r="E153" s="230">
        <f t="shared" si="92"/>
        <v>-2.2436281519710222</v>
      </c>
      <c r="F153" s="243">
        <f t="shared" si="94"/>
        <v>-4.4325341039258674</v>
      </c>
      <c r="G153" s="243">
        <f t="shared" si="95"/>
        <v>-0.35102363513902501</v>
      </c>
      <c r="H153" s="217">
        <f t="shared" si="82"/>
        <v>1.1108878862688347</v>
      </c>
    </row>
    <row r="154" spans="1:8" ht="15.75" customHeight="1">
      <c r="A154" s="244">
        <v>41091</v>
      </c>
      <c r="B154" s="245">
        <f>geral!C1253</f>
        <v>495.065</v>
      </c>
      <c r="C154" s="230">
        <f t="shared" ref="C154:C159" si="96">100*B154/$B$7</f>
        <v>326.12977602108032</v>
      </c>
      <c r="D154" s="230">
        <f t="shared" si="93"/>
        <v>1.1454839533498129</v>
      </c>
      <c r="E154" s="230">
        <f t="shared" ref="E154:E159" si="97">100*((B154/$B$147)-1)</f>
        <v>-1.1238445990748858</v>
      </c>
      <c r="F154" s="243">
        <f t="shared" si="94"/>
        <v>-2.8140950137416576</v>
      </c>
      <c r="G154" s="243">
        <f t="shared" si="95"/>
        <v>-10.332180181485572</v>
      </c>
      <c r="H154" s="217">
        <f t="shared" si="82"/>
        <v>1.0983069563256003</v>
      </c>
    </row>
    <row r="155" spans="1:8" ht="15.75" customHeight="1">
      <c r="A155" s="244">
        <v>41122</v>
      </c>
      <c r="B155" s="245">
        <f>geral!C1254</f>
        <v>503.69333333333333</v>
      </c>
      <c r="C155" s="230">
        <f t="shared" si="96"/>
        <v>331.81379007465961</v>
      </c>
      <c r="D155" s="230">
        <f t="shared" ref="D155:D160" si="98">100*((B155/B154)-1)</f>
        <v>1.7428687815404631</v>
      </c>
      <c r="E155" s="230">
        <f t="shared" si="97"/>
        <v>0.59943704579528134</v>
      </c>
      <c r="F155" s="243">
        <f t="shared" ref="F155:F160" si="99">100*((B155/B143)-1)</f>
        <v>-1.2617698756526075</v>
      </c>
      <c r="G155" s="243">
        <f t="shared" ref="G155:G160" si="100">100*(B155/B131-1)</f>
        <v>-5.0516627332111819</v>
      </c>
      <c r="H155" s="217">
        <f t="shared" si="82"/>
        <v>1.0794928130873283</v>
      </c>
    </row>
    <row r="156" spans="1:8" ht="15.75" customHeight="1">
      <c r="A156" s="244">
        <v>41153</v>
      </c>
      <c r="B156" s="245">
        <f>geral!C1255</f>
        <v>503.69333333333333</v>
      </c>
      <c r="C156" s="230">
        <f t="shared" si="96"/>
        <v>331.81379007465961</v>
      </c>
      <c r="D156" s="230">
        <f t="shared" si="98"/>
        <v>0</v>
      </c>
      <c r="E156" s="230">
        <f t="shared" si="97"/>
        <v>0.59943704579528134</v>
      </c>
      <c r="F156" s="243">
        <f t="shared" si="99"/>
        <v>-1.2617698756526075</v>
      </c>
      <c r="G156" s="243">
        <f t="shared" si="100"/>
        <v>-8.5963845765321238</v>
      </c>
      <c r="H156" s="217">
        <f t="shared" si="82"/>
        <v>1.0794928130873283</v>
      </c>
    </row>
    <row r="157" spans="1:8" ht="15.75" customHeight="1">
      <c r="A157" s="244">
        <v>41183</v>
      </c>
      <c r="B157" s="245">
        <f>geral!C1256</f>
        <v>510.18166666666662</v>
      </c>
      <c r="C157" s="230">
        <f t="shared" si="96"/>
        <v>336.08805445761965</v>
      </c>
      <c r="D157" s="230">
        <f t="shared" si="98"/>
        <v>1.2881515207666006</v>
      </c>
      <c r="E157" s="230">
        <f t="shared" si="97"/>
        <v>1.8953102239833264</v>
      </c>
      <c r="F157" s="243">
        <f t="shared" si="99"/>
        <v>-9.9929768497131199E-2</v>
      </c>
      <c r="G157" s="243">
        <f t="shared" si="100"/>
        <v>-4.0263237926829065</v>
      </c>
      <c r="H157" s="217">
        <f t="shared" si="82"/>
        <v>1.0657641559052495</v>
      </c>
    </row>
    <row r="158" spans="1:8" ht="15.75" customHeight="1">
      <c r="A158" s="244">
        <v>41214</v>
      </c>
      <c r="B158" s="245">
        <f>geral!C1257</f>
        <v>500.58666666666664</v>
      </c>
      <c r="C158" s="230">
        <f t="shared" si="96"/>
        <v>329.76723759332452</v>
      </c>
      <c r="D158" s="230">
        <f t="shared" si="98"/>
        <v>-1.8807026255353465</v>
      </c>
      <c r="E158" s="230">
        <f t="shared" si="97"/>
        <v>-2.1037550696512142E-2</v>
      </c>
      <c r="F158" s="243">
        <f t="shared" si="99"/>
        <v>-1.9787530122526653</v>
      </c>
      <c r="G158" s="243">
        <f t="shared" si="100"/>
        <v>1.3880637321090905</v>
      </c>
      <c r="H158" s="217">
        <f t="shared" si="82"/>
        <v>1.08619220115065</v>
      </c>
    </row>
    <row r="159" spans="1:8" ht="15.75" customHeight="1">
      <c r="A159" s="244">
        <v>41244</v>
      </c>
      <c r="B159" s="245">
        <f>geral!C1258</f>
        <v>494.43000000000006</v>
      </c>
      <c r="C159" s="230">
        <f t="shared" si="96"/>
        <v>325.71146245059293</v>
      </c>
      <c r="D159" s="230">
        <f t="shared" si="98"/>
        <v>-1.229890262092459</v>
      </c>
      <c r="E159" s="230">
        <f t="shared" si="97"/>
        <v>-1.2506690740015758</v>
      </c>
      <c r="F159" s="243">
        <f t="shared" si="99"/>
        <v>-1.2506690740015758</v>
      </c>
      <c r="G159" s="243">
        <f t="shared" si="100"/>
        <v>3.6421376990074528</v>
      </c>
      <c r="H159" s="217">
        <f t="shared" si="82"/>
        <v>1.0997175198376581</v>
      </c>
    </row>
    <row r="160" spans="1:8" ht="15.75" customHeight="1">
      <c r="A160" s="244">
        <v>41275</v>
      </c>
      <c r="B160" s="245">
        <f>geral!E1247</f>
        <v>472.76333333333338</v>
      </c>
      <c r="C160" s="230">
        <f t="shared" ref="C160:C165" si="101">100*B160/$B$7</f>
        <v>311.43829600351341</v>
      </c>
      <c r="D160" s="230">
        <f t="shared" si="98"/>
        <v>-4.3821504897895931</v>
      </c>
      <c r="E160" s="230">
        <f t="shared" ref="E160:E165" si="102">100*((B160/$B$159)-1)</f>
        <v>-4.3821504897895931</v>
      </c>
      <c r="F160" s="243">
        <f t="shared" si="99"/>
        <v>-5.5780133628391511</v>
      </c>
      <c r="G160" s="243">
        <f t="shared" si="100"/>
        <v>-11.421426635339483</v>
      </c>
      <c r="H160" s="217">
        <f t="shared" si="82"/>
        <v>1.1501173948910306</v>
      </c>
    </row>
    <row r="161" spans="1:8" ht="15.75" customHeight="1">
      <c r="A161" s="244">
        <v>41306</v>
      </c>
      <c r="B161" s="245">
        <f>geral!E1248</f>
        <v>477.76333333333338</v>
      </c>
      <c r="C161" s="230">
        <f t="shared" si="101"/>
        <v>314.73210364514711</v>
      </c>
      <c r="D161" s="230">
        <f t="shared" ref="D161:D166" si="103">100*((B161/B160)-1)</f>
        <v>1.0576116309076511</v>
      </c>
      <c r="E161" s="230">
        <f t="shared" si="102"/>
        <v>-3.3708849921458395</v>
      </c>
      <c r="F161" s="243">
        <f t="shared" ref="F161:F166" si="104">100*((B161/B149)-1)</f>
        <v>-10.088387877875427</v>
      </c>
      <c r="G161" s="243">
        <f t="shared" ref="G161:G166" si="105">100*(B161/B137-1)</f>
        <v>-3.0359242466678316</v>
      </c>
      <c r="H161" s="217">
        <f t="shared" ref="H161:H171" si="106">$B$171/B161</f>
        <v>1.1380809187254497</v>
      </c>
    </row>
    <row r="162" spans="1:8" ht="15.75" customHeight="1">
      <c r="A162" s="244">
        <v>41334</v>
      </c>
      <c r="B162" s="245">
        <f>geral!E1249</f>
        <v>484.02500000000003</v>
      </c>
      <c r="C162" s="230">
        <f t="shared" si="101"/>
        <v>318.85704874835307</v>
      </c>
      <c r="D162" s="230">
        <f t="shared" si="103"/>
        <v>1.3106210187749934</v>
      </c>
      <c r="E162" s="230">
        <f t="shared" si="102"/>
        <v>-2.1044435005966533</v>
      </c>
      <c r="F162" s="243">
        <f t="shared" si="104"/>
        <v>-9.3620089135238338</v>
      </c>
      <c r="G162" s="243">
        <f t="shared" si="105"/>
        <v>-3.5998805018920499</v>
      </c>
      <c r="H162" s="217">
        <f t="shared" si="106"/>
        <v>1.1233579532737634</v>
      </c>
    </row>
    <row r="163" spans="1:8" ht="15.75" customHeight="1">
      <c r="A163" s="244">
        <v>41365</v>
      </c>
      <c r="B163" s="245">
        <f>geral!E1250</f>
        <v>488.56333333333333</v>
      </c>
      <c r="C163" s="230">
        <f t="shared" si="101"/>
        <v>321.84672815107598</v>
      </c>
      <c r="D163" s="230">
        <f t="shared" si="103"/>
        <v>0.93762374532995185</v>
      </c>
      <c r="E163" s="230">
        <f t="shared" si="102"/>
        <v>-1.1865515172353458</v>
      </c>
      <c r="F163" s="243">
        <f t="shared" si="104"/>
        <v>-0.93744086079645683</v>
      </c>
      <c r="G163" s="243">
        <f t="shared" si="105"/>
        <v>-2.6960100909513396</v>
      </c>
      <c r="H163" s="217">
        <f t="shared" si="106"/>
        <v>1.112922923674174</v>
      </c>
    </row>
    <row r="164" spans="1:8" ht="15.75" customHeight="1">
      <c r="A164" s="244">
        <v>41395</v>
      </c>
      <c r="B164" s="245">
        <f>geral!E1251</f>
        <v>496.59333333333331</v>
      </c>
      <c r="C164" s="230">
        <f t="shared" si="101"/>
        <v>327.13658322353967</v>
      </c>
      <c r="D164" s="230">
        <f t="shared" si="103"/>
        <v>1.6435944845089923</v>
      </c>
      <c r="E164" s="230">
        <f t="shared" si="102"/>
        <v>0.43754087198051295</v>
      </c>
      <c r="F164" s="243">
        <f t="shared" si="104"/>
        <v>0.69074589742896819</v>
      </c>
      <c r="G164" s="243">
        <f t="shared" si="105"/>
        <v>-3.0394147662188842</v>
      </c>
      <c r="H164" s="217">
        <f t="shared" si="106"/>
        <v>1.0949267677106689</v>
      </c>
    </row>
    <row r="165" spans="1:8" ht="15.75" customHeight="1">
      <c r="A165" s="244">
        <v>41426</v>
      </c>
      <c r="B165" s="245">
        <f>geral!E1252</f>
        <v>504.44333333333333</v>
      </c>
      <c r="C165" s="230">
        <f t="shared" si="101"/>
        <v>332.30786122090467</v>
      </c>
      <c r="D165" s="230">
        <f t="shared" si="103"/>
        <v>1.5807703150800823</v>
      </c>
      <c r="E165" s="230">
        <f t="shared" si="102"/>
        <v>2.0252277032811961</v>
      </c>
      <c r="F165" s="243">
        <f t="shared" si="104"/>
        <v>3.0615476291819377</v>
      </c>
      <c r="G165" s="243">
        <f t="shared" si="105"/>
        <v>-1.5066906175153494</v>
      </c>
      <c r="H165" s="217">
        <f t="shared" si="106"/>
        <v>1.0778878367573497</v>
      </c>
    </row>
    <row r="166" spans="1:8" ht="15.75" customHeight="1">
      <c r="A166" s="244">
        <v>41456</v>
      </c>
      <c r="B166" s="245">
        <f>geral!E1253</f>
        <v>505.32666666666665</v>
      </c>
      <c r="C166" s="230">
        <f t="shared" ref="C166:C171" si="107">100*B166/$B$7</f>
        <v>332.88976723759328</v>
      </c>
      <c r="D166" s="230">
        <f t="shared" si="103"/>
        <v>0.17511051786458509</v>
      </c>
      <c r="E166" s="230">
        <f t="shared" ref="E166:E171" si="108">100*((B166/$B$159)-1)</f>
        <v>2.2038846078649366</v>
      </c>
      <c r="F166" s="243">
        <f t="shared" si="104"/>
        <v>2.072791788283701</v>
      </c>
      <c r="G166" s="243">
        <f t="shared" si="105"/>
        <v>-0.79963355581730289</v>
      </c>
      <c r="H166" s="217">
        <f t="shared" si="106"/>
        <v>1.0760036412089871</v>
      </c>
    </row>
    <row r="167" spans="1:8" ht="15.75" customHeight="1">
      <c r="A167" s="244">
        <v>41487</v>
      </c>
      <c r="B167" s="245">
        <f>geral!E1254</f>
        <v>527.76166666666666</v>
      </c>
      <c r="C167" s="230">
        <f t="shared" si="107"/>
        <v>347.66908212560384</v>
      </c>
      <c r="D167" s="230">
        <f>100*((B167/B166)-1)</f>
        <v>4.43970237074367</v>
      </c>
      <c r="E167" s="230">
        <f t="shared" si="108"/>
        <v>6.7414328957924541</v>
      </c>
      <c r="F167" s="243">
        <f>100*((B167/B155)-1)</f>
        <v>4.778370437038415</v>
      </c>
      <c r="G167" s="243">
        <f>100*(B167/B143-1)</f>
        <v>3.4563085226641643</v>
      </c>
      <c r="H167" s="217">
        <f t="shared" si="106"/>
        <v>1.0302630290819403</v>
      </c>
    </row>
    <row r="168" spans="1:8" ht="15.75" customHeight="1">
      <c r="A168" s="244">
        <v>41518</v>
      </c>
      <c r="B168" s="245">
        <f>geral!E1255</f>
        <v>529.27833333333331</v>
      </c>
      <c r="C168" s="230">
        <f t="shared" si="107"/>
        <v>348.66820377689936</v>
      </c>
      <c r="D168" s="230">
        <f>100*((B168/B167)-1)</f>
        <v>0.2873771936195979</v>
      </c>
      <c r="E168" s="230">
        <f t="shared" si="108"/>
        <v>7.0481834300777146</v>
      </c>
      <c r="F168" s="243">
        <f>100*((B168/B156)-1)</f>
        <v>5.0794795775207069</v>
      </c>
      <c r="G168" s="243">
        <f>100*(B168/B144-1)</f>
        <v>3.7536183587190131</v>
      </c>
      <c r="H168" s="217">
        <f t="shared" si="106"/>
        <v>1.0273107722149972</v>
      </c>
    </row>
    <row r="169" spans="1:8" ht="15.75" customHeight="1">
      <c r="A169" s="244">
        <v>41548</v>
      </c>
      <c r="B169" s="245">
        <f>geral!E1256</f>
        <v>543.73333333333335</v>
      </c>
      <c r="C169" s="230">
        <f t="shared" si="107"/>
        <v>358.19060166886254</v>
      </c>
      <c r="D169" s="230">
        <f>100*((B169/B168)-1)</f>
        <v>2.7310772214997225</v>
      </c>
      <c r="E169" s="230">
        <f t="shared" si="108"/>
        <v>9.9717519837658095</v>
      </c>
      <c r="F169" s="243">
        <f>100*((B169/B157)-1)</f>
        <v>6.5764155905249533</v>
      </c>
      <c r="G169" s="243">
        <f>100*(B169/B145-1)</f>
        <v>6.4699140251528009</v>
      </c>
      <c r="H169" s="217">
        <f t="shared" si="106"/>
        <v>1</v>
      </c>
    </row>
    <row r="170" spans="1:8" ht="15.75" customHeight="1">
      <c r="A170" s="244">
        <v>41579</v>
      </c>
      <c r="B170" s="245">
        <f>geral!E1257</f>
        <v>543.73333333333335</v>
      </c>
      <c r="C170" s="230">
        <f t="shared" si="107"/>
        <v>358.19060166886254</v>
      </c>
      <c r="D170" s="230">
        <f>100*((B170/B169)-1)</f>
        <v>0</v>
      </c>
      <c r="E170" s="230">
        <f t="shared" si="108"/>
        <v>9.9717519837658095</v>
      </c>
      <c r="F170" s="243">
        <f>100*((B170/B158)-1)</f>
        <v>8.6192201150649961</v>
      </c>
      <c r="G170" s="243">
        <f>100*(B170/B146-1)</f>
        <v>6.4699140251528009</v>
      </c>
      <c r="H170" s="279">
        <f t="shared" si="106"/>
        <v>1</v>
      </c>
    </row>
    <row r="171" spans="1:8" ht="15.75" customHeight="1" thickBot="1">
      <c r="A171" s="219">
        <v>41609</v>
      </c>
      <c r="B171" s="231">
        <f>geral!E1258</f>
        <v>543.73333333333335</v>
      </c>
      <c r="C171" s="220">
        <f t="shared" si="107"/>
        <v>358.19060166886254</v>
      </c>
      <c r="D171" s="220">
        <f>100*((B171/B170)-1)</f>
        <v>0</v>
      </c>
      <c r="E171" s="220">
        <f t="shared" si="108"/>
        <v>9.9717519837658095</v>
      </c>
      <c r="F171" s="221">
        <f>100*((B171/B159)-1)</f>
        <v>9.9717519837658095</v>
      </c>
      <c r="G171" s="221">
        <f>100*(B171/B147-1)</f>
        <v>8.5963692915671288</v>
      </c>
      <c r="H171" s="222">
        <f t="shared" si="106"/>
        <v>1</v>
      </c>
    </row>
    <row r="172" spans="1:8">
      <c r="H172" s="52"/>
    </row>
    <row r="173" spans="1:8">
      <c r="A173" s="67" t="s">
        <v>238</v>
      </c>
    </row>
    <row r="174" spans="1:8">
      <c r="A174" s="66" t="s">
        <v>239</v>
      </c>
    </row>
  </sheetData>
  <mergeCells count="6">
    <mergeCell ref="A6:H6"/>
    <mergeCell ref="A1:H1"/>
    <mergeCell ref="A2:H2"/>
    <mergeCell ref="A3:C4"/>
    <mergeCell ref="D3:H3"/>
    <mergeCell ref="D4:H4"/>
  </mergeCells>
  <phoneticPr fontId="0" type="noConversion"/>
  <pageMargins left="0.78740157499999996" right="0.78740157499999996" top="0.984251969" bottom="0.984251969" header="0.49212598499999999" footer="0.49212598499999999"/>
  <pageSetup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25"/>
  <dimension ref="A1:J174"/>
  <sheetViews>
    <sheetView showGridLines="0" zoomScale="90" zoomScaleNormal="90" workbookViewId="0">
      <pane ySplit="2280" topLeftCell="A157" activePane="bottomLeft"/>
      <selection activeCell="J236" sqref="J236"/>
      <selection pane="bottomLeft" activeCell="I172" sqref="I172"/>
    </sheetView>
  </sheetViews>
  <sheetFormatPr defaultRowHeight="15"/>
  <cols>
    <col min="3" max="3" width="8.77734375" customWidth="1"/>
    <col min="4" max="4" width="11.77734375" bestFit="1" customWidth="1"/>
    <col min="5" max="6" width="11.21875" bestFit="1" customWidth="1"/>
    <col min="7" max="7" width="9.44140625" bestFit="1" customWidth="1"/>
    <col min="8" max="8" width="10.77734375" customWidth="1"/>
  </cols>
  <sheetData>
    <row r="1" spans="1:8" ht="21" thickBot="1">
      <c r="A1" s="1526" t="s">
        <v>276</v>
      </c>
      <c r="B1" s="1527"/>
      <c r="C1" s="1527"/>
      <c r="D1" s="1527"/>
      <c r="E1" s="1527"/>
      <c r="F1" s="1527"/>
      <c r="G1" s="1527"/>
      <c r="H1" s="1528"/>
    </row>
    <row r="2" spans="1:8" ht="16.5" thickBot="1">
      <c r="A2" s="1529" t="s">
        <v>285</v>
      </c>
      <c r="B2" s="1530"/>
      <c r="C2" s="1530"/>
      <c r="D2" s="1530"/>
      <c r="E2" s="1530"/>
      <c r="F2" s="1530"/>
      <c r="G2" s="1530"/>
      <c r="H2" s="1531"/>
    </row>
    <row r="3" spans="1:8" ht="17.25" thickBot="1">
      <c r="A3" s="1532" t="s">
        <v>281</v>
      </c>
      <c r="B3" s="1533"/>
      <c r="C3" s="1534"/>
      <c r="D3" s="1538" t="s">
        <v>278</v>
      </c>
      <c r="E3" s="1539"/>
      <c r="F3" s="1539"/>
      <c r="G3" s="1539"/>
      <c r="H3" s="1540"/>
    </row>
    <row r="4" spans="1:8" ht="17.25" thickBot="1">
      <c r="A4" s="1535"/>
      <c r="B4" s="1536"/>
      <c r="C4" s="1537"/>
      <c r="D4" s="1541" t="s">
        <v>275</v>
      </c>
      <c r="E4" s="1542"/>
      <c r="F4" s="1542"/>
      <c r="G4" s="1542"/>
      <c r="H4" s="1543"/>
    </row>
    <row r="5" spans="1:8" ht="48" thickBot="1">
      <c r="A5" s="258" t="s">
        <v>67</v>
      </c>
      <c r="B5" s="259" t="s">
        <v>76</v>
      </c>
      <c r="C5" s="259" t="s">
        <v>68</v>
      </c>
      <c r="D5" s="260" t="s">
        <v>69</v>
      </c>
      <c r="E5" s="260" t="s">
        <v>65</v>
      </c>
      <c r="F5" s="260" t="s">
        <v>70</v>
      </c>
      <c r="G5" s="259" t="s">
        <v>160</v>
      </c>
      <c r="H5" s="261" t="s">
        <v>186</v>
      </c>
    </row>
    <row r="6" spans="1:8" ht="15.75" thickBot="1">
      <c r="A6" s="1523" t="s">
        <v>279</v>
      </c>
      <c r="B6" s="1524"/>
      <c r="C6" s="1524"/>
      <c r="D6" s="1524"/>
      <c r="E6" s="1524"/>
      <c r="F6" s="1524"/>
      <c r="G6" s="1524"/>
      <c r="H6" s="1525"/>
    </row>
    <row r="7" spans="1:8" ht="15.75">
      <c r="A7" s="252">
        <v>36617</v>
      </c>
      <c r="B7" s="253">
        <f>+geral!C685</f>
        <v>34.75</v>
      </c>
      <c r="C7" s="254">
        <v>100</v>
      </c>
      <c r="D7" s="254">
        <f>100*((B7/'Pn900'!B73)-1)</f>
        <v>-91.127735083105676</v>
      </c>
      <c r="E7" s="254"/>
      <c r="F7" s="254"/>
      <c r="G7" s="254"/>
      <c r="H7" s="235">
        <f t="shared" ref="H7:H38" si="0">$B$171/B7</f>
        <v>2.4935827338129499</v>
      </c>
    </row>
    <row r="8" spans="1:8" ht="15.75">
      <c r="A8" s="237">
        <v>36647</v>
      </c>
      <c r="B8" s="239">
        <f>+geral!C686</f>
        <v>34.33</v>
      </c>
      <c r="C8" s="248">
        <f>100*B8/$B$7</f>
        <v>98.791366906474821</v>
      </c>
      <c r="D8" s="248">
        <f t="shared" ref="D8:D16" si="1">100*((B8/B7)-1)</f>
        <v>-1.2086330935251799</v>
      </c>
      <c r="E8" s="248"/>
      <c r="F8" s="248"/>
      <c r="G8" s="248"/>
      <c r="H8" s="236">
        <f t="shared" si="0"/>
        <v>2.5240897174482964</v>
      </c>
    </row>
    <row r="9" spans="1:8" ht="15.75">
      <c r="A9" s="237">
        <v>36678</v>
      </c>
      <c r="B9" s="239">
        <f>+geral!C687</f>
        <v>36.5</v>
      </c>
      <c r="C9" s="248">
        <f t="shared" ref="C9:C87" si="2">100*B9/$B$7</f>
        <v>105.03597122302158</v>
      </c>
      <c r="D9" s="248">
        <f t="shared" si="1"/>
        <v>6.3210020390329191</v>
      </c>
      <c r="E9" s="248"/>
      <c r="F9" s="248"/>
      <c r="G9" s="248"/>
      <c r="H9" s="236">
        <f t="shared" si="0"/>
        <v>2.3740273972602743</v>
      </c>
    </row>
    <row r="10" spans="1:8" ht="15.75">
      <c r="A10" s="237">
        <v>36708</v>
      </c>
      <c r="B10" s="239">
        <f>+geral!C688</f>
        <v>33.36</v>
      </c>
      <c r="C10" s="248">
        <f t="shared" si="2"/>
        <v>96</v>
      </c>
      <c r="D10" s="248">
        <f t="shared" si="1"/>
        <v>-8.6027397260273979</v>
      </c>
      <c r="E10" s="248"/>
      <c r="F10" s="248"/>
      <c r="G10" s="248"/>
      <c r="H10" s="236">
        <f t="shared" si="0"/>
        <v>2.5974820143884898</v>
      </c>
    </row>
    <row r="11" spans="1:8" ht="15.75">
      <c r="A11" s="237">
        <v>36739</v>
      </c>
      <c r="B11" s="239">
        <f>+geral!C689</f>
        <v>32.6</v>
      </c>
      <c r="C11" s="248">
        <f t="shared" si="2"/>
        <v>93.812949640287769</v>
      </c>
      <c r="D11" s="248">
        <f t="shared" si="1"/>
        <v>-2.2781774580335701</v>
      </c>
      <c r="E11" s="248"/>
      <c r="F11" s="248"/>
      <c r="G11" s="248"/>
      <c r="H11" s="236">
        <f t="shared" si="0"/>
        <v>2.6580368098159513</v>
      </c>
    </row>
    <row r="12" spans="1:8" ht="15.75">
      <c r="A12" s="237">
        <v>36770</v>
      </c>
      <c r="B12" s="239">
        <f>+geral!C690</f>
        <v>37.67</v>
      </c>
      <c r="C12" s="248">
        <f t="shared" si="2"/>
        <v>108.40287769784173</v>
      </c>
      <c r="D12" s="248">
        <f t="shared" si="1"/>
        <v>15.552147239263814</v>
      </c>
      <c r="E12" s="248"/>
      <c r="F12" s="248"/>
      <c r="G12" s="248"/>
      <c r="H12" s="236">
        <f t="shared" si="0"/>
        <v>2.3002920095566766</v>
      </c>
    </row>
    <row r="13" spans="1:8" ht="15.75">
      <c r="A13" s="237">
        <v>36800</v>
      </c>
      <c r="B13" s="239">
        <f>+geral!C691</f>
        <v>33.270000000000003</v>
      </c>
      <c r="C13" s="248">
        <f t="shared" si="2"/>
        <v>95.741007194244617</v>
      </c>
      <c r="D13" s="248">
        <f t="shared" si="1"/>
        <v>-11.680382267056011</v>
      </c>
      <c r="E13" s="248"/>
      <c r="F13" s="248"/>
      <c r="G13" s="248"/>
      <c r="H13" s="236">
        <f t="shared" si="0"/>
        <v>2.6045085662759244</v>
      </c>
    </row>
    <row r="14" spans="1:8" ht="15.75">
      <c r="A14" s="237">
        <v>36831</v>
      </c>
      <c r="B14" s="239">
        <f>+geral!C692</f>
        <v>40.25</v>
      </c>
      <c r="C14" s="248">
        <f t="shared" si="2"/>
        <v>115.8273381294964</v>
      </c>
      <c r="D14" s="248">
        <f t="shared" si="1"/>
        <v>20.979861737300865</v>
      </c>
      <c r="E14" s="248"/>
      <c r="F14" s="248"/>
      <c r="G14" s="248"/>
      <c r="H14" s="236">
        <f t="shared" si="0"/>
        <v>2.1528447204968946</v>
      </c>
    </row>
    <row r="15" spans="1:8" ht="15.75">
      <c r="A15" s="237">
        <v>36861</v>
      </c>
      <c r="B15" s="239">
        <f>+geral!C693</f>
        <v>37.25</v>
      </c>
      <c r="C15" s="248">
        <f t="shared" si="2"/>
        <v>107.19424460431655</v>
      </c>
      <c r="D15" s="248">
        <f t="shared" si="1"/>
        <v>-7.4534161490683264</v>
      </c>
      <c r="E15" s="248"/>
      <c r="F15" s="248"/>
      <c r="G15" s="248"/>
      <c r="H15" s="236">
        <f t="shared" si="0"/>
        <v>2.3262281879194635</v>
      </c>
    </row>
    <row r="16" spans="1:8" ht="15.75">
      <c r="A16" s="237">
        <v>36892</v>
      </c>
      <c r="B16" s="239">
        <f>+geral!E682</f>
        <v>38.9</v>
      </c>
      <c r="C16" s="248">
        <f t="shared" si="2"/>
        <v>111.94244604316546</v>
      </c>
      <c r="D16" s="248">
        <f t="shared" si="1"/>
        <v>4.4295302013422688</v>
      </c>
      <c r="E16" s="248">
        <f t="shared" ref="E16:E21" si="3">100*((B16/$B$15)-1)</f>
        <v>4.4295302013422688</v>
      </c>
      <c r="F16" s="248"/>
      <c r="G16" s="248"/>
      <c r="H16" s="236">
        <f t="shared" si="0"/>
        <v>2.2275578406169672</v>
      </c>
    </row>
    <row r="17" spans="1:8" ht="15.75">
      <c r="A17" s="237">
        <v>36923</v>
      </c>
      <c r="B17" s="239">
        <f>+geral!E683</f>
        <v>39.5</v>
      </c>
      <c r="C17" s="248">
        <f t="shared" si="2"/>
        <v>113.66906474820144</v>
      </c>
      <c r="D17" s="248">
        <f t="shared" ref="D17:D22" si="4">100*((B17/B16)-1)</f>
        <v>1.5424164524421524</v>
      </c>
      <c r="E17" s="248">
        <f t="shared" si="3"/>
        <v>6.0402684563758413</v>
      </c>
      <c r="F17" s="249"/>
      <c r="G17" s="249"/>
      <c r="H17" s="236">
        <f t="shared" si="0"/>
        <v>2.193721518987342</v>
      </c>
    </row>
    <row r="18" spans="1:8" ht="15.75">
      <c r="A18" s="237">
        <v>36951</v>
      </c>
      <c r="B18" s="239">
        <f>+geral!E684</f>
        <v>42</v>
      </c>
      <c r="C18" s="248">
        <f t="shared" si="2"/>
        <v>120.86330935251799</v>
      </c>
      <c r="D18" s="248">
        <f t="shared" si="4"/>
        <v>6.3291139240506222</v>
      </c>
      <c r="E18" s="248">
        <f t="shared" si="3"/>
        <v>12.751677852348987</v>
      </c>
      <c r="F18" s="249"/>
      <c r="G18" s="249"/>
      <c r="H18" s="236">
        <f t="shared" si="0"/>
        <v>2.0631428571428576</v>
      </c>
    </row>
    <row r="19" spans="1:8" ht="15.75">
      <c r="A19" s="237">
        <v>36982</v>
      </c>
      <c r="B19" s="239">
        <f>+geral!E685</f>
        <v>37.200000000000003</v>
      </c>
      <c r="C19" s="248">
        <f t="shared" si="2"/>
        <v>107.05035971223023</v>
      </c>
      <c r="D19" s="248">
        <f t="shared" si="4"/>
        <v>-11.428571428571422</v>
      </c>
      <c r="E19" s="248">
        <f t="shared" si="3"/>
        <v>-0.13422818791946067</v>
      </c>
      <c r="F19" s="250">
        <f t="shared" ref="F19:F24" si="5">100*((B19/B7)-1)</f>
        <v>7.0503597122302253</v>
      </c>
      <c r="G19" s="250"/>
      <c r="H19" s="236">
        <f t="shared" si="0"/>
        <v>2.3293548387096776</v>
      </c>
    </row>
    <row r="20" spans="1:8" ht="15.75">
      <c r="A20" s="237">
        <v>37012</v>
      </c>
      <c r="B20" s="239">
        <f>+geral!E686</f>
        <v>36</v>
      </c>
      <c r="C20" s="248">
        <f t="shared" si="2"/>
        <v>103.59712230215827</v>
      </c>
      <c r="D20" s="248">
        <f t="shared" si="4"/>
        <v>-3.2258064516129115</v>
      </c>
      <c r="E20" s="248">
        <f t="shared" si="3"/>
        <v>-3.3557046979865723</v>
      </c>
      <c r="F20" s="250">
        <f t="shared" si="5"/>
        <v>4.864549956306452</v>
      </c>
      <c r="G20" s="250"/>
      <c r="H20" s="236">
        <f t="shared" si="0"/>
        <v>2.4070000000000005</v>
      </c>
    </row>
    <row r="21" spans="1:8" ht="15.75">
      <c r="A21" s="237">
        <v>37043</v>
      </c>
      <c r="B21" s="239">
        <f>+geral!E687</f>
        <v>41.8</v>
      </c>
      <c r="C21" s="248">
        <f t="shared" si="2"/>
        <v>120.28776978417267</v>
      </c>
      <c r="D21" s="248">
        <f t="shared" si="4"/>
        <v>16.1111111111111</v>
      </c>
      <c r="E21" s="248">
        <f t="shared" si="3"/>
        <v>12.214765100671144</v>
      </c>
      <c r="F21" s="250">
        <f t="shared" si="5"/>
        <v>14.520547945205475</v>
      </c>
      <c r="G21" s="250"/>
      <c r="H21" s="236">
        <f t="shared" si="0"/>
        <v>2.0730143540669861</v>
      </c>
    </row>
    <row r="22" spans="1:8" ht="15.75">
      <c r="A22" s="237">
        <v>37073</v>
      </c>
      <c r="B22" s="239">
        <f>+geral!E688</f>
        <v>39.4</v>
      </c>
      <c r="C22" s="248">
        <f t="shared" si="2"/>
        <v>113.38129496402878</v>
      </c>
      <c r="D22" s="248">
        <f t="shared" si="4"/>
        <v>-5.7416267942583694</v>
      </c>
      <c r="E22" s="248">
        <f t="shared" ref="E22:E27" si="6">100*((B22/$B$15)-1)</f>
        <v>5.77181208053692</v>
      </c>
      <c r="F22" s="250">
        <f t="shared" si="5"/>
        <v>18.105515587529975</v>
      </c>
      <c r="G22" s="250"/>
      <c r="H22" s="236">
        <f t="shared" si="0"/>
        <v>2.1992893401015232</v>
      </c>
    </row>
    <row r="23" spans="1:8" ht="15.75">
      <c r="A23" s="237">
        <v>37104</v>
      </c>
      <c r="B23" s="239">
        <f>+geral!E689</f>
        <v>40.520000000000003</v>
      </c>
      <c r="C23" s="248">
        <f t="shared" si="2"/>
        <v>116.6043165467626</v>
      </c>
      <c r="D23" s="248">
        <f t="shared" ref="D23:D28" si="7">100*((B23/B22)-1)</f>
        <v>2.8426395939086468</v>
      </c>
      <c r="E23" s="248">
        <f t="shared" si="6"/>
        <v>8.778523489932887</v>
      </c>
      <c r="F23" s="250">
        <f t="shared" si="5"/>
        <v>24.294478527607378</v>
      </c>
      <c r="G23" s="250"/>
      <c r="H23" s="236">
        <f t="shared" si="0"/>
        <v>2.1384995064165846</v>
      </c>
    </row>
    <row r="24" spans="1:8" ht="15.75">
      <c r="A24" s="237">
        <v>37135</v>
      </c>
      <c r="B24" s="239">
        <f>+geral!E690</f>
        <v>44.9</v>
      </c>
      <c r="C24" s="248">
        <f t="shared" si="2"/>
        <v>129.20863309352518</v>
      </c>
      <c r="D24" s="248">
        <f t="shared" si="7"/>
        <v>10.809476801579464</v>
      </c>
      <c r="E24" s="248">
        <f t="shared" si="6"/>
        <v>20.536912751677839</v>
      </c>
      <c r="F24" s="250">
        <f t="shared" si="5"/>
        <v>19.192991770639757</v>
      </c>
      <c r="G24" s="250"/>
      <c r="H24" s="236">
        <f t="shared" si="0"/>
        <v>1.9298886414253902</v>
      </c>
    </row>
    <row r="25" spans="1:8" ht="15.75">
      <c r="A25" s="237">
        <v>37165</v>
      </c>
      <c r="B25" s="239">
        <f>+geral!E691</f>
        <v>47.33</v>
      </c>
      <c r="C25" s="248">
        <f t="shared" si="2"/>
        <v>136.20143884892087</v>
      </c>
      <c r="D25" s="248">
        <f t="shared" si="7"/>
        <v>5.4120267260579169</v>
      </c>
      <c r="E25" s="248">
        <f t="shared" si="6"/>
        <v>27.060402684563755</v>
      </c>
      <c r="F25" s="250">
        <f t="shared" ref="F25:F30" si="8">100*((B25/B13)-1)</f>
        <v>42.260294559663336</v>
      </c>
      <c r="G25" s="250"/>
      <c r="H25" s="236">
        <f t="shared" si="0"/>
        <v>1.8308049862666389</v>
      </c>
    </row>
    <row r="26" spans="1:8" ht="15.75">
      <c r="A26" s="237">
        <v>37196</v>
      </c>
      <c r="B26" s="239">
        <f>+geral!E692</f>
        <v>43</v>
      </c>
      <c r="C26" s="248">
        <f t="shared" si="2"/>
        <v>123.7410071942446</v>
      </c>
      <c r="D26" s="248">
        <f t="shared" si="7"/>
        <v>-9.1485315867314565</v>
      </c>
      <c r="E26" s="248">
        <f t="shared" si="6"/>
        <v>15.436241610738266</v>
      </c>
      <c r="F26" s="250">
        <f t="shared" si="8"/>
        <v>6.8322981366459645</v>
      </c>
      <c r="G26" s="250"/>
      <c r="H26" s="236">
        <f t="shared" si="0"/>
        <v>2.0151627906976746</v>
      </c>
    </row>
    <row r="27" spans="1:8" ht="15.75">
      <c r="A27" s="237">
        <v>37226</v>
      </c>
      <c r="B27" s="239">
        <f>+geral!E693</f>
        <v>39</v>
      </c>
      <c r="C27" s="248">
        <f t="shared" si="2"/>
        <v>112.23021582733813</v>
      </c>
      <c r="D27" s="248">
        <f t="shared" si="7"/>
        <v>-9.3023255813953547</v>
      </c>
      <c r="E27" s="248">
        <f t="shared" si="6"/>
        <v>4.6979865771812124</v>
      </c>
      <c r="F27" s="250">
        <f t="shared" si="8"/>
        <v>4.6979865771812124</v>
      </c>
      <c r="G27" s="250"/>
      <c r="H27" s="236">
        <f t="shared" si="0"/>
        <v>2.2218461538461542</v>
      </c>
    </row>
    <row r="28" spans="1:8" ht="15.75">
      <c r="A28" s="237">
        <v>37257</v>
      </c>
      <c r="B28" s="239">
        <f>+geral!G682</f>
        <v>43</v>
      </c>
      <c r="C28" s="248">
        <f t="shared" si="2"/>
        <v>123.7410071942446</v>
      </c>
      <c r="D28" s="248">
        <f t="shared" si="7"/>
        <v>10.256410256410264</v>
      </c>
      <c r="E28" s="248">
        <f t="shared" ref="E28:E33" si="9">100*((B28/$B$27)-1)</f>
        <v>10.256410256410264</v>
      </c>
      <c r="F28" s="250">
        <f t="shared" si="8"/>
        <v>10.53984575835476</v>
      </c>
      <c r="G28" s="250"/>
      <c r="H28" s="236">
        <f t="shared" si="0"/>
        <v>2.0151627906976746</v>
      </c>
    </row>
    <row r="29" spans="1:8" ht="15.75">
      <c r="A29" s="237">
        <v>37288</v>
      </c>
      <c r="B29" s="239">
        <f>+geral!G683</f>
        <v>42.6</v>
      </c>
      <c r="C29" s="248">
        <f t="shared" si="2"/>
        <v>122.58992805755396</v>
      </c>
      <c r="D29" s="248">
        <f t="shared" ref="D29:D34" si="10">100*((B29/B28)-1)</f>
        <v>-0.9302325581395321</v>
      </c>
      <c r="E29" s="248">
        <f t="shared" si="9"/>
        <v>9.2307692307692424</v>
      </c>
      <c r="F29" s="250">
        <f t="shared" si="8"/>
        <v>7.8481012658227822</v>
      </c>
      <c r="G29" s="250"/>
      <c r="H29" s="236">
        <f t="shared" si="0"/>
        <v>2.034084507042254</v>
      </c>
    </row>
    <row r="30" spans="1:8" ht="15.75">
      <c r="A30" s="237">
        <v>37316</v>
      </c>
      <c r="B30" s="239">
        <f>+geral!G684</f>
        <v>43.48</v>
      </c>
      <c r="C30" s="248">
        <f t="shared" si="2"/>
        <v>125.12230215827338</v>
      </c>
      <c r="D30" s="248">
        <f t="shared" si="10"/>
        <v>2.0657276995305063</v>
      </c>
      <c r="E30" s="248">
        <f t="shared" si="9"/>
        <v>11.487179487179478</v>
      </c>
      <c r="F30" s="250">
        <f t="shared" si="8"/>
        <v>3.5238095238095068</v>
      </c>
      <c r="G30" s="250"/>
      <c r="H30" s="236">
        <f t="shared" si="0"/>
        <v>1.9929162833486664</v>
      </c>
    </row>
    <row r="31" spans="1:8" ht="15.75">
      <c r="A31" s="237">
        <v>37347</v>
      </c>
      <c r="B31" s="239">
        <f>+geral!G685</f>
        <v>49.2</v>
      </c>
      <c r="C31" s="248">
        <f t="shared" si="2"/>
        <v>141.58273381294964</v>
      </c>
      <c r="D31" s="248">
        <f t="shared" si="10"/>
        <v>13.155473781048777</v>
      </c>
      <c r="E31" s="248">
        <f t="shared" si="9"/>
        <v>26.153846153846171</v>
      </c>
      <c r="F31" s="250">
        <f t="shared" ref="F31:F36" si="11">100*((B31/B19)-1)</f>
        <v>32.258064516129025</v>
      </c>
      <c r="G31" s="250">
        <f>100*(B31/B7-1)</f>
        <v>41.582733812949655</v>
      </c>
      <c r="H31" s="236">
        <f t="shared" si="0"/>
        <v>1.7612195121951222</v>
      </c>
    </row>
    <row r="32" spans="1:8" ht="15.75">
      <c r="A32" s="237">
        <v>37377</v>
      </c>
      <c r="B32" s="239">
        <f>+geral!G686</f>
        <v>50.6</v>
      </c>
      <c r="C32" s="248">
        <f t="shared" si="2"/>
        <v>145.6115107913669</v>
      </c>
      <c r="D32" s="248">
        <f t="shared" si="10"/>
        <v>2.8455284552845406</v>
      </c>
      <c r="E32" s="248">
        <f t="shared" si="9"/>
        <v>29.743589743589748</v>
      </c>
      <c r="F32" s="250">
        <f t="shared" si="11"/>
        <v>40.555555555555564</v>
      </c>
      <c r="G32" s="250">
        <f t="shared" ref="G32:G40" si="12">100*(B32/B8-1)</f>
        <v>47.392950771919608</v>
      </c>
      <c r="H32" s="236">
        <f t="shared" si="0"/>
        <v>1.7124901185770753</v>
      </c>
    </row>
    <row r="33" spans="1:8" ht="15.75">
      <c r="A33" s="237">
        <v>37408</v>
      </c>
      <c r="B33" s="239">
        <f>+geral!G687</f>
        <v>47.75</v>
      </c>
      <c r="C33" s="248">
        <f t="shared" si="2"/>
        <v>137.41007194244605</v>
      </c>
      <c r="D33" s="248">
        <f t="shared" si="10"/>
        <v>-5.6324110671936767</v>
      </c>
      <c r="E33" s="248">
        <f t="shared" si="9"/>
        <v>22.435897435897445</v>
      </c>
      <c r="F33" s="250">
        <f t="shared" si="11"/>
        <v>14.234449760765555</v>
      </c>
      <c r="G33" s="250">
        <f t="shared" si="12"/>
        <v>30.821917808219169</v>
      </c>
      <c r="H33" s="236">
        <f t="shared" si="0"/>
        <v>1.8147015706806287</v>
      </c>
    </row>
    <row r="34" spans="1:8" ht="15.75">
      <c r="A34" s="237">
        <v>37438</v>
      </c>
      <c r="B34" s="239">
        <f>+geral!G688</f>
        <v>44.97</v>
      </c>
      <c r="C34" s="248">
        <f t="shared" si="2"/>
        <v>129.41007194244605</v>
      </c>
      <c r="D34" s="248">
        <f t="shared" si="10"/>
        <v>-5.8219895287958128</v>
      </c>
      <c r="E34" s="248">
        <f t="shared" ref="E34:E39" si="13">100*((B34/$B$27)-1)</f>
        <v>15.30769230769231</v>
      </c>
      <c r="F34" s="250">
        <f t="shared" si="11"/>
        <v>14.137055837563462</v>
      </c>
      <c r="G34" s="250">
        <f t="shared" si="12"/>
        <v>34.802158273381288</v>
      </c>
      <c r="H34" s="236">
        <f t="shared" si="0"/>
        <v>1.9268845897264848</v>
      </c>
    </row>
    <row r="35" spans="1:8" ht="15.75">
      <c r="A35" s="237">
        <v>37469</v>
      </c>
      <c r="B35" s="239">
        <f>+geral!G689</f>
        <v>49.13</v>
      </c>
      <c r="C35" s="248">
        <f t="shared" si="2"/>
        <v>141.38129496402877</v>
      </c>
      <c r="D35" s="248">
        <f t="shared" ref="D35:D40" si="14">100*((B35/B34)-1)</f>
        <v>9.2506115187903184</v>
      </c>
      <c r="E35" s="248">
        <f t="shared" si="13"/>
        <v>25.974358974358978</v>
      </c>
      <c r="F35" s="250">
        <f t="shared" si="11"/>
        <v>21.248766041460996</v>
      </c>
      <c r="G35" s="250">
        <f t="shared" si="12"/>
        <v>50.705521472392647</v>
      </c>
      <c r="H35" s="236">
        <f t="shared" si="0"/>
        <v>1.763728882556483</v>
      </c>
    </row>
    <row r="36" spans="1:8" ht="15.75">
      <c r="A36" s="237">
        <v>37500</v>
      </c>
      <c r="B36" s="239">
        <f>+geral!G690</f>
        <v>49</v>
      </c>
      <c r="C36" s="248">
        <f t="shared" si="2"/>
        <v>141.00719424460431</v>
      </c>
      <c r="D36" s="248">
        <f t="shared" si="14"/>
        <v>-0.26460411154081154</v>
      </c>
      <c r="E36" s="248">
        <f t="shared" si="13"/>
        <v>25.641025641025639</v>
      </c>
      <c r="F36" s="250">
        <f t="shared" si="11"/>
        <v>9.1314031180400832</v>
      </c>
      <c r="G36" s="250">
        <f t="shared" si="12"/>
        <v>30.076984337669231</v>
      </c>
      <c r="H36" s="236">
        <f t="shared" si="0"/>
        <v>1.7684081632653064</v>
      </c>
    </row>
    <row r="37" spans="1:8" ht="15.75">
      <c r="A37" s="237">
        <v>37530</v>
      </c>
      <c r="B37" s="239">
        <f>+geral!G691</f>
        <v>45.56</v>
      </c>
      <c r="C37" s="248">
        <f t="shared" si="2"/>
        <v>131.10791366906474</v>
      </c>
      <c r="D37" s="248">
        <f t="shared" si="14"/>
        <v>-7.0204081632653015</v>
      </c>
      <c r="E37" s="248">
        <f t="shared" si="13"/>
        <v>16.820512820512825</v>
      </c>
      <c r="F37" s="250">
        <f t="shared" ref="F37:F42" si="15">100*((B37/B25)-1)</f>
        <v>-3.7396999788717467</v>
      </c>
      <c r="G37" s="250">
        <f t="shared" si="12"/>
        <v>36.940186354072722</v>
      </c>
      <c r="H37" s="236">
        <f t="shared" si="0"/>
        <v>1.9019315188762074</v>
      </c>
    </row>
    <row r="38" spans="1:8" ht="15.75">
      <c r="A38" s="237">
        <v>37561</v>
      </c>
      <c r="B38" s="239">
        <f>+geral!G692</f>
        <v>56.5</v>
      </c>
      <c r="C38" s="248">
        <f t="shared" si="2"/>
        <v>162.58992805755395</v>
      </c>
      <c r="D38" s="248">
        <f t="shared" si="14"/>
        <v>24.012291483757675</v>
      </c>
      <c r="E38" s="248">
        <f t="shared" si="13"/>
        <v>44.871794871794869</v>
      </c>
      <c r="F38" s="250">
        <f t="shared" si="15"/>
        <v>31.395348837209291</v>
      </c>
      <c r="G38" s="250">
        <f t="shared" si="12"/>
        <v>40.372670807453417</v>
      </c>
      <c r="H38" s="236">
        <f t="shared" si="0"/>
        <v>1.5336637168141596</v>
      </c>
    </row>
    <row r="39" spans="1:8" ht="15.75">
      <c r="A39" s="237">
        <v>37591</v>
      </c>
      <c r="B39" s="239">
        <f>+geral!G693</f>
        <v>61.48</v>
      </c>
      <c r="C39" s="248">
        <f t="shared" si="2"/>
        <v>176.92086330935251</v>
      </c>
      <c r="D39" s="248">
        <f t="shared" si="14"/>
        <v>8.8141592920353951</v>
      </c>
      <c r="E39" s="248">
        <f t="shared" si="13"/>
        <v>57.641025641025621</v>
      </c>
      <c r="F39" s="250">
        <f t="shared" si="15"/>
        <v>57.641025641025621</v>
      </c>
      <c r="G39" s="250">
        <f t="shared" si="12"/>
        <v>65.046979865771817</v>
      </c>
      <c r="H39" s="236">
        <f t="shared" ref="H39:H70" si="16">$B$171/B39</f>
        <v>1.4094339622641512</v>
      </c>
    </row>
    <row r="40" spans="1:8" ht="15.75">
      <c r="A40" s="237">
        <v>37622</v>
      </c>
      <c r="B40" s="239">
        <f>+geral!I682</f>
        <v>53.85</v>
      </c>
      <c r="C40" s="248">
        <f t="shared" si="2"/>
        <v>154.96402877697841</v>
      </c>
      <c r="D40" s="248">
        <f t="shared" si="14"/>
        <v>-12.41054001301235</v>
      </c>
      <c r="E40" s="248">
        <f t="shared" ref="E40:E45" si="17">100*((B40/$B$39)-1)</f>
        <v>-12.41054001301235</v>
      </c>
      <c r="F40" s="250">
        <f t="shared" si="15"/>
        <v>25.232558139534888</v>
      </c>
      <c r="G40" s="250">
        <f t="shared" si="12"/>
        <v>38.431876606683815</v>
      </c>
      <c r="H40" s="236">
        <f t="shared" si="16"/>
        <v>1.6091364902506966</v>
      </c>
    </row>
    <row r="41" spans="1:8" ht="15.75">
      <c r="A41" s="237">
        <v>37653</v>
      </c>
      <c r="B41" s="239">
        <f>+geral!I683</f>
        <v>52.22</v>
      </c>
      <c r="C41" s="248">
        <f t="shared" si="2"/>
        <v>150.27338129496403</v>
      </c>
      <c r="D41" s="248">
        <f t="shared" ref="D41:D46" si="18">100*((B41/B40)-1)</f>
        <v>-3.0269266480965729</v>
      </c>
      <c r="E41" s="248">
        <f t="shared" si="17"/>
        <v>-15.061808718282366</v>
      </c>
      <c r="F41" s="250">
        <f t="shared" si="15"/>
        <v>22.582159624413144</v>
      </c>
      <c r="G41" s="250">
        <f t="shared" ref="G41:G46" si="19">100*(B41/B17-1)</f>
        <v>32.202531645569607</v>
      </c>
      <c r="H41" s="236">
        <f t="shared" si="16"/>
        <v>1.6593642282650329</v>
      </c>
    </row>
    <row r="42" spans="1:8" ht="15.75">
      <c r="A42" s="237">
        <v>37681</v>
      </c>
      <c r="B42" s="239">
        <f>+geral!I684</f>
        <v>58.2</v>
      </c>
      <c r="C42" s="248">
        <f t="shared" si="2"/>
        <v>167.4820143884892</v>
      </c>
      <c r="D42" s="248">
        <f t="shared" si="18"/>
        <v>11.451551129835313</v>
      </c>
      <c r="E42" s="248">
        <f t="shared" si="17"/>
        <v>-5.33506831489915</v>
      </c>
      <c r="F42" s="250">
        <f t="shared" si="15"/>
        <v>33.854645814167441</v>
      </c>
      <c r="G42" s="250">
        <f t="shared" si="19"/>
        <v>38.571428571428569</v>
      </c>
      <c r="H42" s="236">
        <f t="shared" si="16"/>
        <v>1.4888659793814434</v>
      </c>
    </row>
    <row r="43" spans="1:8" ht="15.75">
      <c r="A43" s="237">
        <v>37712</v>
      </c>
      <c r="B43" s="239">
        <f>+geral!I685</f>
        <v>63.2</v>
      </c>
      <c r="C43" s="248">
        <f t="shared" si="2"/>
        <v>181.87050359712231</v>
      </c>
      <c r="D43" s="248">
        <f t="shared" si="18"/>
        <v>8.5910652920962107</v>
      </c>
      <c r="E43" s="248">
        <f t="shared" si="17"/>
        <v>2.797657774886142</v>
      </c>
      <c r="F43" s="250">
        <f t="shared" ref="F43:F48" si="20">100*((B43/B31)-1)</f>
        <v>28.455284552845516</v>
      </c>
      <c r="G43" s="250">
        <f t="shared" si="19"/>
        <v>69.892473118279568</v>
      </c>
      <c r="H43" s="236">
        <f t="shared" si="16"/>
        <v>1.3710759493670888</v>
      </c>
    </row>
    <row r="44" spans="1:8" ht="15.75">
      <c r="A44" s="237">
        <v>37742</v>
      </c>
      <c r="B44" s="239">
        <f>+geral!I686</f>
        <v>58</v>
      </c>
      <c r="C44" s="248">
        <f t="shared" si="2"/>
        <v>166.9064748201439</v>
      </c>
      <c r="D44" s="248">
        <f t="shared" si="18"/>
        <v>-8.2278481012658222</v>
      </c>
      <c r="E44" s="248">
        <f t="shared" si="17"/>
        <v>-5.6603773584905648</v>
      </c>
      <c r="F44" s="250">
        <f t="shared" si="20"/>
        <v>14.624505928853759</v>
      </c>
      <c r="G44" s="250">
        <f t="shared" si="19"/>
        <v>61.111111111111114</v>
      </c>
      <c r="H44" s="236">
        <f t="shared" si="16"/>
        <v>1.4940000000000002</v>
      </c>
    </row>
    <row r="45" spans="1:8" ht="15.75">
      <c r="A45" s="237">
        <v>37773</v>
      </c>
      <c r="B45" s="239">
        <f>+geral!I687</f>
        <v>57.29</v>
      </c>
      <c r="C45" s="248">
        <f t="shared" si="2"/>
        <v>164.86330935251797</v>
      </c>
      <c r="D45" s="248">
        <f t="shared" si="18"/>
        <v>-1.2241379310344858</v>
      </c>
      <c r="E45" s="248">
        <f t="shared" si="17"/>
        <v>-6.8152244632400771</v>
      </c>
      <c r="F45" s="250">
        <f t="shared" si="20"/>
        <v>19.97905759162304</v>
      </c>
      <c r="G45" s="250">
        <f t="shared" si="19"/>
        <v>37.057416267942585</v>
      </c>
      <c r="H45" s="236">
        <f t="shared" si="16"/>
        <v>1.5125152731715834</v>
      </c>
    </row>
    <row r="46" spans="1:8" ht="15.75">
      <c r="A46" s="237">
        <v>37803</v>
      </c>
      <c r="B46" s="239">
        <f>+geral!I688</f>
        <v>62.8</v>
      </c>
      <c r="C46" s="248">
        <f t="shared" si="2"/>
        <v>180.71942446043167</v>
      </c>
      <c r="D46" s="248">
        <f t="shared" si="18"/>
        <v>9.6177343340897217</v>
      </c>
      <c r="E46" s="248">
        <f t="shared" ref="E46:E51" si="21">100*((B46/$B$39)-1)</f>
        <v>2.1470396877033116</v>
      </c>
      <c r="F46" s="250">
        <f t="shared" si="20"/>
        <v>39.648654658661322</v>
      </c>
      <c r="G46" s="250">
        <f t="shared" si="19"/>
        <v>59.390862944162429</v>
      </c>
      <c r="H46" s="236">
        <f t="shared" si="16"/>
        <v>1.3798089171974526</v>
      </c>
    </row>
    <row r="47" spans="1:8" ht="15.75">
      <c r="A47" s="237">
        <v>37834</v>
      </c>
      <c r="B47" s="239">
        <f>+geral!I689</f>
        <v>63.71</v>
      </c>
      <c r="C47" s="248">
        <f t="shared" si="2"/>
        <v>183.33812949640287</v>
      </c>
      <c r="D47" s="248">
        <f t="shared" ref="D47:D52" si="22">100*((B47/B46)-1)</f>
        <v>1.4490445859872692</v>
      </c>
      <c r="E47" s="248">
        <f t="shared" si="21"/>
        <v>3.6271958360442502</v>
      </c>
      <c r="F47" s="250">
        <f t="shared" si="20"/>
        <v>29.67636881742315</v>
      </c>
      <c r="G47" s="250">
        <f t="shared" ref="G47:G52" si="23">100*(B47/B23-1)</f>
        <v>57.230997038499495</v>
      </c>
      <c r="H47" s="236">
        <f t="shared" si="16"/>
        <v>1.3601004551875688</v>
      </c>
    </row>
    <row r="48" spans="1:8" ht="15.75">
      <c r="A48" s="237">
        <v>37865</v>
      </c>
      <c r="B48" s="239">
        <f>+geral!I690</f>
        <v>63.48</v>
      </c>
      <c r="C48" s="248">
        <f t="shared" si="2"/>
        <v>182.67625899280574</v>
      </c>
      <c r="D48" s="248">
        <f t="shared" si="22"/>
        <v>-0.36101083032491488</v>
      </c>
      <c r="E48" s="248">
        <f t="shared" si="21"/>
        <v>3.2530904359141077</v>
      </c>
      <c r="F48" s="250">
        <f t="shared" si="20"/>
        <v>29.551020408163264</v>
      </c>
      <c r="G48" s="250">
        <f t="shared" si="23"/>
        <v>41.380846325167028</v>
      </c>
      <c r="H48" s="236">
        <f t="shared" si="16"/>
        <v>1.365028355387524</v>
      </c>
    </row>
    <row r="49" spans="1:8" ht="15.75">
      <c r="A49" s="237">
        <v>37895</v>
      </c>
      <c r="B49" s="239">
        <f>+geral!I691</f>
        <v>63.37</v>
      </c>
      <c r="C49" s="248">
        <f t="shared" si="2"/>
        <v>182.35971223021582</v>
      </c>
      <c r="D49" s="248">
        <f t="shared" si="22"/>
        <v>-0.17328292375551335</v>
      </c>
      <c r="E49" s="248">
        <f t="shared" si="21"/>
        <v>3.0741704619388521</v>
      </c>
      <c r="F49" s="250">
        <f t="shared" ref="F49:F54" si="24">100*((B49/B37)-1)</f>
        <v>39.091308165057058</v>
      </c>
      <c r="G49" s="250">
        <f t="shared" si="23"/>
        <v>33.889710542995985</v>
      </c>
      <c r="H49" s="236">
        <f t="shared" si="16"/>
        <v>1.3673978223133978</v>
      </c>
    </row>
    <row r="50" spans="1:8" ht="16.7" customHeight="1">
      <c r="A50" s="237">
        <v>37926</v>
      </c>
      <c r="B50" s="239">
        <f>+geral!I692</f>
        <v>58.25</v>
      </c>
      <c r="C50" s="248">
        <f t="shared" si="2"/>
        <v>167.62589928057554</v>
      </c>
      <c r="D50" s="248">
        <f t="shared" si="22"/>
        <v>-8.0795329020040931</v>
      </c>
      <c r="E50" s="248">
        <f t="shared" si="21"/>
        <v>-5.253741054001293</v>
      </c>
      <c r="F50" s="250">
        <f t="shared" si="24"/>
        <v>3.0973451327433565</v>
      </c>
      <c r="G50" s="250">
        <f t="shared" si="23"/>
        <v>35.465116279069761</v>
      </c>
      <c r="H50" s="236">
        <f t="shared" si="16"/>
        <v>1.4875879828326184</v>
      </c>
    </row>
    <row r="51" spans="1:8" ht="15.75">
      <c r="A51" s="237">
        <v>37956</v>
      </c>
      <c r="B51" s="239">
        <f>+geral!I693</f>
        <v>53.8</v>
      </c>
      <c r="C51" s="248">
        <f t="shared" si="2"/>
        <v>154.82014388489208</v>
      </c>
      <c r="D51" s="248">
        <f t="shared" si="22"/>
        <v>-7.6394849785407786</v>
      </c>
      <c r="E51" s="248">
        <f t="shared" si="21"/>
        <v>-12.491867273910218</v>
      </c>
      <c r="F51" s="250">
        <f t="shared" si="24"/>
        <v>-12.491867273910218</v>
      </c>
      <c r="G51" s="250">
        <f t="shared" si="23"/>
        <v>37.948717948717949</v>
      </c>
      <c r="H51" s="236">
        <f t="shared" si="16"/>
        <v>1.6106319702602234</v>
      </c>
    </row>
    <row r="52" spans="1:8" ht="15.75">
      <c r="A52" s="237">
        <v>37987</v>
      </c>
      <c r="B52" s="239">
        <f>+geral!K682</f>
        <v>57.1</v>
      </c>
      <c r="C52" s="248">
        <f t="shared" si="2"/>
        <v>164.31654676258992</v>
      </c>
      <c r="D52" s="248">
        <f t="shared" si="22"/>
        <v>6.1338289962825421</v>
      </c>
      <c r="E52" s="248">
        <f t="shared" ref="E52:E57" si="25">100*((B52/$B$51)-1)</f>
        <v>6.1338289962825421</v>
      </c>
      <c r="F52" s="250">
        <f t="shared" si="24"/>
        <v>6.0352831940575724</v>
      </c>
      <c r="G52" s="250">
        <f t="shared" si="23"/>
        <v>32.790697674418603</v>
      </c>
      <c r="H52" s="236">
        <f t="shared" si="16"/>
        <v>1.5175481611208408</v>
      </c>
    </row>
    <row r="53" spans="1:8" ht="15.75">
      <c r="A53" s="237">
        <v>38018</v>
      </c>
      <c r="B53" s="239">
        <f>+geral!K683</f>
        <v>76.099999999999994</v>
      </c>
      <c r="C53" s="248">
        <f t="shared" si="2"/>
        <v>218.99280575539566</v>
      </c>
      <c r="D53" s="248">
        <f t="shared" ref="D53:D58" si="26">100*((B53/B52)-1)</f>
        <v>33.274956217162853</v>
      </c>
      <c r="E53" s="248">
        <f t="shared" si="25"/>
        <v>41.44981412639406</v>
      </c>
      <c r="F53" s="250">
        <f t="shared" si="24"/>
        <v>45.729605515128299</v>
      </c>
      <c r="G53" s="250">
        <f t="shared" ref="G53:G58" si="27">100*(B53/B29-1)</f>
        <v>78.638497652582146</v>
      </c>
      <c r="H53" s="236">
        <f t="shared" si="16"/>
        <v>1.1386596583442841</v>
      </c>
    </row>
    <row r="54" spans="1:8" ht="15.75">
      <c r="A54" s="237">
        <v>38047</v>
      </c>
      <c r="B54" s="239">
        <f>+geral!K684</f>
        <v>76.400000000000006</v>
      </c>
      <c r="C54" s="248">
        <f t="shared" si="2"/>
        <v>219.85611510791369</v>
      </c>
      <c r="D54" s="248">
        <f t="shared" si="26"/>
        <v>0.39421813403417438</v>
      </c>
      <c r="E54" s="248">
        <f t="shared" si="25"/>
        <v>42.007434944237929</v>
      </c>
      <c r="F54" s="250">
        <f t="shared" si="24"/>
        <v>31.27147766323024</v>
      </c>
      <c r="G54" s="250">
        <f t="shared" si="27"/>
        <v>75.712971481140784</v>
      </c>
      <c r="H54" s="236">
        <f t="shared" si="16"/>
        <v>1.1341884816753929</v>
      </c>
    </row>
    <row r="55" spans="1:8" ht="15.75">
      <c r="A55" s="237">
        <v>38078</v>
      </c>
      <c r="B55" s="239">
        <f>+geral!K685</f>
        <v>79.680000000000007</v>
      </c>
      <c r="C55" s="248">
        <f t="shared" si="2"/>
        <v>229.294964028777</v>
      </c>
      <c r="D55" s="248">
        <f t="shared" si="26"/>
        <v>4.293193717277477</v>
      </c>
      <c r="E55" s="248">
        <f t="shared" si="25"/>
        <v>48.104089219330874</v>
      </c>
      <c r="F55" s="250">
        <f t="shared" ref="F55:F60" si="28">100*((B55/B43)-1)</f>
        <v>26.075949367088612</v>
      </c>
      <c r="G55" s="250">
        <f t="shared" si="27"/>
        <v>61.951219512195131</v>
      </c>
      <c r="H55" s="236">
        <f t="shared" si="16"/>
        <v>1.0875000000000001</v>
      </c>
    </row>
    <row r="56" spans="1:8" ht="15.75">
      <c r="A56" s="237">
        <v>38108</v>
      </c>
      <c r="B56" s="239">
        <f>+geral!K686</f>
        <v>75.27</v>
      </c>
      <c r="C56" s="248">
        <f t="shared" si="2"/>
        <v>216.60431654676259</v>
      </c>
      <c r="D56" s="248">
        <f t="shared" si="26"/>
        <v>-5.5346385542168752</v>
      </c>
      <c r="E56" s="248">
        <f t="shared" si="25"/>
        <v>39.907063197026019</v>
      </c>
      <c r="F56" s="250">
        <f t="shared" si="28"/>
        <v>29.77586206896552</v>
      </c>
      <c r="G56" s="250">
        <f t="shared" si="27"/>
        <v>48.754940711462446</v>
      </c>
      <c r="H56" s="236">
        <f t="shared" si="16"/>
        <v>1.1512156237544842</v>
      </c>
    </row>
    <row r="57" spans="1:8" ht="15.75">
      <c r="A57" s="237">
        <v>38139</v>
      </c>
      <c r="B57" s="239">
        <f>+geral!K687</f>
        <v>75.8</v>
      </c>
      <c r="C57" s="248">
        <f t="shared" si="2"/>
        <v>218.12949640287769</v>
      </c>
      <c r="D57" s="248">
        <f t="shared" si="26"/>
        <v>0.70413179221469058</v>
      </c>
      <c r="E57" s="248">
        <f t="shared" si="25"/>
        <v>40.892193308550183</v>
      </c>
      <c r="F57" s="250">
        <f t="shared" si="28"/>
        <v>32.309303543375798</v>
      </c>
      <c r="G57" s="250">
        <f t="shared" si="27"/>
        <v>58.7434554973822</v>
      </c>
      <c r="H57" s="236">
        <f t="shared" si="16"/>
        <v>1.143166226912929</v>
      </c>
    </row>
    <row r="58" spans="1:8" ht="15.75">
      <c r="A58" s="237">
        <v>38169</v>
      </c>
      <c r="B58" s="239">
        <f>+geral!K688</f>
        <v>76.400000000000006</v>
      </c>
      <c r="C58" s="248">
        <f t="shared" si="2"/>
        <v>219.85611510791369</v>
      </c>
      <c r="D58" s="248">
        <f t="shared" si="26"/>
        <v>0.79155672823221224</v>
      </c>
      <c r="E58" s="248">
        <f t="shared" ref="E58:E63" si="29">100*((B58/$B$51)-1)</f>
        <v>42.007434944237929</v>
      </c>
      <c r="F58" s="250">
        <f t="shared" si="28"/>
        <v>21.656050955414031</v>
      </c>
      <c r="G58" s="250">
        <f t="shared" si="27"/>
        <v>69.891038470091189</v>
      </c>
      <c r="H58" s="236">
        <f t="shared" si="16"/>
        <v>1.1341884816753929</v>
      </c>
    </row>
    <row r="59" spans="1:8" ht="15.75">
      <c r="A59" s="237">
        <v>38200</v>
      </c>
      <c r="B59" s="239">
        <f>+geral!K689</f>
        <v>72.5</v>
      </c>
      <c r="C59" s="248">
        <f t="shared" si="2"/>
        <v>208.63309352517985</v>
      </c>
      <c r="D59" s="248">
        <f t="shared" ref="D59:D64" si="30">100*((B59/B58)-1)</f>
        <v>-5.1047120418848291</v>
      </c>
      <c r="E59" s="248">
        <f t="shared" si="29"/>
        <v>34.758364312267666</v>
      </c>
      <c r="F59" s="250">
        <f t="shared" si="28"/>
        <v>13.796892167634599</v>
      </c>
      <c r="G59" s="250">
        <f t="shared" ref="G59:G64" si="31">100*(B59/B35-1)</f>
        <v>47.56767759006717</v>
      </c>
      <c r="H59" s="236">
        <f t="shared" si="16"/>
        <v>1.1952000000000003</v>
      </c>
    </row>
    <row r="60" spans="1:8" ht="15.75">
      <c r="A60" s="237">
        <v>38231</v>
      </c>
      <c r="B60" s="239">
        <f>+geral!K690</f>
        <v>76.95</v>
      </c>
      <c r="C60" s="248">
        <f t="shared" si="2"/>
        <v>221.43884892086331</v>
      </c>
      <c r="D60" s="248">
        <f t="shared" si="30"/>
        <v>6.1379310344827687</v>
      </c>
      <c r="E60" s="248">
        <f t="shared" si="29"/>
        <v>43.029739776951679</v>
      </c>
      <c r="F60" s="250">
        <f t="shared" si="28"/>
        <v>21.219281663516078</v>
      </c>
      <c r="G60" s="250">
        <f t="shared" si="31"/>
        <v>57.040816326530617</v>
      </c>
      <c r="H60" s="236">
        <f t="shared" si="16"/>
        <v>1.1260818713450294</v>
      </c>
    </row>
    <row r="61" spans="1:8" ht="15.75">
      <c r="A61" s="237">
        <v>38261</v>
      </c>
      <c r="B61" s="239">
        <f>+geral!K691</f>
        <v>75</v>
      </c>
      <c r="C61" s="248">
        <f t="shared" si="2"/>
        <v>215.82733812949641</v>
      </c>
      <c r="D61" s="248">
        <f t="shared" si="30"/>
        <v>-2.5341130604288553</v>
      </c>
      <c r="E61" s="248">
        <f t="shared" si="29"/>
        <v>39.405204460966559</v>
      </c>
      <c r="F61" s="250">
        <f t="shared" ref="F61:F66" si="32">100*((B61/B49)-1)</f>
        <v>18.352532744200722</v>
      </c>
      <c r="G61" s="250">
        <f t="shared" si="31"/>
        <v>64.618086040386302</v>
      </c>
      <c r="H61" s="236">
        <f t="shared" si="16"/>
        <v>1.1553600000000002</v>
      </c>
    </row>
    <row r="62" spans="1:8" ht="15.75">
      <c r="A62" s="237">
        <v>38292</v>
      </c>
      <c r="B62" s="239">
        <f>+geral!K692</f>
        <v>72.75</v>
      </c>
      <c r="C62" s="248">
        <f t="shared" si="2"/>
        <v>209.35251798561151</v>
      </c>
      <c r="D62" s="248">
        <f t="shared" si="30"/>
        <v>-3.0000000000000027</v>
      </c>
      <c r="E62" s="248">
        <f t="shared" si="29"/>
        <v>35.223048327137562</v>
      </c>
      <c r="F62" s="250">
        <f t="shared" si="32"/>
        <v>24.892703862660937</v>
      </c>
      <c r="G62" s="250">
        <f t="shared" si="31"/>
        <v>28.761061946902643</v>
      </c>
      <c r="H62" s="236">
        <f t="shared" si="16"/>
        <v>1.1910927835051548</v>
      </c>
    </row>
    <row r="63" spans="1:8" ht="15.75">
      <c r="A63" s="237">
        <v>38322</v>
      </c>
      <c r="B63" s="239">
        <f>+geral!K693</f>
        <v>74.08</v>
      </c>
      <c r="C63" s="248">
        <f t="shared" si="2"/>
        <v>213.17985611510792</v>
      </c>
      <c r="D63" s="248">
        <f t="shared" si="30"/>
        <v>1.828178694158078</v>
      </c>
      <c r="E63" s="248">
        <f t="shared" si="29"/>
        <v>37.695167286245358</v>
      </c>
      <c r="F63" s="250">
        <f t="shared" si="32"/>
        <v>37.695167286245358</v>
      </c>
      <c r="G63" s="250">
        <f t="shared" si="31"/>
        <v>20.494469746258947</v>
      </c>
      <c r="H63" s="236">
        <f t="shared" si="16"/>
        <v>1.1697084233261341</v>
      </c>
    </row>
    <row r="64" spans="1:8" ht="15.75">
      <c r="A64" s="237">
        <v>38353</v>
      </c>
      <c r="B64" s="239">
        <f>+geral!M682</f>
        <v>74</v>
      </c>
      <c r="C64" s="248">
        <f t="shared" si="2"/>
        <v>212.9496402877698</v>
      </c>
      <c r="D64" s="248">
        <f t="shared" si="30"/>
        <v>-0.10799136069113979</v>
      </c>
      <c r="E64" s="248">
        <f t="shared" ref="E64:E69" si="33">100*((B64/$B$63)-1)</f>
        <v>-0.10799136069113979</v>
      </c>
      <c r="F64" s="250">
        <f t="shared" si="32"/>
        <v>29.597197898423811</v>
      </c>
      <c r="G64" s="250">
        <f t="shared" si="31"/>
        <v>37.41875580315692</v>
      </c>
      <c r="H64" s="236">
        <f t="shared" si="16"/>
        <v>1.1709729729729732</v>
      </c>
    </row>
    <row r="65" spans="1:8" ht="15.75">
      <c r="A65" s="238">
        <v>38384</v>
      </c>
      <c r="B65" s="239">
        <f>+geral!M683</f>
        <v>73.08</v>
      </c>
      <c r="C65" s="248">
        <f t="shared" si="2"/>
        <v>210.30215827338131</v>
      </c>
      <c r="D65" s="248">
        <f t="shared" ref="D65:D70" si="34">100*((B65/B64)-1)</f>
        <v>-1.2432432432432416</v>
      </c>
      <c r="E65" s="248">
        <f t="shared" si="33"/>
        <v>-1.3498920086393085</v>
      </c>
      <c r="F65" s="250">
        <f t="shared" si="32"/>
        <v>-3.9684625492772629</v>
      </c>
      <c r="G65" s="250">
        <f t="shared" ref="G65:G70" si="35">100*(B65/B41-1)</f>
        <v>39.946380697050941</v>
      </c>
      <c r="H65" s="236">
        <f t="shared" si="16"/>
        <v>1.1857142857142859</v>
      </c>
    </row>
    <row r="66" spans="1:8" ht="15.75">
      <c r="A66" s="237">
        <v>38412</v>
      </c>
      <c r="B66" s="239">
        <f>+geral!M684</f>
        <v>75.349999999999994</v>
      </c>
      <c r="C66" s="248">
        <f t="shared" si="2"/>
        <v>216.83453237410069</v>
      </c>
      <c r="D66" s="248">
        <f t="shared" si="34"/>
        <v>3.1061850027367166</v>
      </c>
      <c r="E66" s="248">
        <f t="shared" si="33"/>
        <v>1.7143628509719067</v>
      </c>
      <c r="F66" s="250">
        <f t="shared" si="32"/>
        <v>-1.3743455497382318</v>
      </c>
      <c r="G66" s="250">
        <f t="shared" si="35"/>
        <v>29.467353951890018</v>
      </c>
      <c r="H66" s="236">
        <f t="shared" si="16"/>
        <v>1.149993364299934</v>
      </c>
    </row>
    <row r="67" spans="1:8" ht="15.75">
      <c r="A67" s="237">
        <v>38443</v>
      </c>
      <c r="B67" s="239">
        <f>+geral!M685</f>
        <v>79.180000000000007</v>
      </c>
      <c r="C67" s="248">
        <f t="shared" si="2"/>
        <v>227.85611510791369</v>
      </c>
      <c r="D67" s="248">
        <f t="shared" si="34"/>
        <v>5.0829462508294787</v>
      </c>
      <c r="E67" s="248">
        <f t="shared" si="33"/>
        <v>6.8844492440604865</v>
      </c>
      <c r="F67" s="250">
        <f t="shared" ref="F67:F72" si="36">100*((B67/B55)-1)</f>
        <v>-0.62751004016063927</v>
      </c>
      <c r="G67" s="250">
        <f t="shared" si="35"/>
        <v>25.284810126582279</v>
      </c>
      <c r="H67" s="236">
        <f t="shared" si="16"/>
        <v>1.0943672644607225</v>
      </c>
    </row>
    <row r="68" spans="1:8" ht="15.75">
      <c r="A68" s="237">
        <v>38473</v>
      </c>
      <c r="B68" s="239">
        <f>+geral!M686</f>
        <v>75.34</v>
      </c>
      <c r="C68" s="248">
        <f t="shared" si="2"/>
        <v>216.80575539568346</v>
      </c>
      <c r="D68" s="248">
        <f t="shared" si="34"/>
        <v>-4.8497095226067266</v>
      </c>
      <c r="E68" s="248">
        <f t="shared" si="33"/>
        <v>1.7008639308855322</v>
      </c>
      <c r="F68" s="250">
        <f t="shared" si="36"/>
        <v>9.2998538594413205E-2</v>
      </c>
      <c r="G68" s="250">
        <f t="shared" si="35"/>
        <v>29.896551724137943</v>
      </c>
      <c r="H68" s="236">
        <f t="shared" si="16"/>
        <v>1.1501460047783383</v>
      </c>
    </row>
    <row r="69" spans="1:8" ht="15.75">
      <c r="A69" s="237">
        <v>38504</v>
      </c>
      <c r="B69" s="239">
        <f>+geral!M687</f>
        <v>75.680000000000007</v>
      </c>
      <c r="C69" s="248">
        <f t="shared" si="2"/>
        <v>217.78417266187054</v>
      </c>
      <c r="D69" s="248">
        <f t="shared" si="34"/>
        <v>0.45128749668170709</v>
      </c>
      <c r="E69" s="248">
        <f t="shared" si="33"/>
        <v>2.1598272138229069</v>
      </c>
      <c r="F69" s="250">
        <f t="shared" si="36"/>
        <v>-0.15831134564642246</v>
      </c>
      <c r="G69" s="250">
        <f t="shared" si="35"/>
        <v>32.099842904520884</v>
      </c>
      <c r="H69" s="236">
        <f t="shared" si="16"/>
        <v>1.1449788583509515</v>
      </c>
    </row>
    <row r="70" spans="1:8" ht="15.75">
      <c r="A70" s="237">
        <v>38534</v>
      </c>
      <c r="B70" s="239">
        <f>+geral!M688</f>
        <v>78.569999999999993</v>
      </c>
      <c r="C70" s="248">
        <f t="shared" si="2"/>
        <v>226.10071942446041</v>
      </c>
      <c r="D70" s="248">
        <f t="shared" si="34"/>
        <v>3.8187103594080174</v>
      </c>
      <c r="E70" s="248">
        <f t="shared" ref="E70:E75" si="37">100*((B70/$B$63)-1)</f>
        <v>6.0610151187904915</v>
      </c>
      <c r="F70" s="250">
        <f t="shared" si="36"/>
        <v>2.8403141361256434</v>
      </c>
      <c r="G70" s="250">
        <f t="shared" si="35"/>
        <v>25.111464968152863</v>
      </c>
      <c r="H70" s="236">
        <f t="shared" si="16"/>
        <v>1.102863688430699</v>
      </c>
    </row>
    <row r="71" spans="1:8" ht="15.75">
      <c r="A71" s="237">
        <v>38565</v>
      </c>
      <c r="B71" s="239">
        <f>+geral!M689</f>
        <v>74.400000000000006</v>
      </c>
      <c r="C71" s="248">
        <f t="shared" si="2"/>
        <v>214.10071942446046</v>
      </c>
      <c r="D71" s="248">
        <f t="shared" ref="D71:D76" si="38">100*((B71/B70)-1)</f>
        <v>-5.3073692248949866</v>
      </c>
      <c r="E71" s="248">
        <f t="shared" si="37"/>
        <v>0.43196544276458138</v>
      </c>
      <c r="F71" s="250">
        <f t="shared" si="36"/>
        <v>2.6206896551724146</v>
      </c>
      <c r="G71" s="250">
        <f t="shared" ref="G71:G76" si="39">100*(B71/B47-1)</f>
        <v>16.779155548579517</v>
      </c>
      <c r="H71" s="236">
        <f t="shared" ref="H71:H102" si="40">$B$171/B71</f>
        <v>1.1646774193548388</v>
      </c>
    </row>
    <row r="72" spans="1:8" ht="15.75">
      <c r="A72" s="237">
        <v>38596</v>
      </c>
      <c r="B72" s="239">
        <f>+geral!M690</f>
        <v>69.459999999999994</v>
      </c>
      <c r="C72" s="248">
        <f t="shared" si="2"/>
        <v>199.88489208633092</v>
      </c>
      <c r="D72" s="248">
        <f t="shared" si="38"/>
        <v>-6.6397849462365706</v>
      </c>
      <c r="E72" s="248">
        <f t="shared" si="37"/>
        <v>-6.236501079913614</v>
      </c>
      <c r="F72" s="250">
        <f t="shared" si="36"/>
        <v>-9.7335932423651794</v>
      </c>
      <c r="G72" s="250">
        <f t="shared" si="39"/>
        <v>9.4202898550724612</v>
      </c>
      <c r="H72" s="236">
        <f t="shared" si="40"/>
        <v>1.2475093579038299</v>
      </c>
    </row>
    <row r="73" spans="1:8" ht="15.75">
      <c r="A73" s="237">
        <v>38626</v>
      </c>
      <c r="B73" s="239">
        <f>+geral!M691</f>
        <v>75.86</v>
      </c>
      <c r="C73" s="248">
        <f t="shared" si="2"/>
        <v>218.30215827338131</v>
      </c>
      <c r="D73" s="248">
        <f t="shared" si="38"/>
        <v>9.2139360783184632</v>
      </c>
      <c r="E73" s="248">
        <f t="shared" si="37"/>
        <v>2.4028077753779797</v>
      </c>
      <c r="F73" s="250">
        <f t="shared" ref="F73:F78" si="41">100*((B73/B61)-1)</f>
        <v>1.1466666666666736</v>
      </c>
      <c r="G73" s="250">
        <f t="shared" si="39"/>
        <v>19.709641786334231</v>
      </c>
      <c r="H73" s="236">
        <f t="shared" si="40"/>
        <v>1.1422620616925918</v>
      </c>
    </row>
    <row r="74" spans="1:8" ht="15.75">
      <c r="A74" s="237">
        <v>38657</v>
      </c>
      <c r="B74" s="239">
        <f>+geral!M692</f>
        <v>75.81</v>
      </c>
      <c r="C74" s="248">
        <f t="shared" si="2"/>
        <v>218.15827338129498</v>
      </c>
      <c r="D74" s="248">
        <f t="shared" si="38"/>
        <v>-6.5910888478770691E-2</v>
      </c>
      <c r="E74" s="248">
        <f t="shared" si="37"/>
        <v>2.3353131749460188</v>
      </c>
      <c r="F74" s="250">
        <f t="shared" si="41"/>
        <v>4.2061855670103121</v>
      </c>
      <c r="G74" s="250">
        <f t="shared" si="39"/>
        <v>30.145922746781117</v>
      </c>
      <c r="H74" s="236">
        <f t="shared" si="40"/>
        <v>1.1430154333201425</v>
      </c>
    </row>
    <row r="75" spans="1:8" ht="15.75">
      <c r="A75" s="237">
        <v>38687</v>
      </c>
      <c r="B75" s="239">
        <f>+geral!M693</f>
        <v>75.64</v>
      </c>
      <c r="C75" s="248">
        <f t="shared" si="2"/>
        <v>217.66906474820144</v>
      </c>
      <c r="D75" s="248">
        <f t="shared" si="38"/>
        <v>-0.22424482258277534</v>
      </c>
      <c r="E75" s="248">
        <f t="shared" si="37"/>
        <v>2.1058315334773203</v>
      </c>
      <c r="F75" s="250">
        <f t="shared" si="41"/>
        <v>2.1058315334773203</v>
      </c>
      <c r="G75" s="250">
        <f t="shared" si="39"/>
        <v>40.59479553903347</v>
      </c>
      <c r="H75" s="236">
        <f t="shared" si="40"/>
        <v>1.1455843469063989</v>
      </c>
    </row>
    <row r="76" spans="1:8" ht="15.75">
      <c r="A76" s="237">
        <v>38718</v>
      </c>
      <c r="B76" s="248">
        <f>geral!C697</f>
        <v>74</v>
      </c>
      <c r="C76" s="248">
        <f t="shared" si="2"/>
        <v>212.9496402877698</v>
      </c>
      <c r="D76" s="248">
        <f t="shared" si="38"/>
        <v>-2.1681649920676893</v>
      </c>
      <c r="E76" s="248">
        <f t="shared" ref="E76:E81" si="42">100*((B76/$B$75)-1)</f>
        <v>-2.1681649920676893</v>
      </c>
      <c r="F76" s="250">
        <f t="shared" si="41"/>
        <v>0</v>
      </c>
      <c r="G76" s="250">
        <f t="shared" si="39"/>
        <v>29.597197898423811</v>
      </c>
      <c r="H76" s="236">
        <f t="shared" si="40"/>
        <v>1.1709729729729732</v>
      </c>
    </row>
    <row r="77" spans="1:8" ht="15.75">
      <c r="A77" s="237">
        <v>38749</v>
      </c>
      <c r="B77" s="248">
        <f>geral!C698</f>
        <v>56.16</v>
      </c>
      <c r="C77" s="248">
        <f t="shared" si="2"/>
        <v>161.6115107913669</v>
      </c>
      <c r="D77" s="248">
        <f t="shared" ref="D77:D82" si="43">100*((B77/B76)-1)</f>
        <v>-24.108108108108116</v>
      </c>
      <c r="E77" s="248">
        <f t="shared" si="42"/>
        <v>-25.753569539925969</v>
      </c>
      <c r="F77" s="250">
        <f t="shared" si="41"/>
        <v>-23.152709359605915</v>
      </c>
      <c r="G77" s="250">
        <f t="shared" ref="G77:G82" si="44">100*(B77/B53-1)</f>
        <v>-26.202365308804197</v>
      </c>
      <c r="H77" s="236">
        <f t="shared" si="40"/>
        <v>1.5429487179487182</v>
      </c>
    </row>
    <row r="78" spans="1:8" ht="15.75">
      <c r="A78" s="237">
        <v>38777</v>
      </c>
      <c r="B78" s="248">
        <f>geral!C699</f>
        <v>57</v>
      </c>
      <c r="C78" s="248">
        <f t="shared" si="2"/>
        <v>164.02877697841726</v>
      </c>
      <c r="D78" s="248">
        <f t="shared" si="43"/>
        <v>1.4957264957265126</v>
      </c>
      <c r="E78" s="248">
        <f t="shared" si="42"/>
        <v>-24.643046007403491</v>
      </c>
      <c r="F78" s="250">
        <f t="shared" si="41"/>
        <v>-24.353019243530184</v>
      </c>
      <c r="G78" s="250">
        <f t="shared" si="44"/>
        <v>-25.392670157068064</v>
      </c>
      <c r="H78" s="236">
        <f t="shared" si="40"/>
        <v>1.5202105263157897</v>
      </c>
    </row>
    <row r="79" spans="1:8" ht="15.75">
      <c r="A79" s="237">
        <v>38808</v>
      </c>
      <c r="B79" s="248">
        <f>geral!C700</f>
        <v>50.67</v>
      </c>
      <c r="C79" s="248">
        <f t="shared" si="2"/>
        <v>145.81294964028777</v>
      </c>
      <c r="D79" s="248">
        <f t="shared" si="43"/>
        <v>-11.105263157894729</v>
      </c>
      <c r="E79" s="248">
        <f t="shared" si="42"/>
        <v>-33.011634056054994</v>
      </c>
      <c r="F79" s="250">
        <f t="shared" ref="F79:F84" si="45">100*((B79/B67)-1)</f>
        <v>-36.006567314978533</v>
      </c>
      <c r="G79" s="250">
        <f t="shared" si="44"/>
        <v>-36.408132530120483</v>
      </c>
      <c r="H79" s="236">
        <f t="shared" si="40"/>
        <v>1.7101243339254</v>
      </c>
    </row>
    <row r="80" spans="1:8" ht="15.75">
      <c r="A80" s="237">
        <v>38838</v>
      </c>
      <c r="B80" s="248">
        <f>geral!C701</f>
        <v>51.38</v>
      </c>
      <c r="C80" s="248">
        <f t="shared" si="2"/>
        <v>147.85611510791367</v>
      </c>
      <c r="D80" s="248">
        <f t="shared" si="43"/>
        <v>1.4012236037102888</v>
      </c>
      <c r="E80" s="248">
        <f t="shared" si="42"/>
        <v>-32.072977260708612</v>
      </c>
      <c r="F80" s="250">
        <f t="shared" si="45"/>
        <v>-31.802495354393411</v>
      </c>
      <c r="G80" s="250">
        <f t="shared" si="44"/>
        <v>-31.739072671715153</v>
      </c>
      <c r="H80" s="236">
        <f t="shared" si="40"/>
        <v>1.6864927987543794</v>
      </c>
    </row>
    <row r="81" spans="1:10" ht="15.75">
      <c r="A81" s="237">
        <v>38869</v>
      </c>
      <c r="B81" s="248">
        <f>geral!C702</f>
        <v>49.4</v>
      </c>
      <c r="C81" s="248">
        <f t="shared" si="2"/>
        <v>142.15827338129498</v>
      </c>
      <c r="D81" s="248">
        <f t="shared" si="43"/>
        <v>-3.8536395484624397</v>
      </c>
      <c r="E81" s="248">
        <f t="shared" si="42"/>
        <v>-34.690639873083029</v>
      </c>
      <c r="F81" s="250">
        <f t="shared" si="45"/>
        <v>-34.725158562367874</v>
      </c>
      <c r="G81" s="250">
        <f t="shared" si="44"/>
        <v>-34.828496042216358</v>
      </c>
      <c r="H81" s="236">
        <f t="shared" si="40"/>
        <v>1.7540890688259112</v>
      </c>
    </row>
    <row r="82" spans="1:10" ht="15.75">
      <c r="A82" s="237">
        <v>38899</v>
      </c>
      <c r="B82" s="248">
        <f>geral!C703</f>
        <v>57.33</v>
      </c>
      <c r="C82" s="248">
        <f t="shared" si="2"/>
        <v>164.97841726618705</v>
      </c>
      <c r="D82" s="248">
        <f t="shared" si="43"/>
        <v>16.052631578947363</v>
      </c>
      <c r="E82" s="248">
        <f t="shared" ref="E82:E87" si="46">100*((B82/$B$75)-1)</f>
        <v>-24.206768905341093</v>
      </c>
      <c r="F82" s="250">
        <f t="shared" si="45"/>
        <v>-27.033218785796098</v>
      </c>
      <c r="G82" s="250">
        <f t="shared" si="44"/>
        <v>-24.960732984293198</v>
      </c>
      <c r="H82" s="236">
        <f t="shared" si="40"/>
        <v>1.5114599686028261</v>
      </c>
    </row>
    <row r="83" spans="1:10" ht="15.75">
      <c r="A83" s="237">
        <v>38930</v>
      </c>
      <c r="B83" s="248">
        <f>geral!C704</f>
        <v>53.18</v>
      </c>
      <c r="C83" s="248">
        <f t="shared" si="2"/>
        <v>153.03597122302159</v>
      </c>
      <c r="D83" s="248">
        <f t="shared" ref="D83:D88" si="47">100*((B83/B82)-1)</f>
        <v>-7.238792953078665</v>
      </c>
      <c r="E83" s="248">
        <f t="shared" si="46"/>
        <v>-29.693283976731887</v>
      </c>
      <c r="F83" s="250">
        <f t="shared" si="45"/>
        <v>-28.521505376344091</v>
      </c>
      <c r="G83" s="250">
        <f t="shared" ref="G83:G88" si="48">100*(B83/B59-1)</f>
        <v>-26.648275862068971</v>
      </c>
      <c r="H83" s="236">
        <f t="shared" si="40"/>
        <v>1.6294095524633323</v>
      </c>
    </row>
    <row r="84" spans="1:10" ht="15.75">
      <c r="A84" s="237">
        <v>38961</v>
      </c>
      <c r="B84" s="248">
        <f>geral!C705</f>
        <v>54.15</v>
      </c>
      <c r="C84" s="248">
        <f t="shared" si="2"/>
        <v>155.82733812949641</v>
      </c>
      <c r="D84" s="248">
        <f t="shared" si="47"/>
        <v>1.823993982700256</v>
      </c>
      <c r="E84" s="248">
        <f t="shared" si="46"/>
        <v>-28.410893707033313</v>
      </c>
      <c r="F84" s="250">
        <f t="shared" si="45"/>
        <v>-22.041462712352434</v>
      </c>
      <c r="G84" s="250">
        <f t="shared" si="48"/>
        <v>-29.62962962962964</v>
      </c>
      <c r="H84" s="236">
        <f t="shared" si="40"/>
        <v>1.6002216066481998</v>
      </c>
    </row>
    <row r="85" spans="1:10" ht="15.75">
      <c r="A85" s="237">
        <v>38991</v>
      </c>
      <c r="B85" s="248">
        <f>geral!C706</f>
        <v>55.5</v>
      </c>
      <c r="C85" s="248">
        <f t="shared" si="2"/>
        <v>159.71223021582733</v>
      </c>
      <c r="D85" s="248">
        <f t="shared" si="47"/>
        <v>2.4930747922437657</v>
      </c>
      <c r="E85" s="248">
        <f t="shared" si="46"/>
        <v>-26.626123744050766</v>
      </c>
      <c r="F85" s="250">
        <f t="shared" ref="F85:F90" si="49">100*((B85/B73)-1)</f>
        <v>-26.838913788557871</v>
      </c>
      <c r="G85" s="250">
        <f t="shared" si="48"/>
        <v>-26</v>
      </c>
      <c r="H85" s="236">
        <f t="shared" si="40"/>
        <v>1.5612972972972976</v>
      </c>
    </row>
    <row r="86" spans="1:10" ht="15.75">
      <c r="A86" s="237">
        <v>39022</v>
      </c>
      <c r="B86" s="248">
        <f>geral!C707</f>
        <v>57.64</v>
      </c>
      <c r="C86" s="248">
        <f t="shared" si="2"/>
        <v>165.87050359712231</v>
      </c>
      <c r="D86" s="248">
        <f t="shared" si="47"/>
        <v>3.8558558558558609</v>
      </c>
      <c r="E86" s="248">
        <f t="shared" si="46"/>
        <v>-23.796932839767315</v>
      </c>
      <c r="F86" s="250">
        <f t="shared" si="49"/>
        <v>-23.967814272523412</v>
      </c>
      <c r="G86" s="250">
        <f t="shared" si="48"/>
        <v>-20.769759450171822</v>
      </c>
      <c r="H86" s="236">
        <f t="shared" si="40"/>
        <v>1.5033310201249135</v>
      </c>
    </row>
    <row r="87" spans="1:10" ht="15.75">
      <c r="A87" s="237">
        <v>39052</v>
      </c>
      <c r="B87" s="248">
        <f>geral!C708</f>
        <v>54.6</v>
      </c>
      <c r="C87" s="248">
        <f t="shared" si="2"/>
        <v>157.12230215827338</v>
      </c>
      <c r="D87" s="248">
        <f t="shared" si="47"/>
        <v>-5.2741151977793166</v>
      </c>
      <c r="E87" s="248">
        <f t="shared" si="46"/>
        <v>-27.815970386039133</v>
      </c>
      <c r="F87" s="250">
        <f t="shared" si="49"/>
        <v>-27.815970386039133</v>
      </c>
      <c r="G87" s="250">
        <f t="shared" si="48"/>
        <v>-26.295896328293733</v>
      </c>
      <c r="H87" s="236">
        <f t="shared" si="40"/>
        <v>1.5870329670329673</v>
      </c>
    </row>
    <row r="88" spans="1:10" ht="15.75">
      <c r="A88" s="237">
        <v>39083</v>
      </c>
      <c r="B88" s="248">
        <f>geral!E697</f>
        <v>57.33</v>
      </c>
      <c r="C88" s="248">
        <f t="shared" ref="C88:C147" si="50">100*B88/$B$7</f>
        <v>164.97841726618705</v>
      </c>
      <c r="D88" s="248">
        <f t="shared" si="47"/>
        <v>5.0000000000000044</v>
      </c>
      <c r="E88" s="248">
        <f t="shared" ref="E88:E93" si="51">100*((B88/$B$87)-1)</f>
        <v>5.0000000000000044</v>
      </c>
      <c r="F88" s="250">
        <f t="shared" si="49"/>
        <v>-22.527027027027025</v>
      </c>
      <c r="G88" s="250">
        <f t="shared" si="48"/>
        <v>-22.527027027027025</v>
      </c>
      <c r="H88" s="236">
        <f t="shared" si="40"/>
        <v>1.5114599686028261</v>
      </c>
    </row>
    <row r="89" spans="1:10" ht="15.75">
      <c r="A89" s="237">
        <v>39114</v>
      </c>
      <c r="B89" s="248">
        <f>geral!E698</f>
        <v>54.64</v>
      </c>
      <c r="C89" s="248">
        <f t="shared" si="50"/>
        <v>157.23741007194243</v>
      </c>
      <c r="D89" s="248">
        <f t="shared" ref="D89:D99" si="52">100*((B89/B88)-1)</f>
        <v>-4.6921332635618267</v>
      </c>
      <c r="E89" s="248">
        <f t="shared" si="51"/>
        <v>7.3260073260073E-2</v>
      </c>
      <c r="F89" s="250">
        <f t="shared" si="49"/>
        <v>-2.7065527065527006</v>
      </c>
      <c r="G89" s="250">
        <f t="shared" ref="G89:G99" si="53">100*(B89/B65-1)</f>
        <v>-25.23262178434592</v>
      </c>
      <c r="H89" s="236">
        <f t="shared" si="40"/>
        <v>1.5858711566617865</v>
      </c>
    </row>
    <row r="90" spans="1:10" ht="15.75">
      <c r="A90" s="237">
        <v>39142</v>
      </c>
      <c r="B90" s="248">
        <f>geral!E699</f>
        <v>55.37</v>
      </c>
      <c r="C90" s="248">
        <f t="shared" si="50"/>
        <v>159.33812949640287</v>
      </c>
      <c r="D90" s="248">
        <f t="shared" si="52"/>
        <v>1.3360175695461107</v>
      </c>
      <c r="E90" s="248">
        <f t="shared" si="51"/>
        <v>1.4102564102564052</v>
      </c>
      <c r="F90" s="250">
        <f t="shared" si="49"/>
        <v>-2.8596491228070176</v>
      </c>
      <c r="G90" s="250">
        <f t="shared" si="53"/>
        <v>-26.516257465162575</v>
      </c>
      <c r="H90" s="236">
        <f t="shared" si="40"/>
        <v>1.5649629763409791</v>
      </c>
    </row>
    <row r="91" spans="1:10" ht="15.75">
      <c r="A91" s="237">
        <v>39173</v>
      </c>
      <c r="B91" s="248">
        <f>geral!E700</f>
        <v>57.6</v>
      </c>
      <c r="C91" s="248">
        <f t="shared" si="50"/>
        <v>165.75539568345323</v>
      </c>
      <c r="D91" s="248">
        <f t="shared" si="52"/>
        <v>4.0274516886400713</v>
      </c>
      <c r="E91" s="248">
        <f t="shared" si="51"/>
        <v>5.4945054945054972</v>
      </c>
      <c r="F91" s="250">
        <f t="shared" ref="F91:F99" si="54">100*((B91/B79)-1)</f>
        <v>13.676731793960917</v>
      </c>
      <c r="G91" s="250">
        <f t="shared" si="53"/>
        <v>-27.254357160899222</v>
      </c>
      <c r="H91" s="236">
        <f t="shared" si="40"/>
        <v>1.5043750000000002</v>
      </c>
    </row>
    <row r="92" spans="1:10" ht="15.75">
      <c r="A92" s="237">
        <v>39203</v>
      </c>
      <c r="B92" s="248">
        <f>geral!E701</f>
        <v>55.67</v>
      </c>
      <c r="C92" s="248">
        <f t="shared" si="50"/>
        <v>160.20143884892087</v>
      </c>
      <c r="D92" s="248">
        <f t="shared" si="52"/>
        <v>-3.3506944444444464</v>
      </c>
      <c r="E92" s="248">
        <f t="shared" si="51"/>
        <v>1.9597069597069527</v>
      </c>
      <c r="F92" s="250">
        <f t="shared" si="54"/>
        <v>8.3495523550019435</v>
      </c>
      <c r="G92" s="250">
        <f t="shared" si="53"/>
        <v>-26.108308999203611</v>
      </c>
      <c r="H92" s="236">
        <f t="shared" si="40"/>
        <v>1.5565295491287949</v>
      </c>
    </row>
    <row r="93" spans="1:10" ht="15.75">
      <c r="A93" s="237">
        <v>39234</v>
      </c>
      <c r="B93" s="248">
        <f>geral!E702</f>
        <v>59.4</v>
      </c>
      <c r="C93" s="248">
        <f t="shared" si="50"/>
        <v>170.93525179856115</v>
      </c>
      <c r="D93" s="248">
        <f t="shared" si="52"/>
        <v>6.7001975929585011</v>
      </c>
      <c r="E93" s="248">
        <f t="shared" si="51"/>
        <v>8.7912087912087813</v>
      </c>
      <c r="F93" s="250">
        <f t="shared" si="54"/>
        <v>20.242914979757074</v>
      </c>
      <c r="G93" s="250">
        <f t="shared" si="53"/>
        <v>-21.511627906976749</v>
      </c>
      <c r="H93" s="236">
        <f t="shared" si="40"/>
        <v>1.4587878787878792</v>
      </c>
    </row>
    <row r="94" spans="1:10" ht="15.75">
      <c r="A94" s="237">
        <v>39264</v>
      </c>
      <c r="B94" s="248">
        <f>geral!E703</f>
        <v>62</v>
      </c>
      <c r="C94" s="248">
        <f t="shared" si="50"/>
        <v>178.41726618705036</v>
      </c>
      <c r="D94" s="248">
        <f t="shared" si="52"/>
        <v>4.3771043771043905</v>
      </c>
      <c r="E94" s="248">
        <f t="shared" ref="E94:E99" si="55">100*((B94/$B$87)-1)</f>
        <v>13.553113553113549</v>
      </c>
      <c r="F94" s="250">
        <f t="shared" si="54"/>
        <v>8.14582243153672</v>
      </c>
      <c r="G94" s="250">
        <f t="shared" si="53"/>
        <v>-21.089474354079162</v>
      </c>
      <c r="H94" s="236">
        <f t="shared" si="40"/>
        <v>1.3976129032258067</v>
      </c>
      <c r="I94" s="215" t="s">
        <v>241</v>
      </c>
      <c r="J94" s="64"/>
    </row>
    <row r="95" spans="1:10" ht="15.75">
      <c r="A95" s="237">
        <v>39295</v>
      </c>
      <c r="B95" s="248">
        <f>geral!E704</f>
        <v>63</v>
      </c>
      <c r="C95" s="248">
        <f t="shared" si="50"/>
        <v>181.29496402877697</v>
      </c>
      <c r="D95" s="248">
        <f t="shared" si="52"/>
        <v>1.6129032258064502</v>
      </c>
      <c r="E95" s="248">
        <f t="shared" si="55"/>
        <v>15.384615384615374</v>
      </c>
      <c r="F95" s="250">
        <f t="shared" si="54"/>
        <v>18.465588567130496</v>
      </c>
      <c r="G95" s="250">
        <f t="shared" si="53"/>
        <v>-15.322580645161299</v>
      </c>
      <c r="H95" s="236">
        <f t="shared" si="40"/>
        <v>1.3754285714285717</v>
      </c>
    </row>
    <row r="96" spans="1:10" ht="15.75">
      <c r="A96" s="237">
        <v>39326</v>
      </c>
      <c r="B96" s="248">
        <f>geral!E705</f>
        <v>64</v>
      </c>
      <c r="C96" s="248">
        <f t="shared" si="50"/>
        <v>184.17266187050359</v>
      </c>
      <c r="D96" s="248">
        <f t="shared" si="52"/>
        <v>1.5873015873015817</v>
      </c>
      <c r="E96" s="248">
        <f t="shared" si="55"/>
        <v>17.216117216117222</v>
      </c>
      <c r="F96" s="250">
        <f t="shared" si="54"/>
        <v>18.190212373037863</v>
      </c>
      <c r="G96" s="250">
        <f t="shared" si="53"/>
        <v>-7.8606392168154233</v>
      </c>
      <c r="H96" s="236">
        <f t="shared" si="40"/>
        <v>1.3539375000000002</v>
      </c>
    </row>
    <row r="97" spans="1:8" ht="15.75">
      <c r="A97" s="237">
        <v>39356</v>
      </c>
      <c r="B97" s="248">
        <f>geral!E706</f>
        <v>63.428571428571431</v>
      </c>
      <c r="C97" s="248">
        <f t="shared" si="50"/>
        <v>182.52826310380269</v>
      </c>
      <c r="D97" s="248">
        <f t="shared" si="52"/>
        <v>-0.89285714285713969</v>
      </c>
      <c r="E97" s="248">
        <f t="shared" si="55"/>
        <v>16.169544740973318</v>
      </c>
      <c r="F97" s="250">
        <f t="shared" si="54"/>
        <v>14.285714285714279</v>
      </c>
      <c r="G97" s="250">
        <f t="shared" si="53"/>
        <v>-16.387330044066129</v>
      </c>
      <c r="H97" s="236">
        <f t="shared" si="40"/>
        <v>1.3661351351351354</v>
      </c>
    </row>
    <row r="98" spans="1:8" ht="15.75">
      <c r="A98" s="237">
        <v>39387</v>
      </c>
      <c r="B98" s="248">
        <f>geral!E707</f>
        <v>61.142857142857146</v>
      </c>
      <c r="C98" s="248">
        <f t="shared" si="50"/>
        <v>175.95066803699899</v>
      </c>
      <c r="D98" s="248">
        <f t="shared" si="52"/>
        <v>-3.6036036036036001</v>
      </c>
      <c r="E98" s="248">
        <f t="shared" si="55"/>
        <v>11.983254840397706</v>
      </c>
      <c r="F98" s="250">
        <f t="shared" si="54"/>
        <v>6.0771289778923432</v>
      </c>
      <c r="G98" s="250">
        <f t="shared" si="53"/>
        <v>-19.347240281154011</v>
      </c>
      <c r="H98" s="236">
        <f t="shared" si="40"/>
        <v>1.4172056074766357</v>
      </c>
    </row>
    <row r="99" spans="1:8" ht="15.75">
      <c r="A99" s="237">
        <v>39417</v>
      </c>
      <c r="B99" s="248">
        <f>geral!E708</f>
        <v>61</v>
      </c>
      <c r="C99" s="248">
        <f t="shared" si="50"/>
        <v>175.53956834532374</v>
      </c>
      <c r="D99" s="248">
        <f t="shared" si="52"/>
        <v>-0.23364485981308691</v>
      </c>
      <c r="E99" s="248">
        <f t="shared" si="55"/>
        <v>11.721611721611724</v>
      </c>
      <c r="F99" s="250">
        <f t="shared" si="54"/>
        <v>11.721611721611724</v>
      </c>
      <c r="G99" s="250">
        <f t="shared" si="53"/>
        <v>-19.354838709677423</v>
      </c>
      <c r="H99" s="236">
        <f t="shared" si="40"/>
        <v>1.4205245901639347</v>
      </c>
    </row>
    <row r="100" spans="1:8" ht="15.75">
      <c r="A100" s="237">
        <v>39448</v>
      </c>
      <c r="B100" s="248">
        <f>geral!G697</f>
        <v>59.08</v>
      </c>
      <c r="C100" s="248">
        <f t="shared" si="50"/>
        <v>170.01438848920864</v>
      </c>
      <c r="D100" s="248">
        <f t="shared" ref="D100:D105" si="56">100*((B100/B99)-1)</f>
        <v>-3.147540983606556</v>
      </c>
      <c r="E100" s="248">
        <f t="shared" ref="E100:E105" si="57">100*((B100/$B$99)-1)</f>
        <v>-3.147540983606556</v>
      </c>
      <c r="F100" s="250">
        <f t="shared" ref="F100:F105" si="58">100*((B100/B88)-1)</f>
        <v>3.0525030525030417</v>
      </c>
      <c r="G100" s="250">
        <f t="shared" ref="G100:G105" si="59">100*(B100/B76-1)</f>
        <v>-20.162162162162168</v>
      </c>
      <c r="H100" s="236">
        <f t="shared" si="40"/>
        <v>1.4666892349356808</v>
      </c>
    </row>
    <row r="101" spans="1:8" ht="15.75">
      <c r="A101" s="237">
        <v>39479</v>
      </c>
      <c r="B101" s="248">
        <f>geral!G698</f>
        <v>59.566666666666663</v>
      </c>
      <c r="C101" s="248">
        <f t="shared" si="50"/>
        <v>171.41486810551558</v>
      </c>
      <c r="D101" s="248">
        <f t="shared" si="56"/>
        <v>0.82374181900248811</v>
      </c>
      <c r="E101" s="248">
        <f t="shared" si="57"/>
        <v>-2.3497267759562956</v>
      </c>
      <c r="F101" s="250">
        <f t="shared" si="58"/>
        <v>9.0165934602244988</v>
      </c>
      <c r="G101" s="250">
        <f t="shared" si="59"/>
        <v>6.0660018993352383</v>
      </c>
      <c r="H101" s="236">
        <f t="shared" si="40"/>
        <v>1.4547062115277003</v>
      </c>
    </row>
    <row r="102" spans="1:8" ht="15.75">
      <c r="A102" s="237">
        <v>39508</v>
      </c>
      <c r="B102" s="248">
        <f>geral!G699</f>
        <v>61.233333333333327</v>
      </c>
      <c r="C102" s="248">
        <f t="shared" si="50"/>
        <v>176.21103117505993</v>
      </c>
      <c r="D102" s="248">
        <f t="shared" si="56"/>
        <v>2.7979854504756485</v>
      </c>
      <c r="E102" s="248">
        <f t="shared" si="57"/>
        <v>0.38251366120216623</v>
      </c>
      <c r="F102" s="250">
        <f t="shared" si="58"/>
        <v>10.589368490759131</v>
      </c>
      <c r="G102" s="250">
        <f t="shared" si="59"/>
        <v>7.4269005847953151</v>
      </c>
      <c r="H102" s="236">
        <f t="shared" si="40"/>
        <v>1.4151115949918349</v>
      </c>
    </row>
    <row r="103" spans="1:8" ht="15.75">
      <c r="A103" s="237">
        <v>39539</v>
      </c>
      <c r="B103" s="248">
        <f>geral!G700</f>
        <v>60.571428571428569</v>
      </c>
      <c r="C103" s="248">
        <f t="shared" si="50"/>
        <v>174.30626927029803</v>
      </c>
      <c r="D103" s="248">
        <f t="shared" si="56"/>
        <v>-1.0809549731705337</v>
      </c>
      <c r="E103" s="248">
        <f t="shared" si="57"/>
        <v>-0.70257611241217877</v>
      </c>
      <c r="F103" s="250">
        <f t="shared" si="58"/>
        <v>5.1587301587301626</v>
      </c>
      <c r="G103" s="250">
        <f t="shared" si="59"/>
        <v>19.541007640474774</v>
      </c>
      <c r="H103" s="236">
        <f t="shared" ref="H103:H134" si="60">$B$171/B103</f>
        <v>1.4305754716981136</v>
      </c>
    </row>
    <row r="104" spans="1:8" ht="14.25" customHeight="1">
      <c r="A104" s="237">
        <v>39569</v>
      </c>
      <c r="B104" s="248">
        <f>geral!G701</f>
        <v>63.2</v>
      </c>
      <c r="C104" s="248">
        <f t="shared" si="50"/>
        <v>181.87050359712231</v>
      </c>
      <c r="D104" s="248">
        <f t="shared" si="56"/>
        <v>4.3396226415094441</v>
      </c>
      <c r="E104" s="248">
        <f t="shared" si="57"/>
        <v>3.6065573770491799</v>
      </c>
      <c r="F104" s="250">
        <f t="shared" si="58"/>
        <v>13.526136159511415</v>
      </c>
      <c r="G104" s="250">
        <f t="shared" si="59"/>
        <v>23.005060334760596</v>
      </c>
      <c r="H104" s="236">
        <f t="shared" si="60"/>
        <v>1.3710759493670888</v>
      </c>
    </row>
    <row r="105" spans="1:8" ht="15.75">
      <c r="A105" s="237">
        <v>39600</v>
      </c>
      <c r="B105" s="248">
        <f>geral!G702</f>
        <v>60</v>
      </c>
      <c r="C105" s="248">
        <f t="shared" si="50"/>
        <v>172.66187050359713</v>
      </c>
      <c r="D105" s="248">
        <f t="shared" si="56"/>
        <v>-5.0632911392405111</v>
      </c>
      <c r="E105" s="248">
        <f t="shared" si="57"/>
        <v>-1.6393442622950838</v>
      </c>
      <c r="F105" s="250">
        <f t="shared" si="58"/>
        <v>1.0101010101010166</v>
      </c>
      <c r="G105" s="250">
        <f t="shared" si="59"/>
        <v>21.457489878542525</v>
      </c>
      <c r="H105" s="236">
        <f t="shared" si="60"/>
        <v>1.4442000000000002</v>
      </c>
    </row>
    <row r="106" spans="1:8" ht="15.75">
      <c r="A106" s="237">
        <v>39630</v>
      </c>
      <c r="B106" s="248">
        <f>geral!G703</f>
        <v>61.142857142857146</v>
      </c>
      <c r="C106" s="248">
        <f t="shared" si="50"/>
        <v>175.95066803699899</v>
      </c>
      <c r="D106" s="248">
        <f t="shared" ref="D106:D111" si="61">100*((B106/B105)-1)</f>
        <v>1.9047619047619202</v>
      </c>
      <c r="E106" s="248">
        <f t="shared" ref="E106:E111" si="62">100*((B106/$B$99)-1)</f>
        <v>0.23419203747072626</v>
      </c>
      <c r="F106" s="250">
        <f t="shared" ref="F106:F111" si="63">100*((B106/B94)-1)</f>
        <v>-1.3824884792626668</v>
      </c>
      <c r="G106" s="250">
        <f t="shared" ref="G106:G111" si="64">100*(B106/B82-1)</f>
        <v>6.6507188956168584</v>
      </c>
      <c r="H106" s="236">
        <f t="shared" si="60"/>
        <v>1.4172056074766357</v>
      </c>
    </row>
    <row r="107" spans="1:8" ht="15.75">
      <c r="A107" s="237">
        <v>39661</v>
      </c>
      <c r="B107" s="248">
        <f>geral!G704</f>
        <v>62.057142857142857</v>
      </c>
      <c r="C107" s="248">
        <f t="shared" si="50"/>
        <v>178.58170606372045</v>
      </c>
      <c r="D107" s="248">
        <f t="shared" si="61"/>
        <v>1.495327102803734</v>
      </c>
      <c r="E107" s="248">
        <f t="shared" si="62"/>
        <v>1.7330210772833698</v>
      </c>
      <c r="F107" s="250">
        <f t="shared" si="63"/>
        <v>-1.4965986394557818</v>
      </c>
      <c r="G107" s="250">
        <f t="shared" si="64"/>
        <v>16.692634180411538</v>
      </c>
      <c r="H107" s="236">
        <f t="shared" si="60"/>
        <v>1.396325966850829</v>
      </c>
    </row>
    <row r="108" spans="1:8" ht="15.75">
      <c r="A108" s="237">
        <v>39692</v>
      </c>
      <c r="B108" s="248">
        <f>geral!G705</f>
        <v>63.36</v>
      </c>
      <c r="C108" s="248">
        <f t="shared" si="50"/>
        <v>182.33093525179856</v>
      </c>
      <c r="D108" s="248">
        <f t="shared" si="61"/>
        <v>2.0994475138121471</v>
      </c>
      <c r="E108" s="248">
        <f t="shared" si="62"/>
        <v>3.8688524590164031</v>
      </c>
      <c r="F108" s="250">
        <f t="shared" si="63"/>
        <v>-1.0000000000000009</v>
      </c>
      <c r="G108" s="250">
        <f t="shared" si="64"/>
        <v>17.008310249307492</v>
      </c>
      <c r="H108" s="236">
        <f t="shared" si="60"/>
        <v>1.3676136363636366</v>
      </c>
    </row>
    <row r="109" spans="1:8" ht="15.75">
      <c r="A109" s="237">
        <v>39722</v>
      </c>
      <c r="B109" s="248">
        <f>geral!G706</f>
        <v>64.542857142857144</v>
      </c>
      <c r="C109" s="248">
        <f t="shared" si="50"/>
        <v>185.73484069886948</v>
      </c>
      <c r="D109" s="248">
        <f t="shared" si="61"/>
        <v>1.8668831168831224</v>
      </c>
      <c r="E109" s="248">
        <f t="shared" si="62"/>
        <v>5.8079625292740023</v>
      </c>
      <c r="F109" s="250">
        <f t="shared" si="63"/>
        <v>1.7567567567567499</v>
      </c>
      <c r="G109" s="250">
        <f t="shared" si="64"/>
        <v>16.293436293436294</v>
      </c>
      <c r="H109" s="236">
        <f t="shared" si="60"/>
        <v>1.3425498007968129</v>
      </c>
    </row>
    <row r="110" spans="1:8" ht="15.75">
      <c r="A110" s="237">
        <v>39753</v>
      </c>
      <c r="B110" s="248">
        <f>geral!G707</f>
        <v>65.2</v>
      </c>
      <c r="C110" s="248">
        <f t="shared" si="50"/>
        <v>187.62589928057554</v>
      </c>
      <c r="D110" s="248">
        <f t="shared" si="61"/>
        <v>1.0181496237273047</v>
      </c>
      <c r="E110" s="248">
        <f t="shared" si="62"/>
        <v>6.8852459016393475</v>
      </c>
      <c r="F110" s="250">
        <f t="shared" si="63"/>
        <v>6.6355140186915795</v>
      </c>
      <c r="G110" s="250">
        <f t="shared" si="64"/>
        <v>13.115891741845953</v>
      </c>
      <c r="H110" s="236">
        <f t="shared" si="60"/>
        <v>1.3290184049079756</v>
      </c>
    </row>
    <row r="111" spans="1:8" ht="15.75">
      <c r="A111" s="237">
        <v>39783</v>
      </c>
      <c r="B111" s="248">
        <f>geral!G708</f>
        <v>65.785714285714292</v>
      </c>
      <c r="C111" s="248">
        <f t="shared" si="50"/>
        <v>189.31140801644401</v>
      </c>
      <c r="D111" s="248">
        <f t="shared" si="61"/>
        <v>0.89833479404031191</v>
      </c>
      <c r="E111" s="248">
        <f t="shared" si="62"/>
        <v>7.8454332552693407</v>
      </c>
      <c r="F111" s="250">
        <f t="shared" si="63"/>
        <v>7.8454332552693407</v>
      </c>
      <c r="G111" s="250">
        <f t="shared" si="64"/>
        <v>20.486656200941923</v>
      </c>
      <c r="H111" s="236">
        <f t="shared" si="60"/>
        <v>1.3171856677524432</v>
      </c>
    </row>
    <row r="112" spans="1:8" ht="15.75">
      <c r="A112" s="237">
        <v>39814</v>
      </c>
      <c r="B112" s="248">
        <f>geral!I697</f>
        <v>65.2</v>
      </c>
      <c r="C112" s="248">
        <f t="shared" si="50"/>
        <v>187.62589928057554</v>
      </c>
      <c r="D112" s="251">
        <f t="shared" ref="D112:D117" si="65">100*((B112/B111)-1)</f>
        <v>-0.89033659066233284</v>
      </c>
      <c r="E112" s="251">
        <f t="shared" ref="E112:E117" si="66">100*((B112/$B$111)-1)</f>
        <v>-0.89033659066233284</v>
      </c>
      <c r="F112" s="250">
        <f t="shared" ref="F112:F117" si="67">100*((B112/B100)-1)</f>
        <v>10.358835477318905</v>
      </c>
      <c r="G112" s="250">
        <f t="shared" ref="G112:G117" si="68">100*(B112/B88-1)</f>
        <v>13.727542298970885</v>
      </c>
      <c r="H112" s="236">
        <f t="shared" si="60"/>
        <v>1.3290184049079756</v>
      </c>
    </row>
    <row r="113" spans="1:8" ht="15.75">
      <c r="A113" s="237">
        <v>39845</v>
      </c>
      <c r="B113" s="248">
        <f>geral!I698</f>
        <v>66</v>
      </c>
      <c r="C113" s="248">
        <f t="shared" si="50"/>
        <v>189.92805755395685</v>
      </c>
      <c r="D113" s="251">
        <f t="shared" si="65"/>
        <v>1.2269938650306678</v>
      </c>
      <c r="E113" s="251">
        <f t="shared" si="66"/>
        <v>0.32573289902280145</v>
      </c>
      <c r="F113" s="250">
        <f t="shared" si="67"/>
        <v>10.800223838836054</v>
      </c>
      <c r="G113" s="250">
        <f t="shared" si="68"/>
        <v>20.79062957540263</v>
      </c>
      <c r="H113" s="236">
        <f t="shared" si="60"/>
        <v>1.3129090909090912</v>
      </c>
    </row>
    <row r="114" spans="1:8" ht="15.75">
      <c r="A114" s="237">
        <v>39873</v>
      </c>
      <c r="B114" s="248">
        <f>geral!I699</f>
        <v>65.400000000000006</v>
      </c>
      <c r="C114" s="248">
        <f t="shared" si="50"/>
        <v>188.2014388489209</v>
      </c>
      <c r="D114" s="251">
        <f t="shared" si="65"/>
        <v>-0.90909090909090384</v>
      </c>
      <c r="E114" s="251">
        <f t="shared" si="66"/>
        <v>-0.58631921824103816</v>
      </c>
      <c r="F114" s="250">
        <f t="shared" si="67"/>
        <v>6.8045726728361622</v>
      </c>
      <c r="G114" s="250">
        <f t="shared" si="68"/>
        <v>18.114502438143411</v>
      </c>
      <c r="H114" s="236">
        <f t="shared" si="60"/>
        <v>1.3249541284403672</v>
      </c>
    </row>
    <row r="115" spans="1:8" ht="15.75">
      <c r="A115" s="237">
        <v>39904</v>
      </c>
      <c r="B115" s="248">
        <f>geral!I700</f>
        <v>66</v>
      </c>
      <c r="C115" s="248">
        <f t="shared" si="50"/>
        <v>189.92805755395685</v>
      </c>
      <c r="D115" s="251">
        <f t="shared" si="65"/>
        <v>0.91743119266054496</v>
      </c>
      <c r="E115" s="251">
        <f t="shared" si="66"/>
        <v>0.32573289902280145</v>
      </c>
      <c r="F115" s="250">
        <f t="shared" si="67"/>
        <v>8.9622641509434118</v>
      </c>
      <c r="G115" s="250">
        <f t="shared" si="68"/>
        <v>14.583333333333325</v>
      </c>
      <c r="H115" s="236">
        <f t="shared" si="60"/>
        <v>1.3129090909090912</v>
      </c>
    </row>
    <row r="116" spans="1:8" ht="15.75">
      <c r="A116" s="237">
        <v>39934</v>
      </c>
      <c r="B116" s="248">
        <f>geral!I701</f>
        <v>66</v>
      </c>
      <c r="C116" s="248">
        <f t="shared" si="50"/>
        <v>189.92805755395685</v>
      </c>
      <c r="D116" s="251">
        <f t="shared" si="65"/>
        <v>0</v>
      </c>
      <c r="E116" s="251">
        <f t="shared" si="66"/>
        <v>0.32573289902280145</v>
      </c>
      <c r="F116" s="250">
        <f t="shared" si="67"/>
        <v>4.4303797468354444</v>
      </c>
      <c r="G116" s="250">
        <f t="shared" si="68"/>
        <v>18.555775103287232</v>
      </c>
      <c r="H116" s="236">
        <f t="shared" si="60"/>
        <v>1.3129090909090912</v>
      </c>
    </row>
    <row r="117" spans="1:8" ht="15.75">
      <c r="A117" s="237">
        <v>39965</v>
      </c>
      <c r="B117" s="248">
        <f>geral!I702</f>
        <v>66.142857142857139</v>
      </c>
      <c r="C117" s="248">
        <f t="shared" si="50"/>
        <v>190.33915724563204</v>
      </c>
      <c r="D117" s="251">
        <f t="shared" si="65"/>
        <v>0.21645021645020357</v>
      </c>
      <c r="E117" s="251">
        <f t="shared" si="66"/>
        <v>0.54288816503798021</v>
      </c>
      <c r="F117" s="250">
        <f t="shared" si="67"/>
        <v>10.238095238095223</v>
      </c>
      <c r="G117" s="250">
        <f t="shared" si="68"/>
        <v>11.351611351611357</v>
      </c>
      <c r="H117" s="236">
        <f t="shared" si="60"/>
        <v>1.3100734341252702</v>
      </c>
    </row>
    <row r="118" spans="1:8" ht="15.75">
      <c r="A118" s="237">
        <v>39995</v>
      </c>
      <c r="B118" s="248">
        <f>geral!I703</f>
        <v>65.7</v>
      </c>
      <c r="C118" s="248">
        <f t="shared" si="50"/>
        <v>189.06474820143885</v>
      </c>
      <c r="D118" s="251">
        <f t="shared" ref="D118:D123" si="69">100*((B118/B117)-1)</f>
        <v>-0.66954643628508448</v>
      </c>
      <c r="E118" s="251">
        <f t="shared" ref="E118:E123" si="70">100*((B118/$B$111)-1)</f>
        <v>-0.13029315960912946</v>
      </c>
      <c r="F118" s="250">
        <f t="shared" ref="F118:F123" si="71">100*((B118/B106)-1)</f>
        <v>7.4532710280373893</v>
      </c>
      <c r="G118" s="250">
        <f t="shared" ref="G118:G123" si="72">100*(B118/B94-1)</f>
        <v>5.9677419354838834</v>
      </c>
      <c r="H118" s="236">
        <f t="shared" si="60"/>
        <v>1.3189041095890413</v>
      </c>
    </row>
    <row r="119" spans="1:8" ht="15.75">
      <c r="A119" s="237">
        <v>40026</v>
      </c>
      <c r="B119" s="248">
        <f>geral!I704</f>
        <v>67</v>
      </c>
      <c r="C119" s="248">
        <f t="shared" si="50"/>
        <v>192.80575539568346</v>
      </c>
      <c r="D119" s="251">
        <f t="shared" si="69"/>
        <v>1.9786910197869156</v>
      </c>
      <c r="E119" s="251">
        <f t="shared" si="70"/>
        <v>1.8458197611292082</v>
      </c>
      <c r="F119" s="250">
        <f t="shared" si="71"/>
        <v>7.9650092081031243</v>
      </c>
      <c r="G119" s="250">
        <f t="shared" si="72"/>
        <v>6.3492063492063489</v>
      </c>
      <c r="H119" s="236">
        <f t="shared" si="60"/>
        <v>1.2933134328358211</v>
      </c>
    </row>
    <row r="120" spans="1:8" ht="15.75">
      <c r="A120" s="237">
        <v>40057</v>
      </c>
      <c r="B120" s="248">
        <f>geral!I705</f>
        <v>67</v>
      </c>
      <c r="C120" s="248">
        <f t="shared" si="50"/>
        <v>192.80575539568346</v>
      </c>
      <c r="D120" s="251">
        <f t="shared" si="69"/>
        <v>0</v>
      </c>
      <c r="E120" s="251">
        <f t="shared" si="70"/>
        <v>1.8458197611292082</v>
      </c>
      <c r="F120" s="250">
        <f t="shared" si="71"/>
        <v>5.7449494949495028</v>
      </c>
      <c r="G120" s="250">
        <f t="shared" si="72"/>
        <v>4.6875</v>
      </c>
      <c r="H120" s="236">
        <f t="shared" si="60"/>
        <v>1.2933134328358211</v>
      </c>
    </row>
    <row r="121" spans="1:8" ht="15.75">
      <c r="A121" s="237">
        <v>40087</v>
      </c>
      <c r="B121" s="248">
        <f>geral!I706</f>
        <v>67.16</v>
      </c>
      <c r="C121" s="248">
        <f t="shared" si="50"/>
        <v>193.26618705035972</v>
      </c>
      <c r="D121" s="251">
        <f t="shared" si="69"/>
        <v>0.23880597014924732</v>
      </c>
      <c r="E121" s="251">
        <f t="shared" si="70"/>
        <v>2.0890336590662084</v>
      </c>
      <c r="F121" s="250">
        <f t="shared" si="71"/>
        <v>4.0548915449313716</v>
      </c>
      <c r="G121" s="250">
        <f t="shared" si="72"/>
        <v>5.8828828828828783</v>
      </c>
      <c r="H121" s="236">
        <f t="shared" si="60"/>
        <v>1.2902322811197144</v>
      </c>
    </row>
    <row r="122" spans="1:8" ht="15.75">
      <c r="A122" s="237">
        <v>40118</v>
      </c>
      <c r="B122" s="248">
        <f>geral!I707</f>
        <v>67</v>
      </c>
      <c r="C122" s="248">
        <f t="shared" si="50"/>
        <v>192.80575539568346</v>
      </c>
      <c r="D122" s="251">
        <f t="shared" si="69"/>
        <v>-0.23823704586062311</v>
      </c>
      <c r="E122" s="251">
        <f t="shared" si="70"/>
        <v>1.8458197611292082</v>
      </c>
      <c r="F122" s="250">
        <f t="shared" si="71"/>
        <v>2.7607361963190247</v>
      </c>
      <c r="G122" s="250">
        <f t="shared" si="72"/>
        <v>9.5794392523364422</v>
      </c>
      <c r="H122" s="236">
        <f t="shared" si="60"/>
        <v>1.2933134328358211</v>
      </c>
    </row>
    <row r="123" spans="1:8" ht="15.75">
      <c r="A123" s="237">
        <v>40148</v>
      </c>
      <c r="B123" s="248">
        <f>geral!I708</f>
        <v>67.14</v>
      </c>
      <c r="C123" s="248">
        <f t="shared" si="50"/>
        <v>193.20863309352518</v>
      </c>
      <c r="D123" s="251">
        <f t="shared" si="69"/>
        <v>0.2089552238806025</v>
      </c>
      <c r="E123" s="251">
        <f t="shared" si="70"/>
        <v>2.0586319218240945</v>
      </c>
      <c r="F123" s="250">
        <f t="shared" si="71"/>
        <v>2.0586319218240945</v>
      </c>
      <c r="G123" s="250">
        <f t="shared" si="72"/>
        <v>10.065573770491799</v>
      </c>
      <c r="H123" s="236">
        <f t="shared" si="60"/>
        <v>1.2906166219839144</v>
      </c>
    </row>
    <row r="124" spans="1:8" ht="15.75">
      <c r="A124" s="237">
        <v>40179</v>
      </c>
      <c r="B124" s="248">
        <f>geral!K697</f>
        <v>67.14</v>
      </c>
      <c r="C124" s="248">
        <f t="shared" si="50"/>
        <v>193.20863309352518</v>
      </c>
      <c r="D124" s="251">
        <f t="shared" ref="D124:D129" si="73">100*((B124/B123)-1)</f>
        <v>0</v>
      </c>
      <c r="E124" s="251">
        <f t="shared" ref="E124:E129" si="74">100*((B124/$B$123)-1)</f>
        <v>0</v>
      </c>
      <c r="F124" s="250">
        <f t="shared" ref="F124:F129" si="75">100*((B124/B112)-1)</f>
        <v>2.9754601226993804</v>
      </c>
      <c r="G124" s="250">
        <f t="shared" ref="G124:G129" si="76">100*(B124/B100-1)</f>
        <v>13.642518618821931</v>
      </c>
      <c r="H124" s="236">
        <f t="shared" si="60"/>
        <v>1.2906166219839144</v>
      </c>
    </row>
    <row r="125" spans="1:8" ht="15.75">
      <c r="A125" s="237">
        <v>40210</v>
      </c>
      <c r="B125" s="248">
        <f>geral!K698</f>
        <v>68.516666666666666</v>
      </c>
      <c r="C125" s="248">
        <f t="shared" si="50"/>
        <v>197.17026378896884</v>
      </c>
      <c r="D125" s="251">
        <f t="shared" si="73"/>
        <v>2.0504418627742993</v>
      </c>
      <c r="E125" s="251">
        <f t="shared" si="74"/>
        <v>2.0504418627742993</v>
      </c>
      <c r="F125" s="250">
        <f t="shared" si="75"/>
        <v>3.8131313131313016</v>
      </c>
      <c r="G125" s="250">
        <f t="shared" si="76"/>
        <v>15.025181869054283</v>
      </c>
      <c r="H125" s="236">
        <f t="shared" si="60"/>
        <v>1.2646849914862566</v>
      </c>
    </row>
    <row r="126" spans="1:8" ht="15.75">
      <c r="A126" s="237">
        <v>40238</v>
      </c>
      <c r="B126" s="248">
        <f>geral!K699</f>
        <v>68.516666666666666</v>
      </c>
      <c r="C126" s="248">
        <f t="shared" si="50"/>
        <v>197.17026378896884</v>
      </c>
      <c r="D126" s="251">
        <f t="shared" si="73"/>
        <v>0</v>
      </c>
      <c r="E126" s="251">
        <f t="shared" si="74"/>
        <v>2.0504418627742993</v>
      </c>
      <c r="F126" s="250">
        <f t="shared" si="75"/>
        <v>4.7655453618756338</v>
      </c>
      <c r="G126" s="250">
        <f t="shared" si="76"/>
        <v>11.894393032117589</v>
      </c>
      <c r="H126" s="236">
        <f t="shared" si="60"/>
        <v>1.2646849914862566</v>
      </c>
    </row>
    <row r="127" spans="1:8" ht="15.75">
      <c r="A127" s="237">
        <v>40269</v>
      </c>
      <c r="B127" s="248">
        <f>geral!K700</f>
        <v>67.180000000000007</v>
      </c>
      <c r="C127" s="248">
        <f t="shared" si="50"/>
        <v>193.32374100719426</v>
      </c>
      <c r="D127" s="251">
        <f t="shared" si="73"/>
        <v>-1.9508635368523319</v>
      </c>
      <c r="E127" s="251">
        <f t="shared" si="74"/>
        <v>5.9577003276745089E-2</v>
      </c>
      <c r="F127" s="250">
        <f t="shared" si="75"/>
        <v>1.7878787878788049</v>
      </c>
      <c r="G127" s="250">
        <f t="shared" si="76"/>
        <v>10.910377358490585</v>
      </c>
      <c r="H127" s="236">
        <f t="shared" si="60"/>
        <v>1.289848169097946</v>
      </c>
    </row>
    <row r="128" spans="1:8" ht="15.75">
      <c r="A128" s="237">
        <v>40299</v>
      </c>
      <c r="B128" s="248">
        <f>geral!K701</f>
        <v>71.78</v>
      </c>
      <c r="C128" s="248">
        <f t="shared" si="50"/>
        <v>206.56115107913669</v>
      </c>
      <c r="D128" s="251">
        <f t="shared" si="73"/>
        <v>6.8472759749925505</v>
      </c>
      <c r="E128" s="251">
        <f t="shared" si="74"/>
        <v>6.9109323801012756</v>
      </c>
      <c r="F128" s="250">
        <f t="shared" si="75"/>
        <v>8.7575757575757649</v>
      </c>
      <c r="G128" s="250">
        <f t="shared" si="76"/>
        <v>13.575949367088613</v>
      </c>
      <c r="H128" s="236">
        <f t="shared" si="60"/>
        <v>1.2071886319309002</v>
      </c>
    </row>
    <row r="129" spans="1:8" ht="15.75">
      <c r="A129" s="237">
        <v>40330</v>
      </c>
      <c r="B129" s="248">
        <f>geral!K702</f>
        <v>65.183333333333337</v>
      </c>
      <c r="C129" s="248">
        <f t="shared" si="50"/>
        <v>187.57793764988011</v>
      </c>
      <c r="D129" s="251">
        <f t="shared" si="73"/>
        <v>-9.1901179530045507</v>
      </c>
      <c r="E129" s="251">
        <f t="shared" si="74"/>
        <v>-2.9143084102869588</v>
      </c>
      <c r="F129" s="250">
        <f t="shared" si="75"/>
        <v>-1.4506839452843701</v>
      </c>
      <c r="G129" s="250">
        <f t="shared" si="76"/>
        <v>8.6388888888888857</v>
      </c>
      <c r="H129" s="236">
        <f t="shared" si="60"/>
        <v>1.3293582204039889</v>
      </c>
    </row>
    <row r="130" spans="1:8" ht="15.75">
      <c r="A130" s="237">
        <v>40360</v>
      </c>
      <c r="B130" s="248">
        <f>geral!K703</f>
        <v>78.209999999999994</v>
      </c>
      <c r="C130" s="248">
        <f t="shared" si="50"/>
        <v>225.06474820143882</v>
      </c>
      <c r="D130" s="251">
        <f t="shared" ref="D130:D135" si="77">100*((B130/B129)-1)</f>
        <v>19.984658655075414</v>
      </c>
      <c r="E130" s="251">
        <f t="shared" ref="E130:E135" si="78">100*((B130/$B$123)-1)</f>
        <v>16.487935656836463</v>
      </c>
      <c r="F130" s="250">
        <f t="shared" ref="F130:F135" si="79">100*((B130/B118)-1)</f>
        <v>19.041095890410944</v>
      </c>
      <c r="G130" s="250">
        <f t="shared" ref="G130:G135" si="80">100*(B130/B106-1)</f>
        <v>27.913551401869153</v>
      </c>
      <c r="H130" s="236">
        <f t="shared" si="60"/>
        <v>1.1079401611047184</v>
      </c>
    </row>
    <row r="131" spans="1:8" ht="15.75">
      <c r="A131" s="237">
        <v>40391</v>
      </c>
      <c r="B131" s="248">
        <f>geral!K704</f>
        <v>79.981666666666669</v>
      </c>
      <c r="C131" s="248">
        <f t="shared" si="50"/>
        <v>230.1630695443645</v>
      </c>
      <c r="D131" s="251">
        <f t="shared" si="77"/>
        <v>2.2652687209649303</v>
      </c>
      <c r="E131" s="251">
        <f t="shared" si="78"/>
        <v>19.126700426968533</v>
      </c>
      <c r="F131" s="250">
        <f t="shared" si="79"/>
        <v>19.375621890547269</v>
      </c>
      <c r="G131" s="250">
        <f t="shared" si="80"/>
        <v>28.883901166359728</v>
      </c>
      <c r="H131" s="236">
        <f t="shared" si="60"/>
        <v>1.0833982787722187</v>
      </c>
    </row>
    <row r="132" spans="1:8" ht="15.75">
      <c r="A132" s="237">
        <v>40422</v>
      </c>
      <c r="B132" s="248">
        <f>geral!K705</f>
        <v>83.378</v>
      </c>
      <c r="C132" s="248">
        <f t="shared" si="50"/>
        <v>239.93669064748198</v>
      </c>
      <c r="D132" s="251">
        <f t="shared" si="77"/>
        <v>4.2463897976619647</v>
      </c>
      <c r="E132" s="251">
        <f t="shared" si="78"/>
        <v>24.185284480190639</v>
      </c>
      <c r="F132" s="250">
        <f t="shared" si="79"/>
        <v>24.444776119402988</v>
      </c>
      <c r="G132" s="250">
        <f t="shared" si="80"/>
        <v>31.594065656565661</v>
      </c>
      <c r="H132" s="236">
        <f t="shared" si="60"/>
        <v>1.0392669529132388</v>
      </c>
    </row>
    <row r="133" spans="1:8" ht="15.75">
      <c r="A133" s="237">
        <v>40452</v>
      </c>
      <c r="B133" s="248">
        <f>geral!K706</f>
        <v>83.28</v>
      </c>
      <c r="C133" s="248">
        <f t="shared" si="50"/>
        <v>239.65467625899279</v>
      </c>
      <c r="D133" s="251">
        <f t="shared" si="77"/>
        <v>-0.11753700016791102</v>
      </c>
      <c r="E133" s="251">
        <f t="shared" si="78"/>
        <v>24.039320822162647</v>
      </c>
      <c r="F133" s="250">
        <f t="shared" si="79"/>
        <v>24.002382370458619</v>
      </c>
      <c r="G133" s="250">
        <f t="shared" si="80"/>
        <v>29.030544488711808</v>
      </c>
      <c r="H133" s="236">
        <f t="shared" si="60"/>
        <v>1.0404899135446688</v>
      </c>
    </row>
    <row r="134" spans="1:8" ht="15.75">
      <c r="A134" s="237">
        <v>40483</v>
      </c>
      <c r="B134" s="248">
        <f>geral!K707</f>
        <v>79.481999999999999</v>
      </c>
      <c r="C134" s="248">
        <f t="shared" si="50"/>
        <v>228.72517985611509</v>
      </c>
      <c r="D134" s="251">
        <f t="shared" si="77"/>
        <v>-4.5605187319884717</v>
      </c>
      <c r="E134" s="251">
        <f t="shared" si="78"/>
        <v>18.382484361036646</v>
      </c>
      <c r="F134" s="250">
        <f t="shared" si="79"/>
        <v>18.629850746268662</v>
      </c>
      <c r="G134" s="250">
        <f t="shared" si="80"/>
        <v>21.904907975460119</v>
      </c>
      <c r="H134" s="236">
        <f t="shared" si="60"/>
        <v>1.0902091039480639</v>
      </c>
    </row>
    <row r="135" spans="1:8" ht="15.75">
      <c r="A135" s="237">
        <v>40513</v>
      </c>
      <c r="B135" s="248">
        <f>geral!K708</f>
        <v>83.478333333333339</v>
      </c>
      <c r="C135" s="248">
        <f t="shared" si="50"/>
        <v>240.2254196642686</v>
      </c>
      <c r="D135" s="251">
        <f t="shared" si="77"/>
        <v>5.027972790485058</v>
      </c>
      <c r="E135" s="251">
        <f t="shared" si="78"/>
        <v>24.334723463409791</v>
      </c>
      <c r="F135" s="250">
        <f t="shared" si="79"/>
        <v>24.334723463409791</v>
      </c>
      <c r="G135" s="250">
        <f t="shared" si="80"/>
        <v>26.894317770539256</v>
      </c>
      <c r="H135" s="236">
        <f t="shared" ref="H135:H164" si="81">$B$171/B135</f>
        <v>1.0380178489428395</v>
      </c>
    </row>
    <row r="136" spans="1:8" ht="15.75">
      <c r="A136" s="237">
        <v>40544</v>
      </c>
      <c r="B136" s="248">
        <f>geral!M697</f>
        <v>87.174000000000007</v>
      </c>
      <c r="C136" s="248">
        <f t="shared" si="50"/>
        <v>250.86043165467629</v>
      </c>
      <c r="D136" s="251">
        <f t="shared" ref="D136:D141" si="82">100*((B136/B135)-1)</f>
        <v>4.4270968514784181</v>
      </c>
      <c r="E136" s="251">
        <f t="shared" ref="E136:E141" si="83">100*((B136/$B$135)-1)</f>
        <v>4.4270968514784181</v>
      </c>
      <c r="F136" s="250">
        <f t="shared" ref="F136:F141" si="84">100*((B136/B124)-1)</f>
        <v>29.839142091152816</v>
      </c>
      <c r="G136" s="250">
        <f t="shared" ref="G136:G141" si="85">100*(B136/B112-1)</f>
        <v>33.702453987730067</v>
      </c>
      <c r="H136" s="236">
        <f t="shared" si="81"/>
        <v>0.99401197604790426</v>
      </c>
    </row>
    <row r="137" spans="1:8" ht="15.75">
      <c r="A137" s="237">
        <v>40575</v>
      </c>
      <c r="B137" s="248">
        <f>geral!M698</f>
        <v>87.174000000000007</v>
      </c>
      <c r="C137" s="248">
        <f t="shared" si="50"/>
        <v>250.86043165467629</v>
      </c>
      <c r="D137" s="251">
        <f t="shared" si="82"/>
        <v>0</v>
      </c>
      <c r="E137" s="251">
        <f t="shared" si="83"/>
        <v>4.4270968514784181</v>
      </c>
      <c r="F137" s="250">
        <f t="shared" si="84"/>
        <v>27.230357577231821</v>
      </c>
      <c r="G137" s="250">
        <f t="shared" si="85"/>
        <v>32.081818181818193</v>
      </c>
      <c r="H137" s="236">
        <f t="shared" si="81"/>
        <v>0.99401197604790426</v>
      </c>
    </row>
    <row r="138" spans="1:8" ht="15.75">
      <c r="A138" s="237">
        <v>40603</v>
      </c>
      <c r="B138" s="248">
        <f>geral!M699</f>
        <v>87.174000000000007</v>
      </c>
      <c r="C138" s="248">
        <f t="shared" si="50"/>
        <v>250.86043165467629</v>
      </c>
      <c r="D138" s="251">
        <f t="shared" si="82"/>
        <v>0</v>
      </c>
      <c r="E138" s="251">
        <f t="shared" si="83"/>
        <v>4.4270968514784181</v>
      </c>
      <c r="F138" s="250">
        <f t="shared" si="84"/>
        <v>27.230357577231821</v>
      </c>
      <c r="G138" s="250">
        <f t="shared" si="85"/>
        <v>33.293577981651381</v>
      </c>
      <c r="H138" s="236">
        <f t="shared" si="81"/>
        <v>0.99401197604790426</v>
      </c>
    </row>
    <row r="139" spans="1:8" ht="15.75">
      <c r="A139" s="237">
        <v>40634</v>
      </c>
      <c r="B139" s="248">
        <f>geral!M700</f>
        <v>87.174000000000007</v>
      </c>
      <c r="C139" s="248">
        <f t="shared" si="50"/>
        <v>250.86043165467629</v>
      </c>
      <c r="D139" s="251">
        <f t="shared" si="82"/>
        <v>0</v>
      </c>
      <c r="E139" s="251">
        <f t="shared" si="83"/>
        <v>4.4270968514784181</v>
      </c>
      <c r="F139" s="250">
        <f t="shared" si="84"/>
        <v>29.761833879130695</v>
      </c>
      <c r="G139" s="250">
        <f t="shared" si="85"/>
        <v>32.081818181818193</v>
      </c>
      <c r="H139" s="236">
        <f t="shared" si="81"/>
        <v>0.99401197604790426</v>
      </c>
    </row>
    <row r="140" spans="1:8" ht="15.75">
      <c r="A140" s="237">
        <v>40664</v>
      </c>
      <c r="B140" s="248">
        <f>geral!M701</f>
        <v>85.17</v>
      </c>
      <c r="C140" s="248">
        <f t="shared" si="50"/>
        <v>245.0935251798561</v>
      </c>
      <c r="D140" s="251">
        <f t="shared" si="82"/>
        <v>-2.298850574712652</v>
      </c>
      <c r="E140" s="251">
        <f t="shared" si="83"/>
        <v>2.0264739353524908</v>
      </c>
      <c r="F140" s="250">
        <f t="shared" si="84"/>
        <v>18.654221231540813</v>
      </c>
      <c r="G140" s="250">
        <f t="shared" si="85"/>
        <v>29.045454545454554</v>
      </c>
      <c r="H140" s="236">
        <f t="shared" si="81"/>
        <v>1.0174004931313845</v>
      </c>
    </row>
    <row r="141" spans="1:8" ht="15.75">
      <c r="A141" s="237">
        <v>40695</v>
      </c>
      <c r="B141" s="248">
        <f>geral!M702</f>
        <v>90.238333333333344</v>
      </c>
      <c r="C141" s="248">
        <f t="shared" si="50"/>
        <v>259.67865707434055</v>
      </c>
      <c r="D141" s="251">
        <f t="shared" si="82"/>
        <v>5.9508434112167885</v>
      </c>
      <c r="E141" s="251">
        <f t="shared" si="83"/>
        <v>8.0979096372312256</v>
      </c>
      <c r="F141" s="250">
        <f t="shared" si="84"/>
        <v>38.437739708514449</v>
      </c>
      <c r="G141" s="250">
        <f t="shared" si="85"/>
        <v>36.429445644348469</v>
      </c>
      <c r="H141" s="236">
        <f t="shared" si="81"/>
        <v>0.96025709694697381</v>
      </c>
    </row>
    <row r="142" spans="1:8" ht="15.75">
      <c r="A142" s="237">
        <v>40725</v>
      </c>
      <c r="B142" s="248">
        <f>geral!M703</f>
        <v>90.238333333333344</v>
      </c>
      <c r="C142" s="248">
        <f t="shared" si="50"/>
        <v>259.67865707434055</v>
      </c>
      <c r="D142" s="251">
        <f t="shared" ref="D142:D147" si="86">100*((B142/B141)-1)</f>
        <v>0</v>
      </c>
      <c r="E142" s="251">
        <f t="shared" ref="E142:E147" si="87">100*((B142/$B$135)-1)</f>
        <v>8.0979096372312256</v>
      </c>
      <c r="F142" s="250">
        <f t="shared" ref="F142:F147" si="88">100*((B142/B130)-1)</f>
        <v>15.379533733964145</v>
      </c>
      <c r="G142" s="250">
        <f t="shared" ref="G142:G147" si="89">100*(B142/B118-1)</f>
        <v>37.349061390157303</v>
      </c>
      <c r="H142" s="236">
        <f t="shared" si="81"/>
        <v>0.96025709694697381</v>
      </c>
    </row>
    <row r="143" spans="1:8" ht="15.75">
      <c r="A143" s="237">
        <v>40756</v>
      </c>
      <c r="B143" s="248">
        <f>geral!M704</f>
        <v>82.698000000000008</v>
      </c>
      <c r="C143" s="248">
        <f t="shared" si="50"/>
        <v>237.97985611510794</v>
      </c>
      <c r="D143" s="251">
        <f t="shared" si="86"/>
        <v>-8.3560201688122167</v>
      </c>
      <c r="E143" s="251">
        <f t="shared" si="87"/>
        <v>-0.93477349412023347</v>
      </c>
      <c r="F143" s="250">
        <f t="shared" si="88"/>
        <v>3.3961949613453113</v>
      </c>
      <c r="G143" s="250">
        <f t="shared" si="89"/>
        <v>23.429850746268666</v>
      </c>
      <c r="H143" s="236">
        <f t="shared" si="81"/>
        <v>1.0478125226728578</v>
      </c>
    </row>
    <row r="144" spans="1:8" ht="15.75">
      <c r="A144" s="237">
        <v>40787</v>
      </c>
      <c r="B144" s="248">
        <f>geral!M705</f>
        <v>82.698000000000008</v>
      </c>
      <c r="C144" s="248">
        <f t="shared" si="50"/>
        <v>237.97985611510794</v>
      </c>
      <c r="D144" s="251">
        <f t="shared" si="86"/>
        <v>0</v>
      </c>
      <c r="E144" s="251">
        <f t="shared" si="87"/>
        <v>-0.93477349412023347</v>
      </c>
      <c r="F144" s="250">
        <f t="shared" si="88"/>
        <v>-0.81556285830793884</v>
      </c>
      <c r="G144" s="250">
        <f t="shared" si="89"/>
        <v>23.429850746268666</v>
      </c>
      <c r="H144" s="236">
        <f t="shared" si="81"/>
        <v>1.0478125226728578</v>
      </c>
    </row>
    <row r="145" spans="1:8" ht="15.75">
      <c r="A145" s="237">
        <v>40817</v>
      </c>
      <c r="B145" s="248">
        <f>geral!M706</f>
        <v>82.698000000000008</v>
      </c>
      <c r="C145" s="248">
        <f t="shared" si="50"/>
        <v>237.97985611510794</v>
      </c>
      <c r="D145" s="251">
        <f t="shared" si="86"/>
        <v>0</v>
      </c>
      <c r="E145" s="251">
        <f t="shared" si="87"/>
        <v>-0.93477349412023347</v>
      </c>
      <c r="F145" s="250">
        <f t="shared" si="88"/>
        <v>-0.6988472622478259</v>
      </c>
      <c r="G145" s="250">
        <f t="shared" si="89"/>
        <v>23.135795116140567</v>
      </c>
      <c r="H145" s="236">
        <f t="shared" si="81"/>
        <v>1.0478125226728578</v>
      </c>
    </row>
    <row r="146" spans="1:8" ht="15.75">
      <c r="A146" s="237">
        <v>40848</v>
      </c>
      <c r="B146" s="248">
        <f>geral!M707</f>
        <v>82.698000000000008</v>
      </c>
      <c r="C146" s="248">
        <f t="shared" si="50"/>
        <v>237.97985611510794</v>
      </c>
      <c r="D146" s="251">
        <f t="shared" si="86"/>
        <v>0</v>
      </c>
      <c r="E146" s="251">
        <f t="shared" si="87"/>
        <v>-0.93477349412023347</v>
      </c>
      <c r="F146" s="250">
        <f t="shared" si="88"/>
        <v>4.0461991394278085</v>
      </c>
      <c r="G146" s="250">
        <f t="shared" si="89"/>
        <v>23.429850746268666</v>
      </c>
      <c r="H146" s="236">
        <f t="shared" si="81"/>
        <v>1.0478125226728578</v>
      </c>
    </row>
    <row r="147" spans="1:8" ht="15.75">
      <c r="A147" s="280">
        <v>40878</v>
      </c>
      <c r="B147" s="281">
        <f>geral!M708</f>
        <v>82.698000000000008</v>
      </c>
      <c r="C147" s="281">
        <f t="shared" si="50"/>
        <v>237.97985611510794</v>
      </c>
      <c r="D147" s="282">
        <f t="shared" si="86"/>
        <v>0</v>
      </c>
      <c r="E147" s="282">
        <f t="shared" si="87"/>
        <v>-0.93477349412023347</v>
      </c>
      <c r="F147" s="283">
        <f t="shared" si="88"/>
        <v>-0.93477349412023347</v>
      </c>
      <c r="G147" s="283">
        <f t="shared" si="89"/>
        <v>23.172475424486151</v>
      </c>
      <c r="H147" s="236">
        <f t="shared" si="81"/>
        <v>1.0478125226728578</v>
      </c>
    </row>
    <row r="148" spans="1:8" ht="15.75">
      <c r="A148" s="280">
        <v>40909</v>
      </c>
      <c r="B148" s="281">
        <f>geral!C712</f>
        <v>82.698000000000008</v>
      </c>
      <c r="C148" s="281">
        <f t="shared" ref="C148:C153" si="90">100*B148/$B$7</f>
        <v>237.97985611510794</v>
      </c>
      <c r="D148" s="282">
        <f t="shared" ref="D148:D153" si="91">100*((B148/B147)-1)</f>
        <v>0</v>
      </c>
      <c r="E148" s="282">
        <f t="shared" ref="E148:E153" si="92">100*((B148/$B$147)-1)</f>
        <v>0</v>
      </c>
      <c r="F148" s="283">
        <f t="shared" ref="F148:F153" si="93">100*((B148/B136)-1)</f>
        <v>-5.1345584692683577</v>
      </c>
      <c r="G148" s="283">
        <f t="shared" ref="G148:G153" si="94">100*(B148/B124-1)</f>
        <v>23.172475424486151</v>
      </c>
      <c r="H148" s="236">
        <f t="shared" si="81"/>
        <v>1.0478125226728578</v>
      </c>
    </row>
    <row r="149" spans="1:8" ht="15.75">
      <c r="A149" s="280">
        <v>40940</v>
      </c>
      <c r="B149" s="281">
        <f>geral!C713</f>
        <v>79.412000000000006</v>
      </c>
      <c r="C149" s="281">
        <f t="shared" si="90"/>
        <v>228.52374100719427</v>
      </c>
      <c r="D149" s="282">
        <f t="shared" si="91"/>
        <v>-3.9734939176280015</v>
      </c>
      <c r="E149" s="282">
        <f t="shared" si="92"/>
        <v>-3.9734939176280015</v>
      </c>
      <c r="F149" s="283">
        <f t="shared" si="93"/>
        <v>-8.9040310184229199</v>
      </c>
      <c r="G149" s="283">
        <f t="shared" si="94"/>
        <v>15.901727073704697</v>
      </c>
      <c r="H149" s="236">
        <f t="shared" si="81"/>
        <v>1.0911701002367402</v>
      </c>
    </row>
    <row r="150" spans="1:8" ht="15.75">
      <c r="A150" s="280">
        <v>40969</v>
      </c>
      <c r="B150" s="281">
        <f>geral!C714</f>
        <v>83.412000000000006</v>
      </c>
      <c r="C150" s="281">
        <f t="shared" si="90"/>
        <v>240.03453237410073</v>
      </c>
      <c r="D150" s="282">
        <f t="shared" si="91"/>
        <v>5.0370221125270787</v>
      </c>
      <c r="E150" s="282">
        <f t="shared" si="92"/>
        <v>0.86338242762824535</v>
      </c>
      <c r="F150" s="283">
        <f t="shared" si="93"/>
        <v>-4.3155069172000848</v>
      </c>
      <c r="G150" s="283">
        <f t="shared" si="94"/>
        <v>21.739722695207988</v>
      </c>
      <c r="H150" s="236">
        <f t="shared" si="81"/>
        <v>1.0388433318946915</v>
      </c>
    </row>
    <row r="151" spans="1:8" ht="15.75">
      <c r="A151" s="280">
        <v>41000</v>
      </c>
      <c r="B151" s="281">
        <f>geral!C715</f>
        <v>83.412000000000006</v>
      </c>
      <c r="C151" s="281">
        <f t="shared" si="90"/>
        <v>240.03453237410073</v>
      </c>
      <c r="D151" s="282">
        <f t="shared" si="91"/>
        <v>0</v>
      </c>
      <c r="E151" s="282">
        <f t="shared" si="92"/>
        <v>0.86338242762824535</v>
      </c>
      <c r="F151" s="283">
        <f t="shared" si="93"/>
        <v>-4.3155069172000848</v>
      </c>
      <c r="G151" s="283">
        <f t="shared" si="94"/>
        <v>24.161952962191123</v>
      </c>
      <c r="H151" s="236">
        <f t="shared" si="81"/>
        <v>1.0388433318946915</v>
      </c>
    </row>
    <row r="152" spans="1:8" ht="15.75">
      <c r="A152" s="280">
        <v>41030</v>
      </c>
      <c r="B152" s="281">
        <f>geral!C716</f>
        <v>83.412000000000006</v>
      </c>
      <c r="C152" s="281">
        <f t="shared" si="90"/>
        <v>240.03453237410073</v>
      </c>
      <c r="D152" s="282">
        <f t="shared" si="91"/>
        <v>0</v>
      </c>
      <c r="E152" s="282">
        <f t="shared" si="92"/>
        <v>0.86338242762824535</v>
      </c>
      <c r="F152" s="283">
        <f t="shared" si="93"/>
        <v>-2.0641070799577221</v>
      </c>
      <c r="G152" s="283">
        <f t="shared" si="94"/>
        <v>16.205071050431876</v>
      </c>
      <c r="H152" s="236">
        <f t="shared" si="81"/>
        <v>1.0388433318946915</v>
      </c>
    </row>
    <row r="153" spans="1:8" ht="15.75">
      <c r="A153" s="280">
        <v>41061</v>
      </c>
      <c r="B153" s="281">
        <f>geral!C717</f>
        <v>83.412000000000006</v>
      </c>
      <c r="C153" s="281">
        <f t="shared" si="90"/>
        <v>240.03453237410073</v>
      </c>
      <c r="D153" s="282">
        <f t="shared" si="91"/>
        <v>0</v>
      </c>
      <c r="E153" s="282">
        <f t="shared" si="92"/>
        <v>0.86338242762824535</v>
      </c>
      <c r="F153" s="283">
        <f t="shared" si="93"/>
        <v>-7.5647821509705837</v>
      </c>
      <c r="G153" s="283">
        <f t="shared" si="94"/>
        <v>27.965226284837641</v>
      </c>
      <c r="H153" s="236">
        <f t="shared" si="81"/>
        <v>1.0388433318946915</v>
      </c>
    </row>
    <row r="154" spans="1:8" ht="15.75">
      <c r="A154" s="280">
        <v>41091</v>
      </c>
      <c r="B154" s="281">
        <f>geral!C718</f>
        <v>79.412000000000006</v>
      </c>
      <c r="C154" s="281">
        <f t="shared" ref="C154:C159" si="95">100*B154/$B$7</f>
        <v>228.52374100719427</v>
      </c>
      <c r="D154" s="282">
        <f t="shared" ref="D154:D159" si="96">100*((B154/B153)-1)</f>
        <v>-4.7954730734186874</v>
      </c>
      <c r="E154" s="282">
        <f t="shared" ref="E154:E159" si="97">100*((B154/$B$147)-1)</f>
        <v>-3.9734939176280015</v>
      </c>
      <c r="F154" s="283">
        <f t="shared" ref="F154:F159" si="98">100*((B154/B142)-1)</f>
        <v>-11.9974881332767</v>
      </c>
      <c r="G154" s="283">
        <f t="shared" ref="G154:G159" si="99">100*(B154/B130-1)</f>
        <v>1.5368878660018126</v>
      </c>
      <c r="H154" s="236">
        <f t="shared" si="81"/>
        <v>1.0911701002367402</v>
      </c>
    </row>
    <row r="155" spans="1:8" ht="15.75">
      <c r="A155" s="280">
        <v>41122</v>
      </c>
      <c r="B155" s="281">
        <f>geral!C719</f>
        <v>79.412000000000006</v>
      </c>
      <c r="C155" s="281">
        <f t="shared" si="95"/>
        <v>228.52374100719427</v>
      </c>
      <c r="D155" s="282">
        <f t="shared" si="96"/>
        <v>0</v>
      </c>
      <c r="E155" s="282">
        <f t="shared" si="97"/>
        <v>-3.9734939176280015</v>
      </c>
      <c r="F155" s="283">
        <f t="shared" si="98"/>
        <v>-3.9734939176280015</v>
      </c>
      <c r="G155" s="283">
        <f t="shared" si="99"/>
        <v>-0.71224655650252711</v>
      </c>
      <c r="H155" s="236">
        <f t="shared" si="81"/>
        <v>1.0911701002367402</v>
      </c>
    </row>
    <row r="156" spans="1:8" ht="15.75">
      <c r="A156" s="280">
        <v>41153</v>
      </c>
      <c r="B156" s="281">
        <f>geral!C720</f>
        <v>79.412000000000006</v>
      </c>
      <c r="C156" s="281">
        <f t="shared" si="95"/>
        <v>228.52374100719427</v>
      </c>
      <c r="D156" s="282">
        <f t="shared" si="96"/>
        <v>0</v>
      </c>
      <c r="E156" s="282">
        <f t="shared" si="97"/>
        <v>-3.9734939176280015</v>
      </c>
      <c r="F156" s="283">
        <f t="shared" si="98"/>
        <v>-3.9734939176280015</v>
      </c>
      <c r="G156" s="283">
        <f t="shared" si="99"/>
        <v>-4.7566504353666383</v>
      </c>
      <c r="H156" s="236">
        <f t="shared" si="81"/>
        <v>1.0911701002367402</v>
      </c>
    </row>
    <row r="157" spans="1:8" ht="15.75">
      <c r="A157" s="280">
        <v>41183</v>
      </c>
      <c r="B157" s="281">
        <f>geral!C721</f>
        <v>80.412000000000006</v>
      </c>
      <c r="C157" s="281">
        <f t="shared" si="95"/>
        <v>231.40143884892089</v>
      </c>
      <c r="D157" s="282">
        <f t="shared" si="96"/>
        <v>1.2592555281317752</v>
      </c>
      <c r="E157" s="282">
        <f t="shared" si="97"/>
        <v>-2.7642748313139398</v>
      </c>
      <c r="F157" s="283">
        <f t="shared" si="98"/>
        <v>-2.7642748313139398</v>
      </c>
      <c r="G157" s="283">
        <f t="shared" si="99"/>
        <v>-3.4438040345821319</v>
      </c>
      <c r="H157" s="236">
        <f t="shared" si="81"/>
        <v>1.0776003581554994</v>
      </c>
    </row>
    <row r="158" spans="1:8" ht="15.75">
      <c r="A158" s="280">
        <v>41214</v>
      </c>
      <c r="B158" s="281">
        <f>geral!C722</f>
        <v>80.412000000000006</v>
      </c>
      <c r="C158" s="281">
        <f t="shared" si="95"/>
        <v>231.40143884892089</v>
      </c>
      <c r="D158" s="282">
        <f t="shared" si="96"/>
        <v>0</v>
      </c>
      <c r="E158" s="282">
        <f t="shared" si="97"/>
        <v>-2.7642748313139398</v>
      </c>
      <c r="F158" s="283">
        <f t="shared" si="98"/>
        <v>-2.7642748313139398</v>
      </c>
      <c r="G158" s="283">
        <f t="shared" si="99"/>
        <v>1.17007624367782</v>
      </c>
      <c r="H158" s="236">
        <f t="shared" si="81"/>
        <v>1.0776003581554994</v>
      </c>
    </row>
    <row r="159" spans="1:8" ht="15.75">
      <c r="A159" s="280">
        <v>41244</v>
      </c>
      <c r="B159" s="281">
        <f>geral!C723</f>
        <v>80.412000000000006</v>
      </c>
      <c r="C159" s="281">
        <f t="shared" si="95"/>
        <v>231.40143884892089</v>
      </c>
      <c r="D159" s="282">
        <f t="shared" si="96"/>
        <v>0</v>
      </c>
      <c r="E159" s="282">
        <f t="shared" si="97"/>
        <v>-2.7642748313139398</v>
      </c>
      <c r="F159" s="283">
        <f t="shared" si="98"/>
        <v>-2.7642748313139398</v>
      </c>
      <c r="G159" s="283">
        <f t="shared" si="99"/>
        <v>-3.6732086170064071</v>
      </c>
      <c r="H159" s="236">
        <f t="shared" si="81"/>
        <v>1.0776003581554994</v>
      </c>
    </row>
    <row r="160" spans="1:8" ht="15.75">
      <c r="A160" s="280">
        <v>41275</v>
      </c>
      <c r="B160" s="281">
        <f>geral!E712</f>
        <v>80.412000000000006</v>
      </c>
      <c r="C160" s="281">
        <f t="shared" ref="C160:C165" si="100">100*B160/$B$7</f>
        <v>231.40143884892089</v>
      </c>
      <c r="D160" s="282">
        <f t="shared" ref="D160:D165" si="101">100*((B160/B159)-1)</f>
        <v>0</v>
      </c>
      <c r="E160" s="282">
        <f t="shared" ref="E160:E165" si="102">100*((B160/$B$159)-1)</f>
        <v>0</v>
      </c>
      <c r="F160" s="283">
        <f t="shared" ref="F160:F165" si="103">100*((B160/B148)-1)</f>
        <v>-2.7642748313139398</v>
      </c>
      <c r="G160" s="283">
        <f t="shared" ref="G160:G165" si="104">100*(B160/B136-1)</f>
        <v>-7.7568999931172167</v>
      </c>
      <c r="H160" s="236">
        <f t="shared" si="81"/>
        <v>1.0776003581554994</v>
      </c>
    </row>
    <row r="161" spans="1:8" ht="15.75">
      <c r="A161" s="280">
        <v>41306</v>
      </c>
      <c r="B161" s="281">
        <f>geral!E713</f>
        <v>80.412000000000006</v>
      </c>
      <c r="C161" s="281">
        <f t="shared" si="100"/>
        <v>231.40143884892089</v>
      </c>
      <c r="D161" s="282">
        <f t="shared" si="101"/>
        <v>0</v>
      </c>
      <c r="E161" s="282">
        <f t="shared" si="102"/>
        <v>0</v>
      </c>
      <c r="F161" s="283">
        <f t="shared" si="103"/>
        <v>1.2592555281317752</v>
      </c>
      <c r="G161" s="283">
        <f t="shared" si="104"/>
        <v>-7.7568999931172167</v>
      </c>
      <c r="H161" s="236">
        <f t="shared" si="81"/>
        <v>1.0776003581554994</v>
      </c>
    </row>
    <row r="162" spans="1:8" ht="15.75">
      <c r="A162" s="280">
        <v>41334</v>
      </c>
      <c r="B162" s="281">
        <f>geral!E714</f>
        <v>80.412000000000006</v>
      </c>
      <c r="C162" s="281">
        <f t="shared" si="100"/>
        <v>231.40143884892089</v>
      </c>
      <c r="D162" s="282">
        <f t="shared" si="101"/>
        <v>0</v>
      </c>
      <c r="E162" s="282">
        <f t="shared" si="102"/>
        <v>0</v>
      </c>
      <c r="F162" s="283">
        <f t="shared" si="103"/>
        <v>-3.5966048050640187</v>
      </c>
      <c r="G162" s="283">
        <f t="shared" si="104"/>
        <v>-7.7568999931172167</v>
      </c>
      <c r="H162" s="236">
        <f t="shared" si="81"/>
        <v>1.0776003581554994</v>
      </c>
    </row>
    <row r="163" spans="1:8" ht="15.75">
      <c r="A163" s="280">
        <v>41365</v>
      </c>
      <c r="B163" s="281">
        <f>geral!E715</f>
        <v>80.412000000000006</v>
      </c>
      <c r="C163" s="281">
        <f t="shared" si="100"/>
        <v>231.40143884892089</v>
      </c>
      <c r="D163" s="282">
        <f t="shared" si="101"/>
        <v>0</v>
      </c>
      <c r="E163" s="282">
        <f t="shared" si="102"/>
        <v>0</v>
      </c>
      <c r="F163" s="283">
        <f t="shared" si="103"/>
        <v>-3.5966048050640187</v>
      </c>
      <c r="G163" s="283">
        <f t="shared" si="104"/>
        <v>-7.7568999931172167</v>
      </c>
      <c r="H163" s="236">
        <f t="shared" si="81"/>
        <v>1.0776003581554994</v>
      </c>
    </row>
    <row r="164" spans="1:8" ht="15.75">
      <c r="A164" s="280">
        <v>41395</v>
      </c>
      <c r="B164" s="281">
        <f>geral!E716</f>
        <v>80.412000000000006</v>
      </c>
      <c r="C164" s="281">
        <f t="shared" si="100"/>
        <v>231.40143884892089</v>
      </c>
      <c r="D164" s="282">
        <f t="shared" si="101"/>
        <v>0</v>
      </c>
      <c r="E164" s="282">
        <f t="shared" si="102"/>
        <v>0</v>
      </c>
      <c r="F164" s="283">
        <f t="shared" si="103"/>
        <v>-3.5966048050640187</v>
      </c>
      <c r="G164" s="283">
        <f t="shared" si="104"/>
        <v>-5.5864741106023246</v>
      </c>
      <c r="H164" s="236">
        <f t="shared" si="81"/>
        <v>1.0776003581554994</v>
      </c>
    </row>
    <row r="165" spans="1:8" ht="15.75">
      <c r="A165" s="280">
        <v>41426</v>
      </c>
      <c r="B165" s="281">
        <f>geral!E717</f>
        <v>80.412000000000006</v>
      </c>
      <c r="C165" s="281">
        <f t="shared" si="100"/>
        <v>231.40143884892089</v>
      </c>
      <c r="D165" s="282">
        <f t="shared" si="101"/>
        <v>0</v>
      </c>
      <c r="E165" s="282">
        <f t="shared" si="102"/>
        <v>0</v>
      </c>
      <c r="F165" s="283">
        <f t="shared" si="103"/>
        <v>-3.5966048050640187</v>
      </c>
      <c r="G165" s="283">
        <f t="shared" si="104"/>
        <v>-10.889311637700171</v>
      </c>
      <c r="H165" s="236">
        <f t="shared" ref="H165:H171" si="105">$B$171/B165</f>
        <v>1.0776003581554994</v>
      </c>
    </row>
    <row r="166" spans="1:8" ht="15.75">
      <c r="A166" s="280">
        <v>41456</v>
      </c>
      <c r="B166" s="281">
        <f>geral!E718</f>
        <v>80.412000000000006</v>
      </c>
      <c r="C166" s="281">
        <f t="shared" ref="C166:C171" si="106">100*B166/$B$7</f>
        <v>231.40143884892089</v>
      </c>
      <c r="D166" s="282">
        <f t="shared" ref="D166:D171" si="107">100*((B166/B165)-1)</f>
        <v>0</v>
      </c>
      <c r="E166" s="282">
        <f t="shared" ref="E166:E171" si="108">100*((B166/$B$159)-1)</f>
        <v>0</v>
      </c>
      <c r="F166" s="283">
        <f t="shared" ref="F166:F171" si="109">100*((B166/B154)-1)</f>
        <v>1.2592555281317752</v>
      </c>
      <c r="G166" s="283">
        <f t="shared" ref="G166:G171" si="110">100*(B166/B142-1)</f>
        <v>-10.889311637700171</v>
      </c>
      <c r="H166" s="236">
        <f t="shared" si="105"/>
        <v>1.0776003581554994</v>
      </c>
    </row>
    <row r="167" spans="1:8" ht="15.75">
      <c r="A167" s="280">
        <v>41487</v>
      </c>
      <c r="B167" s="281">
        <f>geral!E719</f>
        <v>80.412000000000006</v>
      </c>
      <c r="C167" s="281">
        <f t="shared" si="106"/>
        <v>231.40143884892089</v>
      </c>
      <c r="D167" s="282">
        <f t="shared" si="107"/>
        <v>0</v>
      </c>
      <c r="E167" s="282">
        <f t="shared" si="108"/>
        <v>0</v>
      </c>
      <c r="F167" s="283">
        <f t="shared" si="109"/>
        <v>1.2592555281317752</v>
      </c>
      <c r="G167" s="283">
        <f t="shared" si="110"/>
        <v>-2.7642748313139398</v>
      </c>
      <c r="H167" s="236">
        <f t="shared" si="105"/>
        <v>1.0776003581554994</v>
      </c>
    </row>
    <row r="168" spans="1:8" ht="15.75">
      <c r="A168" s="280">
        <v>41518</v>
      </c>
      <c r="B168" s="281">
        <f>geral!E720</f>
        <v>81.412000000000006</v>
      </c>
      <c r="C168" s="281">
        <f t="shared" si="106"/>
        <v>234.2791366906475</v>
      </c>
      <c r="D168" s="282">
        <f t="shared" si="107"/>
        <v>1.2435954832612062</v>
      </c>
      <c r="E168" s="282">
        <f t="shared" si="108"/>
        <v>1.2435954832612062</v>
      </c>
      <c r="F168" s="283">
        <f t="shared" si="109"/>
        <v>2.5185110562635282</v>
      </c>
      <c r="G168" s="283">
        <f t="shared" si="110"/>
        <v>-1.5550557449998781</v>
      </c>
      <c r="H168" s="236">
        <f t="shared" si="105"/>
        <v>1.0643639758266596</v>
      </c>
    </row>
    <row r="169" spans="1:8" ht="15.75">
      <c r="A169" s="280">
        <v>41548</v>
      </c>
      <c r="B169" s="281">
        <f>geral!E721</f>
        <v>86.652000000000015</v>
      </c>
      <c r="C169" s="281">
        <f t="shared" si="106"/>
        <v>249.35827338129499</v>
      </c>
      <c r="D169" s="282">
        <f t="shared" si="107"/>
        <v>6.4363975826659647</v>
      </c>
      <c r="E169" s="282">
        <f t="shared" si="108"/>
        <v>7.7600358155499372</v>
      </c>
      <c r="F169" s="283">
        <f t="shared" si="109"/>
        <v>7.7600358155499372</v>
      </c>
      <c r="G169" s="283">
        <f t="shared" si="110"/>
        <v>4.7812522672857849</v>
      </c>
      <c r="H169" s="236">
        <f t="shared" si="105"/>
        <v>1</v>
      </c>
    </row>
    <row r="170" spans="1:8" ht="15.75">
      <c r="A170" s="280">
        <v>41579</v>
      </c>
      <c r="B170" s="281">
        <f>geral!E722</f>
        <v>86.652000000000015</v>
      </c>
      <c r="C170" s="281">
        <f t="shared" si="106"/>
        <v>249.35827338129499</v>
      </c>
      <c r="D170" s="282">
        <f t="shared" si="107"/>
        <v>0</v>
      </c>
      <c r="E170" s="282">
        <f t="shared" si="108"/>
        <v>7.7600358155499372</v>
      </c>
      <c r="F170" s="283">
        <f t="shared" si="109"/>
        <v>7.7600358155499372</v>
      </c>
      <c r="G170" s="283">
        <f t="shared" si="110"/>
        <v>4.7812522672857849</v>
      </c>
      <c r="H170" s="290">
        <f t="shared" si="105"/>
        <v>1</v>
      </c>
    </row>
    <row r="171" spans="1:8" ht="16.5" thickBot="1">
      <c r="A171" s="240">
        <v>41609</v>
      </c>
      <c r="B171" s="255">
        <f>geral!E723</f>
        <v>86.652000000000015</v>
      </c>
      <c r="C171" s="255">
        <f t="shared" si="106"/>
        <v>249.35827338129499</v>
      </c>
      <c r="D171" s="256">
        <f t="shared" si="107"/>
        <v>0</v>
      </c>
      <c r="E171" s="256">
        <f t="shared" si="108"/>
        <v>7.7600358155499372</v>
      </c>
      <c r="F171" s="257">
        <f t="shared" si="109"/>
        <v>7.7600358155499372</v>
      </c>
      <c r="G171" s="257">
        <f t="shared" si="110"/>
        <v>4.7812522672857849</v>
      </c>
      <c r="H171" s="241">
        <f t="shared" si="105"/>
        <v>1</v>
      </c>
    </row>
    <row r="172" spans="1:8" s="1" customFormat="1">
      <c r="A172" s="63"/>
      <c r="B172" s="21"/>
      <c r="C172" s="21"/>
      <c r="D172" s="21"/>
      <c r="E172" s="21"/>
      <c r="F172" s="21"/>
      <c r="G172" s="21"/>
      <c r="H172" s="21"/>
    </row>
    <row r="173" spans="1:8">
      <c r="A173" s="67" t="s">
        <v>238</v>
      </c>
    </row>
    <row r="174" spans="1:8">
      <c r="A174" s="66" t="s">
        <v>239</v>
      </c>
    </row>
  </sheetData>
  <mergeCells count="6">
    <mergeCell ref="A6:H6"/>
    <mergeCell ref="A1:H1"/>
    <mergeCell ref="A2:H2"/>
    <mergeCell ref="A3:C4"/>
    <mergeCell ref="D3:H3"/>
    <mergeCell ref="D4:H4"/>
  </mergeCells>
  <phoneticPr fontId="0" type="noConversion"/>
  <pageMargins left="0.78740157499999996" right="0.78740157499999996" top="0.984251969" bottom="0.984251969" header="0.49212598499999999" footer="0.49212598499999999"/>
  <pageSetup paperSize="9"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6"/>
  <dimension ref="A1:J174"/>
  <sheetViews>
    <sheetView showGridLines="0" zoomScale="90" zoomScaleNormal="90" workbookViewId="0">
      <pane ySplit="2280" topLeftCell="A159" activePane="bottomLeft"/>
      <selection activeCell="J236" sqref="J236"/>
      <selection pane="bottomLeft" activeCell="I172" sqref="I172"/>
    </sheetView>
  </sheetViews>
  <sheetFormatPr defaultRowHeight="15"/>
  <cols>
    <col min="1" max="1" width="9" bestFit="1" customWidth="1"/>
    <col min="2" max="2" width="10.77734375" bestFit="1" customWidth="1"/>
    <col min="3" max="3" width="8.77734375" customWidth="1"/>
    <col min="4" max="4" width="10" customWidth="1"/>
    <col min="5" max="5" width="8.77734375" customWidth="1"/>
    <col min="6" max="6" width="10.88671875" customWidth="1"/>
    <col min="7" max="7" width="9.77734375" customWidth="1"/>
    <col min="8" max="8" width="12" customWidth="1"/>
  </cols>
  <sheetData>
    <row r="1" spans="1:8" ht="21" thickBot="1">
      <c r="A1" s="1544" t="s">
        <v>280</v>
      </c>
      <c r="B1" s="1545"/>
      <c r="C1" s="1545"/>
      <c r="D1" s="1545"/>
      <c r="E1" s="1545"/>
      <c r="F1" s="1545"/>
      <c r="G1" s="1545"/>
      <c r="H1" s="1546"/>
    </row>
    <row r="2" spans="1:8" ht="19.5" customHeight="1" thickBot="1">
      <c r="A2" s="1547" t="s">
        <v>286</v>
      </c>
      <c r="B2" s="1548"/>
      <c r="C2" s="1548"/>
      <c r="D2" s="1548"/>
      <c r="E2" s="1548"/>
      <c r="F2" s="1548"/>
      <c r="G2" s="1548"/>
      <c r="H2" s="1549"/>
    </row>
    <row r="3" spans="1:8" ht="16.5" customHeight="1" thickBot="1">
      <c r="A3" s="1550" t="s">
        <v>281</v>
      </c>
      <c r="B3" s="1551"/>
      <c r="C3" s="1552"/>
      <c r="D3" s="1556" t="s">
        <v>278</v>
      </c>
      <c r="E3" s="1557"/>
      <c r="F3" s="1557"/>
      <c r="G3" s="1557"/>
      <c r="H3" s="1558"/>
    </row>
    <row r="4" spans="1:8" ht="17.25" thickBot="1">
      <c r="A4" s="1553"/>
      <c r="B4" s="1554"/>
      <c r="C4" s="1555"/>
      <c r="D4" s="1559" t="s">
        <v>275</v>
      </c>
      <c r="E4" s="1560"/>
      <c r="F4" s="1560"/>
      <c r="G4" s="1560"/>
      <c r="H4" s="1561"/>
    </row>
    <row r="5" spans="1:8" ht="66.75" thickBot="1">
      <c r="A5" s="262" t="s">
        <v>67</v>
      </c>
      <c r="B5" s="263" t="s">
        <v>76</v>
      </c>
      <c r="C5" s="263" t="s">
        <v>68</v>
      </c>
      <c r="D5" s="264" t="s">
        <v>69</v>
      </c>
      <c r="E5" s="264" t="s">
        <v>65</v>
      </c>
      <c r="F5" s="264" t="s">
        <v>70</v>
      </c>
      <c r="G5" s="263" t="s">
        <v>160</v>
      </c>
      <c r="H5" s="265" t="s">
        <v>186</v>
      </c>
    </row>
    <row r="6" spans="1:8" ht="15.75" thickBot="1">
      <c r="A6" s="1483" t="s">
        <v>279</v>
      </c>
      <c r="B6" s="1484"/>
      <c r="C6" s="1484"/>
      <c r="D6" s="1484"/>
      <c r="E6" s="1484"/>
      <c r="F6" s="1484"/>
      <c r="G6" s="1484"/>
      <c r="H6" s="1485"/>
    </row>
    <row r="7" spans="1:8" ht="16.5">
      <c r="A7" s="223">
        <v>36617</v>
      </c>
      <c r="B7" s="224">
        <f>+geral!C1267</f>
        <v>18.239999999999998</v>
      </c>
      <c r="C7" s="229">
        <v>100</v>
      </c>
      <c r="D7" s="229"/>
      <c r="E7" s="229"/>
      <c r="F7" s="229"/>
      <c r="G7" s="229"/>
      <c r="H7" s="225">
        <f t="shared" ref="H7:H38" si="0">$B$171/B7</f>
        <v>2.9195906432748542</v>
      </c>
    </row>
    <row r="8" spans="1:8" ht="16.5">
      <c r="A8" s="216">
        <v>36647</v>
      </c>
      <c r="B8" s="226">
        <f>+geral!C1268</f>
        <v>18.62</v>
      </c>
      <c r="C8" s="211">
        <f>100*B8/$B$7</f>
        <v>102.08333333333334</v>
      </c>
      <c r="D8" s="211">
        <f t="shared" ref="D8:D16" si="1">100*((B8/B7)-1)</f>
        <v>2.0833333333333481</v>
      </c>
      <c r="E8" s="211"/>
      <c r="F8" s="211"/>
      <c r="G8" s="211"/>
      <c r="H8" s="217">
        <f t="shared" si="0"/>
        <v>2.8600071607590407</v>
      </c>
    </row>
    <row r="9" spans="1:8" ht="16.5">
      <c r="A9" s="216">
        <v>36678</v>
      </c>
      <c r="B9" s="226">
        <f>+geral!C1269</f>
        <v>17.940000000000001</v>
      </c>
      <c r="C9" s="211">
        <f t="shared" ref="C9:C147" si="2">100*B9/$B$7</f>
        <v>98.355263157894754</v>
      </c>
      <c r="D9" s="211">
        <f t="shared" si="1"/>
        <v>-3.6519871106337254</v>
      </c>
      <c r="E9" s="211"/>
      <c r="F9" s="211"/>
      <c r="G9" s="211"/>
      <c r="H9" s="217">
        <f t="shared" si="0"/>
        <v>2.9684132292827945</v>
      </c>
    </row>
    <row r="10" spans="1:8" ht="16.5">
      <c r="A10" s="216">
        <v>36708</v>
      </c>
      <c r="B10" s="226">
        <f>+geral!C1270</f>
        <v>17.88</v>
      </c>
      <c r="C10" s="211">
        <f t="shared" si="2"/>
        <v>98.026315789473699</v>
      </c>
      <c r="D10" s="211">
        <f t="shared" si="1"/>
        <v>-0.33444816053512794</v>
      </c>
      <c r="E10" s="211"/>
      <c r="F10" s="211"/>
      <c r="G10" s="211"/>
      <c r="H10" s="217">
        <f t="shared" si="0"/>
        <v>2.9783743475018647</v>
      </c>
    </row>
    <row r="11" spans="1:8" ht="16.5">
      <c r="A11" s="216">
        <v>36739</v>
      </c>
      <c r="B11" s="226">
        <f>+geral!C1271</f>
        <v>18.600000000000001</v>
      </c>
      <c r="C11" s="211">
        <f t="shared" si="2"/>
        <v>101.97368421052634</v>
      </c>
      <c r="D11" s="211">
        <f t="shared" si="1"/>
        <v>4.026845637583909</v>
      </c>
      <c r="E11" s="211"/>
      <c r="F11" s="211"/>
      <c r="G11" s="211"/>
      <c r="H11" s="217">
        <f t="shared" si="0"/>
        <v>2.8630824372759855</v>
      </c>
    </row>
    <row r="12" spans="1:8" ht="16.5">
      <c r="A12" s="216">
        <v>36770</v>
      </c>
      <c r="B12" s="226">
        <f>+geral!C1272</f>
        <v>19.3</v>
      </c>
      <c r="C12" s="211">
        <f t="shared" si="2"/>
        <v>105.81140350877195</v>
      </c>
      <c r="D12" s="211">
        <f t="shared" si="1"/>
        <v>3.7634408602150504</v>
      </c>
      <c r="E12" s="211"/>
      <c r="F12" s="211"/>
      <c r="G12" s="211"/>
      <c r="H12" s="217">
        <f t="shared" si="0"/>
        <v>2.7592400690846288</v>
      </c>
    </row>
    <row r="13" spans="1:8" ht="16.5">
      <c r="A13" s="216">
        <v>36800</v>
      </c>
      <c r="B13" s="226">
        <f>+geral!C1273</f>
        <v>17.72</v>
      </c>
      <c r="C13" s="211">
        <f t="shared" si="2"/>
        <v>97.149122807017548</v>
      </c>
      <c r="D13" s="211">
        <f t="shared" si="1"/>
        <v>-8.1865284974093395</v>
      </c>
      <c r="E13" s="211"/>
      <c r="F13" s="211"/>
      <c r="G13" s="211"/>
      <c r="H13" s="217">
        <f t="shared" si="0"/>
        <v>3.0052671181339359</v>
      </c>
    </row>
    <row r="14" spans="1:8" ht="16.5">
      <c r="A14" s="216">
        <v>36831</v>
      </c>
      <c r="B14" s="226">
        <f>+geral!C1274</f>
        <v>20.16</v>
      </c>
      <c r="C14" s="211">
        <f t="shared" si="2"/>
        <v>110.5263157894737</v>
      </c>
      <c r="D14" s="211">
        <f t="shared" si="1"/>
        <v>13.769751693002274</v>
      </c>
      <c r="E14" s="211"/>
      <c r="F14" s="211"/>
      <c r="G14" s="211"/>
      <c r="H14" s="217">
        <f t="shared" si="0"/>
        <v>2.6415343915343916</v>
      </c>
    </row>
    <row r="15" spans="1:8" ht="16.5">
      <c r="A15" s="216">
        <v>36861</v>
      </c>
      <c r="B15" s="226">
        <f>+geral!C1275</f>
        <v>19.73</v>
      </c>
      <c r="C15" s="211">
        <f t="shared" si="2"/>
        <v>108.16885964912282</v>
      </c>
      <c r="D15" s="211">
        <f t="shared" si="1"/>
        <v>-2.1329365079365115</v>
      </c>
      <c r="E15" s="211"/>
      <c r="F15" s="211"/>
      <c r="G15" s="211"/>
      <c r="H15" s="217">
        <f t="shared" si="0"/>
        <v>2.6991045784760939</v>
      </c>
    </row>
    <row r="16" spans="1:8" ht="16.5">
      <c r="A16" s="216">
        <v>36892</v>
      </c>
      <c r="B16" s="226">
        <f>+geral!E1264</f>
        <v>18.8</v>
      </c>
      <c r="C16" s="211">
        <f t="shared" si="2"/>
        <v>103.07017543859649</v>
      </c>
      <c r="D16" s="211">
        <f t="shared" si="1"/>
        <v>-4.7136340598074034</v>
      </c>
      <c r="E16" s="211">
        <f t="shared" ref="E16:E21" si="3">100*((B16/$B$15)-1)</f>
        <v>-4.7136340598074034</v>
      </c>
      <c r="F16" s="211"/>
      <c r="G16" s="211"/>
      <c r="H16" s="217">
        <f t="shared" si="0"/>
        <v>2.8326241134751773</v>
      </c>
    </row>
    <row r="17" spans="1:8" ht="16.5">
      <c r="A17" s="216">
        <v>36923</v>
      </c>
      <c r="B17" s="226">
        <f>+geral!E1265</f>
        <v>20.75</v>
      </c>
      <c r="C17" s="211">
        <f t="shared" si="2"/>
        <v>113.76096491228071</v>
      </c>
      <c r="D17" s="211">
        <f t="shared" ref="D17:D22" si="4">100*((B17/B16)-1)</f>
        <v>10.372340425531901</v>
      </c>
      <c r="E17" s="211">
        <f t="shared" si="3"/>
        <v>5.1697921946274761</v>
      </c>
      <c r="F17" s="213"/>
      <c r="G17" s="213"/>
      <c r="H17" s="217">
        <f t="shared" si="0"/>
        <v>2.5664257028112454</v>
      </c>
    </row>
    <row r="18" spans="1:8" ht="16.5">
      <c r="A18" s="216">
        <v>36951</v>
      </c>
      <c r="B18" s="226">
        <f>+geral!E1266</f>
        <v>21.55</v>
      </c>
      <c r="C18" s="211">
        <f t="shared" si="2"/>
        <v>118.14692982456141</v>
      </c>
      <c r="D18" s="211">
        <f t="shared" si="4"/>
        <v>3.8554216867469959</v>
      </c>
      <c r="E18" s="211">
        <f t="shared" si="3"/>
        <v>9.2245311708058821</v>
      </c>
      <c r="F18" s="213"/>
      <c r="G18" s="213"/>
      <c r="H18" s="217">
        <f t="shared" si="0"/>
        <v>2.4711523588553752</v>
      </c>
    </row>
    <row r="19" spans="1:8" ht="16.5">
      <c r="A19" s="216">
        <v>36982</v>
      </c>
      <c r="B19" s="226">
        <f>+geral!E1267</f>
        <v>19.62</v>
      </c>
      <c r="C19" s="211">
        <f t="shared" si="2"/>
        <v>107.56578947368422</v>
      </c>
      <c r="D19" s="211">
        <f t="shared" si="4"/>
        <v>-8.9559164733178598</v>
      </c>
      <c r="E19" s="211">
        <f t="shared" si="3"/>
        <v>-0.55752660922452346</v>
      </c>
      <c r="F19" s="214">
        <f t="shared" ref="F19:F24" si="5">100*((B19/B7)-1)</f>
        <v>7.5657894736842257</v>
      </c>
      <c r="G19" s="214"/>
      <c r="H19" s="217">
        <f t="shared" si="0"/>
        <v>2.7142371729527692</v>
      </c>
    </row>
    <row r="20" spans="1:8" ht="16.5">
      <c r="A20" s="242">
        <v>37012</v>
      </c>
      <c r="B20" s="245">
        <f>+geral!E1268</f>
        <v>19.59</v>
      </c>
      <c r="C20" s="230">
        <f t="shared" si="2"/>
        <v>107.4013157894737</v>
      </c>
      <c r="D20" s="230">
        <f t="shared" si="4"/>
        <v>-0.15290519877676489</v>
      </c>
      <c r="E20" s="230">
        <f t="shared" si="3"/>
        <v>-0.70957932083122177</v>
      </c>
      <c r="F20" s="243">
        <f t="shared" si="5"/>
        <v>5.2094522019334066</v>
      </c>
      <c r="G20" s="243"/>
      <c r="H20" s="217">
        <f t="shared" si="0"/>
        <v>2.718393738301855</v>
      </c>
    </row>
    <row r="21" spans="1:8" ht="16.5">
      <c r="A21" s="216">
        <v>37043</v>
      </c>
      <c r="B21" s="226">
        <f>+geral!E1269</f>
        <v>21.2</v>
      </c>
      <c r="C21" s="211">
        <f t="shared" si="2"/>
        <v>116.2280701754386</v>
      </c>
      <c r="D21" s="211">
        <f t="shared" si="4"/>
        <v>8.2184788157223068</v>
      </c>
      <c r="E21" s="211">
        <f t="shared" si="3"/>
        <v>7.4505828687278175</v>
      </c>
      <c r="F21" s="214">
        <f t="shared" si="5"/>
        <v>18.171683389074687</v>
      </c>
      <c r="G21" s="214"/>
      <c r="H21" s="217">
        <f t="shared" si="0"/>
        <v>2.5119496855345913</v>
      </c>
    </row>
    <row r="22" spans="1:8" ht="16.5">
      <c r="A22" s="216">
        <v>37073</v>
      </c>
      <c r="B22" s="226">
        <f>+geral!E1270</f>
        <v>20.68</v>
      </c>
      <c r="C22" s="211">
        <f t="shared" si="2"/>
        <v>113.37719298245615</v>
      </c>
      <c r="D22" s="211">
        <f t="shared" si="4"/>
        <v>-2.4528301886792447</v>
      </c>
      <c r="E22" s="211">
        <f t="shared" ref="E22:E27" si="6">100*((B22/$B$15)-1)</f>
        <v>4.8150025342118541</v>
      </c>
      <c r="F22" s="214">
        <f t="shared" si="5"/>
        <v>15.659955257270708</v>
      </c>
      <c r="G22" s="214"/>
      <c r="H22" s="217">
        <f t="shared" si="0"/>
        <v>2.5751128304319795</v>
      </c>
    </row>
    <row r="23" spans="1:8" ht="16.5">
      <c r="A23" s="216">
        <v>37104</v>
      </c>
      <c r="B23" s="226">
        <f>+geral!E1271</f>
        <v>20.79</v>
      </c>
      <c r="C23" s="211">
        <f t="shared" si="2"/>
        <v>113.98026315789474</v>
      </c>
      <c r="D23" s="211">
        <f t="shared" ref="D23:D29" si="7">100*((B23/B22)-1)</f>
        <v>0.53191489361701372</v>
      </c>
      <c r="E23" s="211">
        <f t="shared" si="6"/>
        <v>5.3725291434363776</v>
      </c>
      <c r="F23" s="214">
        <f t="shared" si="5"/>
        <v>11.774193548387091</v>
      </c>
      <c r="G23" s="214"/>
      <c r="H23" s="217">
        <f t="shared" si="0"/>
        <v>2.5614878948212283</v>
      </c>
    </row>
    <row r="24" spans="1:8" ht="16.5">
      <c r="A24" s="216">
        <v>37135</v>
      </c>
      <c r="B24" s="226">
        <f>+geral!E1272</f>
        <v>17.13</v>
      </c>
      <c r="C24" s="211">
        <f t="shared" si="2"/>
        <v>93.914473684210535</v>
      </c>
      <c r="D24" s="211">
        <f t="shared" si="7"/>
        <v>-17.604617604617602</v>
      </c>
      <c r="E24" s="211">
        <f t="shared" si="6"/>
        <v>-13.177901672579839</v>
      </c>
      <c r="F24" s="214">
        <f t="shared" si="5"/>
        <v>-11.243523316062188</v>
      </c>
      <c r="G24" s="214"/>
      <c r="H24" s="217">
        <f t="shared" si="0"/>
        <v>3.1087760264642932</v>
      </c>
    </row>
    <row r="25" spans="1:8" ht="16.5">
      <c r="A25" s="216">
        <v>37165</v>
      </c>
      <c r="B25" s="226">
        <f>+geral!E1273</f>
        <v>21.5</v>
      </c>
      <c r="C25" s="211">
        <f t="shared" si="2"/>
        <v>117.87280701754386</v>
      </c>
      <c r="D25" s="211">
        <f t="shared" si="7"/>
        <v>25.51079976649153</v>
      </c>
      <c r="E25" s="211">
        <f t="shared" si="6"/>
        <v>8.9711099847947331</v>
      </c>
      <c r="F25" s="214">
        <f t="shared" ref="F25:F30" si="8">100*((B25/B13)-1)</f>
        <v>21.331828442437928</v>
      </c>
      <c r="G25" s="214"/>
      <c r="H25" s="217">
        <f t="shared" si="0"/>
        <v>2.4768992248062016</v>
      </c>
    </row>
    <row r="26" spans="1:8" ht="16.5">
      <c r="A26" s="216">
        <v>37196</v>
      </c>
      <c r="B26" s="226">
        <f>+geral!E1274</f>
        <v>21.24</v>
      </c>
      <c r="C26" s="211">
        <f t="shared" si="2"/>
        <v>116.44736842105264</v>
      </c>
      <c r="D26" s="211">
        <f t="shared" si="7"/>
        <v>-1.2093023255814073</v>
      </c>
      <c r="E26" s="211">
        <f t="shared" si="6"/>
        <v>7.6533198175367412</v>
      </c>
      <c r="F26" s="214">
        <f t="shared" si="8"/>
        <v>5.3571428571428381</v>
      </c>
      <c r="G26" s="214"/>
      <c r="H26" s="217">
        <f t="shared" si="0"/>
        <v>2.5072190834902703</v>
      </c>
    </row>
    <row r="27" spans="1:8" ht="16.5">
      <c r="A27" s="216">
        <v>37226</v>
      </c>
      <c r="B27" s="226">
        <f>+geral!E1275</f>
        <v>21.8</v>
      </c>
      <c r="C27" s="211">
        <f t="shared" si="2"/>
        <v>119.51754385964914</v>
      </c>
      <c r="D27" s="211">
        <f t="shared" si="7"/>
        <v>2.6365348399246757</v>
      </c>
      <c r="E27" s="211">
        <f t="shared" si="6"/>
        <v>10.491637100861627</v>
      </c>
      <c r="F27" s="214">
        <f t="shared" si="8"/>
        <v>10.491637100861627</v>
      </c>
      <c r="G27" s="214"/>
      <c r="H27" s="217">
        <f t="shared" si="0"/>
        <v>2.4428134556574923</v>
      </c>
    </row>
    <row r="28" spans="1:8" ht="16.5">
      <c r="A28" s="216">
        <v>37257</v>
      </c>
      <c r="B28" s="226">
        <f>+geral!G1264</f>
        <v>23.8</v>
      </c>
      <c r="C28" s="211">
        <f t="shared" si="2"/>
        <v>130.48245614035088</v>
      </c>
      <c r="D28" s="211">
        <f t="shared" si="7"/>
        <v>9.174311926605494</v>
      </c>
      <c r="E28" s="211">
        <f t="shared" ref="E28:E33" si="9">100*((B28/$B$27)-1)</f>
        <v>9.174311926605494</v>
      </c>
      <c r="F28" s="214">
        <f t="shared" si="8"/>
        <v>26.595744680851062</v>
      </c>
      <c r="G28" s="214"/>
      <c r="H28" s="217">
        <f t="shared" si="0"/>
        <v>2.2375350140056023</v>
      </c>
    </row>
    <row r="29" spans="1:8" ht="16.5">
      <c r="A29" s="216">
        <v>37288</v>
      </c>
      <c r="B29" s="226">
        <f>+geral!G1265</f>
        <v>22</v>
      </c>
      <c r="C29" s="211">
        <f t="shared" si="2"/>
        <v>120.6140350877193</v>
      </c>
      <c r="D29" s="211">
        <f t="shared" si="7"/>
        <v>-7.5630252100840405</v>
      </c>
      <c r="E29" s="211">
        <f t="shared" si="9"/>
        <v>0.91743119266054496</v>
      </c>
      <c r="F29" s="214">
        <f t="shared" si="8"/>
        <v>6.024096385542177</v>
      </c>
      <c r="G29" s="214"/>
      <c r="H29" s="217">
        <f t="shared" si="0"/>
        <v>2.4206060606060609</v>
      </c>
    </row>
    <row r="30" spans="1:8" ht="16.5">
      <c r="A30" s="216">
        <v>37316</v>
      </c>
      <c r="B30" s="226">
        <f>+geral!G1266</f>
        <v>23.63</v>
      </c>
      <c r="C30" s="211">
        <f t="shared" si="2"/>
        <v>129.55043859649123</v>
      </c>
      <c r="D30" s="211">
        <f t="shared" ref="D30:D35" si="10">100*((B30/B29)-1)</f>
        <v>7.4090909090908985</v>
      </c>
      <c r="E30" s="211">
        <f t="shared" si="9"/>
        <v>8.3944954128440266</v>
      </c>
      <c r="F30" s="214">
        <f t="shared" si="8"/>
        <v>9.6519721577726045</v>
      </c>
      <c r="G30" s="214"/>
      <c r="H30" s="217">
        <f t="shared" si="0"/>
        <v>2.2536323882070817</v>
      </c>
    </row>
    <row r="31" spans="1:8" ht="16.5">
      <c r="A31" s="216">
        <v>37347</v>
      </c>
      <c r="B31" s="226">
        <f>+geral!G1267</f>
        <v>21.5</v>
      </c>
      <c r="C31" s="211">
        <f t="shared" si="2"/>
        <v>117.87280701754386</v>
      </c>
      <c r="D31" s="211">
        <f t="shared" si="10"/>
        <v>-9.0139652983495466</v>
      </c>
      <c r="E31" s="211">
        <f t="shared" si="9"/>
        <v>-1.3761467889908285</v>
      </c>
      <c r="F31" s="214">
        <f t="shared" ref="F31:F36" si="11">100*((B31/B19)-1)</f>
        <v>9.5820591233435124</v>
      </c>
      <c r="G31" s="214">
        <f>100*(B31/B7-1)</f>
        <v>17.872807017543877</v>
      </c>
      <c r="H31" s="217">
        <f t="shared" si="0"/>
        <v>2.4768992248062016</v>
      </c>
    </row>
    <row r="32" spans="1:8" ht="16.5">
      <c r="A32" s="216">
        <v>37377</v>
      </c>
      <c r="B32" s="226">
        <f>+geral!G1268</f>
        <v>21</v>
      </c>
      <c r="C32" s="211">
        <f t="shared" si="2"/>
        <v>115.13157894736842</v>
      </c>
      <c r="D32" s="211">
        <f t="shared" si="10"/>
        <v>-2.3255813953488413</v>
      </c>
      <c r="E32" s="211">
        <f t="shared" si="9"/>
        <v>-3.669724770642202</v>
      </c>
      <c r="F32" s="214">
        <f t="shared" si="11"/>
        <v>7.1975497702909674</v>
      </c>
      <c r="G32" s="214">
        <f t="shared" ref="G32:G40" si="12">100*(B32/B8-1)</f>
        <v>12.781954887218049</v>
      </c>
      <c r="H32" s="217">
        <f t="shared" si="0"/>
        <v>2.5358730158730163</v>
      </c>
    </row>
    <row r="33" spans="1:8" ht="16.5">
      <c r="A33" s="216">
        <v>37408</v>
      </c>
      <c r="B33" s="226">
        <f>+geral!G1269</f>
        <v>23.12</v>
      </c>
      <c r="C33" s="211">
        <f t="shared" si="2"/>
        <v>126.75438596491229</v>
      </c>
      <c r="D33" s="211">
        <f t="shared" si="10"/>
        <v>10.095238095238091</v>
      </c>
      <c r="E33" s="211">
        <f t="shared" si="9"/>
        <v>6.0550458715596278</v>
      </c>
      <c r="F33" s="214">
        <f t="shared" si="11"/>
        <v>9.0566037735849036</v>
      </c>
      <c r="G33" s="214">
        <f t="shared" si="12"/>
        <v>28.874024526198426</v>
      </c>
      <c r="H33" s="217">
        <f t="shared" si="0"/>
        <v>2.3033448673587085</v>
      </c>
    </row>
    <row r="34" spans="1:8" ht="16.5">
      <c r="A34" s="216">
        <v>37438</v>
      </c>
      <c r="B34" s="226">
        <f>+geral!G1270</f>
        <v>22.34</v>
      </c>
      <c r="C34" s="211">
        <f t="shared" si="2"/>
        <v>122.4780701754386</v>
      </c>
      <c r="D34" s="211">
        <f t="shared" si="10"/>
        <v>-3.3737024221453304</v>
      </c>
      <c r="E34" s="211">
        <f t="shared" ref="E34:E39" si="13">100*((B34/$B$27)-1)</f>
        <v>2.477064220183478</v>
      </c>
      <c r="F34" s="214">
        <f t="shared" si="11"/>
        <v>8.0270793036750554</v>
      </c>
      <c r="G34" s="214">
        <f t="shared" si="12"/>
        <v>24.944071588366889</v>
      </c>
      <c r="H34" s="217">
        <f t="shared" si="0"/>
        <v>2.3837660399880636</v>
      </c>
    </row>
    <row r="35" spans="1:8" ht="16.5">
      <c r="A35" s="216">
        <v>37469</v>
      </c>
      <c r="B35" s="226">
        <f>+geral!G1271</f>
        <v>26.8</v>
      </c>
      <c r="C35" s="211">
        <f t="shared" si="2"/>
        <v>146.92982456140354</v>
      </c>
      <c r="D35" s="211">
        <f t="shared" si="10"/>
        <v>19.964189794091315</v>
      </c>
      <c r="E35" s="211">
        <f t="shared" si="13"/>
        <v>22.935779816513758</v>
      </c>
      <c r="F35" s="214">
        <f t="shared" si="11"/>
        <v>28.908128908128926</v>
      </c>
      <c r="G35" s="214">
        <f t="shared" si="12"/>
        <v>44.08602150537633</v>
      </c>
      <c r="H35" s="217">
        <f t="shared" si="0"/>
        <v>1.9870646766169155</v>
      </c>
    </row>
    <row r="36" spans="1:8" ht="16.5">
      <c r="A36" s="216">
        <v>37500</v>
      </c>
      <c r="B36" s="226">
        <f>+geral!G1272</f>
        <v>25.6</v>
      </c>
      <c r="C36" s="211">
        <f t="shared" si="2"/>
        <v>140.35087719298247</v>
      </c>
      <c r="D36" s="211">
        <f t="shared" ref="D36:D41" si="14">100*((B36/B35)-1)</f>
        <v>-4.4776119402985088</v>
      </c>
      <c r="E36" s="211">
        <f t="shared" si="13"/>
        <v>17.431192660550465</v>
      </c>
      <c r="F36" s="214">
        <f t="shared" si="11"/>
        <v>49.445417396380641</v>
      </c>
      <c r="G36" s="214">
        <f t="shared" si="12"/>
        <v>32.642487046632127</v>
      </c>
      <c r="H36" s="217">
        <f t="shared" si="0"/>
        <v>2.0802083333333332</v>
      </c>
    </row>
    <row r="37" spans="1:8" ht="16.5">
      <c r="A37" s="216">
        <v>37530</v>
      </c>
      <c r="B37" s="226">
        <f>+geral!G1273</f>
        <v>25.78</v>
      </c>
      <c r="C37" s="211">
        <f t="shared" si="2"/>
        <v>141.33771929824562</v>
      </c>
      <c r="D37" s="211">
        <f t="shared" si="14"/>
        <v>0.70312500000000444</v>
      </c>
      <c r="E37" s="211">
        <f t="shared" si="13"/>
        <v>18.256880733944957</v>
      </c>
      <c r="F37" s="214">
        <f t="shared" ref="F37:F42" si="15">100*((B37/B25)-1)</f>
        <v>19.906976744186046</v>
      </c>
      <c r="G37" s="214">
        <f t="shared" si="12"/>
        <v>45.485327313769773</v>
      </c>
      <c r="H37" s="217">
        <f t="shared" si="0"/>
        <v>2.065683992759245</v>
      </c>
    </row>
    <row r="38" spans="1:8" ht="16.5">
      <c r="A38" s="216">
        <v>37561</v>
      </c>
      <c r="B38" s="226">
        <f>+geral!G1274</f>
        <v>28.2</v>
      </c>
      <c r="C38" s="211">
        <f t="shared" si="2"/>
        <v>154.60526315789474</v>
      </c>
      <c r="D38" s="211">
        <f t="shared" si="14"/>
        <v>9.3871217998448451</v>
      </c>
      <c r="E38" s="211">
        <f t="shared" si="13"/>
        <v>29.357798165137616</v>
      </c>
      <c r="F38" s="214">
        <f t="shared" si="15"/>
        <v>32.768361581920914</v>
      </c>
      <c r="G38" s="214">
        <f t="shared" si="12"/>
        <v>39.880952380952372</v>
      </c>
      <c r="H38" s="217">
        <f t="shared" si="0"/>
        <v>1.8884160756501185</v>
      </c>
    </row>
    <row r="39" spans="1:8" ht="16.5">
      <c r="A39" s="216">
        <v>37591</v>
      </c>
      <c r="B39" s="226">
        <f>+geral!G1275</f>
        <v>33.659999999999997</v>
      </c>
      <c r="C39" s="211">
        <f t="shared" si="2"/>
        <v>184.53947368421052</v>
      </c>
      <c r="D39" s="211">
        <f t="shared" si="14"/>
        <v>19.361702127659576</v>
      </c>
      <c r="E39" s="211">
        <f t="shared" si="13"/>
        <v>54.403669724770623</v>
      </c>
      <c r="F39" s="214">
        <f t="shared" si="15"/>
        <v>54.403669724770623</v>
      </c>
      <c r="G39" s="214">
        <f t="shared" si="12"/>
        <v>70.603142422706512</v>
      </c>
      <c r="H39" s="217">
        <f t="shared" ref="H39:H70" si="16">$B$171/B39</f>
        <v>1.582095464448406</v>
      </c>
    </row>
    <row r="40" spans="1:8" ht="16.5">
      <c r="A40" s="216">
        <v>37622</v>
      </c>
      <c r="B40" s="226">
        <f>+geral!I1264</f>
        <v>27.12</v>
      </c>
      <c r="C40" s="211">
        <f t="shared" si="2"/>
        <v>148.68421052631581</v>
      </c>
      <c r="D40" s="211">
        <f t="shared" si="14"/>
        <v>-19.429590017825305</v>
      </c>
      <c r="E40" s="211">
        <f t="shared" ref="E40:E45" si="17">100*((B40/$B$39)-1)</f>
        <v>-19.429590017825305</v>
      </c>
      <c r="F40" s="214">
        <f t="shared" si="15"/>
        <v>13.949579831932768</v>
      </c>
      <c r="G40" s="214">
        <f t="shared" si="12"/>
        <v>44.255319148936167</v>
      </c>
      <c r="H40" s="217">
        <f t="shared" si="16"/>
        <v>1.9636184857423795</v>
      </c>
    </row>
    <row r="41" spans="1:8" ht="16.5">
      <c r="A41" s="216">
        <v>37653</v>
      </c>
      <c r="B41" s="226">
        <f>+geral!I1265</f>
        <v>30.2</v>
      </c>
      <c r="C41" s="211">
        <f t="shared" si="2"/>
        <v>165.57017543859649</v>
      </c>
      <c r="D41" s="211">
        <f t="shared" si="14"/>
        <v>11.356932153392329</v>
      </c>
      <c r="E41" s="211">
        <f t="shared" si="17"/>
        <v>-10.279263220439683</v>
      </c>
      <c r="F41" s="214">
        <f t="shared" si="15"/>
        <v>37.27272727272728</v>
      </c>
      <c r="G41" s="214">
        <f t="shared" ref="G41:G46" si="18">100*(B41/B17-1)</f>
        <v>45.5421686746988</v>
      </c>
      <c r="H41" s="217">
        <f t="shared" si="16"/>
        <v>1.7633554083885212</v>
      </c>
    </row>
    <row r="42" spans="1:8" ht="16.5">
      <c r="A42" s="216">
        <v>37681</v>
      </c>
      <c r="B42" s="226">
        <f>+geral!I1266</f>
        <v>35.9</v>
      </c>
      <c r="C42" s="211">
        <f t="shared" si="2"/>
        <v>196.82017543859652</v>
      </c>
      <c r="D42" s="211">
        <f t="shared" ref="D42:D47" si="19">100*((B42/B41)-1)</f>
        <v>18.87417218543046</v>
      </c>
      <c r="E42" s="211">
        <f t="shared" si="17"/>
        <v>6.6547831253713774</v>
      </c>
      <c r="F42" s="214">
        <f t="shared" si="15"/>
        <v>51.925518408802375</v>
      </c>
      <c r="G42" s="214">
        <f t="shared" si="18"/>
        <v>66.589327146171669</v>
      </c>
      <c r="H42" s="217">
        <f t="shared" si="16"/>
        <v>1.4833797585886723</v>
      </c>
    </row>
    <row r="43" spans="1:8" ht="16.5">
      <c r="A43" s="216">
        <v>37712</v>
      </c>
      <c r="B43" s="226">
        <f>+geral!I1267</f>
        <v>33.36</v>
      </c>
      <c r="C43" s="211">
        <f t="shared" si="2"/>
        <v>182.89473684210529</v>
      </c>
      <c r="D43" s="211">
        <f t="shared" si="19"/>
        <v>-7.075208913649023</v>
      </c>
      <c r="E43" s="211">
        <f t="shared" si="17"/>
        <v>-0.89126559714793885</v>
      </c>
      <c r="F43" s="214">
        <f t="shared" ref="F43:F48" si="20">100*((B43/B31)-1)</f>
        <v>55.162790697674424</v>
      </c>
      <c r="G43" s="214">
        <f t="shared" si="18"/>
        <v>70.030581039755347</v>
      </c>
      <c r="H43" s="217">
        <f t="shared" si="16"/>
        <v>1.5963229416466829</v>
      </c>
    </row>
    <row r="44" spans="1:8" ht="16.5">
      <c r="A44" s="216">
        <v>37742</v>
      </c>
      <c r="B44" s="226">
        <f>+geral!I1268</f>
        <v>34.75</v>
      </c>
      <c r="C44" s="211">
        <f t="shared" si="2"/>
        <v>190.51535087719299</v>
      </c>
      <c r="D44" s="211">
        <f t="shared" si="19"/>
        <v>4.1666666666666741</v>
      </c>
      <c r="E44" s="211">
        <f t="shared" si="17"/>
        <v>3.2382650029708859</v>
      </c>
      <c r="F44" s="214">
        <f t="shared" si="20"/>
        <v>65.476190476190467</v>
      </c>
      <c r="G44" s="214">
        <f t="shared" si="18"/>
        <v>77.386421643695755</v>
      </c>
      <c r="H44" s="217">
        <f t="shared" si="16"/>
        <v>1.5324700239808156</v>
      </c>
    </row>
    <row r="45" spans="1:8" ht="16.5">
      <c r="A45" s="216">
        <v>37773</v>
      </c>
      <c r="B45" s="226">
        <f>+geral!I1269</f>
        <v>34.25</v>
      </c>
      <c r="C45" s="211">
        <f t="shared" si="2"/>
        <v>187.77412280701756</v>
      </c>
      <c r="D45" s="211">
        <f t="shared" si="19"/>
        <v>-1.4388489208633115</v>
      </c>
      <c r="E45" s="211">
        <f t="shared" si="17"/>
        <v>1.7528223410576471</v>
      </c>
      <c r="F45" s="214">
        <f t="shared" si="20"/>
        <v>48.140138408304487</v>
      </c>
      <c r="G45" s="214">
        <f t="shared" si="18"/>
        <v>61.556603773584918</v>
      </c>
      <c r="H45" s="217">
        <f t="shared" si="16"/>
        <v>1.5548418491484186</v>
      </c>
    </row>
    <row r="46" spans="1:8" ht="16.5">
      <c r="A46" s="216">
        <v>37803</v>
      </c>
      <c r="B46" s="226">
        <f>+geral!I1270</f>
        <v>26.75</v>
      </c>
      <c r="C46" s="211">
        <f t="shared" si="2"/>
        <v>146.65570175438597</v>
      </c>
      <c r="D46" s="211">
        <f t="shared" si="19"/>
        <v>-21.897810218978098</v>
      </c>
      <c r="E46" s="211">
        <f t="shared" ref="E46:E51" si="21">100*((B46/$B$39)-1)</f>
        <v>-20.528817587641115</v>
      </c>
      <c r="F46" s="214">
        <f t="shared" si="20"/>
        <v>19.740376007162052</v>
      </c>
      <c r="G46" s="214">
        <f t="shared" si="18"/>
        <v>29.352030947775631</v>
      </c>
      <c r="H46" s="217">
        <f t="shared" si="16"/>
        <v>1.9907788161993771</v>
      </c>
    </row>
    <row r="47" spans="1:8" ht="16.5">
      <c r="A47" s="216">
        <v>37834</v>
      </c>
      <c r="B47" s="226">
        <f>+geral!I1271</f>
        <v>36.630000000000003</v>
      </c>
      <c r="C47" s="211">
        <f t="shared" si="2"/>
        <v>200.82236842105269</v>
      </c>
      <c r="D47" s="211">
        <f t="shared" si="19"/>
        <v>36.934579439252332</v>
      </c>
      <c r="E47" s="211">
        <f t="shared" si="21"/>
        <v>8.8235294117647189</v>
      </c>
      <c r="F47" s="214">
        <f t="shared" si="20"/>
        <v>36.679104477611958</v>
      </c>
      <c r="G47" s="214">
        <f t="shared" ref="G47:G52" si="22">100*(B47/B23-1)</f>
        <v>76.190476190476204</v>
      </c>
      <c r="H47" s="217">
        <f t="shared" si="16"/>
        <v>1.4538174538174538</v>
      </c>
    </row>
    <row r="48" spans="1:8" ht="16.5">
      <c r="A48" s="216">
        <v>37865</v>
      </c>
      <c r="B48" s="226">
        <f>+geral!I1272</f>
        <v>34.72</v>
      </c>
      <c r="C48" s="211">
        <f t="shared" si="2"/>
        <v>190.35087719298247</v>
      </c>
      <c r="D48" s="211">
        <f t="shared" ref="D48:D53" si="23">100*((B48/B47)-1)</f>
        <v>-5.2143052143052255</v>
      </c>
      <c r="E48" s="211">
        <f t="shared" si="21"/>
        <v>3.1491384432561054</v>
      </c>
      <c r="F48" s="214">
        <f t="shared" si="20"/>
        <v>35.624999999999993</v>
      </c>
      <c r="G48" s="214">
        <f t="shared" si="22"/>
        <v>102.6853473438412</v>
      </c>
      <c r="H48" s="217">
        <f t="shared" si="16"/>
        <v>1.5337941628264211</v>
      </c>
    </row>
    <row r="49" spans="1:8" ht="16.5">
      <c r="A49" s="216">
        <v>37895</v>
      </c>
      <c r="B49" s="226">
        <f>+geral!I1273</f>
        <v>32.21</v>
      </c>
      <c r="C49" s="211">
        <f t="shared" si="2"/>
        <v>176.58991228070178</v>
      </c>
      <c r="D49" s="211">
        <f t="shared" si="23"/>
        <v>-7.2292626728110543</v>
      </c>
      <c r="E49" s="211">
        <f t="shared" si="21"/>
        <v>-4.3077837195484081</v>
      </c>
      <c r="F49" s="214">
        <f t="shared" ref="F49:F54" si="24">100*((B49/B37)-1)</f>
        <v>24.941815360744755</v>
      </c>
      <c r="G49" s="214">
        <f t="shared" si="22"/>
        <v>49.8139534883721</v>
      </c>
      <c r="H49" s="217">
        <f t="shared" si="16"/>
        <v>1.6533167753285729</v>
      </c>
    </row>
    <row r="50" spans="1:8" ht="16.5">
      <c r="A50" s="216">
        <v>37926</v>
      </c>
      <c r="B50" s="226">
        <f>+geral!I1274</f>
        <v>29.34</v>
      </c>
      <c r="C50" s="211">
        <f t="shared" si="2"/>
        <v>160.85526315789474</v>
      </c>
      <c r="D50" s="211">
        <f t="shared" si="23"/>
        <v>-8.9102763117044468</v>
      </c>
      <c r="E50" s="211">
        <f t="shared" si="21"/>
        <v>-12.834224598930478</v>
      </c>
      <c r="F50" s="214">
        <f t="shared" si="24"/>
        <v>4.042553191489362</v>
      </c>
      <c r="G50" s="214">
        <f t="shared" si="22"/>
        <v>38.13559322033899</v>
      </c>
      <c r="H50" s="217">
        <f t="shared" si="16"/>
        <v>1.8150420359009318</v>
      </c>
    </row>
    <row r="51" spans="1:8" ht="16.5">
      <c r="A51" s="216">
        <v>37956</v>
      </c>
      <c r="B51" s="226">
        <f>+geral!I1275</f>
        <v>37.4</v>
      </c>
      <c r="C51" s="211">
        <f t="shared" si="2"/>
        <v>205.04385964912282</v>
      </c>
      <c r="D51" s="211">
        <f t="shared" si="23"/>
        <v>27.471029311520102</v>
      </c>
      <c r="E51" s="211">
        <f t="shared" si="21"/>
        <v>11.111111111111116</v>
      </c>
      <c r="F51" s="214">
        <f t="shared" si="24"/>
        <v>11.111111111111116</v>
      </c>
      <c r="G51" s="214">
        <f t="shared" si="22"/>
        <v>71.559633027522935</v>
      </c>
      <c r="H51" s="217">
        <f t="shared" si="16"/>
        <v>1.4238859180035652</v>
      </c>
    </row>
    <row r="52" spans="1:8" ht="16.5">
      <c r="A52" s="216">
        <v>37622</v>
      </c>
      <c r="B52" s="226">
        <f>+geral!K1264</f>
        <v>34.22</v>
      </c>
      <c r="C52" s="211">
        <f t="shared" si="2"/>
        <v>187.60964912280704</v>
      </c>
      <c r="D52" s="211">
        <f t="shared" si="23"/>
        <v>-8.5026737967914379</v>
      </c>
      <c r="E52" s="211">
        <f t="shared" ref="E52:E57" si="25">100*((B52/$B$51)-1)</f>
        <v>-8.5026737967914379</v>
      </c>
      <c r="F52" s="214">
        <f t="shared" si="24"/>
        <v>26.179941002949846</v>
      </c>
      <c r="G52" s="214">
        <f t="shared" si="22"/>
        <v>43.781512605042018</v>
      </c>
      <c r="H52" s="217">
        <f t="shared" si="16"/>
        <v>1.5562049483732712</v>
      </c>
    </row>
    <row r="53" spans="1:8" ht="16.5">
      <c r="A53" s="216">
        <v>38018</v>
      </c>
      <c r="B53" s="226">
        <f>+geral!K1265</f>
        <v>36.700000000000003</v>
      </c>
      <c r="C53" s="211">
        <f t="shared" si="2"/>
        <v>201.20614035087723</v>
      </c>
      <c r="D53" s="211">
        <f t="shared" si="23"/>
        <v>7.247223845704287</v>
      </c>
      <c r="E53" s="211">
        <f t="shared" si="25"/>
        <v>-1.8716577540106805</v>
      </c>
      <c r="F53" s="214">
        <f t="shared" si="24"/>
        <v>21.52317880794703</v>
      </c>
      <c r="G53" s="214">
        <f t="shared" ref="G53:G58" si="26">100*(B53/B29-1)</f>
        <v>66.818181818181827</v>
      </c>
      <c r="H53" s="217">
        <f t="shared" si="16"/>
        <v>1.4510445049954586</v>
      </c>
    </row>
    <row r="54" spans="1:8" ht="16.5">
      <c r="A54" s="216">
        <v>38047</v>
      </c>
      <c r="B54" s="226">
        <f>+geral!K1266</f>
        <v>38.4</v>
      </c>
      <c r="C54" s="211">
        <f t="shared" si="2"/>
        <v>210.5263157894737</v>
      </c>
      <c r="D54" s="211">
        <f t="shared" ref="D54:D59" si="27">100*((B54/B53)-1)</f>
        <v>4.632152588555849</v>
      </c>
      <c r="E54" s="211">
        <f t="shared" si="25"/>
        <v>2.673796791443861</v>
      </c>
      <c r="F54" s="214">
        <f t="shared" si="24"/>
        <v>6.9637883008356605</v>
      </c>
      <c r="G54" s="214">
        <f t="shared" si="26"/>
        <v>62.50528988573847</v>
      </c>
      <c r="H54" s="217">
        <f t="shared" si="16"/>
        <v>1.3868055555555556</v>
      </c>
    </row>
    <row r="55" spans="1:8" ht="16.5">
      <c r="A55" s="216">
        <v>38078</v>
      </c>
      <c r="B55" s="226">
        <f>+geral!K1267</f>
        <v>40.950000000000003</v>
      </c>
      <c r="C55" s="211">
        <f t="shared" si="2"/>
        <v>224.50657894736847</v>
      </c>
      <c r="D55" s="211">
        <f t="shared" si="27"/>
        <v>6.6406250000000222</v>
      </c>
      <c r="E55" s="211">
        <f t="shared" si="25"/>
        <v>9.4919786096256722</v>
      </c>
      <c r="F55" s="214">
        <f t="shared" ref="F55:F60" si="28">100*((B55/B43)-1)</f>
        <v>22.751798561151084</v>
      </c>
      <c r="G55" s="214">
        <f t="shared" si="26"/>
        <v>90.46511627906979</v>
      </c>
      <c r="H55" s="217">
        <f t="shared" si="16"/>
        <v>1.3004477004477004</v>
      </c>
    </row>
    <row r="56" spans="1:8" ht="16.5">
      <c r="A56" s="216">
        <v>38108</v>
      </c>
      <c r="B56" s="226">
        <f>+geral!K1268</f>
        <v>36.25</v>
      </c>
      <c r="C56" s="211">
        <f t="shared" si="2"/>
        <v>198.73903508771932</v>
      </c>
      <c r="D56" s="211">
        <f t="shared" si="27"/>
        <v>-11.477411477411481</v>
      </c>
      <c r="E56" s="211">
        <f t="shared" si="25"/>
        <v>-3.074866310160429</v>
      </c>
      <c r="F56" s="214">
        <f t="shared" si="28"/>
        <v>4.3165467625899234</v>
      </c>
      <c r="G56" s="214">
        <f t="shared" si="26"/>
        <v>72.61904761904762</v>
      </c>
      <c r="H56" s="217">
        <f t="shared" si="16"/>
        <v>1.469057471264368</v>
      </c>
    </row>
    <row r="57" spans="1:8" ht="16.5">
      <c r="A57" s="216">
        <v>38139</v>
      </c>
      <c r="B57" s="226">
        <f>+geral!K1269</f>
        <v>38.6</v>
      </c>
      <c r="C57" s="211">
        <f t="shared" si="2"/>
        <v>211.62280701754389</v>
      </c>
      <c r="D57" s="211">
        <f t="shared" si="27"/>
        <v>6.4827586206896548</v>
      </c>
      <c r="E57" s="211">
        <f t="shared" si="25"/>
        <v>3.2085561497326331</v>
      </c>
      <c r="F57" s="214">
        <f t="shared" si="28"/>
        <v>12.700729927007304</v>
      </c>
      <c r="G57" s="214">
        <f t="shared" si="26"/>
        <v>66.955017301038055</v>
      </c>
      <c r="H57" s="217">
        <f t="shared" si="16"/>
        <v>1.3796200345423144</v>
      </c>
    </row>
    <row r="58" spans="1:8" ht="16.5">
      <c r="A58" s="216">
        <v>38169</v>
      </c>
      <c r="B58" s="226">
        <f>+geral!K1270</f>
        <v>37.76</v>
      </c>
      <c r="C58" s="211">
        <f t="shared" si="2"/>
        <v>207.01754385964915</v>
      </c>
      <c r="D58" s="211">
        <f t="shared" si="27"/>
        <v>-2.1761658031088205</v>
      </c>
      <c r="E58" s="211">
        <f t="shared" ref="E58:E63" si="29">100*((B58/$B$51)-1)</f>
        <v>0.96256684491977662</v>
      </c>
      <c r="F58" s="214">
        <f t="shared" si="28"/>
        <v>41.158878504672877</v>
      </c>
      <c r="G58" s="214">
        <f t="shared" si="26"/>
        <v>69.024171888988349</v>
      </c>
      <c r="H58" s="217">
        <f t="shared" si="16"/>
        <v>1.410310734463277</v>
      </c>
    </row>
    <row r="59" spans="1:8" ht="16.5">
      <c r="A59" s="216">
        <v>38200</v>
      </c>
      <c r="B59" s="226">
        <f>+geral!K1271</f>
        <v>36</v>
      </c>
      <c r="C59" s="211">
        <f t="shared" si="2"/>
        <v>197.36842105263159</v>
      </c>
      <c r="D59" s="211">
        <f t="shared" si="27"/>
        <v>-4.6610169491525415</v>
      </c>
      <c r="E59" s="211">
        <f t="shared" si="29"/>
        <v>-3.7433155080213831</v>
      </c>
      <c r="F59" s="214">
        <f t="shared" si="28"/>
        <v>-1.7199017199017286</v>
      </c>
      <c r="G59" s="214">
        <f t="shared" ref="G59:G64" si="30">100*(B59/B35-1)</f>
        <v>34.328358208955208</v>
      </c>
      <c r="H59" s="217">
        <f t="shared" si="16"/>
        <v>1.4792592592592593</v>
      </c>
    </row>
    <row r="60" spans="1:8" ht="16.5">
      <c r="A60" s="216">
        <v>38231</v>
      </c>
      <c r="B60" s="226">
        <f>+geral!K1272</f>
        <v>37.24</v>
      </c>
      <c r="C60" s="211">
        <f t="shared" si="2"/>
        <v>204.16666666666669</v>
      </c>
      <c r="D60" s="211">
        <f t="shared" ref="D60:D65" si="31">100*((B60/B59)-1)</f>
        <v>3.44444444444445</v>
      </c>
      <c r="E60" s="211">
        <f t="shared" si="29"/>
        <v>-0.42780748663100443</v>
      </c>
      <c r="F60" s="214">
        <f t="shared" si="28"/>
        <v>7.258064516129048</v>
      </c>
      <c r="G60" s="214">
        <f t="shared" si="30"/>
        <v>45.468749999999993</v>
      </c>
      <c r="H60" s="217">
        <f t="shared" si="16"/>
        <v>1.4300035803795204</v>
      </c>
    </row>
    <row r="61" spans="1:8" ht="16.5">
      <c r="A61" s="216">
        <v>38261</v>
      </c>
      <c r="B61" s="226">
        <f>+geral!K1273</f>
        <v>36.64</v>
      </c>
      <c r="C61" s="211">
        <f t="shared" si="2"/>
        <v>200.87719298245617</v>
      </c>
      <c r="D61" s="211">
        <f t="shared" si="31"/>
        <v>-1.611170784103122</v>
      </c>
      <c r="E61" s="211">
        <f t="shared" si="29"/>
        <v>-2.032085561497321</v>
      </c>
      <c r="F61" s="214">
        <f t="shared" ref="F61:F66" si="32">100*((B61/B49)-1)</f>
        <v>13.753492704129155</v>
      </c>
      <c r="G61" s="214">
        <f t="shared" si="30"/>
        <v>42.1256788207913</v>
      </c>
      <c r="H61" s="217">
        <f t="shared" si="16"/>
        <v>1.4534206695778749</v>
      </c>
    </row>
    <row r="62" spans="1:8" ht="16.5">
      <c r="A62" s="216">
        <v>38292</v>
      </c>
      <c r="B62" s="226">
        <f>+geral!K1274</f>
        <v>36.299999999999997</v>
      </c>
      <c r="C62" s="211">
        <f t="shared" si="2"/>
        <v>199.01315789473682</v>
      </c>
      <c r="D62" s="211">
        <f t="shared" si="31"/>
        <v>-0.92794759825328699</v>
      </c>
      <c r="E62" s="211">
        <f t="shared" si="29"/>
        <v>-2.9411764705882359</v>
      </c>
      <c r="F62" s="214">
        <f t="shared" si="32"/>
        <v>23.721881390593037</v>
      </c>
      <c r="G62" s="214">
        <f t="shared" si="30"/>
        <v>28.723404255319139</v>
      </c>
      <c r="H62" s="217">
        <f t="shared" si="16"/>
        <v>1.4670339761248854</v>
      </c>
    </row>
    <row r="63" spans="1:8" ht="16.5">
      <c r="A63" s="216">
        <v>38322</v>
      </c>
      <c r="B63" s="226">
        <f>+geral!K1275</f>
        <v>38.479999999999997</v>
      </c>
      <c r="C63" s="211">
        <f t="shared" si="2"/>
        <v>210.96491228070175</v>
      </c>
      <c r="D63" s="211">
        <f t="shared" si="31"/>
        <v>6.0055096418732745</v>
      </c>
      <c r="E63" s="211">
        <f t="shared" si="29"/>
        <v>2.8877005347593521</v>
      </c>
      <c r="F63" s="214">
        <f t="shared" si="32"/>
        <v>2.8877005347593521</v>
      </c>
      <c r="G63" s="214">
        <f t="shared" si="30"/>
        <v>14.319667260843726</v>
      </c>
      <c r="H63" s="217">
        <f t="shared" si="16"/>
        <v>1.3839223839223842</v>
      </c>
    </row>
    <row r="64" spans="1:8" ht="16.5">
      <c r="A64" s="216">
        <v>38353</v>
      </c>
      <c r="B64" s="226">
        <f>+geral!M1264</f>
        <v>36.5</v>
      </c>
      <c r="C64" s="211">
        <f t="shared" si="2"/>
        <v>200.10964912280704</v>
      </c>
      <c r="D64" s="211">
        <f t="shared" si="31"/>
        <v>-5.1455301455301417</v>
      </c>
      <c r="E64" s="211">
        <f t="shared" ref="E64:E69" si="33">100*((B64/$B$63)-1)</f>
        <v>-5.1455301455301417</v>
      </c>
      <c r="F64" s="214">
        <f t="shared" si="32"/>
        <v>6.6627703097603685</v>
      </c>
      <c r="G64" s="214">
        <f t="shared" si="30"/>
        <v>34.587020648967545</v>
      </c>
      <c r="H64" s="217">
        <f t="shared" si="16"/>
        <v>1.4589954337899544</v>
      </c>
    </row>
    <row r="65" spans="1:8" ht="16.5">
      <c r="A65" s="216">
        <v>38384</v>
      </c>
      <c r="B65" s="226">
        <f>+geral!M1265</f>
        <v>35.93</v>
      </c>
      <c r="C65" s="211">
        <f t="shared" si="2"/>
        <v>196.98464912280704</v>
      </c>
      <c r="D65" s="211">
        <f t="shared" si="31"/>
        <v>-1.5616438356164442</v>
      </c>
      <c r="E65" s="211">
        <f t="shared" si="33"/>
        <v>-6.6268191268191163</v>
      </c>
      <c r="F65" s="214">
        <f t="shared" si="32"/>
        <v>-2.0980926430517743</v>
      </c>
      <c r="G65" s="214">
        <f t="shared" ref="G65:G70" si="34">100*(B65/B41-1)</f>
        <v>18.973509933774846</v>
      </c>
      <c r="H65" s="217">
        <f t="shared" si="16"/>
        <v>1.4821412004824197</v>
      </c>
    </row>
    <row r="66" spans="1:8" ht="16.5">
      <c r="A66" s="216">
        <v>38412</v>
      </c>
      <c r="B66" s="226">
        <f>+geral!M1266</f>
        <v>37.049999999999997</v>
      </c>
      <c r="C66" s="211">
        <f t="shared" si="2"/>
        <v>203.125</v>
      </c>
      <c r="D66" s="211">
        <f t="shared" ref="D66:D71" si="35">100*((B66/B65)-1)</f>
        <v>3.1171722794322232</v>
      </c>
      <c r="E66" s="211">
        <f t="shared" si="33"/>
        <v>-3.7162162162162171</v>
      </c>
      <c r="F66" s="214">
        <f t="shared" si="32"/>
        <v>-3.515625</v>
      </c>
      <c r="G66" s="214">
        <f t="shared" si="34"/>
        <v>3.2033426183843972</v>
      </c>
      <c r="H66" s="217">
        <f t="shared" si="16"/>
        <v>1.4373369320737743</v>
      </c>
    </row>
    <row r="67" spans="1:8" ht="16.5">
      <c r="A67" s="216">
        <v>38443</v>
      </c>
      <c r="B67" s="226">
        <f>+geral!M1267</f>
        <v>38.880000000000003</v>
      </c>
      <c r="C67" s="211">
        <f t="shared" si="2"/>
        <v>213.15789473684214</v>
      </c>
      <c r="D67" s="211">
        <f t="shared" si="35"/>
        <v>4.9392712550607509</v>
      </c>
      <c r="E67" s="211">
        <f t="shared" si="33"/>
        <v>1.0395010395010562</v>
      </c>
      <c r="F67" s="214">
        <f t="shared" ref="F67:F72" si="36">100*((B67/B55)-1)</f>
        <v>-5.0549450549450592</v>
      </c>
      <c r="G67" s="214">
        <f t="shared" si="34"/>
        <v>16.546762589928065</v>
      </c>
      <c r="H67" s="217">
        <f t="shared" si="16"/>
        <v>1.3696844993141291</v>
      </c>
    </row>
    <row r="68" spans="1:8" ht="16.5">
      <c r="A68" s="216">
        <v>38473</v>
      </c>
      <c r="B68" s="226">
        <f>+geral!M1268</f>
        <v>36.5</v>
      </c>
      <c r="C68" s="211">
        <f t="shared" si="2"/>
        <v>200.10964912280704</v>
      </c>
      <c r="D68" s="211">
        <f t="shared" si="35"/>
        <v>-6.1213991769547338</v>
      </c>
      <c r="E68" s="211">
        <f t="shared" si="33"/>
        <v>-5.1455301455301417</v>
      </c>
      <c r="F68" s="214">
        <f t="shared" si="36"/>
        <v>0.68965517241379448</v>
      </c>
      <c r="G68" s="214">
        <f t="shared" si="34"/>
        <v>5.0359712230215736</v>
      </c>
      <c r="H68" s="217">
        <f t="shared" si="16"/>
        <v>1.4589954337899544</v>
      </c>
    </row>
    <row r="69" spans="1:8" ht="16.5">
      <c r="A69" s="216">
        <v>38504</v>
      </c>
      <c r="B69" s="226">
        <f>+geral!M1269</f>
        <v>36.799999999999997</v>
      </c>
      <c r="C69" s="211">
        <f t="shared" si="2"/>
        <v>201.75438596491227</v>
      </c>
      <c r="D69" s="211">
        <f t="shared" si="35"/>
        <v>0.8219178082191636</v>
      </c>
      <c r="E69" s="211">
        <f t="shared" si="33"/>
        <v>-4.3659043659043606</v>
      </c>
      <c r="F69" s="214">
        <f t="shared" si="36"/>
        <v>-4.6632124352331665</v>
      </c>
      <c r="G69" s="214">
        <f t="shared" si="34"/>
        <v>7.445255474452539</v>
      </c>
      <c r="H69" s="217">
        <f t="shared" si="16"/>
        <v>1.4471014492753624</v>
      </c>
    </row>
    <row r="70" spans="1:8" ht="16.5">
      <c r="A70" s="216">
        <v>38534</v>
      </c>
      <c r="B70" s="226">
        <f>+geral!M1270</f>
        <v>39.29</v>
      </c>
      <c r="C70" s="211">
        <f t="shared" si="2"/>
        <v>215.40570175438597</v>
      </c>
      <c r="D70" s="211">
        <f t="shared" si="35"/>
        <v>6.766304347826102</v>
      </c>
      <c r="E70" s="211">
        <f t="shared" ref="E70:E75" si="37">100*((B70/$B$63)-1)</f>
        <v>2.1049896049896155</v>
      </c>
      <c r="F70" s="214">
        <f t="shared" si="36"/>
        <v>4.0519067796610297</v>
      </c>
      <c r="G70" s="214">
        <f t="shared" si="34"/>
        <v>46.878504672897201</v>
      </c>
      <c r="H70" s="217">
        <f t="shared" si="16"/>
        <v>1.35539153304488</v>
      </c>
    </row>
    <row r="71" spans="1:8" ht="16.5">
      <c r="A71" s="216">
        <v>38565</v>
      </c>
      <c r="B71" s="226">
        <f>+geral!M1271</f>
        <v>35.82</v>
      </c>
      <c r="C71" s="211">
        <f t="shared" si="2"/>
        <v>196.38157894736844</v>
      </c>
      <c r="D71" s="211">
        <f t="shared" si="35"/>
        <v>-8.8317638075846254</v>
      </c>
      <c r="E71" s="211">
        <f t="shared" si="37"/>
        <v>-6.9126819126819061</v>
      </c>
      <c r="F71" s="214">
        <f t="shared" si="36"/>
        <v>-0.50000000000000044</v>
      </c>
      <c r="G71" s="214">
        <f t="shared" ref="G71:G76" si="38">100*(B71/B47-1)</f>
        <v>-2.2113022113022129</v>
      </c>
      <c r="H71" s="217">
        <f t="shared" ref="H71:H102" si="39">$B$171/B71</f>
        <v>1.4866927228736275</v>
      </c>
    </row>
    <row r="72" spans="1:8" ht="16.5">
      <c r="A72" s="216">
        <v>38596</v>
      </c>
      <c r="B72" s="226">
        <f>+geral!M1272</f>
        <v>35.25</v>
      </c>
      <c r="C72" s="211">
        <f t="shared" si="2"/>
        <v>193.25657894736844</v>
      </c>
      <c r="D72" s="211">
        <f t="shared" ref="D72:D77" si="40">100*((B72/B71)-1)</f>
        <v>-1.5912897822445538</v>
      </c>
      <c r="E72" s="211">
        <f t="shared" si="37"/>
        <v>-8.3939708939708808</v>
      </c>
      <c r="F72" s="214">
        <f t="shared" si="36"/>
        <v>-5.3437164339420029</v>
      </c>
      <c r="G72" s="214">
        <f t="shared" si="38"/>
        <v>1.5264976958525356</v>
      </c>
      <c r="H72" s="217">
        <f t="shared" si="39"/>
        <v>1.5107328605200947</v>
      </c>
    </row>
    <row r="73" spans="1:8" ht="16.5">
      <c r="A73" s="216">
        <v>38626</v>
      </c>
      <c r="B73" s="226">
        <f>+geral!M1273</f>
        <v>37.1</v>
      </c>
      <c r="C73" s="211">
        <f t="shared" si="2"/>
        <v>203.39912280701756</v>
      </c>
      <c r="D73" s="211">
        <f t="shared" si="40"/>
        <v>5.2482269503546064</v>
      </c>
      <c r="E73" s="211">
        <f t="shared" si="37"/>
        <v>-3.5862785862785795</v>
      </c>
      <c r="F73" s="214">
        <f t="shared" ref="F73:F78" si="41">100*((B73/B61)-1)</f>
        <v>1.255458515283836</v>
      </c>
      <c r="G73" s="214">
        <f t="shared" si="38"/>
        <v>15.181620614715928</v>
      </c>
      <c r="H73" s="217">
        <f t="shared" si="39"/>
        <v>1.4353998203054807</v>
      </c>
    </row>
    <row r="74" spans="1:8" ht="16.5">
      <c r="A74" s="216">
        <v>38657</v>
      </c>
      <c r="B74" s="226">
        <f>+geral!M1274</f>
        <v>38.49</v>
      </c>
      <c r="C74" s="211">
        <f t="shared" si="2"/>
        <v>211.01973684210529</v>
      </c>
      <c r="D74" s="211">
        <f t="shared" si="40"/>
        <v>3.7466307277628008</v>
      </c>
      <c r="E74" s="211">
        <f t="shared" si="37"/>
        <v>2.59875259875475E-2</v>
      </c>
      <c r="F74" s="214">
        <f t="shared" si="41"/>
        <v>6.0330578512396871</v>
      </c>
      <c r="G74" s="214">
        <f t="shared" si="38"/>
        <v>31.186094069529659</v>
      </c>
      <c r="H74" s="217">
        <f t="shared" si="39"/>
        <v>1.3835628301723393</v>
      </c>
    </row>
    <row r="75" spans="1:8" ht="16.5">
      <c r="A75" s="216">
        <v>38687</v>
      </c>
      <c r="B75" s="226">
        <f>+geral!M1275</f>
        <v>37.86</v>
      </c>
      <c r="C75" s="211">
        <f t="shared" si="2"/>
        <v>207.56578947368422</v>
      </c>
      <c r="D75" s="211">
        <f t="shared" si="40"/>
        <v>-1.6367887763055422</v>
      </c>
      <c r="E75" s="211">
        <f t="shared" si="37"/>
        <v>-1.6112266112266016</v>
      </c>
      <c r="F75" s="214">
        <f t="shared" si="41"/>
        <v>-1.6112266112266016</v>
      </c>
      <c r="G75" s="214">
        <f t="shared" si="38"/>
        <v>1.2299465240641627</v>
      </c>
      <c r="H75" s="217">
        <f t="shared" si="39"/>
        <v>1.4065856664905794</v>
      </c>
    </row>
    <row r="76" spans="1:8" ht="16.5">
      <c r="A76" s="216">
        <v>38718</v>
      </c>
      <c r="B76" s="211">
        <f>geral!C1279</f>
        <v>36.130000000000003</v>
      </c>
      <c r="C76" s="211">
        <f t="shared" si="2"/>
        <v>198.08114035087723</v>
      </c>
      <c r="D76" s="211">
        <f t="shared" si="40"/>
        <v>-4.569466455361848</v>
      </c>
      <c r="E76" s="211">
        <f t="shared" ref="E76:E82" si="42">100*((B76/$B$75)-1)</f>
        <v>-4.569466455361848</v>
      </c>
      <c r="F76" s="214">
        <f t="shared" si="41"/>
        <v>-1.0136986301369832</v>
      </c>
      <c r="G76" s="214">
        <f t="shared" si="38"/>
        <v>5.5815312682641949</v>
      </c>
      <c r="H76" s="217">
        <f t="shared" si="39"/>
        <v>1.4739367100286005</v>
      </c>
    </row>
    <row r="77" spans="1:8" ht="16.5">
      <c r="A77" s="216">
        <v>38749</v>
      </c>
      <c r="B77" s="211">
        <f>geral!C1280</f>
        <v>34.520000000000003</v>
      </c>
      <c r="C77" s="211">
        <f t="shared" si="2"/>
        <v>189.25438596491233</v>
      </c>
      <c r="D77" s="211">
        <f t="shared" si="40"/>
        <v>-4.4561306393578697</v>
      </c>
      <c r="E77" s="211">
        <f t="shared" si="42"/>
        <v>-8.8219756999471599</v>
      </c>
      <c r="F77" s="214">
        <f t="shared" si="41"/>
        <v>-3.9242972446423496</v>
      </c>
      <c r="G77" s="214">
        <f t="shared" ref="G77:G82" si="43">100*(B77/B53-1)</f>
        <v>-5.9400544959128059</v>
      </c>
      <c r="H77" s="217">
        <f t="shared" si="39"/>
        <v>1.5426805716492855</v>
      </c>
    </row>
    <row r="78" spans="1:8" ht="16.5">
      <c r="A78" s="216">
        <v>38777</v>
      </c>
      <c r="B78" s="211">
        <f>geral!C1281</f>
        <v>33.380000000000003</v>
      </c>
      <c r="C78" s="211">
        <f t="shared" si="2"/>
        <v>183.00438596491233</v>
      </c>
      <c r="D78" s="211">
        <f t="shared" ref="D78:D83" si="44">100*((B78/B77)-1)</f>
        <v>-3.302433371958291</v>
      </c>
      <c r="E78" s="211">
        <f t="shared" si="42"/>
        <v>-11.833069202324342</v>
      </c>
      <c r="F78" s="214">
        <f t="shared" si="41"/>
        <v>-9.9055330634277858</v>
      </c>
      <c r="G78" s="214">
        <f t="shared" si="43"/>
        <v>-13.072916666666657</v>
      </c>
      <c r="H78" s="217">
        <f t="shared" si="39"/>
        <v>1.5953664869183144</v>
      </c>
    </row>
    <row r="79" spans="1:8" ht="16.5">
      <c r="A79" s="216">
        <v>38808</v>
      </c>
      <c r="B79" s="211">
        <f>geral!C1282</f>
        <v>31.29</v>
      </c>
      <c r="C79" s="211">
        <f t="shared" si="2"/>
        <v>171.54605263157896</v>
      </c>
      <c r="D79" s="211">
        <f t="shared" si="44"/>
        <v>-6.2612342720191787</v>
      </c>
      <c r="E79" s="211">
        <f t="shared" si="42"/>
        <v>-17.353407290015856</v>
      </c>
      <c r="F79" s="214">
        <f t="shared" ref="F79:F84" si="45">100*((B79/B67)-1)</f>
        <v>-19.521604938271608</v>
      </c>
      <c r="G79" s="214">
        <f t="shared" si="43"/>
        <v>-23.589743589743595</v>
      </c>
      <c r="H79" s="217">
        <f t="shared" si="39"/>
        <v>1.7019281985724941</v>
      </c>
    </row>
    <row r="80" spans="1:8" ht="16.5">
      <c r="A80" s="216">
        <v>38838</v>
      </c>
      <c r="B80" s="211">
        <f>geral!C1283</f>
        <v>33.81</v>
      </c>
      <c r="C80" s="211">
        <f t="shared" si="2"/>
        <v>185.36184210526318</v>
      </c>
      <c r="D80" s="211">
        <f t="shared" si="44"/>
        <v>8.0536912751677967</v>
      </c>
      <c r="E80" s="211">
        <f t="shared" si="42"/>
        <v>-10.697305863708396</v>
      </c>
      <c r="F80" s="214">
        <f t="shared" si="45"/>
        <v>-7.3698630136986187</v>
      </c>
      <c r="G80" s="214">
        <f t="shared" si="43"/>
        <v>-6.7310344827586128</v>
      </c>
      <c r="H80" s="217">
        <f t="shared" si="39"/>
        <v>1.575076407374544</v>
      </c>
    </row>
    <row r="81" spans="1:10" ht="16.5">
      <c r="A81" s="216">
        <v>38869</v>
      </c>
      <c r="B81" s="211">
        <f>geral!C1284</f>
        <v>31.88</v>
      </c>
      <c r="C81" s="211">
        <f t="shared" si="2"/>
        <v>174.78070175438597</v>
      </c>
      <c r="D81" s="211">
        <f t="shared" si="44"/>
        <v>-5.7083703046436067</v>
      </c>
      <c r="E81" s="211">
        <f t="shared" si="42"/>
        <v>-15.795034337031167</v>
      </c>
      <c r="F81" s="214">
        <f t="shared" si="45"/>
        <v>-13.369565217391299</v>
      </c>
      <c r="G81" s="214">
        <f t="shared" si="43"/>
        <v>-17.409326424870475</v>
      </c>
      <c r="H81" s="217">
        <f t="shared" si="39"/>
        <v>1.6704307820995401</v>
      </c>
    </row>
    <row r="82" spans="1:10" ht="16.5">
      <c r="A82" s="216">
        <v>38899</v>
      </c>
      <c r="B82" s="211">
        <f>geral!C1285</f>
        <v>34.86</v>
      </c>
      <c r="C82" s="211">
        <f t="shared" si="2"/>
        <v>191.11842105263159</v>
      </c>
      <c r="D82" s="211">
        <f t="shared" si="44"/>
        <v>9.3475533249686382</v>
      </c>
      <c r="E82" s="211">
        <f t="shared" si="42"/>
        <v>-7.923930269413626</v>
      </c>
      <c r="F82" s="214">
        <f t="shared" si="45"/>
        <v>-11.275133621786715</v>
      </c>
      <c r="G82" s="214">
        <f t="shared" si="43"/>
        <v>-7.6800847457627057</v>
      </c>
      <c r="H82" s="217">
        <f t="shared" si="39"/>
        <v>1.5276343469114555</v>
      </c>
    </row>
    <row r="83" spans="1:10" ht="16.5">
      <c r="A83" s="216">
        <v>38930</v>
      </c>
      <c r="B83" s="211">
        <f>geral!C1286</f>
        <v>31.33</v>
      </c>
      <c r="C83" s="211">
        <f t="shared" si="2"/>
        <v>171.76535087719299</v>
      </c>
      <c r="D83" s="211">
        <f t="shared" si="44"/>
        <v>-10.126219162363748</v>
      </c>
      <c r="E83" s="211">
        <f>100*((B83/$B$75)-1)</f>
        <v>-17.247754886423671</v>
      </c>
      <c r="F83" s="214">
        <f t="shared" si="45"/>
        <v>-12.534896705750986</v>
      </c>
      <c r="G83" s="214">
        <f t="shared" ref="G83:G88" si="46">100*(B83/B59-1)</f>
        <v>-12.972222222222229</v>
      </c>
      <c r="H83" s="217">
        <f t="shared" si="39"/>
        <v>1.6997552931162891</v>
      </c>
    </row>
    <row r="84" spans="1:10" ht="16.5">
      <c r="A84" s="216">
        <v>38961</v>
      </c>
      <c r="B84" s="211">
        <f>geral!C1287</f>
        <v>34.840000000000003</v>
      </c>
      <c r="C84" s="211">
        <f t="shared" si="2"/>
        <v>191.0087719298246</v>
      </c>
      <c r="D84" s="211">
        <f t="shared" ref="D84:D89" si="47">100*((B84/B83)-1)</f>
        <v>11.203319502074716</v>
      </c>
      <c r="E84" s="211">
        <f>100*((B84/$B$75)-1)</f>
        <v>-7.9767564712097112</v>
      </c>
      <c r="F84" s="214">
        <f t="shared" si="45"/>
        <v>-1.1631205673758749</v>
      </c>
      <c r="G84" s="214">
        <f t="shared" si="46"/>
        <v>-6.4446831364124542</v>
      </c>
      <c r="H84" s="217">
        <f t="shared" si="39"/>
        <v>1.5285112897053195</v>
      </c>
    </row>
    <row r="85" spans="1:10" ht="16.5">
      <c r="A85" s="216">
        <v>38991</v>
      </c>
      <c r="B85" s="211">
        <f>geral!C1288</f>
        <v>34.130000000000003</v>
      </c>
      <c r="C85" s="211">
        <f t="shared" si="2"/>
        <v>187.11622807017548</v>
      </c>
      <c r="D85" s="211">
        <f t="shared" si="47"/>
        <v>-2.0378874856486817</v>
      </c>
      <c r="E85" s="211">
        <f>100*((B85/$B$75)-1)</f>
        <v>-9.8520866349709362</v>
      </c>
      <c r="F85" s="214">
        <f t="shared" ref="F85:F90" si="48">100*((B85/B73)-1)</f>
        <v>-8.0053908355795063</v>
      </c>
      <c r="G85" s="214">
        <f t="shared" si="46"/>
        <v>-6.8504366812227051</v>
      </c>
      <c r="H85" s="217">
        <f t="shared" si="39"/>
        <v>1.5603086238890516</v>
      </c>
    </row>
    <row r="86" spans="1:10" ht="16.5">
      <c r="A86" s="216">
        <v>39022</v>
      </c>
      <c r="B86" s="211">
        <f>geral!C1289</f>
        <v>36.33</v>
      </c>
      <c r="C86" s="211">
        <f t="shared" si="2"/>
        <v>199.1776315789474</v>
      </c>
      <c r="D86" s="211">
        <f t="shared" si="47"/>
        <v>6.4459419865221079</v>
      </c>
      <c r="E86" s="211">
        <f>100*((B86/$B$75)-1)</f>
        <v>-4.0412044374009586</v>
      </c>
      <c r="F86" s="214">
        <f t="shared" si="48"/>
        <v>-5.6118472330475511</v>
      </c>
      <c r="G86" s="214">
        <f t="shared" si="46"/>
        <v>8.2644628099171058E-2</v>
      </c>
      <c r="H86" s="217">
        <f t="shared" si="39"/>
        <v>1.4658225525277551</v>
      </c>
    </row>
    <row r="87" spans="1:10" ht="16.5">
      <c r="A87" s="216">
        <v>39052</v>
      </c>
      <c r="B87" s="211">
        <f>geral!C1290</f>
        <v>34.9</v>
      </c>
      <c r="C87" s="211">
        <f t="shared" si="2"/>
        <v>191.33771929824562</v>
      </c>
      <c r="D87" s="211">
        <f t="shared" si="47"/>
        <v>-3.9361409303605877</v>
      </c>
      <c r="E87" s="211">
        <f>100*((B87/$B$75)-1)</f>
        <v>-7.8182778658214547</v>
      </c>
      <c r="F87" s="214">
        <f t="shared" si="48"/>
        <v>-7.8182778658214547</v>
      </c>
      <c r="G87" s="214">
        <f t="shared" si="46"/>
        <v>-9.303534303534299</v>
      </c>
      <c r="H87" s="217">
        <f t="shared" si="39"/>
        <v>1.5258834765998091</v>
      </c>
    </row>
    <row r="88" spans="1:10" ht="16.5">
      <c r="A88" s="216">
        <v>39083</v>
      </c>
      <c r="B88" s="211">
        <f>geral!E1279</f>
        <v>33.14</v>
      </c>
      <c r="C88" s="211">
        <f t="shared" si="2"/>
        <v>181.68859649122808</v>
      </c>
      <c r="D88" s="211">
        <f t="shared" si="47"/>
        <v>-5.0429799426934041</v>
      </c>
      <c r="E88" s="211">
        <f t="shared" ref="E88:E93" si="49">100*((B88/$B$87)-1)</f>
        <v>-5.0429799426934041</v>
      </c>
      <c r="F88" s="214">
        <f t="shared" si="48"/>
        <v>-8.2756711873789186</v>
      </c>
      <c r="G88" s="214">
        <f t="shared" si="46"/>
        <v>-9.2054794520547887</v>
      </c>
      <c r="H88" s="217">
        <f t="shared" si="39"/>
        <v>1.6069201367934018</v>
      </c>
    </row>
    <row r="89" spans="1:10" ht="16.5">
      <c r="A89" s="216">
        <v>39114</v>
      </c>
      <c r="B89" s="211">
        <f>geral!E1280</f>
        <v>31</v>
      </c>
      <c r="C89" s="211">
        <f t="shared" si="2"/>
        <v>169.95614035087721</v>
      </c>
      <c r="D89" s="211">
        <f t="shared" si="47"/>
        <v>-6.4574532287266173</v>
      </c>
      <c r="E89" s="211">
        <f t="shared" si="49"/>
        <v>-11.174785100286533</v>
      </c>
      <c r="F89" s="214">
        <f t="shared" si="48"/>
        <v>-10.196987253765943</v>
      </c>
      <c r="G89" s="214">
        <f t="shared" ref="G89:G99" si="50">100*(B89/B65-1)</f>
        <v>-13.721124408572226</v>
      </c>
      <c r="H89" s="217">
        <f t="shared" si="39"/>
        <v>1.7178494623655916</v>
      </c>
    </row>
    <row r="90" spans="1:10" ht="16.5">
      <c r="A90" s="216">
        <v>39142</v>
      </c>
      <c r="B90" s="211">
        <f>geral!E1281</f>
        <v>31.2</v>
      </c>
      <c r="C90" s="211">
        <f t="shared" si="2"/>
        <v>171.05263157894737</v>
      </c>
      <c r="D90" s="211">
        <f t="shared" ref="D90:D99" si="51">100*((B90/B89)-1)</f>
        <v>0.64516129032257119</v>
      </c>
      <c r="E90" s="211">
        <f t="shared" si="49"/>
        <v>-10.601719197707737</v>
      </c>
      <c r="F90" s="214">
        <f t="shared" si="48"/>
        <v>-6.5308568004793344</v>
      </c>
      <c r="G90" s="214">
        <f t="shared" si="50"/>
        <v>-15.78947368421052</v>
      </c>
      <c r="H90" s="217">
        <f t="shared" si="39"/>
        <v>1.706837606837607</v>
      </c>
    </row>
    <row r="91" spans="1:10" ht="16.5">
      <c r="A91" s="216">
        <v>39173</v>
      </c>
      <c r="B91" s="211">
        <f>geral!E1282</f>
        <v>33.200000000000003</v>
      </c>
      <c r="C91" s="211">
        <f t="shared" si="2"/>
        <v>182.01754385964915</v>
      </c>
      <c r="D91" s="211">
        <f t="shared" si="51"/>
        <v>6.4102564102564319</v>
      </c>
      <c r="E91" s="211">
        <f t="shared" si="49"/>
        <v>-4.871060171919761</v>
      </c>
      <c r="F91" s="214">
        <f t="shared" ref="F91:F99" si="52">100*((B91/B79)-1)</f>
        <v>6.1041866410993961</v>
      </c>
      <c r="G91" s="214">
        <f t="shared" si="50"/>
        <v>-14.609053497942382</v>
      </c>
      <c r="H91" s="217">
        <f t="shared" si="39"/>
        <v>1.604016064257028</v>
      </c>
    </row>
    <row r="92" spans="1:10" ht="16.5">
      <c r="A92" s="216">
        <v>39203</v>
      </c>
      <c r="B92" s="211">
        <f>geral!E1283</f>
        <v>33.17</v>
      </c>
      <c r="C92" s="211">
        <f t="shared" si="2"/>
        <v>181.8530701754386</v>
      </c>
      <c r="D92" s="211">
        <f t="shared" si="51"/>
        <v>-9.0361445783138095E-2</v>
      </c>
      <c r="E92" s="211">
        <f t="shared" si="49"/>
        <v>-4.9570200573065826</v>
      </c>
      <c r="F92" s="214">
        <f t="shared" si="52"/>
        <v>-1.8929310854776671</v>
      </c>
      <c r="G92" s="214">
        <f t="shared" si="50"/>
        <v>-9.1232876712328714</v>
      </c>
      <c r="H92" s="217">
        <f t="shared" si="39"/>
        <v>1.6054667872575621</v>
      </c>
    </row>
    <row r="93" spans="1:10" ht="16.5">
      <c r="A93" s="216">
        <v>39234</v>
      </c>
      <c r="B93" s="211">
        <f>geral!E1284</f>
        <v>34.25</v>
      </c>
      <c r="C93" s="211">
        <f t="shared" si="2"/>
        <v>187.77412280701756</v>
      </c>
      <c r="D93" s="211">
        <f t="shared" si="51"/>
        <v>3.255954175459741</v>
      </c>
      <c r="E93" s="211">
        <f t="shared" si="49"/>
        <v>-1.8624641833810851</v>
      </c>
      <c r="F93" s="214">
        <f t="shared" si="52"/>
        <v>7.4341279799247317</v>
      </c>
      <c r="G93" s="214">
        <f t="shared" si="50"/>
        <v>-6.9293478260869517</v>
      </c>
      <c r="H93" s="217">
        <f t="shared" si="39"/>
        <v>1.5548418491484186</v>
      </c>
    </row>
    <row r="94" spans="1:10" ht="16.5">
      <c r="A94" s="216">
        <v>39264</v>
      </c>
      <c r="B94" s="211">
        <f>geral!E1285</f>
        <v>36.700000000000003</v>
      </c>
      <c r="C94" s="211">
        <f t="shared" si="2"/>
        <v>201.20614035087723</v>
      </c>
      <c r="D94" s="211">
        <f t="shared" si="51"/>
        <v>7.1532846715328446</v>
      </c>
      <c r="E94" s="211">
        <f t="shared" ref="E94:E99" si="53">100*((B94/$B$87)-1)</f>
        <v>5.157593123209181</v>
      </c>
      <c r="F94" s="214">
        <f t="shared" si="52"/>
        <v>5.2782558806655278</v>
      </c>
      <c r="G94" s="214">
        <f t="shared" si="50"/>
        <v>-6.5920081445660417</v>
      </c>
      <c r="H94" s="217">
        <f t="shared" si="39"/>
        <v>1.4510445049954586</v>
      </c>
      <c r="I94" s="215" t="s">
        <v>241</v>
      </c>
      <c r="J94" s="64"/>
    </row>
    <row r="95" spans="1:10" ht="16.5">
      <c r="A95" s="216">
        <v>39295</v>
      </c>
      <c r="B95" s="211">
        <f>geral!E1286</f>
        <v>36.983333333333334</v>
      </c>
      <c r="C95" s="211">
        <f t="shared" si="2"/>
        <v>202.75950292397664</v>
      </c>
      <c r="D95" s="211">
        <f t="shared" si="51"/>
        <v>0.77202543142598223</v>
      </c>
      <c r="E95" s="211">
        <f t="shared" si="53"/>
        <v>5.9694364851958115</v>
      </c>
      <c r="F95" s="214">
        <f t="shared" si="52"/>
        <v>18.044472816257052</v>
      </c>
      <c r="G95" s="214">
        <f t="shared" si="50"/>
        <v>3.2477200818909369</v>
      </c>
      <c r="H95" s="217">
        <f t="shared" si="39"/>
        <v>1.4399278954484003</v>
      </c>
    </row>
    <row r="96" spans="1:10" ht="16.5">
      <c r="A96" s="216">
        <v>39326</v>
      </c>
      <c r="B96" s="211">
        <f>geral!E1287</f>
        <v>37.78</v>
      </c>
      <c r="C96" s="211">
        <f t="shared" si="2"/>
        <v>207.12719298245617</v>
      </c>
      <c r="D96" s="211">
        <f t="shared" si="51"/>
        <v>2.1541234790446229</v>
      </c>
      <c r="E96" s="211">
        <f t="shared" si="53"/>
        <v>8.2521489971346682</v>
      </c>
      <c r="F96" s="214">
        <f t="shared" si="52"/>
        <v>8.4385763490240961</v>
      </c>
      <c r="G96" s="214">
        <f t="shared" si="50"/>
        <v>7.1773049645390108</v>
      </c>
      <c r="H96" s="217">
        <f t="shared" si="39"/>
        <v>1.4095641432856891</v>
      </c>
    </row>
    <row r="97" spans="1:8" ht="16.5">
      <c r="A97" s="216">
        <v>39356</v>
      </c>
      <c r="B97" s="211">
        <f>geral!E1288</f>
        <v>37.128571428571426</v>
      </c>
      <c r="C97" s="211">
        <f t="shared" si="2"/>
        <v>203.55576441102758</v>
      </c>
      <c r="D97" s="211">
        <f t="shared" si="51"/>
        <v>-1.7242683203509079</v>
      </c>
      <c r="E97" s="211">
        <f t="shared" si="53"/>
        <v>6.3855914858780061</v>
      </c>
      <c r="F97" s="214">
        <f t="shared" si="52"/>
        <v>8.7857352140973344</v>
      </c>
      <c r="G97" s="214">
        <f t="shared" si="50"/>
        <v>7.7011936850190921E-2</v>
      </c>
      <c r="H97" s="217">
        <f t="shared" si="39"/>
        <v>1.4342952417596513</v>
      </c>
    </row>
    <row r="98" spans="1:8" ht="16.5">
      <c r="A98" s="216">
        <v>39387</v>
      </c>
      <c r="B98" s="211">
        <f>geral!E1289</f>
        <v>36.557142857142857</v>
      </c>
      <c r="C98" s="211">
        <f t="shared" si="2"/>
        <v>200.42293233082708</v>
      </c>
      <c r="D98" s="211">
        <f t="shared" si="51"/>
        <v>-1.5390534821084989</v>
      </c>
      <c r="E98" s="211">
        <f t="shared" si="53"/>
        <v>4.7482603356528985</v>
      </c>
      <c r="F98" s="214">
        <f t="shared" si="52"/>
        <v>0.62522118674059879</v>
      </c>
      <c r="G98" s="214">
        <f t="shared" si="50"/>
        <v>-5.0217125041754906</v>
      </c>
      <c r="H98" s="217">
        <f t="shared" si="39"/>
        <v>1.4567148625765274</v>
      </c>
    </row>
    <row r="99" spans="1:8" ht="16.5">
      <c r="A99" s="216">
        <v>39417</v>
      </c>
      <c r="B99" s="211">
        <f>geral!E1290</f>
        <v>37</v>
      </c>
      <c r="C99" s="211">
        <f t="shared" si="2"/>
        <v>202.85087719298247</v>
      </c>
      <c r="D99" s="211">
        <f t="shared" si="51"/>
        <v>1.2114107073075475</v>
      </c>
      <c r="E99" s="211">
        <f t="shared" si="53"/>
        <v>6.0171919770773741</v>
      </c>
      <c r="F99" s="214">
        <f t="shared" si="52"/>
        <v>6.0171919770773741</v>
      </c>
      <c r="G99" s="214">
        <f t="shared" si="50"/>
        <v>-2.2715266772319054</v>
      </c>
      <c r="H99" s="217">
        <f t="shared" si="39"/>
        <v>1.4392792792792795</v>
      </c>
    </row>
    <row r="100" spans="1:8" ht="16.5">
      <c r="A100" s="216">
        <v>39448</v>
      </c>
      <c r="B100" s="211">
        <f>geral!G1279</f>
        <v>34.68</v>
      </c>
      <c r="C100" s="211">
        <f t="shared" si="2"/>
        <v>190.13157894736844</v>
      </c>
      <c r="D100" s="211">
        <f t="shared" ref="D100:D105" si="54">100*((B100/B99)-1)</f>
        <v>-6.2702702702702728</v>
      </c>
      <c r="E100" s="211">
        <f t="shared" ref="E100:E105" si="55">100*((B100/$B$99)-1)</f>
        <v>-6.2702702702702728</v>
      </c>
      <c r="F100" s="214">
        <f t="shared" ref="F100:F105" si="56">100*((B100/B88)-1)</f>
        <v>4.6469523234761612</v>
      </c>
      <c r="G100" s="214">
        <f t="shared" ref="G100:G105" si="57">100*(B100/B76-1)</f>
        <v>-4.0132853584279093</v>
      </c>
      <c r="H100" s="217">
        <f t="shared" si="39"/>
        <v>1.5355632449058056</v>
      </c>
    </row>
    <row r="101" spans="1:8" ht="16.5">
      <c r="A101" s="216">
        <v>39479</v>
      </c>
      <c r="B101" s="211">
        <f>geral!G1280</f>
        <v>36.9</v>
      </c>
      <c r="C101" s="211">
        <f t="shared" si="2"/>
        <v>202.3026315789474</v>
      </c>
      <c r="D101" s="211">
        <f t="shared" si="54"/>
        <v>6.4013840830449809</v>
      </c>
      <c r="E101" s="211">
        <f t="shared" si="55"/>
        <v>-0.27027027027027861</v>
      </c>
      <c r="F101" s="214">
        <f t="shared" si="56"/>
        <v>19.032258064516117</v>
      </c>
      <c r="G101" s="214">
        <f t="shared" si="57"/>
        <v>6.8945538818076413</v>
      </c>
      <c r="H101" s="217">
        <f t="shared" si="39"/>
        <v>1.4431797651309848</v>
      </c>
    </row>
    <row r="102" spans="1:8" ht="16.5">
      <c r="A102" s="216">
        <v>39508</v>
      </c>
      <c r="B102" s="211">
        <f>geral!G1281</f>
        <v>37.06666666666667</v>
      </c>
      <c r="C102" s="211">
        <f t="shared" si="2"/>
        <v>203.21637426900588</v>
      </c>
      <c r="D102" s="211">
        <f t="shared" si="54"/>
        <v>0.45167118337852141</v>
      </c>
      <c r="E102" s="211">
        <f t="shared" si="55"/>
        <v>0.18018018018017834</v>
      </c>
      <c r="F102" s="214">
        <f t="shared" si="56"/>
        <v>18.803418803418825</v>
      </c>
      <c r="G102" s="214">
        <f t="shared" si="57"/>
        <v>11.044537647293783</v>
      </c>
      <c r="H102" s="217">
        <f t="shared" si="39"/>
        <v>1.4366906474820145</v>
      </c>
    </row>
    <row r="103" spans="1:8" ht="16.5">
      <c r="A103" s="216">
        <v>39539</v>
      </c>
      <c r="B103" s="211">
        <f>geral!G1282</f>
        <v>37.1</v>
      </c>
      <c r="C103" s="211">
        <f t="shared" si="2"/>
        <v>203.39912280701756</v>
      </c>
      <c r="D103" s="211">
        <f t="shared" si="54"/>
        <v>8.9928057553945173E-2</v>
      </c>
      <c r="E103" s="211">
        <f t="shared" si="55"/>
        <v>0.27027027027026751</v>
      </c>
      <c r="F103" s="214">
        <f t="shared" si="56"/>
        <v>11.74698795180722</v>
      </c>
      <c r="G103" s="214">
        <f t="shared" si="57"/>
        <v>18.568232662192408</v>
      </c>
      <c r="H103" s="217">
        <f t="shared" ref="H103:H134" si="58">$B$171/B103</f>
        <v>1.4353998203054807</v>
      </c>
    </row>
    <row r="104" spans="1:8" ht="16.5">
      <c r="A104" s="216">
        <v>39569</v>
      </c>
      <c r="B104" s="211">
        <f>geral!G1283</f>
        <v>38.4</v>
      </c>
      <c r="C104" s="211">
        <f t="shared" si="2"/>
        <v>210.5263157894737</v>
      </c>
      <c r="D104" s="211">
        <f t="shared" si="54"/>
        <v>3.5040431266846195</v>
      </c>
      <c r="E104" s="211">
        <f t="shared" si="55"/>
        <v>3.7837837837837895</v>
      </c>
      <c r="F104" s="214">
        <f t="shared" si="56"/>
        <v>15.767259571902304</v>
      </c>
      <c r="G104" s="214">
        <f t="shared" si="57"/>
        <v>13.575865128660158</v>
      </c>
      <c r="H104" s="217">
        <f t="shared" si="58"/>
        <v>1.3868055555555556</v>
      </c>
    </row>
    <row r="105" spans="1:8" ht="16.5">
      <c r="A105" s="216">
        <v>39600</v>
      </c>
      <c r="B105" s="211">
        <f>geral!G1284</f>
        <v>38.94</v>
      </c>
      <c r="C105" s="211">
        <f t="shared" si="2"/>
        <v>213.48684210526318</v>
      </c>
      <c r="D105" s="211">
        <f t="shared" si="54"/>
        <v>1.4062500000000089</v>
      </c>
      <c r="E105" s="211">
        <f t="shared" si="55"/>
        <v>5.2432432432432341</v>
      </c>
      <c r="F105" s="214">
        <f t="shared" si="56"/>
        <v>13.693430656934291</v>
      </c>
      <c r="G105" s="214">
        <f t="shared" si="57"/>
        <v>22.145545796737753</v>
      </c>
      <c r="H105" s="217">
        <f t="shared" si="58"/>
        <v>1.3675740455401475</v>
      </c>
    </row>
    <row r="106" spans="1:8" ht="16.5">
      <c r="A106" s="216">
        <v>39630</v>
      </c>
      <c r="B106" s="211">
        <f>geral!G1285</f>
        <v>37.81428571428571</v>
      </c>
      <c r="C106" s="211">
        <f t="shared" si="2"/>
        <v>207.31516290726816</v>
      </c>
      <c r="D106" s="211">
        <f t="shared" ref="D106:D111" si="59">100*((B106/B105)-1)</f>
        <v>-2.890894416318146</v>
      </c>
      <c r="E106" s="211">
        <f t="shared" ref="E106:E111" si="60">100*((B106/$B$99)-1)</f>
        <v>2.2007722007721942</v>
      </c>
      <c r="F106" s="214">
        <f t="shared" ref="F106:F111" si="61">100*((B106/B94)-1)</f>
        <v>3.0362008563643128</v>
      </c>
      <c r="G106" s="214">
        <f t="shared" ref="G106:G111" si="62">100*(B106/B82-1)</f>
        <v>8.4747151872797133</v>
      </c>
      <c r="H106" s="217">
        <f t="shared" si="58"/>
        <v>1.4082861100617055</v>
      </c>
    </row>
    <row r="107" spans="1:8" ht="16.5">
      <c r="A107" s="216">
        <v>39661</v>
      </c>
      <c r="B107" s="211">
        <f>geral!G1286</f>
        <v>38.771428571428565</v>
      </c>
      <c r="C107" s="211">
        <f t="shared" si="2"/>
        <v>212.56265664160398</v>
      </c>
      <c r="D107" s="211">
        <f t="shared" si="59"/>
        <v>2.5311673592746553</v>
      </c>
      <c r="E107" s="211">
        <f t="shared" si="60"/>
        <v>4.7876447876447736</v>
      </c>
      <c r="F107" s="214">
        <f t="shared" si="61"/>
        <v>4.8348677010236152</v>
      </c>
      <c r="G107" s="214">
        <f t="shared" si="62"/>
        <v>23.751766905293859</v>
      </c>
      <c r="H107" s="217">
        <f t="shared" si="58"/>
        <v>1.3735200196511916</v>
      </c>
    </row>
    <row r="108" spans="1:8" ht="16.5">
      <c r="A108" s="216">
        <v>39692</v>
      </c>
      <c r="B108" s="211">
        <f>geral!G1287</f>
        <v>39.4</v>
      </c>
      <c r="C108" s="211">
        <f t="shared" si="2"/>
        <v>216.00877192982458</v>
      </c>
      <c r="D108" s="211">
        <f t="shared" si="59"/>
        <v>1.621223286661766</v>
      </c>
      <c r="E108" s="211">
        <f t="shared" si="60"/>
        <v>6.4864864864864868</v>
      </c>
      <c r="F108" s="214">
        <f t="shared" si="61"/>
        <v>4.2879830598200108</v>
      </c>
      <c r="G108" s="214">
        <f t="shared" si="62"/>
        <v>13.088404133180243</v>
      </c>
      <c r="H108" s="217">
        <f t="shared" si="58"/>
        <v>1.3516074450084603</v>
      </c>
    </row>
    <row r="109" spans="1:8" ht="16.5">
      <c r="A109" s="216">
        <v>39722</v>
      </c>
      <c r="B109" s="211">
        <f>geral!G1288</f>
        <v>40.928571428571431</v>
      </c>
      <c r="C109" s="211">
        <f t="shared" si="2"/>
        <v>224.38909774436092</v>
      </c>
      <c r="D109" s="211">
        <f t="shared" si="59"/>
        <v>3.8796229151559114</v>
      </c>
      <c r="E109" s="211">
        <f t="shared" si="60"/>
        <v>10.617760617760631</v>
      </c>
      <c r="F109" s="214">
        <f t="shared" si="61"/>
        <v>10.234705656021559</v>
      </c>
      <c r="G109" s="214">
        <f t="shared" si="62"/>
        <v>19.919635008999204</v>
      </c>
      <c r="H109" s="217">
        <f t="shared" si="58"/>
        <v>1.301128563118092</v>
      </c>
    </row>
    <row r="110" spans="1:8" ht="16.5">
      <c r="A110" s="216">
        <v>39753</v>
      </c>
      <c r="B110" s="211">
        <f>geral!G1289</f>
        <v>42</v>
      </c>
      <c r="C110" s="211">
        <f t="shared" si="2"/>
        <v>230.26315789473685</v>
      </c>
      <c r="D110" s="211">
        <f t="shared" si="59"/>
        <v>2.6178010471204161</v>
      </c>
      <c r="E110" s="211">
        <f t="shared" si="60"/>
        <v>13.513513513513509</v>
      </c>
      <c r="F110" s="214">
        <f t="shared" si="61"/>
        <v>14.888628370457212</v>
      </c>
      <c r="G110" s="214">
        <f t="shared" si="62"/>
        <v>15.606936416184979</v>
      </c>
      <c r="H110" s="217">
        <f t="shared" si="58"/>
        <v>1.2679365079365081</v>
      </c>
    </row>
    <row r="111" spans="1:8" ht="16.5">
      <c r="A111" s="216">
        <v>39783</v>
      </c>
      <c r="B111" s="211">
        <f>geral!G1290</f>
        <v>40.428571428571431</v>
      </c>
      <c r="C111" s="211">
        <f t="shared" si="2"/>
        <v>221.6478696741855</v>
      </c>
      <c r="D111" s="211">
        <f t="shared" si="59"/>
        <v>-3.7414965986394488</v>
      </c>
      <c r="E111" s="211">
        <f t="shared" si="60"/>
        <v>9.2664092664092692</v>
      </c>
      <c r="F111" s="214">
        <f t="shared" si="61"/>
        <v>9.2664092664092692</v>
      </c>
      <c r="G111" s="214">
        <f t="shared" si="62"/>
        <v>15.841178878428174</v>
      </c>
      <c r="H111" s="217">
        <f t="shared" si="58"/>
        <v>1.3172202591283864</v>
      </c>
    </row>
    <row r="112" spans="1:8" ht="16.5">
      <c r="A112" s="216">
        <v>39814</v>
      </c>
      <c r="B112" s="211">
        <f>geral!I1279</f>
        <v>40.428571428571431</v>
      </c>
      <c r="C112" s="211">
        <f t="shared" si="2"/>
        <v>221.6478696741855</v>
      </c>
      <c r="D112" s="211">
        <f t="shared" ref="D112:D117" si="63">100*((B112/B111)-1)</f>
        <v>0</v>
      </c>
      <c r="E112" s="211">
        <f t="shared" ref="E112:E117" si="64">100*((B112/$B$111)-1)</f>
        <v>0</v>
      </c>
      <c r="F112" s="214">
        <f t="shared" ref="F112:F117" si="65">100*((B112/B100)-1)</f>
        <v>16.576042181578508</v>
      </c>
      <c r="G112" s="214">
        <f t="shared" ref="G112:G117" si="66">100*(B112/B88-1)</f>
        <v>21.993275282351931</v>
      </c>
      <c r="H112" s="217">
        <f t="shared" si="58"/>
        <v>1.3172202591283864</v>
      </c>
    </row>
    <row r="113" spans="1:8" ht="16.5">
      <c r="A113" s="216">
        <v>39845</v>
      </c>
      <c r="B113" s="211">
        <f>geral!I1280</f>
        <v>41</v>
      </c>
      <c r="C113" s="211">
        <f t="shared" si="2"/>
        <v>224.78070175438597</v>
      </c>
      <c r="D113" s="211">
        <f t="shared" si="63"/>
        <v>1.4134275618374437</v>
      </c>
      <c r="E113" s="211">
        <f t="shared" si="64"/>
        <v>1.4134275618374437</v>
      </c>
      <c r="F113" s="214">
        <f t="shared" si="65"/>
        <v>11.111111111111116</v>
      </c>
      <c r="G113" s="214">
        <f t="shared" si="66"/>
        <v>32.258064516129025</v>
      </c>
      <c r="H113" s="217">
        <f t="shared" si="58"/>
        <v>1.2988617886178864</v>
      </c>
    </row>
    <row r="114" spans="1:8" ht="16.5">
      <c r="A114" s="216">
        <v>39873</v>
      </c>
      <c r="B114" s="211">
        <f>geral!I1281</f>
        <v>39.799999999999997</v>
      </c>
      <c r="C114" s="211">
        <f t="shared" si="2"/>
        <v>218.2017543859649</v>
      </c>
      <c r="D114" s="211">
        <f t="shared" si="63"/>
        <v>-2.9268292682926855</v>
      </c>
      <c r="E114" s="211">
        <f t="shared" si="64"/>
        <v>-1.5547703180212147</v>
      </c>
      <c r="F114" s="214">
        <f t="shared" si="65"/>
        <v>7.3741007194244368</v>
      </c>
      <c r="G114" s="214">
        <f t="shared" si="66"/>
        <v>27.564102564102555</v>
      </c>
      <c r="H114" s="217">
        <f t="shared" si="58"/>
        <v>1.3380234505862649</v>
      </c>
    </row>
    <row r="115" spans="1:8" ht="16.5">
      <c r="A115" s="216">
        <v>39904</v>
      </c>
      <c r="B115" s="211">
        <f>geral!I1282</f>
        <v>39.799999999999997</v>
      </c>
      <c r="C115" s="211">
        <f t="shared" si="2"/>
        <v>218.2017543859649</v>
      </c>
      <c r="D115" s="211">
        <f t="shared" si="63"/>
        <v>0</v>
      </c>
      <c r="E115" s="211">
        <f t="shared" si="64"/>
        <v>-1.5547703180212147</v>
      </c>
      <c r="F115" s="214">
        <f t="shared" si="65"/>
        <v>7.277628032344996</v>
      </c>
      <c r="G115" s="214">
        <f t="shared" si="66"/>
        <v>19.879518072289137</v>
      </c>
      <c r="H115" s="217">
        <f t="shared" si="58"/>
        <v>1.3380234505862649</v>
      </c>
    </row>
    <row r="116" spans="1:8" ht="16.5">
      <c r="A116" s="216">
        <v>39934</v>
      </c>
      <c r="B116" s="211">
        <f>geral!I1283</f>
        <v>41</v>
      </c>
      <c r="C116" s="211">
        <f t="shared" si="2"/>
        <v>224.78070175438597</v>
      </c>
      <c r="D116" s="211">
        <f t="shared" si="63"/>
        <v>3.0150753768844352</v>
      </c>
      <c r="E116" s="211">
        <f t="shared" si="64"/>
        <v>1.4134275618374437</v>
      </c>
      <c r="F116" s="214">
        <f t="shared" si="65"/>
        <v>6.7708333333333481</v>
      </c>
      <c r="G116" s="214">
        <f t="shared" si="66"/>
        <v>23.605667772083194</v>
      </c>
      <c r="H116" s="217">
        <f t="shared" si="58"/>
        <v>1.2988617886178864</v>
      </c>
    </row>
    <row r="117" spans="1:8" ht="16.5">
      <c r="A117" s="216">
        <v>39965</v>
      </c>
      <c r="B117" s="211">
        <f>geral!I1284</f>
        <v>41.285714285714285</v>
      </c>
      <c r="C117" s="211">
        <f t="shared" si="2"/>
        <v>226.34711779448622</v>
      </c>
      <c r="D117" s="211">
        <f t="shared" si="63"/>
        <v>0.69686411149825211</v>
      </c>
      <c r="E117" s="211">
        <f t="shared" si="64"/>
        <v>2.1201413427561766</v>
      </c>
      <c r="F117" s="214">
        <f t="shared" si="65"/>
        <v>6.0239195832416215</v>
      </c>
      <c r="G117" s="214">
        <f t="shared" si="66"/>
        <v>20.542231491136587</v>
      </c>
      <c r="H117" s="217">
        <f t="shared" si="58"/>
        <v>1.2898731257208766</v>
      </c>
    </row>
    <row r="118" spans="1:8" ht="16.5">
      <c r="A118" s="216">
        <v>39995</v>
      </c>
      <c r="B118" s="211">
        <f>geral!I1285</f>
        <v>40</v>
      </c>
      <c r="C118" s="211">
        <f t="shared" si="2"/>
        <v>219.2982456140351</v>
      </c>
      <c r="D118" s="211">
        <f t="shared" ref="D118:D123" si="67">100*((B118/B117)-1)</f>
        <v>-3.1141868512110649</v>
      </c>
      <c r="E118" s="211">
        <f t="shared" ref="E118:E123" si="68">100*((B118/$B$111)-1)</f>
        <v>-1.0600706713780994</v>
      </c>
      <c r="F118" s="214">
        <f t="shared" ref="F118:F123" si="69">100*((B118/B106)-1)</f>
        <v>5.780128447298849</v>
      </c>
      <c r="G118" s="214">
        <f t="shared" ref="G118:G123" si="70">100*(B118/B94-1)</f>
        <v>8.9918256130790084</v>
      </c>
      <c r="H118" s="217">
        <f t="shared" si="58"/>
        <v>1.3313333333333335</v>
      </c>
    </row>
    <row r="119" spans="1:8" ht="16.5">
      <c r="A119" s="216">
        <v>40026</v>
      </c>
      <c r="B119" s="211">
        <f>geral!I1286</f>
        <v>42</v>
      </c>
      <c r="C119" s="211">
        <f t="shared" si="2"/>
        <v>230.26315789473685</v>
      </c>
      <c r="D119" s="211">
        <f t="shared" si="67"/>
        <v>5.0000000000000044</v>
      </c>
      <c r="E119" s="211">
        <f t="shared" si="68"/>
        <v>3.8869257950530089</v>
      </c>
      <c r="F119" s="214">
        <f t="shared" si="69"/>
        <v>8.3271923360353828</v>
      </c>
      <c r="G119" s="214">
        <f t="shared" si="70"/>
        <v>13.564668769716093</v>
      </c>
      <c r="H119" s="217">
        <f t="shared" si="58"/>
        <v>1.2679365079365081</v>
      </c>
    </row>
    <row r="120" spans="1:8" ht="16.5">
      <c r="A120" s="216">
        <v>40057</v>
      </c>
      <c r="B120" s="211">
        <f>geral!I1287</f>
        <v>42</v>
      </c>
      <c r="C120" s="211">
        <f t="shared" si="2"/>
        <v>230.26315789473685</v>
      </c>
      <c r="D120" s="211">
        <f t="shared" si="67"/>
        <v>0</v>
      </c>
      <c r="E120" s="211">
        <f t="shared" si="68"/>
        <v>3.8869257950530089</v>
      </c>
      <c r="F120" s="214">
        <f t="shared" si="69"/>
        <v>6.5989847715736127</v>
      </c>
      <c r="G120" s="214">
        <f t="shared" si="70"/>
        <v>11.169931180518788</v>
      </c>
      <c r="H120" s="217">
        <f t="shared" si="58"/>
        <v>1.2679365079365081</v>
      </c>
    </row>
    <row r="121" spans="1:8" ht="16.5">
      <c r="A121" s="216">
        <v>40087</v>
      </c>
      <c r="B121" s="211">
        <f>geral!I1288</f>
        <v>42.428571428571431</v>
      </c>
      <c r="C121" s="211">
        <f t="shared" si="2"/>
        <v>232.61278195488725</v>
      </c>
      <c r="D121" s="211">
        <f t="shared" si="67"/>
        <v>1.0204081632653184</v>
      </c>
      <c r="E121" s="211">
        <f t="shared" si="68"/>
        <v>4.9469964664310861</v>
      </c>
      <c r="F121" s="214">
        <f t="shared" si="69"/>
        <v>3.6649214659685958</v>
      </c>
      <c r="G121" s="214">
        <f t="shared" si="70"/>
        <v>14.274721046556383</v>
      </c>
      <c r="H121" s="217">
        <f t="shared" si="58"/>
        <v>1.2551290684624019</v>
      </c>
    </row>
    <row r="122" spans="1:8" ht="16.5">
      <c r="A122" s="216">
        <v>40118</v>
      </c>
      <c r="B122" s="211">
        <f>geral!I1289</f>
        <v>42.5</v>
      </c>
      <c r="C122" s="211">
        <f t="shared" si="2"/>
        <v>233.0043859649123</v>
      </c>
      <c r="D122" s="211">
        <f t="shared" si="67"/>
        <v>0.16835016835017313</v>
      </c>
      <c r="E122" s="211">
        <f t="shared" si="68"/>
        <v>5.1236749116607694</v>
      </c>
      <c r="F122" s="214">
        <f t="shared" si="69"/>
        <v>1.1904761904761862</v>
      </c>
      <c r="G122" s="214">
        <f t="shared" si="70"/>
        <v>16.256350136772181</v>
      </c>
      <c r="H122" s="217">
        <f t="shared" si="58"/>
        <v>1.2530196078431373</v>
      </c>
    </row>
    <row r="123" spans="1:8" ht="16.5">
      <c r="A123" s="216">
        <v>40148</v>
      </c>
      <c r="B123" s="211">
        <f>geral!I1290</f>
        <v>42.428571428571431</v>
      </c>
      <c r="C123" s="211">
        <f t="shared" si="2"/>
        <v>232.61278195488725</v>
      </c>
      <c r="D123" s="211">
        <f t="shared" si="67"/>
        <v>-0.16806722689075571</v>
      </c>
      <c r="E123" s="211">
        <f t="shared" si="68"/>
        <v>4.9469964664310861</v>
      </c>
      <c r="F123" s="214">
        <f t="shared" si="69"/>
        <v>4.9469964664310861</v>
      </c>
      <c r="G123" s="214">
        <f t="shared" si="70"/>
        <v>14.671814671814687</v>
      </c>
      <c r="H123" s="217">
        <f t="shared" si="58"/>
        <v>1.2551290684624019</v>
      </c>
    </row>
    <row r="124" spans="1:8" ht="16.5">
      <c r="A124" s="216">
        <v>40179</v>
      </c>
      <c r="B124" s="211">
        <f>geral!K1279</f>
        <v>42.428571428571431</v>
      </c>
      <c r="C124" s="211">
        <f t="shared" si="2"/>
        <v>232.61278195488725</v>
      </c>
      <c r="D124" s="211">
        <f t="shared" ref="D124:D129" si="71">100*((B124/B123)-1)</f>
        <v>0</v>
      </c>
      <c r="E124" s="211">
        <f t="shared" ref="E124:E129" si="72">100*((B124/$B$123)-1)</f>
        <v>0</v>
      </c>
      <c r="F124" s="214">
        <f t="shared" ref="F124:F129" si="73">100*((B124/B112)-1)</f>
        <v>4.9469964664310861</v>
      </c>
      <c r="G124" s="214">
        <f t="shared" ref="G124:G129" si="74">100*(B124/B100-1)</f>
        <v>22.34305486900643</v>
      </c>
      <c r="H124" s="217">
        <f t="shared" si="58"/>
        <v>1.2551290684624019</v>
      </c>
    </row>
    <row r="125" spans="1:8" ht="16.5">
      <c r="A125" s="216">
        <v>40210</v>
      </c>
      <c r="B125" s="211">
        <f>geral!K1280</f>
        <v>44.166666666666664</v>
      </c>
      <c r="C125" s="211">
        <f t="shared" si="2"/>
        <v>242.14181286549706</v>
      </c>
      <c r="D125" s="211">
        <f t="shared" si="71"/>
        <v>4.0965207631874279</v>
      </c>
      <c r="E125" s="211">
        <f t="shared" si="72"/>
        <v>4.0965207631874279</v>
      </c>
      <c r="F125" s="214">
        <f t="shared" si="73"/>
        <v>7.7235772357723498</v>
      </c>
      <c r="G125" s="214">
        <f t="shared" si="74"/>
        <v>19.692863595302622</v>
      </c>
      <c r="H125" s="217">
        <f t="shared" si="58"/>
        <v>1.2057358490566039</v>
      </c>
    </row>
    <row r="126" spans="1:8" ht="16.5">
      <c r="A126" s="216">
        <v>40238</v>
      </c>
      <c r="B126" s="211">
        <f>geral!K1281</f>
        <v>44.166666666666664</v>
      </c>
      <c r="C126" s="211">
        <f t="shared" si="2"/>
        <v>242.14181286549706</v>
      </c>
      <c r="D126" s="211">
        <f t="shared" si="71"/>
        <v>0</v>
      </c>
      <c r="E126" s="211">
        <f t="shared" si="72"/>
        <v>4.0965207631874279</v>
      </c>
      <c r="F126" s="214">
        <f t="shared" si="73"/>
        <v>10.971524288107215</v>
      </c>
      <c r="G126" s="214">
        <f t="shared" si="74"/>
        <v>19.154676258992787</v>
      </c>
      <c r="H126" s="217">
        <f t="shared" si="58"/>
        <v>1.2057358490566039</v>
      </c>
    </row>
    <row r="127" spans="1:8" ht="16.5">
      <c r="A127" s="216">
        <v>40269</v>
      </c>
      <c r="B127" s="211">
        <f>geral!K1282</f>
        <v>39.17</v>
      </c>
      <c r="C127" s="211">
        <f t="shared" si="2"/>
        <v>214.74780701754389</v>
      </c>
      <c r="D127" s="211">
        <f t="shared" si="71"/>
        <v>-11.313207547169801</v>
      </c>
      <c r="E127" s="211">
        <f t="shared" si="72"/>
        <v>-7.6801346801346764</v>
      </c>
      <c r="F127" s="214">
        <f t="shared" si="73"/>
        <v>-1.5829145728643135</v>
      </c>
      <c r="G127" s="214">
        <f t="shared" si="74"/>
        <v>5.5795148247978377</v>
      </c>
      <c r="H127" s="217">
        <f t="shared" si="58"/>
        <v>1.3595438686069272</v>
      </c>
    </row>
    <row r="128" spans="1:8" ht="17.25" customHeight="1">
      <c r="A128" s="216">
        <v>40299</v>
      </c>
      <c r="B128" s="211">
        <f>geral!K1283</f>
        <v>43</v>
      </c>
      <c r="C128" s="211">
        <f t="shared" si="2"/>
        <v>235.74561403508773</v>
      </c>
      <c r="D128" s="211">
        <f t="shared" si="71"/>
        <v>9.7778912432984413</v>
      </c>
      <c r="E128" s="211">
        <f t="shared" si="72"/>
        <v>1.3468013468013407</v>
      </c>
      <c r="F128" s="214">
        <f t="shared" si="73"/>
        <v>4.8780487804878092</v>
      </c>
      <c r="G128" s="214">
        <f t="shared" si="74"/>
        <v>11.979166666666675</v>
      </c>
      <c r="H128" s="217">
        <f t="shared" si="58"/>
        <v>1.2384496124031008</v>
      </c>
    </row>
    <row r="129" spans="1:8" ht="17.25" customHeight="1">
      <c r="A129" s="216">
        <v>40330</v>
      </c>
      <c r="B129" s="211">
        <f>geral!K1284</f>
        <v>43</v>
      </c>
      <c r="C129" s="211">
        <f t="shared" si="2"/>
        <v>235.74561403508773</v>
      </c>
      <c r="D129" s="211">
        <f t="shared" si="71"/>
        <v>0</v>
      </c>
      <c r="E129" s="211">
        <f t="shared" si="72"/>
        <v>1.3468013468013407</v>
      </c>
      <c r="F129" s="214">
        <f t="shared" si="73"/>
        <v>4.1522491349480939</v>
      </c>
      <c r="G129" s="214">
        <f t="shared" si="74"/>
        <v>10.426296866974848</v>
      </c>
      <c r="H129" s="217">
        <f t="shared" si="58"/>
        <v>1.2384496124031008</v>
      </c>
    </row>
    <row r="130" spans="1:8" ht="17.25" customHeight="1">
      <c r="A130" s="216">
        <v>40360</v>
      </c>
      <c r="B130" s="211">
        <f>geral!K1285</f>
        <v>42.984000000000002</v>
      </c>
      <c r="C130" s="211">
        <f t="shared" si="2"/>
        <v>235.65789473684217</v>
      </c>
      <c r="D130" s="211">
        <f t="shared" ref="D130:D135" si="75">100*((B130/B129)-1)</f>
        <v>-3.7209302325580396E-2</v>
      </c>
      <c r="E130" s="211">
        <f t="shared" ref="E130:E135" si="76">100*((B130/$B$123)-1)</f>
        <v>1.3090909090909042</v>
      </c>
      <c r="F130" s="214">
        <f t="shared" ref="F130:F135" si="77">100*((B130/B118)-1)</f>
        <v>7.46</v>
      </c>
      <c r="G130" s="214">
        <f t="shared" ref="G130:G135" si="78">100*(B130/B106-1)</f>
        <v>13.671326029467345</v>
      </c>
      <c r="H130" s="217">
        <f t="shared" si="58"/>
        <v>1.2389106023946896</v>
      </c>
    </row>
    <row r="131" spans="1:8" ht="17.25" customHeight="1">
      <c r="A131" s="216">
        <v>40391</v>
      </c>
      <c r="B131" s="211">
        <f>geral!K1286</f>
        <v>45.844000000000001</v>
      </c>
      <c r="C131" s="211">
        <f t="shared" si="2"/>
        <v>251.33771929824567</v>
      </c>
      <c r="D131" s="211">
        <f t="shared" si="75"/>
        <v>6.6536385631863038</v>
      </c>
      <c r="E131" s="211">
        <f t="shared" si="76"/>
        <v>8.0498316498316402</v>
      </c>
      <c r="F131" s="214">
        <f t="shared" si="77"/>
        <v>9.1523809523809554</v>
      </c>
      <c r="G131" s="214">
        <f t="shared" si="78"/>
        <v>18.241709653647774</v>
      </c>
      <c r="H131" s="217">
        <f t="shared" si="58"/>
        <v>1.1616205683041039</v>
      </c>
    </row>
    <row r="132" spans="1:8" ht="17.25" customHeight="1">
      <c r="A132" s="216">
        <v>40422</v>
      </c>
      <c r="B132" s="211">
        <f>geral!K1287</f>
        <v>45.844000000000001</v>
      </c>
      <c r="C132" s="211">
        <f t="shared" si="2"/>
        <v>251.33771929824567</v>
      </c>
      <c r="D132" s="211">
        <f t="shared" si="75"/>
        <v>0</v>
      </c>
      <c r="E132" s="211">
        <f t="shared" si="76"/>
        <v>8.0498316498316402</v>
      </c>
      <c r="F132" s="214">
        <f t="shared" si="77"/>
        <v>9.1523809523809554</v>
      </c>
      <c r="G132" s="214">
        <f t="shared" si="78"/>
        <v>16.355329949238584</v>
      </c>
      <c r="H132" s="217">
        <f t="shared" si="58"/>
        <v>1.1616205683041039</v>
      </c>
    </row>
    <row r="133" spans="1:8" ht="17.25" customHeight="1">
      <c r="A133" s="216">
        <v>40452</v>
      </c>
      <c r="B133" s="211">
        <f>geral!K1288</f>
        <v>46.18</v>
      </c>
      <c r="C133" s="211">
        <f t="shared" si="2"/>
        <v>253.17982456140354</v>
      </c>
      <c r="D133" s="211">
        <f t="shared" si="75"/>
        <v>0.73292033853940008</v>
      </c>
      <c r="E133" s="211">
        <f t="shared" si="76"/>
        <v>8.8417508417508284</v>
      </c>
      <c r="F133" s="214">
        <f t="shared" si="77"/>
        <v>8.8417508417508284</v>
      </c>
      <c r="G133" s="214">
        <f t="shared" si="78"/>
        <v>12.830715532286208</v>
      </c>
      <c r="H133" s="217">
        <f t="shared" si="58"/>
        <v>1.1531687599249316</v>
      </c>
    </row>
    <row r="134" spans="1:8" ht="17.25" customHeight="1">
      <c r="A134" s="216">
        <v>40483</v>
      </c>
      <c r="B134" s="211">
        <f>geral!K1289</f>
        <v>46.25</v>
      </c>
      <c r="C134" s="211">
        <f t="shared" si="2"/>
        <v>253.56359649122808</v>
      </c>
      <c r="D134" s="211">
        <f t="shared" si="75"/>
        <v>0.1515807708964978</v>
      </c>
      <c r="E134" s="211">
        <f t="shared" si="76"/>
        <v>9.0067340067339963</v>
      </c>
      <c r="F134" s="214">
        <f t="shared" si="77"/>
        <v>8.8235294117646959</v>
      </c>
      <c r="G134" s="214">
        <f t="shared" si="78"/>
        <v>10.119047619047628</v>
      </c>
      <c r="H134" s="217">
        <f t="shared" si="58"/>
        <v>1.1514234234234235</v>
      </c>
    </row>
    <row r="135" spans="1:8" ht="17.25" customHeight="1">
      <c r="A135" s="216">
        <v>40513</v>
      </c>
      <c r="B135" s="211">
        <f>geral!K1290</f>
        <v>46.073333333333331</v>
      </c>
      <c r="C135" s="211">
        <f t="shared" si="2"/>
        <v>252.59502923976609</v>
      </c>
      <c r="D135" s="211">
        <f t="shared" si="75"/>
        <v>-0.38198198198198252</v>
      </c>
      <c r="E135" s="211">
        <f t="shared" si="76"/>
        <v>8.5903479236812519</v>
      </c>
      <c r="F135" s="214">
        <f t="shared" si="77"/>
        <v>8.5903479236812519</v>
      </c>
      <c r="G135" s="214">
        <f t="shared" si="78"/>
        <v>13.962308598350992</v>
      </c>
      <c r="H135" s="217">
        <f t="shared" ref="H135:H158" si="79">$B$171/B135</f>
        <v>1.1558385183041529</v>
      </c>
    </row>
    <row r="136" spans="1:8" ht="17.25" customHeight="1">
      <c r="A136" s="216">
        <v>40544</v>
      </c>
      <c r="B136" s="211">
        <f>geral!M1279</f>
        <v>46.287999999999997</v>
      </c>
      <c r="C136" s="211">
        <f t="shared" si="2"/>
        <v>253.7719298245614</v>
      </c>
      <c r="D136" s="211">
        <f t="shared" ref="D136:D141" si="80">100*((B136/B135)-1)</f>
        <v>0.46592388945159158</v>
      </c>
      <c r="E136" s="211">
        <f t="shared" ref="E136:E141" si="81">100*((B136/$B$135)-1)</f>
        <v>0.46592388945159158</v>
      </c>
      <c r="F136" s="214">
        <f t="shared" ref="F136:F141" si="82">100*((B136/B124)-1)</f>
        <v>9.0962962962962912</v>
      </c>
      <c r="G136" s="214">
        <f t="shared" ref="G136:G141" si="83">100*(B136/B112-1)</f>
        <v>14.493286219081259</v>
      </c>
      <c r="H136" s="217">
        <f t="shared" si="79"/>
        <v>1.1504781656872913</v>
      </c>
    </row>
    <row r="137" spans="1:8" ht="17.25" customHeight="1">
      <c r="A137" s="216">
        <v>40575</v>
      </c>
      <c r="B137" s="211">
        <f>geral!M1280</f>
        <v>46.287999999999997</v>
      </c>
      <c r="C137" s="211">
        <f t="shared" si="2"/>
        <v>253.7719298245614</v>
      </c>
      <c r="D137" s="211">
        <f t="shared" si="80"/>
        <v>0</v>
      </c>
      <c r="E137" s="211">
        <f t="shared" si="81"/>
        <v>0.46592388945159158</v>
      </c>
      <c r="F137" s="214">
        <f t="shared" si="82"/>
        <v>4.8030188679245356</v>
      </c>
      <c r="G137" s="214">
        <f t="shared" si="83"/>
        <v>12.897560975609746</v>
      </c>
      <c r="H137" s="217">
        <f t="shared" si="79"/>
        <v>1.1504781656872913</v>
      </c>
    </row>
    <row r="138" spans="1:8" ht="17.25" customHeight="1">
      <c r="A138" s="216">
        <v>40603</v>
      </c>
      <c r="B138" s="211">
        <f>geral!M1281</f>
        <v>46.287999999999997</v>
      </c>
      <c r="C138" s="211">
        <f t="shared" si="2"/>
        <v>253.7719298245614</v>
      </c>
      <c r="D138" s="211">
        <f t="shared" si="80"/>
        <v>0</v>
      </c>
      <c r="E138" s="211">
        <f t="shared" si="81"/>
        <v>0.46592388945159158</v>
      </c>
      <c r="F138" s="214">
        <f t="shared" si="82"/>
        <v>4.8030188679245356</v>
      </c>
      <c r="G138" s="214">
        <f t="shared" si="83"/>
        <v>16.301507537688444</v>
      </c>
      <c r="H138" s="217">
        <f t="shared" si="79"/>
        <v>1.1504781656872913</v>
      </c>
    </row>
    <row r="139" spans="1:8" ht="17.25" customHeight="1">
      <c r="A139" s="216">
        <v>40634</v>
      </c>
      <c r="B139" s="211">
        <f>geral!M1282</f>
        <v>46.287999999999997</v>
      </c>
      <c r="C139" s="211">
        <f t="shared" si="2"/>
        <v>253.7719298245614</v>
      </c>
      <c r="D139" s="211">
        <f t="shared" si="80"/>
        <v>0</v>
      </c>
      <c r="E139" s="211">
        <f t="shared" si="81"/>
        <v>0.46592388945159158</v>
      </c>
      <c r="F139" s="214">
        <f t="shared" si="82"/>
        <v>18.172070462088328</v>
      </c>
      <c r="G139" s="214">
        <f t="shared" si="83"/>
        <v>16.301507537688444</v>
      </c>
      <c r="H139" s="217">
        <f t="shared" si="79"/>
        <v>1.1504781656872913</v>
      </c>
    </row>
    <row r="140" spans="1:8" ht="17.25" customHeight="1">
      <c r="A140" s="216">
        <v>40664</v>
      </c>
      <c r="B140" s="211">
        <f>geral!M1283</f>
        <v>46.38</v>
      </c>
      <c r="C140" s="211">
        <f t="shared" si="2"/>
        <v>254.2763157894737</v>
      </c>
      <c r="D140" s="211">
        <f t="shared" si="80"/>
        <v>0.19875561700657407</v>
      </c>
      <c r="E140" s="211">
        <f t="shared" si="81"/>
        <v>0.66560555635943874</v>
      </c>
      <c r="F140" s="214">
        <f t="shared" si="82"/>
        <v>7.8604651162790695</v>
      </c>
      <c r="G140" s="214">
        <f t="shared" si="83"/>
        <v>13.121951219512207</v>
      </c>
      <c r="H140" s="217">
        <f t="shared" si="79"/>
        <v>1.1481960615207705</v>
      </c>
    </row>
    <row r="141" spans="1:8" ht="17.25" customHeight="1">
      <c r="A141" s="216">
        <v>40695</v>
      </c>
      <c r="B141" s="211">
        <f>geral!M1284</f>
        <v>46.38</v>
      </c>
      <c r="C141" s="211">
        <f t="shared" si="2"/>
        <v>254.2763157894737</v>
      </c>
      <c r="D141" s="211">
        <f t="shared" si="80"/>
        <v>0</v>
      </c>
      <c r="E141" s="211">
        <f t="shared" si="81"/>
        <v>0.66560555635943874</v>
      </c>
      <c r="F141" s="214">
        <f t="shared" si="82"/>
        <v>7.8604651162790695</v>
      </c>
      <c r="G141" s="214">
        <f t="shared" si="83"/>
        <v>12.339100346020771</v>
      </c>
      <c r="H141" s="217">
        <f t="shared" si="79"/>
        <v>1.1481960615207705</v>
      </c>
    </row>
    <row r="142" spans="1:8" ht="17.25" customHeight="1">
      <c r="A142" s="216">
        <v>40725</v>
      </c>
      <c r="B142" s="211">
        <f>geral!M1285</f>
        <v>46.38</v>
      </c>
      <c r="C142" s="211">
        <f t="shared" si="2"/>
        <v>254.2763157894737</v>
      </c>
      <c r="D142" s="211">
        <f t="shared" ref="D142:D147" si="84">100*((B142/B141)-1)</f>
        <v>0</v>
      </c>
      <c r="E142" s="211">
        <f t="shared" ref="E142:E147" si="85">100*((B142/$B$135)-1)</f>
        <v>0.66560555635943874</v>
      </c>
      <c r="F142" s="214">
        <f t="shared" ref="F142:F147" si="86">100*((B142/B130)-1)</f>
        <v>7.900614182021215</v>
      </c>
      <c r="G142" s="214">
        <f t="shared" ref="G142:G147" si="87">100*(B142/B118-1)</f>
        <v>15.949999999999998</v>
      </c>
      <c r="H142" s="217">
        <f t="shared" si="79"/>
        <v>1.1481960615207705</v>
      </c>
    </row>
    <row r="143" spans="1:8" ht="17.25" customHeight="1">
      <c r="A143" s="216">
        <v>40756</v>
      </c>
      <c r="B143" s="211">
        <f>geral!M1286</f>
        <v>46.38</v>
      </c>
      <c r="C143" s="211">
        <f t="shared" si="2"/>
        <v>254.2763157894737</v>
      </c>
      <c r="D143" s="211">
        <f t="shared" si="84"/>
        <v>0</v>
      </c>
      <c r="E143" s="211">
        <f t="shared" si="85"/>
        <v>0.66560555635943874</v>
      </c>
      <c r="F143" s="214">
        <f t="shared" si="86"/>
        <v>1.1691824448128552</v>
      </c>
      <c r="G143" s="214">
        <f t="shared" si="87"/>
        <v>10.428571428571431</v>
      </c>
      <c r="H143" s="217">
        <f t="shared" si="79"/>
        <v>1.1481960615207705</v>
      </c>
    </row>
    <row r="144" spans="1:8" ht="17.25" customHeight="1">
      <c r="A144" s="216">
        <v>40787</v>
      </c>
      <c r="B144" s="211">
        <f>geral!M1287</f>
        <v>46.38</v>
      </c>
      <c r="C144" s="211">
        <f t="shared" si="2"/>
        <v>254.2763157894737</v>
      </c>
      <c r="D144" s="211">
        <f t="shared" si="84"/>
        <v>0</v>
      </c>
      <c r="E144" s="211">
        <f t="shared" si="85"/>
        <v>0.66560555635943874</v>
      </c>
      <c r="F144" s="214">
        <f t="shared" si="86"/>
        <v>1.1691824448128552</v>
      </c>
      <c r="G144" s="214">
        <f t="shared" si="87"/>
        <v>10.428571428571431</v>
      </c>
      <c r="H144" s="217">
        <f t="shared" si="79"/>
        <v>1.1481960615207705</v>
      </c>
    </row>
    <row r="145" spans="1:8" ht="17.25" customHeight="1">
      <c r="A145" s="216">
        <v>40817</v>
      </c>
      <c r="B145" s="211">
        <f>geral!M1288</f>
        <v>46.38</v>
      </c>
      <c r="C145" s="211">
        <f t="shared" si="2"/>
        <v>254.2763157894737</v>
      </c>
      <c r="D145" s="211">
        <f t="shared" si="84"/>
        <v>0</v>
      </c>
      <c r="E145" s="211">
        <f t="shared" si="85"/>
        <v>0.66560555635943874</v>
      </c>
      <c r="F145" s="214">
        <f t="shared" si="86"/>
        <v>0.43308791684713022</v>
      </c>
      <c r="G145" s="214">
        <f t="shared" si="87"/>
        <v>9.3131313131313185</v>
      </c>
      <c r="H145" s="217">
        <f t="shared" si="79"/>
        <v>1.1481960615207705</v>
      </c>
    </row>
    <row r="146" spans="1:8" ht="17.25" customHeight="1">
      <c r="A146" s="216">
        <v>40848</v>
      </c>
      <c r="B146" s="211">
        <f>geral!M1289</f>
        <v>46.38</v>
      </c>
      <c r="C146" s="211">
        <f t="shared" si="2"/>
        <v>254.2763157894737</v>
      </c>
      <c r="D146" s="211">
        <f t="shared" si="84"/>
        <v>0</v>
      </c>
      <c r="E146" s="211">
        <f t="shared" si="85"/>
        <v>0.66560555635943874</v>
      </c>
      <c r="F146" s="214">
        <f t="shared" si="86"/>
        <v>0.28108108108109153</v>
      </c>
      <c r="G146" s="214">
        <f t="shared" si="87"/>
        <v>9.1294117647058961</v>
      </c>
      <c r="H146" s="217">
        <f t="shared" si="79"/>
        <v>1.1481960615207705</v>
      </c>
    </row>
    <row r="147" spans="1:8" ht="17.25" customHeight="1">
      <c r="A147" s="244">
        <v>40878</v>
      </c>
      <c r="B147" s="230">
        <f>geral!M1290</f>
        <v>46.38</v>
      </c>
      <c r="C147" s="230">
        <f t="shared" si="2"/>
        <v>254.2763157894737</v>
      </c>
      <c r="D147" s="230">
        <f t="shared" si="84"/>
        <v>0</v>
      </c>
      <c r="E147" s="230">
        <f t="shared" si="85"/>
        <v>0.66560555635943874</v>
      </c>
      <c r="F147" s="243">
        <f t="shared" si="86"/>
        <v>0.66560555635943874</v>
      </c>
      <c r="G147" s="243">
        <f t="shared" si="87"/>
        <v>9.3131313131313185</v>
      </c>
      <c r="H147" s="217">
        <f t="shared" si="79"/>
        <v>1.1481960615207705</v>
      </c>
    </row>
    <row r="148" spans="1:8" ht="17.25" customHeight="1">
      <c r="A148" s="244">
        <v>40909</v>
      </c>
      <c r="B148" s="230">
        <f>geral!C1294</f>
        <v>46.38</v>
      </c>
      <c r="C148" s="230">
        <f t="shared" ref="C148:C153" si="88">100*B148/$B$7</f>
        <v>254.2763157894737</v>
      </c>
      <c r="D148" s="230">
        <f t="shared" ref="D148:D153" si="89">100*((B148/B147)-1)</f>
        <v>0</v>
      </c>
      <c r="E148" s="230">
        <f t="shared" ref="E148:E153" si="90">100*((B148/$B$147)-1)</f>
        <v>0</v>
      </c>
      <c r="F148" s="243">
        <f t="shared" ref="F148:F153" si="91">100*((B148/B136)-1)</f>
        <v>0.19875561700657407</v>
      </c>
      <c r="G148" s="243">
        <f t="shared" ref="G148:G153" si="92">100*(B148/B124-1)</f>
        <v>9.3131313131313185</v>
      </c>
      <c r="H148" s="217">
        <f t="shared" si="79"/>
        <v>1.1481960615207705</v>
      </c>
    </row>
    <row r="149" spans="1:8" ht="17.25" customHeight="1">
      <c r="A149" s="244">
        <v>40940</v>
      </c>
      <c r="B149" s="230">
        <f>geral!C1295</f>
        <v>46.966666666666669</v>
      </c>
      <c r="C149" s="230">
        <f t="shared" si="88"/>
        <v>257.49269005847958</v>
      </c>
      <c r="D149" s="230">
        <f t="shared" si="89"/>
        <v>1.2649130372286876</v>
      </c>
      <c r="E149" s="230">
        <f t="shared" si="90"/>
        <v>1.2649130372286876</v>
      </c>
      <c r="F149" s="243">
        <f t="shared" si="91"/>
        <v>1.4661827399470084</v>
      </c>
      <c r="G149" s="243">
        <f t="shared" si="92"/>
        <v>6.3396226415094459</v>
      </c>
      <c r="H149" s="217">
        <f t="shared" si="79"/>
        <v>1.1338537970191627</v>
      </c>
    </row>
    <row r="150" spans="1:8" ht="17.25" customHeight="1">
      <c r="A150" s="244">
        <v>40969</v>
      </c>
      <c r="B150" s="230">
        <f>geral!C1296</f>
        <v>51.133333333333333</v>
      </c>
      <c r="C150" s="230">
        <f t="shared" si="88"/>
        <v>280.33625730994152</v>
      </c>
      <c r="D150" s="230">
        <f t="shared" si="89"/>
        <v>8.8715400993612406</v>
      </c>
      <c r="E150" s="230">
        <f t="shared" si="90"/>
        <v>10.248670403909731</v>
      </c>
      <c r="F150" s="243">
        <f t="shared" si="91"/>
        <v>10.467795829012561</v>
      </c>
      <c r="G150" s="243">
        <f t="shared" si="92"/>
        <v>15.773584905660387</v>
      </c>
      <c r="H150" s="217">
        <f t="shared" si="79"/>
        <v>1.0414602346805737</v>
      </c>
    </row>
    <row r="151" spans="1:8" ht="17.25" customHeight="1">
      <c r="A151" s="244">
        <v>41000</v>
      </c>
      <c r="B151" s="230">
        <f>geral!C1297</f>
        <v>51.133333333333333</v>
      </c>
      <c r="C151" s="230">
        <f t="shared" si="88"/>
        <v>280.33625730994152</v>
      </c>
      <c r="D151" s="230">
        <f t="shared" si="89"/>
        <v>0</v>
      </c>
      <c r="E151" s="230">
        <f t="shared" si="90"/>
        <v>10.248670403909731</v>
      </c>
      <c r="F151" s="243">
        <f t="shared" si="91"/>
        <v>10.467795829012561</v>
      </c>
      <c r="G151" s="243">
        <f t="shared" si="92"/>
        <v>30.542081524976595</v>
      </c>
      <c r="H151" s="217">
        <f t="shared" si="79"/>
        <v>1.0414602346805737</v>
      </c>
    </row>
    <row r="152" spans="1:8" ht="17.25" customHeight="1">
      <c r="A152" s="244">
        <v>41030</v>
      </c>
      <c r="B152" s="230">
        <f>geral!C1298</f>
        <v>51.133333333333333</v>
      </c>
      <c r="C152" s="230">
        <f t="shared" si="88"/>
        <v>280.33625730994152</v>
      </c>
      <c r="D152" s="230">
        <f t="shared" si="89"/>
        <v>0</v>
      </c>
      <c r="E152" s="230">
        <f t="shared" si="90"/>
        <v>10.248670403909731</v>
      </c>
      <c r="F152" s="243">
        <f t="shared" si="91"/>
        <v>10.248670403909731</v>
      </c>
      <c r="G152" s="243">
        <f t="shared" si="92"/>
        <v>18.914728682170544</v>
      </c>
      <c r="H152" s="217">
        <f t="shared" si="79"/>
        <v>1.0414602346805737</v>
      </c>
    </row>
    <row r="153" spans="1:8" ht="17.25" customHeight="1">
      <c r="A153" s="244">
        <v>41061</v>
      </c>
      <c r="B153" s="230">
        <f>geral!C1299</f>
        <v>51.133333333333333</v>
      </c>
      <c r="C153" s="230">
        <f t="shared" si="88"/>
        <v>280.33625730994152</v>
      </c>
      <c r="D153" s="230">
        <f t="shared" si="89"/>
        <v>0</v>
      </c>
      <c r="E153" s="230">
        <f t="shared" si="90"/>
        <v>10.248670403909731</v>
      </c>
      <c r="F153" s="243">
        <f t="shared" si="91"/>
        <v>10.248670403909731</v>
      </c>
      <c r="G153" s="243">
        <f t="shared" si="92"/>
        <v>18.914728682170544</v>
      </c>
      <c r="H153" s="279">
        <f t="shared" si="79"/>
        <v>1.0414602346805737</v>
      </c>
    </row>
    <row r="154" spans="1:8" ht="17.25" customHeight="1">
      <c r="A154" s="244">
        <v>41091</v>
      </c>
      <c r="B154" s="230">
        <f>geral!C1300</f>
        <v>47.800000000000004</v>
      </c>
      <c r="C154" s="230">
        <f t="shared" ref="C154:C159" si="93">100*B154/$B$7</f>
        <v>262.06140350877195</v>
      </c>
      <c r="D154" s="230">
        <f t="shared" ref="D154:D159" si="94">100*((B154/B153)-1)</f>
        <v>-6.5189048239895575</v>
      </c>
      <c r="E154" s="230">
        <f t="shared" ref="E154:E159" si="95">100*((B154/$B$147)-1)</f>
        <v>3.0616645105649098</v>
      </c>
      <c r="F154" s="243">
        <f t="shared" ref="F154:F159" si="96">100*((B154/B142)-1)</f>
        <v>3.0616645105649098</v>
      </c>
      <c r="G154" s="243">
        <f t="shared" ref="G154:G159" si="97">100*(B154/B130-1)</f>
        <v>11.204168993113717</v>
      </c>
      <c r="H154" s="279">
        <f t="shared" si="79"/>
        <v>1.1140864714086471</v>
      </c>
    </row>
    <row r="155" spans="1:8" ht="17.25" customHeight="1">
      <c r="A155" s="244">
        <v>41122</v>
      </c>
      <c r="B155" s="230">
        <f>geral!C1301</f>
        <v>47.800000000000004</v>
      </c>
      <c r="C155" s="230">
        <f t="shared" si="93"/>
        <v>262.06140350877195</v>
      </c>
      <c r="D155" s="230">
        <f t="shared" si="94"/>
        <v>0</v>
      </c>
      <c r="E155" s="230">
        <f t="shared" si="95"/>
        <v>3.0616645105649098</v>
      </c>
      <c r="F155" s="243">
        <f t="shared" si="96"/>
        <v>3.0616645105649098</v>
      </c>
      <c r="G155" s="243">
        <f t="shared" si="97"/>
        <v>4.2666433993543418</v>
      </c>
      <c r="H155" s="279">
        <f t="shared" si="79"/>
        <v>1.1140864714086471</v>
      </c>
    </row>
    <row r="156" spans="1:8" ht="17.25" customHeight="1">
      <c r="A156" s="244">
        <v>41153</v>
      </c>
      <c r="B156" s="230">
        <f>geral!C1302</f>
        <v>47.800000000000004</v>
      </c>
      <c r="C156" s="230">
        <f t="shared" si="93"/>
        <v>262.06140350877195</v>
      </c>
      <c r="D156" s="230">
        <f t="shared" si="94"/>
        <v>0</v>
      </c>
      <c r="E156" s="230">
        <f t="shared" si="95"/>
        <v>3.0616645105649098</v>
      </c>
      <c r="F156" s="243">
        <f t="shared" si="96"/>
        <v>3.0616645105649098</v>
      </c>
      <c r="G156" s="243">
        <f t="shared" si="97"/>
        <v>4.2666433993543418</v>
      </c>
      <c r="H156" s="279">
        <f t="shared" si="79"/>
        <v>1.1140864714086471</v>
      </c>
    </row>
    <row r="157" spans="1:8" ht="17.25" customHeight="1">
      <c r="A157" s="244">
        <v>41183</v>
      </c>
      <c r="B157" s="230">
        <f>geral!C1303</f>
        <v>48.633333333333333</v>
      </c>
      <c r="C157" s="230">
        <f t="shared" si="93"/>
        <v>266.63011695906431</v>
      </c>
      <c r="D157" s="230">
        <f t="shared" si="94"/>
        <v>1.7433751743375137</v>
      </c>
      <c r="E157" s="230">
        <f t="shared" si="95"/>
        <v>4.8584159839011098</v>
      </c>
      <c r="F157" s="243">
        <f t="shared" si="96"/>
        <v>4.8584159839011098</v>
      </c>
      <c r="G157" s="243">
        <f t="shared" si="97"/>
        <v>5.3125451133246626</v>
      </c>
      <c r="H157" s="279">
        <f t="shared" si="79"/>
        <v>1.0949965729952023</v>
      </c>
    </row>
    <row r="158" spans="1:8" ht="17.25" customHeight="1">
      <c r="A158" s="244">
        <v>41214</v>
      </c>
      <c r="B158" s="230">
        <f>geral!C1304</f>
        <v>48.633333333333333</v>
      </c>
      <c r="C158" s="230">
        <f t="shared" si="93"/>
        <v>266.63011695906431</v>
      </c>
      <c r="D158" s="230">
        <f t="shared" si="94"/>
        <v>0</v>
      </c>
      <c r="E158" s="230">
        <f t="shared" si="95"/>
        <v>4.8584159839011098</v>
      </c>
      <c r="F158" s="243">
        <f t="shared" si="96"/>
        <v>4.8584159839011098</v>
      </c>
      <c r="G158" s="243">
        <f t="shared" si="97"/>
        <v>5.1531531531531449</v>
      </c>
      <c r="H158" s="279">
        <f t="shared" si="79"/>
        <v>1.0949965729952023</v>
      </c>
    </row>
    <row r="159" spans="1:8" ht="17.25" customHeight="1">
      <c r="A159" s="244">
        <v>41244</v>
      </c>
      <c r="B159" s="230">
        <f>geral!C1305</f>
        <v>48.633333333333333</v>
      </c>
      <c r="C159" s="230">
        <f t="shared" si="93"/>
        <v>266.63011695906431</v>
      </c>
      <c r="D159" s="230">
        <f t="shared" si="94"/>
        <v>0</v>
      </c>
      <c r="E159" s="230">
        <f t="shared" si="95"/>
        <v>4.8584159839011098</v>
      </c>
      <c r="F159" s="243">
        <f t="shared" si="96"/>
        <v>4.8584159839011098</v>
      </c>
      <c r="G159" s="243">
        <f t="shared" si="97"/>
        <v>5.5563594270004346</v>
      </c>
      <c r="H159" s="279">
        <f t="shared" ref="H159:H171" si="98">$B$171/B159</f>
        <v>1.0949965729952023</v>
      </c>
    </row>
    <row r="160" spans="1:8" ht="17.25" customHeight="1">
      <c r="A160" s="244">
        <v>41275</v>
      </c>
      <c r="B160" s="230">
        <f>geral!E1294</f>
        <v>48.633333333333333</v>
      </c>
      <c r="C160" s="230">
        <f t="shared" ref="C160:C165" si="99">100*B160/$B$7</f>
        <v>266.63011695906431</v>
      </c>
      <c r="D160" s="230">
        <f t="shared" ref="D160:D165" si="100">100*((B160/B159)-1)</f>
        <v>0</v>
      </c>
      <c r="E160" s="230">
        <f t="shared" ref="E160:E165" si="101">100*((B160/$B$159)-1)</f>
        <v>0</v>
      </c>
      <c r="F160" s="243">
        <f t="shared" ref="F160:F165" si="102">100*((B160/B148)-1)</f>
        <v>4.8584159839011098</v>
      </c>
      <c r="G160" s="243">
        <f t="shared" ref="G160:G165" si="103">100*(B160/B136-1)</f>
        <v>5.0668279755732293</v>
      </c>
      <c r="H160" s="279">
        <f t="shared" si="98"/>
        <v>1.0949965729952023</v>
      </c>
    </row>
    <row r="161" spans="1:8" ht="17.25" customHeight="1">
      <c r="A161" s="244">
        <v>41306</v>
      </c>
      <c r="B161" s="230">
        <f>geral!E1295</f>
        <v>48.633333333333333</v>
      </c>
      <c r="C161" s="230">
        <f t="shared" si="99"/>
        <v>266.63011695906431</v>
      </c>
      <c r="D161" s="230">
        <f t="shared" si="100"/>
        <v>0</v>
      </c>
      <c r="E161" s="230">
        <f t="shared" si="101"/>
        <v>0</v>
      </c>
      <c r="F161" s="243">
        <f t="shared" si="102"/>
        <v>3.548616039744501</v>
      </c>
      <c r="G161" s="243">
        <f t="shared" si="103"/>
        <v>5.0668279755732293</v>
      </c>
      <c r="H161" s="279">
        <f t="shared" si="98"/>
        <v>1.0949965729952023</v>
      </c>
    </row>
    <row r="162" spans="1:8" ht="17.25" customHeight="1">
      <c r="A162" s="244">
        <v>41334</v>
      </c>
      <c r="B162" s="230">
        <f>geral!E1296</f>
        <v>52.586666666666673</v>
      </c>
      <c r="C162" s="230">
        <f t="shared" si="99"/>
        <v>288.30409356725153</v>
      </c>
      <c r="D162" s="230">
        <f t="shared" si="100"/>
        <v>8.1288553803975372</v>
      </c>
      <c r="E162" s="230">
        <f t="shared" si="101"/>
        <v>8.1288553803975372</v>
      </c>
      <c r="F162" s="243">
        <f t="shared" si="102"/>
        <v>2.8422425032594623</v>
      </c>
      <c r="G162" s="243">
        <f t="shared" si="103"/>
        <v>13.607558474478655</v>
      </c>
      <c r="H162" s="279">
        <f t="shared" si="98"/>
        <v>1.0126774847870181</v>
      </c>
    </row>
    <row r="163" spans="1:8" ht="17.25" customHeight="1">
      <c r="A163" s="244">
        <v>41365</v>
      </c>
      <c r="B163" s="230">
        <f>geral!E1297</f>
        <v>52.586666666666673</v>
      </c>
      <c r="C163" s="230">
        <f t="shared" si="99"/>
        <v>288.30409356725153</v>
      </c>
      <c r="D163" s="230">
        <f t="shared" si="100"/>
        <v>0</v>
      </c>
      <c r="E163" s="230">
        <f t="shared" si="101"/>
        <v>8.1288553803975372</v>
      </c>
      <c r="F163" s="243">
        <f t="shared" si="102"/>
        <v>2.8422425032594623</v>
      </c>
      <c r="G163" s="243">
        <f t="shared" si="103"/>
        <v>13.607558474478655</v>
      </c>
      <c r="H163" s="279">
        <f t="shared" si="98"/>
        <v>1.0126774847870181</v>
      </c>
    </row>
    <row r="164" spans="1:8" ht="17.25" customHeight="1">
      <c r="A164" s="244">
        <v>41395</v>
      </c>
      <c r="B164" s="230">
        <f>geral!E1298</f>
        <v>52.586666666666673</v>
      </c>
      <c r="C164" s="230">
        <f t="shared" si="99"/>
        <v>288.30409356725153</v>
      </c>
      <c r="D164" s="230">
        <f t="shared" si="100"/>
        <v>0</v>
      </c>
      <c r="E164" s="230">
        <f t="shared" si="101"/>
        <v>8.1288553803975372</v>
      </c>
      <c r="F164" s="243">
        <f t="shared" si="102"/>
        <v>2.8422425032594623</v>
      </c>
      <c r="G164" s="243">
        <f t="shared" si="103"/>
        <v>13.382204973408097</v>
      </c>
      <c r="H164" s="279">
        <f t="shared" si="98"/>
        <v>1.0126774847870181</v>
      </c>
    </row>
    <row r="165" spans="1:8" ht="17.25" customHeight="1">
      <c r="A165" s="244">
        <v>41426</v>
      </c>
      <c r="B165" s="230">
        <f>geral!E1299</f>
        <v>52.586666666666673</v>
      </c>
      <c r="C165" s="230">
        <f t="shared" si="99"/>
        <v>288.30409356725153</v>
      </c>
      <c r="D165" s="230">
        <f t="shared" si="100"/>
        <v>0</v>
      </c>
      <c r="E165" s="230">
        <f t="shared" si="101"/>
        <v>8.1288553803975372</v>
      </c>
      <c r="F165" s="243">
        <f t="shared" si="102"/>
        <v>2.8422425032594623</v>
      </c>
      <c r="G165" s="243">
        <f t="shared" si="103"/>
        <v>13.382204973408097</v>
      </c>
      <c r="H165" s="279">
        <f t="shared" si="98"/>
        <v>1.0126774847870181</v>
      </c>
    </row>
    <row r="166" spans="1:8" ht="17.25" customHeight="1">
      <c r="A166" s="244">
        <v>41456</v>
      </c>
      <c r="B166" s="230">
        <f>geral!E1300</f>
        <v>52.586666666666673</v>
      </c>
      <c r="C166" s="230">
        <f t="shared" ref="C166:C171" si="104">100*B166/$B$7</f>
        <v>288.30409356725153</v>
      </c>
      <c r="D166" s="230">
        <f t="shared" ref="D166:D171" si="105">100*((B166/B165)-1)</f>
        <v>0</v>
      </c>
      <c r="E166" s="230">
        <f t="shared" ref="E166:E171" si="106">100*((B166/$B$159)-1)</f>
        <v>8.1288553803975372</v>
      </c>
      <c r="F166" s="243">
        <f t="shared" ref="F166:F171" si="107">100*((B166/B154)-1)</f>
        <v>10.013947001394708</v>
      </c>
      <c r="G166" s="243">
        <f t="shared" ref="G166:G171" si="108">100*(B166/B142-1)</f>
        <v>13.382204973408097</v>
      </c>
      <c r="H166" s="279">
        <f t="shared" si="98"/>
        <v>1.0126774847870181</v>
      </c>
    </row>
    <row r="167" spans="1:8" ht="17.25" customHeight="1">
      <c r="A167" s="244">
        <v>41487</v>
      </c>
      <c r="B167" s="230">
        <f>geral!E1301</f>
        <v>52.753333333333337</v>
      </c>
      <c r="C167" s="230">
        <f t="shared" si="104"/>
        <v>289.21783625731001</v>
      </c>
      <c r="D167" s="230">
        <f t="shared" si="105"/>
        <v>0.31693711967544225</v>
      </c>
      <c r="E167" s="230">
        <f t="shared" si="106"/>
        <v>8.4715558601782028</v>
      </c>
      <c r="F167" s="243">
        <f t="shared" si="107"/>
        <v>10.362622036262191</v>
      </c>
      <c r="G167" s="243">
        <f t="shared" si="108"/>
        <v>13.741555268075324</v>
      </c>
      <c r="H167" s="279">
        <f t="shared" si="98"/>
        <v>1.0094780740553519</v>
      </c>
    </row>
    <row r="168" spans="1:8" ht="17.25" customHeight="1">
      <c r="A168" s="244">
        <v>41518</v>
      </c>
      <c r="B168" s="230">
        <f>geral!E1302</f>
        <v>53.253333333333337</v>
      </c>
      <c r="C168" s="230">
        <f t="shared" si="104"/>
        <v>291.95906432748546</v>
      </c>
      <c r="D168" s="230">
        <f t="shared" si="105"/>
        <v>0.94780740553519482</v>
      </c>
      <c r="E168" s="230">
        <f t="shared" si="106"/>
        <v>9.4996572995202264</v>
      </c>
      <c r="F168" s="243">
        <f t="shared" si="107"/>
        <v>11.408647140864714</v>
      </c>
      <c r="G168" s="243">
        <f t="shared" si="108"/>
        <v>14.819606152077046</v>
      </c>
      <c r="H168" s="279">
        <f t="shared" si="98"/>
        <v>1</v>
      </c>
    </row>
    <row r="169" spans="1:8" ht="17.25" customHeight="1">
      <c r="A169" s="244">
        <v>41548</v>
      </c>
      <c r="B169" s="230">
        <f>geral!E1303</f>
        <v>53.253333333333337</v>
      </c>
      <c r="C169" s="230">
        <f t="shared" si="104"/>
        <v>291.95906432748546</v>
      </c>
      <c r="D169" s="230">
        <f t="shared" si="105"/>
        <v>0</v>
      </c>
      <c r="E169" s="230">
        <f t="shared" si="106"/>
        <v>9.4996572995202264</v>
      </c>
      <c r="F169" s="243">
        <f t="shared" si="107"/>
        <v>9.4996572995202264</v>
      </c>
      <c r="G169" s="243">
        <f t="shared" si="108"/>
        <v>14.819606152077046</v>
      </c>
      <c r="H169" s="279">
        <f t="shared" si="98"/>
        <v>1</v>
      </c>
    </row>
    <row r="170" spans="1:8" ht="17.25" customHeight="1">
      <c r="A170" s="244">
        <v>41579</v>
      </c>
      <c r="B170" s="230">
        <f>geral!E1304</f>
        <v>53.253333333333337</v>
      </c>
      <c r="C170" s="230">
        <f t="shared" si="104"/>
        <v>291.95906432748546</v>
      </c>
      <c r="D170" s="230">
        <f t="shared" si="105"/>
        <v>0</v>
      </c>
      <c r="E170" s="230">
        <f t="shared" si="106"/>
        <v>9.4996572995202264</v>
      </c>
      <c r="F170" s="243">
        <f t="shared" si="107"/>
        <v>9.4996572995202264</v>
      </c>
      <c r="G170" s="243">
        <f t="shared" si="108"/>
        <v>14.819606152077046</v>
      </c>
      <c r="H170" s="279">
        <f t="shared" si="98"/>
        <v>1</v>
      </c>
    </row>
    <row r="171" spans="1:8" ht="17.25" customHeight="1" thickBot="1">
      <c r="A171" s="219">
        <v>41609</v>
      </c>
      <c r="B171" s="220">
        <f>geral!E1305</f>
        <v>53.253333333333337</v>
      </c>
      <c r="C171" s="220">
        <f t="shared" si="104"/>
        <v>291.95906432748546</v>
      </c>
      <c r="D171" s="220">
        <f t="shared" si="105"/>
        <v>0</v>
      </c>
      <c r="E171" s="220">
        <f t="shared" si="106"/>
        <v>9.4996572995202264</v>
      </c>
      <c r="F171" s="221">
        <f t="shared" si="107"/>
        <v>9.4996572995202264</v>
      </c>
      <c r="G171" s="221">
        <f t="shared" si="108"/>
        <v>14.819606152077046</v>
      </c>
      <c r="H171" s="222">
        <f t="shared" si="98"/>
        <v>1</v>
      </c>
    </row>
    <row r="172" spans="1:8">
      <c r="H172" s="52"/>
    </row>
    <row r="173" spans="1:8">
      <c r="A173" s="67" t="s">
        <v>238</v>
      </c>
    </row>
    <row r="174" spans="1:8">
      <c r="A174" s="66" t="s">
        <v>239</v>
      </c>
    </row>
  </sheetData>
  <mergeCells count="6">
    <mergeCell ref="A6:H6"/>
    <mergeCell ref="A1:H1"/>
    <mergeCell ref="A2:H2"/>
    <mergeCell ref="A3:C4"/>
    <mergeCell ref="D3:H3"/>
    <mergeCell ref="D4:H4"/>
  </mergeCells>
  <phoneticPr fontId="0" type="noConversion"/>
  <pageMargins left="0.78740157499999996" right="0.78740157499999996" top="0.984251969" bottom="0.984251969" header="0.49212598499999999" footer="0.49212598499999999"/>
  <pageSetup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27"/>
  <dimension ref="A1:J223"/>
  <sheetViews>
    <sheetView showGridLines="0" zoomScale="90" zoomScaleNormal="90" workbookViewId="0">
      <pane ySplit="2880" topLeftCell="A160" activePane="bottomLeft"/>
      <selection activeCell="J236" sqref="J236"/>
      <selection pane="bottomLeft" activeCell="I172" sqref="I172"/>
    </sheetView>
  </sheetViews>
  <sheetFormatPr defaultRowHeight="15"/>
  <cols>
    <col min="1" max="1" width="9.109375" bestFit="1" customWidth="1"/>
    <col min="2" max="2" width="10.77734375" bestFit="1" customWidth="1"/>
    <col min="3" max="3" width="11.77734375" bestFit="1" customWidth="1"/>
    <col min="4" max="4" width="10.109375" customWidth="1"/>
    <col min="5" max="5" width="9.6640625" customWidth="1"/>
    <col min="6" max="6" width="9.5546875" customWidth="1"/>
    <col min="7" max="7" width="9.33203125" customWidth="1"/>
    <col min="8" max="8" width="12.33203125" customWidth="1"/>
  </cols>
  <sheetData>
    <row r="1" spans="1:8" ht="21" thickBot="1">
      <c r="A1" s="1565" t="s">
        <v>280</v>
      </c>
      <c r="B1" s="1566"/>
      <c r="C1" s="1566"/>
      <c r="D1" s="1566"/>
      <c r="E1" s="1566"/>
      <c r="F1" s="1566"/>
      <c r="G1" s="1566"/>
      <c r="H1" s="1567"/>
    </row>
    <row r="2" spans="1:8" ht="16.5" customHeight="1" thickBot="1">
      <c r="A2" s="1568" t="s">
        <v>287</v>
      </c>
      <c r="B2" s="1569"/>
      <c r="C2" s="1569"/>
      <c r="D2" s="1569"/>
      <c r="E2" s="1569"/>
      <c r="F2" s="1569"/>
      <c r="G2" s="1569"/>
      <c r="H2" s="1570"/>
    </row>
    <row r="3" spans="1:8" ht="17.25" thickBot="1">
      <c r="A3" s="1571" t="s">
        <v>281</v>
      </c>
      <c r="B3" s="1572"/>
      <c r="C3" s="1573"/>
      <c r="D3" s="1577" t="s">
        <v>278</v>
      </c>
      <c r="E3" s="1578"/>
      <c r="F3" s="1578"/>
      <c r="G3" s="1578"/>
      <c r="H3" s="1579"/>
    </row>
    <row r="4" spans="1:8" ht="17.25" thickBot="1">
      <c r="A4" s="1574"/>
      <c r="B4" s="1575"/>
      <c r="C4" s="1576"/>
      <c r="D4" s="1580" t="s">
        <v>275</v>
      </c>
      <c r="E4" s="1581"/>
      <c r="F4" s="1581"/>
      <c r="G4" s="1581"/>
      <c r="H4" s="1582"/>
    </row>
    <row r="5" spans="1:8" ht="66.75" thickBot="1">
      <c r="A5" s="266" t="s">
        <v>67</v>
      </c>
      <c r="B5" s="267" t="s">
        <v>76</v>
      </c>
      <c r="C5" s="267" t="s">
        <v>68</v>
      </c>
      <c r="D5" s="268" t="s">
        <v>69</v>
      </c>
      <c r="E5" s="268" t="s">
        <v>65</v>
      </c>
      <c r="F5" s="268" t="s">
        <v>70</v>
      </c>
      <c r="G5" s="267" t="s">
        <v>160</v>
      </c>
      <c r="H5" s="269" t="s">
        <v>186</v>
      </c>
    </row>
    <row r="6" spans="1:8" ht="15.75" thickBot="1">
      <c r="A6" s="1562" t="s">
        <v>279</v>
      </c>
      <c r="B6" s="1563"/>
      <c r="C6" s="1563"/>
      <c r="D6" s="1563"/>
      <c r="E6" s="1563"/>
      <c r="F6" s="1563"/>
      <c r="G6" s="1563"/>
      <c r="H6" s="1564"/>
    </row>
    <row r="7" spans="1:8" ht="16.5">
      <c r="A7" s="223">
        <v>36617</v>
      </c>
      <c r="B7" s="224">
        <f>+geral!C748</f>
        <v>15.08</v>
      </c>
      <c r="C7" s="229">
        <v>100</v>
      </c>
      <c r="D7" s="232">
        <f>100*((B7/'Pn900'!B73)-1)</f>
        <v>-96.149820001531907</v>
      </c>
      <c r="E7" s="232"/>
      <c r="F7" s="232"/>
      <c r="G7" s="232"/>
      <c r="H7" s="270">
        <f t="shared" ref="H7:H38" si="0">+$B$171/B7</f>
        <v>2.4203138815207783</v>
      </c>
    </row>
    <row r="8" spans="1:8" ht="16.5">
      <c r="A8" s="216">
        <v>36647</v>
      </c>
      <c r="B8" s="226">
        <f>+geral!C749</f>
        <v>15.92</v>
      </c>
      <c r="C8" s="211">
        <f>100*B8/$B$7</f>
        <v>105.57029177718833</v>
      </c>
      <c r="D8" s="212">
        <f t="shared" ref="D8:D16" si="1">100*((B8/B7)-1)</f>
        <v>5.5702917771883298</v>
      </c>
      <c r="E8" s="212"/>
      <c r="F8" s="212"/>
      <c r="G8" s="212"/>
      <c r="H8" s="271">
        <f t="shared" si="0"/>
        <v>2.2926088777219431</v>
      </c>
    </row>
    <row r="9" spans="1:8" ht="16.5">
      <c r="A9" s="216">
        <v>36678</v>
      </c>
      <c r="B9" s="226">
        <f>+geral!C750</f>
        <v>18.97</v>
      </c>
      <c r="C9" s="211">
        <f t="shared" ref="C9:C87" si="2">100*B9/$B$7</f>
        <v>125.79575596816976</v>
      </c>
      <c r="D9" s="212">
        <f t="shared" si="1"/>
        <v>19.158291457286424</v>
      </c>
      <c r="E9" s="212"/>
      <c r="F9" s="212"/>
      <c r="G9" s="212"/>
      <c r="H9" s="271">
        <f t="shared" si="0"/>
        <v>1.9240028114566863</v>
      </c>
    </row>
    <row r="10" spans="1:8" ht="16.5">
      <c r="A10" s="216">
        <v>36708</v>
      </c>
      <c r="B10" s="226">
        <f>+geral!C751</f>
        <v>14.37</v>
      </c>
      <c r="C10" s="211">
        <f t="shared" si="2"/>
        <v>95.291777188328908</v>
      </c>
      <c r="D10" s="212">
        <f t="shared" si="1"/>
        <v>-24.248813916710599</v>
      </c>
      <c r="E10" s="212"/>
      <c r="F10" s="212"/>
      <c r="G10" s="212"/>
      <c r="H10" s="271">
        <f t="shared" si="0"/>
        <v>2.5398979355138023</v>
      </c>
    </row>
    <row r="11" spans="1:8" ht="16.5">
      <c r="A11" s="216">
        <v>36739</v>
      </c>
      <c r="B11" s="226">
        <f>+geral!C752</f>
        <v>14.4</v>
      </c>
      <c r="C11" s="211">
        <f t="shared" si="2"/>
        <v>95.490716180371351</v>
      </c>
      <c r="D11" s="212">
        <f t="shared" si="1"/>
        <v>0.20876826722338038</v>
      </c>
      <c r="E11" s="212"/>
      <c r="F11" s="212"/>
      <c r="G11" s="212"/>
      <c r="H11" s="271">
        <f t="shared" si="0"/>
        <v>2.5346064814814815</v>
      </c>
    </row>
    <row r="12" spans="1:8" ht="16.5">
      <c r="A12" s="216">
        <v>36770</v>
      </c>
      <c r="B12" s="226">
        <f>+geral!C753</f>
        <v>19.37</v>
      </c>
      <c r="C12" s="211">
        <f t="shared" si="2"/>
        <v>128.44827586206895</v>
      </c>
      <c r="D12" s="212">
        <f t="shared" si="1"/>
        <v>34.513888888888886</v>
      </c>
      <c r="E12" s="212"/>
      <c r="F12" s="212"/>
      <c r="G12" s="212"/>
      <c r="H12" s="271">
        <f t="shared" si="0"/>
        <v>1.8842712097745655</v>
      </c>
    </row>
    <row r="13" spans="1:8" ht="16.5">
      <c r="A13" s="216">
        <v>36800</v>
      </c>
      <c r="B13" s="226">
        <f>+geral!C754</f>
        <v>13.28</v>
      </c>
      <c r="C13" s="211">
        <f t="shared" si="2"/>
        <v>88.063660477453581</v>
      </c>
      <c r="D13" s="212">
        <f t="shared" si="1"/>
        <v>-31.440371708828096</v>
      </c>
      <c r="E13" s="212"/>
      <c r="F13" s="212"/>
      <c r="G13" s="212"/>
      <c r="H13" s="271">
        <f t="shared" si="0"/>
        <v>2.7483684738955825</v>
      </c>
    </row>
    <row r="14" spans="1:8" ht="16.5">
      <c r="A14" s="216">
        <v>36831</v>
      </c>
      <c r="B14" s="226">
        <f>+geral!C755</f>
        <v>18.16</v>
      </c>
      <c r="C14" s="211">
        <f t="shared" si="2"/>
        <v>120.42440318302387</v>
      </c>
      <c r="D14" s="212">
        <f t="shared" si="1"/>
        <v>36.746987951807242</v>
      </c>
      <c r="E14" s="212"/>
      <c r="F14" s="212"/>
      <c r="G14" s="212"/>
      <c r="H14" s="271">
        <f t="shared" si="0"/>
        <v>2.0098201174743027</v>
      </c>
    </row>
    <row r="15" spans="1:8" ht="16.5">
      <c r="A15" s="216">
        <v>36861</v>
      </c>
      <c r="B15" s="226">
        <f>+geral!C756</f>
        <v>15.71</v>
      </c>
      <c r="C15" s="211">
        <f t="shared" si="2"/>
        <v>104.17771883289124</v>
      </c>
      <c r="D15" s="212">
        <f t="shared" si="1"/>
        <v>-13.491189427312767</v>
      </c>
      <c r="E15" s="212"/>
      <c r="F15" s="212"/>
      <c r="G15" s="212"/>
      <c r="H15" s="271">
        <f t="shared" si="0"/>
        <v>2.3232548270740505</v>
      </c>
    </row>
    <row r="16" spans="1:8" ht="16.5">
      <c r="A16" s="216">
        <v>36892</v>
      </c>
      <c r="B16" s="226">
        <f>+geral!E745</f>
        <v>15.96</v>
      </c>
      <c r="C16" s="211">
        <f t="shared" si="2"/>
        <v>105.83554376657825</v>
      </c>
      <c r="D16" s="212">
        <f t="shared" si="1"/>
        <v>1.5913430935709849</v>
      </c>
      <c r="E16" s="212">
        <f t="shared" ref="E16:E21" si="3">100*((B16/$B$15)-1)</f>
        <v>1.5913430935709849</v>
      </c>
      <c r="F16" s="212"/>
      <c r="G16" s="212"/>
      <c r="H16" s="271">
        <f t="shared" si="0"/>
        <v>2.2868629908103593</v>
      </c>
    </row>
    <row r="17" spans="1:8" ht="16.5">
      <c r="A17" s="216">
        <v>36923</v>
      </c>
      <c r="B17" s="226">
        <f>+geral!E746</f>
        <v>17</v>
      </c>
      <c r="C17" s="211">
        <f t="shared" si="2"/>
        <v>112.73209549071618</v>
      </c>
      <c r="D17" s="212">
        <f t="shared" ref="D17:D22" si="4">100*((B17/B16)-1)</f>
        <v>6.5162907268170311</v>
      </c>
      <c r="E17" s="212">
        <f t="shared" si="3"/>
        <v>8.2113303628262191</v>
      </c>
      <c r="F17" s="272"/>
      <c r="G17" s="272"/>
      <c r="H17" s="271">
        <f t="shared" si="0"/>
        <v>2.1469607843137255</v>
      </c>
    </row>
    <row r="18" spans="1:8" ht="16.5">
      <c r="A18" s="216">
        <v>36951</v>
      </c>
      <c r="B18" s="226">
        <f>+geral!E747</f>
        <v>23</v>
      </c>
      <c r="C18" s="211">
        <f t="shared" si="2"/>
        <v>152.51989389920425</v>
      </c>
      <c r="D18" s="212">
        <f t="shared" si="4"/>
        <v>35.294117647058833</v>
      </c>
      <c r="E18" s="212">
        <f t="shared" si="3"/>
        <v>46.403564608529592</v>
      </c>
      <c r="F18" s="272"/>
      <c r="G18" s="272"/>
      <c r="H18" s="271">
        <f t="shared" si="0"/>
        <v>1.5868840579710146</v>
      </c>
    </row>
    <row r="19" spans="1:8" ht="16.5">
      <c r="A19" s="216">
        <v>36982</v>
      </c>
      <c r="B19" s="226">
        <f>+geral!E748</f>
        <v>15.42</v>
      </c>
      <c r="C19" s="211">
        <f t="shared" si="2"/>
        <v>102.25464190981432</v>
      </c>
      <c r="D19" s="212">
        <f t="shared" si="4"/>
        <v>-32.956521739130437</v>
      </c>
      <c r="E19" s="212">
        <f t="shared" si="3"/>
        <v>-1.8459579885423349</v>
      </c>
      <c r="F19" s="272">
        <f t="shared" ref="F19:F24" si="5">100*((B19/B7)-1)</f>
        <v>2.2546419098143256</v>
      </c>
      <c r="G19" s="272"/>
      <c r="H19" s="271">
        <f t="shared" si="0"/>
        <v>2.3669476869865975</v>
      </c>
    </row>
    <row r="20" spans="1:8" ht="16.5">
      <c r="A20" s="216">
        <v>37012</v>
      </c>
      <c r="B20" s="226">
        <f>+geral!E749</f>
        <v>18</v>
      </c>
      <c r="C20" s="211">
        <f t="shared" si="2"/>
        <v>119.36339522546419</v>
      </c>
      <c r="D20" s="212">
        <f t="shared" si="4"/>
        <v>16.731517509727635</v>
      </c>
      <c r="E20" s="212">
        <f t="shared" si="3"/>
        <v>14.576702737110114</v>
      </c>
      <c r="F20" s="272">
        <f t="shared" si="5"/>
        <v>13.065326633165819</v>
      </c>
      <c r="G20" s="272"/>
      <c r="H20" s="271">
        <f t="shared" si="0"/>
        <v>2.0276851851851854</v>
      </c>
    </row>
    <row r="21" spans="1:8" ht="16.5">
      <c r="A21" s="216">
        <v>37043</v>
      </c>
      <c r="B21" s="226">
        <f>+geral!E750</f>
        <v>22.5</v>
      </c>
      <c r="C21" s="211">
        <f t="shared" si="2"/>
        <v>149.20424403183023</v>
      </c>
      <c r="D21" s="212">
        <f t="shared" si="4"/>
        <v>25</v>
      </c>
      <c r="E21" s="212">
        <f t="shared" si="3"/>
        <v>43.220878421387646</v>
      </c>
      <c r="F21" s="272">
        <f t="shared" si="5"/>
        <v>18.608328940432273</v>
      </c>
      <c r="G21" s="272"/>
      <c r="H21" s="271">
        <f t="shared" si="0"/>
        <v>1.6221481481481481</v>
      </c>
    </row>
    <row r="22" spans="1:8" ht="16.5">
      <c r="A22" s="216">
        <v>37073</v>
      </c>
      <c r="B22" s="226">
        <f>+geral!E751</f>
        <v>20.8</v>
      </c>
      <c r="C22" s="211">
        <f t="shared" si="2"/>
        <v>137.93103448275863</v>
      </c>
      <c r="D22" s="212">
        <f t="shared" si="4"/>
        <v>-7.5555555555555483</v>
      </c>
      <c r="E22" s="212">
        <f t="shared" ref="E22:E27" si="6">100*((B22/$B$15)-1)</f>
        <v>32.399745385105014</v>
      </c>
      <c r="F22" s="272">
        <f t="shared" si="5"/>
        <v>44.745998608211558</v>
      </c>
      <c r="G22" s="272"/>
      <c r="H22" s="271">
        <f t="shared" si="0"/>
        <v>1.7547275641025641</v>
      </c>
    </row>
    <row r="23" spans="1:8" ht="16.5">
      <c r="A23" s="216">
        <v>37104</v>
      </c>
      <c r="B23" s="226">
        <f>+geral!E752</f>
        <v>17.86</v>
      </c>
      <c r="C23" s="211">
        <f t="shared" si="2"/>
        <v>118.43501326259947</v>
      </c>
      <c r="D23" s="212">
        <f t="shared" ref="D23:D28" si="7">100*((B23/B22)-1)</f>
        <v>-14.13461538461539</v>
      </c>
      <c r="E23" s="212">
        <f t="shared" si="6"/>
        <v>13.685550604710372</v>
      </c>
      <c r="F23" s="272">
        <f t="shared" si="5"/>
        <v>24.027777777777782</v>
      </c>
      <c r="G23" s="272"/>
      <c r="H23" s="271">
        <f t="shared" si="0"/>
        <v>2.0435796939156403</v>
      </c>
    </row>
    <row r="24" spans="1:8" ht="16.5">
      <c r="A24" s="216">
        <v>37135</v>
      </c>
      <c r="B24" s="226">
        <f>+geral!E753</f>
        <v>17.18</v>
      </c>
      <c r="C24" s="211">
        <f t="shared" si="2"/>
        <v>113.92572944297082</v>
      </c>
      <c r="D24" s="212">
        <f t="shared" si="7"/>
        <v>-3.8073908174692028</v>
      </c>
      <c r="E24" s="212">
        <f t="shared" si="6"/>
        <v>9.3570973901973211</v>
      </c>
      <c r="F24" s="272">
        <f t="shared" si="5"/>
        <v>-11.306143520908629</v>
      </c>
      <c r="G24" s="272"/>
      <c r="H24" s="271">
        <f t="shared" si="0"/>
        <v>2.1244664338377959</v>
      </c>
    </row>
    <row r="25" spans="1:8" ht="16.5">
      <c r="A25" s="216">
        <v>37165</v>
      </c>
      <c r="B25" s="226">
        <f>+geral!E754</f>
        <v>15.33</v>
      </c>
      <c r="C25" s="211">
        <f t="shared" si="2"/>
        <v>101.657824933687</v>
      </c>
      <c r="D25" s="212">
        <f t="shared" si="7"/>
        <v>-10.768335273573925</v>
      </c>
      <c r="E25" s="212">
        <f t="shared" si="6"/>
        <v>-2.4188415022278864</v>
      </c>
      <c r="F25" s="272">
        <f t="shared" ref="F25:F30" si="8">100*((B25/B13)-1)</f>
        <v>15.43674698795181</v>
      </c>
      <c r="G25" s="272"/>
      <c r="H25" s="271">
        <f t="shared" si="0"/>
        <v>2.3808436616655797</v>
      </c>
    </row>
    <row r="26" spans="1:8" ht="16.5">
      <c r="A26" s="216">
        <v>37196</v>
      </c>
      <c r="B26" s="226">
        <f>+geral!E755</f>
        <v>18.93</v>
      </c>
      <c r="C26" s="211">
        <f t="shared" si="2"/>
        <v>125.53050397877983</v>
      </c>
      <c r="D26" s="212">
        <f t="shared" si="7"/>
        <v>23.483365949119374</v>
      </c>
      <c r="E26" s="212">
        <f t="shared" si="6"/>
        <v>20.496499045194128</v>
      </c>
      <c r="F26" s="272">
        <f t="shared" si="8"/>
        <v>4.2400881057268691</v>
      </c>
      <c r="G26" s="272"/>
      <c r="H26" s="271">
        <f t="shared" si="0"/>
        <v>1.9280683218876564</v>
      </c>
    </row>
    <row r="27" spans="1:8" ht="16.5">
      <c r="A27" s="216">
        <v>37226</v>
      </c>
      <c r="B27" s="226">
        <f>+geral!E756</f>
        <v>17.75</v>
      </c>
      <c r="C27" s="211">
        <f t="shared" si="2"/>
        <v>117.70557029177719</v>
      </c>
      <c r="D27" s="212">
        <f t="shared" si="7"/>
        <v>-6.2334918119387179</v>
      </c>
      <c r="E27" s="212">
        <f t="shared" si="6"/>
        <v>12.985359643539152</v>
      </c>
      <c r="F27" s="272">
        <f t="shared" si="8"/>
        <v>12.985359643539152</v>
      </c>
      <c r="G27" s="272"/>
      <c r="H27" s="271">
        <f t="shared" si="0"/>
        <v>2.056244131455399</v>
      </c>
    </row>
    <row r="28" spans="1:8" ht="16.5">
      <c r="A28" s="216">
        <v>37257</v>
      </c>
      <c r="B28" s="226">
        <f>+geral!G745</f>
        <v>17.399999999999999</v>
      </c>
      <c r="C28" s="211">
        <f t="shared" si="2"/>
        <v>115.38461538461537</v>
      </c>
      <c r="D28" s="212">
        <f t="shared" si="7"/>
        <v>-1.9718309859155014</v>
      </c>
      <c r="E28" s="212">
        <f t="shared" ref="E28:E33" si="9">100*((B28/$B$27)-1)</f>
        <v>-1.9718309859155014</v>
      </c>
      <c r="F28" s="272">
        <f t="shared" si="8"/>
        <v>9.0225563909774209</v>
      </c>
      <c r="G28" s="272"/>
      <c r="H28" s="271">
        <f t="shared" si="0"/>
        <v>2.0976053639846746</v>
      </c>
    </row>
    <row r="29" spans="1:8" ht="16.5">
      <c r="A29" s="216">
        <v>37288</v>
      </c>
      <c r="B29" s="226">
        <f>+geral!G746</f>
        <v>20</v>
      </c>
      <c r="C29" s="211">
        <f t="shared" si="2"/>
        <v>132.62599469496021</v>
      </c>
      <c r="D29" s="212">
        <f t="shared" ref="D29:D34" si="10">100*((B29/B28)-1)</f>
        <v>14.942528735632198</v>
      </c>
      <c r="E29" s="212">
        <f t="shared" si="9"/>
        <v>12.676056338028175</v>
      </c>
      <c r="F29" s="272">
        <f t="shared" si="8"/>
        <v>17.647058823529417</v>
      </c>
      <c r="G29" s="272"/>
      <c r="H29" s="271">
        <f t="shared" si="0"/>
        <v>1.8249166666666667</v>
      </c>
    </row>
    <row r="30" spans="1:8" ht="16.5">
      <c r="A30" s="216">
        <v>37316</v>
      </c>
      <c r="B30" s="226">
        <f>+geral!G747</f>
        <v>21.18</v>
      </c>
      <c r="C30" s="211">
        <f t="shared" si="2"/>
        <v>140.45092838196285</v>
      </c>
      <c r="D30" s="212">
        <f t="shared" si="10"/>
        <v>5.8999999999999941</v>
      </c>
      <c r="E30" s="212">
        <f t="shared" si="9"/>
        <v>19.323943661971832</v>
      </c>
      <c r="F30" s="272">
        <f t="shared" si="8"/>
        <v>-7.9130434782608727</v>
      </c>
      <c r="G30" s="272"/>
      <c r="H30" s="271">
        <f t="shared" si="0"/>
        <v>1.7232451998740952</v>
      </c>
    </row>
    <row r="31" spans="1:8" ht="16.5">
      <c r="A31" s="216">
        <v>37347</v>
      </c>
      <c r="B31" s="226">
        <f>+geral!G748</f>
        <v>18.5</v>
      </c>
      <c r="C31" s="211">
        <f t="shared" si="2"/>
        <v>122.67904509283819</v>
      </c>
      <c r="D31" s="212">
        <f t="shared" si="10"/>
        <v>-12.653446647780919</v>
      </c>
      <c r="E31" s="212">
        <f t="shared" si="9"/>
        <v>4.2253521126760507</v>
      </c>
      <c r="F31" s="272">
        <f t="shared" ref="F31:F36" si="11">100*((B31/B19)-1)</f>
        <v>19.974059662775613</v>
      </c>
      <c r="G31" s="272">
        <f>100*(B31/B7-1)</f>
        <v>22.679045092838201</v>
      </c>
      <c r="H31" s="271">
        <f t="shared" si="0"/>
        <v>1.972882882882883</v>
      </c>
    </row>
    <row r="32" spans="1:8" ht="16.5">
      <c r="A32" s="216">
        <v>37377</v>
      </c>
      <c r="B32" s="226">
        <f>+geral!G749</f>
        <v>23</v>
      </c>
      <c r="C32" s="211">
        <f t="shared" si="2"/>
        <v>152.51989389920425</v>
      </c>
      <c r="D32" s="212">
        <f t="shared" si="10"/>
        <v>24.324324324324319</v>
      </c>
      <c r="E32" s="212">
        <f t="shared" si="9"/>
        <v>29.577464788732399</v>
      </c>
      <c r="F32" s="272">
        <f t="shared" si="11"/>
        <v>27.777777777777768</v>
      </c>
      <c r="G32" s="272">
        <f t="shared" ref="G32:G40" si="12">100*(B32/B8-1)</f>
        <v>44.472361809045239</v>
      </c>
      <c r="H32" s="271">
        <f t="shared" si="0"/>
        <v>1.5868840579710146</v>
      </c>
    </row>
    <row r="33" spans="1:8" ht="16.5">
      <c r="A33" s="216">
        <v>37408</v>
      </c>
      <c r="B33" s="226">
        <f>+geral!G750</f>
        <v>17</v>
      </c>
      <c r="C33" s="211">
        <f t="shared" si="2"/>
        <v>112.73209549071618</v>
      </c>
      <c r="D33" s="212">
        <f t="shared" si="10"/>
        <v>-26.086956521739136</v>
      </c>
      <c r="E33" s="212">
        <f t="shared" si="9"/>
        <v>-4.2253521126760614</v>
      </c>
      <c r="F33" s="272">
        <f t="shared" si="11"/>
        <v>-24.444444444444446</v>
      </c>
      <c r="G33" s="272">
        <f t="shared" si="12"/>
        <v>-10.384818133895624</v>
      </c>
      <c r="H33" s="271">
        <f t="shared" si="0"/>
        <v>2.1469607843137255</v>
      </c>
    </row>
    <row r="34" spans="1:8" ht="16.5">
      <c r="A34" s="216">
        <v>37438</v>
      </c>
      <c r="B34" s="226">
        <f>+geral!G751</f>
        <v>18.98</v>
      </c>
      <c r="C34" s="211">
        <f t="shared" si="2"/>
        <v>125.86206896551724</v>
      </c>
      <c r="D34" s="212">
        <f t="shared" si="10"/>
        <v>11.647058823529409</v>
      </c>
      <c r="E34" s="212">
        <f t="shared" ref="E34:E39" si="13">100*((B34/$B$27)-1)</f>
        <v>6.9295774647887276</v>
      </c>
      <c r="F34" s="272">
        <f t="shared" si="11"/>
        <v>-8.7500000000000018</v>
      </c>
      <c r="G34" s="272">
        <f t="shared" si="12"/>
        <v>32.080723729993046</v>
      </c>
      <c r="H34" s="271">
        <f t="shared" si="0"/>
        <v>1.9229891113452757</v>
      </c>
    </row>
    <row r="35" spans="1:8" ht="16.5">
      <c r="A35" s="216">
        <v>37469</v>
      </c>
      <c r="B35" s="226">
        <f>+geral!G752</f>
        <v>23.13</v>
      </c>
      <c r="C35" s="211">
        <f t="shared" si="2"/>
        <v>153.38196286472149</v>
      </c>
      <c r="D35" s="212">
        <f t="shared" ref="D35:D40" si="14">100*((B35/B34)-1)</f>
        <v>21.865121180189661</v>
      </c>
      <c r="E35" s="212">
        <f t="shared" si="13"/>
        <v>30.309859154929562</v>
      </c>
      <c r="F35" s="272">
        <f t="shared" si="11"/>
        <v>29.50727883538633</v>
      </c>
      <c r="G35" s="272">
        <f t="shared" si="12"/>
        <v>60.624999999999993</v>
      </c>
      <c r="H35" s="271">
        <f t="shared" si="0"/>
        <v>1.5779651246577318</v>
      </c>
    </row>
    <row r="36" spans="1:8" ht="16.5">
      <c r="A36" s="216">
        <v>37500</v>
      </c>
      <c r="B36" s="226">
        <f>+geral!G753</f>
        <v>22.2</v>
      </c>
      <c r="C36" s="211">
        <f t="shared" si="2"/>
        <v>147.21485411140583</v>
      </c>
      <c r="D36" s="212">
        <f t="shared" si="14"/>
        <v>-4.0207522697795035</v>
      </c>
      <c r="E36" s="212">
        <f t="shared" si="13"/>
        <v>25.070422535211257</v>
      </c>
      <c r="F36" s="272">
        <f t="shared" si="11"/>
        <v>29.220023282887087</v>
      </c>
      <c r="G36" s="272">
        <f t="shared" si="12"/>
        <v>14.61022199277231</v>
      </c>
      <c r="H36" s="271">
        <f t="shared" si="0"/>
        <v>1.6440690690690691</v>
      </c>
    </row>
    <row r="37" spans="1:8" ht="16.5">
      <c r="A37" s="216">
        <v>37530</v>
      </c>
      <c r="B37" s="226">
        <f>+geral!G754</f>
        <v>20.350000000000001</v>
      </c>
      <c r="C37" s="211">
        <f t="shared" si="2"/>
        <v>134.94694960212203</v>
      </c>
      <c r="D37" s="212">
        <f t="shared" si="14"/>
        <v>-8.333333333333325</v>
      </c>
      <c r="E37" s="212">
        <f t="shared" si="13"/>
        <v>14.647887323943664</v>
      </c>
      <c r="F37" s="272">
        <f t="shared" ref="F37:F42" si="15">100*((B37/B25)-1)</f>
        <v>32.746249184605361</v>
      </c>
      <c r="G37" s="272">
        <f t="shared" si="12"/>
        <v>53.237951807228946</v>
      </c>
      <c r="H37" s="271">
        <f t="shared" si="0"/>
        <v>1.7935298935298936</v>
      </c>
    </row>
    <row r="38" spans="1:8" ht="16.5">
      <c r="A38" s="216">
        <v>37561</v>
      </c>
      <c r="B38" s="226">
        <f>+geral!G755</f>
        <v>26.5</v>
      </c>
      <c r="C38" s="211">
        <f t="shared" si="2"/>
        <v>175.72944297082228</v>
      </c>
      <c r="D38" s="212">
        <f t="shared" si="14"/>
        <v>30.22113022113022</v>
      </c>
      <c r="E38" s="212">
        <f t="shared" si="13"/>
        <v>49.295774647887328</v>
      </c>
      <c r="F38" s="272">
        <f t="shared" si="15"/>
        <v>39.989434759640787</v>
      </c>
      <c r="G38" s="272">
        <f t="shared" si="12"/>
        <v>45.925110132158586</v>
      </c>
      <c r="H38" s="271">
        <f t="shared" si="0"/>
        <v>1.3772955974842769</v>
      </c>
    </row>
    <row r="39" spans="1:8" ht="16.5">
      <c r="A39" s="216">
        <v>37591</v>
      </c>
      <c r="B39" s="226">
        <f>+geral!G756</f>
        <v>17.600000000000001</v>
      </c>
      <c r="C39" s="211">
        <f t="shared" si="2"/>
        <v>116.71087533156501</v>
      </c>
      <c r="D39" s="212">
        <f t="shared" si="14"/>
        <v>-33.584905660377352</v>
      </c>
      <c r="E39" s="212">
        <f t="shared" si="13"/>
        <v>-0.84507042253519904</v>
      </c>
      <c r="F39" s="272">
        <f t="shared" si="15"/>
        <v>-0.84507042253519904</v>
      </c>
      <c r="G39" s="272">
        <f t="shared" si="12"/>
        <v>12.03055378739657</v>
      </c>
      <c r="H39" s="271">
        <f t="shared" ref="H39:H70" si="16">+$B$171/B39</f>
        <v>2.0737689393939394</v>
      </c>
    </row>
    <row r="40" spans="1:8" ht="16.5">
      <c r="A40" s="216">
        <v>37622</v>
      </c>
      <c r="B40" s="226">
        <f>+geral!I745</f>
        <v>22</v>
      </c>
      <c r="C40" s="211">
        <f t="shared" si="2"/>
        <v>145.88859416445624</v>
      </c>
      <c r="D40" s="212">
        <f t="shared" si="14"/>
        <v>25</v>
      </c>
      <c r="E40" s="212">
        <f t="shared" ref="E40:E45" si="17">100*((B40/$B$39)-1)</f>
        <v>25</v>
      </c>
      <c r="F40" s="272">
        <f t="shared" si="15"/>
        <v>26.436781609195403</v>
      </c>
      <c r="G40" s="272">
        <f t="shared" si="12"/>
        <v>37.844611528822057</v>
      </c>
      <c r="H40" s="271">
        <f t="shared" si="16"/>
        <v>1.6590151515151517</v>
      </c>
    </row>
    <row r="41" spans="1:8" ht="16.5">
      <c r="A41" s="216">
        <v>37653</v>
      </c>
      <c r="B41" s="226">
        <f>+geral!I746</f>
        <v>21.76</v>
      </c>
      <c r="C41" s="211">
        <f t="shared" si="2"/>
        <v>144.29708222811672</v>
      </c>
      <c r="D41" s="212">
        <f t="shared" ref="D41:D46" si="18">100*((B41/B40)-1)</f>
        <v>-1.0909090909090868</v>
      </c>
      <c r="E41" s="212">
        <f t="shared" si="17"/>
        <v>23.636363636363633</v>
      </c>
      <c r="F41" s="272">
        <f t="shared" si="15"/>
        <v>8.8000000000000078</v>
      </c>
      <c r="G41" s="272">
        <f t="shared" ref="G41:G46" si="19">100*(B41/B17-1)</f>
        <v>28.000000000000004</v>
      </c>
      <c r="H41" s="271">
        <f t="shared" si="16"/>
        <v>1.677313112745098</v>
      </c>
    </row>
    <row r="42" spans="1:8" ht="16.5">
      <c r="A42" s="216">
        <v>37681</v>
      </c>
      <c r="B42" s="226">
        <f>+geral!I747</f>
        <v>28.8</v>
      </c>
      <c r="C42" s="211">
        <f t="shared" si="2"/>
        <v>190.9814323607427</v>
      </c>
      <c r="D42" s="212">
        <f t="shared" si="18"/>
        <v>32.352941176470587</v>
      </c>
      <c r="E42" s="212">
        <f t="shared" si="17"/>
        <v>63.636363636363626</v>
      </c>
      <c r="F42" s="272">
        <f t="shared" si="15"/>
        <v>35.977337110481585</v>
      </c>
      <c r="G42" s="272">
        <f t="shared" si="19"/>
        <v>25.217391304347835</v>
      </c>
      <c r="H42" s="271">
        <f t="shared" si="16"/>
        <v>1.2673032407407407</v>
      </c>
    </row>
    <row r="43" spans="1:8" ht="16.5">
      <c r="A43" s="216">
        <v>37712</v>
      </c>
      <c r="B43" s="226">
        <f>+geral!I748</f>
        <v>29.4</v>
      </c>
      <c r="C43" s="211">
        <f t="shared" si="2"/>
        <v>194.9602122015915</v>
      </c>
      <c r="D43" s="212">
        <f t="shared" si="18"/>
        <v>2.0833333333333259</v>
      </c>
      <c r="E43" s="212">
        <f t="shared" si="17"/>
        <v>67.045454545454518</v>
      </c>
      <c r="F43" s="272">
        <f t="shared" ref="F43:F48" si="20">100*((B43/B31)-1)</f>
        <v>58.918918918918919</v>
      </c>
      <c r="G43" s="272">
        <f t="shared" si="19"/>
        <v>90.66147859922178</v>
      </c>
      <c r="H43" s="271">
        <f t="shared" si="16"/>
        <v>1.2414399092970523</v>
      </c>
    </row>
    <row r="44" spans="1:8" ht="16.5">
      <c r="A44" s="216">
        <v>37742</v>
      </c>
      <c r="B44" s="226">
        <f>+geral!I749</f>
        <v>22</v>
      </c>
      <c r="C44" s="211">
        <f t="shared" si="2"/>
        <v>145.88859416445624</v>
      </c>
      <c r="D44" s="212">
        <f t="shared" si="18"/>
        <v>-25.170068027210878</v>
      </c>
      <c r="E44" s="212">
        <f t="shared" si="17"/>
        <v>25</v>
      </c>
      <c r="F44" s="272">
        <f t="shared" si="20"/>
        <v>-4.3478260869565188</v>
      </c>
      <c r="G44" s="272">
        <f t="shared" si="19"/>
        <v>22.222222222222232</v>
      </c>
      <c r="H44" s="271">
        <f t="shared" si="16"/>
        <v>1.6590151515151517</v>
      </c>
    </row>
    <row r="45" spans="1:8" ht="16.5">
      <c r="A45" s="216">
        <v>37773</v>
      </c>
      <c r="B45" s="226">
        <f>+geral!I750</f>
        <v>22.54</v>
      </c>
      <c r="C45" s="211">
        <f t="shared" si="2"/>
        <v>149.46949602122015</v>
      </c>
      <c r="D45" s="212">
        <f t="shared" si="18"/>
        <v>2.4545454545454426</v>
      </c>
      <c r="E45" s="212">
        <f t="shared" si="17"/>
        <v>28.068181818181802</v>
      </c>
      <c r="F45" s="272">
        <f t="shared" si="20"/>
        <v>32.588235294117652</v>
      </c>
      <c r="G45" s="272">
        <f t="shared" si="19"/>
        <v>0.1777777777777656</v>
      </c>
      <c r="H45" s="271">
        <f t="shared" si="16"/>
        <v>1.6192694469091986</v>
      </c>
    </row>
    <row r="46" spans="1:8" ht="16.5">
      <c r="A46" s="216">
        <v>37803</v>
      </c>
      <c r="B46" s="226">
        <f>+geral!I751</f>
        <v>20.75</v>
      </c>
      <c r="C46" s="211">
        <f t="shared" si="2"/>
        <v>137.59946949602121</v>
      </c>
      <c r="D46" s="212">
        <f t="shared" si="18"/>
        <v>-7.9414374445430314</v>
      </c>
      <c r="E46" s="212">
        <f t="shared" ref="E46:E51" si="21">100*((B46/$B$39)-1)</f>
        <v>17.89772727272727</v>
      </c>
      <c r="F46" s="272">
        <f t="shared" si="20"/>
        <v>9.3256059009483749</v>
      </c>
      <c r="G46" s="272">
        <f t="shared" si="19"/>
        <v>-0.24038461538461453</v>
      </c>
      <c r="H46" s="271">
        <f t="shared" si="16"/>
        <v>1.7589558232931728</v>
      </c>
    </row>
    <row r="47" spans="1:8" ht="16.5">
      <c r="A47" s="216">
        <v>37834</v>
      </c>
      <c r="B47" s="226">
        <f>+geral!I752</f>
        <v>25.93</v>
      </c>
      <c r="C47" s="211">
        <f t="shared" si="2"/>
        <v>171.9496021220159</v>
      </c>
      <c r="D47" s="212">
        <f t="shared" ref="D47:D52" si="22">100*((B47/B46)-1)</f>
        <v>24.963855421686752</v>
      </c>
      <c r="E47" s="212">
        <f t="shared" si="21"/>
        <v>47.329545454545439</v>
      </c>
      <c r="F47" s="272">
        <f t="shared" si="20"/>
        <v>12.105490704712496</v>
      </c>
      <c r="G47" s="272">
        <f t="shared" ref="G47:G52" si="23">100*(B47/B23-1)</f>
        <v>45.184770436730126</v>
      </c>
      <c r="H47" s="271">
        <f t="shared" si="16"/>
        <v>1.407571667309423</v>
      </c>
    </row>
    <row r="48" spans="1:8" ht="16.5">
      <c r="A48" s="216">
        <v>37865</v>
      </c>
      <c r="B48" s="226">
        <f>+geral!I753</f>
        <v>26.62</v>
      </c>
      <c r="C48" s="211">
        <f t="shared" si="2"/>
        <v>176.52519893899205</v>
      </c>
      <c r="D48" s="212">
        <f t="shared" si="22"/>
        <v>2.661010412649456</v>
      </c>
      <c r="E48" s="212">
        <f t="shared" si="21"/>
        <v>51.249999999999993</v>
      </c>
      <c r="F48" s="272">
        <f t="shared" si="20"/>
        <v>19.909909909909928</v>
      </c>
      <c r="G48" s="272">
        <f t="shared" si="23"/>
        <v>54.947613504074511</v>
      </c>
      <c r="H48" s="271">
        <f t="shared" si="16"/>
        <v>1.3710869020786376</v>
      </c>
    </row>
    <row r="49" spans="1:8" ht="16.5">
      <c r="A49" s="216">
        <v>37895</v>
      </c>
      <c r="B49" s="226">
        <v>26.83</v>
      </c>
      <c r="C49" s="211">
        <f t="shared" si="2"/>
        <v>177.91777188328913</v>
      </c>
      <c r="D49" s="212">
        <f t="shared" si="22"/>
        <v>0.78888054094665705</v>
      </c>
      <c r="E49" s="212">
        <f t="shared" si="21"/>
        <v>52.443181818181792</v>
      </c>
      <c r="F49" s="272">
        <f t="shared" ref="F49:F54" si="24">100*((B49/B37)-1)</f>
        <v>31.842751842751827</v>
      </c>
      <c r="G49" s="272">
        <f t="shared" si="23"/>
        <v>75.016307893020212</v>
      </c>
      <c r="H49" s="271">
        <f t="shared" si="16"/>
        <v>1.3603553236426886</v>
      </c>
    </row>
    <row r="50" spans="1:8" ht="16.5">
      <c r="A50" s="216">
        <v>37926</v>
      </c>
      <c r="B50" s="226">
        <f>+geral!I755</f>
        <v>22.86</v>
      </c>
      <c r="C50" s="211">
        <f t="shared" si="2"/>
        <v>151.59151193633951</v>
      </c>
      <c r="D50" s="212">
        <f t="shared" si="22"/>
        <v>-14.796869176295191</v>
      </c>
      <c r="E50" s="212">
        <f t="shared" si="21"/>
        <v>29.886363636363633</v>
      </c>
      <c r="F50" s="272">
        <f t="shared" si="24"/>
        <v>-13.735849056603778</v>
      </c>
      <c r="G50" s="272">
        <f t="shared" si="23"/>
        <v>20.760697305863719</v>
      </c>
      <c r="H50" s="271">
        <f t="shared" si="16"/>
        <v>1.5966025080198309</v>
      </c>
    </row>
    <row r="51" spans="1:8" ht="16.5">
      <c r="A51" s="216">
        <v>37956</v>
      </c>
      <c r="B51" s="226">
        <f>+geral!I756</f>
        <v>17.5</v>
      </c>
      <c r="C51" s="211">
        <f t="shared" si="2"/>
        <v>116.04774535809018</v>
      </c>
      <c r="D51" s="212">
        <f t="shared" si="22"/>
        <v>-23.447069116360453</v>
      </c>
      <c r="E51" s="212">
        <f t="shared" si="21"/>
        <v>-0.56818181818182323</v>
      </c>
      <c r="F51" s="272">
        <f t="shared" si="24"/>
        <v>-0.56818181818182323</v>
      </c>
      <c r="G51" s="272">
        <f t="shared" si="23"/>
        <v>-1.4084507042253502</v>
      </c>
      <c r="H51" s="271">
        <f t="shared" si="16"/>
        <v>2.0856190476190477</v>
      </c>
    </row>
    <row r="52" spans="1:8" ht="16.5">
      <c r="A52" s="216">
        <v>37987</v>
      </c>
      <c r="B52" s="226">
        <f>+geral!K745</f>
        <v>26.31</v>
      </c>
      <c r="C52" s="211">
        <f t="shared" si="2"/>
        <v>174.46949602122015</v>
      </c>
      <c r="D52" s="212">
        <f t="shared" si="22"/>
        <v>50.342857142857135</v>
      </c>
      <c r="E52" s="212">
        <f t="shared" ref="E52:E57" si="25">100*((B52/$B$51)-1)</f>
        <v>50.342857142857135</v>
      </c>
      <c r="F52" s="272">
        <f t="shared" si="24"/>
        <v>19.590909090909079</v>
      </c>
      <c r="G52" s="272">
        <f t="shared" si="23"/>
        <v>51.206896551724142</v>
      </c>
      <c r="H52" s="271">
        <f t="shared" si="16"/>
        <v>1.3872418598758394</v>
      </c>
    </row>
    <row r="53" spans="1:8" ht="16.5">
      <c r="A53" s="216">
        <v>38018</v>
      </c>
      <c r="B53" s="226">
        <f>+geral!K746</f>
        <v>38.44</v>
      </c>
      <c r="C53" s="211">
        <f t="shared" si="2"/>
        <v>254.90716180371354</v>
      </c>
      <c r="D53" s="212">
        <f t="shared" ref="D53:D58" si="26">100*((B53/B52)-1)</f>
        <v>46.104142911440519</v>
      </c>
      <c r="E53" s="212">
        <f t="shared" si="25"/>
        <v>119.65714285714286</v>
      </c>
      <c r="F53" s="272">
        <f t="shared" si="24"/>
        <v>76.65441176470587</v>
      </c>
      <c r="G53" s="272">
        <f t="shared" ref="G53:G58" si="27">100*(B53/B29-1)</f>
        <v>92.199999999999989</v>
      </c>
      <c r="H53" s="271">
        <f t="shared" si="16"/>
        <v>0.94948838015955617</v>
      </c>
    </row>
    <row r="54" spans="1:8" ht="16.5">
      <c r="A54" s="216">
        <v>38047</v>
      </c>
      <c r="B54" s="226">
        <f>+geral!K747</f>
        <v>38.6</v>
      </c>
      <c r="C54" s="211">
        <f t="shared" si="2"/>
        <v>255.9681697612732</v>
      </c>
      <c r="D54" s="212">
        <f t="shared" si="26"/>
        <v>0.41623309053071544</v>
      </c>
      <c r="E54" s="212">
        <f t="shared" si="25"/>
        <v>120.5714285714286</v>
      </c>
      <c r="F54" s="272">
        <f t="shared" si="24"/>
        <v>34.027777777777793</v>
      </c>
      <c r="G54" s="272">
        <f t="shared" si="27"/>
        <v>82.247403210576024</v>
      </c>
      <c r="H54" s="271">
        <f t="shared" si="16"/>
        <v>0.94555267702936097</v>
      </c>
    </row>
    <row r="55" spans="1:8" ht="16.5">
      <c r="A55" s="216">
        <v>38078</v>
      </c>
      <c r="B55" s="226">
        <f>+geral!K748</f>
        <v>35.25</v>
      </c>
      <c r="C55" s="211">
        <f t="shared" si="2"/>
        <v>233.75331564986737</v>
      </c>
      <c r="D55" s="212">
        <f t="shared" si="26"/>
        <v>-8.6787564766839473</v>
      </c>
      <c r="E55" s="212">
        <f t="shared" si="25"/>
        <v>101.42857142857142</v>
      </c>
      <c r="F55" s="272">
        <f t="shared" ref="F55:F60" si="28">100*((B55/B43)-1)</f>
        <v>19.897959183673475</v>
      </c>
      <c r="G55" s="272">
        <f t="shared" si="27"/>
        <v>90.540540540540547</v>
      </c>
      <c r="H55" s="271">
        <f t="shared" si="16"/>
        <v>1.0354137115839244</v>
      </c>
    </row>
    <row r="56" spans="1:8" ht="16.5">
      <c r="A56" s="216">
        <v>38108</v>
      </c>
      <c r="B56" s="226">
        <f>+geral!K749</f>
        <v>33.42</v>
      </c>
      <c r="C56" s="211">
        <f t="shared" si="2"/>
        <v>221.61803713527851</v>
      </c>
      <c r="D56" s="212">
        <f t="shared" si="26"/>
        <v>-5.1914893617021178</v>
      </c>
      <c r="E56" s="212">
        <f t="shared" si="25"/>
        <v>90.971428571428589</v>
      </c>
      <c r="F56" s="272">
        <f t="shared" si="28"/>
        <v>51.909090909090928</v>
      </c>
      <c r="G56" s="272">
        <f t="shared" si="27"/>
        <v>45.304347826086968</v>
      </c>
      <c r="H56" s="271">
        <f t="shared" si="16"/>
        <v>1.0921105126670656</v>
      </c>
    </row>
    <row r="57" spans="1:8" ht="16.5">
      <c r="A57" s="216">
        <v>38139</v>
      </c>
      <c r="B57" s="226">
        <f>+geral!K750</f>
        <v>39.200000000000003</v>
      </c>
      <c r="C57" s="211">
        <f t="shared" si="2"/>
        <v>259.94694960212206</v>
      </c>
      <c r="D57" s="212">
        <f t="shared" si="26"/>
        <v>17.295032914422514</v>
      </c>
      <c r="E57" s="212">
        <f t="shared" si="25"/>
        <v>124.00000000000003</v>
      </c>
      <c r="F57" s="272">
        <f t="shared" si="28"/>
        <v>73.913043478260889</v>
      </c>
      <c r="G57" s="272">
        <f t="shared" si="27"/>
        <v>130.58823529411768</v>
      </c>
      <c r="H57" s="271">
        <f t="shared" si="16"/>
        <v>0.93107993197278904</v>
      </c>
    </row>
    <row r="58" spans="1:8" ht="16.5">
      <c r="A58" s="216">
        <v>38169</v>
      </c>
      <c r="B58" s="226">
        <f>+geral!K751</f>
        <v>40.5</v>
      </c>
      <c r="C58" s="211">
        <f t="shared" si="2"/>
        <v>268.56763925729445</v>
      </c>
      <c r="D58" s="212">
        <f t="shared" si="26"/>
        <v>3.3163265306122458</v>
      </c>
      <c r="E58" s="212">
        <f t="shared" ref="E58:E63" si="29">100*((B58/$B$51)-1)</f>
        <v>131.42857142857144</v>
      </c>
      <c r="F58" s="272">
        <f t="shared" si="28"/>
        <v>95.180722891566276</v>
      </c>
      <c r="G58" s="272">
        <f t="shared" si="27"/>
        <v>113.38250790305584</v>
      </c>
      <c r="H58" s="271">
        <f t="shared" si="16"/>
        <v>0.90119341563786015</v>
      </c>
    </row>
    <row r="59" spans="1:8" ht="16.5">
      <c r="A59" s="216">
        <v>38200</v>
      </c>
      <c r="B59" s="226">
        <f>+geral!K752</f>
        <v>37.9</v>
      </c>
      <c r="C59" s="211">
        <f t="shared" si="2"/>
        <v>251.32625994694959</v>
      </c>
      <c r="D59" s="212">
        <f t="shared" ref="D59:D64" si="30">100*((B59/B58)-1)</f>
        <v>-6.419753086419755</v>
      </c>
      <c r="E59" s="212">
        <f t="shared" si="29"/>
        <v>116.57142857142856</v>
      </c>
      <c r="F59" s="272">
        <f t="shared" si="28"/>
        <v>46.162745854222905</v>
      </c>
      <c r="G59" s="272">
        <f t="shared" ref="G59:G64" si="31">100*(B59/B35-1)</f>
        <v>63.856463467358402</v>
      </c>
      <c r="H59" s="271">
        <f t="shared" si="16"/>
        <v>0.96301671064204053</v>
      </c>
    </row>
    <row r="60" spans="1:8" ht="16.5">
      <c r="A60" s="216">
        <v>38231</v>
      </c>
      <c r="B60" s="226">
        <f>+geral!K753</f>
        <v>41.2</v>
      </c>
      <c r="C60" s="211">
        <f t="shared" si="2"/>
        <v>273.20954907161803</v>
      </c>
      <c r="D60" s="212">
        <f t="shared" si="30"/>
        <v>8.7071240105540895</v>
      </c>
      <c r="E60" s="212">
        <f t="shared" si="29"/>
        <v>135.42857142857144</v>
      </c>
      <c r="F60" s="272">
        <f t="shared" si="28"/>
        <v>54.770848985725017</v>
      </c>
      <c r="G60" s="272">
        <f t="shared" si="31"/>
        <v>85.585585585585605</v>
      </c>
      <c r="H60" s="271">
        <f t="shared" si="16"/>
        <v>0.88588187702265375</v>
      </c>
    </row>
    <row r="61" spans="1:8" ht="16.5">
      <c r="A61" s="216">
        <v>38261</v>
      </c>
      <c r="B61" s="226">
        <f>+geral!K754</f>
        <v>39.049999999999997</v>
      </c>
      <c r="C61" s="211">
        <f t="shared" si="2"/>
        <v>258.9522546419098</v>
      </c>
      <c r="D61" s="212">
        <f t="shared" si="30"/>
        <v>-5.2184466019417624</v>
      </c>
      <c r="E61" s="212">
        <f t="shared" si="29"/>
        <v>123.14285714285714</v>
      </c>
      <c r="F61" s="272">
        <f t="shared" ref="F61:F66" si="32">100*((B61/B49)-1)</f>
        <v>45.546030562802841</v>
      </c>
      <c r="G61" s="272">
        <f t="shared" si="31"/>
        <v>91.891891891891859</v>
      </c>
      <c r="H61" s="271">
        <f t="shared" si="16"/>
        <v>0.93465642338881783</v>
      </c>
    </row>
    <row r="62" spans="1:8" ht="16.5">
      <c r="A62" s="216">
        <v>38292</v>
      </c>
      <c r="B62" s="226">
        <f>+geral!K755</f>
        <v>39.380000000000003</v>
      </c>
      <c r="C62" s="211">
        <f t="shared" si="2"/>
        <v>261.14058355437669</v>
      </c>
      <c r="D62" s="212">
        <f t="shared" si="30"/>
        <v>0.84507042253523235</v>
      </c>
      <c r="E62" s="212">
        <f t="shared" si="29"/>
        <v>125.02857142857144</v>
      </c>
      <c r="F62" s="272">
        <f t="shared" si="32"/>
        <v>72.265966754155755</v>
      </c>
      <c r="G62" s="272">
        <f t="shared" si="31"/>
        <v>48.60377358490566</v>
      </c>
      <c r="H62" s="271">
        <f t="shared" si="16"/>
        <v>0.9268241069917047</v>
      </c>
    </row>
    <row r="63" spans="1:8" ht="16.5">
      <c r="A63" s="216">
        <v>38322</v>
      </c>
      <c r="B63" s="226">
        <f>+geral!K756</f>
        <v>40.43</v>
      </c>
      <c r="C63" s="211">
        <f t="shared" si="2"/>
        <v>268.10344827586209</v>
      </c>
      <c r="D63" s="212">
        <f t="shared" si="30"/>
        <v>2.6663280853225002</v>
      </c>
      <c r="E63" s="212">
        <f t="shared" si="29"/>
        <v>131.02857142857141</v>
      </c>
      <c r="F63" s="272">
        <f t="shared" si="32"/>
        <v>131.02857142857141</v>
      </c>
      <c r="G63" s="272">
        <f t="shared" si="31"/>
        <v>129.71590909090907</v>
      </c>
      <c r="H63" s="271">
        <f t="shared" si="16"/>
        <v>0.90275373072800735</v>
      </c>
    </row>
    <row r="64" spans="1:8" ht="16.5">
      <c r="A64" s="216">
        <v>38353</v>
      </c>
      <c r="B64" s="226">
        <f>+geral!M745</f>
        <v>38.799999999999997</v>
      </c>
      <c r="C64" s="211">
        <f t="shared" si="2"/>
        <v>257.29442970822276</v>
      </c>
      <c r="D64" s="212">
        <f t="shared" si="30"/>
        <v>-4.031659658669307</v>
      </c>
      <c r="E64" s="212">
        <f t="shared" ref="E64:E69" si="33">100*((B64/$B$63)-1)</f>
        <v>-4.031659658669307</v>
      </c>
      <c r="F64" s="272">
        <f t="shared" si="32"/>
        <v>47.472443937666277</v>
      </c>
      <c r="G64" s="272">
        <f t="shared" si="31"/>
        <v>76.363636363636346</v>
      </c>
      <c r="H64" s="271">
        <f t="shared" si="16"/>
        <v>0.9406786941580757</v>
      </c>
    </row>
    <row r="65" spans="1:8" ht="16.5">
      <c r="A65" s="216">
        <v>38384</v>
      </c>
      <c r="B65" s="226">
        <f>+geral!M746</f>
        <v>39.700000000000003</v>
      </c>
      <c r="C65" s="211">
        <f t="shared" si="2"/>
        <v>263.26259946949602</v>
      </c>
      <c r="D65" s="212">
        <f t="shared" ref="D65:D70" si="34">100*((B65/B64)-1)</f>
        <v>2.3195876288659933</v>
      </c>
      <c r="E65" s="212">
        <f t="shared" si="33"/>
        <v>-1.8055899084837956</v>
      </c>
      <c r="F65" s="272">
        <f t="shared" si="32"/>
        <v>3.2778355879292453</v>
      </c>
      <c r="G65" s="272">
        <f t="shared" ref="G65:G70" si="35">100*(B65/B41-1)</f>
        <v>82.444852941176478</v>
      </c>
      <c r="H65" s="271">
        <f t="shared" si="16"/>
        <v>0.91935348446683451</v>
      </c>
    </row>
    <row r="66" spans="1:8" ht="14.25" customHeight="1">
      <c r="A66" s="216">
        <v>38412</v>
      </c>
      <c r="B66" s="226">
        <f>+geral!M747</f>
        <v>42.06</v>
      </c>
      <c r="C66" s="211">
        <f t="shared" si="2"/>
        <v>278.91246684350131</v>
      </c>
      <c r="D66" s="212">
        <f t="shared" si="34"/>
        <v>5.9445843828715317</v>
      </c>
      <c r="E66" s="212">
        <f t="shared" si="33"/>
        <v>4.0316596586693176</v>
      </c>
      <c r="F66" s="272">
        <f t="shared" si="32"/>
        <v>8.9637305699481917</v>
      </c>
      <c r="G66" s="272">
        <f t="shared" si="35"/>
        <v>46.041666666666671</v>
      </c>
      <c r="H66" s="271">
        <f t="shared" si="16"/>
        <v>0.86776826755428749</v>
      </c>
    </row>
    <row r="67" spans="1:8" ht="16.5">
      <c r="A67" s="216">
        <v>38443</v>
      </c>
      <c r="B67" s="226">
        <f>+geral!M748</f>
        <v>44.05</v>
      </c>
      <c r="C67" s="211">
        <f t="shared" si="2"/>
        <v>292.10875331564989</v>
      </c>
      <c r="D67" s="212">
        <f t="shared" si="34"/>
        <v>4.7313361864003589</v>
      </c>
      <c r="E67" s="212">
        <f t="shared" si="33"/>
        <v>8.9537472174128006</v>
      </c>
      <c r="F67" s="272">
        <f t="shared" ref="F67:F72" si="36">100*((B67/B55)-1)</f>
        <v>24.964539007092192</v>
      </c>
      <c r="G67" s="272">
        <f t="shared" si="35"/>
        <v>49.829931972789112</v>
      </c>
      <c r="H67" s="271">
        <f t="shared" si="16"/>
        <v>0.82856602345819153</v>
      </c>
    </row>
    <row r="68" spans="1:8" ht="16.5">
      <c r="A68" s="216">
        <v>38473</v>
      </c>
      <c r="B68" s="226">
        <f>+geral!M749</f>
        <v>40.86</v>
      </c>
      <c r="C68" s="211">
        <f t="shared" si="2"/>
        <v>270.9549071618037</v>
      </c>
      <c r="D68" s="212">
        <f t="shared" si="34"/>
        <v>-7.2417707150964734</v>
      </c>
      <c r="E68" s="212">
        <f t="shared" si="33"/>
        <v>1.063566658421955</v>
      </c>
      <c r="F68" s="272">
        <f t="shared" si="36"/>
        <v>22.26211849192099</v>
      </c>
      <c r="G68" s="272">
        <f t="shared" si="35"/>
        <v>85.72727272727272</v>
      </c>
      <c r="H68" s="271">
        <f t="shared" si="16"/>
        <v>0.89325338554413447</v>
      </c>
    </row>
    <row r="69" spans="1:8" ht="16.5">
      <c r="A69" s="216">
        <v>38504</v>
      </c>
      <c r="B69" s="226">
        <f>+geral!M750</f>
        <v>41.93</v>
      </c>
      <c r="C69" s="211">
        <f t="shared" si="2"/>
        <v>278.0503978779841</v>
      </c>
      <c r="D69" s="212">
        <f t="shared" si="34"/>
        <v>2.6186979931473342</v>
      </c>
      <c r="E69" s="212">
        <f t="shared" si="33"/>
        <v>3.71011625030917</v>
      </c>
      <c r="F69" s="272">
        <f t="shared" si="36"/>
        <v>6.9642857142857117</v>
      </c>
      <c r="G69" s="272">
        <f t="shared" si="35"/>
        <v>86.024844720496901</v>
      </c>
      <c r="H69" s="271">
        <f t="shared" si="16"/>
        <v>0.8704587010096192</v>
      </c>
    </row>
    <row r="70" spans="1:8" ht="16.5">
      <c r="A70" s="216">
        <v>38534</v>
      </c>
      <c r="B70" s="226">
        <f>+geral!M751</f>
        <v>21.29</v>
      </c>
      <c r="C70" s="211">
        <f t="shared" si="2"/>
        <v>141.18037135278516</v>
      </c>
      <c r="D70" s="212">
        <f t="shared" si="34"/>
        <v>-49.224898640591462</v>
      </c>
      <c r="E70" s="212">
        <f t="shared" ref="E70:E75" si="37">100*((B70/$B$63)-1)</f>
        <v>-47.341083353945088</v>
      </c>
      <c r="F70" s="272">
        <f t="shared" si="36"/>
        <v>-47.432098765432094</v>
      </c>
      <c r="G70" s="272">
        <f t="shared" si="35"/>
        <v>2.6024096385542039</v>
      </c>
      <c r="H70" s="271">
        <f t="shared" si="16"/>
        <v>1.7143416314388604</v>
      </c>
    </row>
    <row r="71" spans="1:8" ht="16.5">
      <c r="A71" s="216">
        <v>38565</v>
      </c>
      <c r="B71" s="226">
        <f>+geral!M752</f>
        <v>22.01</v>
      </c>
      <c r="C71" s="211">
        <f t="shared" si="2"/>
        <v>145.9549071618037</v>
      </c>
      <c r="D71" s="212">
        <f t="shared" ref="D71:D76" si="38">100*((B71/B70)-1)</f>
        <v>3.3818694222639945</v>
      </c>
      <c r="E71" s="212">
        <f t="shared" si="37"/>
        <v>-45.560227553796686</v>
      </c>
      <c r="F71" s="272">
        <f t="shared" si="36"/>
        <v>-41.926121372031652</v>
      </c>
      <c r="G71" s="272">
        <f t="shared" ref="G71:G76" si="39">100*(B71/B47-1)</f>
        <v>-15.117624373312754</v>
      </c>
      <c r="H71" s="271">
        <f t="shared" ref="H71:H102" si="40">+$B$171/B71</f>
        <v>1.6582613963349992</v>
      </c>
    </row>
    <row r="72" spans="1:8" ht="16.5">
      <c r="A72" s="216">
        <v>38596</v>
      </c>
      <c r="B72" s="226">
        <f>+geral!M753</f>
        <v>24.24</v>
      </c>
      <c r="C72" s="211">
        <f t="shared" si="2"/>
        <v>160.74270557029178</v>
      </c>
      <c r="D72" s="212">
        <f t="shared" si="38"/>
        <v>10.131758291685578</v>
      </c>
      <c r="E72" s="212">
        <f t="shared" si="37"/>
        <v>-40.04452139500372</v>
      </c>
      <c r="F72" s="272">
        <f t="shared" si="36"/>
        <v>-41.165048543689331</v>
      </c>
      <c r="G72" s="272">
        <f t="shared" si="39"/>
        <v>-8.9406461307287799</v>
      </c>
      <c r="H72" s="271">
        <f t="shared" si="40"/>
        <v>1.5057068206820683</v>
      </c>
    </row>
    <row r="73" spans="1:8" ht="16.5">
      <c r="A73" s="216">
        <v>38626</v>
      </c>
      <c r="B73" s="226">
        <f>+geral!M754</f>
        <v>23.17</v>
      </c>
      <c r="C73" s="211">
        <f t="shared" si="2"/>
        <v>153.64721485411141</v>
      </c>
      <c r="D73" s="212">
        <f t="shared" si="38"/>
        <v>-4.4141914191418996</v>
      </c>
      <c r="E73" s="212">
        <f t="shared" si="37"/>
        <v>-42.691070986890921</v>
      </c>
      <c r="F73" s="272">
        <f t="shared" ref="F73:F78" si="41">100*((B73/B61)-1)</f>
        <v>-40.665813060179246</v>
      </c>
      <c r="G73" s="272">
        <f t="shared" si="39"/>
        <v>-13.641446142377923</v>
      </c>
      <c r="H73" s="271">
        <f t="shared" si="40"/>
        <v>1.5752409725219392</v>
      </c>
    </row>
    <row r="74" spans="1:8" ht="16.5">
      <c r="A74" s="216">
        <v>38657</v>
      </c>
      <c r="B74" s="226">
        <f>+geral!M755</f>
        <v>23.21</v>
      </c>
      <c r="C74" s="211">
        <f t="shared" si="2"/>
        <v>153.91246684350133</v>
      </c>
      <c r="D74" s="212">
        <f t="shared" si="38"/>
        <v>0.17263703064307467</v>
      </c>
      <c r="E74" s="212">
        <f t="shared" si="37"/>
        <v>-42.592134553549343</v>
      </c>
      <c r="F74" s="272">
        <f t="shared" si="41"/>
        <v>-41.061452513966479</v>
      </c>
      <c r="G74" s="272">
        <f t="shared" si="39"/>
        <v>1.5310586176727981</v>
      </c>
      <c r="H74" s="271">
        <f t="shared" si="40"/>
        <v>1.5725262099669683</v>
      </c>
    </row>
    <row r="75" spans="1:8" ht="16.5">
      <c r="A75" s="216">
        <v>38687</v>
      </c>
      <c r="B75" s="226">
        <f>+geral!M756</f>
        <v>24.85</v>
      </c>
      <c r="C75" s="211">
        <f t="shared" si="2"/>
        <v>164.78779840848807</v>
      </c>
      <c r="D75" s="212">
        <f t="shared" si="38"/>
        <v>7.0659198621283892</v>
      </c>
      <c r="E75" s="212">
        <f t="shared" si="37"/>
        <v>-38.535740786544636</v>
      </c>
      <c r="F75" s="272">
        <f t="shared" si="41"/>
        <v>-38.535740786544636</v>
      </c>
      <c r="G75" s="272">
        <f t="shared" si="39"/>
        <v>42.000000000000014</v>
      </c>
      <c r="H75" s="271">
        <f t="shared" si="40"/>
        <v>1.4687458081824278</v>
      </c>
    </row>
    <row r="76" spans="1:8" ht="16.5">
      <c r="A76" s="216">
        <v>38718</v>
      </c>
      <c r="B76" s="226">
        <f>geral!C760</f>
        <v>23.66</v>
      </c>
      <c r="C76" s="211">
        <f t="shared" si="2"/>
        <v>156.89655172413794</v>
      </c>
      <c r="D76" s="212">
        <f t="shared" si="38"/>
        <v>-4.7887323943662015</v>
      </c>
      <c r="E76" s="212">
        <f t="shared" ref="E76:E81" si="42">100*((B76/$B$75)-1)</f>
        <v>-4.7887323943662015</v>
      </c>
      <c r="F76" s="272">
        <f t="shared" si="41"/>
        <v>-39.020618556701024</v>
      </c>
      <c r="G76" s="272">
        <f t="shared" si="39"/>
        <v>-10.07221588749524</v>
      </c>
      <c r="H76" s="271">
        <f t="shared" si="40"/>
        <v>1.5426176387714849</v>
      </c>
    </row>
    <row r="77" spans="1:8" ht="16.5">
      <c r="A77" s="216">
        <v>38749</v>
      </c>
      <c r="B77" s="226">
        <f>geral!C761</f>
        <v>23.36</v>
      </c>
      <c r="C77" s="211">
        <f t="shared" si="2"/>
        <v>154.90716180371354</v>
      </c>
      <c r="D77" s="212">
        <f t="shared" ref="D77:D82" si="43">100*((B77/B76)-1)</f>
        <v>-1.2679628064243498</v>
      </c>
      <c r="E77" s="212">
        <f t="shared" si="42"/>
        <v>-5.9959758551307978</v>
      </c>
      <c r="F77" s="272">
        <f t="shared" si="41"/>
        <v>-41.158690176322423</v>
      </c>
      <c r="G77" s="272">
        <f t="shared" ref="G77:G82" si="44">100*(B77/B53-1)</f>
        <v>-39.229968782518213</v>
      </c>
      <c r="H77" s="271">
        <f t="shared" si="40"/>
        <v>1.5624286529680367</v>
      </c>
    </row>
    <row r="78" spans="1:8" ht="16.5">
      <c r="A78" s="216">
        <v>38777</v>
      </c>
      <c r="B78" s="226">
        <f>geral!C762</f>
        <v>23.11</v>
      </c>
      <c r="C78" s="211">
        <f t="shared" si="2"/>
        <v>153.24933687002653</v>
      </c>
      <c r="D78" s="212">
        <f t="shared" si="43"/>
        <v>-1.0702054794520577</v>
      </c>
      <c r="E78" s="212">
        <f t="shared" si="42"/>
        <v>-7.0020120724346153</v>
      </c>
      <c r="F78" s="272">
        <f t="shared" si="41"/>
        <v>-45.054683785068953</v>
      </c>
      <c r="G78" s="272">
        <f t="shared" si="44"/>
        <v>-40.129533678756481</v>
      </c>
      <c r="H78" s="271">
        <f t="shared" si="40"/>
        <v>1.5793307370546661</v>
      </c>
    </row>
    <row r="79" spans="1:8" ht="16.5">
      <c r="A79" s="216">
        <v>38808</v>
      </c>
      <c r="B79" s="226">
        <f>geral!C763</f>
        <v>23.15</v>
      </c>
      <c r="C79" s="211">
        <f t="shared" si="2"/>
        <v>153.51458885941645</v>
      </c>
      <c r="D79" s="212">
        <f t="shared" si="43"/>
        <v>0.17308524448289564</v>
      </c>
      <c r="E79" s="212">
        <f t="shared" si="42"/>
        <v>-6.8410462776660079</v>
      </c>
      <c r="F79" s="272">
        <f t="shared" ref="F79:F84" si="45">100*((B79/B67)-1)</f>
        <v>-47.446083995459709</v>
      </c>
      <c r="G79" s="272">
        <f t="shared" si="44"/>
        <v>-34.326241134751776</v>
      </c>
      <c r="H79" s="271">
        <f t="shared" si="40"/>
        <v>1.5766018718502521</v>
      </c>
    </row>
    <row r="80" spans="1:8" ht="16.5">
      <c r="A80" s="216">
        <v>38838</v>
      </c>
      <c r="B80" s="226">
        <f>geral!C764</f>
        <v>22.5</v>
      </c>
      <c r="C80" s="211">
        <f t="shared" si="2"/>
        <v>149.20424403183023</v>
      </c>
      <c r="D80" s="212">
        <f t="shared" si="43"/>
        <v>-2.8077753779697567</v>
      </c>
      <c r="E80" s="212">
        <f t="shared" si="42"/>
        <v>-9.456740442655942</v>
      </c>
      <c r="F80" s="272">
        <f t="shared" si="45"/>
        <v>-44.933920704845811</v>
      </c>
      <c r="G80" s="272">
        <f t="shared" si="44"/>
        <v>-32.675044883303414</v>
      </c>
      <c r="H80" s="271">
        <f t="shared" si="40"/>
        <v>1.6221481481481481</v>
      </c>
    </row>
    <row r="81" spans="1:10" ht="16.5">
      <c r="A81" s="216">
        <v>38869</v>
      </c>
      <c r="B81" s="226">
        <f>geral!C765</f>
        <v>21.73</v>
      </c>
      <c r="C81" s="211">
        <f t="shared" si="2"/>
        <v>144.09814323607426</v>
      </c>
      <c r="D81" s="212">
        <f t="shared" si="43"/>
        <v>-3.4222222222222154</v>
      </c>
      <c r="E81" s="212">
        <f t="shared" si="42"/>
        <v>-12.555331991951713</v>
      </c>
      <c r="F81" s="272">
        <f t="shared" si="45"/>
        <v>-48.175530646315288</v>
      </c>
      <c r="G81" s="272">
        <f t="shared" si="44"/>
        <v>-44.566326530612244</v>
      </c>
      <c r="H81" s="271">
        <f t="shared" si="40"/>
        <v>1.6796287774198497</v>
      </c>
    </row>
    <row r="82" spans="1:10" ht="16.5">
      <c r="A82" s="216">
        <v>38899</v>
      </c>
      <c r="B82" s="226">
        <f>geral!C766</f>
        <v>24.1</v>
      </c>
      <c r="C82" s="211">
        <f t="shared" si="2"/>
        <v>159.81432360742704</v>
      </c>
      <c r="D82" s="212">
        <f t="shared" si="43"/>
        <v>10.906580763920859</v>
      </c>
      <c r="E82" s="212">
        <f t="shared" ref="E82:E87" si="46">100*((B82/$B$75)-1)</f>
        <v>-3.0181086519114664</v>
      </c>
      <c r="F82" s="272">
        <f t="shared" si="45"/>
        <v>13.198684828558015</v>
      </c>
      <c r="G82" s="272">
        <f t="shared" si="44"/>
        <v>-40.493827160493822</v>
      </c>
      <c r="H82" s="271">
        <f t="shared" si="40"/>
        <v>1.5144536652835408</v>
      </c>
    </row>
    <row r="83" spans="1:10" ht="16.7" customHeight="1">
      <c r="A83" s="216">
        <v>38930</v>
      </c>
      <c r="B83" s="226">
        <f>geral!C767</f>
        <v>23</v>
      </c>
      <c r="C83" s="211">
        <f t="shared" si="2"/>
        <v>152.51989389920425</v>
      </c>
      <c r="D83" s="212">
        <f t="shared" ref="D83:D88" si="47">100*((B83/B82)-1)</f>
        <v>-4.5643153526971014</v>
      </c>
      <c r="E83" s="212">
        <f t="shared" si="46"/>
        <v>-7.4446680080482945</v>
      </c>
      <c r="F83" s="272">
        <f t="shared" si="45"/>
        <v>4.4979554747841766</v>
      </c>
      <c r="G83" s="272">
        <f t="shared" ref="G83:G88" si="48">100*(B83/B59-1)</f>
        <v>-39.313984168865431</v>
      </c>
      <c r="H83" s="271">
        <f t="shared" si="40"/>
        <v>1.5868840579710146</v>
      </c>
    </row>
    <row r="84" spans="1:10" ht="16.5">
      <c r="A84" s="216">
        <v>38961</v>
      </c>
      <c r="B84" s="226">
        <f>geral!C768</f>
        <v>24.56</v>
      </c>
      <c r="C84" s="211">
        <f t="shared" si="2"/>
        <v>162.86472148541114</v>
      </c>
      <c r="D84" s="212">
        <f t="shared" si="47"/>
        <v>6.7826086956521703</v>
      </c>
      <c r="E84" s="212">
        <f t="shared" si="46"/>
        <v>-1.1670020120724489</v>
      </c>
      <c r="F84" s="272">
        <f t="shared" si="45"/>
        <v>1.3201320132013139</v>
      </c>
      <c r="G84" s="272">
        <f t="shared" si="48"/>
        <v>-40.388349514563117</v>
      </c>
      <c r="H84" s="271">
        <f t="shared" si="40"/>
        <v>1.4860884907709013</v>
      </c>
    </row>
    <row r="85" spans="1:10" ht="16.5">
      <c r="A85" s="216">
        <v>38991</v>
      </c>
      <c r="B85" s="226">
        <f>geral!C769</f>
        <v>23.71</v>
      </c>
      <c r="C85" s="211">
        <f t="shared" si="2"/>
        <v>157.22811671087533</v>
      </c>
      <c r="D85" s="212">
        <f t="shared" si="47"/>
        <v>-3.4609120521172598</v>
      </c>
      <c r="E85" s="212">
        <f t="shared" si="46"/>
        <v>-4.587525150905436</v>
      </c>
      <c r="F85" s="272">
        <f t="shared" ref="F85:F90" si="49">100*((B85/B73)-1)</f>
        <v>2.3305999136814748</v>
      </c>
      <c r="G85" s="272">
        <f t="shared" si="48"/>
        <v>-39.282970550576181</v>
      </c>
      <c r="H85" s="271">
        <f t="shared" si="40"/>
        <v>1.539364543793055</v>
      </c>
    </row>
    <row r="86" spans="1:10" ht="16.5">
      <c r="A86" s="216">
        <v>39022</v>
      </c>
      <c r="B86" s="226">
        <f>geral!C770</f>
        <v>23.29</v>
      </c>
      <c r="C86" s="211">
        <f t="shared" si="2"/>
        <v>154.44297082228115</v>
      </c>
      <c r="D86" s="212">
        <f t="shared" si="47"/>
        <v>-1.7714044706874765</v>
      </c>
      <c r="E86" s="212">
        <f t="shared" si="46"/>
        <v>-6.2776659959758678</v>
      </c>
      <c r="F86" s="272">
        <f t="shared" si="49"/>
        <v>0.34467901766479514</v>
      </c>
      <c r="G86" s="272">
        <f t="shared" si="48"/>
        <v>-40.858303707465723</v>
      </c>
      <c r="H86" s="271">
        <f t="shared" si="40"/>
        <v>1.5671246600830113</v>
      </c>
    </row>
    <row r="87" spans="1:10" ht="16.5">
      <c r="A87" s="216">
        <v>39052</v>
      </c>
      <c r="B87" s="226">
        <f>geral!C771</f>
        <v>24.58</v>
      </c>
      <c r="C87" s="211">
        <f t="shared" si="2"/>
        <v>162.9973474801061</v>
      </c>
      <c r="D87" s="212">
        <f t="shared" si="47"/>
        <v>5.538857878917991</v>
      </c>
      <c r="E87" s="212">
        <f t="shared" si="46"/>
        <v>-1.0865191146881448</v>
      </c>
      <c r="F87" s="272">
        <f t="shared" si="49"/>
        <v>-1.0865191146881448</v>
      </c>
      <c r="G87" s="272">
        <f t="shared" si="48"/>
        <v>-39.203561711600301</v>
      </c>
      <c r="H87" s="271">
        <f t="shared" si="40"/>
        <v>1.4848793056685654</v>
      </c>
    </row>
    <row r="88" spans="1:10" ht="16.5">
      <c r="A88" s="216">
        <v>39083</v>
      </c>
      <c r="B88" s="226">
        <f>geral!E760</f>
        <v>25.58</v>
      </c>
      <c r="C88" s="211">
        <f t="shared" ref="C88:C147" si="50">100*B88/$B$7</f>
        <v>169.62864721485411</v>
      </c>
      <c r="D88" s="212">
        <f t="shared" si="47"/>
        <v>4.0683482506102431</v>
      </c>
      <c r="E88" s="212">
        <f t="shared" ref="E88:E93" si="51">100*((B88/$B$87)-1)</f>
        <v>4.0683482506102431</v>
      </c>
      <c r="F88" s="272">
        <f t="shared" si="49"/>
        <v>8.1149619611158066</v>
      </c>
      <c r="G88" s="272">
        <f t="shared" si="48"/>
        <v>-34.072164948453612</v>
      </c>
      <c r="H88" s="271">
        <f t="shared" si="40"/>
        <v>1.4268308574407091</v>
      </c>
    </row>
    <row r="89" spans="1:10" ht="16.5">
      <c r="A89" s="216">
        <v>39114</v>
      </c>
      <c r="B89" s="226">
        <f>geral!E761</f>
        <v>25.5</v>
      </c>
      <c r="C89" s="211">
        <f t="shared" si="50"/>
        <v>169.09814323607426</v>
      </c>
      <c r="D89" s="212">
        <f t="shared" ref="D89:D99" si="52">100*((B89/B88)-1)</f>
        <v>-0.31274433150898506</v>
      </c>
      <c r="E89" s="212">
        <f t="shared" si="51"/>
        <v>3.7428803905614316</v>
      </c>
      <c r="F89" s="272">
        <f t="shared" si="49"/>
        <v>9.1609589041095951</v>
      </c>
      <c r="G89" s="272">
        <f t="shared" ref="G89:G99" si="53">100*(B89/B65-1)</f>
        <v>-35.76826196473553</v>
      </c>
      <c r="H89" s="271">
        <f t="shared" si="40"/>
        <v>1.4313071895424838</v>
      </c>
    </row>
    <row r="90" spans="1:10" ht="16.5">
      <c r="A90" s="216">
        <v>39142</v>
      </c>
      <c r="B90" s="226">
        <f>geral!E762</f>
        <v>25.5</v>
      </c>
      <c r="C90" s="211">
        <f t="shared" si="50"/>
        <v>169.09814323607426</v>
      </c>
      <c r="D90" s="212">
        <f t="shared" si="52"/>
        <v>0</v>
      </c>
      <c r="E90" s="212">
        <f t="shared" si="51"/>
        <v>3.7428803905614316</v>
      </c>
      <c r="F90" s="272">
        <f t="shared" si="49"/>
        <v>10.341843357853753</v>
      </c>
      <c r="G90" s="272">
        <f t="shared" si="53"/>
        <v>-39.372325249643367</v>
      </c>
      <c r="H90" s="271">
        <f t="shared" si="40"/>
        <v>1.4313071895424838</v>
      </c>
    </row>
    <row r="91" spans="1:10" ht="16.5">
      <c r="A91" s="216">
        <v>39173</v>
      </c>
      <c r="B91" s="226">
        <f>geral!E763</f>
        <v>25.79</v>
      </c>
      <c r="C91" s="211">
        <f t="shared" si="50"/>
        <v>171.0212201591512</v>
      </c>
      <c r="D91" s="212">
        <f t="shared" si="52"/>
        <v>1.1372549019607714</v>
      </c>
      <c r="E91" s="212">
        <f t="shared" si="51"/>
        <v>4.9227013832384037</v>
      </c>
      <c r="F91" s="272">
        <f t="shared" ref="F91:F99" si="54">100*((B91/B79)-1)</f>
        <v>11.403887688984881</v>
      </c>
      <c r="G91" s="272">
        <f t="shared" si="53"/>
        <v>-41.452894438138479</v>
      </c>
      <c r="H91" s="271">
        <f t="shared" si="40"/>
        <v>1.4152126147085435</v>
      </c>
    </row>
    <row r="92" spans="1:10" ht="16.5">
      <c r="A92" s="216">
        <v>39203</v>
      </c>
      <c r="B92" s="226">
        <f>geral!E764</f>
        <v>25</v>
      </c>
      <c r="C92" s="211">
        <f t="shared" si="50"/>
        <v>165.78249336870027</v>
      </c>
      <c r="D92" s="212">
        <f t="shared" si="52"/>
        <v>-3.0632027917797511</v>
      </c>
      <c r="E92" s="212">
        <f t="shared" si="51"/>
        <v>1.7087062652563212</v>
      </c>
      <c r="F92" s="272">
        <f t="shared" si="54"/>
        <v>11.111111111111116</v>
      </c>
      <c r="G92" s="272">
        <f t="shared" si="53"/>
        <v>-38.815467449828681</v>
      </c>
      <c r="H92" s="271">
        <f t="shared" si="40"/>
        <v>1.4599333333333333</v>
      </c>
    </row>
    <row r="93" spans="1:10" ht="16.5">
      <c r="A93" s="216">
        <v>39234</v>
      </c>
      <c r="B93" s="226">
        <f>geral!E765</f>
        <v>26.071428571428573</v>
      </c>
      <c r="C93" s="211">
        <f t="shared" si="50"/>
        <v>172.887457370216</v>
      </c>
      <c r="D93" s="212">
        <f t="shared" si="52"/>
        <v>4.2857142857142927</v>
      </c>
      <c r="E93" s="212">
        <f t="shared" si="51"/>
        <v>6.0676508194815959</v>
      </c>
      <c r="F93" s="272">
        <f t="shared" si="54"/>
        <v>19.978962592860427</v>
      </c>
      <c r="G93" s="272">
        <f t="shared" si="53"/>
        <v>-37.821539300194196</v>
      </c>
      <c r="H93" s="271">
        <f t="shared" si="40"/>
        <v>1.3999360730593606</v>
      </c>
    </row>
    <row r="94" spans="1:10" ht="16.5">
      <c r="A94" s="216">
        <v>39264</v>
      </c>
      <c r="B94" s="226">
        <f>geral!E766</f>
        <v>20.65</v>
      </c>
      <c r="C94" s="211">
        <f t="shared" si="50"/>
        <v>136.9363395225464</v>
      </c>
      <c r="D94" s="212">
        <f t="shared" si="52"/>
        <v>-20.794520547945218</v>
      </c>
      <c r="E94" s="212">
        <f t="shared" ref="E94:E99" si="55">100*((B94/$B$87)-1)</f>
        <v>-15.988608624898292</v>
      </c>
      <c r="F94" s="272">
        <f t="shared" si="54"/>
        <v>-14.315352697095452</v>
      </c>
      <c r="G94" s="272">
        <f t="shared" si="53"/>
        <v>-3.0061061531235334</v>
      </c>
      <c r="H94" s="271">
        <f t="shared" si="40"/>
        <v>1.7674737691686846</v>
      </c>
      <c r="I94" s="215" t="s">
        <v>241</v>
      </c>
      <c r="J94" s="65"/>
    </row>
    <row r="95" spans="1:10" ht="16.5">
      <c r="A95" s="216">
        <v>39295</v>
      </c>
      <c r="B95" s="226">
        <f>geral!E767</f>
        <v>24</v>
      </c>
      <c r="C95" s="211">
        <f t="shared" si="50"/>
        <v>159.15119363395226</v>
      </c>
      <c r="D95" s="212">
        <f t="shared" si="52"/>
        <v>16.222760290556913</v>
      </c>
      <c r="E95" s="212">
        <f t="shared" si="55"/>
        <v>-2.3596419853539441</v>
      </c>
      <c r="F95" s="272">
        <f t="shared" si="54"/>
        <v>4.3478260869565188</v>
      </c>
      <c r="G95" s="272">
        <f t="shared" si="53"/>
        <v>9.0413448432530519</v>
      </c>
      <c r="H95" s="271">
        <f t="shared" si="40"/>
        <v>1.520763888888889</v>
      </c>
    </row>
    <row r="96" spans="1:10" ht="16.5">
      <c r="A96" s="216">
        <v>39326</v>
      </c>
      <c r="B96" s="226">
        <f>geral!E768</f>
        <v>25.1</v>
      </c>
      <c r="C96" s="211">
        <f t="shared" si="50"/>
        <v>166.44562334217505</v>
      </c>
      <c r="D96" s="212">
        <f t="shared" si="52"/>
        <v>4.5833333333333393</v>
      </c>
      <c r="E96" s="212">
        <f t="shared" si="55"/>
        <v>2.1155410903173522</v>
      </c>
      <c r="F96" s="272">
        <f t="shared" si="54"/>
        <v>2.1986970684039209</v>
      </c>
      <c r="G96" s="272">
        <f t="shared" si="53"/>
        <v>3.5478547854785658</v>
      </c>
      <c r="H96" s="271">
        <f t="shared" si="40"/>
        <v>1.454116865869854</v>
      </c>
    </row>
    <row r="97" spans="1:8" ht="16.5">
      <c r="A97" s="216">
        <v>39356</v>
      </c>
      <c r="B97" s="226">
        <f>geral!E769</f>
        <v>24.214285714285715</v>
      </c>
      <c r="C97" s="211">
        <f t="shared" si="50"/>
        <v>160.5721864342554</v>
      </c>
      <c r="D97" s="212">
        <f t="shared" si="52"/>
        <v>-3.5287421741605041</v>
      </c>
      <c r="E97" s="212">
        <f t="shared" si="55"/>
        <v>-1.4878530745088825</v>
      </c>
      <c r="F97" s="272">
        <f t="shared" si="54"/>
        <v>2.1268904018798551</v>
      </c>
      <c r="G97" s="272">
        <f t="shared" si="53"/>
        <v>4.5070596214316527</v>
      </c>
      <c r="H97" s="271">
        <f t="shared" si="40"/>
        <v>1.5073058013765979</v>
      </c>
    </row>
    <row r="98" spans="1:8" ht="16.5">
      <c r="A98" s="216">
        <v>39387</v>
      </c>
      <c r="B98" s="226">
        <f>geral!E770</f>
        <v>24.7</v>
      </c>
      <c r="C98" s="211">
        <f t="shared" si="50"/>
        <v>163.79310344827587</v>
      </c>
      <c r="D98" s="212">
        <f t="shared" si="52"/>
        <v>2.0058997050147465</v>
      </c>
      <c r="E98" s="212">
        <f t="shared" si="55"/>
        <v>0.48820179007322828</v>
      </c>
      <c r="F98" s="272">
        <f t="shared" si="54"/>
        <v>6.0541004723057013</v>
      </c>
      <c r="G98" s="272">
        <f t="shared" si="53"/>
        <v>6.4196467040068761</v>
      </c>
      <c r="H98" s="271">
        <f t="shared" si="40"/>
        <v>1.4776653171390015</v>
      </c>
    </row>
    <row r="99" spans="1:8" ht="16.5">
      <c r="A99" s="216">
        <v>39417</v>
      </c>
      <c r="B99" s="226">
        <f>geral!E771</f>
        <v>24.67</v>
      </c>
      <c r="C99" s="211">
        <f t="shared" si="50"/>
        <v>163.59416445623341</v>
      </c>
      <c r="D99" s="212">
        <f t="shared" si="52"/>
        <v>-0.12145748987852922</v>
      </c>
      <c r="E99" s="212">
        <f t="shared" si="55"/>
        <v>0.36615134255493231</v>
      </c>
      <c r="F99" s="272">
        <f t="shared" si="54"/>
        <v>0.36615134255493231</v>
      </c>
      <c r="G99" s="272">
        <f t="shared" si="53"/>
        <v>-0.72434607645874838</v>
      </c>
      <c r="H99" s="271">
        <f t="shared" si="40"/>
        <v>1.4794622348331306</v>
      </c>
    </row>
    <row r="100" spans="1:8" ht="16.5">
      <c r="A100" s="216">
        <v>39448</v>
      </c>
      <c r="B100" s="226">
        <f>geral!G760</f>
        <v>22.96</v>
      </c>
      <c r="C100" s="211">
        <f t="shared" si="50"/>
        <v>152.25464190981432</v>
      </c>
      <c r="D100" s="212">
        <f t="shared" ref="D100:D105" si="56">100*((B100/B99)-1)</f>
        <v>-6.9314957438184059</v>
      </c>
      <c r="E100" s="212">
        <f t="shared" ref="E100:E105" si="57">100*((B100/$B$99)-1)</f>
        <v>-6.9314957438184059</v>
      </c>
      <c r="F100" s="272">
        <f t="shared" ref="F100:F105" si="58">100*((B100/B88)-1)</f>
        <v>-10.242376856919455</v>
      </c>
      <c r="G100" s="272">
        <f t="shared" ref="G100:G105" si="59">100*(B100/B76-1)</f>
        <v>-2.9585798816567976</v>
      </c>
      <c r="H100" s="271">
        <f t="shared" si="40"/>
        <v>1.5896486643437864</v>
      </c>
    </row>
    <row r="101" spans="1:8" ht="16.5">
      <c r="A101" s="216">
        <v>39479</v>
      </c>
      <c r="B101" s="226">
        <f>geral!G761</f>
        <v>25.916666666666668</v>
      </c>
      <c r="C101" s="211">
        <f t="shared" si="50"/>
        <v>171.86118479221929</v>
      </c>
      <c r="D101" s="212">
        <f t="shared" si="56"/>
        <v>12.877468060394893</v>
      </c>
      <c r="E101" s="212">
        <f t="shared" si="57"/>
        <v>5.05337116605864</v>
      </c>
      <c r="F101" s="272">
        <f t="shared" si="58"/>
        <v>1.6339869281045694</v>
      </c>
      <c r="G101" s="272">
        <f t="shared" si="59"/>
        <v>10.944634703196353</v>
      </c>
      <c r="H101" s="271">
        <f t="shared" si="40"/>
        <v>1.4082958199356914</v>
      </c>
    </row>
    <row r="102" spans="1:8" ht="16.5">
      <c r="A102" s="216">
        <v>39508</v>
      </c>
      <c r="B102" s="226">
        <f>geral!G762</f>
        <v>26</v>
      </c>
      <c r="C102" s="211">
        <f t="shared" si="50"/>
        <v>172.41379310344828</v>
      </c>
      <c r="D102" s="212">
        <f t="shared" si="56"/>
        <v>0.3215434083601254</v>
      </c>
      <c r="E102" s="212">
        <f t="shared" si="57"/>
        <v>5.3911633563031858</v>
      </c>
      <c r="F102" s="272">
        <f t="shared" si="58"/>
        <v>1.9607843137254832</v>
      </c>
      <c r="G102" s="272">
        <f t="shared" si="59"/>
        <v>12.505408913890093</v>
      </c>
      <c r="H102" s="271">
        <f t="shared" si="40"/>
        <v>1.4037820512820514</v>
      </c>
    </row>
    <row r="103" spans="1:8" ht="16.5">
      <c r="A103" s="216">
        <v>39539</v>
      </c>
      <c r="B103" s="226">
        <f>geral!G763</f>
        <v>25.085714285714289</v>
      </c>
      <c r="C103" s="211">
        <f t="shared" si="50"/>
        <v>166.35089048882153</v>
      </c>
      <c r="D103" s="212">
        <f t="shared" si="56"/>
        <v>-3.516483516483504</v>
      </c>
      <c r="E103" s="212">
        <f t="shared" si="57"/>
        <v>1.6851004690485949</v>
      </c>
      <c r="F103" s="272">
        <f t="shared" si="58"/>
        <v>-2.7308480584944173</v>
      </c>
      <c r="G103" s="272">
        <f t="shared" si="59"/>
        <v>8.3616167849429388</v>
      </c>
      <c r="H103" s="271">
        <f t="shared" ref="H103:H134" si="60">+$B$171/B103</f>
        <v>1.4549449506454062</v>
      </c>
    </row>
    <row r="104" spans="1:8" ht="16.5">
      <c r="A104" s="216">
        <v>39569</v>
      </c>
      <c r="B104" s="226">
        <f>geral!G764</f>
        <v>25.52</v>
      </c>
      <c r="C104" s="211">
        <f t="shared" si="50"/>
        <v>169.23076923076923</v>
      </c>
      <c r="D104" s="212">
        <f t="shared" si="56"/>
        <v>1.7312072892938346</v>
      </c>
      <c r="E104" s="212">
        <f t="shared" si="57"/>
        <v>3.4454803404945222</v>
      </c>
      <c r="F104" s="272">
        <f t="shared" si="58"/>
        <v>2.079999999999993</v>
      </c>
      <c r="G104" s="272">
        <f t="shared" si="59"/>
        <v>13.422222222222224</v>
      </c>
      <c r="H104" s="271">
        <f t="shared" si="60"/>
        <v>1.4301854754440961</v>
      </c>
    </row>
    <row r="105" spans="1:8" ht="16.5">
      <c r="A105" s="216">
        <v>39600</v>
      </c>
      <c r="B105" s="226">
        <f>geral!G765</f>
        <v>27.1</v>
      </c>
      <c r="C105" s="211">
        <f t="shared" si="50"/>
        <v>179.70822281167108</v>
      </c>
      <c r="D105" s="212">
        <f t="shared" si="56"/>
        <v>6.1912225705329282</v>
      </c>
      <c r="E105" s="212">
        <f t="shared" si="57"/>
        <v>9.8500202675314128</v>
      </c>
      <c r="F105" s="272">
        <f t="shared" si="58"/>
        <v>3.9452054794520519</v>
      </c>
      <c r="G105" s="272">
        <f t="shared" si="59"/>
        <v>24.712379199263701</v>
      </c>
      <c r="H105" s="271">
        <f t="shared" si="60"/>
        <v>1.3468019680196801</v>
      </c>
    </row>
    <row r="106" spans="1:8" ht="16.5">
      <c r="A106" s="216">
        <v>39630</v>
      </c>
      <c r="B106" s="226">
        <f>geral!G766</f>
        <v>26.057142857142853</v>
      </c>
      <c r="C106" s="211">
        <f t="shared" si="50"/>
        <v>172.79272451686242</v>
      </c>
      <c r="D106" s="212">
        <f t="shared" ref="D106:D111" si="61">100*((B106/B105)-1)</f>
        <v>-3.8481813389562691</v>
      </c>
      <c r="E106" s="212">
        <f t="shared" ref="E106:E111" si="62">100*((B106/$B$99)-1)</f>
        <v>5.6227922867565949</v>
      </c>
      <c r="F106" s="272">
        <f t="shared" ref="F106:F111" si="63">100*((B106/B94)-1)</f>
        <v>26.184711172604636</v>
      </c>
      <c r="G106" s="272">
        <f t="shared" ref="G106:G111" si="64">100*(B106/B82-1)</f>
        <v>8.120924718435063</v>
      </c>
      <c r="H106" s="271">
        <f t="shared" si="60"/>
        <v>1.4007035818713454</v>
      </c>
    </row>
    <row r="107" spans="1:8" ht="16.5">
      <c r="A107" s="216">
        <v>39661</v>
      </c>
      <c r="B107" s="226">
        <f>geral!G767</f>
        <v>27.25714285714286</v>
      </c>
      <c r="C107" s="211">
        <f t="shared" si="50"/>
        <v>180.75028419856005</v>
      </c>
      <c r="D107" s="212">
        <f t="shared" si="61"/>
        <v>4.6052631578947567</v>
      </c>
      <c r="E107" s="212">
        <f t="shared" si="62"/>
        <v>10.486999826278298</v>
      </c>
      <c r="F107" s="272">
        <f t="shared" si="63"/>
        <v>13.571428571428591</v>
      </c>
      <c r="G107" s="272">
        <f t="shared" si="64"/>
        <v>18.509316770186345</v>
      </c>
      <c r="H107" s="271">
        <f t="shared" si="60"/>
        <v>1.3390373864430467</v>
      </c>
    </row>
    <row r="108" spans="1:8" ht="16.5">
      <c r="A108" s="216">
        <v>39692</v>
      </c>
      <c r="B108" s="226">
        <f>geral!G768</f>
        <v>31.18</v>
      </c>
      <c r="C108" s="211">
        <f t="shared" si="50"/>
        <v>206.76392572944297</v>
      </c>
      <c r="D108" s="212">
        <f t="shared" si="61"/>
        <v>14.392033542976934</v>
      </c>
      <c r="E108" s="212">
        <f t="shared" si="62"/>
        <v>26.388325901905141</v>
      </c>
      <c r="F108" s="272">
        <f t="shared" si="63"/>
        <v>24.223107569721101</v>
      </c>
      <c r="G108" s="272">
        <f t="shared" si="64"/>
        <v>26.954397394136809</v>
      </c>
      <c r="H108" s="271">
        <f t="shared" si="60"/>
        <v>1.170568740645713</v>
      </c>
    </row>
    <row r="109" spans="1:8" ht="16.5">
      <c r="A109" s="216">
        <v>39722</v>
      </c>
      <c r="B109" s="226">
        <f>geral!G769</f>
        <v>27.571428571428573</v>
      </c>
      <c r="C109" s="211">
        <f t="shared" si="50"/>
        <v>182.83440697233803</v>
      </c>
      <c r="D109" s="212">
        <f t="shared" si="61"/>
        <v>-11.573352881883981</v>
      </c>
      <c r="E109" s="212">
        <f t="shared" si="62"/>
        <v>11.760958943772071</v>
      </c>
      <c r="F109" s="272">
        <f t="shared" si="63"/>
        <v>13.864306784660773</v>
      </c>
      <c r="G109" s="272">
        <f t="shared" si="64"/>
        <v>16.286075796830744</v>
      </c>
      <c r="H109" s="271">
        <f t="shared" si="60"/>
        <v>1.3237737478411054</v>
      </c>
    </row>
    <row r="110" spans="1:8" ht="16.5">
      <c r="A110" s="216">
        <v>39753</v>
      </c>
      <c r="B110" s="226">
        <f>geral!G770</f>
        <v>29</v>
      </c>
      <c r="C110" s="211">
        <f t="shared" si="50"/>
        <v>192.30769230769232</v>
      </c>
      <c r="D110" s="212">
        <f t="shared" si="61"/>
        <v>5.1813471502590636</v>
      </c>
      <c r="E110" s="212">
        <f t="shared" si="62"/>
        <v>17.551682205107412</v>
      </c>
      <c r="F110" s="272">
        <f t="shared" si="63"/>
        <v>17.40890688259109</v>
      </c>
      <c r="G110" s="272">
        <f t="shared" si="64"/>
        <v>24.516960068699014</v>
      </c>
      <c r="H110" s="271">
        <f t="shared" si="60"/>
        <v>1.2585632183908046</v>
      </c>
    </row>
    <row r="111" spans="1:8" ht="16.5">
      <c r="A111" s="216">
        <v>39783</v>
      </c>
      <c r="B111" s="226">
        <f>geral!G771</f>
        <v>27.285714285714285</v>
      </c>
      <c r="C111" s="211">
        <f t="shared" si="50"/>
        <v>180.93974990526715</v>
      </c>
      <c r="D111" s="212">
        <f t="shared" si="61"/>
        <v>-5.9113300492610872</v>
      </c>
      <c r="E111" s="212">
        <f t="shared" si="62"/>
        <v>10.602814291505002</v>
      </c>
      <c r="F111" s="272">
        <f t="shared" si="63"/>
        <v>10.602814291505002</v>
      </c>
      <c r="G111" s="272">
        <f t="shared" si="64"/>
        <v>11.007787980936889</v>
      </c>
      <c r="H111" s="271">
        <f t="shared" si="60"/>
        <v>1.3376352530541014</v>
      </c>
    </row>
    <row r="112" spans="1:8" ht="16.5">
      <c r="A112" s="216">
        <v>39814</v>
      </c>
      <c r="B112" s="226">
        <f>geral!I760</f>
        <v>29</v>
      </c>
      <c r="C112" s="211">
        <f t="shared" si="50"/>
        <v>192.30769230769232</v>
      </c>
      <c r="D112" s="212">
        <f t="shared" ref="D112:D117" si="65">100*((B112/B111)-1)</f>
        <v>6.2827225130890119</v>
      </c>
      <c r="E112" s="212">
        <f t="shared" ref="E112:E117" si="66">100*((B112/$B$111)-1)</f>
        <v>6.2827225130890119</v>
      </c>
      <c r="F112" s="272">
        <f t="shared" ref="F112:F117" si="67">100*((B112/B100)-1)</f>
        <v>26.306620209059229</v>
      </c>
      <c r="G112" s="272">
        <f t="shared" ref="G112:G117" si="68">100*(B112/B88-1)</f>
        <v>13.369820172009383</v>
      </c>
      <c r="H112" s="271">
        <f t="shared" si="60"/>
        <v>1.2585632183908046</v>
      </c>
    </row>
    <row r="113" spans="1:8" ht="16.5">
      <c r="A113" s="216">
        <v>39845</v>
      </c>
      <c r="B113" s="226">
        <f>geral!I761</f>
        <v>28</v>
      </c>
      <c r="C113" s="211">
        <f t="shared" si="50"/>
        <v>185.67639257294431</v>
      </c>
      <c r="D113" s="212">
        <f t="shared" si="65"/>
        <v>-3.4482758620689613</v>
      </c>
      <c r="E113" s="212">
        <f t="shared" si="66"/>
        <v>2.6178010471204161</v>
      </c>
      <c r="F113" s="272">
        <f t="shared" si="67"/>
        <v>8.0385852090032017</v>
      </c>
      <c r="G113" s="272">
        <f t="shared" si="68"/>
        <v>9.8039215686274606</v>
      </c>
      <c r="H113" s="271">
        <f t="shared" si="60"/>
        <v>1.3035119047619048</v>
      </c>
    </row>
    <row r="114" spans="1:8" ht="16.5">
      <c r="A114" s="216">
        <v>39873</v>
      </c>
      <c r="B114" s="226">
        <f>geral!I762</f>
        <v>28.4</v>
      </c>
      <c r="C114" s="211">
        <f t="shared" si="50"/>
        <v>188.32891246684349</v>
      </c>
      <c r="D114" s="212">
        <f t="shared" si="65"/>
        <v>1.4285714285714235</v>
      </c>
      <c r="E114" s="212">
        <f t="shared" si="66"/>
        <v>4.0837696335078499</v>
      </c>
      <c r="F114" s="272">
        <f t="shared" si="67"/>
        <v>9.2307692307692193</v>
      </c>
      <c r="G114" s="272">
        <f t="shared" si="68"/>
        <v>11.372549019607847</v>
      </c>
      <c r="H114" s="271">
        <f t="shared" si="60"/>
        <v>1.2851525821596246</v>
      </c>
    </row>
    <row r="115" spans="1:8" ht="16.5">
      <c r="A115" s="216">
        <v>39904</v>
      </c>
      <c r="B115" s="226">
        <f>geral!I763</f>
        <v>28.67</v>
      </c>
      <c r="C115" s="211">
        <f t="shared" si="50"/>
        <v>190.11936339522546</v>
      </c>
      <c r="D115" s="212">
        <f t="shared" si="65"/>
        <v>0.95070422535212806</v>
      </c>
      <c r="E115" s="212">
        <f t="shared" si="66"/>
        <v>5.0732984293193839</v>
      </c>
      <c r="F115" s="272">
        <f t="shared" si="67"/>
        <v>14.288154897494287</v>
      </c>
      <c r="G115" s="272">
        <f t="shared" si="68"/>
        <v>11.167119038386986</v>
      </c>
      <c r="H115" s="271">
        <f t="shared" si="60"/>
        <v>1.2730496453900708</v>
      </c>
    </row>
    <row r="116" spans="1:8" ht="16.5">
      <c r="A116" s="216">
        <v>39934</v>
      </c>
      <c r="B116" s="226">
        <f>geral!I764</f>
        <v>28</v>
      </c>
      <c r="C116" s="211">
        <f t="shared" si="50"/>
        <v>185.67639257294431</v>
      </c>
      <c r="D116" s="212">
        <f t="shared" si="65"/>
        <v>-2.3369375653993774</v>
      </c>
      <c r="E116" s="212">
        <f t="shared" si="66"/>
        <v>2.6178010471204161</v>
      </c>
      <c r="F116" s="272">
        <f t="shared" si="67"/>
        <v>9.717868338557988</v>
      </c>
      <c r="G116" s="272">
        <f t="shared" si="68"/>
        <v>12.000000000000011</v>
      </c>
      <c r="H116" s="271">
        <f t="shared" si="60"/>
        <v>1.3035119047619048</v>
      </c>
    </row>
    <row r="117" spans="1:8" ht="16.5">
      <c r="A117" s="216">
        <v>39965</v>
      </c>
      <c r="B117" s="226">
        <f>geral!I765</f>
        <v>28.12857142857143</v>
      </c>
      <c r="C117" s="211">
        <f t="shared" si="50"/>
        <v>186.52898825312619</v>
      </c>
      <c r="D117" s="212">
        <f t="shared" si="65"/>
        <v>0.45918367346939881</v>
      </c>
      <c r="E117" s="212">
        <f t="shared" si="66"/>
        <v>3.0890052356020936</v>
      </c>
      <c r="F117" s="272">
        <f t="shared" si="67"/>
        <v>3.7954665260938381</v>
      </c>
      <c r="G117" s="272">
        <f t="shared" si="68"/>
        <v>7.8904109589041038</v>
      </c>
      <c r="H117" s="271">
        <f t="shared" si="60"/>
        <v>1.2975537497883867</v>
      </c>
    </row>
    <row r="118" spans="1:8" ht="16.5">
      <c r="A118" s="216">
        <v>39995</v>
      </c>
      <c r="B118" s="226">
        <f>geral!I766</f>
        <v>28</v>
      </c>
      <c r="C118" s="211">
        <f t="shared" si="50"/>
        <v>185.67639257294431</v>
      </c>
      <c r="D118" s="212">
        <f t="shared" ref="D118:D123" si="69">100*((B118/B117)-1)</f>
        <v>-0.45708481462671813</v>
      </c>
      <c r="E118" s="212">
        <f t="shared" ref="E118:E123" si="70">100*((B118/$B$111)-1)</f>
        <v>2.6178010471204161</v>
      </c>
      <c r="F118" s="272">
        <f t="shared" ref="F118:F123" si="71">100*((B118/B106)-1)</f>
        <v>7.4561403508772051</v>
      </c>
      <c r="G118" s="272">
        <f t="shared" ref="G118:G123" si="72">100*(B118/B94-1)</f>
        <v>35.593220338983066</v>
      </c>
      <c r="H118" s="271">
        <f t="shared" si="60"/>
        <v>1.3035119047619048</v>
      </c>
    </row>
    <row r="119" spans="1:8" ht="16.5">
      <c r="A119" s="216">
        <v>40026</v>
      </c>
      <c r="B119" s="226">
        <f>geral!I767</f>
        <v>28.3</v>
      </c>
      <c r="C119" s="211">
        <f t="shared" si="50"/>
        <v>187.66578249336871</v>
      </c>
      <c r="D119" s="212">
        <f t="shared" si="69"/>
        <v>1.0714285714285676</v>
      </c>
      <c r="E119" s="212">
        <f t="shared" si="70"/>
        <v>3.717277486910997</v>
      </c>
      <c r="F119" s="272">
        <f t="shared" si="71"/>
        <v>3.8259958071278799</v>
      </c>
      <c r="G119" s="272">
        <f t="shared" si="72"/>
        <v>17.916666666666671</v>
      </c>
      <c r="H119" s="271">
        <f t="shared" si="60"/>
        <v>1.2896937573616019</v>
      </c>
    </row>
    <row r="120" spans="1:8" ht="16.5">
      <c r="A120" s="216">
        <v>40057</v>
      </c>
      <c r="B120" s="226">
        <f>geral!I768</f>
        <v>28.3</v>
      </c>
      <c r="C120" s="211">
        <f t="shared" si="50"/>
        <v>187.66578249336871</v>
      </c>
      <c r="D120" s="212">
        <f t="shared" si="69"/>
        <v>0</v>
      </c>
      <c r="E120" s="212">
        <f t="shared" si="70"/>
        <v>3.717277486910997</v>
      </c>
      <c r="F120" s="272">
        <f t="shared" si="71"/>
        <v>-9.2366901860166717</v>
      </c>
      <c r="G120" s="272">
        <f t="shared" si="72"/>
        <v>12.749003984063734</v>
      </c>
      <c r="H120" s="271">
        <f t="shared" si="60"/>
        <v>1.2896937573616019</v>
      </c>
    </row>
    <row r="121" spans="1:8" ht="16.5">
      <c r="A121" s="216">
        <v>40087</v>
      </c>
      <c r="B121" s="226">
        <f>geral!I769</f>
        <v>28.87</v>
      </c>
      <c r="C121" s="211">
        <f t="shared" si="50"/>
        <v>191.44562334217505</v>
      </c>
      <c r="D121" s="212">
        <f t="shared" si="69"/>
        <v>2.0141342756183844</v>
      </c>
      <c r="E121" s="212">
        <f t="shared" si="70"/>
        <v>5.8062827225130897</v>
      </c>
      <c r="F121" s="272">
        <f t="shared" si="71"/>
        <v>4.7098445595854965</v>
      </c>
      <c r="G121" s="272">
        <f t="shared" si="72"/>
        <v>19.227138643067843</v>
      </c>
      <c r="H121" s="271">
        <f t="shared" si="60"/>
        <v>1.2642304583766308</v>
      </c>
    </row>
    <row r="122" spans="1:8" ht="16.5">
      <c r="A122" s="216">
        <v>40118</v>
      </c>
      <c r="B122" s="226">
        <f>geral!I770</f>
        <v>29</v>
      </c>
      <c r="C122" s="211">
        <f t="shared" si="50"/>
        <v>192.30769230769232</v>
      </c>
      <c r="D122" s="212">
        <f t="shared" si="69"/>
        <v>0.45029442327675362</v>
      </c>
      <c r="E122" s="212">
        <f t="shared" si="70"/>
        <v>6.2827225130890119</v>
      </c>
      <c r="F122" s="272">
        <f t="shared" si="71"/>
        <v>0</v>
      </c>
      <c r="G122" s="272">
        <f t="shared" si="72"/>
        <v>17.40890688259109</v>
      </c>
      <c r="H122" s="271">
        <f t="shared" si="60"/>
        <v>1.2585632183908046</v>
      </c>
    </row>
    <row r="123" spans="1:8" ht="16.5">
      <c r="A123" s="216">
        <v>40148</v>
      </c>
      <c r="B123" s="226">
        <f>geral!I771</f>
        <v>29</v>
      </c>
      <c r="C123" s="211">
        <f t="shared" si="50"/>
        <v>192.30769230769232</v>
      </c>
      <c r="D123" s="212">
        <f t="shared" si="69"/>
        <v>0</v>
      </c>
      <c r="E123" s="212">
        <f t="shared" si="70"/>
        <v>6.2827225130890119</v>
      </c>
      <c r="F123" s="272">
        <f t="shared" si="71"/>
        <v>6.2827225130890119</v>
      </c>
      <c r="G123" s="272">
        <f t="shared" si="72"/>
        <v>17.551682205107412</v>
      </c>
      <c r="H123" s="271">
        <f t="shared" si="60"/>
        <v>1.2585632183908046</v>
      </c>
    </row>
    <row r="124" spans="1:8" ht="16.5">
      <c r="A124" s="216">
        <v>40179</v>
      </c>
      <c r="B124" s="226">
        <f>geral!K760</f>
        <v>29</v>
      </c>
      <c r="C124" s="211">
        <f t="shared" si="50"/>
        <v>192.30769230769232</v>
      </c>
      <c r="D124" s="212">
        <f t="shared" ref="D124:D129" si="73">100*((B124/B123)-1)</f>
        <v>0</v>
      </c>
      <c r="E124" s="212">
        <f t="shared" ref="E124:E129" si="74">100*((B124/$B$123)-1)</f>
        <v>0</v>
      </c>
      <c r="F124" s="272">
        <f t="shared" ref="F124:F129" si="75">100*((B124/B112)-1)</f>
        <v>0</v>
      </c>
      <c r="G124" s="272">
        <f t="shared" ref="G124:G129" si="76">100*(B124/B100-1)</f>
        <v>26.306620209059229</v>
      </c>
      <c r="H124" s="271">
        <f t="shared" si="60"/>
        <v>1.2585632183908046</v>
      </c>
    </row>
    <row r="125" spans="1:8" ht="16.5">
      <c r="A125" s="216">
        <v>40210</v>
      </c>
      <c r="B125" s="226">
        <f>geral!K761</f>
        <v>29</v>
      </c>
      <c r="C125" s="211">
        <f t="shared" si="50"/>
        <v>192.30769230769232</v>
      </c>
      <c r="D125" s="212">
        <f t="shared" si="73"/>
        <v>0</v>
      </c>
      <c r="E125" s="212">
        <f t="shared" si="74"/>
        <v>0</v>
      </c>
      <c r="F125" s="272">
        <f t="shared" si="75"/>
        <v>3.5714285714285809</v>
      </c>
      <c r="G125" s="272">
        <f t="shared" si="76"/>
        <v>11.897106109324751</v>
      </c>
      <c r="H125" s="271">
        <f t="shared" si="60"/>
        <v>1.2585632183908046</v>
      </c>
    </row>
    <row r="126" spans="1:8" ht="16.5">
      <c r="A126" s="216">
        <v>40238</v>
      </c>
      <c r="B126" s="226">
        <f>geral!K762</f>
        <v>29</v>
      </c>
      <c r="C126" s="211">
        <f t="shared" si="50"/>
        <v>192.30769230769232</v>
      </c>
      <c r="D126" s="212">
        <f t="shared" si="73"/>
        <v>0</v>
      </c>
      <c r="E126" s="212">
        <f t="shared" si="74"/>
        <v>0</v>
      </c>
      <c r="F126" s="272">
        <f t="shared" si="75"/>
        <v>2.1126760563380254</v>
      </c>
      <c r="G126" s="272">
        <f t="shared" si="76"/>
        <v>11.538461538461542</v>
      </c>
      <c r="H126" s="271">
        <f t="shared" si="60"/>
        <v>1.2585632183908046</v>
      </c>
    </row>
    <row r="127" spans="1:8" ht="16.5">
      <c r="A127" s="216">
        <v>40269</v>
      </c>
      <c r="B127" s="226">
        <f>geral!K763</f>
        <v>30</v>
      </c>
      <c r="C127" s="211">
        <f t="shared" si="50"/>
        <v>198.9389920424403</v>
      </c>
      <c r="D127" s="212">
        <f t="shared" si="73"/>
        <v>3.4482758620689724</v>
      </c>
      <c r="E127" s="212">
        <f t="shared" si="74"/>
        <v>3.4482758620689724</v>
      </c>
      <c r="F127" s="272">
        <f t="shared" si="75"/>
        <v>4.6389954656435251</v>
      </c>
      <c r="G127" s="272">
        <f t="shared" si="76"/>
        <v>19.589977220956701</v>
      </c>
      <c r="H127" s="271">
        <f t="shared" si="60"/>
        <v>1.2166111111111111</v>
      </c>
    </row>
    <row r="128" spans="1:8" ht="16.5">
      <c r="A128" s="216">
        <v>40299</v>
      </c>
      <c r="B128" s="226">
        <f>geral!K764</f>
        <v>32.5</v>
      </c>
      <c r="C128" s="211">
        <f t="shared" si="50"/>
        <v>215.51724137931035</v>
      </c>
      <c r="D128" s="212">
        <f t="shared" si="73"/>
        <v>8.333333333333325</v>
      </c>
      <c r="E128" s="212">
        <f t="shared" si="74"/>
        <v>12.06896551724137</v>
      </c>
      <c r="F128" s="272">
        <f t="shared" si="75"/>
        <v>16.07142857142858</v>
      </c>
      <c r="G128" s="272">
        <f t="shared" si="76"/>
        <v>27.351097178683382</v>
      </c>
      <c r="H128" s="271">
        <f t="shared" si="60"/>
        <v>1.1230256410256412</v>
      </c>
    </row>
    <row r="129" spans="1:8" ht="16.5">
      <c r="A129" s="216">
        <v>40330</v>
      </c>
      <c r="B129" s="226">
        <f>geral!K765</f>
        <v>31.25</v>
      </c>
      <c r="C129" s="211">
        <f t="shared" si="50"/>
        <v>207.22811671087533</v>
      </c>
      <c r="D129" s="212">
        <f t="shared" si="73"/>
        <v>-3.8461538461538436</v>
      </c>
      <c r="E129" s="212">
        <f t="shared" si="74"/>
        <v>7.7586206896551824</v>
      </c>
      <c r="F129" s="272">
        <f t="shared" si="75"/>
        <v>11.097003555104102</v>
      </c>
      <c r="G129" s="272">
        <f t="shared" si="76"/>
        <v>15.313653136531368</v>
      </c>
      <c r="H129" s="271">
        <f t="shared" si="60"/>
        <v>1.1679466666666667</v>
      </c>
    </row>
    <row r="130" spans="1:8" ht="16.5">
      <c r="A130" s="216">
        <v>40360</v>
      </c>
      <c r="B130" s="226">
        <f>geral!K766</f>
        <v>29.21</v>
      </c>
      <c r="C130" s="211">
        <f t="shared" si="50"/>
        <v>193.70026525198938</v>
      </c>
      <c r="D130" s="212">
        <f t="shared" ref="D130:D135" si="77">100*((B130/B129)-1)</f>
        <v>-6.5280000000000005</v>
      </c>
      <c r="E130" s="212">
        <f t="shared" ref="E130:E135" si="78">100*((B130/$B$123)-1)</f>
        <v>0.72413793103449642</v>
      </c>
      <c r="F130" s="272">
        <f t="shared" ref="F130:F135" si="79">100*((B130/B118)-1)</f>
        <v>4.321428571428565</v>
      </c>
      <c r="G130" s="272">
        <f t="shared" ref="G130:G135" si="80">100*(B130/B106-1)</f>
        <v>12.099780701754415</v>
      </c>
      <c r="H130" s="271">
        <f t="shared" si="60"/>
        <v>1.2495150062763893</v>
      </c>
    </row>
    <row r="131" spans="1:8" ht="16.5">
      <c r="A131" s="216">
        <v>40391</v>
      </c>
      <c r="B131" s="226">
        <f>geral!K767</f>
        <v>29.21</v>
      </c>
      <c r="C131" s="211">
        <f t="shared" si="50"/>
        <v>193.70026525198938</v>
      </c>
      <c r="D131" s="212">
        <f t="shared" si="77"/>
        <v>0</v>
      </c>
      <c r="E131" s="212">
        <f t="shared" si="78"/>
        <v>0.72413793103449642</v>
      </c>
      <c r="F131" s="272">
        <f t="shared" si="79"/>
        <v>3.2155477031802215</v>
      </c>
      <c r="G131" s="272">
        <f t="shared" si="80"/>
        <v>7.1645702306079695</v>
      </c>
      <c r="H131" s="271">
        <f t="shared" si="60"/>
        <v>1.2495150062763893</v>
      </c>
    </row>
    <row r="132" spans="1:8" ht="16.5">
      <c r="A132" s="216">
        <v>40422</v>
      </c>
      <c r="B132" s="226">
        <f>geral!K768</f>
        <v>31.157499999999999</v>
      </c>
      <c r="C132" s="211">
        <f t="shared" si="50"/>
        <v>206.61472148541114</v>
      </c>
      <c r="D132" s="212">
        <f t="shared" si="77"/>
        <v>6.6672372475179653</v>
      </c>
      <c r="E132" s="212">
        <f t="shared" si="78"/>
        <v>7.4396551724137838</v>
      </c>
      <c r="F132" s="272">
        <f t="shared" si="79"/>
        <v>10.097173144876326</v>
      </c>
      <c r="G132" s="272">
        <f t="shared" si="80"/>
        <v>-7.2161642078261146E-2</v>
      </c>
      <c r="H132" s="271">
        <f t="shared" si="60"/>
        <v>1.1714140522613603</v>
      </c>
    </row>
    <row r="133" spans="1:8" ht="16.5">
      <c r="A133" s="216">
        <v>40452</v>
      </c>
      <c r="B133" s="226">
        <f>geral!K769</f>
        <v>28.876666666666665</v>
      </c>
      <c r="C133" s="211">
        <f t="shared" si="50"/>
        <v>191.48983200707337</v>
      </c>
      <c r="D133" s="212">
        <f t="shared" si="77"/>
        <v>-7.3203348578458893</v>
      </c>
      <c r="E133" s="212">
        <f t="shared" si="78"/>
        <v>-0.42528735632184622</v>
      </c>
      <c r="F133" s="272">
        <f t="shared" si="79"/>
        <v>2.3092021706494492E-2</v>
      </c>
      <c r="G133" s="272">
        <f t="shared" si="80"/>
        <v>4.7340241796200333</v>
      </c>
      <c r="H133" s="271">
        <f t="shared" si="60"/>
        <v>1.2639385894032091</v>
      </c>
    </row>
    <row r="134" spans="1:8" ht="17.25" customHeight="1">
      <c r="A134" s="216">
        <v>40483</v>
      </c>
      <c r="B134" s="226">
        <f>geral!K770</f>
        <v>32.775999999999996</v>
      </c>
      <c r="C134" s="211">
        <f t="shared" si="50"/>
        <v>217.34748010610076</v>
      </c>
      <c r="D134" s="212">
        <f t="shared" si="77"/>
        <v>13.503405286852121</v>
      </c>
      <c r="E134" s="212">
        <f t="shared" si="78"/>
        <v>13.020689655172401</v>
      </c>
      <c r="F134" s="272">
        <f t="shared" si="79"/>
        <v>13.020689655172401</v>
      </c>
      <c r="G134" s="272">
        <f t="shared" si="80"/>
        <v>13.020689655172401</v>
      </c>
      <c r="H134" s="271">
        <f t="shared" si="60"/>
        <v>1.1135688715320156</v>
      </c>
    </row>
    <row r="135" spans="1:8" ht="16.5">
      <c r="A135" s="216">
        <v>40513</v>
      </c>
      <c r="B135" s="226">
        <f>geral!K771</f>
        <v>32.158333333333331</v>
      </c>
      <c r="C135" s="211">
        <f t="shared" si="50"/>
        <v>213.25154730327142</v>
      </c>
      <c r="D135" s="212">
        <f t="shared" si="77"/>
        <v>-1.8845089903181123</v>
      </c>
      <c r="E135" s="212">
        <f t="shared" si="78"/>
        <v>10.890804597701154</v>
      </c>
      <c r="F135" s="272">
        <f t="shared" si="79"/>
        <v>10.890804597701154</v>
      </c>
      <c r="G135" s="272">
        <f t="shared" si="80"/>
        <v>17.857766143106456</v>
      </c>
      <c r="H135" s="271">
        <f t="shared" ref="H135:H163" si="81">+$B$171/B135</f>
        <v>1.134957242809018</v>
      </c>
    </row>
    <row r="136" spans="1:8" ht="16.5">
      <c r="A136" s="216">
        <v>40544</v>
      </c>
      <c r="B136" s="226">
        <f>geral!M760</f>
        <v>32.491666666666667</v>
      </c>
      <c r="C136" s="211">
        <f t="shared" si="50"/>
        <v>215.46198054818743</v>
      </c>
      <c r="D136" s="212">
        <f t="shared" ref="D136:D141" si="82">100*((B136/B135)-1)</f>
        <v>1.0365379632029104</v>
      </c>
      <c r="E136" s="212">
        <f t="shared" ref="E136:E141" si="83">100*((B136/$B$135)-1)</f>
        <v>1.0365379632029104</v>
      </c>
      <c r="F136" s="272">
        <f t="shared" ref="F136:F141" si="84">100*((B136/B124)-1)</f>
        <v>12.040229885057464</v>
      </c>
      <c r="G136" s="272">
        <f t="shared" ref="G136:G141" si="85">100*(B136/B112-1)</f>
        <v>12.040229885057464</v>
      </c>
      <c r="H136" s="271">
        <f t="shared" si="81"/>
        <v>1.1233136701718389</v>
      </c>
    </row>
    <row r="137" spans="1:8" ht="16.5">
      <c r="A137" s="216">
        <v>40575</v>
      </c>
      <c r="B137" s="226">
        <f>geral!M761</f>
        <v>38.487499999999997</v>
      </c>
      <c r="C137" s="211">
        <f t="shared" si="50"/>
        <v>255.22214854111402</v>
      </c>
      <c r="D137" s="212">
        <f t="shared" si="82"/>
        <v>18.453449602462157</v>
      </c>
      <c r="E137" s="212">
        <f t="shared" si="83"/>
        <v>19.681264576315115</v>
      </c>
      <c r="F137" s="272">
        <f t="shared" si="84"/>
        <v>32.71551724137931</v>
      </c>
      <c r="G137" s="272">
        <f t="shared" si="85"/>
        <v>37.455357142857125</v>
      </c>
      <c r="H137" s="271">
        <f t="shared" si="81"/>
        <v>0.94831655299339623</v>
      </c>
    </row>
    <row r="138" spans="1:8" ht="16.5">
      <c r="A138" s="216">
        <v>40603</v>
      </c>
      <c r="B138" s="226">
        <f>geral!M762</f>
        <v>38.487499999999997</v>
      </c>
      <c r="C138" s="211">
        <f t="shared" si="50"/>
        <v>255.22214854111402</v>
      </c>
      <c r="D138" s="212">
        <f t="shared" si="82"/>
        <v>0</v>
      </c>
      <c r="E138" s="212">
        <f t="shared" si="83"/>
        <v>19.681264576315115</v>
      </c>
      <c r="F138" s="272">
        <f t="shared" si="84"/>
        <v>32.71551724137931</v>
      </c>
      <c r="G138" s="272">
        <f t="shared" si="85"/>
        <v>35.519366197183103</v>
      </c>
      <c r="H138" s="271">
        <f t="shared" si="81"/>
        <v>0.94831655299339623</v>
      </c>
    </row>
    <row r="139" spans="1:8" ht="16.5">
      <c r="A139" s="216">
        <v>40634</v>
      </c>
      <c r="B139" s="226">
        <f>geral!M763</f>
        <v>38.487499999999997</v>
      </c>
      <c r="C139" s="211">
        <f t="shared" si="50"/>
        <v>255.22214854111402</v>
      </c>
      <c r="D139" s="212">
        <f t="shared" si="82"/>
        <v>0</v>
      </c>
      <c r="E139" s="212">
        <f t="shared" si="83"/>
        <v>19.681264576315115</v>
      </c>
      <c r="F139" s="272">
        <f t="shared" si="84"/>
        <v>28.29166666666665</v>
      </c>
      <c r="G139" s="272">
        <f t="shared" si="85"/>
        <v>34.24311126613182</v>
      </c>
      <c r="H139" s="271">
        <f t="shared" si="81"/>
        <v>0.94831655299339623</v>
      </c>
    </row>
    <row r="140" spans="1:8" ht="16.5">
      <c r="A140" s="216">
        <v>40664</v>
      </c>
      <c r="B140" s="226">
        <f>geral!M764</f>
        <v>38.130000000000003</v>
      </c>
      <c r="C140" s="211">
        <f t="shared" si="50"/>
        <v>252.85145888594167</v>
      </c>
      <c r="D140" s="212">
        <f t="shared" si="82"/>
        <v>-0.92887301071775674</v>
      </c>
      <c r="E140" s="212">
        <f t="shared" si="83"/>
        <v>18.569577610780019</v>
      </c>
      <c r="F140" s="272">
        <f t="shared" si="84"/>
        <v>17.323076923076929</v>
      </c>
      <c r="G140" s="272">
        <f t="shared" si="85"/>
        <v>36.178571428571438</v>
      </c>
      <c r="H140" s="271">
        <f t="shared" si="81"/>
        <v>0.95720779788443044</v>
      </c>
    </row>
    <row r="141" spans="1:8" ht="16.5">
      <c r="A141" s="216">
        <v>40695</v>
      </c>
      <c r="B141" s="226">
        <f>geral!M765</f>
        <v>41.85</v>
      </c>
      <c r="C141" s="211">
        <f t="shared" si="50"/>
        <v>277.51989389920425</v>
      </c>
      <c r="D141" s="212">
        <f t="shared" si="82"/>
        <v>9.7560975609755971</v>
      </c>
      <c r="E141" s="212">
        <f t="shared" si="83"/>
        <v>30.137341280124396</v>
      </c>
      <c r="F141" s="272">
        <f t="shared" si="84"/>
        <v>33.919999999999995</v>
      </c>
      <c r="G141" s="272">
        <f t="shared" si="85"/>
        <v>48.781107160995418</v>
      </c>
      <c r="H141" s="271">
        <f t="shared" si="81"/>
        <v>0.87212266029470331</v>
      </c>
    </row>
    <row r="142" spans="1:8" ht="16.5">
      <c r="A142" s="216">
        <v>40725</v>
      </c>
      <c r="B142" s="226">
        <f>geral!M766</f>
        <v>41.85</v>
      </c>
      <c r="C142" s="211">
        <f t="shared" si="50"/>
        <v>277.51989389920425</v>
      </c>
      <c r="D142" s="212">
        <f t="shared" ref="D142:D147" si="86">100*((B142/B141)-1)</f>
        <v>0</v>
      </c>
      <c r="E142" s="212">
        <f t="shared" ref="E142:E147" si="87">100*((B142/$B$135)-1)</f>
        <v>30.137341280124396</v>
      </c>
      <c r="F142" s="272">
        <f t="shared" ref="F142:F147" si="88">100*((B142/B130)-1)</f>
        <v>43.272851763094835</v>
      </c>
      <c r="G142" s="272">
        <f t="shared" ref="G142:G147" si="89">100*(B142/B118-1)</f>
        <v>49.464285714285715</v>
      </c>
      <c r="H142" s="271">
        <f t="shared" si="81"/>
        <v>0.87212266029470331</v>
      </c>
    </row>
    <row r="143" spans="1:8" ht="16.5">
      <c r="A143" s="216">
        <v>40756</v>
      </c>
      <c r="B143" s="226">
        <f>geral!M767</f>
        <v>37.305</v>
      </c>
      <c r="C143" s="211">
        <f t="shared" si="50"/>
        <v>247.38063660477454</v>
      </c>
      <c r="D143" s="212">
        <f t="shared" si="86"/>
        <v>-10.860215053763444</v>
      </c>
      <c r="E143" s="212">
        <f t="shared" si="87"/>
        <v>16.004146151852815</v>
      </c>
      <c r="F143" s="272">
        <f t="shared" si="88"/>
        <v>27.713111947963021</v>
      </c>
      <c r="G143" s="272">
        <f t="shared" si="89"/>
        <v>31.819787985865709</v>
      </c>
      <c r="H143" s="271">
        <f t="shared" si="81"/>
        <v>0.97837644641022214</v>
      </c>
    </row>
    <row r="144" spans="1:8" ht="16.5">
      <c r="A144" s="216">
        <v>40787</v>
      </c>
      <c r="B144" s="226">
        <f>geral!M768</f>
        <v>37.305</v>
      </c>
      <c r="C144" s="211">
        <f t="shared" si="50"/>
        <v>247.38063660477454</v>
      </c>
      <c r="D144" s="212">
        <f t="shared" si="86"/>
        <v>0</v>
      </c>
      <c r="E144" s="212">
        <f t="shared" si="87"/>
        <v>16.004146151852815</v>
      </c>
      <c r="F144" s="272">
        <f t="shared" si="88"/>
        <v>19.730401989890069</v>
      </c>
      <c r="G144" s="272">
        <f t="shared" si="89"/>
        <v>31.819787985865709</v>
      </c>
      <c r="H144" s="271">
        <f t="shared" si="81"/>
        <v>0.97837644641022214</v>
      </c>
    </row>
    <row r="145" spans="1:8" ht="16.5">
      <c r="A145" s="216">
        <v>40817</v>
      </c>
      <c r="B145" s="226">
        <f>geral!M769</f>
        <v>37.305</v>
      </c>
      <c r="C145" s="211">
        <f t="shared" si="50"/>
        <v>247.38063660477454</v>
      </c>
      <c r="D145" s="212">
        <f t="shared" si="86"/>
        <v>0</v>
      </c>
      <c r="E145" s="212">
        <f t="shared" si="87"/>
        <v>16.004146151852815</v>
      </c>
      <c r="F145" s="272">
        <f t="shared" si="88"/>
        <v>29.187348493593458</v>
      </c>
      <c r="G145" s="272">
        <f t="shared" si="89"/>
        <v>29.217180464149628</v>
      </c>
      <c r="H145" s="271">
        <f t="shared" si="81"/>
        <v>0.97837644641022214</v>
      </c>
    </row>
    <row r="146" spans="1:8" ht="16.5">
      <c r="A146" s="216">
        <v>40848</v>
      </c>
      <c r="B146" s="226">
        <f>geral!M770</f>
        <v>37.305</v>
      </c>
      <c r="C146" s="211">
        <f t="shared" si="50"/>
        <v>247.38063660477454</v>
      </c>
      <c r="D146" s="212">
        <f t="shared" si="86"/>
        <v>0</v>
      </c>
      <c r="E146" s="212">
        <f t="shared" si="87"/>
        <v>16.004146151852815</v>
      </c>
      <c r="F146" s="272">
        <f t="shared" si="88"/>
        <v>13.818037588479392</v>
      </c>
      <c r="G146" s="272">
        <f t="shared" si="89"/>
        <v>28.637931034482754</v>
      </c>
      <c r="H146" s="271">
        <f t="shared" si="81"/>
        <v>0.97837644641022214</v>
      </c>
    </row>
    <row r="147" spans="1:8" ht="16.5">
      <c r="A147" s="244">
        <v>40878</v>
      </c>
      <c r="B147" s="245">
        <f>geral!M771</f>
        <v>37.305</v>
      </c>
      <c r="C147" s="230">
        <f t="shared" si="50"/>
        <v>247.38063660477454</v>
      </c>
      <c r="D147" s="233">
        <f t="shared" si="86"/>
        <v>0</v>
      </c>
      <c r="E147" s="233">
        <f t="shared" si="87"/>
        <v>16.004146151852815</v>
      </c>
      <c r="F147" s="284">
        <f t="shared" si="88"/>
        <v>16.004146151852815</v>
      </c>
      <c r="G147" s="284">
        <f t="shared" si="89"/>
        <v>28.637931034482754</v>
      </c>
      <c r="H147" s="271">
        <f t="shared" si="81"/>
        <v>0.97837644641022214</v>
      </c>
    </row>
    <row r="148" spans="1:8" ht="16.5">
      <c r="A148" s="244">
        <v>40909</v>
      </c>
      <c r="B148" s="245">
        <f>geral!C775</f>
        <v>37.305</v>
      </c>
      <c r="C148" s="230">
        <f t="shared" ref="C148:C153" si="90">100*B148/$B$7</f>
        <v>247.38063660477454</v>
      </c>
      <c r="D148" s="233">
        <f t="shared" ref="D148:D153" si="91">100*((B148/B147)-1)</f>
        <v>0</v>
      </c>
      <c r="E148" s="233">
        <f t="shared" ref="E148:E153" si="92">100*((B148/$B$147)-1)</f>
        <v>0</v>
      </c>
      <c r="F148" s="284">
        <f t="shared" ref="F148:F153" si="93">100*((B148/B136)-1)</f>
        <v>14.814054885868178</v>
      </c>
      <c r="G148" s="284">
        <f t="shared" ref="G148:G153" si="94">100*(B148/B124-1)</f>
        <v>28.637931034482754</v>
      </c>
      <c r="H148" s="271">
        <f t="shared" si="81"/>
        <v>0.97837644641022214</v>
      </c>
    </row>
    <row r="149" spans="1:8" ht="16.5">
      <c r="A149" s="244">
        <v>40940</v>
      </c>
      <c r="B149" s="245">
        <f>geral!C776</f>
        <v>34.036666666666669</v>
      </c>
      <c r="C149" s="230">
        <f t="shared" si="90"/>
        <v>225.70733863837313</v>
      </c>
      <c r="D149" s="233">
        <f t="shared" si="91"/>
        <v>-8.7611133449492904</v>
      </c>
      <c r="E149" s="233">
        <f t="shared" si="92"/>
        <v>-8.7611133449492904</v>
      </c>
      <c r="F149" s="284">
        <f t="shared" si="93"/>
        <v>-11.564360723178513</v>
      </c>
      <c r="G149" s="284">
        <f t="shared" si="94"/>
        <v>17.367816091954037</v>
      </c>
      <c r="H149" s="271">
        <f t="shared" si="81"/>
        <v>1.0723239643521691</v>
      </c>
    </row>
    <row r="150" spans="1:8" ht="16.5">
      <c r="A150" s="244">
        <v>40969</v>
      </c>
      <c r="B150" s="245">
        <f>geral!C777</f>
        <v>34.036666666666669</v>
      </c>
      <c r="C150" s="230">
        <f t="shared" si="90"/>
        <v>225.70733863837313</v>
      </c>
      <c r="D150" s="233">
        <f t="shared" si="91"/>
        <v>0</v>
      </c>
      <c r="E150" s="233">
        <f t="shared" si="92"/>
        <v>-8.7611133449492904</v>
      </c>
      <c r="F150" s="284">
        <f t="shared" si="93"/>
        <v>-11.564360723178513</v>
      </c>
      <c r="G150" s="284">
        <f t="shared" si="94"/>
        <v>17.367816091954037</v>
      </c>
      <c r="H150" s="285">
        <f t="shared" si="81"/>
        <v>1.0723239643521691</v>
      </c>
    </row>
    <row r="151" spans="1:8" ht="16.5">
      <c r="A151" s="244">
        <v>41000</v>
      </c>
      <c r="B151" s="245">
        <f>geral!C778</f>
        <v>34.036666666666669</v>
      </c>
      <c r="C151" s="230">
        <f t="shared" si="90"/>
        <v>225.70733863837313</v>
      </c>
      <c r="D151" s="233">
        <f t="shared" si="91"/>
        <v>0</v>
      </c>
      <c r="E151" s="233">
        <f t="shared" si="92"/>
        <v>-8.7611133449492904</v>
      </c>
      <c r="F151" s="284">
        <f t="shared" si="93"/>
        <v>-11.564360723178513</v>
      </c>
      <c r="G151" s="284">
        <f t="shared" si="94"/>
        <v>13.455555555555554</v>
      </c>
      <c r="H151" s="285">
        <f t="shared" si="81"/>
        <v>1.0723239643521691</v>
      </c>
    </row>
    <row r="152" spans="1:8" ht="16.5">
      <c r="A152" s="244">
        <v>41030</v>
      </c>
      <c r="B152" s="245">
        <f>geral!C779</f>
        <v>34.186666666666667</v>
      </c>
      <c r="C152" s="230">
        <f t="shared" si="90"/>
        <v>226.70203359858533</v>
      </c>
      <c r="D152" s="233">
        <f t="shared" si="91"/>
        <v>0.44070120458328255</v>
      </c>
      <c r="E152" s="233">
        <f t="shared" si="92"/>
        <v>-8.359022472412093</v>
      </c>
      <c r="F152" s="284">
        <f t="shared" si="93"/>
        <v>-10.341813095550311</v>
      </c>
      <c r="G152" s="284">
        <f t="shared" si="94"/>
        <v>5.1897435897436006</v>
      </c>
      <c r="H152" s="285">
        <f t="shared" si="81"/>
        <v>1.0676189547581902</v>
      </c>
    </row>
    <row r="153" spans="1:8" ht="16.5">
      <c r="A153" s="244">
        <v>41061</v>
      </c>
      <c r="B153" s="245">
        <f>geral!C780</f>
        <v>34.186666666666667</v>
      </c>
      <c r="C153" s="230">
        <f t="shared" si="90"/>
        <v>226.70203359858533</v>
      </c>
      <c r="D153" s="233">
        <f t="shared" si="91"/>
        <v>0</v>
      </c>
      <c r="E153" s="233">
        <f t="shared" si="92"/>
        <v>-8.359022472412093</v>
      </c>
      <c r="F153" s="284">
        <f t="shared" si="93"/>
        <v>-18.311429709279171</v>
      </c>
      <c r="G153" s="284">
        <f t="shared" si="94"/>
        <v>9.3973333333333464</v>
      </c>
      <c r="H153" s="285">
        <f t="shared" si="81"/>
        <v>1.0676189547581902</v>
      </c>
    </row>
    <row r="154" spans="1:8" ht="16.5">
      <c r="A154" s="244">
        <v>41091</v>
      </c>
      <c r="B154" s="245">
        <f>geral!C781</f>
        <v>36.580000000000005</v>
      </c>
      <c r="C154" s="230">
        <f t="shared" ref="C154:C159" si="95">100*B154/$B$7</f>
        <v>242.57294429708224</v>
      </c>
      <c r="D154" s="233">
        <f t="shared" ref="D154:D159" si="96">100*((B154/B153)-1)</f>
        <v>7.0007800312012591</v>
      </c>
      <c r="E154" s="233">
        <f t="shared" ref="E154:E159" si="97">100*((B154/$B$147)-1)</f>
        <v>-1.9434392172630877</v>
      </c>
      <c r="F154" s="284">
        <f t="shared" ref="F154:F159" si="98">100*((B154/B142)-1)</f>
        <v>-12.592592592592577</v>
      </c>
      <c r="G154" s="284">
        <f t="shared" ref="G154:G159" si="99">100*(B154/B130-1)</f>
        <v>25.231085244779194</v>
      </c>
      <c r="H154" s="285">
        <f t="shared" si="81"/>
        <v>0.99776745033716041</v>
      </c>
    </row>
    <row r="155" spans="1:8" ht="16.5">
      <c r="A155" s="244">
        <v>41122</v>
      </c>
      <c r="B155" s="245">
        <f>geral!C782</f>
        <v>37.708333333333336</v>
      </c>
      <c r="C155" s="230">
        <f t="shared" si="95"/>
        <v>250.05526083112292</v>
      </c>
      <c r="D155" s="233">
        <f t="shared" si="96"/>
        <v>3.084563513759786</v>
      </c>
      <c r="E155" s="233">
        <f t="shared" si="97"/>
        <v>1.0811776794888983</v>
      </c>
      <c r="F155" s="284">
        <f t="shared" si="98"/>
        <v>1.0811776794888983</v>
      </c>
      <c r="G155" s="284">
        <f t="shared" si="99"/>
        <v>29.093917608125075</v>
      </c>
      <c r="H155" s="285">
        <f t="shared" si="81"/>
        <v>0.96791160220994477</v>
      </c>
    </row>
    <row r="156" spans="1:8" ht="16.5">
      <c r="A156" s="244">
        <v>41153</v>
      </c>
      <c r="B156" s="245">
        <f>geral!C783</f>
        <v>37.708333333333336</v>
      </c>
      <c r="C156" s="230">
        <f t="shared" si="95"/>
        <v>250.05526083112292</v>
      </c>
      <c r="D156" s="233">
        <f t="shared" si="96"/>
        <v>0</v>
      </c>
      <c r="E156" s="233">
        <f t="shared" si="97"/>
        <v>1.0811776794888983</v>
      </c>
      <c r="F156" s="284">
        <f t="shared" si="98"/>
        <v>1.0811776794888983</v>
      </c>
      <c r="G156" s="284">
        <f t="shared" si="99"/>
        <v>21.024900371767117</v>
      </c>
      <c r="H156" s="285">
        <f t="shared" si="81"/>
        <v>0.96791160220994477</v>
      </c>
    </row>
    <row r="157" spans="1:8" ht="16.5">
      <c r="A157" s="244">
        <v>41183</v>
      </c>
      <c r="B157" s="245">
        <f>geral!C784</f>
        <v>37.143333333333338</v>
      </c>
      <c r="C157" s="230">
        <f t="shared" si="95"/>
        <v>246.30857648099033</v>
      </c>
      <c r="D157" s="233">
        <f t="shared" si="96"/>
        <v>-1.4983425414364593</v>
      </c>
      <c r="E157" s="233">
        <f t="shared" si="97"/>
        <v>-0.43336460706785429</v>
      </c>
      <c r="F157" s="284">
        <f t="shared" si="98"/>
        <v>-0.43336460706785429</v>
      </c>
      <c r="G157" s="284">
        <f t="shared" si="99"/>
        <v>28.627496248412811</v>
      </c>
      <c r="H157" s="285">
        <f t="shared" si="81"/>
        <v>0.98263483801489715</v>
      </c>
    </row>
    <row r="158" spans="1:8" ht="16.5">
      <c r="A158" s="244">
        <v>41214</v>
      </c>
      <c r="B158" s="245">
        <f>geral!C785</f>
        <v>37.143333333333338</v>
      </c>
      <c r="C158" s="230">
        <f t="shared" si="95"/>
        <v>246.30857648099033</v>
      </c>
      <c r="D158" s="233">
        <f t="shared" si="96"/>
        <v>0</v>
      </c>
      <c r="E158" s="233">
        <f t="shared" si="97"/>
        <v>-0.43336460706785429</v>
      </c>
      <c r="F158" s="284">
        <f t="shared" si="98"/>
        <v>-0.43336460706785429</v>
      </c>
      <c r="G158" s="284">
        <f t="shared" si="99"/>
        <v>13.324790497111728</v>
      </c>
      <c r="H158" s="285">
        <f t="shared" si="81"/>
        <v>0.98263483801489715</v>
      </c>
    </row>
    <row r="159" spans="1:8" ht="16.5">
      <c r="A159" s="244">
        <v>41244</v>
      </c>
      <c r="B159" s="245">
        <f>geral!C786</f>
        <v>37.381666666666668</v>
      </c>
      <c r="C159" s="230">
        <f t="shared" si="95"/>
        <v>247.88903625110524</v>
      </c>
      <c r="D159" s="233">
        <f t="shared" si="96"/>
        <v>0.64165844027639363</v>
      </c>
      <c r="E159" s="233">
        <f t="shared" si="97"/>
        <v>0.20551311263012906</v>
      </c>
      <c r="F159" s="284">
        <f t="shared" si="98"/>
        <v>0.20551311263012906</v>
      </c>
      <c r="G159" s="284">
        <f t="shared" si="99"/>
        <v>16.24254988338949</v>
      </c>
      <c r="H159" s="285">
        <f t="shared" si="81"/>
        <v>0.97636987828258059</v>
      </c>
    </row>
    <row r="160" spans="1:8" ht="16.5">
      <c r="A160" s="244">
        <v>41275</v>
      </c>
      <c r="B160" s="245">
        <f>geral!E775</f>
        <v>37.381666666666668</v>
      </c>
      <c r="C160" s="230">
        <f t="shared" ref="C160:C165" si="100">100*B160/$B$7</f>
        <v>247.88903625110524</v>
      </c>
      <c r="D160" s="233">
        <f t="shared" ref="D160:D165" si="101">100*((B160/B159)-1)</f>
        <v>0</v>
      </c>
      <c r="E160" s="233">
        <f t="shared" ref="E160:E165" si="102">100*((B160/$B$159)-1)</f>
        <v>0</v>
      </c>
      <c r="F160" s="284">
        <f t="shared" ref="F160:F165" si="103">100*((B160/B148)-1)</f>
        <v>0.20551311263012906</v>
      </c>
      <c r="G160" s="284">
        <f t="shared" ref="G160:G165" si="104">100*(B160/B136-1)</f>
        <v>15.050012823800984</v>
      </c>
      <c r="H160" s="285">
        <f t="shared" si="81"/>
        <v>0.97636987828258059</v>
      </c>
    </row>
    <row r="161" spans="1:8" ht="16.5">
      <c r="A161" s="244">
        <v>41306</v>
      </c>
      <c r="B161" s="245">
        <f>geral!E776</f>
        <v>37.381666666666668</v>
      </c>
      <c r="C161" s="230">
        <f t="shared" si="100"/>
        <v>247.88903625110524</v>
      </c>
      <c r="D161" s="233">
        <f t="shared" si="101"/>
        <v>0</v>
      </c>
      <c r="E161" s="233">
        <f t="shared" si="102"/>
        <v>0</v>
      </c>
      <c r="F161" s="284">
        <f t="shared" si="103"/>
        <v>9.8276368622074237</v>
      </c>
      <c r="G161" s="284">
        <f t="shared" si="104"/>
        <v>-2.8732272382808177</v>
      </c>
      <c r="H161" s="285">
        <f t="shared" si="81"/>
        <v>0.97636987828258059</v>
      </c>
    </row>
    <row r="162" spans="1:8" ht="16.5">
      <c r="A162" s="244">
        <v>41334</v>
      </c>
      <c r="B162" s="245">
        <f>geral!E777</f>
        <v>37.381666666666668</v>
      </c>
      <c r="C162" s="230">
        <f t="shared" si="100"/>
        <v>247.88903625110524</v>
      </c>
      <c r="D162" s="233">
        <f t="shared" si="101"/>
        <v>0</v>
      </c>
      <c r="E162" s="233">
        <f t="shared" si="102"/>
        <v>0</v>
      </c>
      <c r="F162" s="284">
        <f t="shared" si="103"/>
        <v>9.8276368622074237</v>
      </c>
      <c r="G162" s="284">
        <f t="shared" si="104"/>
        <v>-2.8732272382808177</v>
      </c>
      <c r="H162" s="285">
        <f t="shared" si="81"/>
        <v>0.97636987828258059</v>
      </c>
    </row>
    <row r="163" spans="1:8" ht="16.5">
      <c r="A163" s="244">
        <v>41365</v>
      </c>
      <c r="B163" s="245">
        <f>geral!E778</f>
        <v>37.381666666666668</v>
      </c>
      <c r="C163" s="230">
        <f t="shared" si="100"/>
        <v>247.88903625110524</v>
      </c>
      <c r="D163" s="233">
        <f t="shared" si="101"/>
        <v>0</v>
      </c>
      <c r="E163" s="233">
        <f t="shared" si="102"/>
        <v>0</v>
      </c>
      <c r="F163" s="284">
        <f t="shared" si="103"/>
        <v>9.8276368622074237</v>
      </c>
      <c r="G163" s="284">
        <f t="shared" si="104"/>
        <v>-2.8732272382808177</v>
      </c>
      <c r="H163" s="285">
        <f t="shared" si="81"/>
        <v>0.97636987828258059</v>
      </c>
    </row>
    <row r="164" spans="1:8" ht="16.5">
      <c r="A164" s="244">
        <v>41395</v>
      </c>
      <c r="B164" s="245">
        <f>geral!E779</f>
        <v>37.381666666666668</v>
      </c>
      <c r="C164" s="230">
        <f t="shared" si="100"/>
        <v>247.88903625110524</v>
      </c>
      <c r="D164" s="233">
        <f t="shared" si="101"/>
        <v>0</v>
      </c>
      <c r="E164" s="233">
        <f t="shared" si="102"/>
        <v>0</v>
      </c>
      <c r="F164" s="284">
        <f t="shared" si="103"/>
        <v>9.3457488299532052</v>
      </c>
      <c r="G164" s="284">
        <f t="shared" si="104"/>
        <v>-1.9625841419704582</v>
      </c>
      <c r="H164" s="285">
        <f t="shared" ref="H164:H171" si="105">+$B$171/B164</f>
        <v>0.97636987828258059</v>
      </c>
    </row>
    <row r="165" spans="1:8" ht="16.5">
      <c r="A165" s="244">
        <v>41426</v>
      </c>
      <c r="B165" s="245">
        <f>geral!E780</f>
        <v>37.381666666666668</v>
      </c>
      <c r="C165" s="230">
        <f t="shared" si="100"/>
        <v>247.88903625110524</v>
      </c>
      <c r="D165" s="233">
        <f t="shared" si="101"/>
        <v>0</v>
      </c>
      <c r="E165" s="233">
        <f t="shared" si="102"/>
        <v>0</v>
      </c>
      <c r="F165" s="284">
        <f t="shared" si="103"/>
        <v>9.3457488299532052</v>
      </c>
      <c r="G165" s="284">
        <f t="shared" si="104"/>
        <v>-10.677021107128637</v>
      </c>
      <c r="H165" s="285">
        <f t="shared" si="105"/>
        <v>0.97636987828258059</v>
      </c>
    </row>
    <row r="166" spans="1:8" ht="16.5">
      <c r="A166" s="244">
        <v>41456</v>
      </c>
      <c r="B166" s="245">
        <f>geral!E781</f>
        <v>37.831666666666671</v>
      </c>
      <c r="C166" s="230">
        <f t="shared" ref="C166:C171" si="106">100*B166/$B$7</f>
        <v>250.87312113174184</v>
      </c>
      <c r="D166" s="233">
        <f t="shared" ref="D166:D171" si="107">100*((B166/B165)-1)</f>
        <v>1.2037986535289313</v>
      </c>
      <c r="E166" s="233">
        <f t="shared" ref="E166:E171" si="108">100*((B166/$B$159)-1)</f>
        <v>1.2037986535289313</v>
      </c>
      <c r="F166" s="284">
        <f t="shared" ref="F166:F171" si="109">100*((B166/B154)-1)</f>
        <v>3.421724075086563</v>
      </c>
      <c r="G166" s="284">
        <f t="shared" ref="G166:G171" si="110">100*(B166/B142-1)</f>
        <v>-9.6017522899243257</v>
      </c>
      <c r="H166" s="285">
        <f t="shared" si="105"/>
        <v>0.96475615665888359</v>
      </c>
    </row>
    <row r="167" spans="1:8" ht="16.5">
      <c r="A167" s="244">
        <v>41487</v>
      </c>
      <c r="B167" s="245">
        <f>geral!E782</f>
        <v>37.831666666666671</v>
      </c>
      <c r="C167" s="230">
        <f t="shared" si="106"/>
        <v>250.87312113174184</v>
      </c>
      <c r="D167" s="233">
        <f t="shared" si="107"/>
        <v>0</v>
      </c>
      <c r="E167" s="233">
        <f t="shared" si="108"/>
        <v>1.2037986535289313</v>
      </c>
      <c r="F167" s="284">
        <f t="shared" si="109"/>
        <v>0.32707182320441675</v>
      </c>
      <c r="G167" s="284">
        <f t="shared" si="110"/>
        <v>1.4117857302417214</v>
      </c>
      <c r="H167" s="285">
        <f t="shared" si="105"/>
        <v>0.96475615665888359</v>
      </c>
    </row>
    <row r="168" spans="1:8" ht="16.5">
      <c r="A168" s="244">
        <v>41518</v>
      </c>
      <c r="B168" s="245">
        <f>geral!E783</f>
        <v>36.498333333333335</v>
      </c>
      <c r="C168" s="230">
        <f t="shared" si="106"/>
        <v>242.03138815207782</v>
      </c>
      <c r="D168" s="233">
        <f t="shared" si="107"/>
        <v>-3.524384334111641</v>
      </c>
      <c r="E168" s="233">
        <f t="shared" si="108"/>
        <v>-2.3630121717419406</v>
      </c>
      <c r="F168" s="284">
        <f t="shared" si="109"/>
        <v>-3.2088397790055234</v>
      </c>
      <c r="G168" s="284">
        <f t="shared" si="110"/>
        <v>-2.1623553589777855</v>
      </c>
      <c r="H168" s="285">
        <f t="shared" si="105"/>
        <v>1</v>
      </c>
    </row>
    <row r="169" spans="1:8" ht="16.5">
      <c r="A169" s="244">
        <v>41548</v>
      </c>
      <c r="B169" s="245">
        <f>geral!E784</f>
        <v>36.498333333333335</v>
      </c>
      <c r="C169" s="230">
        <f t="shared" si="106"/>
        <v>242.03138815207782</v>
      </c>
      <c r="D169" s="233">
        <f t="shared" si="107"/>
        <v>0</v>
      </c>
      <c r="E169" s="233">
        <f t="shared" si="108"/>
        <v>-2.3630121717419406</v>
      </c>
      <c r="F169" s="284">
        <f t="shared" si="109"/>
        <v>-1.736516198510285</v>
      </c>
      <c r="G169" s="284">
        <f t="shared" si="110"/>
        <v>-2.1623553589777855</v>
      </c>
      <c r="H169" s="285">
        <f t="shared" si="105"/>
        <v>1</v>
      </c>
    </row>
    <row r="170" spans="1:8" ht="16.5">
      <c r="A170" s="244">
        <v>41579</v>
      </c>
      <c r="B170" s="245">
        <f>geral!E785</f>
        <v>36.498333333333335</v>
      </c>
      <c r="C170" s="230">
        <f t="shared" si="106"/>
        <v>242.03138815207782</v>
      </c>
      <c r="D170" s="233">
        <f t="shared" si="107"/>
        <v>0</v>
      </c>
      <c r="E170" s="233">
        <f t="shared" si="108"/>
        <v>-2.3630121717419406</v>
      </c>
      <c r="F170" s="284">
        <f t="shared" si="109"/>
        <v>-1.736516198510285</v>
      </c>
      <c r="G170" s="284">
        <f t="shared" si="110"/>
        <v>-2.1623553589777855</v>
      </c>
      <c r="H170" s="285">
        <f t="shared" si="105"/>
        <v>1</v>
      </c>
    </row>
    <row r="171" spans="1:8" ht="17.25" thickBot="1">
      <c r="A171" s="219">
        <v>41609</v>
      </c>
      <c r="B171" s="231">
        <f>geral!E786</f>
        <v>36.498333333333335</v>
      </c>
      <c r="C171" s="220">
        <f t="shared" si="106"/>
        <v>242.03138815207782</v>
      </c>
      <c r="D171" s="234">
        <f t="shared" si="107"/>
        <v>0</v>
      </c>
      <c r="E171" s="234">
        <f t="shared" si="108"/>
        <v>-2.3630121717419406</v>
      </c>
      <c r="F171" s="273">
        <f t="shared" si="109"/>
        <v>-2.3630121717419406</v>
      </c>
      <c r="G171" s="273">
        <f t="shared" si="110"/>
        <v>-2.1623553589777855</v>
      </c>
      <c r="H171" s="274">
        <f t="shared" si="105"/>
        <v>1</v>
      </c>
    </row>
    <row r="172" spans="1:8" ht="16.5">
      <c r="A172" s="295"/>
      <c r="B172" s="296"/>
      <c r="C172" s="293"/>
      <c r="D172" s="294"/>
      <c r="E172" s="294"/>
      <c r="F172" s="297"/>
      <c r="G172" s="297"/>
      <c r="H172" s="298"/>
    </row>
    <row r="173" spans="1:8" ht="15.75">
      <c r="A173" s="67" t="s">
        <v>238</v>
      </c>
      <c r="B173" s="5"/>
      <c r="C173" s="5"/>
      <c r="D173" s="5"/>
      <c r="E173" s="5"/>
      <c r="F173" s="5"/>
      <c r="G173" s="5"/>
      <c r="H173" s="2"/>
    </row>
    <row r="174" spans="1:8" ht="15.75">
      <c r="A174" s="66" t="s">
        <v>239</v>
      </c>
      <c r="B174" s="5"/>
      <c r="C174" s="5"/>
      <c r="D174" s="5"/>
      <c r="E174" s="5"/>
      <c r="F174" s="5"/>
      <c r="G174" s="5"/>
      <c r="H174" s="2"/>
    </row>
    <row r="175" spans="1:8" ht="15.75">
      <c r="A175" s="5"/>
      <c r="B175" s="5"/>
      <c r="C175" s="5"/>
      <c r="D175" s="5"/>
      <c r="E175" s="5"/>
      <c r="F175" s="5"/>
      <c r="G175" s="5"/>
      <c r="H175" s="2"/>
    </row>
    <row r="176" spans="1:8" ht="15.75">
      <c r="A176" s="5"/>
      <c r="B176" s="5"/>
      <c r="C176" s="5"/>
      <c r="D176" s="5"/>
      <c r="E176" s="5"/>
      <c r="F176" s="5"/>
      <c r="G176" s="5"/>
      <c r="H176" s="2"/>
    </row>
    <row r="177" spans="1:8" ht="15.75">
      <c r="A177" s="5"/>
      <c r="B177" s="5"/>
      <c r="C177" s="5"/>
      <c r="D177" s="5"/>
      <c r="E177" s="5"/>
      <c r="F177" s="5"/>
      <c r="G177" s="5"/>
      <c r="H177" s="2"/>
    </row>
    <row r="178" spans="1:8" ht="15.75">
      <c r="A178" s="5"/>
      <c r="B178" s="5"/>
      <c r="C178" s="5"/>
      <c r="D178" s="5"/>
      <c r="E178" s="5"/>
      <c r="F178" s="5"/>
      <c r="G178" s="5"/>
      <c r="H178" s="2"/>
    </row>
    <row r="179" spans="1:8" ht="15.75">
      <c r="A179" s="5"/>
      <c r="B179" s="5"/>
      <c r="C179" s="5"/>
      <c r="D179" s="5"/>
      <c r="E179" s="5"/>
      <c r="F179" s="5"/>
      <c r="G179" s="5"/>
      <c r="H179" s="2"/>
    </row>
    <row r="180" spans="1:8" ht="15.75">
      <c r="A180" s="5"/>
      <c r="B180" s="5"/>
      <c r="C180" s="5"/>
      <c r="D180" s="5"/>
      <c r="E180" s="5"/>
      <c r="F180" s="5"/>
      <c r="G180" s="5"/>
      <c r="H180" s="2"/>
    </row>
    <row r="181" spans="1:8" ht="15.75">
      <c r="A181" s="5"/>
      <c r="B181" s="5"/>
      <c r="C181" s="5"/>
      <c r="D181" s="5"/>
      <c r="E181" s="5"/>
      <c r="F181" s="5"/>
      <c r="G181" s="5"/>
      <c r="H181" s="2"/>
    </row>
    <row r="182" spans="1:8" ht="15.75">
      <c r="A182" s="5"/>
      <c r="B182" s="5"/>
      <c r="C182" s="5"/>
      <c r="D182" s="5"/>
      <c r="E182" s="5"/>
      <c r="F182" s="5"/>
      <c r="G182" s="5"/>
      <c r="H182" s="2"/>
    </row>
    <row r="183" spans="1:8" ht="15.75">
      <c r="A183" s="5"/>
      <c r="B183" s="5"/>
      <c r="C183" s="5"/>
      <c r="D183" s="5"/>
      <c r="E183" s="5"/>
      <c r="F183" s="5"/>
      <c r="G183" s="5"/>
      <c r="H183" s="2"/>
    </row>
    <row r="184" spans="1:8" ht="15.75">
      <c r="A184" s="5"/>
      <c r="B184" s="5"/>
      <c r="C184" s="5"/>
      <c r="D184" s="5"/>
      <c r="E184" s="5"/>
      <c r="F184" s="5"/>
      <c r="G184" s="5"/>
      <c r="H184" s="2"/>
    </row>
    <row r="185" spans="1:8" ht="15.75">
      <c r="A185" s="5"/>
      <c r="B185" s="5"/>
      <c r="C185" s="5"/>
      <c r="D185" s="5"/>
      <c r="E185" s="5"/>
      <c r="F185" s="5"/>
      <c r="G185" s="5"/>
      <c r="H185" s="2"/>
    </row>
    <row r="186" spans="1:8" ht="15.75">
      <c r="A186" s="5"/>
      <c r="B186" s="5"/>
      <c r="C186" s="5"/>
      <c r="D186" s="5"/>
      <c r="E186" s="5"/>
      <c r="F186" s="5"/>
      <c r="G186" s="5"/>
      <c r="H186" s="2"/>
    </row>
    <row r="187" spans="1:8" ht="15.75">
      <c r="A187" s="5"/>
      <c r="B187" s="5"/>
      <c r="C187" s="5"/>
      <c r="D187" s="5"/>
      <c r="E187" s="5"/>
      <c r="F187" s="5"/>
      <c r="G187" s="5"/>
      <c r="H187" s="2"/>
    </row>
    <row r="188" spans="1:8" ht="15.75">
      <c r="A188" s="5"/>
      <c r="B188" s="5"/>
      <c r="C188" s="5"/>
      <c r="D188" s="5"/>
      <c r="E188" s="5"/>
      <c r="F188" s="5"/>
      <c r="G188" s="5"/>
      <c r="H188" s="2"/>
    </row>
    <row r="189" spans="1:8" ht="15.75">
      <c r="A189" s="5"/>
      <c r="B189" s="5"/>
      <c r="C189" s="5"/>
      <c r="D189" s="5"/>
      <c r="E189" s="5"/>
      <c r="F189" s="5"/>
      <c r="G189" s="5"/>
      <c r="H189" s="2"/>
    </row>
    <row r="190" spans="1:8" ht="15.75">
      <c r="A190" s="5"/>
      <c r="B190" s="5"/>
      <c r="C190" s="5"/>
      <c r="D190" s="5"/>
      <c r="E190" s="5"/>
      <c r="F190" s="5"/>
      <c r="G190" s="5"/>
      <c r="H190" s="2"/>
    </row>
    <row r="191" spans="1:8" ht="15.75">
      <c r="A191" s="5"/>
      <c r="B191" s="5"/>
      <c r="C191" s="5"/>
      <c r="D191" s="5"/>
      <c r="E191" s="5"/>
      <c r="F191" s="5"/>
      <c r="G191" s="5"/>
      <c r="H191" s="2"/>
    </row>
    <row r="192" spans="1:8" ht="15.75">
      <c r="A192" s="5"/>
      <c r="B192" s="5"/>
      <c r="C192" s="5"/>
      <c r="D192" s="5"/>
      <c r="E192" s="5"/>
      <c r="F192" s="5"/>
      <c r="G192" s="5"/>
      <c r="H192" s="2"/>
    </row>
    <row r="193" spans="1:8" ht="15.75">
      <c r="A193" s="5"/>
      <c r="B193" s="5"/>
      <c r="C193" s="5"/>
      <c r="D193" s="5"/>
      <c r="E193" s="5"/>
      <c r="F193" s="5"/>
      <c r="G193" s="5"/>
      <c r="H193" s="2"/>
    </row>
    <row r="194" spans="1:8" ht="15.75">
      <c r="A194" s="5"/>
      <c r="B194" s="5"/>
      <c r="C194" s="5"/>
      <c r="D194" s="5"/>
      <c r="E194" s="5"/>
      <c r="F194" s="5"/>
      <c r="G194" s="5"/>
      <c r="H194" s="2"/>
    </row>
    <row r="195" spans="1:8" ht="15.75">
      <c r="A195" s="5"/>
      <c r="B195" s="5"/>
      <c r="C195" s="5"/>
      <c r="D195" s="5"/>
      <c r="E195" s="5"/>
      <c r="F195" s="5"/>
      <c r="G195" s="5"/>
      <c r="H195" s="2"/>
    </row>
    <row r="196" spans="1:8" ht="15.75">
      <c r="A196" s="5"/>
      <c r="B196" s="5"/>
      <c r="C196" s="5"/>
      <c r="D196" s="5"/>
      <c r="E196" s="5"/>
      <c r="F196" s="5"/>
      <c r="G196" s="5"/>
      <c r="H196" s="2"/>
    </row>
    <row r="197" spans="1:8" ht="15.75">
      <c r="A197" s="5"/>
      <c r="B197" s="5"/>
      <c r="C197" s="5"/>
      <c r="D197" s="5"/>
      <c r="E197" s="5"/>
      <c r="F197" s="5"/>
      <c r="G197" s="5"/>
      <c r="H197" s="2"/>
    </row>
    <row r="198" spans="1:8" ht="15.75">
      <c r="A198" s="2"/>
      <c r="B198" s="2"/>
      <c r="C198" s="2"/>
      <c r="D198" s="2"/>
      <c r="E198" s="2"/>
      <c r="F198" s="2"/>
      <c r="G198" s="2"/>
      <c r="H198" s="2"/>
    </row>
    <row r="199" spans="1:8" ht="15.75">
      <c r="A199" s="2"/>
      <c r="B199" s="2"/>
      <c r="C199" s="2"/>
      <c r="D199" s="2"/>
      <c r="E199" s="2"/>
      <c r="F199" s="2"/>
      <c r="G199" s="2"/>
      <c r="H199" s="2"/>
    </row>
    <row r="200" spans="1:8" ht="15.75">
      <c r="A200" s="2"/>
      <c r="B200" s="2"/>
      <c r="C200" s="2"/>
      <c r="D200" s="2"/>
      <c r="E200" s="2"/>
      <c r="F200" s="2"/>
      <c r="G200" s="2"/>
      <c r="H200" s="2"/>
    </row>
    <row r="201" spans="1:8" ht="15.75">
      <c r="A201" s="2"/>
      <c r="B201" s="2"/>
      <c r="C201" s="2"/>
      <c r="D201" s="2"/>
      <c r="E201" s="2"/>
      <c r="F201" s="2"/>
      <c r="G201" s="2"/>
      <c r="H201" s="2"/>
    </row>
    <row r="202" spans="1:8" ht="15.75">
      <c r="A202" s="2"/>
      <c r="B202" s="2"/>
      <c r="C202" s="2"/>
      <c r="D202" s="2"/>
      <c r="E202" s="2"/>
      <c r="F202" s="2"/>
      <c r="G202" s="2"/>
      <c r="H202" s="2"/>
    </row>
    <row r="203" spans="1:8" ht="15.75">
      <c r="A203" s="2"/>
      <c r="B203" s="2"/>
      <c r="C203" s="2"/>
      <c r="D203" s="2"/>
      <c r="E203" s="2"/>
      <c r="F203" s="2"/>
      <c r="G203" s="2"/>
      <c r="H203" s="2"/>
    </row>
    <row r="204" spans="1:8" ht="15.75">
      <c r="A204" s="2"/>
      <c r="B204" s="2"/>
      <c r="C204" s="2"/>
      <c r="D204" s="2"/>
      <c r="E204" s="2"/>
      <c r="F204" s="2"/>
      <c r="G204" s="2"/>
      <c r="H204" s="2"/>
    </row>
    <row r="205" spans="1:8" ht="15.75">
      <c r="A205" s="2"/>
      <c r="B205" s="2"/>
      <c r="C205" s="2"/>
      <c r="D205" s="2"/>
      <c r="E205" s="2"/>
      <c r="F205" s="2"/>
      <c r="G205" s="2"/>
      <c r="H205" s="2"/>
    </row>
    <row r="206" spans="1:8" ht="15.75">
      <c r="A206" s="2"/>
      <c r="B206" s="2"/>
      <c r="C206" s="2"/>
      <c r="D206" s="2"/>
      <c r="E206" s="2"/>
      <c r="F206" s="2"/>
      <c r="G206" s="2"/>
      <c r="H206" s="2"/>
    </row>
    <row r="207" spans="1:8" ht="15.75">
      <c r="A207" s="2"/>
      <c r="B207" s="2"/>
      <c r="C207" s="2"/>
      <c r="D207" s="2"/>
      <c r="E207" s="2"/>
      <c r="F207" s="2"/>
      <c r="G207" s="2"/>
      <c r="H207" s="2"/>
    </row>
    <row r="208" spans="1:8" ht="15.75">
      <c r="A208" s="2"/>
      <c r="B208" s="2"/>
      <c r="C208" s="2"/>
      <c r="D208" s="2"/>
      <c r="E208" s="2"/>
      <c r="F208" s="2"/>
      <c r="G208" s="2"/>
      <c r="H208" s="2"/>
    </row>
    <row r="209" spans="1:8" ht="15.75">
      <c r="A209" s="2"/>
      <c r="B209" s="2"/>
      <c r="C209" s="2"/>
      <c r="D209" s="2"/>
      <c r="E209" s="2"/>
      <c r="F209" s="2"/>
      <c r="G209" s="2"/>
      <c r="H209" s="2"/>
    </row>
    <row r="210" spans="1:8" ht="15.75">
      <c r="A210" s="2"/>
      <c r="B210" s="2"/>
      <c r="C210" s="2"/>
      <c r="D210" s="2"/>
      <c r="E210" s="2"/>
      <c r="F210" s="2"/>
      <c r="G210" s="2"/>
      <c r="H210" s="2"/>
    </row>
    <row r="211" spans="1:8" ht="15.75">
      <c r="A211" s="2"/>
      <c r="B211" s="2"/>
      <c r="C211" s="2"/>
      <c r="D211" s="2"/>
      <c r="E211" s="2"/>
      <c r="F211" s="2"/>
      <c r="G211" s="2"/>
      <c r="H211" s="2"/>
    </row>
    <row r="212" spans="1:8" ht="15.75">
      <c r="A212" s="2"/>
      <c r="B212" s="2"/>
      <c r="C212" s="2"/>
      <c r="D212" s="2"/>
      <c r="E212" s="2"/>
      <c r="F212" s="2"/>
      <c r="G212" s="2"/>
      <c r="H212" s="2"/>
    </row>
    <row r="213" spans="1:8" ht="15.75">
      <c r="A213" s="2"/>
      <c r="B213" s="2"/>
      <c r="C213" s="2"/>
      <c r="D213" s="2"/>
      <c r="E213" s="2"/>
      <c r="F213" s="2"/>
      <c r="G213" s="2"/>
      <c r="H213" s="2"/>
    </row>
    <row r="214" spans="1:8" ht="15.75">
      <c r="A214" s="2"/>
      <c r="B214" s="2"/>
      <c r="C214" s="2"/>
      <c r="D214" s="2"/>
      <c r="E214" s="2"/>
      <c r="F214" s="2"/>
      <c r="G214" s="2"/>
      <c r="H214" s="2"/>
    </row>
    <row r="215" spans="1:8" ht="15.75">
      <c r="A215" s="2"/>
      <c r="B215" s="2"/>
      <c r="C215" s="2"/>
      <c r="D215" s="2"/>
      <c r="E215" s="2"/>
      <c r="F215" s="2"/>
      <c r="G215" s="2"/>
      <c r="H215" s="2"/>
    </row>
    <row r="216" spans="1:8" ht="15.75">
      <c r="A216" s="2"/>
      <c r="B216" s="2"/>
      <c r="C216" s="2"/>
      <c r="D216" s="2"/>
      <c r="E216" s="2"/>
      <c r="F216" s="2"/>
      <c r="G216" s="2"/>
      <c r="H216" s="2"/>
    </row>
    <row r="217" spans="1:8" ht="15.75">
      <c r="A217" s="2"/>
      <c r="B217" s="2"/>
      <c r="C217" s="2"/>
      <c r="D217" s="2"/>
      <c r="E217" s="2"/>
      <c r="F217" s="2"/>
      <c r="G217" s="2"/>
      <c r="H217" s="2"/>
    </row>
    <row r="218" spans="1:8" ht="15.75">
      <c r="A218" s="2"/>
      <c r="B218" s="2"/>
      <c r="C218" s="2"/>
      <c r="D218" s="2"/>
      <c r="E218" s="2"/>
      <c r="F218" s="2"/>
      <c r="G218" s="2"/>
      <c r="H218" s="2"/>
    </row>
    <row r="219" spans="1:8" ht="15.75">
      <c r="A219" s="2"/>
      <c r="B219" s="2"/>
      <c r="C219" s="2"/>
      <c r="D219" s="2"/>
      <c r="E219" s="2"/>
      <c r="F219" s="2"/>
      <c r="G219" s="2"/>
      <c r="H219" s="2"/>
    </row>
    <row r="220" spans="1:8" ht="15.75">
      <c r="A220" s="2"/>
      <c r="B220" s="2"/>
      <c r="C220" s="2"/>
      <c r="D220" s="2"/>
      <c r="E220" s="2"/>
      <c r="F220" s="2"/>
      <c r="G220" s="2"/>
      <c r="H220" s="2"/>
    </row>
    <row r="221" spans="1:8" ht="15.75">
      <c r="A221" s="2"/>
      <c r="B221" s="2"/>
      <c r="C221" s="2"/>
      <c r="D221" s="2"/>
      <c r="E221" s="2"/>
      <c r="F221" s="2"/>
      <c r="G221" s="2"/>
      <c r="H221" s="2"/>
    </row>
    <row r="222" spans="1:8" ht="15.75">
      <c r="A222" s="2"/>
      <c r="B222" s="2"/>
      <c r="C222" s="2"/>
      <c r="D222" s="2"/>
      <c r="E222" s="2"/>
      <c r="F222" s="2"/>
      <c r="G222" s="2"/>
      <c r="H222" s="2"/>
    </row>
    <row r="223" spans="1:8" ht="15.75">
      <c r="A223" s="2"/>
      <c r="B223" s="2"/>
      <c r="C223" s="2"/>
      <c r="D223" s="2"/>
      <c r="E223" s="2"/>
      <c r="F223" s="2"/>
      <c r="G223" s="2"/>
      <c r="H223" s="2"/>
    </row>
  </sheetData>
  <mergeCells count="6">
    <mergeCell ref="A6:H6"/>
    <mergeCell ref="A1:H1"/>
    <mergeCell ref="A2:H2"/>
    <mergeCell ref="A3:C4"/>
    <mergeCell ref="D3:H3"/>
    <mergeCell ref="D4:H4"/>
  </mergeCells>
  <phoneticPr fontId="0" type="noConversion"/>
  <pageMargins left="0.78740157499999996" right="0.78740157499999996" top="0.984251969" bottom="0.984251969" header="0.49212598499999999" footer="0.49212598499999999"/>
  <pageSetup paperSize="9"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28"/>
  <dimension ref="A1:J238"/>
  <sheetViews>
    <sheetView showGridLines="0" zoomScale="90" zoomScaleNormal="90" workbookViewId="0">
      <pane ySplit="2850" topLeftCell="A160" activePane="bottomLeft"/>
      <selection activeCell="J236" sqref="J236"/>
      <selection pane="bottomLeft" activeCell="I172" sqref="I172"/>
    </sheetView>
  </sheetViews>
  <sheetFormatPr defaultRowHeight="15"/>
  <cols>
    <col min="1" max="1" width="9.109375" bestFit="1" customWidth="1"/>
    <col min="2" max="2" width="10.6640625" bestFit="1" customWidth="1"/>
    <col min="3" max="3" width="11.6640625" bestFit="1" customWidth="1"/>
    <col min="4" max="4" width="11.88671875" customWidth="1"/>
    <col min="5" max="5" width="10.109375" customWidth="1"/>
    <col min="6" max="6" width="10" customWidth="1"/>
    <col min="7" max="7" width="9.77734375" customWidth="1"/>
    <col min="8" max="8" width="12.21875" customWidth="1"/>
    <col min="9" max="9" width="8.77734375" customWidth="1"/>
  </cols>
  <sheetData>
    <row r="1" spans="1:8" ht="21" thickBot="1">
      <c r="A1" s="1583" t="s">
        <v>280</v>
      </c>
      <c r="B1" s="1584"/>
      <c r="C1" s="1584"/>
      <c r="D1" s="1584"/>
      <c r="E1" s="1584"/>
      <c r="F1" s="1584"/>
      <c r="G1" s="1584"/>
      <c r="H1" s="1585"/>
    </row>
    <row r="2" spans="1:8" ht="16.5" customHeight="1" thickBot="1">
      <c r="A2" s="1586" t="s">
        <v>288</v>
      </c>
      <c r="B2" s="1587"/>
      <c r="C2" s="1587"/>
      <c r="D2" s="1587"/>
      <c r="E2" s="1587"/>
      <c r="F2" s="1587"/>
      <c r="G2" s="1587"/>
      <c r="H2" s="1588"/>
    </row>
    <row r="3" spans="1:8" ht="16.5" customHeight="1" thickBot="1">
      <c r="A3" s="1592" t="s">
        <v>281</v>
      </c>
      <c r="B3" s="1593"/>
      <c r="C3" s="1594"/>
      <c r="D3" s="1598" t="s">
        <v>278</v>
      </c>
      <c r="E3" s="1599"/>
      <c r="F3" s="1599"/>
      <c r="G3" s="1599"/>
      <c r="H3" s="1600"/>
    </row>
    <row r="4" spans="1:8" ht="17.25" customHeight="1" thickBot="1">
      <c r="A4" s="1595"/>
      <c r="B4" s="1596"/>
      <c r="C4" s="1597"/>
      <c r="D4" s="1589" t="s">
        <v>275</v>
      </c>
      <c r="E4" s="1590"/>
      <c r="F4" s="1590"/>
      <c r="G4" s="1590"/>
      <c r="H4" s="1591"/>
    </row>
    <row r="5" spans="1:8" ht="49.5">
      <c r="A5" s="275" t="s">
        <v>67</v>
      </c>
      <c r="B5" s="275" t="s">
        <v>76</v>
      </c>
      <c r="C5" s="275" t="s">
        <v>68</v>
      </c>
      <c r="D5" s="276" t="s">
        <v>69</v>
      </c>
      <c r="E5" s="276" t="s">
        <v>65</v>
      </c>
      <c r="F5" s="276" t="s">
        <v>70</v>
      </c>
      <c r="G5" s="275" t="s">
        <v>160</v>
      </c>
      <c r="H5" s="275" t="s">
        <v>186</v>
      </c>
    </row>
    <row r="6" spans="1:8" ht="15.75" thickBot="1">
      <c r="A6" s="1504" t="s">
        <v>289</v>
      </c>
      <c r="B6" s="1505"/>
      <c r="C6" s="1505"/>
      <c r="D6" s="1505"/>
      <c r="E6" s="1505"/>
      <c r="F6" s="1505"/>
      <c r="G6" s="1505"/>
      <c r="H6" s="1506"/>
    </row>
    <row r="7" spans="1:8" ht="16.5">
      <c r="A7" s="223">
        <v>36617</v>
      </c>
      <c r="B7" s="224">
        <f>+geral!C1314</f>
        <v>9.34</v>
      </c>
      <c r="C7" s="229">
        <v>100</v>
      </c>
      <c r="D7" s="229">
        <f>100*((B7/'Pn900'!B72)-1)</f>
        <v>-97.561357702349866</v>
      </c>
      <c r="E7" s="229"/>
      <c r="F7" s="229"/>
      <c r="G7" s="229"/>
      <c r="H7" s="286">
        <f t="shared" ref="H7:H38" si="0">(B$171/B7)</f>
        <v>2.6370449678800858</v>
      </c>
    </row>
    <row r="8" spans="1:8" ht="16.5">
      <c r="A8" s="216">
        <v>36647</v>
      </c>
      <c r="B8" s="226">
        <f>+geral!C1315</f>
        <v>9.82</v>
      </c>
      <c r="C8" s="211">
        <f>100*B8/$B$8</f>
        <v>100</v>
      </c>
      <c r="D8" s="211">
        <f t="shared" ref="D8:D16" si="1">100*((B8/B7)-1)</f>
        <v>5.1391862955032064</v>
      </c>
      <c r="E8" s="211"/>
      <c r="F8" s="211"/>
      <c r="G8" s="211"/>
      <c r="H8" s="287">
        <f t="shared" si="0"/>
        <v>2.5081466395112013</v>
      </c>
    </row>
    <row r="9" spans="1:8" ht="16.5">
      <c r="A9" s="216">
        <v>36678</v>
      </c>
      <c r="B9" s="226">
        <f>+geral!C1316</f>
        <v>7.96</v>
      </c>
      <c r="C9" s="211">
        <f t="shared" ref="C9:C65" si="2">100*B9/$B$8</f>
        <v>81.059063136456203</v>
      </c>
      <c r="D9" s="211">
        <f t="shared" si="1"/>
        <v>-18.94093686354379</v>
      </c>
      <c r="E9" s="211"/>
      <c r="F9" s="211"/>
      <c r="G9" s="211"/>
      <c r="H9" s="287">
        <f t="shared" si="0"/>
        <v>3.0942211055276383</v>
      </c>
    </row>
    <row r="10" spans="1:8" ht="16.5">
      <c r="A10" s="216">
        <v>36708</v>
      </c>
      <c r="B10" s="226">
        <f>+geral!C1317</f>
        <v>10.08</v>
      </c>
      <c r="C10" s="211">
        <f t="shared" si="2"/>
        <v>102.64765784114053</v>
      </c>
      <c r="D10" s="211">
        <f t="shared" si="1"/>
        <v>26.633165829145721</v>
      </c>
      <c r="E10" s="211"/>
      <c r="F10" s="211"/>
      <c r="G10" s="211"/>
      <c r="H10" s="287">
        <f t="shared" si="0"/>
        <v>2.4434523809523809</v>
      </c>
    </row>
    <row r="11" spans="1:8" ht="16.5">
      <c r="A11" s="216">
        <v>36739</v>
      </c>
      <c r="B11" s="226">
        <f>+geral!C1318</f>
        <v>10.6</v>
      </c>
      <c r="C11" s="211">
        <f t="shared" si="2"/>
        <v>107.94297352342159</v>
      </c>
      <c r="D11" s="211">
        <f t="shared" si="1"/>
        <v>5.1587301587301626</v>
      </c>
      <c r="E11" s="211"/>
      <c r="F11" s="211"/>
      <c r="G11" s="211"/>
      <c r="H11" s="287">
        <f t="shared" si="0"/>
        <v>2.3235849056603772</v>
      </c>
    </row>
    <row r="12" spans="1:8" ht="16.5">
      <c r="A12" s="216">
        <v>36770</v>
      </c>
      <c r="B12" s="226">
        <f>+geral!C1319</f>
        <v>10.8</v>
      </c>
      <c r="C12" s="211">
        <f t="shared" si="2"/>
        <v>109.97963340122199</v>
      </c>
      <c r="D12" s="211">
        <f t="shared" si="1"/>
        <v>1.8867924528301883</v>
      </c>
      <c r="E12" s="211"/>
      <c r="F12" s="211"/>
      <c r="G12" s="211"/>
      <c r="H12" s="287">
        <f t="shared" si="0"/>
        <v>2.2805555555555554</v>
      </c>
    </row>
    <row r="13" spans="1:8" ht="16.5">
      <c r="A13" s="216">
        <v>36800</v>
      </c>
      <c r="B13" s="226">
        <f>+geral!C1320</f>
        <v>8.8699999999999992</v>
      </c>
      <c r="C13" s="211">
        <f t="shared" si="2"/>
        <v>90.325865580448053</v>
      </c>
      <c r="D13" s="211">
        <f t="shared" si="1"/>
        <v>-17.870370370370381</v>
      </c>
      <c r="E13" s="211"/>
      <c r="F13" s="211"/>
      <c r="G13" s="211"/>
      <c r="H13" s="287">
        <f t="shared" si="0"/>
        <v>2.7767756482525368</v>
      </c>
    </row>
    <row r="14" spans="1:8" ht="16.5">
      <c r="A14" s="216">
        <v>36831</v>
      </c>
      <c r="B14" s="226">
        <f>+geral!C1321</f>
        <v>10.98</v>
      </c>
      <c r="C14" s="211">
        <f t="shared" si="2"/>
        <v>111.81262729124236</v>
      </c>
      <c r="D14" s="211">
        <f t="shared" si="1"/>
        <v>23.788049605411523</v>
      </c>
      <c r="E14" s="211"/>
      <c r="F14" s="211"/>
      <c r="G14" s="211"/>
      <c r="H14" s="287">
        <f t="shared" si="0"/>
        <v>2.2431693989071038</v>
      </c>
    </row>
    <row r="15" spans="1:8" ht="16.5">
      <c r="A15" s="216">
        <v>36861</v>
      </c>
      <c r="B15" s="226">
        <f>+geral!C1322</f>
        <v>9.02</v>
      </c>
      <c r="C15" s="211">
        <f t="shared" si="2"/>
        <v>91.853360488798373</v>
      </c>
      <c r="D15" s="211">
        <f t="shared" si="1"/>
        <v>-17.850637522768675</v>
      </c>
      <c r="E15" s="211"/>
      <c r="F15" s="211"/>
      <c r="G15" s="211"/>
      <c r="H15" s="287">
        <f t="shared" si="0"/>
        <v>2.7305986696230597</v>
      </c>
    </row>
    <row r="16" spans="1:8" ht="16.5">
      <c r="A16" s="216">
        <v>36892</v>
      </c>
      <c r="B16" s="226">
        <f>+geral!E1311</f>
        <v>10</v>
      </c>
      <c r="C16" s="211">
        <f t="shared" si="2"/>
        <v>101.83299389002036</v>
      </c>
      <c r="D16" s="211">
        <f t="shared" si="1"/>
        <v>10.864745011086473</v>
      </c>
      <c r="E16" s="211">
        <f t="shared" ref="E16:E21" si="3">100*((B16/$B$15)-1)</f>
        <v>10.864745011086473</v>
      </c>
      <c r="F16" s="211"/>
      <c r="G16" s="211"/>
      <c r="H16" s="287">
        <f t="shared" si="0"/>
        <v>2.4630000000000001</v>
      </c>
    </row>
    <row r="17" spans="1:8" ht="16.5">
      <c r="A17" s="216">
        <v>36923</v>
      </c>
      <c r="B17" s="226">
        <f>+geral!E1312</f>
        <v>11</v>
      </c>
      <c r="C17" s="211">
        <f t="shared" si="2"/>
        <v>112.01629327902241</v>
      </c>
      <c r="D17" s="211">
        <f t="shared" ref="D17:D22" si="4">100*((B17/B16)-1)</f>
        <v>10.000000000000009</v>
      </c>
      <c r="E17" s="211">
        <f t="shared" si="3"/>
        <v>21.95121951219512</v>
      </c>
      <c r="F17" s="213"/>
      <c r="G17" s="213"/>
      <c r="H17" s="287">
        <f t="shared" si="0"/>
        <v>2.2390909090909088</v>
      </c>
    </row>
    <row r="18" spans="1:8" ht="16.5">
      <c r="A18" s="216">
        <v>36951</v>
      </c>
      <c r="B18" s="226">
        <f>+geral!E1313</f>
        <v>11</v>
      </c>
      <c r="C18" s="211">
        <f t="shared" si="2"/>
        <v>112.01629327902241</v>
      </c>
      <c r="D18" s="211">
        <f t="shared" si="4"/>
        <v>0</v>
      </c>
      <c r="E18" s="211">
        <f t="shared" si="3"/>
        <v>21.95121951219512</v>
      </c>
      <c r="F18" s="213"/>
      <c r="G18" s="213"/>
      <c r="H18" s="287">
        <f t="shared" si="0"/>
        <v>2.2390909090909088</v>
      </c>
    </row>
    <row r="19" spans="1:8" ht="16.5">
      <c r="A19" s="216">
        <v>36982</v>
      </c>
      <c r="B19" s="226">
        <f>+geral!E1314</f>
        <v>8.5</v>
      </c>
      <c r="C19" s="211">
        <f t="shared" si="2"/>
        <v>86.558044806517316</v>
      </c>
      <c r="D19" s="211">
        <f t="shared" si="4"/>
        <v>-22.72727272727273</v>
      </c>
      <c r="E19" s="211">
        <f t="shared" si="3"/>
        <v>-5.7649667405764937</v>
      </c>
      <c r="F19" s="214">
        <f t="shared" ref="F19:F24" si="5">100*((B19/B7)-1)</f>
        <v>-8.9935760171306214</v>
      </c>
      <c r="G19" s="214"/>
      <c r="H19" s="287">
        <f t="shared" si="0"/>
        <v>2.8976470588235292</v>
      </c>
    </row>
    <row r="20" spans="1:8" ht="16.5">
      <c r="A20" s="216">
        <v>37012</v>
      </c>
      <c r="B20" s="226">
        <f>+geral!E1315</f>
        <v>12.29</v>
      </c>
      <c r="C20" s="211">
        <f t="shared" si="2"/>
        <v>125.15274949083502</v>
      </c>
      <c r="D20" s="211">
        <f t="shared" si="4"/>
        <v>44.588235294117638</v>
      </c>
      <c r="E20" s="211">
        <f t="shared" si="3"/>
        <v>36.252771618625282</v>
      </c>
      <c r="F20" s="214">
        <f t="shared" si="5"/>
        <v>25.152749490835014</v>
      </c>
      <c r="G20" s="214"/>
      <c r="H20" s="287">
        <f t="shared" si="0"/>
        <v>2.0040683482506103</v>
      </c>
    </row>
    <row r="21" spans="1:8" ht="16.5">
      <c r="A21" s="216">
        <v>37043</v>
      </c>
      <c r="B21" s="226">
        <f>+geral!E1316</f>
        <v>9.52</v>
      </c>
      <c r="C21" s="211">
        <f t="shared" si="2"/>
        <v>96.945010183299388</v>
      </c>
      <c r="D21" s="211">
        <f t="shared" si="4"/>
        <v>-22.538649308380798</v>
      </c>
      <c r="E21" s="211">
        <f t="shared" si="3"/>
        <v>5.5432372505543226</v>
      </c>
      <c r="F21" s="214">
        <f t="shared" si="5"/>
        <v>19.59798994974873</v>
      </c>
      <c r="G21" s="214"/>
      <c r="H21" s="287">
        <f t="shared" si="0"/>
        <v>2.58718487394958</v>
      </c>
    </row>
    <row r="22" spans="1:8" ht="16.5">
      <c r="A22" s="216">
        <v>37073</v>
      </c>
      <c r="B22" s="226">
        <f>+geral!E1317</f>
        <v>10.3</v>
      </c>
      <c r="C22" s="211">
        <f t="shared" si="2"/>
        <v>104.88798370672097</v>
      </c>
      <c r="D22" s="211">
        <f t="shared" si="4"/>
        <v>8.193277310924385</v>
      </c>
      <c r="E22" s="211">
        <f t="shared" ref="E22:E27" si="6">100*((B22/$B$15)-1)</f>
        <v>14.190687361419085</v>
      </c>
      <c r="F22" s="214">
        <f t="shared" si="5"/>
        <v>2.182539682539697</v>
      </c>
      <c r="G22" s="214"/>
      <c r="H22" s="287">
        <f t="shared" si="0"/>
        <v>2.3912621359223301</v>
      </c>
    </row>
    <row r="23" spans="1:8" ht="16.5">
      <c r="A23" s="216">
        <v>37104</v>
      </c>
      <c r="B23" s="226">
        <v>13.82</v>
      </c>
      <c r="C23" s="211">
        <f t="shared" si="2"/>
        <v>140.73319755600815</v>
      </c>
      <c r="D23" s="211">
        <f t="shared" ref="D23:D28" si="7">100*((B23/B22)-1)</f>
        <v>34.17475728155339</v>
      </c>
      <c r="E23" s="211">
        <f t="shared" si="6"/>
        <v>53.215077605321511</v>
      </c>
      <c r="F23" s="214">
        <f t="shared" si="5"/>
        <v>30.377358490566042</v>
      </c>
      <c r="G23" s="214"/>
      <c r="H23" s="287">
        <f t="shared" si="0"/>
        <v>1.7821997105643994</v>
      </c>
    </row>
    <row r="24" spans="1:8" ht="16.5">
      <c r="A24" s="216">
        <v>37135</v>
      </c>
      <c r="B24" s="226">
        <f>+geral!E1319</f>
        <v>7.68</v>
      </c>
      <c r="C24" s="211">
        <f t="shared" si="2"/>
        <v>78.207739307535633</v>
      </c>
      <c r="D24" s="211">
        <f t="shared" si="7"/>
        <v>-44.428364688856739</v>
      </c>
      <c r="E24" s="211">
        <f t="shared" si="6"/>
        <v>-14.855875831485587</v>
      </c>
      <c r="F24" s="214">
        <f t="shared" si="5"/>
        <v>-28.888888888888896</v>
      </c>
      <c r="G24" s="214"/>
      <c r="H24" s="287">
        <f t="shared" si="0"/>
        <v>3.20703125</v>
      </c>
    </row>
    <row r="25" spans="1:8" ht="16.5">
      <c r="A25" s="216">
        <v>37165</v>
      </c>
      <c r="B25" s="226">
        <f>+geral!E1320</f>
        <v>10.25</v>
      </c>
      <c r="C25" s="211">
        <f t="shared" si="2"/>
        <v>104.37881873727088</v>
      </c>
      <c r="D25" s="211">
        <f t="shared" si="7"/>
        <v>33.463541666666671</v>
      </c>
      <c r="E25" s="211">
        <f t="shared" si="6"/>
        <v>13.636363636363647</v>
      </c>
      <c r="F25" s="214">
        <f t="shared" ref="F25:F30" si="8">100*((B25/B13)-1)</f>
        <v>15.558060879368663</v>
      </c>
      <c r="G25" s="214"/>
      <c r="H25" s="287">
        <f t="shared" si="0"/>
        <v>2.4029268292682926</v>
      </c>
    </row>
    <row r="26" spans="1:8" ht="16.5">
      <c r="A26" s="216">
        <v>37196</v>
      </c>
      <c r="B26" s="226">
        <f>+geral!E1321</f>
        <v>12.12</v>
      </c>
      <c r="C26" s="211">
        <f t="shared" si="2"/>
        <v>123.42158859470469</v>
      </c>
      <c r="D26" s="211">
        <f t="shared" si="7"/>
        <v>18.243902439024385</v>
      </c>
      <c r="E26" s="211">
        <f t="shared" si="6"/>
        <v>34.368070953436813</v>
      </c>
      <c r="F26" s="214">
        <f t="shared" si="8"/>
        <v>10.382513661202175</v>
      </c>
      <c r="G26" s="214"/>
      <c r="H26" s="287">
        <f t="shared" si="0"/>
        <v>2.0321782178217824</v>
      </c>
    </row>
    <row r="27" spans="1:8" ht="16.5">
      <c r="A27" s="216">
        <v>37226</v>
      </c>
      <c r="B27" s="226">
        <f>+geral!E1322</f>
        <v>10.8</v>
      </c>
      <c r="C27" s="211">
        <f t="shared" si="2"/>
        <v>109.97963340122199</v>
      </c>
      <c r="D27" s="211">
        <f t="shared" si="7"/>
        <v>-10.891089108910879</v>
      </c>
      <c r="E27" s="211">
        <f t="shared" si="6"/>
        <v>19.733924611973407</v>
      </c>
      <c r="F27" s="214">
        <f t="shared" si="8"/>
        <v>19.733924611973407</v>
      </c>
      <c r="G27" s="214"/>
      <c r="H27" s="287">
        <f t="shared" si="0"/>
        <v>2.2805555555555554</v>
      </c>
    </row>
    <row r="28" spans="1:8" ht="16.5">
      <c r="A28" s="216">
        <v>37257</v>
      </c>
      <c r="B28" s="226">
        <f>+geral!G1311</f>
        <v>11.2</v>
      </c>
      <c r="C28" s="211">
        <f t="shared" si="2"/>
        <v>114.05295315682281</v>
      </c>
      <c r="D28" s="211">
        <f t="shared" si="7"/>
        <v>3.7037037037036979</v>
      </c>
      <c r="E28" s="211">
        <f t="shared" ref="E28:E33" si="9">100*((B28/$B$27)-1)</f>
        <v>3.7037037037036979</v>
      </c>
      <c r="F28" s="214">
        <f t="shared" si="8"/>
        <v>11.999999999999989</v>
      </c>
      <c r="G28" s="214"/>
      <c r="H28" s="287">
        <f t="shared" si="0"/>
        <v>2.1991071428571427</v>
      </c>
    </row>
    <row r="29" spans="1:8" ht="16.5">
      <c r="A29" s="216">
        <v>37288</v>
      </c>
      <c r="B29" s="226">
        <f>+geral!G1312</f>
        <v>10.210000000000001</v>
      </c>
      <c r="C29" s="211">
        <f t="shared" si="2"/>
        <v>103.97148676171081</v>
      </c>
      <c r="D29" s="211">
        <f t="shared" ref="D29:D34" si="10">100*((B29/B28)-1)</f>
        <v>-8.8392857142857046</v>
      </c>
      <c r="E29" s="211">
        <f t="shared" si="9"/>
        <v>-5.4629629629629584</v>
      </c>
      <c r="F29" s="214">
        <f t="shared" si="8"/>
        <v>-7.1818181818181781</v>
      </c>
      <c r="G29" s="214"/>
      <c r="H29" s="287">
        <f t="shared" si="0"/>
        <v>2.4123408423114592</v>
      </c>
    </row>
    <row r="30" spans="1:8" ht="16.5">
      <c r="A30" s="216">
        <v>37316</v>
      </c>
      <c r="B30" s="226">
        <f>+geral!G1313</f>
        <v>12.34</v>
      </c>
      <c r="C30" s="211">
        <f t="shared" si="2"/>
        <v>125.66191446028513</v>
      </c>
      <c r="D30" s="211">
        <f t="shared" si="10"/>
        <v>20.861900097943177</v>
      </c>
      <c r="E30" s="211">
        <f t="shared" si="9"/>
        <v>14.25925925925926</v>
      </c>
      <c r="F30" s="214">
        <f t="shared" si="8"/>
        <v>12.181818181818183</v>
      </c>
      <c r="G30" s="214"/>
      <c r="H30" s="287">
        <f t="shared" si="0"/>
        <v>1.9959481361426255</v>
      </c>
    </row>
    <row r="31" spans="1:8" ht="16.5">
      <c r="A31" s="216">
        <v>37347</v>
      </c>
      <c r="B31" s="226">
        <f>+geral!G1314</f>
        <v>9.7200000000000006</v>
      </c>
      <c r="C31" s="211">
        <f t="shared" si="2"/>
        <v>98.981670061099805</v>
      </c>
      <c r="D31" s="211">
        <f t="shared" si="10"/>
        <v>-21.231766612641813</v>
      </c>
      <c r="E31" s="211">
        <f t="shared" si="9"/>
        <v>-9.9999999999999982</v>
      </c>
      <c r="F31" s="214">
        <f t="shared" ref="F31:F41" si="11">100*((B31/B19)-1)</f>
        <v>14.352941176470591</v>
      </c>
      <c r="G31" s="214">
        <f>100*(B31/B7-1)</f>
        <v>4.0685224839400513</v>
      </c>
      <c r="H31" s="287">
        <f t="shared" si="0"/>
        <v>2.5339506172839505</v>
      </c>
    </row>
    <row r="32" spans="1:8" ht="16.5">
      <c r="A32" s="216">
        <v>37377</v>
      </c>
      <c r="B32" s="226">
        <f>+geral!G1315</f>
        <v>11.2</v>
      </c>
      <c r="C32" s="211">
        <f t="shared" si="2"/>
        <v>114.05295315682281</v>
      </c>
      <c r="D32" s="211">
        <f t="shared" si="10"/>
        <v>15.226337448559658</v>
      </c>
      <c r="E32" s="211">
        <f t="shared" si="9"/>
        <v>3.7037037037036979</v>
      </c>
      <c r="F32" s="214">
        <f t="shared" si="11"/>
        <v>-8.8689991863303508</v>
      </c>
      <c r="G32" s="214">
        <f t="shared" ref="G32:G55" si="12">100*(B32/B8-1)</f>
        <v>14.052953156822801</v>
      </c>
      <c r="H32" s="287">
        <f t="shared" si="0"/>
        <v>2.1991071428571427</v>
      </c>
    </row>
    <row r="33" spans="1:8" ht="16.5">
      <c r="A33" s="216">
        <v>37408</v>
      </c>
      <c r="B33" s="226">
        <f>+geral!G1316</f>
        <v>12.1</v>
      </c>
      <c r="C33" s="211">
        <f t="shared" si="2"/>
        <v>123.21792260692465</v>
      </c>
      <c r="D33" s="211">
        <f t="shared" si="10"/>
        <v>8.0357142857142794</v>
      </c>
      <c r="E33" s="211">
        <f t="shared" si="9"/>
        <v>12.037037037037024</v>
      </c>
      <c r="F33" s="214">
        <f t="shared" si="11"/>
        <v>27.100840336134446</v>
      </c>
      <c r="G33" s="214">
        <f t="shared" si="12"/>
        <v>52.010050251256267</v>
      </c>
      <c r="H33" s="287">
        <f t="shared" si="0"/>
        <v>2.0355371900826444</v>
      </c>
    </row>
    <row r="34" spans="1:8" ht="16.5">
      <c r="A34" s="216">
        <v>37438</v>
      </c>
      <c r="B34" s="226">
        <f>+geral!G1317</f>
        <v>10.97</v>
      </c>
      <c r="C34" s="211">
        <f t="shared" si="2"/>
        <v>111.71079429735234</v>
      </c>
      <c r="D34" s="211">
        <f t="shared" si="10"/>
        <v>-9.3388429752066067</v>
      </c>
      <c r="E34" s="211">
        <f t="shared" ref="E34:E39" si="13">100*((B34/$B$27)-1)</f>
        <v>1.5740740740740833</v>
      </c>
      <c r="F34" s="214">
        <f t="shared" si="11"/>
        <v>6.5048543689320448</v>
      </c>
      <c r="G34" s="214">
        <f t="shared" si="12"/>
        <v>8.8293650793650933</v>
      </c>
      <c r="H34" s="287">
        <f t="shared" si="0"/>
        <v>2.2452142206016408</v>
      </c>
    </row>
    <row r="35" spans="1:8" ht="16.5">
      <c r="A35" s="216">
        <v>37469</v>
      </c>
      <c r="B35" s="226">
        <f>+geral!G1318</f>
        <v>13.5</v>
      </c>
      <c r="C35" s="211">
        <f t="shared" si="2"/>
        <v>137.47454175152748</v>
      </c>
      <c r="D35" s="211">
        <f t="shared" ref="D35:D40" si="14">100*((B35/B34)-1)</f>
        <v>23.06289881494985</v>
      </c>
      <c r="E35" s="211">
        <f t="shared" si="13"/>
        <v>25</v>
      </c>
      <c r="F35" s="214">
        <f t="shared" si="11"/>
        <v>-2.3154848046309739</v>
      </c>
      <c r="G35" s="214">
        <f t="shared" si="12"/>
        <v>27.358490566037741</v>
      </c>
      <c r="H35" s="287">
        <f t="shared" si="0"/>
        <v>1.8244444444444443</v>
      </c>
    </row>
    <row r="36" spans="1:8" ht="16.5">
      <c r="A36" s="216">
        <v>37500</v>
      </c>
      <c r="B36" s="226">
        <f>+geral!G1319</f>
        <v>13.67</v>
      </c>
      <c r="C36" s="211">
        <f t="shared" si="2"/>
        <v>139.20570264765783</v>
      </c>
      <c r="D36" s="211">
        <f t="shared" si="14"/>
        <v>1.2592592592592489</v>
      </c>
      <c r="E36" s="211">
        <f t="shared" si="13"/>
        <v>26.574074074074062</v>
      </c>
      <c r="F36" s="214">
        <f t="shared" si="11"/>
        <v>77.994791666666671</v>
      </c>
      <c r="G36" s="214">
        <f t="shared" si="12"/>
        <v>26.574074074074062</v>
      </c>
      <c r="H36" s="287">
        <f t="shared" si="0"/>
        <v>1.8017556693489392</v>
      </c>
    </row>
    <row r="37" spans="1:8" ht="16.5">
      <c r="A37" s="216">
        <v>37530</v>
      </c>
      <c r="B37" s="226">
        <f>+geral!G1320</f>
        <v>13.92</v>
      </c>
      <c r="C37" s="211">
        <f t="shared" si="2"/>
        <v>141.75152749490834</v>
      </c>
      <c r="D37" s="211">
        <f t="shared" si="14"/>
        <v>1.8288222384784225</v>
      </c>
      <c r="E37" s="211">
        <f t="shared" si="13"/>
        <v>28.888888888888875</v>
      </c>
      <c r="F37" s="214">
        <f t="shared" si="11"/>
        <v>35.804878048780495</v>
      </c>
      <c r="G37" s="214">
        <f t="shared" si="12"/>
        <v>56.933483652762142</v>
      </c>
      <c r="H37" s="287">
        <f t="shared" si="0"/>
        <v>1.7693965517241379</v>
      </c>
    </row>
    <row r="38" spans="1:8" ht="16.5">
      <c r="A38" s="216">
        <v>37561</v>
      </c>
      <c r="B38" s="226">
        <f>+geral!G1321</f>
        <v>14.3</v>
      </c>
      <c r="C38" s="211">
        <f t="shared" si="2"/>
        <v>145.62118126272912</v>
      </c>
      <c r="D38" s="211">
        <f t="shared" si="14"/>
        <v>2.7298850574712707</v>
      </c>
      <c r="E38" s="211">
        <f t="shared" si="13"/>
        <v>32.407407407407398</v>
      </c>
      <c r="F38" s="214">
        <f t="shared" si="11"/>
        <v>17.986798679868009</v>
      </c>
      <c r="G38" s="214">
        <f t="shared" si="12"/>
        <v>30.236794171220403</v>
      </c>
      <c r="H38" s="287">
        <f t="shared" si="0"/>
        <v>1.7223776223776222</v>
      </c>
    </row>
    <row r="39" spans="1:8" ht="16.5">
      <c r="A39" s="216">
        <v>37591</v>
      </c>
      <c r="B39" s="226">
        <f>+geral!G1322</f>
        <v>12.8</v>
      </c>
      <c r="C39" s="211">
        <f t="shared" si="2"/>
        <v>130.34623217922606</v>
      </c>
      <c r="D39" s="211">
        <f t="shared" si="14"/>
        <v>-10.48951048951049</v>
      </c>
      <c r="E39" s="211">
        <f t="shared" si="13"/>
        <v>18.518518518518512</v>
      </c>
      <c r="F39" s="214">
        <f t="shared" si="11"/>
        <v>18.518518518518512</v>
      </c>
      <c r="G39" s="214">
        <f t="shared" si="12"/>
        <v>41.906873614190701</v>
      </c>
      <c r="H39" s="287">
        <f t="shared" ref="H39:H70" si="15">(B$171/B39)</f>
        <v>1.9242187499999999</v>
      </c>
    </row>
    <row r="40" spans="1:8" ht="16.5">
      <c r="A40" s="216">
        <v>37622</v>
      </c>
      <c r="B40" s="226">
        <f>+geral!I1311</f>
        <v>14.42</v>
      </c>
      <c r="C40" s="211">
        <f t="shared" si="2"/>
        <v>146.84317718940937</v>
      </c>
      <c r="D40" s="211">
        <f t="shared" si="14"/>
        <v>12.656249999999991</v>
      </c>
      <c r="E40" s="211">
        <f t="shared" ref="E40:E45" si="16">100*((B40/$B$39)-1)</f>
        <v>12.656249999999991</v>
      </c>
      <c r="F40" s="214">
        <f t="shared" si="11"/>
        <v>28.750000000000007</v>
      </c>
      <c r="G40" s="214">
        <f t="shared" si="12"/>
        <v>44.199999999999996</v>
      </c>
      <c r="H40" s="287">
        <f t="shared" si="15"/>
        <v>1.7080443828016643</v>
      </c>
    </row>
    <row r="41" spans="1:8" ht="16.5">
      <c r="A41" s="216">
        <v>37653</v>
      </c>
      <c r="B41" s="226">
        <f>+geral!I1312</f>
        <v>13.26</v>
      </c>
      <c r="C41" s="211">
        <f t="shared" si="2"/>
        <v>135.03054989816701</v>
      </c>
      <c r="D41" s="211">
        <f t="shared" ref="D41:D46" si="17">100*((B41/B40)-1)</f>
        <v>-8.0443828016643515</v>
      </c>
      <c r="E41" s="211">
        <f t="shared" si="16"/>
        <v>3.5937499999999956</v>
      </c>
      <c r="F41" s="214">
        <f t="shared" si="11"/>
        <v>29.872673849167477</v>
      </c>
      <c r="G41" s="214">
        <f t="shared" si="12"/>
        <v>20.545454545454533</v>
      </c>
      <c r="H41" s="287">
        <f t="shared" si="15"/>
        <v>1.8574660633484164</v>
      </c>
    </row>
    <row r="42" spans="1:8" ht="16.5">
      <c r="A42" s="216">
        <v>37681</v>
      </c>
      <c r="B42" s="226">
        <f>+geral!I1313</f>
        <v>17.2</v>
      </c>
      <c r="C42" s="211">
        <f t="shared" si="2"/>
        <v>175.15274949083502</v>
      </c>
      <c r="D42" s="211">
        <f t="shared" si="17"/>
        <v>29.713423831070894</v>
      </c>
      <c r="E42" s="211">
        <f t="shared" si="16"/>
        <v>34.374999999999979</v>
      </c>
      <c r="F42" s="214">
        <f t="shared" ref="F42:F47" si="18">100*((B42/B30)-1)</f>
        <v>39.384116693679097</v>
      </c>
      <c r="G42" s="214">
        <f t="shared" si="12"/>
        <v>56.363636363636346</v>
      </c>
      <c r="H42" s="287">
        <f t="shared" si="15"/>
        <v>1.4319767441860465</v>
      </c>
    </row>
    <row r="43" spans="1:8" ht="16.5">
      <c r="A43" s="216">
        <v>37712</v>
      </c>
      <c r="B43" s="226">
        <f>+geral!I1314</f>
        <v>17.5</v>
      </c>
      <c r="C43" s="211">
        <f t="shared" si="2"/>
        <v>178.20773930753563</v>
      </c>
      <c r="D43" s="211">
        <f t="shared" si="17"/>
        <v>1.744186046511631</v>
      </c>
      <c r="E43" s="211">
        <f t="shared" si="16"/>
        <v>36.71875</v>
      </c>
      <c r="F43" s="214">
        <f t="shared" si="18"/>
        <v>80.041152263374471</v>
      </c>
      <c r="G43" s="214">
        <f t="shared" si="12"/>
        <v>105.88235294117645</v>
      </c>
      <c r="H43" s="287">
        <f t="shared" si="15"/>
        <v>1.4074285714285715</v>
      </c>
    </row>
    <row r="44" spans="1:8" ht="16.5">
      <c r="A44" s="216">
        <v>37742</v>
      </c>
      <c r="B44" s="226">
        <f>+geral!I1315</f>
        <v>14.25</v>
      </c>
      <c r="C44" s="211">
        <f t="shared" si="2"/>
        <v>145.11201629327903</v>
      </c>
      <c r="D44" s="211">
        <f t="shared" si="17"/>
        <v>-18.571428571428573</v>
      </c>
      <c r="E44" s="211">
        <f t="shared" si="16"/>
        <v>11.328125</v>
      </c>
      <c r="F44" s="214">
        <f t="shared" si="18"/>
        <v>27.232142857142861</v>
      </c>
      <c r="G44" s="214">
        <f t="shared" si="12"/>
        <v>15.947925142392204</v>
      </c>
      <c r="H44" s="287">
        <f t="shared" si="15"/>
        <v>1.7284210526315789</v>
      </c>
    </row>
    <row r="45" spans="1:8" ht="16.5">
      <c r="A45" s="216">
        <v>37773</v>
      </c>
      <c r="B45" s="226">
        <f>+geral!I1316</f>
        <v>15.9</v>
      </c>
      <c r="C45" s="211">
        <f t="shared" si="2"/>
        <v>161.91446028513238</v>
      </c>
      <c r="D45" s="211">
        <f t="shared" si="17"/>
        <v>11.578947368421044</v>
      </c>
      <c r="E45" s="211">
        <f t="shared" si="16"/>
        <v>24.21875</v>
      </c>
      <c r="F45" s="214">
        <f t="shared" si="18"/>
        <v>31.404958677685958</v>
      </c>
      <c r="G45" s="214">
        <f t="shared" si="12"/>
        <v>67.016806722689083</v>
      </c>
      <c r="H45" s="287">
        <f t="shared" si="15"/>
        <v>1.5490566037735849</v>
      </c>
    </row>
    <row r="46" spans="1:8" ht="16.5">
      <c r="A46" s="216">
        <v>37803</v>
      </c>
      <c r="B46" s="226">
        <f>+geral!I1317</f>
        <v>14.75</v>
      </c>
      <c r="C46" s="211">
        <f t="shared" si="2"/>
        <v>150.20366598778003</v>
      </c>
      <c r="D46" s="211">
        <f t="shared" si="17"/>
        <v>-7.2327044025157221</v>
      </c>
      <c r="E46" s="211">
        <f t="shared" ref="E46:E51" si="19">100*((B46/$B$39)-1)</f>
        <v>15.234375</v>
      </c>
      <c r="F46" s="214">
        <f t="shared" si="18"/>
        <v>34.457611668185947</v>
      </c>
      <c r="G46" s="214">
        <f t="shared" si="12"/>
        <v>43.203883495145611</v>
      </c>
      <c r="H46" s="287">
        <f t="shared" si="15"/>
        <v>1.6698305084745761</v>
      </c>
    </row>
    <row r="47" spans="1:8" ht="16.5">
      <c r="A47" s="216">
        <v>37834</v>
      </c>
      <c r="B47" s="226">
        <f>+geral!I1318</f>
        <v>15.38</v>
      </c>
      <c r="C47" s="211">
        <f t="shared" si="2"/>
        <v>156.61914460285132</v>
      </c>
      <c r="D47" s="211">
        <f t="shared" ref="D47:D52" si="20">100*((B47/B46)-1)</f>
        <v>4.2711864406779654</v>
      </c>
      <c r="E47" s="211">
        <f t="shared" si="19"/>
        <v>20.156250000000007</v>
      </c>
      <c r="F47" s="214">
        <f t="shared" si="18"/>
        <v>13.925925925925942</v>
      </c>
      <c r="G47" s="214">
        <f t="shared" si="12"/>
        <v>11.287988422575989</v>
      </c>
      <c r="H47" s="287">
        <f t="shared" si="15"/>
        <v>1.6014304291287385</v>
      </c>
    </row>
    <row r="48" spans="1:8" ht="16.5">
      <c r="A48" s="216">
        <v>37865</v>
      </c>
      <c r="B48" s="226">
        <f>+geral!I1319</f>
        <v>14.69</v>
      </c>
      <c r="C48" s="211">
        <f t="shared" si="2"/>
        <v>149.59266802443992</v>
      </c>
      <c r="D48" s="211">
        <f t="shared" si="20"/>
        <v>-4.486345903771138</v>
      </c>
      <c r="E48" s="211">
        <f t="shared" si="19"/>
        <v>14.765624999999982</v>
      </c>
      <c r="F48" s="214">
        <f t="shared" ref="F48:F53" si="21">100*((B48/B36)-1)</f>
        <v>7.4615947329919496</v>
      </c>
      <c r="G48" s="214">
        <f t="shared" si="12"/>
        <v>91.276041666666671</v>
      </c>
      <c r="H48" s="287">
        <f t="shared" si="15"/>
        <v>1.6766507828454731</v>
      </c>
    </row>
    <row r="49" spans="1:8" ht="16.5">
      <c r="A49" s="216">
        <v>37895</v>
      </c>
      <c r="B49" s="226">
        <f>+geral!I1320</f>
        <v>14.68</v>
      </c>
      <c r="C49" s="211">
        <f t="shared" si="2"/>
        <v>149.4908350305499</v>
      </c>
      <c r="D49" s="211">
        <f t="shared" si="20"/>
        <v>-6.8073519400946303E-2</v>
      </c>
      <c r="E49" s="211">
        <f t="shared" si="19"/>
        <v>14.687499999999986</v>
      </c>
      <c r="F49" s="214">
        <f t="shared" si="21"/>
        <v>5.4597701149425193</v>
      </c>
      <c r="G49" s="214">
        <f t="shared" si="12"/>
        <v>43.219512195121943</v>
      </c>
      <c r="H49" s="287">
        <f t="shared" si="15"/>
        <v>1.6777929155313351</v>
      </c>
    </row>
    <row r="50" spans="1:8" ht="16.5">
      <c r="A50" s="216">
        <v>37926</v>
      </c>
      <c r="B50" s="226">
        <f>+geral!I1321</f>
        <v>12.38</v>
      </c>
      <c r="C50" s="211">
        <f t="shared" si="2"/>
        <v>126.06924643584522</v>
      </c>
      <c r="D50" s="211">
        <f t="shared" si="20"/>
        <v>-15.667574931880102</v>
      </c>
      <c r="E50" s="211">
        <f t="shared" si="19"/>
        <v>-3.2812500000000022</v>
      </c>
      <c r="F50" s="214">
        <f t="shared" si="21"/>
        <v>-13.42657342657343</v>
      </c>
      <c r="G50" s="214">
        <f t="shared" si="12"/>
        <v>2.1452145214521545</v>
      </c>
      <c r="H50" s="287">
        <f t="shared" si="15"/>
        <v>1.9894991922455572</v>
      </c>
    </row>
    <row r="51" spans="1:8" ht="16.5">
      <c r="A51" s="216">
        <v>37956</v>
      </c>
      <c r="B51" s="226">
        <f>+geral!I1322</f>
        <v>11.75</v>
      </c>
      <c r="C51" s="211">
        <f t="shared" si="2"/>
        <v>119.65376782077392</v>
      </c>
      <c r="D51" s="211">
        <f t="shared" si="20"/>
        <v>-5.0888529886914391</v>
      </c>
      <c r="E51" s="211">
        <f t="shared" si="19"/>
        <v>-8.203125</v>
      </c>
      <c r="F51" s="214">
        <f t="shared" si="21"/>
        <v>-8.203125</v>
      </c>
      <c r="G51" s="214">
        <f t="shared" si="12"/>
        <v>8.7962962962962798</v>
      </c>
      <c r="H51" s="287">
        <f t="shared" si="15"/>
        <v>2.0961702127659572</v>
      </c>
    </row>
    <row r="52" spans="1:8" ht="16.5">
      <c r="A52" s="216">
        <v>37987</v>
      </c>
      <c r="B52" s="226">
        <f>+geral!K1311</f>
        <v>15.32</v>
      </c>
      <c r="C52" s="211">
        <f t="shared" si="2"/>
        <v>156.00814663951121</v>
      </c>
      <c r="D52" s="211">
        <f t="shared" si="20"/>
        <v>30.382978723404253</v>
      </c>
      <c r="E52" s="211">
        <f t="shared" ref="E52:E58" si="22">100*((B52/$B$51)-1)</f>
        <v>30.382978723404253</v>
      </c>
      <c r="F52" s="214">
        <f t="shared" si="21"/>
        <v>6.2413314840499279</v>
      </c>
      <c r="G52" s="214">
        <f t="shared" si="12"/>
        <v>36.785714285714292</v>
      </c>
      <c r="H52" s="287">
        <f t="shared" si="15"/>
        <v>1.6077023498694516</v>
      </c>
    </row>
    <row r="53" spans="1:8" ht="16.5">
      <c r="A53" s="216">
        <v>38018</v>
      </c>
      <c r="B53" s="226">
        <f>+geral!K1312</f>
        <v>19.84</v>
      </c>
      <c r="C53" s="211">
        <f t="shared" si="2"/>
        <v>202.03665987780039</v>
      </c>
      <c r="D53" s="211">
        <f t="shared" ref="D53:D58" si="23">100*((B53/B52)-1)</f>
        <v>29.503916449086166</v>
      </c>
      <c r="E53" s="211">
        <f t="shared" si="22"/>
        <v>68.851063829787222</v>
      </c>
      <c r="F53" s="214">
        <f t="shared" si="21"/>
        <v>49.62292609351433</v>
      </c>
      <c r="G53" s="214">
        <f t="shared" si="12"/>
        <v>94.319294809010756</v>
      </c>
      <c r="H53" s="287">
        <f t="shared" si="15"/>
        <v>1.2414314516129032</v>
      </c>
    </row>
    <row r="54" spans="1:8" ht="16.5">
      <c r="A54" s="216">
        <v>38047</v>
      </c>
      <c r="B54" s="226">
        <f>+geral!K1313</f>
        <v>20</v>
      </c>
      <c r="C54" s="211">
        <f t="shared" si="2"/>
        <v>203.66598778004072</v>
      </c>
      <c r="D54" s="211">
        <f t="shared" si="23"/>
        <v>0.80645161290322509</v>
      </c>
      <c r="E54" s="211">
        <f t="shared" si="22"/>
        <v>70.212765957446805</v>
      </c>
      <c r="F54" s="214">
        <f t="shared" ref="F54:F59" si="24">100*((B54/B42)-1)</f>
        <v>16.279069767441868</v>
      </c>
      <c r="G54" s="214">
        <f t="shared" si="12"/>
        <v>62.074554294975684</v>
      </c>
      <c r="H54" s="287">
        <f t="shared" si="15"/>
        <v>1.2315</v>
      </c>
    </row>
    <row r="55" spans="1:8" ht="16.5">
      <c r="A55" s="216">
        <v>38078</v>
      </c>
      <c r="B55" s="226">
        <f>+geral!K1314</f>
        <v>21.9</v>
      </c>
      <c r="C55" s="211">
        <f t="shared" si="2"/>
        <v>223.01425661914459</v>
      </c>
      <c r="D55" s="211">
        <f t="shared" si="23"/>
        <v>9.4999999999999964</v>
      </c>
      <c r="E55" s="211">
        <f t="shared" si="22"/>
        <v>86.382978723404236</v>
      </c>
      <c r="F55" s="214">
        <f t="shared" si="24"/>
        <v>25.142857142857132</v>
      </c>
      <c r="G55" s="214">
        <f t="shared" si="12"/>
        <v>125.30864197530862</v>
      </c>
      <c r="H55" s="287">
        <f t="shared" si="15"/>
        <v>1.1246575342465754</v>
      </c>
    </row>
    <row r="56" spans="1:8" ht="16.5">
      <c r="A56" s="216">
        <v>38108</v>
      </c>
      <c r="B56" s="226">
        <f>+geral!K1315</f>
        <v>19.38</v>
      </c>
      <c r="C56" s="211">
        <f t="shared" si="2"/>
        <v>197.35234215885947</v>
      </c>
      <c r="D56" s="211">
        <f t="shared" si="23"/>
        <v>-11.506849315068489</v>
      </c>
      <c r="E56" s="211">
        <f t="shared" si="22"/>
        <v>64.936170212765944</v>
      </c>
      <c r="F56" s="214">
        <f t="shared" si="24"/>
        <v>35.999999999999986</v>
      </c>
      <c r="G56" s="214">
        <f t="shared" ref="G56:G61" si="25">100*(B56/B32-1)</f>
        <v>73.035714285714292</v>
      </c>
      <c r="H56" s="287">
        <f t="shared" si="15"/>
        <v>1.2708978328173375</v>
      </c>
    </row>
    <row r="57" spans="1:8" ht="16.5">
      <c r="A57" s="216">
        <v>38139</v>
      </c>
      <c r="B57" s="226">
        <f>+geral!K1316</f>
        <v>20.6</v>
      </c>
      <c r="C57" s="211">
        <f t="shared" si="2"/>
        <v>209.77596741344195</v>
      </c>
      <c r="D57" s="211">
        <f t="shared" si="23"/>
        <v>6.2951496388029105</v>
      </c>
      <c r="E57" s="211">
        <f t="shared" si="22"/>
        <v>75.319148936170222</v>
      </c>
      <c r="F57" s="214">
        <f t="shared" si="24"/>
        <v>29.559748427672972</v>
      </c>
      <c r="G57" s="214">
        <f t="shared" si="25"/>
        <v>70.247933884297538</v>
      </c>
      <c r="H57" s="287">
        <f t="shared" si="15"/>
        <v>1.195631067961165</v>
      </c>
    </row>
    <row r="58" spans="1:8" ht="16.5">
      <c r="A58" s="216">
        <v>38169</v>
      </c>
      <c r="B58" s="226">
        <f>+geral!K1317</f>
        <v>19.25</v>
      </c>
      <c r="C58" s="211">
        <f t="shared" si="2"/>
        <v>196.02851323828921</v>
      </c>
      <c r="D58" s="211">
        <f t="shared" si="23"/>
        <v>-6.5533980582524354</v>
      </c>
      <c r="E58" s="211">
        <f t="shared" si="22"/>
        <v>63.829787234042556</v>
      </c>
      <c r="F58" s="214">
        <f t="shared" si="24"/>
        <v>30.508474576271194</v>
      </c>
      <c r="G58" s="214">
        <f t="shared" si="25"/>
        <v>75.478577939835901</v>
      </c>
      <c r="H58" s="287">
        <f t="shared" si="15"/>
        <v>1.2794805194805194</v>
      </c>
    </row>
    <row r="59" spans="1:8" ht="16.5">
      <c r="A59" s="216">
        <v>38200</v>
      </c>
      <c r="B59" s="226">
        <f>+geral!K1318</f>
        <v>19.8</v>
      </c>
      <c r="C59" s="211">
        <f t="shared" si="2"/>
        <v>201.62932790224033</v>
      </c>
      <c r="D59" s="211">
        <f t="shared" ref="D59:D64" si="26">100*((B59/B58)-1)</f>
        <v>2.8571428571428692</v>
      </c>
      <c r="E59" s="211">
        <f>100*((B59/$B$51)-1)</f>
        <v>68.510638297872333</v>
      </c>
      <c r="F59" s="214">
        <f t="shared" si="24"/>
        <v>28.738621586475933</v>
      </c>
      <c r="G59" s="214">
        <f t="shared" si="25"/>
        <v>46.666666666666679</v>
      </c>
      <c r="H59" s="287">
        <f t="shared" si="15"/>
        <v>1.2439393939393939</v>
      </c>
    </row>
    <row r="60" spans="1:8" ht="16.5">
      <c r="A60" s="216">
        <v>38231</v>
      </c>
      <c r="B60" s="226">
        <f>+geral!K1319</f>
        <v>19.88</v>
      </c>
      <c r="C60" s="211">
        <f t="shared" si="2"/>
        <v>202.44399185336047</v>
      </c>
      <c r="D60" s="211">
        <f t="shared" si="26"/>
        <v>0.40404040404038444</v>
      </c>
      <c r="E60" s="211">
        <f>100*((B60/$B$51)-1)</f>
        <v>69.191489361702125</v>
      </c>
      <c r="F60" s="214">
        <f t="shared" ref="F60:F65" si="27">100*((B60/B48)-1)</f>
        <v>35.330156569094619</v>
      </c>
      <c r="G60" s="214">
        <f t="shared" si="25"/>
        <v>45.427944403803956</v>
      </c>
      <c r="H60" s="287">
        <f t="shared" si="15"/>
        <v>1.2389336016096579</v>
      </c>
    </row>
    <row r="61" spans="1:8" ht="16.5">
      <c r="A61" s="216">
        <v>38261</v>
      </c>
      <c r="B61" s="226">
        <f>+geral!K1320</f>
        <v>20.2</v>
      </c>
      <c r="C61" s="211">
        <f t="shared" si="2"/>
        <v>205.70264765784114</v>
      </c>
      <c r="D61" s="211">
        <f t="shared" si="26"/>
        <v>1.6096579476861272</v>
      </c>
      <c r="E61" s="211">
        <f>100*((B61/$B$51)-1)</f>
        <v>71.914893617021278</v>
      </c>
      <c r="F61" s="214">
        <f t="shared" si="27"/>
        <v>37.602179836512263</v>
      </c>
      <c r="G61" s="214">
        <f t="shared" si="25"/>
        <v>45.114942528735625</v>
      </c>
      <c r="H61" s="287">
        <f t="shared" si="15"/>
        <v>1.2193069306930693</v>
      </c>
    </row>
    <row r="62" spans="1:8" ht="16.5">
      <c r="A62" s="216">
        <v>38292</v>
      </c>
      <c r="B62" s="226">
        <f>+geral!K1321</f>
        <v>20.56</v>
      </c>
      <c r="C62" s="211">
        <f t="shared" si="2"/>
        <v>209.36863543788186</v>
      </c>
      <c r="D62" s="211">
        <f t="shared" si="26"/>
        <v>1.7821782178217838</v>
      </c>
      <c r="E62" s="211">
        <f>100*((B62/$B$51)-1)</f>
        <v>74.978723404255305</v>
      </c>
      <c r="F62" s="214">
        <f t="shared" si="27"/>
        <v>66.074313408723711</v>
      </c>
      <c r="G62" s="214">
        <f t="shared" ref="G62:G67" si="28">100*(B62/B38-1)</f>
        <v>43.776223776223766</v>
      </c>
      <c r="H62" s="287">
        <f t="shared" si="15"/>
        <v>1.1979571984435797</v>
      </c>
    </row>
    <row r="63" spans="1:8" ht="16.5">
      <c r="A63" s="216">
        <v>38322</v>
      </c>
      <c r="B63" s="226">
        <f>+geral!K1322</f>
        <v>19.940000000000001</v>
      </c>
      <c r="C63" s="211">
        <f t="shared" si="2"/>
        <v>203.05498981670064</v>
      </c>
      <c r="D63" s="211">
        <f t="shared" si="26"/>
        <v>-3.0155642023346196</v>
      </c>
      <c r="E63" s="211">
        <f>100*((B63/$B$51)-1)</f>
        <v>69.702127659574487</v>
      </c>
      <c r="F63" s="214">
        <f t="shared" si="27"/>
        <v>69.702127659574487</v>
      </c>
      <c r="G63" s="214">
        <f t="shared" si="28"/>
        <v>55.781250000000007</v>
      </c>
      <c r="H63" s="287">
        <f t="shared" si="15"/>
        <v>1.2352056168505516</v>
      </c>
    </row>
    <row r="64" spans="1:8" ht="16.5">
      <c r="A64" s="216">
        <v>38353</v>
      </c>
      <c r="B64" s="226">
        <f>+geral!M1311</f>
        <v>19.53</v>
      </c>
      <c r="C64" s="211">
        <f t="shared" si="2"/>
        <v>198.87983706720976</v>
      </c>
      <c r="D64" s="211">
        <f t="shared" si="26"/>
        <v>-2.0561685055165535</v>
      </c>
      <c r="E64" s="211">
        <f t="shared" ref="E64:E69" si="29">100*((B64/$B$63)-1)</f>
        <v>-2.0561685055165535</v>
      </c>
      <c r="F64" s="214">
        <f t="shared" si="27"/>
        <v>27.480417754569196</v>
      </c>
      <c r="G64" s="214">
        <f t="shared" si="28"/>
        <v>35.4368932038835</v>
      </c>
      <c r="H64" s="287">
        <f t="shared" si="15"/>
        <v>1.2611367127496158</v>
      </c>
    </row>
    <row r="65" spans="1:8" ht="16.5">
      <c r="A65" s="216">
        <v>38384</v>
      </c>
      <c r="B65" s="226">
        <f>+geral!M1312</f>
        <v>20.13</v>
      </c>
      <c r="C65" s="211">
        <f t="shared" si="2"/>
        <v>204.98981670061099</v>
      </c>
      <c r="D65" s="211">
        <f t="shared" ref="D65:D70" si="30">100*((B65/B64)-1)</f>
        <v>3.0721966205837115</v>
      </c>
      <c r="E65" s="211">
        <f t="shared" si="29"/>
        <v>0.95285857572717791</v>
      </c>
      <c r="F65" s="214">
        <f t="shared" si="27"/>
        <v>1.4616935483870996</v>
      </c>
      <c r="G65" s="214">
        <f t="shared" si="28"/>
        <v>51.809954751131215</v>
      </c>
      <c r="H65" s="287">
        <f t="shared" si="15"/>
        <v>1.2235469448584202</v>
      </c>
    </row>
    <row r="66" spans="1:8" ht="16.5">
      <c r="A66" s="216">
        <v>38412</v>
      </c>
      <c r="B66" s="226">
        <f>+geral!M1313</f>
        <v>20.94</v>
      </c>
      <c r="C66" s="211">
        <f t="shared" ref="C66:C87" si="31">100*B66/$B$8</f>
        <v>213.23828920570264</v>
      </c>
      <c r="D66" s="211">
        <f t="shared" si="30"/>
        <v>4.0238450074515653</v>
      </c>
      <c r="E66" s="211">
        <f t="shared" si="29"/>
        <v>5.0150451354062264</v>
      </c>
      <c r="F66" s="214">
        <f t="shared" ref="F66:F71" si="32">100*((B66/B54)-1)</f>
        <v>4.7000000000000153</v>
      </c>
      <c r="G66" s="214">
        <f t="shared" si="28"/>
        <v>21.744186046511651</v>
      </c>
      <c r="H66" s="287">
        <f t="shared" si="15"/>
        <v>1.1762177650429799</v>
      </c>
    </row>
    <row r="67" spans="1:8" ht="16.5">
      <c r="A67" s="216">
        <v>38443</v>
      </c>
      <c r="B67" s="226">
        <f>+geral!M1314</f>
        <v>22.1</v>
      </c>
      <c r="C67" s="211">
        <f t="shared" si="31"/>
        <v>225.05091649694501</v>
      </c>
      <c r="D67" s="211">
        <f t="shared" si="30"/>
        <v>5.5396370582617038</v>
      </c>
      <c r="E67" s="211">
        <f t="shared" si="29"/>
        <v>10.832497492477433</v>
      </c>
      <c r="F67" s="214">
        <f t="shared" si="32"/>
        <v>0.91324200913243114</v>
      </c>
      <c r="G67" s="214">
        <f t="shared" si="28"/>
        <v>26.285714285714292</v>
      </c>
      <c r="H67" s="287">
        <f t="shared" si="15"/>
        <v>1.1144796380090496</v>
      </c>
    </row>
    <row r="68" spans="1:8" ht="16.5">
      <c r="A68" s="216">
        <v>38473</v>
      </c>
      <c r="B68" s="226">
        <f>+geral!M1315</f>
        <v>19.579999999999998</v>
      </c>
      <c r="C68" s="211">
        <f t="shared" si="31"/>
        <v>199.38900203665986</v>
      </c>
      <c r="D68" s="211">
        <f t="shared" si="30"/>
        <v>-11.402714932126711</v>
      </c>
      <c r="E68" s="211">
        <f t="shared" si="29"/>
        <v>-1.80541624874625</v>
      </c>
      <c r="F68" s="214">
        <f t="shared" si="32"/>
        <v>1.031991744066052</v>
      </c>
      <c r="G68" s="214">
        <f t="shared" ref="G68:G73" si="33">100*(B68/B44-1)</f>
        <v>37.403508771929815</v>
      </c>
      <c r="H68" s="287">
        <f t="shared" si="15"/>
        <v>1.2579162410623086</v>
      </c>
    </row>
    <row r="69" spans="1:8" ht="16.5">
      <c r="A69" s="216">
        <v>38504</v>
      </c>
      <c r="B69" s="226">
        <f>+geral!M1316</f>
        <v>20.38</v>
      </c>
      <c r="C69" s="211">
        <f t="shared" si="31"/>
        <v>207.5356415478615</v>
      </c>
      <c r="D69" s="211">
        <f t="shared" si="30"/>
        <v>4.0858018386108252</v>
      </c>
      <c r="E69" s="211">
        <f t="shared" si="29"/>
        <v>2.206619859578729</v>
      </c>
      <c r="F69" s="214">
        <f t="shared" si="32"/>
        <v>-1.0679611650485588</v>
      </c>
      <c r="G69" s="214">
        <f t="shared" si="33"/>
        <v>28.176100628930811</v>
      </c>
      <c r="H69" s="287">
        <f t="shared" si="15"/>
        <v>1.2085377821393524</v>
      </c>
    </row>
    <row r="70" spans="1:8" ht="16.5">
      <c r="A70" s="216">
        <v>38534</v>
      </c>
      <c r="B70" s="226">
        <f>+geral!M1317</f>
        <v>16.329999999999998</v>
      </c>
      <c r="C70" s="211">
        <f t="shared" si="31"/>
        <v>166.29327902240323</v>
      </c>
      <c r="D70" s="211">
        <f t="shared" si="30"/>
        <v>-19.872423945044172</v>
      </c>
      <c r="E70" s="211">
        <f t="shared" ref="E70:E75" si="34">100*((B70/$B$63)-1)</f>
        <v>-18.104312938816459</v>
      </c>
      <c r="F70" s="214">
        <f t="shared" si="32"/>
        <v>-15.168831168831176</v>
      </c>
      <c r="G70" s="214">
        <f t="shared" si="33"/>
        <v>10.711864406779647</v>
      </c>
      <c r="H70" s="287">
        <f t="shared" si="15"/>
        <v>1.5082669932639314</v>
      </c>
    </row>
    <row r="71" spans="1:8" ht="16.5">
      <c r="A71" s="216">
        <v>38565</v>
      </c>
      <c r="B71" s="226">
        <f>+geral!M1318</f>
        <v>16.54</v>
      </c>
      <c r="C71" s="211">
        <f t="shared" si="31"/>
        <v>168.43177189409369</v>
      </c>
      <c r="D71" s="211">
        <f t="shared" ref="D71:D76" si="35">100*((B71/B70)-1)</f>
        <v>1.2859767299448821</v>
      </c>
      <c r="E71" s="211">
        <f t="shared" si="34"/>
        <v>-17.051153460381151</v>
      </c>
      <c r="F71" s="214">
        <f t="shared" si="32"/>
        <v>-16.464646464646471</v>
      </c>
      <c r="G71" s="214">
        <f t="shared" si="33"/>
        <v>7.542262678803624</v>
      </c>
      <c r="H71" s="287">
        <f t="shared" ref="H71:H102" si="36">(B$171/B71)</f>
        <v>1.4891172914147521</v>
      </c>
    </row>
    <row r="72" spans="1:8" ht="16.5">
      <c r="A72" s="216">
        <v>38596</v>
      </c>
      <c r="B72" s="226">
        <f>+geral!M1319</f>
        <v>16.829999999999998</v>
      </c>
      <c r="C72" s="211">
        <f t="shared" si="31"/>
        <v>171.38492871690426</v>
      </c>
      <c r="D72" s="211">
        <f t="shared" si="35"/>
        <v>1.7533252720677073</v>
      </c>
      <c r="E72" s="211">
        <f t="shared" si="34"/>
        <v>-15.596790371113356</v>
      </c>
      <c r="F72" s="214">
        <f t="shared" ref="F72:F77" si="37">100*((B72/B60)-1)</f>
        <v>-15.342052313883304</v>
      </c>
      <c r="G72" s="214">
        <f t="shared" si="33"/>
        <v>14.56773315180393</v>
      </c>
      <c r="H72" s="287">
        <f t="shared" si="36"/>
        <v>1.4634581105169342</v>
      </c>
    </row>
    <row r="73" spans="1:8" ht="16.5">
      <c r="A73" s="216">
        <v>38626</v>
      </c>
      <c r="B73" s="226">
        <f>+geral!M1320</f>
        <v>14.86</v>
      </c>
      <c r="C73" s="211">
        <f t="shared" si="31"/>
        <v>151.32382892057026</v>
      </c>
      <c r="D73" s="211">
        <f t="shared" si="35"/>
        <v>-11.705288175876404</v>
      </c>
      <c r="E73" s="211">
        <f t="shared" si="34"/>
        <v>-25.476429287863599</v>
      </c>
      <c r="F73" s="214">
        <f t="shared" si="37"/>
        <v>-26.435643564356436</v>
      </c>
      <c r="G73" s="214">
        <f t="shared" si="33"/>
        <v>1.2261580381471404</v>
      </c>
      <c r="H73" s="287">
        <f t="shared" si="36"/>
        <v>1.6574697173620458</v>
      </c>
    </row>
    <row r="74" spans="1:8" ht="16.5">
      <c r="A74" s="216">
        <v>38657</v>
      </c>
      <c r="B74" s="226">
        <f>+geral!M1321</f>
        <v>14.43</v>
      </c>
      <c r="C74" s="211">
        <f t="shared" si="31"/>
        <v>146.94501018329939</v>
      </c>
      <c r="D74" s="211">
        <f t="shared" si="35"/>
        <v>-2.893674293405113</v>
      </c>
      <c r="E74" s="211">
        <f t="shared" si="34"/>
        <v>-27.632898696088269</v>
      </c>
      <c r="F74" s="214">
        <f t="shared" si="37"/>
        <v>-29.81517509727626</v>
      </c>
      <c r="G74" s="214">
        <f t="shared" ref="G74:G79" si="38">100*(B74/B50-1)</f>
        <v>16.558966074313396</v>
      </c>
      <c r="H74" s="287">
        <f t="shared" si="36"/>
        <v>1.7068607068607069</v>
      </c>
    </row>
    <row r="75" spans="1:8" ht="16.5">
      <c r="A75" s="216">
        <v>38687</v>
      </c>
      <c r="B75" s="226">
        <f>+geral!M1322</f>
        <v>15.77</v>
      </c>
      <c r="C75" s="211">
        <f t="shared" si="31"/>
        <v>160.59063136456211</v>
      </c>
      <c r="D75" s="211">
        <f t="shared" si="35"/>
        <v>9.2862092862092904</v>
      </c>
      <c r="E75" s="211">
        <f t="shared" si="34"/>
        <v>-20.912738214643944</v>
      </c>
      <c r="F75" s="214">
        <f t="shared" si="37"/>
        <v>-20.912738214643944</v>
      </c>
      <c r="G75" s="214">
        <f t="shared" si="38"/>
        <v>34.212765957446798</v>
      </c>
      <c r="H75" s="287">
        <f t="shared" si="36"/>
        <v>1.5618262523779327</v>
      </c>
    </row>
    <row r="76" spans="1:8" ht="16.5">
      <c r="A76" s="216">
        <v>38718</v>
      </c>
      <c r="B76" s="226">
        <f>geral!C1326</f>
        <v>14.89</v>
      </c>
      <c r="C76" s="211">
        <f t="shared" si="31"/>
        <v>151.62932790224033</v>
      </c>
      <c r="D76" s="211">
        <f t="shared" si="35"/>
        <v>-5.5802155992390574</v>
      </c>
      <c r="E76" s="211">
        <f t="shared" ref="E76:E81" si="39">100*((B76/$B$75)-1)</f>
        <v>-5.5802155992390574</v>
      </c>
      <c r="F76" s="214">
        <f t="shared" si="37"/>
        <v>-23.758320532514087</v>
      </c>
      <c r="G76" s="214">
        <f t="shared" si="38"/>
        <v>-2.8067885117493474</v>
      </c>
      <c r="H76" s="287">
        <f t="shared" si="36"/>
        <v>1.6541302887844189</v>
      </c>
    </row>
    <row r="77" spans="1:8" ht="16.5">
      <c r="A77" s="216">
        <v>38749</v>
      </c>
      <c r="B77" s="226">
        <f>geral!C1327</f>
        <v>15.17</v>
      </c>
      <c r="C77" s="211">
        <f t="shared" si="31"/>
        <v>154.48065173116089</v>
      </c>
      <c r="D77" s="211">
        <f t="shared" ref="D77:D82" si="40">100*((B77/B76)-1)</f>
        <v>1.8804566823371394</v>
      </c>
      <c r="E77" s="211">
        <f t="shared" si="39"/>
        <v>-3.8046924540266258</v>
      </c>
      <c r="F77" s="214">
        <f t="shared" si="37"/>
        <v>-24.639841033283648</v>
      </c>
      <c r="G77" s="214">
        <f t="shared" si="38"/>
        <v>-23.5383064516129</v>
      </c>
      <c r="H77" s="287">
        <f t="shared" si="36"/>
        <v>1.6235992089650626</v>
      </c>
    </row>
    <row r="78" spans="1:8" ht="16.5">
      <c r="A78" s="216">
        <v>38777</v>
      </c>
      <c r="B78" s="226">
        <f>geral!C1328</f>
        <v>14.72</v>
      </c>
      <c r="C78" s="211">
        <f t="shared" si="31"/>
        <v>149.89816700610999</v>
      </c>
      <c r="D78" s="211">
        <f t="shared" si="40"/>
        <v>-2.9663810151615011</v>
      </c>
      <c r="E78" s="211">
        <f t="shared" si="39"/>
        <v>-6.658211794546598</v>
      </c>
      <c r="F78" s="214">
        <f t="shared" ref="F78:F83" si="41">100*((B78/B66)-1)</f>
        <v>-29.703915950334292</v>
      </c>
      <c r="G78" s="214">
        <f t="shared" si="38"/>
        <v>-26.400000000000002</v>
      </c>
      <c r="H78" s="287">
        <f t="shared" si="36"/>
        <v>1.6732336956521738</v>
      </c>
    </row>
    <row r="79" spans="1:8" ht="16.5">
      <c r="A79" s="216">
        <v>38808</v>
      </c>
      <c r="B79" s="226">
        <f>geral!C1329</f>
        <v>14.26</v>
      </c>
      <c r="C79" s="211">
        <f t="shared" si="31"/>
        <v>145.21384928716904</v>
      </c>
      <c r="D79" s="211">
        <f t="shared" si="40"/>
        <v>-3.1250000000000111</v>
      </c>
      <c r="E79" s="211">
        <f t="shared" si="39"/>
        <v>-9.5751426759670295</v>
      </c>
      <c r="F79" s="214">
        <f t="shared" si="41"/>
        <v>-35.475113122171955</v>
      </c>
      <c r="G79" s="214">
        <f t="shared" si="38"/>
        <v>-34.885844748858439</v>
      </c>
      <c r="H79" s="287">
        <f t="shared" si="36"/>
        <v>1.7272089761570828</v>
      </c>
    </row>
    <row r="80" spans="1:8" ht="16.5">
      <c r="A80" s="216">
        <v>38838</v>
      </c>
      <c r="B80" s="226">
        <f>geral!C1330</f>
        <v>14.21</v>
      </c>
      <c r="C80" s="211">
        <f t="shared" si="31"/>
        <v>144.70468431771894</v>
      </c>
      <c r="D80" s="211">
        <f t="shared" si="40"/>
        <v>-0.35063113604487661</v>
      </c>
      <c r="E80" s="211">
        <f t="shared" si="39"/>
        <v>-9.8922003804692409</v>
      </c>
      <c r="F80" s="214">
        <f t="shared" si="41"/>
        <v>-27.425944841675165</v>
      </c>
      <c r="G80" s="214">
        <f t="shared" ref="G80:G85" si="42">100*(B80/B56-1)</f>
        <v>-26.676986584107322</v>
      </c>
      <c r="H80" s="287">
        <f t="shared" si="36"/>
        <v>1.7332864180154819</v>
      </c>
    </row>
    <row r="81" spans="1:10" ht="16.5">
      <c r="A81" s="216">
        <v>38869</v>
      </c>
      <c r="B81" s="226">
        <f>geral!C1331</f>
        <v>13.8</v>
      </c>
      <c r="C81" s="211">
        <f t="shared" si="31"/>
        <v>140.52953156822809</v>
      </c>
      <c r="D81" s="211">
        <f t="shared" si="40"/>
        <v>-2.885292047853627</v>
      </c>
      <c r="E81" s="211">
        <f t="shared" si="39"/>
        <v>-12.492073557387439</v>
      </c>
      <c r="F81" s="214">
        <f t="shared" si="41"/>
        <v>-32.286555446516182</v>
      </c>
      <c r="G81" s="214">
        <f t="shared" si="42"/>
        <v>-33.009708737864074</v>
      </c>
      <c r="H81" s="287">
        <f t="shared" si="36"/>
        <v>1.784782608695652</v>
      </c>
    </row>
    <row r="82" spans="1:10" ht="16.5">
      <c r="A82" s="216">
        <v>38899</v>
      </c>
      <c r="B82" s="226">
        <f>geral!C1332</f>
        <v>15.71</v>
      </c>
      <c r="C82" s="211">
        <f t="shared" si="31"/>
        <v>159.979633401222</v>
      </c>
      <c r="D82" s="211">
        <f t="shared" si="40"/>
        <v>13.840579710144919</v>
      </c>
      <c r="E82" s="211">
        <f t="shared" ref="E82:E87" si="43">100*((B82/$B$75)-1)</f>
        <v>-0.38046924540265925</v>
      </c>
      <c r="F82" s="214">
        <f t="shared" si="41"/>
        <v>-3.7966932026944122</v>
      </c>
      <c r="G82" s="214">
        <f t="shared" si="42"/>
        <v>-18.38961038961039</v>
      </c>
      <c r="H82" s="287">
        <f t="shared" si="36"/>
        <v>1.5677912157861233</v>
      </c>
    </row>
    <row r="83" spans="1:10" ht="16.5">
      <c r="A83" s="216">
        <v>38930</v>
      </c>
      <c r="B83" s="226">
        <f>geral!C1333</f>
        <v>14.5</v>
      </c>
      <c r="C83" s="211">
        <f t="shared" si="31"/>
        <v>147.65784114052954</v>
      </c>
      <c r="D83" s="211">
        <f t="shared" ref="D83:D88" si="44">100*((B83/B82)-1)</f>
        <v>-7.702100572883519</v>
      </c>
      <c r="E83" s="211">
        <f t="shared" si="43"/>
        <v>-8.0532656943563712</v>
      </c>
      <c r="F83" s="214">
        <f t="shared" si="41"/>
        <v>-12.33373639661426</v>
      </c>
      <c r="G83" s="214">
        <f t="shared" si="42"/>
        <v>-26.767676767676775</v>
      </c>
      <c r="H83" s="287">
        <f t="shared" si="36"/>
        <v>1.6986206896551723</v>
      </c>
    </row>
    <row r="84" spans="1:10" ht="16.5">
      <c r="A84" s="216">
        <v>38961</v>
      </c>
      <c r="B84" s="226">
        <f>geral!C1334</f>
        <v>16.37</v>
      </c>
      <c r="C84" s="211">
        <f t="shared" si="31"/>
        <v>166.70061099796334</v>
      </c>
      <c r="D84" s="211">
        <f t="shared" si="44"/>
        <v>12.896551724137929</v>
      </c>
      <c r="E84" s="211">
        <f t="shared" si="43"/>
        <v>3.8046924540266369</v>
      </c>
      <c r="F84" s="214">
        <f t="shared" ref="F84:F89" si="45">100*((B84/B72)-1)</f>
        <v>-2.7332144979203665</v>
      </c>
      <c r="G84" s="214">
        <f t="shared" si="42"/>
        <v>-17.655935613682082</v>
      </c>
      <c r="H84" s="287">
        <f t="shared" si="36"/>
        <v>1.5045815516188148</v>
      </c>
    </row>
    <row r="85" spans="1:10" ht="16.5">
      <c r="A85" s="216">
        <v>38991</v>
      </c>
      <c r="B85" s="226">
        <f>geral!C1335</f>
        <v>17.79</v>
      </c>
      <c r="C85" s="211">
        <f t="shared" si="31"/>
        <v>181.16089613034623</v>
      </c>
      <c r="D85" s="211">
        <f t="shared" si="44"/>
        <v>8.674404398289548</v>
      </c>
      <c r="E85" s="211">
        <f t="shared" si="43"/>
        <v>12.809131261889672</v>
      </c>
      <c r="F85" s="214">
        <f t="shared" si="45"/>
        <v>19.717362045760424</v>
      </c>
      <c r="G85" s="214">
        <f t="shared" si="42"/>
        <v>-11.93069306930693</v>
      </c>
      <c r="H85" s="287">
        <f t="shared" si="36"/>
        <v>1.384485666104553</v>
      </c>
    </row>
    <row r="86" spans="1:10" ht="16.5">
      <c r="A86" s="216">
        <v>39022</v>
      </c>
      <c r="B86" s="226">
        <f>geral!C1336</f>
        <v>15.86</v>
      </c>
      <c r="C86" s="211">
        <f t="shared" si="31"/>
        <v>161.50712830957229</v>
      </c>
      <c r="D86" s="211">
        <f t="shared" si="44"/>
        <v>-10.848791455874085</v>
      </c>
      <c r="E86" s="211">
        <f t="shared" si="43"/>
        <v>0.57070386810398332</v>
      </c>
      <c r="F86" s="214">
        <f t="shared" si="45"/>
        <v>9.9099099099098975</v>
      </c>
      <c r="G86" s="214">
        <f t="shared" ref="G86:G91" si="46">100*(B86/B62-1)</f>
        <v>-22.859922178988324</v>
      </c>
      <c r="H86" s="287">
        <f t="shared" si="36"/>
        <v>1.5529634300126103</v>
      </c>
    </row>
    <row r="87" spans="1:10" ht="14.25" customHeight="1">
      <c r="A87" s="216">
        <v>39052</v>
      </c>
      <c r="B87" s="226">
        <f>geral!C1337</f>
        <v>15.53</v>
      </c>
      <c r="C87" s="211">
        <f t="shared" si="31"/>
        <v>158.14663951120161</v>
      </c>
      <c r="D87" s="211">
        <f t="shared" si="44"/>
        <v>-2.080706179066838</v>
      </c>
      <c r="E87" s="211">
        <f t="shared" si="43"/>
        <v>-1.5218769816106592</v>
      </c>
      <c r="F87" s="214">
        <f t="shared" si="45"/>
        <v>-1.5218769816106592</v>
      </c>
      <c r="G87" s="214">
        <f t="shared" si="46"/>
        <v>-22.116349047141437</v>
      </c>
      <c r="H87" s="287">
        <f t="shared" si="36"/>
        <v>1.5859626529298132</v>
      </c>
    </row>
    <row r="88" spans="1:10" ht="16.5">
      <c r="A88" s="216">
        <v>38718</v>
      </c>
      <c r="B88" s="226">
        <f>geral!E1326</f>
        <v>16.71</v>
      </c>
      <c r="C88" s="211">
        <f t="shared" ref="C88:C147" si="47">100*B88/$B$8</f>
        <v>170.16293279022403</v>
      </c>
      <c r="D88" s="211">
        <f t="shared" si="44"/>
        <v>7.5981970379910058</v>
      </c>
      <c r="E88" s="211">
        <f t="shared" ref="E88:E93" si="48">100*((B88/$B$87)-1)</f>
        <v>7.5981970379910058</v>
      </c>
      <c r="F88" s="214">
        <f t="shared" si="45"/>
        <v>12.222968435191394</v>
      </c>
      <c r="G88" s="214">
        <f t="shared" si="46"/>
        <v>-14.439324116743467</v>
      </c>
      <c r="H88" s="287">
        <f t="shared" si="36"/>
        <v>1.4739676840215439</v>
      </c>
    </row>
    <row r="89" spans="1:10" ht="16.5">
      <c r="A89" s="216">
        <v>39114</v>
      </c>
      <c r="B89" s="226">
        <f>geral!E1327</f>
        <v>15.41</v>
      </c>
      <c r="C89" s="211">
        <f t="shared" si="47"/>
        <v>156.92464358452139</v>
      </c>
      <c r="D89" s="211">
        <f t="shared" ref="D89:D99" si="49">100*((B89/B88)-1)</f>
        <v>-7.7797725912627236</v>
      </c>
      <c r="E89" s="211">
        <f t="shared" si="48"/>
        <v>-0.7726980038634812</v>
      </c>
      <c r="F89" s="214">
        <f t="shared" si="45"/>
        <v>1.5820698747528006</v>
      </c>
      <c r="G89" s="214">
        <f t="shared" si="46"/>
        <v>-23.447590660705409</v>
      </c>
      <c r="H89" s="287">
        <f t="shared" si="36"/>
        <v>1.5983127839065541</v>
      </c>
    </row>
    <row r="90" spans="1:10" ht="16.5">
      <c r="A90" s="216">
        <v>39142</v>
      </c>
      <c r="B90" s="226">
        <f>geral!E1328</f>
        <v>16</v>
      </c>
      <c r="C90" s="211">
        <f t="shared" si="47"/>
        <v>162.93279022403257</v>
      </c>
      <c r="D90" s="211">
        <f t="shared" si="49"/>
        <v>3.8286826735885793</v>
      </c>
      <c r="E90" s="211">
        <f t="shared" si="48"/>
        <v>3.0264005151320106</v>
      </c>
      <c r="F90" s="214">
        <f t="shared" ref="F90:F99" si="50">100*((B90/B78)-1)</f>
        <v>8.6956521739130377</v>
      </c>
      <c r="G90" s="214">
        <f t="shared" si="46"/>
        <v>-23.591212989493794</v>
      </c>
      <c r="H90" s="287">
        <f t="shared" si="36"/>
        <v>1.5393749999999999</v>
      </c>
    </row>
    <row r="91" spans="1:10" ht="16.5">
      <c r="A91" s="216">
        <v>39173</v>
      </c>
      <c r="B91" s="226">
        <f>geral!E1329</f>
        <v>17.399999999999999</v>
      </c>
      <c r="C91" s="211">
        <f t="shared" si="47"/>
        <v>177.18940936863541</v>
      </c>
      <c r="D91" s="211">
        <f t="shared" si="49"/>
        <v>8.7499999999999911</v>
      </c>
      <c r="E91" s="211">
        <f t="shared" si="48"/>
        <v>12.041210560206039</v>
      </c>
      <c r="F91" s="214">
        <f t="shared" si="50"/>
        <v>22.019635343618503</v>
      </c>
      <c r="G91" s="214">
        <f t="shared" si="46"/>
        <v>-21.266968325791868</v>
      </c>
      <c r="H91" s="287">
        <f t="shared" si="36"/>
        <v>1.4155172413793105</v>
      </c>
    </row>
    <row r="92" spans="1:10" ht="16.5">
      <c r="A92" s="218">
        <v>39203</v>
      </c>
      <c r="B92" s="226">
        <f>geral!E1330</f>
        <v>16.8</v>
      </c>
      <c r="C92" s="211">
        <f t="shared" si="47"/>
        <v>171.07942973523421</v>
      </c>
      <c r="D92" s="211">
        <f t="shared" si="49"/>
        <v>-3.4482758620689502</v>
      </c>
      <c r="E92" s="211">
        <f t="shared" si="48"/>
        <v>8.1777205408886111</v>
      </c>
      <c r="F92" s="214">
        <f t="shared" si="50"/>
        <v>18.226600985221665</v>
      </c>
      <c r="G92" s="214">
        <f t="shared" ref="G92:G99" si="51">100*(B92/B68-1)</f>
        <v>-14.198161389172615</v>
      </c>
      <c r="H92" s="287">
        <f t="shared" si="36"/>
        <v>1.4660714285714285</v>
      </c>
    </row>
    <row r="93" spans="1:10" ht="16.5">
      <c r="A93" s="218">
        <v>39234</v>
      </c>
      <c r="B93" s="226">
        <f>geral!E1331</f>
        <v>17.142857142857142</v>
      </c>
      <c r="C93" s="211">
        <f t="shared" si="47"/>
        <v>174.57084666860632</v>
      </c>
      <c r="D93" s="211">
        <f t="shared" si="49"/>
        <v>2.0408163265306145</v>
      </c>
      <c r="E93" s="211">
        <f t="shared" si="48"/>
        <v>10.385429123355717</v>
      </c>
      <c r="F93" s="214">
        <f t="shared" si="50"/>
        <v>24.223602484472039</v>
      </c>
      <c r="G93" s="214">
        <f t="shared" si="51"/>
        <v>-15.883919809336888</v>
      </c>
      <c r="H93" s="287">
        <f t="shared" si="36"/>
        <v>1.43675</v>
      </c>
    </row>
    <row r="94" spans="1:10" ht="16.5">
      <c r="A94" s="218">
        <v>39264</v>
      </c>
      <c r="B94" s="226">
        <f>geral!E1332</f>
        <v>15.842857142857143</v>
      </c>
      <c r="C94" s="211">
        <f t="shared" si="47"/>
        <v>161.33255746290371</v>
      </c>
      <c r="D94" s="211">
        <f t="shared" si="49"/>
        <v>-7.5833333333333304</v>
      </c>
      <c r="E94" s="211">
        <f t="shared" ref="E94:E99" si="52">100*((B94/$B$87)-1)</f>
        <v>2.0145340815012514</v>
      </c>
      <c r="F94" s="214">
        <f t="shared" si="50"/>
        <v>0.84568518686913841</v>
      </c>
      <c r="G94" s="214">
        <f t="shared" si="51"/>
        <v>-2.9831160878313168</v>
      </c>
      <c r="H94" s="287">
        <f t="shared" si="36"/>
        <v>1.5546438232642019</v>
      </c>
      <c r="I94" s="215" t="s">
        <v>241</v>
      </c>
      <c r="J94" s="64"/>
    </row>
    <row r="95" spans="1:10" ht="16.5">
      <c r="A95" s="218">
        <v>39295</v>
      </c>
      <c r="B95" s="226">
        <f>geral!E1333</f>
        <v>16.25</v>
      </c>
      <c r="C95" s="211">
        <f t="shared" si="47"/>
        <v>165.47861507128309</v>
      </c>
      <c r="D95" s="211">
        <f t="shared" si="49"/>
        <v>2.5698827772768329</v>
      </c>
      <c r="E95" s="211">
        <f t="shared" si="52"/>
        <v>4.6361880231809538</v>
      </c>
      <c r="F95" s="214">
        <f t="shared" si="50"/>
        <v>12.06896551724137</v>
      </c>
      <c r="G95" s="214">
        <f t="shared" si="51"/>
        <v>-1.7533252720677073</v>
      </c>
      <c r="H95" s="287">
        <f t="shared" si="36"/>
        <v>1.5156923076923077</v>
      </c>
    </row>
    <row r="96" spans="1:10" ht="16.5">
      <c r="A96" s="218">
        <v>39326</v>
      </c>
      <c r="B96" s="226">
        <f>geral!E1334</f>
        <v>16.8</v>
      </c>
      <c r="C96" s="211">
        <f t="shared" si="47"/>
        <v>171.07942973523421</v>
      </c>
      <c r="D96" s="211">
        <f t="shared" si="49"/>
        <v>3.3846153846153859</v>
      </c>
      <c r="E96" s="211">
        <f t="shared" si="52"/>
        <v>8.1777205408886111</v>
      </c>
      <c r="F96" s="214">
        <f t="shared" si="50"/>
        <v>2.6267562614538775</v>
      </c>
      <c r="G96" s="214">
        <f t="shared" si="51"/>
        <v>-0.17825311942957223</v>
      </c>
      <c r="H96" s="287">
        <f t="shared" si="36"/>
        <v>1.4660714285714285</v>
      </c>
    </row>
    <row r="97" spans="1:8" ht="16.5">
      <c r="A97" s="218">
        <v>39356</v>
      </c>
      <c r="B97" s="226">
        <f>geral!E1335</f>
        <v>16.571428571428573</v>
      </c>
      <c r="C97" s="211">
        <f t="shared" si="47"/>
        <v>168.75181844631948</v>
      </c>
      <c r="D97" s="211">
        <f t="shared" si="49"/>
        <v>-1.3605442176870652</v>
      </c>
      <c r="E97" s="211">
        <f t="shared" si="52"/>
        <v>6.7059148192438744</v>
      </c>
      <c r="F97" s="214">
        <f t="shared" si="50"/>
        <v>-6.8497550790973971</v>
      </c>
      <c r="G97" s="214">
        <f t="shared" si="51"/>
        <v>11.517015958469546</v>
      </c>
      <c r="H97" s="287">
        <f t="shared" si="36"/>
        <v>1.4862931034482756</v>
      </c>
    </row>
    <row r="98" spans="1:8" ht="16.5">
      <c r="A98" s="218">
        <v>39387</v>
      </c>
      <c r="B98" s="226">
        <f>geral!E1336</f>
        <v>15.928571428571429</v>
      </c>
      <c r="C98" s="211">
        <f t="shared" si="47"/>
        <v>162.20541169624673</v>
      </c>
      <c r="D98" s="211">
        <f t="shared" si="49"/>
        <v>-3.8793103448275912</v>
      </c>
      <c r="E98" s="211">
        <f t="shared" si="52"/>
        <v>2.5664612271180332</v>
      </c>
      <c r="F98" s="214">
        <f t="shared" si="50"/>
        <v>0.43235453071519547</v>
      </c>
      <c r="G98" s="214">
        <f t="shared" si="51"/>
        <v>10.385110385110385</v>
      </c>
      <c r="H98" s="287">
        <f t="shared" si="36"/>
        <v>1.5462780269058296</v>
      </c>
    </row>
    <row r="99" spans="1:8" ht="16.5">
      <c r="A99" s="218">
        <v>39417</v>
      </c>
      <c r="B99" s="226">
        <f>geral!E1337</f>
        <v>16</v>
      </c>
      <c r="C99" s="211">
        <f t="shared" si="47"/>
        <v>162.93279022403257</v>
      </c>
      <c r="D99" s="211">
        <f t="shared" si="49"/>
        <v>0.4484304932735439</v>
      </c>
      <c r="E99" s="211">
        <f t="shared" si="52"/>
        <v>3.0264005151320106</v>
      </c>
      <c r="F99" s="214">
        <f t="shared" si="50"/>
        <v>3.0264005151320106</v>
      </c>
      <c r="G99" s="214">
        <f t="shared" si="51"/>
        <v>1.4584654407102216</v>
      </c>
      <c r="H99" s="287">
        <f t="shared" si="36"/>
        <v>1.5393749999999999</v>
      </c>
    </row>
    <row r="100" spans="1:8" ht="16.5">
      <c r="A100" s="218">
        <v>39448</v>
      </c>
      <c r="B100" s="226">
        <f>geral!G1326</f>
        <v>15.2</v>
      </c>
      <c r="C100" s="211">
        <f t="shared" si="47"/>
        <v>154.78615071283096</v>
      </c>
      <c r="D100" s="211">
        <f t="shared" ref="D100:D105" si="53">100*((B100/B99)-1)</f>
        <v>-5.0000000000000044</v>
      </c>
      <c r="E100" s="211">
        <f t="shared" ref="E100:E105" si="54">100*((B100/$B$99)-1)</f>
        <v>-5.0000000000000044</v>
      </c>
      <c r="F100" s="214">
        <f t="shared" ref="F100:F105" si="55">100*((B100/B88)-1)</f>
        <v>-9.0365050867743939</v>
      </c>
      <c r="G100" s="214">
        <f t="shared" ref="G100:G105" si="56">100*(B100/B76-1)</f>
        <v>2.0819341840160988</v>
      </c>
      <c r="H100" s="287">
        <f t="shared" si="36"/>
        <v>1.6203947368421052</v>
      </c>
    </row>
    <row r="101" spans="1:8" ht="16.5">
      <c r="A101" s="218">
        <v>39479</v>
      </c>
      <c r="B101" s="226">
        <f>geral!G1327</f>
        <v>16.333333333333332</v>
      </c>
      <c r="C101" s="211">
        <f t="shared" si="47"/>
        <v>166.32722335369991</v>
      </c>
      <c r="D101" s="211">
        <f t="shared" si="53"/>
        <v>7.4561403508771829</v>
      </c>
      <c r="E101" s="211">
        <f t="shared" si="54"/>
        <v>2.0833333333333259</v>
      </c>
      <c r="F101" s="214">
        <f t="shared" si="55"/>
        <v>5.9917802292883238</v>
      </c>
      <c r="G101" s="214">
        <f t="shared" si="56"/>
        <v>7.6686442540101041</v>
      </c>
      <c r="H101" s="287">
        <f t="shared" si="36"/>
        <v>1.5079591836734694</v>
      </c>
    </row>
    <row r="102" spans="1:8" ht="16.5">
      <c r="A102" s="218">
        <v>39508</v>
      </c>
      <c r="B102" s="226">
        <f>geral!G1328</f>
        <v>16.25</v>
      </c>
      <c r="C102" s="211">
        <f t="shared" si="47"/>
        <v>165.47861507128309</v>
      </c>
      <c r="D102" s="211">
        <f t="shared" si="53"/>
        <v>-0.51020408163264808</v>
      </c>
      <c r="E102" s="211">
        <f t="shared" si="54"/>
        <v>1.5625</v>
      </c>
      <c r="F102" s="214">
        <f t="shared" si="55"/>
        <v>1.5625</v>
      </c>
      <c r="G102" s="214">
        <f t="shared" si="56"/>
        <v>10.394021739130421</v>
      </c>
      <c r="H102" s="287">
        <f t="shared" si="36"/>
        <v>1.5156923076923077</v>
      </c>
    </row>
    <row r="103" spans="1:8" ht="16.5">
      <c r="A103" s="218">
        <v>39539</v>
      </c>
      <c r="B103" s="226">
        <f>geral!G1329</f>
        <v>16.342857142857145</v>
      </c>
      <c r="C103" s="211">
        <f t="shared" si="47"/>
        <v>166.42420715740474</v>
      </c>
      <c r="D103" s="211">
        <f t="shared" si="53"/>
        <v>0.57142857142857828</v>
      </c>
      <c r="E103" s="211">
        <f t="shared" si="54"/>
        <v>2.1428571428571574</v>
      </c>
      <c r="F103" s="214">
        <f t="shared" si="55"/>
        <v>-6.0755336617405398</v>
      </c>
      <c r="G103" s="214">
        <f t="shared" si="56"/>
        <v>14.606291324383914</v>
      </c>
      <c r="H103" s="287">
        <f t="shared" ref="H103:H134" si="57">(B$171/B103)</f>
        <v>1.5070804195804193</v>
      </c>
    </row>
    <row r="104" spans="1:8" ht="16.5">
      <c r="A104" s="218">
        <v>39569</v>
      </c>
      <c r="B104" s="226">
        <f>geral!G1330</f>
        <v>17</v>
      </c>
      <c r="C104" s="211">
        <f t="shared" si="47"/>
        <v>173.11608961303463</v>
      </c>
      <c r="D104" s="211">
        <f t="shared" si="53"/>
        <v>4.0209790209789986</v>
      </c>
      <c r="E104" s="211">
        <f t="shared" si="54"/>
        <v>6.25</v>
      </c>
      <c r="F104" s="214">
        <f t="shared" si="55"/>
        <v>1.1904761904761862</v>
      </c>
      <c r="G104" s="214">
        <f t="shared" si="56"/>
        <v>19.634060520760023</v>
      </c>
      <c r="H104" s="287">
        <f t="shared" si="57"/>
        <v>1.4488235294117646</v>
      </c>
    </row>
    <row r="105" spans="1:8" ht="16.5">
      <c r="A105" s="218">
        <v>39600</v>
      </c>
      <c r="B105" s="226">
        <f>geral!G1331</f>
        <v>17.16</v>
      </c>
      <c r="C105" s="211">
        <f t="shared" si="47"/>
        <v>174.74541751527494</v>
      </c>
      <c r="D105" s="211">
        <f t="shared" si="53"/>
        <v>0.94117647058824527</v>
      </c>
      <c r="E105" s="211">
        <f t="shared" si="54"/>
        <v>7.2500000000000009</v>
      </c>
      <c r="F105" s="214">
        <f t="shared" si="55"/>
        <v>0.10000000000001119</v>
      </c>
      <c r="G105" s="214">
        <f t="shared" si="56"/>
        <v>24.347826086956516</v>
      </c>
      <c r="H105" s="287">
        <f t="shared" si="57"/>
        <v>1.4353146853146852</v>
      </c>
    </row>
    <row r="106" spans="1:8" ht="16.5">
      <c r="A106" s="218">
        <v>39630</v>
      </c>
      <c r="B106" s="226">
        <f>geral!G1332</f>
        <v>17.114285714285714</v>
      </c>
      <c r="C106" s="211">
        <f t="shared" si="47"/>
        <v>174.27989525749197</v>
      </c>
      <c r="D106" s="211">
        <f t="shared" ref="D106:D111" si="58">100*((B106/B105)-1)</f>
        <v>-0.26640026640026848</v>
      </c>
      <c r="E106" s="211">
        <f t="shared" ref="E106:E111" si="59">100*((B106/$B$99)-1)</f>
        <v>6.9642857142857117</v>
      </c>
      <c r="F106" s="214">
        <f t="shared" ref="F106:F111" si="60">100*((B106/B94)-1)</f>
        <v>8.0252479711451663</v>
      </c>
      <c r="G106" s="214">
        <f t="shared" ref="G106:G111" si="61">100*(B106/B82-1)</f>
        <v>8.9388014913158074</v>
      </c>
      <c r="H106" s="287">
        <f t="shared" si="57"/>
        <v>1.4391485809682805</v>
      </c>
    </row>
    <row r="107" spans="1:8" ht="16.5">
      <c r="A107" s="218">
        <v>39661</v>
      </c>
      <c r="B107" s="226">
        <f>geral!G1333</f>
        <v>17.757142857142856</v>
      </c>
      <c r="C107" s="211">
        <f t="shared" si="47"/>
        <v>180.82630200756472</v>
      </c>
      <c r="D107" s="211">
        <f t="shared" si="58"/>
        <v>3.7562604340567685</v>
      </c>
      <c r="E107" s="211">
        <f t="shared" si="59"/>
        <v>10.982142857142851</v>
      </c>
      <c r="F107" s="214">
        <f t="shared" si="60"/>
        <v>9.2747252747252595</v>
      </c>
      <c r="G107" s="214">
        <f t="shared" si="61"/>
        <v>22.463054187192121</v>
      </c>
      <c r="H107" s="287">
        <f t="shared" si="57"/>
        <v>1.3870474658085277</v>
      </c>
    </row>
    <row r="108" spans="1:8" ht="16.5">
      <c r="A108" s="218">
        <v>39692</v>
      </c>
      <c r="B108" s="226">
        <f>geral!G1334</f>
        <v>17.78</v>
      </c>
      <c r="C108" s="211">
        <f t="shared" si="47"/>
        <v>181.05906313645622</v>
      </c>
      <c r="D108" s="211">
        <f t="shared" si="58"/>
        <v>0.12872083668544754</v>
      </c>
      <c r="E108" s="211">
        <f t="shared" si="59"/>
        <v>11.125000000000007</v>
      </c>
      <c r="F108" s="214">
        <f t="shared" si="60"/>
        <v>5.8333333333333348</v>
      </c>
      <c r="G108" s="214">
        <f t="shared" si="61"/>
        <v>8.6133170433720263</v>
      </c>
      <c r="H108" s="287">
        <f t="shared" si="57"/>
        <v>1.3852643419572552</v>
      </c>
    </row>
    <row r="109" spans="1:8" ht="16.5">
      <c r="A109" s="218">
        <v>39722</v>
      </c>
      <c r="B109" s="226">
        <f>geral!G1335</f>
        <v>18.2</v>
      </c>
      <c r="C109" s="211">
        <f t="shared" si="47"/>
        <v>185.33604887983705</v>
      </c>
      <c r="D109" s="211">
        <f t="shared" si="58"/>
        <v>2.3622047244094446</v>
      </c>
      <c r="E109" s="211">
        <f t="shared" si="59"/>
        <v>13.749999999999996</v>
      </c>
      <c r="F109" s="214">
        <f t="shared" si="60"/>
        <v>9.8275862068965445</v>
      </c>
      <c r="G109" s="214">
        <f t="shared" si="61"/>
        <v>2.3046655424395768</v>
      </c>
      <c r="H109" s="287">
        <f t="shared" si="57"/>
        <v>1.3532967032967034</v>
      </c>
    </row>
    <row r="110" spans="1:8" ht="16.5">
      <c r="A110" s="218">
        <v>39753</v>
      </c>
      <c r="B110" s="226">
        <f>geral!G1336</f>
        <v>18.7</v>
      </c>
      <c r="C110" s="211">
        <f t="shared" si="47"/>
        <v>190.42769857433808</v>
      </c>
      <c r="D110" s="211">
        <f t="shared" si="58"/>
        <v>2.7472527472527375</v>
      </c>
      <c r="E110" s="211">
        <f t="shared" si="59"/>
        <v>16.874999999999996</v>
      </c>
      <c r="F110" s="214">
        <f t="shared" si="60"/>
        <v>17.399103139013448</v>
      </c>
      <c r="G110" s="214">
        <f t="shared" si="61"/>
        <v>17.906683480453967</v>
      </c>
      <c r="H110" s="287">
        <f t="shared" si="57"/>
        <v>1.3171122994652407</v>
      </c>
    </row>
    <row r="111" spans="1:8" ht="16.5">
      <c r="A111" s="218">
        <v>39783</v>
      </c>
      <c r="B111" s="226">
        <f>geral!G1337</f>
        <v>18.071428571428573</v>
      </c>
      <c r="C111" s="211">
        <f t="shared" si="47"/>
        <v>184.02676752982254</v>
      </c>
      <c r="D111" s="211">
        <f t="shared" si="58"/>
        <v>-3.3613445378151141</v>
      </c>
      <c r="E111" s="211">
        <f t="shared" si="59"/>
        <v>12.94642857142858</v>
      </c>
      <c r="F111" s="214">
        <f t="shared" si="60"/>
        <v>12.94642857142858</v>
      </c>
      <c r="G111" s="214">
        <f t="shared" si="61"/>
        <v>16.364639867537491</v>
      </c>
      <c r="H111" s="287">
        <f t="shared" si="57"/>
        <v>1.3629249011857705</v>
      </c>
    </row>
    <row r="112" spans="1:8" ht="16.5">
      <c r="A112" s="218">
        <v>39814</v>
      </c>
      <c r="B112" s="226">
        <f>geral!I1326</f>
        <v>18.071428571428573</v>
      </c>
      <c r="C112" s="211">
        <f t="shared" si="47"/>
        <v>184.02676752982254</v>
      </c>
      <c r="D112" s="211">
        <f t="shared" ref="D112:D117" si="62">100*((B112/B111)-1)</f>
        <v>0</v>
      </c>
      <c r="E112" s="211">
        <f t="shared" ref="E112:E117" si="63">100*((B112/$B$111)-1)</f>
        <v>0</v>
      </c>
      <c r="F112" s="214">
        <f t="shared" ref="F112:F117" si="64">100*((B112/B100)-1)</f>
        <v>18.890977443609035</v>
      </c>
      <c r="G112" s="214">
        <f t="shared" ref="G112:G117" si="65">100*(B112/B88-1)</f>
        <v>8.1473882192015132</v>
      </c>
      <c r="H112" s="287">
        <f t="shared" si="57"/>
        <v>1.3629249011857705</v>
      </c>
    </row>
    <row r="113" spans="1:8" ht="16.5">
      <c r="A113" s="218">
        <v>39845</v>
      </c>
      <c r="B113" s="226">
        <f>geral!I1327</f>
        <v>18.100000000000001</v>
      </c>
      <c r="C113" s="211">
        <f t="shared" si="47"/>
        <v>184.31771894093689</v>
      </c>
      <c r="D113" s="211">
        <f t="shared" si="62"/>
        <v>0.15810276679841806</v>
      </c>
      <c r="E113" s="211">
        <f t="shared" si="63"/>
        <v>0.15810276679841806</v>
      </c>
      <c r="F113" s="214">
        <f t="shared" si="64"/>
        <v>10.816326530612264</v>
      </c>
      <c r="G113" s="214">
        <f t="shared" si="65"/>
        <v>17.4561972744971</v>
      </c>
      <c r="H113" s="287">
        <f t="shared" si="57"/>
        <v>1.3607734806629832</v>
      </c>
    </row>
    <row r="114" spans="1:8" ht="16.5">
      <c r="A114" s="218">
        <v>39873</v>
      </c>
      <c r="B114" s="226">
        <f>geral!I1328</f>
        <v>18.04</v>
      </c>
      <c r="C114" s="211">
        <f t="shared" si="47"/>
        <v>183.70672097759675</v>
      </c>
      <c r="D114" s="211">
        <f t="shared" si="62"/>
        <v>-0.33149171270719924</v>
      </c>
      <c r="E114" s="211">
        <f t="shared" si="63"/>
        <v>-0.17391304347826875</v>
      </c>
      <c r="F114" s="214">
        <f t="shared" si="64"/>
        <v>11.015384615384605</v>
      </c>
      <c r="G114" s="214">
        <f t="shared" si="65"/>
        <v>12.749999999999995</v>
      </c>
      <c r="H114" s="287">
        <f t="shared" si="57"/>
        <v>1.3652993348115299</v>
      </c>
    </row>
    <row r="115" spans="1:8" ht="16.5">
      <c r="A115" s="218">
        <v>39904</v>
      </c>
      <c r="B115" s="226">
        <f>geral!I1329</f>
        <v>18.04</v>
      </c>
      <c r="C115" s="211">
        <f t="shared" si="47"/>
        <v>183.70672097759675</v>
      </c>
      <c r="D115" s="211">
        <f t="shared" si="62"/>
        <v>0</v>
      </c>
      <c r="E115" s="211">
        <f t="shared" si="63"/>
        <v>-0.17391304347826875</v>
      </c>
      <c r="F115" s="214">
        <f t="shared" si="64"/>
        <v>10.384615384615369</v>
      </c>
      <c r="G115" s="214">
        <f t="shared" si="65"/>
        <v>3.6781609195402298</v>
      </c>
      <c r="H115" s="287">
        <f t="shared" si="57"/>
        <v>1.3652993348115299</v>
      </c>
    </row>
    <row r="116" spans="1:8" ht="16.5">
      <c r="A116" s="218">
        <v>39934</v>
      </c>
      <c r="B116" s="226">
        <f>geral!I1330</f>
        <v>18.100000000000001</v>
      </c>
      <c r="C116" s="211">
        <f t="shared" si="47"/>
        <v>184.31771894093689</v>
      </c>
      <c r="D116" s="211">
        <f t="shared" si="62"/>
        <v>0.33259423503326779</v>
      </c>
      <c r="E116" s="211">
        <f t="shared" si="63"/>
        <v>0.15810276679841806</v>
      </c>
      <c r="F116" s="214">
        <f t="shared" si="64"/>
        <v>6.4705882352941169</v>
      </c>
      <c r="G116" s="214">
        <f t="shared" si="65"/>
        <v>7.7380952380952328</v>
      </c>
      <c r="H116" s="287">
        <f t="shared" si="57"/>
        <v>1.3607734806629832</v>
      </c>
    </row>
    <row r="117" spans="1:8" ht="16.5">
      <c r="A117" s="218">
        <v>39965</v>
      </c>
      <c r="B117" s="226">
        <f>geral!I1331</f>
        <v>18.314285714285713</v>
      </c>
      <c r="C117" s="211">
        <f t="shared" si="47"/>
        <v>186.49985452429442</v>
      </c>
      <c r="D117" s="211">
        <f t="shared" si="62"/>
        <v>1.1838989739542116</v>
      </c>
      <c r="E117" s="211">
        <f t="shared" si="63"/>
        <v>1.3438735177865535</v>
      </c>
      <c r="F117" s="214">
        <f t="shared" si="64"/>
        <v>6.7266067266067209</v>
      </c>
      <c r="G117" s="214">
        <f t="shared" si="65"/>
        <v>6.8333333333333357</v>
      </c>
      <c r="H117" s="287">
        <f t="shared" si="57"/>
        <v>1.3448517940717628</v>
      </c>
    </row>
    <row r="118" spans="1:8" ht="16.5">
      <c r="A118" s="218">
        <v>39995</v>
      </c>
      <c r="B118" s="226">
        <f>geral!I1332</f>
        <v>18.989999999999998</v>
      </c>
      <c r="C118" s="211">
        <f t="shared" si="47"/>
        <v>193.38085539714865</v>
      </c>
      <c r="D118" s="211">
        <f t="shared" ref="D118:D123" si="66">100*((B118/B117)-1)</f>
        <v>3.6895475819032741</v>
      </c>
      <c r="E118" s="211">
        <f t="shared" ref="E118:E123" si="67">100*((B118/$B$111)-1)</f>
        <v>5.0830039525691539</v>
      </c>
      <c r="F118" s="214">
        <f t="shared" ref="F118:F123" si="68">100*((B118/B106)-1)</f>
        <v>10.959933222036721</v>
      </c>
      <c r="G118" s="214">
        <f t="shared" ref="G118:G123" si="69">100*(B118/B94-1)</f>
        <v>19.864743011722254</v>
      </c>
      <c r="H118" s="287">
        <f t="shared" si="57"/>
        <v>1.2969984202211691</v>
      </c>
    </row>
    <row r="119" spans="1:8" ht="16.5">
      <c r="A119" s="218">
        <v>40026</v>
      </c>
      <c r="B119" s="226">
        <f>geral!I1333</f>
        <v>18.399999999999999</v>
      </c>
      <c r="C119" s="211">
        <f t="shared" si="47"/>
        <v>187.37270875763744</v>
      </c>
      <c r="D119" s="211">
        <f t="shared" si="66"/>
        <v>-3.1068983675618722</v>
      </c>
      <c r="E119" s="211">
        <f t="shared" si="67"/>
        <v>1.8181818181818077</v>
      </c>
      <c r="F119" s="214">
        <f t="shared" si="68"/>
        <v>3.6202735317779622</v>
      </c>
      <c r="G119" s="214">
        <f t="shared" si="69"/>
        <v>13.230769230769223</v>
      </c>
      <c r="H119" s="287">
        <f t="shared" si="57"/>
        <v>1.3385869565217392</v>
      </c>
    </row>
    <row r="120" spans="1:8" ht="16.5">
      <c r="A120" s="218">
        <v>40057</v>
      </c>
      <c r="B120" s="226">
        <f>geral!I1334</f>
        <v>18.399999999999999</v>
      </c>
      <c r="C120" s="211">
        <f t="shared" si="47"/>
        <v>187.37270875763744</v>
      </c>
      <c r="D120" s="211">
        <f t="shared" si="66"/>
        <v>0</v>
      </c>
      <c r="E120" s="211">
        <f t="shared" si="67"/>
        <v>1.8181818181818077</v>
      </c>
      <c r="F120" s="214">
        <f t="shared" si="68"/>
        <v>3.4870641169853611</v>
      </c>
      <c r="G120" s="214">
        <f t="shared" si="69"/>
        <v>9.5238095238095113</v>
      </c>
      <c r="H120" s="287">
        <f t="shared" si="57"/>
        <v>1.3385869565217392</v>
      </c>
    </row>
    <row r="121" spans="1:8" ht="16.5">
      <c r="A121" s="218">
        <v>40087</v>
      </c>
      <c r="B121" s="226">
        <f>geral!I1335</f>
        <v>18.885714285714283</v>
      </c>
      <c r="C121" s="211">
        <f t="shared" si="47"/>
        <v>192.31888274658127</v>
      </c>
      <c r="D121" s="211">
        <f t="shared" si="66"/>
        <v>2.6397515527950111</v>
      </c>
      <c r="E121" s="211">
        <f t="shared" si="67"/>
        <v>4.5059288537549147</v>
      </c>
      <c r="F121" s="214">
        <f t="shared" si="68"/>
        <v>3.7676609105180336</v>
      </c>
      <c r="G121" s="214">
        <f t="shared" si="69"/>
        <v>13.965517241379288</v>
      </c>
      <c r="H121" s="287">
        <f t="shared" si="57"/>
        <v>1.3041603630862331</v>
      </c>
    </row>
    <row r="122" spans="1:8" ht="16.5">
      <c r="A122" s="218">
        <v>40118</v>
      </c>
      <c r="B122" s="226">
        <f>geral!I1336</f>
        <v>19</v>
      </c>
      <c r="C122" s="211">
        <f t="shared" si="47"/>
        <v>193.48268839103869</v>
      </c>
      <c r="D122" s="211">
        <f t="shared" si="66"/>
        <v>0.60514372163389396</v>
      </c>
      <c r="E122" s="211">
        <f t="shared" si="67"/>
        <v>5.1383399209486091</v>
      </c>
      <c r="F122" s="214">
        <f t="shared" si="68"/>
        <v>1.6042780748663166</v>
      </c>
      <c r="G122" s="214">
        <f t="shared" si="69"/>
        <v>19.282511210762323</v>
      </c>
      <c r="H122" s="287">
        <f t="shared" si="57"/>
        <v>1.2963157894736841</v>
      </c>
    </row>
    <row r="123" spans="1:8" ht="16.5">
      <c r="A123" s="218">
        <v>40148</v>
      </c>
      <c r="B123" s="226">
        <f>geral!I1337</f>
        <v>19</v>
      </c>
      <c r="C123" s="211">
        <f t="shared" si="47"/>
        <v>193.48268839103869</v>
      </c>
      <c r="D123" s="211">
        <f t="shared" si="66"/>
        <v>0</v>
      </c>
      <c r="E123" s="211">
        <f t="shared" si="67"/>
        <v>5.1383399209486091</v>
      </c>
      <c r="F123" s="214">
        <f t="shared" si="68"/>
        <v>5.1383399209486091</v>
      </c>
      <c r="G123" s="214">
        <f t="shared" si="69"/>
        <v>18.75</v>
      </c>
      <c r="H123" s="287">
        <f t="shared" si="57"/>
        <v>1.2963157894736841</v>
      </c>
    </row>
    <row r="124" spans="1:8" ht="16.5">
      <c r="A124" s="218">
        <v>40179</v>
      </c>
      <c r="B124" s="226">
        <f>geral!K1326</f>
        <v>19</v>
      </c>
      <c r="C124" s="211">
        <f t="shared" si="47"/>
        <v>193.48268839103869</v>
      </c>
      <c r="D124" s="211">
        <f t="shared" ref="D124:D129" si="70">100*((B124/B123)-1)</f>
        <v>0</v>
      </c>
      <c r="E124" s="211">
        <f t="shared" ref="E124:E129" si="71">100*((B124/$B$124)-1)</f>
        <v>0</v>
      </c>
      <c r="F124" s="214">
        <f t="shared" ref="F124:F129" si="72">100*((B124/B112)-1)</f>
        <v>5.1383399209486091</v>
      </c>
      <c r="G124" s="214">
        <f t="shared" ref="G124:G129" si="73">100*(B124/B100-1)</f>
        <v>25</v>
      </c>
      <c r="H124" s="287">
        <f t="shared" si="57"/>
        <v>1.2963157894736841</v>
      </c>
    </row>
    <row r="125" spans="1:8" ht="16.5">
      <c r="A125" s="218">
        <v>40210</v>
      </c>
      <c r="B125" s="226">
        <f>geral!K1327</f>
        <v>19.833333333333332</v>
      </c>
      <c r="C125" s="211">
        <f t="shared" si="47"/>
        <v>201.96877121520706</v>
      </c>
      <c r="D125" s="211">
        <f t="shared" si="70"/>
        <v>4.3859649122806932</v>
      </c>
      <c r="E125" s="211">
        <f t="shared" si="71"/>
        <v>4.3859649122806932</v>
      </c>
      <c r="F125" s="214">
        <f t="shared" si="72"/>
        <v>9.5764272559852426</v>
      </c>
      <c r="G125" s="214">
        <f t="shared" si="73"/>
        <v>21.42857142857142</v>
      </c>
      <c r="H125" s="287">
        <f t="shared" si="57"/>
        <v>1.2418487394957984</v>
      </c>
    </row>
    <row r="126" spans="1:8" ht="16.5">
      <c r="A126" s="218">
        <v>40238</v>
      </c>
      <c r="B126" s="226">
        <f>geral!K1328</f>
        <v>19.833333333333332</v>
      </c>
      <c r="C126" s="211">
        <f t="shared" si="47"/>
        <v>201.96877121520706</v>
      </c>
      <c r="D126" s="211">
        <f t="shared" si="70"/>
        <v>0</v>
      </c>
      <c r="E126" s="211">
        <f t="shared" si="71"/>
        <v>4.3859649122806932</v>
      </c>
      <c r="F126" s="214">
        <f t="shared" si="72"/>
        <v>9.9408721359940841</v>
      </c>
      <c r="G126" s="214">
        <f t="shared" si="73"/>
        <v>22.05128205128204</v>
      </c>
      <c r="H126" s="287">
        <f t="shared" si="57"/>
        <v>1.2418487394957984</v>
      </c>
    </row>
    <row r="127" spans="1:8" ht="16.5">
      <c r="A127" s="218">
        <v>40269</v>
      </c>
      <c r="B127" s="226">
        <f>geral!K1329</f>
        <v>18.829999999999998</v>
      </c>
      <c r="C127" s="211">
        <f t="shared" si="47"/>
        <v>191.75152749490832</v>
      </c>
      <c r="D127" s="211">
        <f t="shared" si="70"/>
        <v>-5.0588235294117716</v>
      </c>
      <c r="E127" s="211">
        <f t="shared" si="71"/>
        <v>-0.89473684210527038</v>
      </c>
      <c r="F127" s="214">
        <f t="shared" si="72"/>
        <v>4.3791574279379075</v>
      </c>
      <c r="G127" s="214">
        <f t="shared" si="73"/>
        <v>15.218531468531449</v>
      </c>
      <c r="H127" s="287">
        <f t="shared" si="57"/>
        <v>1.3080191184280405</v>
      </c>
    </row>
    <row r="128" spans="1:8" ht="16.5">
      <c r="A128" s="218">
        <v>40299</v>
      </c>
      <c r="B128" s="226">
        <f>geral!K1330</f>
        <v>19.100000000000001</v>
      </c>
      <c r="C128" s="211">
        <f t="shared" si="47"/>
        <v>194.50101832993892</v>
      </c>
      <c r="D128" s="211">
        <f t="shared" si="70"/>
        <v>1.4338821030271065</v>
      </c>
      <c r="E128" s="211">
        <f t="shared" si="71"/>
        <v>0.52631578947368585</v>
      </c>
      <c r="F128" s="214">
        <f t="shared" si="72"/>
        <v>5.5248618784530468</v>
      </c>
      <c r="G128" s="214">
        <f t="shared" si="73"/>
        <v>12.352941176470589</v>
      </c>
      <c r="H128" s="287">
        <f t="shared" si="57"/>
        <v>1.2895287958115182</v>
      </c>
    </row>
    <row r="129" spans="1:8" ht="16.5">
      <c r="A129" s="218">
        <v>40330</v>
      </c>
      <c r="B129" s="226">
        <f>geral!K1331</f>
        <v>19.72</v>
      </c>
      <c r="C129" s="211">
        <f t="shared" si="47"/>
        <v>200.81466395112017</v>
      </c>
      <c r="D129" s="211">
        <f t="shared" si="70"/>
        <v>3.2460732984292973</v>
      </c>
      <c r="E129" s="211">
        <f t="shared" si="71"/>
        <v>3.7894736842105203</v>
      </c>
      <c r="F129" s="214">
        <f t="shared" si="72"/>
        <v>7.675507020280814</v>
      </c>
      <c r="G129" s="214">
        <f t="shared" si="73"/>
        <v>14.918414918414902</v>
      </c>
      <c r="H129" s="287">
        <f t="shared" si="57"/>
        <v>1.2489858012170385</v>
      </c>
    </row>
    <row r="130" spans="1:8" ht="16.5">
      <c r="A130" s="218">
        <v>40360</v>
      </c>
      <c r="B130" s="226">
        <f>geral!K1332</f>
        <v>19.727999999999998</v>
      </c>
      <c r="C130" s="211">
        <f t="shared" si="47"/>
        <v>200.89613034623216</v>
      </c>
      <c r="D130" s="211">
        <f t="shared" ref="D130:D135" si="74">100*((B130/B129)-1)</f>
        <v>4.0567951318459805E-2</v>
      </c>
      <c r="E130" s="211">
        <f t="shared" ref="E130:E135" si="75">100*((B130/$B$124)-1)</f>
        <v>3.8315789473684081</v>
      </c>
      <c r="F130" s="214">
        <f t="shared" ref="F130:F135" si="76">100*((B130/B118)-1)</f>
        <v>3.8862559241706229</v>
      </c>
      <c r="G130" s="214">
        <f t="shared" ref="G130:G135" si="77">100*(B130/B106-1)</f>
        <v>15.272120200333884</v>
      </c>
      <c r="H130" s="287">
        <f t="shared" si="57"/>
        <v>1.2484793187347933</v>
      </c>
    </row>
    <row r="131" spans="1:8" ht="16.5">
      <c r="A131" s="218">
        <v>40391</v>
      </c>
      <c r="B131" s="226">
        <f>geral!K1333</f>
        <v>19.727999999999998</v>
      </c>
      <c r="C131" s="211">
        <f t="shared" si="47"/>
        <v>200.89613034623216</v>
      </c>
      <c r="D131" s="211">
        <f t="shared" si="74"/>
        <v>0</v>
      </c>
      <c r="E131" s="211">
        <f t="shared" si="75"/>
        <v>3.8315789473684081</v>
      </c>
      <c r="F131" s="214">
        <f t="shared" si="76"/>
        <v>7.2173913043478199</v>
      </c>
      <c r="G131" s="214">
        <f t="shared" si="77"/>
        <v>11.098954143201922</v>
      </c>
      <c r="H131" s="287">
        <f t="shared" si="57"/>
        <v>1.2484793187347933</v>
      </c>
    </row>
    <row r="132" spans="1:8" ht="16.5">
      <c r="A132" s="218">
        <v>40422</v>
      </c>
      <c r="B132" s="226">
        <f>geral!K1334</f>
        <v>19.727999999999998</v>
      </c>
      <c r="C132" s="211">
        <f t="shared" si="47"/>
        <v>200.89613034623216</v>
      </c>
      <c r="D132" s="211">
        <f t="shared" si="74"/>
        <v>0</v>
      </c>
      <c r="E132" s="211">
        <f t="shared" si="75"/>
        <v>3.8315789473684081</v>
      </c>
      <c r="F132" s="214">
        <f t="shared" si="76"/>
        <v>7.2173913043478199</v>
      </c>
      <c r="G132" s="214">
        <f t="shared" si="77"/>
        <v>10.956130483689531</v>
      </c>
      <c r="H132" s="287">
        <f t="shared" si="57"/>
        <v>1.2484793187347933</v>
      </c>
    </row>
    <row r="133" spans="1:8" ht="16.5">
      <c r="A133" s="218">
        <v>40452</v>
      </c>
      <c r="B133" s="226">
        <f>geral!K1335</f>
        <v>19.9725</v>
      </c>
      <c r="C133" s="211">
        <f t="shared" si="47"/>
        <v>203.38594704684317</v>
      </c>
      <c r="D133" s="211">
        <f t="shared" si="74"/>
        <v>1.2393552311435574</v>
      </c>
      <c r="E133" s="211">
        <f t="shared" si="75"/>
        <v>5.1184210526315832</v>
      </c>
      <c r="F133" s="214">
        <f t="shared" si="76"/>
        <v>5.7545385779122826</v>
      </c>
      <c r="G133" s="214">
        <f t="shared" si="77"/>
        <v>9.7390109890109997</v>
      </c>
      <c r="H133" s="287">
        <f t="shared" si="57"/>
        <v>1.2331956440105143</v>
      </c>
    </row>
    <row r="134" spans="1:8" ht="16.5">
      <c r="A134" s="218">
        <v>40483</v>
      </c>
      <c r="B134" s="226">
        <f>geral!K1336</f>
        <v>21.48</v>
      </c>
      <c r="C134" s="211">
        <f t="shared" si="47"/>
        <v>218.73727087576373</v>
      </c>
      <c r="D134" s="211">
        <f t="shared" si="74"/>
        <v>7.5478783327074694</v>
      </c>
      <c r="E134" s="211">
        <f t="shared" si="75"/>
        <v>13.052631578947359</v>
      </c>
      <c r="F134" s="214">
        <f t="shared" si="76"/>
        <v>13.052631578947359</v>
      </c>
      <c r="G134" s="214">
        <f t="shared" si="77"/>
        <v>14.866310160427808</v>
      </c>
      <c r="H134" s="287">
        <f t="shared" si="57"/>
        <v>1.1466480446927374</v>
      </c>
    </row>
    <row r="135" spans="1:8" ht="16.5">
      <c r="A135" s="218">
        <v>40513</v>
      </c>
      <c r="B135" s="226">
        <f>geral!K1337</f>
        <v>21.561666666666667</v>
      </c>
      <c r="C135" s="211">
        <f t="shared" si="47"/>
        <v>219.56890699253228</v>
      </c>
      <c r="D135" s="211">
        <f t="shared" si="74"/>
        <v>0.38019863438858437</v>
      </c>
      <c r="E135" s="211">
        <f t="shared" si="75"/>
        <v>13.482456140350884</v>
      </c>
      <c r="F135" s="214">
        <f t="shared" si="76"/>
        <v>13.482456140350884</v>
      </c>
      <c r="G135" s="214">
        <f t="shared" si="77"/>
        <v>19.313570487483524</v>
      </c>
      <c r="H135" s="287">
        <f t="shared" ref="H135:H165" si="78">(B$171/B135)</f>
        <v>1.1423050166189996</v>
      </c>
    </row>
    <row r="136" spans="1:8" ht="16.5">
      <c r="A136" s="218">
        <v>40544</v>
      </c>
      <c r="B136" s="226">
        <f>geral!M1326</f>
        <v>23.094000000000001</v>
      </c>
      <c r="C136" s="211">
        <f t="shared" si="47"/>
        <v>235.17311608961305</v>
      </c>
      <c r="D136" s="211">
        <f t="shared" ref="D136:D141" si="79">100*((B136/B135)-1)</f>
        <v>7.1067480868825861</v>
      </c>
      <c r="E136" s="211">
        <f t="shared" ref="E136:E141" si="80">100*((B136/$B$135)-1)</f>
        <v>7.1067480868825861</v>
      </c>
      <c r="F136" s="214">
        <f t="shared" ref="F136:F141" si="81">100*((B136/B124)-1)</f>
        <v>21.547368421052649</v>
      </c>
      <c r="G136" s="214">
        <f t="shared" ref="G136:G141" si="82">100*(B136/B112-1)</f>
        <v>27.79288537549407</v>
      </c>
      <c r="H136" s="287">
        <f t="shared" si="78"/>
        <v>1.0665107820213042</v>
      </c>
    </row>
    <row r="137" spans="1:8" ht="16.5">
      <c r="A137" s="218">
        <v>40575</v>
      </c>
      <c r="B137" s="226">
        <f>geral!M1327</f>
        <v>23.094000000000001</v>
      </c>
      <c r="C137" s="211">
        <f t="shared" si="47"/>
        <v>235.17311608961305</v>
      </c>
      <c r="D137" s="211">
        <f t="shared" si="79"/>
        <v>0</v>
      </c>
      <c r="E137" s="211">
        <f t="shared" si="80"/>
        <v>7.1067480868825861</v>
      </c>
      <c r="F137" s="214">
        <f t="shared" si="81"/>
        <v>16.440336134453794</v>
      </c>
      <c r="G137" s="214">
        <f t="shared" si="82"/>
        <v>27.591160220994482</v>
      </c>
      <c r="H137" s="287">
        <f t="shared" si="78"/>
        <v>1.0665107820213042</v>
      </c>
    </row>
    <row r="138" spans="1:8" ht="16.5">
      <c r="A138" s="218">
        <v>40603</v>
      </c>
      <c r="B138" s="226">
        <f>geral!M1328</f>
        <v>23.094000000000001</v>
      </c>
      <c r="C138" s="211">
        <f t="shared" si="47"/>
        <v>235.17311608961305</v>
      </c>
      <c r="D138" s="211">
        <f t="shared" si="79"/>
        <v>0</v>
      </c>
      <c r="E138" s="211">
        <f t="shared" si="80"/>
        <v>7.1067480868825861</v>
      </c>
      <c r="F138" s="214">
        <f t="shared" si="81"/>
        <v>16.440336134453794</v>
      </c>
      <c r="G138" s="214">
        <f t="shared" si="82"/>
        <v>28.015521064301563</v>
      </c>
      <c r="H138" s="287">
        <f t="shared" si="78"/>
        <v>1.0665107820213042</v>
      </c>
    </row>
    <row r="139" spans="1:8" ht="16.5">
      <c r="A139" s="218">
        <v>40634</v>
      </c>
      <c r="B139" s="226">
        <f>geral!M1329</f>
        <v>23.094000000000001</v>
      </c>
      <c r="C139" s="211">
        <f t="shared" si="47"/>
        <v>235.17311608961305</v>
      </c>
      <c r="D139" s="211">
        <f t="shared" si="79"/>
        <v>0</v>
      </c>
      <c r="E139" s="211">
        <f t="shared" si="80"/>
        <v>7.1067480868825861</v>
      </c>
      <c r="F139" s="214">
        <f t="shared" si="81"/>
        <v>22.644715878916632</v>
      </c>
      <c r="G139" s="214">
        <f t="shared" si="82"/>
        <v>28.015521064301563</v>
      </c>
      <c r="H139" s="287">
        <f t="shared" si="78"/>
        <v>1.0665107820213042</v>
      </c>
    </row>
    <row r="140" spans="1:8" ht="16.5">
      <c r="A140" s="218">
        <v>40664</v>
      </c>
      <c r="B140" s="226">
        <f>geral!M1330</f>
        <v>23.22</v>
      </c>
      <c r="C140" s="211">
        <f t="shared" si="47"/>
        <v>236.45621181262729</v>
      </c>
      <c r="D140" s="211">
        <f t="shared" si="79"/>
        <v>0.54559625876851037</v>
      </c>
      <c r="E140" s="211">
        <f t="shared" si="80"/>
        <v>7.6911184973332158</v>
      </c>
      <c r="F140" s="214">
        <f t="shared" si="81"/>
        <v>21.570680628272232</v>
      </c>
      <c r="G140" s="214">
        <f t="shared" si="82"/>
        <v>28.287292817679543</v>
      </c>
      <c r="H140" s="287">
        <f t="shared" si="78"/>
        <v>1.0607235142118863</v>
      </c>
    </row>
    <row r="141" spans="1:8" ht="16.5">
      <c r="A141" s="218">
        <v>40695</v>
      </c>
      <c r="B141" s="226">
        <f>geral!M1331</f>
        <v>23.22</v>
      </c>
      <c r="C141" s="211">
        <f t="shared" si="47"/>
        <v>236.45621181262729</v>
      </c>
      <c r="D141" s="211">
        <f t="shared" si="79"/>
        <v>0</v>
      </c>
      <c r="E141" s="211">
        <f t="shared" si="80"/>
        <v>7.6911184973332158</v>
      </c>
      <c r="F141" s="214">
        <f t="shared" si="81"/>
        <v>17.748478701825565</v>
      </c>
      <c r="G141" s="214">
        <f t="shared" si="82"/>
        <v>26.786271450858035</v>
      </c>
      <c r="H141" s="287">
        <f t="shared" si="78"/>
        <v>1.0607235142118863</v>
      </c>
    </row>
    <row r="142" spans="1:8" ht="16.5">
      <c r="A142" s="218">
        <v>40725</v>
      </c>
      <c r="B142" s="226">
        <f>geral!M1332</f>
        <v>23.22</v>
      </c>
      <c r="C142" s="211">
        <f t="shared" si="47"/>
        <v>236.45621181262729</v>
      </c>
      <c r="D142" s="211">
        <f t="shared" ref="D142:D147" si="83">100*((B142/B141)-1)</f>
        <v>0</v>
      </c>
      <c r="E142" s="211">
        <f t="shared" ref="E142:E147" si="84">100*((B142/$B$135)-1)</f>
        <v>7.6911184973332158</v>
      </c>
      <c r="F142" s="214">
        <f t="shared" ref="F142:F147" si="85">100*((B142/B130)-1)</f>
        <v>17.700729927007309</v>
      </c>
      <c r="G142" s="214">
        <f t="shared" ref="G142:G147" si="86">100*(B142/B118-1)</f>
        <v>22.274881516587676</v>
      </c>
      <c r="H142" s="287">
        <f t="shared" si="78"/>
        <v>1.0607235142118863</v>
      </c>
    </row>
    <row r="143" spans="1:8" ht="16.5">
      <c r="A143" s="218">
        <v>40756</v>
      </c>
      <c r="B143" s="226">
        <f>geral!M1333</f>
        <v>22.52</v>
      </c>
      <c r="C143" s="211">
        <f t="shared" si="47"/>
        <v>229.32790224032587</v>
      </c>
      <c r="D143" s="211">
        <f t="shared" si="83"/>
        <v>-3.0146425495262696</v>
      </c>
      <c r="E143" s="211">
        <f t="shared" si="84"/>
        <v>4.4446162170518555</v>
      </c>
      <c r="F143" s="214">
        <f t="shared" si="85"/>
        <v>14.152473641524743</v>
      </c>
      <c r="G143" s="214">
        <f t="shared" si="86"/>
        <v>22.3913043478261</v>
      </c>
      <c r="H143" s="287">
        <f t="shared" si="78"/>
        <v>1.0936944937833037</v>
      </c>
    </row>
    <row r="144" spans="1:8" ht="16.5">
      <c r="A144" s="218">
        <v>40787</v>
      </c>
      <c r="B144" s="226">
        <f>geral!M1334</f>
        <v>22.52</v>
      </c>
      <c r="C144" s="211">
        <f t="shared" si="47"/>
        <v>229.32790224032587</v>
      </c>
      <c r="D144" s="211">
        <f t="shared" si="83"/>
        <v>0</v>
      </c>
      <c r="E144" s="211">
        <f t="shared" si="84"/>
        <v>4.4446162170518555</v>
      </c>
      <c r="F144" s="214">
        <f t="shared" si="85"/>
        <v>14.152473641524743</v>
      </c>
      <c r="G144" s="214">
        <f t="shared" si="86"/>
        <v>22.3913043478261</v>
      </c>
      <c r="H144" s="287">
        <f t="shared" si="78"/>
        <v>1.0936944937833037</v>
      </c>
    </row>
    <row r="145" spans="1:8" ht="16.5">
      <c r="A145" s="218">
        <v>40817</v>
      </c>
      <c r="B145" s="226">
        <f>geral!M1335</f>
        <v>22.52</v>
      </c>
      <c r="C145" s="211">
        <f t="shared" si="47"/>
        <v>229.32790224032587</v>
      </c>
      <c r="D145" s="211">
        <f t="shared" si="83"/>
        <v>0</v>
      </c>
      <c r="E145" s="211">
        <f t="shared" si="84"/>
        <v>4.4446162170518555</v>
      </c>
      <c r="F145" s="214">
        <f t="shared" si="85"/>
        <v>12.755038177494061</v>
      </c>
      <c r="G145" s="214">
        <f t="shared" si="86"/>
        <v>19.24357034795765</v>
      </c>
      <c r="H145" s="287">
        <f t="shared" si="78"/>
        <v>1.0936944937833037</v>
      </c>
    </row>
    <row r="146" spans="1:8" ht="16.5">
      <c r="A146" s="218">
        <v>40848</v>
      </c>
      <c r="B146" s="226">
        <f>geral!M1336</f>
        <v>22.52</v>
      </c>
      <c r="C146" s="211">
        <f t="shared" si="47"/>
        <v>229.32790224032587</v>
      </c>
      <c r="D146" s="211">
        <f t="shared" si="83"/>
        <v>0</v>
      </c>
      <c r="E146" s="211">
        <f t="shared" si="84"/>
        <v>4.4446162170518555</v>
      </c>
      <c r="F146" s="214">
        <f t="shared" si="85"/>
        <v>4.8417132216014958</v>
      </c>
      <c r="G146" s="214">
        <f t="shared" si="86"/>
        <v>18.526315789473678</v>
      </c>
      <c r="H146" s="287">
        <f t="shared" si="78"/>
        <v>1.0936944937833037</v>
      </c>
    </row>
    <row r="147" spans="1:8" ht="16.5">
      <c r="A147" s="218">
        <v>40878</v>
      </c>
      <c r="B147" s="226">
        <f>geral!M1337</f>
        <v>22.52</v>
      </c>
      <c r="C147" s="211">
        <f t="shared" si="47"/>
        <v>229.32790224032587</v>
      </c>
      <c r="D147" s="211">
        <f t="shared" si="83"/>
        <v>0</v>
      </c>
      <c r="E147" s="211">
        <f t="shared" si="84"/>
        <v>4.4446162170518555</v>
      </c>
      <c r="F147" s="214">
        <f t="shared" si="85"/>
        <v>4.4446162170518555</v>
      </c>
      <c r="G147" s="214">
        <f t="shared" si="86"/>
        <v>18.526315789473678</v>
      </c>
      <c r="H147" s="287">
        <f t="shared" si="78"/>
        <v>1.0936944937833037</v>
      </c>
    </row>
    <row r="148" spans="1:8" ht="16.5">
      <c r="A148" s="291">
        <v>40909</v>
      </c>
      <c r="B148" s="245">
        <f>geral!C1341</f>
        <v>23.098000000000003</v>
      </c>
      <c r="C148" s="230">
        <f t="shared" ref="C148:C153" si="87">100*B148/$B$8</f>
        <v>235.21384928716907</v>
      </c>
      <c r="D148" s="230">
        <f t="shared" ref="D148:D153" si="88">100*((B148/B147)-1)</f>
        <v>2.5666074600355415</v>
      </c>
      <c r="E148" s="230">
        <f t="shared" ref="E148:E153" si="89">100*((B148/$B$147)-1)</f>
        <v>2.5666074600355415</v>
      </c>
      <c r="F148" s="243">
        <f t="shared" ref="F148:F153" si="90">100*((B148/B136)-1)</f>
        <v>1.7320516151397847E-2</v>
      </c>
      <c r="G148" s="243">
        <f t="shared" ref="G148:G153" si="91">100*(B148/B124-1)</f>
        <v>21.568421052631592</v>
      </c>
      <c r="H148" s="287">
        <f t="shared" si="78"/>
        <v>1.0663260888388604</v>
      </c>
    </row>
    <row r="149" spans="1:8" ht="16.5">
      <c r="A149" s="291">
        <v>40940</v>
      </c>
      <c r="B149" s="245">
        <f>geral!C1342</f>
        <v>24.454999999999998</v>
      </c>
      <c r="C149" s="230">
        <f t="shared" si="87"/>
        <v>249.03258655804481</v>
      </c>
      <c r="D149" s="230">
        <f t="shared" si="88"/>
        <v>5.8749675296562387</v>
      </c>
      <c r="E149" s="230">
        <f t="shared" si="89"/>
        <v>8.5923623445825825</v>
      </c>
      <c r="F149" s="243">
        <f t="shared" si="90"/>
        <v>5.8933056205074719</v>
      </c>
      <c r="G149" s="243">
        <f t="shared" si="91"/>
        <v>23.302521008403353</v>
      </c>
      <c r="H149" s="287">
        <f t="shared" si="78"/>
        <v>1.0071560008178286</v>
      </c>
    </row>
    <row r="150" spans="1:8" ht="16.5">
      <c r="A150" s="291">
        <v>40969</v>
      </c>
      <c r="B150" s="245">
        <f>geral!C1343</f>
        <v>26.621666666666666</v>
      </c>
      <c r="C150" s="230">
        <f t="shared" si="87"/>
        <v>271.09640190088254</v>
      </c>
      <c r="D150" s="230">
        <f t="shared" si="88"/>
        <v>8.8598105363593138</v>
      </c>
      <c r="E150" s="230">
        <f t="shared" si="89"/>
        <v>18.213439905269379</v>
      </c>
      <c r="F150" s="243">
        <f t="shared" si="90"/>
        <v>15.275251869172358</v>
      </c>
      <c r="G150" s="243">
        <f t="shared" si="91"/>
        <v>34.226890756302517</v>
      </c>
      <c r="H150" s="287">
        <f t="shared" si="78"/>
        <v>0.92518625179991232</v>
      </c>
    </row>
    <row r="151" spans="1:8" ht="16.5">
      <c r="A151" s="291">
        <v>41000</v>
      </c>
      <c r="B151" s="245">
        <f>geral!C1344</f>
        <v>26.621666666666666</v>
      </c>
      <c r="C151" s="230">
        <f t="shared" si="87"/>
        <v>271.09640190088254</v>
      </c>
      <c r="D151" s="230">
        <f t="shared" si="88"/>
        <v>0</v>
      </c>
      <c r="E151" s="230">
        <f t="shared" si="89"/>
        <v>18.213439905269379</v>
      </c>
      <c r="F151" s="243">
        <f t="shared" si="90"/>
        <v>15.275251869172358</v>
      </c>
      <c r="G151" s="243">
        <f t="shared" si="91"/>
        <v>41.37900513365198</v>
      </c>
      <c r="H151" s="287">
        <f t="shared" si="78"/>
        <v>0.92518625179991232</v>
      </c>
    </row>
    <row r="152" spans="1:8" ht="16.5">
      <c r="A152" s="291">
        <v>41030</v>
      </c>
      <c r="B152" s="245">
        <f>geral!C1345</f>
        <v>26.621666666666666</v>
      </c>
      <c r="C152" s="230">
        <f t="shared" si="87"/>
        <v>271.09640190088254</v>
      </c>
      <c r="D152" s="230">
        <f t="shared" si="88"/>
        <v>0</v>
      </c>
      <c r="E152" s="230">
        <f t="shared" si="89"/>
        <v>18.213439905269379</v>
      </c>
      <c r="F152" s="243">
        <f t="shared" si="90"/>
        <v>14.649727246626476</v>
      </c>
      <c r="G152" s="243">
        <f t="shared" si="91"/>
        <v>39.380453752181488</v>
      </c>
      <c r="H152" s="287">
        <f t="shared" si="78"/>
        <v>0.92518625179991232</v>
      </c>
    </row>
    <row r="153" spans="1:8" ht="16.5">
      <c r="A153" s="291">
        <v>41061</v>
      </c>
      <c r="B153" s="245">
        <f>geral!C1346</f>
        <v>26.621666666666666</v>
      </c>
      <c r="C153" s="230">
        <f t="shared" si="87"/>
        <v>271.09640190088254</v>
      </c>
      <c r="D153" s="230">
        <f t="shared" si="88"/>
        <v>0</v>
      </c>
      <c r="E153" s="230">
        <f t="shared" si="89"/>
        <v>18.213439905269379</v>
      </c>
      <c r="F153" s="243">
        <f t="shared" si="90"/>
        <v>14.649727246626476</v>
      </c>
      <c r="G153" s="243">
        <f t="shared" si="91"/>
        <v>34.998309668695057</v>
      </c>
      <c r="H153" s="287">
        <f t="shared" si="78"/>
        <v>0.92518625179991232</v>
      </c>
    </row>
    <row r="154" spans="1:8" ht="16.5">
      <c r="A154" s="291">
        <v>41091</v>
      </c>
      <c r="B154" s="245">
        <f>geral!C1347</f>
        <v>24.713333333333335</v>
      </c>
      <c r="C154" s="230">
        <f t="shared" ref="C154:C159" si="92">100*B154/$B$8</f>
        <v>251.66327223353701</v>
      </c>
      <c r="D154" s="230">
        <f t="shared" ref="D154:D159" si="93">100*((B154/B153)-1)</f>
        <v>-7.1683465848619505</v>
      </c>
      <c r="E154" s="230">
        <f t="shared" ref="E154:E159" si="94">100*((B154/$B$147)-1)</f>
        <v>9.7394908229721864</v>
      </c>
      <c r="F154" s="243">
        <f t="shared" ref="F154:F159" si="95">100*((B154/B142)-1)</f>
        <v>6.43123743898939</v>
      </c>
      <c r="G154" s="243">
        <f t="shared" ref="G154:G159" si="96">100*(B154/B130-1)</f>
        <v>25.270343336036795</v>
      </c>
      <c r="H154" s="287">
        <f t="shared" si="78"/>
        <v>0.99662800107903959</v>
      </c>
    </row>
    <row r="155" spans="1:8" ht="16.5">
      <c r="A155" s="291">
        <v>41122</v>
      </c>
      <c r="B155" s="245">
        <f>geral!C1348</f>
        <v>25.3</v>
      </c>
      <c r="C155" s="230">
        <f t="shared" si="92"/>
        <v>257.63747454175154</v>
      </c>
      <c r="D155" s="230">
        <f t="shared" si="93"/>
        <v>2.3738872403560762</v>
      </c>
      <c r="E155" s="230">
        <f t="shared" si="94"/>
        <v>12.344582593250442</v>
      </c>
      <c r="F155" s="243">
        <f t="shared" si="95"/>
        <v>12.344582593250442</v>
      </c>
      <c r="G155" s="243">
        <f t="shared" si="96"/>
        <v>28.244120032441209</v>
      </c>
      <c r="H155" s="292">
        <f t="shared" si="78"/>
        <v>0.97351778656126475</v>
      </c>
    </row>
    <row r="156" spans="1:8" ht="16.5">
      <c r="A156" s="291">
        <v>41153</v>
      </c>
      <c r="B156" s="245">
        <f>geral!C1349</f>
        <v>25.3</v>
      </c>
      <c r="C156" s="230">
        <f t="shared" si="92"/>
        <v>257.63747454175154</v>
      </c>
      <c r="D156" s="230">
        <f t="shared" si="93"/>
        <v>0</v>
      </c>
      <c r="E156" s="230">
        <f t="shared" si="94"/>
        <v>12.344582593250442</v>
      </c>
      <c r="F156" s="243">
        <f t="shared" si="95"/>
        <v>12.344582593250442</v>
      </c>
      <c r="G156" s="243">
        <f t="shared" si="96"/>
        <v>28.244120032441209</v>
      </c>
      <c r="H156" s="292">
        <f t="shared" si="78"/>
        <v>0.97351778656126475</v>
      </c>
    </row>
    <row r="157" spans="1:8" ht="16.5">
      <c r="A157" s="291">
        <v>41183</v>
      </c>
      <c r="B157" s="245">
        <f>geral!C1350</f>
        <v>25.3</v>
      </c>
      <c r="C157" s="230">
        <f t="shared" si="92"/>
        <v>257.63747454175154</v>
      </c>
      <c r="D157" s="230">
        <f t="shared" si="93"/>
        <v>0</v>
      </c>
      <c r="E157" s="230">
        <f t="shared" si="94"/>
        <v>12.344582593250442</v>
      </c>
      <c r="F157" s="243">
        <f t="shared" si="95"/>
        <v>12.344582593250442</v>
      </c>
      <c r="G157" s="243">
        <f t="shared" si="96"/>
        <v>26.674176993365872</v>
      </c>
      <c r="H157" s="292">
        <f t="shared" si="78"/>
        <v>0.97351778656126475</v>
      </c>
    </row>
    <row r="158" spans="1:8" ht="16.5">
      <c r="A158" s="291">
        <v>41214</v>
      </c>
      <c r="B158" s="245">
        <f>geral!C1351</f>
        <v>25.006666666666664</v>
      </c>
      <c r="C158" s="230">
        <f t="shared" si="92"/>
        <v>254.65037338764424</v>
      </c>
      <c r="D158" s="230">
        <f t="shared" si="93"/>
        <v>-1.1594202898550843</v>
      </c>
      <c r="E158" s="230">
        <f t="shared" si="94"/>
        <v>11.042036708111302</v>
      </c>
      <c r="F158" s="243">
        <f t="shared" si="95"/>
        <v>11.042036708111302</v>
      </c>
      <c r="G158" s="243">
        <f t="shared" si="96"/>
        <v>16.4183736809435</v>
      </c>
      <c r="H158" s="292">
        <f t="shared" si="78"/>
        <v>0.98493735003998939</v>
      </c>
    </row>
    <row r="159" spans="1:8" ht="16.5">
      <c r="A159" s="291">
        <v>41244</v>
      </c>
      <c r="B159" s="245">
        <f>geral!C1352</f>
        <v>25.13</v>
      </c>
      <c r="C159" s="230">
        <f t="shared" si="92"/>
        <v>255.90631364562117</v>
      </c>
      <c r="D159" s="230">
        <f t="shared" si="93"/>
        <v>0.49320181284990827</v>
      </c>
      <c r="E159" s="230">
        <f t="shared" si="94"/>
        <v>11.589698046181173</v>
      </c>
      <c r="F159" s="243">
        <f t="shared" si="95"/>
        <v>11.589698046181173</v>
      </c>
      <c r="G159" s="243">
        <f t="shared" si="96"/>
        <v>16.549431862100938</v>
      </c>
      <c r="H159" s="292">
        <f t="shared" si="78"/>
        <v>0.98010346199761245</v>
      </c>
    </row>
    <row r="160" spans="1:8" ht="16.5">
      <c r="A160" s="291">
        <v>41275</v>
      </c>
      <c r="B160" s="245">
        <f>geral!E1341</f>
        <v>25.13</v>
      </c>
      <c r="C160" s="230">
        <f t="shared" ref="C160:C165" si="97">100*B160/$B$8</f>
        <v>255.90631364562117</v>
      </c>
      <c r="D160" s="230">
        <f t="shared" ref="D160:D165" si="98">100*((B160/B159)-1)</f>
        <v>0</v>
      </c>
      <c r="E160" s="230">
        <f t="shared" ref="E160:E165" si="99">100*((B160/$B$159)-1)</f>
        <v>0</v>
      </c>
      <c r="F160" s="243">
        <f t="shared" ref="F160:F165" si="100">100*((B160/B148)-1)</f>
        <v>8.7972984673997612</v>
      </c>
      <c r="G160" s="243">
        <f t="shared" ref="G160:G165" si="101">100*(B160/B136-1)</f>
        <v>8.8161427210530885</v>
      </c>
      <c r="H160" s="292">
        <f t="shared" si="78"/>
        <v>0.98010346199761245</v>
      </c>
    </row>
    <row r="161" spans="1:8" ht="16.5">
      <c r="A161" s="291">
        <v>41306</v>
      </c>
      <c r="B161" s="245">
        <f>geral!E1342</f>
        <v>25.13</v>
      </c>
      <c r="C161" s="230">
        <f t="shared" si="97"/>
        <v>255.90631364562117</v>
      </c>
      <c r="D161" s="230">
        <f t="shared" si="98"/>
        <v>0</v>
      </c>
      <c r="E161" s="230">
        <f t="shared" si="99"/>
        <v>0</v>
      </c>
      <c r="F161" s="243">
        <f t="shared" si="100"/>
        <v>2.7601717440196349</v>
      </c>
      <c r="G161" s="243">
        <f t="shared" si="101"/>
        <v>8.8161427210530885</v>
      </c>
      <c r="H161" s="292">
        <f t="shared" si="78"/>
        <v>0.98010346199761245</v>
      </c>
    </row>
    <row r="162" spans="1:8" ht="16.5">
      <c r="A162" s="291">
        <v>41334</v>
      </c>
      <c r="B162" s="245">
        <f>geral!E1343</f>
        <v>25.13</v>
      </c>
      <c r="C162" s="230">
        <f t="shared" si="97"/>
        <v>255.90631364562117</v>
      </c>
      <c r="D162" s="230">
        <f t="shared" si="98"/>
        <v>0</v>
      </c>
      <c r="E162" s="230">
        <f t="shared" si="99"/>
        <v>0</v>
      </c>
      <c r="F162" s="243">
        <f t="shared" si="100"/>
        <v>-5.6032054091279093</v>
      </c>
      <c r="G162" s="243">
        <f t="shared" si="101"/>
        <v>8.8161427210530885</v>
      </c>
      <c r="H162" s="292">
        <f t="shared" si="78"/>
        <v>0.98010346199761245</v>
      </c>
    </row>
    <row r="163" spans="1:8" ht="16.5">
      <c r="A163" s="291">
        <v>41365</v>
      </c>
      <c r="B163" s="245">
        <f>geral!E1344</f>
        <v>25.13</v>
      </c>
      <c r="C163" s="230">
        <f t="shared" si="97"/>
        <v>255.90631364562117</v>
      </c>
      <c r="D163" s="230">
        <f t="shared" si="98"/>
        <v>0</v>
      </c>
      <c r="E163" s="230">
        <f t="shared" si="99"/>
        <v>0</v>
      </c>
      <c r="F163" s="243">
        <f t="shared" si="100"/>
        <v>-5.6032054091279093</v>
      </c>
      <c r="G163" s="243">
        <f t="shared" si="101"/>
        <v>8.8161427210530885</v>
      </c>
      <c r="H163" s="292">
        <f t="shared" si="78"/>
        <v>0.98010346199761245</v>
      </c>
    </row>
    <row r="164" spans="1:8" ht="16.5">
      <c r="A164" s="291">
        <v>41395</v>
      </c>
      <c r="B164" s="245">
        <f>geral!E1345</f>
        <v>25.13</v>
      </c>
      <c r="C164" s="230">
        <f t="shared" si="97"/>
        <v>255.90631364562117</v>
      </c>
      <c r="D164" s="230">
        <f t="shared" si="98"/>
        <v>0</v>
      </c>
      <c r="E164" s="230">
        <f t="shared" si="99"/>
        <v>0</v>
      </c>
      <c r="F164" s="243">
        <f t="shared" si="100"/>
        <v>-5.6032054091279093</v>
      </c>
      <c r="G164" s="243">
        <f t="shared" si="101"/>
        <v>8.2256675279931191</v>
      </c>
      <c r="H164" s="292">
        <f t="shared" si="78"/>
        <v>0.98010346199761245</v>
      </c>
    </row>
    <row r="165" spans="1:8" ht="16.5">
      <c r="A165" s="291">
        <v>41426</v>
      </c>
      <c r="B165" s="245">
        <f>geral!E1346</f>
        <v>25.13</v>
      </c>
      <c r="C165" s="230">
        <f t="shared" si="97"/>
        <v>255.90631364562117</v>
      </c>
      <c r="D165" s="230">
        <f t="shared" si="98"/>
        <v>0</v>
      </c>
      <c r="E165" s="230">
        <f t="shared" si="99"/>
        <v>0</v>
      </c>
      <c r="F165" s="243">
        <f t="shared" si="100"/>
        <v>-5.6032054091279093</v>
      </c>
      <c r="G165" s="243">
        <f t="shared" si="101"/>
        <v>8.2256675279931191</v>
      </c>
      <c r="H165" s="292">
        <f t="shared" si="78"/>
        <v>0.98010346199761245</v>
      </c>
    </row>
    <row r="166" spans="1:8" ht="16.5">
      <c r="A166" s="291">
        <v>41456</v>
      </c>
      <c r="B166" s="245">
        <f>geral!E1347</f>
        <v>25.13</v>
      </c>
      <c r="C166" s="230">
        <f t="shared" ref="C166:C171" si="102">100*B166/$B$8</f>
        <v>255.90631364562117</v>
      </c>
      <c r="D166" s="230">
        <f t="shared" ref="D166:D171" si="103">100*((B166/B165)-1)</f>
        <v>0</v>
      </c>
      <c r="E166" s="230">
        <f t="shared" ref="E166:E171" si="104">100*((B166/$B$159)-1)</f>
        <v>0</v>
      </c>
      <c r="F166" s="243">
        <f t="shared" ref="F166:F171" si="105">100*((B166/B154)-1)</f>
        <v>1.6859994604801587</v>
      </c>
      <c r="G166" s="243">
        <f t="shared" ref="G166:G171" si="106">100*(B166/B142-1)</f>
        <v>8.2256675279931191</v>
      </c>
      <c r="H166" s="292">
        <f t="shared" ref="H166:H171" si="107">(B$171/B166)</f>
        <v>0.98010346199761245</v>
      </c>
    </row>
    <row r="167" spans="1:8" ht="16.5">
      <c r="A167" s="291">
        <v>41487</v>
      </c>
      <c r="B167" s="245">
        <f>geral!E1348</f>
        <v>25.13</v>
      </c>
      <c r="C167" s="230">
        <f t="shared" si="102"/>
        <v>255.90631364562117</v>
      </c>
      <c r="D167" s="230">
        <f t="shared" si="103"/>
        <v>0</v>
      </c>
      <c r="E167" s="230">
        <f t="shared" si="104"/>
        <v>0</v>
      </c>
      <c r="F167" s="243">
        <f t="shared" si="105"/>
        <v>-0.67193675889328786</v>
      </c>
      <c r="G167" s="243">
        <f t="shared" si="106"/>
        <v>11.589698046181173</v>
      </c>
      <c r="H167" s="292">
        <f t="shared" si="107"/>
        <v>0.98010346199761245</v>
      </c>
    </row>
    <row r="168" spans="1:8" ht="16.5">
      <c r="A168" s="291">
        <v>41518</v>
      </c>
      <c r="B168" s="245">
        <f>geral!E1349</f>
        <v>24.63</v>
      </c>
      <c r="C168" s="230">
        <f t="shared" si="102"/>
        <v>250.81466395112017</v>
      </c>
      <c r="D168" s="230">
        <f t="shared" si="103"/>
        <v>-1.9896538002387554</v>
      </c>
      <c r="E168" s="230">
        <f t="shared" si="104"/>
        <v>-1.9896538002387554</v>
      </c>
      <c r="F168" s="243">
        <f t="shared" si="105"/>
        <v>-2.6482213438735247</v>
      </c>
      <c r="G168" s="243">
        <f t="shared" si="106"/>
        <v>9.3694493783303745</v>
      </c>
      <c r="H168" s="292">
        <f t="shared" si="107"/>
        <v>1</v>
      </c>
    </row>
    <row r="169" spans="1:8" ht="16.5">
      <c r="A169" s="291">
        <v>41548</v>
      </c>
      <c r="B169" s="245">
        <f>geral!E1350</f>
        <v>24.63</v>
      </c>
      <c r="C169" s="230">
        <f t="shared" si="102"/>
        <v>250.81466395112017</v>
      </c>
      <c r="D169" s="230">
        <f t="shared" si="103"/>
        <v>0</v>
      </c>
      <c r="E169" s="230">
        <f t="shared" si="104"/>
        <v>-1.9896538002387554</v>
      </c>
      <c r="F169" s="243">
        <f t="shared" si="105"/>
        <v>-2.6482213438735247</v>
      </c>
      <c r="G169" s="243">
        <f t="shared" si="106"/>
        <v>9.3694493783303745</v>
      </c>
      <c r="H169" s="292">
        <f t="shared" si="107"/>
        <v>1</v>
      </c>
    </row>
    <row r="170" spans="1:8" ht="16.5">
      <c r="A170" s="291">
        <v>41579</v>
      </c>
      <c r="B170" s="245">
        <f>geral!E1351</f>
        <v>24.63</v>
      </c>
      <c r="C170" s="230">
        <f t="shared" si="102"/>
        <v>250.81466395112017</v>
      </c>
      <c r="D170" s="230">
        <f t="shared" si="103"/>
        <v>0</v>
      </c>
      <c r="E170" s="230">
        <f t="shared" si="104"/>
        <v>-1.9896538002387554</v>
      </c>
      <c r="F170" s="243">
        <f t="shared" si="105"/>
        <v>-1.506264996001061</v>
      </c>
      <c r="G170" s="243">
        <f t="shared" si="106"/>
        <v>9.3694493783303745</v>
      </c>
      <c r="H170" s="292">
        <f t="shared" si="107"/>
        <v>1</v>
      </c>
    </row>
    <row r="171" spans="1:8" ht="17.25" thickBot="1">
      <c r="A171" s="288">
        <v>41609</v>
      </c>
      <c r="B171" s="231">
        <f>geral!E1352</f>
        <v>24.63</v>
      </c>
      <c r="C171" s="220">
        <f t="shared" si="102"/>
        <v>250.81466395112017</v>
      </c>
      <c r="D171" s="220">
        <f t="shared" si="103"/>
        <v>0</v>
      </c>
      <c r="E171" s="220">
        <f t="shared" si="104"/>
        <v>-1.9896538002387554</v>
      </c>
      <c r="F171" s="221">
        <f t="shared" si="105"/>
        <v>-1.9896538002387554</v>
      </c>
      <c r="G171" s="221">
        <f t="shared" si="106"/>
        <v>9.3694493783303745</v>
      </c>
      <c r="H171" s="289">
        <f t="shared" si="107"/>
        <v>1</v>
      </c>
    </row>
    <row r="172" spans="1:8">
      <c r="A172" s="208"/>
      <c r="B172" s="32"/>
      <c r="C172" s="21"/>
      <c r="D172" s="21"/>
      <c r="E172" s="21"/>
      <c r="F172" s="19"/>
      <c r="G172" s="19"/>
      <c r="H172" s="209"/>
    </row>
    <row r="173" spans="1:8" ht="15.75">
      <c r="A173" s="67" t="s">
        <v>238</v>
      </c>
      <c r="B173" s="2"/>
      <c r="C173" s="2"/>
      <c r="D173" s="2"/>
      <c r="E173" s="2"/>
      <c r="F173" s="2"/>
      <c r="G173" s="2"/>
      <c r="H173" s="2"/>
    </row>
    <row r="174" spans="1:8" ht="15.75">
      <c r="A174" s="66" t="s">
        <v>239</v>
      </c>
      <c r="B174" s="2"/>
      <c r="C174" s="2"/>
      <c r="D174" s="2"/>
      <c r="E174" s="2"/>
      <c r="F174" s="2"/>
      <c r="G174" s="2"/>
      <c r="H174" s="2"/>
    </row>
    <row r="175" spans="1:8" ht="15.75">
      <c r="A175" s="2"/>
      <c r="B175" s="2"/>
      <c r="C175" s="2"/>
      <c r="D175" s="2"/>
      <c r="E175" s="2"/>
      <c r="F175" s="2"/>
      <c r="G175" s="2"/>
      <c r="H175" s="2"/>
    </row>
    <row r="176" spans="1:8" ht="15.75">
      <c r="A176" s="2"/>
      <c r="B176" s="2"/>
      <c r="C176" s="2"/>
      <c r="D176" s="2"/>
      <c r="E176" s="2"/>
      <c r="F176" s="2"/>
      <c r="G176" s="2"/>
      <c r="H176" s="2"/>
    </row>
    <row r="177" spans="1:8" ht="15.75">
      <c r="A177" s="2"/>
      <c r="B177" s="2"/>
      <c r="C177" s="2"/>
      <c r="D177" s="2"/>
      <c r="E177" s="2"/>
      <c r="F177" s="2"/>
      <c r="G177" s="2"/>
      <c r="H177" s="2"/>
    </row>
    <row r="178" spans="1:8" ht="15.75">
      <c r="A178" s="2"/>
      <c r="B178" s="2"/>
      <c r="C178" s="2"/>
      <c r="D178" s="2"/>
      <c r="E178" s="2"/>
      <c r="F178" s="2"/>
      <c r="G178" s="2"/>
      <c r="H178" s="2"/>
    </row>
    <row r="179" spans="1:8" ht="15.75">
      <c r="A179" s="2"/>
      <c r="B179" s="2"/>
      <c r="C179" s="2"/>
      <c r="D179" s="2"/>
      <c r="E179" s="2"/>
      <c r="F179" s="2"/>
      <c r="G179" s="2"/>
      <c r="H179" s="2"/>
    </row>
    <row r="180" spans="1:8" ht="15.75">
      <c r="A180" s="2"/>
      <c r="B180" s="2"/>
      <c r="C180" s="2"/>
      <c r="D180" s="2"/>
      <c r="E180" s="2"/>
      <c r="F180" s="2"/>
      <c r="G180" s="2"/>
      <c r="H180" s="2"/>
    </row>
    <row r="181" spans="1:8" ht="15.75">
      <c r="A181" s="2"/>
      <c r="B181" s="2"/>
      <c r="C181" s="2"/>
      <c r="D181" s="2"/>
      <c r="E181" s="2"/>
      <c r="F181" s="2"/>
      <c r="G181" s="2"/>
      <c r="H181" s="2"/>
    </row>
    <row r="182" spans="1:8" ht="15.75">
      <c r="A182" s="2"/>
      <c r="B182" s="2"/>
      <c r="C182" s="2"/>
      <c r="D182" s="2"/>
      <c r="E182" s="2"/>
      <c r="F182" s="2"/>
      <c r="G182" s="2"/>
      <c r="H182" s="2"/>
    </row>
    <row r="183" spans="1:8" ht="15.75">
      <c r="A183" s="2"/>
      <c r="B183" s="2"/>
      <c r="C183" s="2"/>
      <c r="D183" s="2"/>
      <c r="E183" s="2"/>
      <c r="F183" s="2"/>
      <c r="G183" s="2"/>
      <c r="H183" s="2"/>
    </row>
    <row r="184" spans="1:8" ht="15.75">
      <c r="A184" s="2"/>
      <c r="B184" s="2"/>
      <c r="C184" s="2"/>
      <c r="D184" s="2"/>
      <c r="E184" s="2"/>
      <c r="F184" s="2"/>
      <c r="G184" s="2"/>
      <c r="H184" s="2"/>
    </row>
    <row r="185" spans="1:8" ht="15.75">
      <c r="A185" s="2"/>
      <c r="B185" s="2"/>
      <c r="C185" s="2"/>
      <c r="D185" s="2"/>
      <c r="E185" s="2"/>
      <c r="F185" s="2"/>
      <c r="G185" s="2"/>
      <c r="H185" s="2"/>
    </row>
    <row r="186" spans="1:8" ht="15.75">
      <c r="A186" s="2"/>
      <c r="B186" s="2"/>
      <c r="C186" s="2"/>
      <c r="D186" s="2"/>
      <c r="E186" s="2"/>
      <c r="F186" s="2"/>
      <c r="G186" s="2"/>
      <c r="H186" s="2"/>
    </row>
    <row r="187" spans="1:8" ht="15.75">
      <c r="A187" s="2"/>
      <c r="B187" s="2"/>
      <c r="C187" s="2"/>
      <c r="D187" s="2"/>
      <c r="E187" s="2"/>
      <c r="F187" s="2"/>
      <c r="G187" s="2"/>
      <c r="H187" s="2"/>
    </row>
    <row r="188" spans="1:8" ht="15.75">
      <c r="A188" s="2"/>
      <c r="B188" s="2"/>
      <c r="C188" s="2"/>
      <c r="D188" s="2"/>
      <c r="E188" s="2"/>
      <c r="F188" s="2"/>
      <c r="G188" s="2"/>
      <c r="H188" s="2"/>
    </row>
    <row r="189" spans="1:8" ht="15.75">
      <c r="A189" s="2"/>
      <c r="B189" s="2"/>
      <c r="C189" s="2"/>
      <c r="D189" s="2"/>
      <c r="E189" s="2"/>
      <c r="F189" s="2"/>
      <c r="G189" s="2"/>
      <c r="H189" s="2"/>
    </row>
    <row r="190" spans="1:8" ht="15.75">
      <c r="A190" s="2"/>
      <c r="B190" s="2"/>
      <c r="C190" s="2"/>
      <c r="D190" s="2"/>
      <c r="E190" s="2"/>
      <c r="F190" s="2"/>
      <c r="G190" s="2"/>
      <c r="H190" s="2"/>
    </row>
    <row r="191" spans="1:8" ht="15.75">
      <c r="A191" s="2"/>
      <c r="B191" s="2"/>
      <c r="C191" s="2"/>
      <c r="D191" s="2"/>
      <c r="E191" s="2"/>
      <c r="F191" s="2"/>
      <c r="G191" s="2"/>
      <c r="H191" s="2"/>
    </row>
    <row r="192" spans="1:8" ht="15.75">
      <c r="A192" s="2"/>
      <c r="B192" s="2"/>
      <c r="C192" s="2"/>
      <c r="D192" s="2"/>
      <c r="E192" s="2"/>
      <c r="F192" s="2"/>
      <c r="G192" s="2"/>
      <c r="H192" s="2"/>
    </row>
    <row r="193" spans="1:8" ht="15.75">
      <c r="A193" s="2"/>
      <c r="B193" s="2"/>
      <c r="C193" s="2"/>
      <c r="D193" s="2"/>
      <c r="E193" s="2"/>
      <c r="F193" s="2"/>
      <c r="G193" s="2"/>
      <c r="H193" s="2"/>
    </row>
    <row r="194" spans="1:8" ht="15.75">
      <c r="A194" s="2"/>
      <c r="B194" s="2"/>
      <c r="C194" s="2"/>
      <c r="D194" s="2"/>
      <c r="E194" s="2"/>
      <c r="F194" s="2"/>
      <c r="G194" s="2"/>
      <c r="H194" s="2"/>
    </row>
    <row r="195" spans="1:8" ht="15.75">
      <c r="A195" s="2"/>
      <c r="B195" s="2"/>
      <c r="C195" s="2"/>
      <c r="D195" s="2"/>
      <c r="E195" s="2"/>
      <c r="F195" s="2"/>
      <c r="G195" s="2"/>
      <c r="H195" s="2"/>
    </row>
    <row r="196" spans="1:8" ht="15.75">
      <c r="A196" s="2"/>
      <c r="B196" s="2"/>
      <c r="C196" s="2"/>
      <c r="D196" s="2"/>
      <c r="E196" s="2"/>
      <c r="F196" s="2"/>
      <c r="G196" s="2"/>
      <c r="H196" s="2"/>
    </row>
    <row r="197" spans="1:8" ht="15.75">
      <c r="A197" s="2"/>
      <c r="B197" s="2"/>
      <c r="C197" s="2"/>
      <c r="D197" s="2"/>
      <c r="E197" s="2"/>
      <c r="F197" s="2"/>
      <c r="G197" s="2"/>
      <c r="H197" s="2"/>
    </row>
    <row r="198" spans="1:8" ht="15.75">
      <c r="A198" s="2"/>
      <c r="B198" s="2"/>
      <c r="C198" s="2"/>
      <c r="D198" s="2"/>
      <c r="E198" s="2"/>
      <c r="F198" s="2"/>
      <c r="G198" s="2"/>
      <c r="H198" s="2"/>
    </row>
    <row r="199" spans="1:8" ht="15.75">
      <c r="A199" s="2"/>
      <c r="B199" s="2"/>
      <c r="C199" s="2"/>
      <c r="D199" s="2"/>
      <c r="E199" s="2"/>
      <c r="F199" s="2"/>
      <c r="G199" s="2"/>
      <c r="H199" s="2"/>
    </row>
    <row r="200" spans="1:8" ht="15.75">
      <c r="A200" s="2"/>
      <c r="B200" s="2"/>
      <c r="C200" s="2"/>
      <c r="D200" s="2"/>
      <c r="E200" s="2"/>
      <c r="F200" s="2"/>
      <c r="G200" s="2"/>
      <c r="H200" s="2"/>
    </row>
    <row r="201" spans="1:8" ht="15.75">
      <c r="A201" s="2"/>
      <c r="B201" s="2"/>
      <c r="C201" s="2"/>
      <c r="D201" s="2"/>
      <c r="E201" s="2"/>
      <c r="F201" s="2"/>
      <c r="G201" s="2"/>
      <c r="H201" s="2"/>
    </row>
    <row r="202" spans="1:8" ht="15.75">
      <c r="A202" s="2"/>
      <c r="B202" s="2"/>
      <c r="C202" s="2"/>
      <c r="D202" s="2"/>
      <c r="E202" s="2"/>
      <c r="F202" s="2"/>
      <c r="G202" s="2"/>
      <c r="H202" s="2"/>
    </row>
    <row r="203" spans="1:8" ht="15.75">
      <c r="A203" s="2"/>
      <c r="B203" s="2"/>
      <c r="C203" s="2"/>
      <c r="D203" s="2"/>
      <c r="E203" s="2"/>
      <c r="F203" s="2"/>
      <c r="G203" s="2"/>
      <c r="H203" s="2"/>
    </row>
    <row r="204" spans="1:8" ht="15.75">
      <c r="A204" s="2"/>
      <c r="B204" s="2"/>
      <c r="C204" s="2"/>
      <c r="D204" s="2"/>
      <c r="E204" s="2"/>
      <c r="F204" s="2"/>
      <c r="G204" s="2"/>
      <c r="H204" s="2"/>
    </row>
    <row r="205" spans="1:8" ht="15.75">
      <c r="A205" s="2"/>
      <c r="B205" s="2"/>
      <c r="C205" s="2"/>
      <c r="D205" s="2"/>
      <c r="E205" s="2"/>
      <c r="F205" s="2"/>
      <c r="G205" s="2"/>
      <c r="H205" s="2"/>
    </row>
    <row r="206" spans="1:8" ht="15.75">
      <c r="A206" s="2"/>
      <c r="B206" s="2"/>
      <c r="C206" s="2"/>
      <c r="D206" s="2"/>
      <c r="E206" s="2"/>
      <c r="F206" s="2"/>
      <c r="G206" s="2"/>
      <c r="H206" s="2"/>
    </row>
    <row r="207" spans="1:8" ht="15.75">
      <c r="A207" s="2"/>
      <c r="B207" s="2"/>
      <c r="C207" s="2"/>
      <c r="D207" s="2"/>
      <c r="E207" s="2"/>
      <c r="F207" s="2"/>
      <c r="G207" s="2"/>
      <c r="H207" s="2"/>
    </row>
    <row r="208" spans="1:8" ht="15.75">
      <c r="A208" s="2"/>
      <c r="B208" s="2"/>
      <c r="C208" s="2"/>
      <c r="D208" s="2"/>
      <c r="E208" s="2"/>
      <c r="F208" s="2"/>
      <c r="G208" s="2"/>
      <c r="H208" s="2"/>
    </row>
    <row r="209" spans="1:8" ht="15.75">
      <c r="A209" s="2"/>
      <c r="B209" s="2"/>
      <c r="C209" s="2"/>
      <c r="D209" s="2"/>
      <c r="E209" s="2"/>
      <c r="F209" s="2"/>
      <c r="G209" s="2"/>
      <c r="H209" s="2"/>
    </row>
    <row r="210" spans="1:8" ht="15.75">
      <c r="A210" s="2"/>
      <c r="B210" s="2"/>
      <c r="C210" s="2"/>
      <c r="D210" s="2"/>
      <c r="E210" s="2"/>
      <c r="F210" s="2"/>
      <c r="G210" s="2"/>
      <c r="H210" s="2"/>
    </row>
    <row r="211" spans="1:8" ht="15.75">
      <c r="A211" s="2"/>
      <c r="B211" s="2"/>
      <c r="C211" s="2"/>
      <c r="D211" s="2"/>
      <c r="E211" s="2"/>
      <c r="F211" s="2"/>
      <c r="G211" s="2"/>
      <c r="H211" s="2"/>
    </row>
    <row r="212" spans="1:8" ht="15.75">
      <c r="A212" s="2"/>
      <c r="B212" s="2"/>
      <c r="C212" s="2"/>
      <c r="D212" s="2"/>
      <c r="E212" s="2"/>
      <c r="F212" s="2"/>
      <c r="G212" s="2"/>
      <c r="H212" s="2"/>
    </row>
    <row r="213" spans="1:8" ht="15.75">
      <c r="A213" s="2"/>
      <c r="B213" s="2"/>
      <c r="C213" s="2"/>
      <c r="D213" s="2"/>
      <c r="E213" s="2"/>
      <c r="F213" s="2"/>
      <c r="G213" s="2"/>
      <c r="H213" s="2"/>
    </row>
    <row r="214" spans="1:8" ht="15.75">
      <c r="A214" s="2"/>
      <c r="B214" s="2"/>
      <c r="C214" s="2"/>
      <c r="D214" s="2"/>
      <c r="E214" s="2"/>
      <c r="F214" s="2"/>
      <c r="G214" s="2"/>
      <c r="H214" s="2"/>
    </row>
    <row r="215" spans="1:8" ht="15.75">
      <c r="A215" s="2"/>
      <c r="B215" s="2"/>
      <c r="C215" s="2"/>
      <c r="D215" s="2"/>
      <c r="E215" s="2"/>
      <c r="F215" s="2"/>
      <c r="G215" s="2"/>
      <c r="H215" s="2"/>
    </row>
    <row r="216" spans="1:8" ht="15.75">
      <c r="A216" s="2"/>
      <c r="B216" s="2"/>
      <c r="C216" s="2"/>
      <c r="D216" s="2"/>
      <c r="E216" s="2"/>
      <c r="F216" s="2"/>
      <c r="G216" s="2"/>
      <c r="H216" s="2"/>
    </row>
    <row r="217" spans="1:8" ht="15.75">
      <c r="A217" s="2"/>
      <c r="B217" s="2"/>
      <c r="C217" s="2"/>
      <c r="D217" s="2"/>
      <c r="E217" s="2"/>
      <c r="F217" s="2"/>
      <c r="G217" s="2"/>
      <c r="H217" s="2"/>
    </row>
    <row r="218" spans="1:8" ht="15.75">
      <c r="A218" s="2"/>
      <c r="B218" s="2"/>
      <c r="C218" s="2"/>
      <c r="D218" s="2"/>
      <c r="E218" s="2"/>
      <c r="F218" s="2"/>
      <c r="G218" s="2"/>
      <c r="H218" s="2"/>
    </row>
    <row r="219" spans="1:8" ht="15.75">
      <c r="A219" s="2"/>
      <c r="B219" s="2"/>
      <c r="C219" s="2"/>
      <c r="D219" s="2"/>
      <c r="E219" s="2"/>
      <c r="F219" s="2"/>
      <c r="G219" s="2"/>
      <c r="H219" s="2"/>
    </row>
    <row r="220" spans="1:8" ht="15.75">
      <c r="A220" s="2"/>
      <c r="B220" s="2"/>
      <c r="C220" s="2"/>
      <c r="D220" s="2"/>
      <c r="E220" s="2"/>
      <c r="F220" s="2"/>
      <c r="G220" s="2"/>
      <c r="H220" s="2"/>
    </row>
    <row r="221" spans="1:8" ht="15.75">
      <c r="A221" s="2"/>
      <c r="B221" s="2"/>
      <c r="C221" s="2"/>
      <c r="D221" s="2"/>
      <c r="E221" s="2"/>
      <c r="F221" s="2"/>
      <c r="G221" s="2"/>
      <c r="H221" s="2"/>
    </row>
    <row r="222" spans="1:8" ht="15.75">
      <c r="A222" s="2"/>
      <c r="B222" s="2"/>
      <c r="C222" s="2"/>
      <c r="D222" s="2"/>
      <c r="E222" s="2"/>
      <c r="F222" s="2"/>
      <c r="G222" s="2"/>
      <c r="H222" s="2"/>
    </row>
    <row r="223" spans="1:8" ht="15.75">
      <c r="A223" s="2"/>
      <c r="B223" s="2"/>
      <c r="C223" s="2"/>
      <c r="D223" s="2"/>
      <c r="E223" s="2"/>
      <c r="F223" s="2"/>
      <c r="G223" s="2"/>
      <c r="H223" s="2"/>
    </row>
    <row r="224" spans="1:8" ht="15.75">
      <c r="A224" s="2"/>
      <c r="B224" s="2"/>
      <c r="C224" s="2"/>
      <c r="D224" s="2"/>
      <c r="E224" s="2"/>
      <c r="F224" s="2"/>
      <c r="G224" s="2"/>
      <c r="H224" s="2"/>
    </row>
    <row r="225" spans="1:8" ht="15.75">
      <c r="A225" s="2"/>
      <c r="B225" s="2"/>
      <c r="C225" s="2"/>
      <c r="D225" s="2"/>
      <c r="E225" s="2"/>
      <c r="F225" s="2"/>
      <c r="G225" s="2"/>
      <c r="H225" s="2"/>
    </row>
    <row r="226" spans="1:8" ht="15.75">
      <c r="A226" s="2"/>
      <c r="B226" s="2"/>
      <c r="C226" s="2"/>
      <c r="D226" s="2"/>
      <c r="E226" s="2"/>
      <c r="F226" s="2"/>
      <c r="G226" s="2"/>
      <c r="H226" s="2"/>
    </row>
    <row r="227" spans="1:8" ht="15.75">
      <c r="A227" s="2"/>
      <c r="B227" s="2"/>
      <c r="C227" s="2"/>
      <c r="D227" s="2"/>
      <c r="E227" s="2"/>
      <c r="F227" s="2"/>
      <c r="G227" s="2"/>
      <c r="H227" s="2"/>
    </row>
    <row r="228" spans="1:8" ht="15.75">
      <c r="A228" s="2"/>
      <c r="B228" s="2"/>
      <c r="C228" s="2"/>
      <c r="D228" s="2"/>
      <c r="E228" s="2"/>
      <c r="F228" s="2"/>
      <c r="G228" s="2"/>
      <c r="H228" s="2"/>
    </row>
    <row r="229" spans="1:8" ht="15.75">
      <c r="A229" s="2"/>
      <c r="B229" s="2"/>
      <c r="C229" s="2"/>
      <c r="D229" s="2"/>
      <c r="E229" s="2"/>
      <c r="F229" s="2"/>
      <c r="G229" s="2"/>
      <c r="H229" s="2"/>
    </row>
    <row r="230" spans="1:8" ht="15.75">
      <c r="A230" s="2"/>
      <c r="B230" s="2"/>
      <c r="C230" s="2"/>
      <c r="D230" s="2"/>
      <c r="E230" s="2"/>
      <c r="F230" s="2"/>
      <c r="G230" s="2"/>
      <c r="H230" s="2"/>
    </row>
    <row r="231" spans="1:8" ht="15.75">
      <c r="A231" s="2"/>
      <c r="B231" s="2"/>
      <c r="C231" s="2"/>
      <c r="D231" s="2"/>
      <c r="E231" s="2"/>
      <c r="F231" s="2"/>
      <c r="G231" s="2"/>
      <c r="H231" s="2"/>
    </row>
    <row r="232" spans="1:8" ht="15.75">
      <c r="A232" s="2"/>
      <c r="B232" s="2"/>
      <c r="C232" s="2"/>
      <c r="D232" s="2"/>
      <c r="E232" s="2"/>
      <c r="F232" s="2"/>
      <c r="G232" s="2"/>
      <c r="H232" s="2"/>
    </row>
    <row r="233" spans="1:8" ht="15.75">
      <c r="A233" s="2"/>
      <c r="B233" s="2"/>
      <c r="C233" s="2"/>
      <c r="D233" s="2"/>
      <c r="E233" s="2"/>
      <c r="F233" s="2"/>
      <c r="G233" s="2"/>
      <c r="H233" s="2"/>
    </row>
    <row r="234" spans="1:8" ht="15.75">
      <c r="A234" s="2"/>
      <c r="B234" s="2"/>
      <c r="C234" s="2"/>
      <c r="D234" s="2"/>
      <c r="E234" s="2"/>
      <c r="F234" s="2"/>
      <c r="G234" s="2"/>
      <c r="H234" s="2"/>
    </row>
    <row r="235" spans="1:8" ht="15.75">
      <c r="A235" s="2"/>
      <c r="B235" s="2"/>
      <c r="C235" s="2"/>
      <c r="D235" s="2"/>
      <c r="E235" s="2"/>
      <c r="F235" s="2"/>
      <c r="G235" s="2"/>
      <c r="H235" s="2"/>
    </row>
    <row r="236" spans="1:8" ht="15.75">
      <c r="A236" s="2"/>
      <c r="B236" s="2"/>
      <c r="C236" s="2"/>
      <c r="D236" s="2"/>
      <c r="E236" s="2"/>
      <c r="F236" s="2"/>
      <c r="G236" s="2"/>
      <c r="H236" s="2"/>
    </row>
    <row r="237" spans="1:8" ht="15.75">
      <c r="A237" s="2"/>
      <c r="B237" s="2"/>
      <c r="C237" s="2"/>
      <c r="D237" s="2"/>
      <c r="E237" s="2"/>
      <c r="F237" s="2"/>
      <c r="G237" s="2"/>
      <c r="H237" s="2"/>
    </row>
    <row r="238" spans="1:8" ht="15.75">
      <c r="A238" s="2"/>
      <c r="B238" s="2"/>
      <c r="C238" s="2"/>
      <c r="D238" s="2"/>
      <c r="E238" s="2"/>
      <c r="F238" s="2"/>
      <c r="G238" s="2"/>
      <c r="H238" s="2"/>
    </row>
  </sheetData>
  <mergeCells count="6">
    <mergeCell ref="A6:H6"/>
    <mergeCell ref="A1:H1"/>
    <mergeCell ref="A2:H2"/>
    <mergeCell ref="D4:H4"/>
    <mergeCell ref="A3:C4"/>
    <mergeCell ref="D3:H3"/>
  </mergeCells>
  <phoneticPr fontId="0" type="noConversion"/>
  <pageMargins left="0.78740157499999996" right="0.78740157499999996" top="0.984251969" bottom="0.984251969" header="0.49212598499999999" footer="0.49212598499999999"/>
  <pageSetup paperSize="9" orientation="portrait" horizontalDpi="4294967293"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29">
    <pageSetUpPr fitToPage="1"/>
  </sheetPr>
  <dimension ref="A1:H129"/>
  <sheetViews>
    <sheetView showGridLines="0" zoomScaleNormal="100" workbookViewId="0">
      <pane ySplit="2595" topLeftCell="A116" activePane="bottomLeft"/>
      <selection activeCell="H107" sqref="H7:H107"/>
      <selection pane="bottomLeft" activeCell="H129" sqref="H129"/>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601" t="s">
        <v>369</v>
      </c>
      <c r="B4" s="1442"/>
      <c r="C4" s="1602"/>
      <c r="D4" s="1432" t="s">
        <v>365</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771" t="s">
        <v>341</v>
      </c>
      <c r="B6" s="772" t="s">
        <v>76</v>
      </c>
      <c r="C6" s="772" t="s">
        <v>68</v>
      </c>
      <c r="D6" s="772" t="s">
        <v>342</v>
      </c>
      <c r="E6" s="772" t="s">
        <v>343</v>
      </c>
      <c r="F6" s="772" t="s">
        <v>344</v>
      </c>
      <c r="G6" s="772" t="s">
        <v>345</v>
      </c>
      <c r="H6" s="1428"/>
    </row>
    <row r="7" spans="1:8" ht="15.75" customHeight="1" thickBot="1">
      <c r="A7" s="1419" t="s">
        <v>347</v>
      </c>
      <c r="B7" s="1420"/>
      <c r="C7" s="952"/>
      <c r="D7" s="952"/>
      <c r="E7" s="952"/>
      <c r="F7" s="952"/>
      <c r="G7" s="952"/>
      <c r="H7" s="953" t="s">
        <v>360</v>
      </c>
    </row>
    <row r="8" spans="1:8" ht="16.5" hidden="1" customHeight="1" thickBot="1">
      <c r="A8" s="972" t="s">
        <v>479</v>
      </c>
      <c r="B8" s="992">
        <f>[121]Setembro!$J$28</f>
        <v>942.25600000000009</v>
      </c>
      <c r="C8" s="992">
        <v>100</v>
      </c>
      <c r="D8" s="994"/>
      <c r="E8" s="994"/>
      <c r="F8" s="995"/>
      <c r="G8" s="996"/>
      <c r="H8" s="993">
        <f>$B$128/B8</f>
        <v>2.3293521081319728</v>
      </c>
    </row>
    <row r="9" spans="1:8" ht="16.5" hidden="1" customHeight="1" thickBot="1">
      <c r="A9" s="973" t="s">
        <v>480</v>
      </c>
      <c r="B9" s="857">
        <f>[121]Outubro!$I$30</f>
        <v>1404.03</v>
      </c>
      <c r="C9" s="857">
        <f t="shared" ref="C9:C48" si="0">100*B9/$B$8</f>
        <v>149.00727615425106</v>
      </c>
      <c r="D9" s="858">
        <f t="shared" ref="D9:D48" si="1">100*((B9/B8)-1)</f>
        <v>49.007276154251066</v>
      </c>
      <c r="E9" s="858">
        <f>100*((B9/$B$8)-1)</f>
        <v>49.007276154251066</v>
      </c>
      <c r="F9" s="859"/>
      <c r="G9" s="860"/>
      <c r="H9" s="861">
        <f>$B$128/B9</f>
        <v>1.5632472240621642</v>
      </c>
    </row>
    <row r="10" spans="1:8" ht="16.5" hidden="1" customHeight="1" thickBot="1">
      <c r="A10" s="973" t="s">
        <v>481</v>
      </c>
      <c r="B10" s="857">
        <f>[121]Novembro!$I$30</f>
        <v>1277.2349999999999</v>
      </c>
      <c r="C10" s="857">
        <f t="shared" si="0"/>
        <v>135.55074204886992</v>
      </c>
      <c r="D10" s="858">
        <f t="shared" si="1"/>
        <v>-9.0307899403858976</v>
      </c>
      <c r="E10" s="858">
        <f>100*((B10/$B$8)-1)</f>
        <v>35.550742048869921</v>
      </c>
      <c r="F10" s="859"/>
      <c r="G10" s="860"/>
      <c r="H10" s="861">
        <f>$B$128/B10</f>
        <v>1.7184355267433171</v>
      </c>
    </row>
    <row r="11" spans="1:8" ht="16.5" hidden="1" customHeight="1" thickBot="1">
      <c r="A11" s="1015" t="s">
        <v>482</v>
      </c>
      <c r="B11" s="918">
        <f>[121]Dezembro!$J$28</f>
        <v>1357.4649999999999</v>
      </c>
      <c r="C11" s="918">
        <f t="shared" si="0"/>
        <v>144.06541322103547</v>
      </c>
      <c r="D11" s="919">
        <f t="shared" si="1"/>
        <v>6.2815378532533162</v>
      </c>
      <c r="E11" s="919">
        <f>100*((B11/$B$8)-1)</f>
        <v>44.065413221035456</v>
      </c>
      <c r="F11" s="920"/>
      <c r="G11" s="921"/>
      <c r="H11" s="861">
        <f>$B$128/B11</f>
        <v>1.6168711532157372</v>
      </c>
    </row>
    <row r="12" spans="1:8" ht="16.5" customHeight="1">
      <c r="A12" s="1013" t="s">
        <v>483</v>
      </c>
      <c r="B12" s="852">
        <f>[122]Janeiro!$J$28</f>
        <v>1394.4739999999999</v>
      </c>
      <c r="C12" s="852">
        <f t="shared" si="0"/>
        <v>147.99311439778572</v>
      </c>
      <c r="D12" s="853">
        <f t="shared" si="1"/>
        <v>2.726331802293247</v>
      </c>
      <c r="E12" s="853">
        <f>100*((B12/$B$11)-1)</f>
        <v>2.726331802293247</v>
      </c>
      <c r="F12" s="854"/>
      <c r="G12" s="855"/>
      <c r="H12" s="861">
        <f>$B$128/B12</f>
        <v>1.5739597869877822</v>
      </c>
    </row>
    <row r="13" spans="1:8" ht="16.5" customHeight="1">
      <c r="A13" s="1014" t="s">
        <v>484</v>
      </c>
      <c r="B13" s="857">
        <f>[122]Fevereiro!$J$28</f>
        <v>1385.086</v>
      </c>
      <c r="C13" s="857">
        <f t="shared" si="0"/>
        <v>146.9967821908271</v>
      </c>
      <c r="D13" s="858">
        <f t="shared" si="1"/>
        <v>-0.67322875865738485</v>
      </c>
      <c r="E13" s="858">
        <f t="shared" ref="E13:E23" si="2">100*((B13/$B$11)-1)</f>
        <v>2.0347485938864152</v>
      </c>
      <c r="F13" s="859"/>
      <c r="G13" s="860"/>
      <c r="H13" s="861">
        <f>$B$128/B13</f>
        <v>1.5846279581195684</v>
      </c>
    </row>
    <row r="14" spans="1:8" ht="16.5" customHeight="1">
      <c r="A14" s="1014" t="s">
        <v>485</v>
      </c>
      <c r="B14" s="857">
        <f>[122]Março!$J$28</f>
        <v>1448.2540000000001</v>
      </c>
      <c r="C14" s="857">
        <f t="shared" si="0"/>
        <v>153.70069280535228</v>
      </c>
      <c r="D14" s="858">
        <f t="shared" si="1"/>
        <v>4.5605832417626058</v>
      </c>
      <c r="E14" s="858">
        <f t="shared" si="2"/>
        <v>6.6881282390337971</v>
      </c>
      <c r="F14" s="859"/>
      <c r="G14" s="860"/>
      <c r="H14" s="861">
        <f>$B$128/B14</f>
        <v>1.515511781773087</v>
      </c>
    </row>
    <row r="15" spans="1:8" ht="16.5" customHeight="1">
      <c r="A15" s="1014" t="s">
        <v>486</v>
      </c>
      <c r="B15" s="857">
        <f>[122]Abril!$J$28</f>
        <v>1459.2540000000001</v>
      </c>
      <c r="C15" s="857">
        <f t="shared" si="0"/>
        <v>154.86810378495866</v>
      </c>
      <c r="D15" s="858">
        <f t="shared" si="1"/>
        <v>0.75953527488963335</v>
      </c>
      <c r="E15" s="858">
        <f t="shared" si="2"/>
        <v>7.4984622071287532</v>
      </c>
      <c r="F15" s="859"/>
      <c r="G15" s="860"/>
      <c r="H15" s="861">
        <f t="shared" ref="H15:H78" si="3">$B$128/B15</f>
        <v>1.5040877050876682</v>
      </c>
    </row>
    <row r="16" spans="1:8" ht="16.5" customHeight="1">
      <c r="A16" s="1014" t="s">
        <v>487</v>
      </c>
      <c r="B16" s="857">
        <f>[122]Maio!$J$28</f>
        <v>1493.434</v>
      </c>
      <c r="C16" s="857">
        <f t="shared" si="0"/>
        <v>158.4955680834083</v>
      </c>
      <c r="D16" s="858">
        <f t="shared" si="1"/>
        <v>2.3422927057249687</v>
      </c>
      <c r="E16" s="858">
        <f t="shared" si="2"/>
        <v>10.016390846172829</v>
      </c>
      <c r="F16" s="859"/>
      <c r="G16" s="860"/>
      <c r="H16" s="861">
        <f t="shared" si="3"/>
        <v>1.4696638753369753</v>
      </c>
    </row>
    <row r="17" spans="1:8" ht="16.5" customHeight="1">
      <c r="A17" s="1014" t="s">
        <v>488</v>
      </c>
      <c r="B17" s="857">
        <f>[122]Junho!$J$28</f>
        <v>1473.434</v>
      </c>
      <c r="C17" s="857">
        <f t="shared" si="0"/>
        <v>156.37300266594215</v>
      </c>
      <c r="D17" s="858">
        <f t="shared" si="1"/>
        <v>-1.3391954381646642</v>
      </c>
      <c r="E17" s="858">
        <f t="shared" si="2"/>
        <v>8.5430563587274744</v>
      </c>
      <c r="F17" s="859"/>
      <c r="G17" s="860"/>
      <c r="H17" s="861">
        <f t="shared" si="3"/>
        <v>1.4896127006706785</v>
      </c>
    </row>
    <row r="18" spans="1:8" ht="16.5" customHeight="1">
      <c r="A18" s="1014" t="s">
        <v>489</v>
      </c>
      <c r="B18" s="857">
        <f>[122]Julho!$J$28</f>
        <v>1483.288</v>
      </c>
      <c r="C18" s="857">
        <f t="shared" si="0"/>
        <v>157.41879064712771</v>
      </c>
      <c r="D18" s="858">
        <f t="shared" si="1"/>
        <v>0.66877783463663576</v>
      </c>
      <c r="E18" s="858">
        <f t="shared" si="2"/>
        <v>9.2689682606918122</v>
      </c>
      <c r="F18" s="859"/>
      <c r="G18" s="860"/>
      <c r="H18" s="861">
        <f t="shared" si="3"/>
        <v>1.4797166834761695</v>
      </c>
    </row>
    <row r="19" spans="1:8" ht="16.5" customHeight="1">
      <c r="A19" s="1014" t="s">
        <v>490</v>
      </c>
      <c r="B19" s="857">
        <f>[122]Agosto!$J$28</f>
        <v>1475.7580000000003</v>
      </c>
      <c r="C19" s="857">
        <f t="shared" si="0"/>
        <v>156.61964476745175</v>
      </c>
      <c r="D19" s="858">
        <f t="shared" si="1"/>
        <v>-0.50765596431709969</v>
      </c>
      <c r="E19" s="858">
        <f t="shared" si="2"/>
        <v>8.7142578261686587</v>
      </c>
      <c r="F19" s="859"/>
      <c r="G19" s="860"/>
      <c r="H19" s="861">
        <f t="shared" si="3"/>
        <v>1.4872668825105471</v>
      </c>
    </row>
    <row r="20" spans="1:8" ht="16.5" customHeight="1">
      <c r="A20" s="1014" t="s">
        <v>491</v>
      </c>
      <c r="B20" s="857">
        <f>[122]Setembro!$J$28</f>
        <v>1475.7580000000003</v>
      </c>
      <c r="C20" s="857">
        <f t="shared" si="0"/>
        <v>156.61964476745175</v>
      </c>
      <c r="D20" s="858">
        <f t="shared" si="1"/>
        <v>0</v>
      </c>
      <c r="E20" s="858">
        <f t="shared" si="2"/>
        <v>8.7142578261686587</v>
      </c>
      <c r="F20" s="859">
        <f t="shared" ref="F20:F47" si="4">100*((B20/B8)-1)</f>
        <v>56.619644767451739</v>
      </c>
      <c r="G20" s="860"/>
      <c r="H20" s="861">
        <f t="shared" si="3"/>
        <v>1.4872668825105471</v>
      </c>
    </row>
    <row r="21" spans="1:8" ht="16.5" customHeight="1">
      <c r="A21" s="1014" t="s">
        <v>492</v>
      </c>
      <c r="B21" s="857">
        <f>[122]Outubro!$J$28</f>
        <v>1538.6725000000001</v>
      </c>
      <c r="C21" s="857">
        <f t="shared" si="0"/>
        <v>163.29665186531048</v>
      </c>
      <c r="D21" s="858">
        <f t="shared" si="1"/>
        <v>4.2631989797785153</v>
      </c>
      <c r="E21" s="858">
        <f t="shared" si="2"/>
        <v>13.348962956687661</v>
      </c>
      <c r="F21" s="859">
        <f t="shared" si="4"/>
        <v>9.589716743944221</v>
      </c>
      <c r="G21" s="860"/>
      <c r="H21" s="861">
        <f t="shared" si="3"/>
        <v>1.4264542974544618</v>
      </c>
    </row>
    <row r="22" spans="1:8" ht="16.5" customHeight="1">
      <c r="A22" s="1014" t="s">
        <v>493</v>
      </c>
      <c r="B22" s="857">
        <f>[122]Novembro!$J$28</f>
        <v>1461.9380000000001</v>
      </c>
      <c r="C22" s="857">
        <f t="shared" si="0"/>
        <v>155.15295206398261</v>
      </c>
      <c r="D22" s="858">
        <f t="shared" si="1"/>
        <v>-4.9870586495826768</v>
      </c>
      <c r="E22" s="858">
        <f t="shared" si="2"/>
        <v>7.6961836953439056</v>
      </c>
      <c r="F22" s="859">
        <f t="shared" si="4"/>
        <v>14.461160240676163</v>
      </c>
      <c r="G22" s="860"/>
      <c r="H22" s="861">
        <f t="shared" si="3"/>
        <v>1.501326321636075</v>
      </c>
    </row>
    <row r="23" spans="1:8" ht="16.5" customHeight="1">
      <c r="A23" s="1014" t="s">
        <v>494</v>
      </c>
      <c r="B23" s="857">
        <f>[122]Dezembro!$J$28</f>
        <v>1468.8720000000001</v>
      </c>
      <c r="C23" s="857">
        <f t="shared" si="0"/>
        <v>155.88884549421812</v>
      </c>
      <c r="D23" s="858">
        <f t="shared" si="1"/>
        <v>0.4743019197804621</v>
      </c>
      <c r="E23" s="858">
        <f t="shared" si="2"/>
        <v>8.2069887621412096</v>
      </c>
      <c r="F23" s="859">
        <f t="shared" si="4"/>
        <v>8.2069887621412096</v>
      </c>
      <c r="G23" s="860"/>
      <c r="H23" s="861">
        <f t="shared" si="3"/>
        <v>1.4942391168188927</v>
      </c>
    </row>
    <row r="24" spans="1:8" ht="16.5" customHeight="1">
      <c r="A24" s="1014" t="s">
        <v>495</v>
      </c>
      <c r="B24" s="857">
        <f>[116]Janeiro!$J$28</f>
        <v>1468.8720000000001</v>
      </c>
      <c r="C24" s="857">
        <f t="shared" si="0"/>
        <v>155.88884549421812</v>
      </c>
      <c r="D24" s="858">
        <f t="shared" si="1"/>
        <v>0</v>
      </c>
      <c r="E24" s="858">
        <f>100*((B24/$B$23)-1)</f>
        <v>0</v>
      </c>
      <c r="F24" s="859">
        <f t="shared" si="4"/>
        <v>5.3352016602676189</v>
      </c>
      <c r="G24" s="860"/>
      <c r="H24" s="861">
        <f t="shared" si="3"/>
        <v>1.4942391168188927</v>
      </c>
    </row>
    <row r="25" spans="1:8" ht="16.5" customHeight="1">
      <c r="A25" s="1014" t="s">
        <v>496</v>
      </c>
      <c r="B25" s="857">
        <f>[116]Fevereiro!$J$28</f>
        <v>1364.7540000000001</v>
      </c>
      <c r="C25" s="857">
        <f t="shared" si="0"/>
        <v>144.83898218743101</v>
      </c>
      <c r="D25" s="858">
        <f t="shared" si="1"/>
        <v>-7.0882963253435243</v>
      </c>
      <c r="E25" s="858">
        <f t="shared" ref="E25:E35" si="5">100*((B25/$B$23)-1)</f>
        <v>-7.0882963253435243</v>
      </c>
      <c r="F25" s="859">
        <f t="shared" si="4"/>
        <v>-1.4679232914057261</v>
      </c>
      <c r="G25" s="860"/>
      <c r="H25" s="861">
        <f t="shared" si="3"/>
        <v>1.6082356234163815</v>
      </c>
    </row>
    <row r="26" spans="1:8" ht="16.5" customHeight="1">
      <c r="A26" s="1014" t="s">
        <v>497</v>
      </c>
      <c r="B26" s="857">
        <f>[116]Março!$J$28</f>
        <v>1332.268</v>
      </c>
      <c r="C26" s="857">
        <f t="shared" si="0"/>
        <v>141.3912991798407</v>
      </c>
      <c r="D26" s="858">
        <f t="shared" si="1"/>
        <v>-2.3803557271127374</v>
      </c>
      <c r="E26" s="858">
        <f t="shared" si="5"/>
        <v>-9.2999253849212256</v>
      </c>
      <c r="F26" s="859">
        <f t="shared" si="4"/>
        <v>-8.0086780357589316</v>
      </c>
      <c r="G26" s="860"/>
      <c r="H26" s="861">
        <f t="shared" si="3"/>
        <v>1.647450813199747</v>
      </c>
    </row>
    <row r="27" spans="1:8" ht="16.5" customHeight="1">
      <c r="A27" s="1014" t="s">
        <v>498</v>
      </c>
      <c r="B27" s="857">
        <f>[116]Abril!$J$28</f>
        <v>1332.268</v>
      </c>
      <c r="C27" s="857">
        <f t="shared" si="0"/>
        <v>141.3912991798407</v>
      </c>
      <c r="D27" s="858">
        <f t="shared" si="1"/>
        <v>0</v>
      </c>
      <c r="E27" s="858">
        <f t="shared" si="5"/>
        <v>-9.2999253849212256</v>
      </c>
      <c r="F27" s="859">
        <f t="shared" si="4"/>
        <v>-8.702117657378361</v>
      </c>
      <c r="G27" s="860"/>
      <c r="H27" s="861">
        <f t="shared" si="3"/>
        <v>1.647450813199747</v>
      </c>
    </row>
    <row r="28" spans="1:8" ht="16.5" customHeight="1">
      <c r="A28" s="1014" t="s">
        <v>499</v>
      </c>
      <c r="B28" s="857">
        <f>[116]Maio!$J$28</f>
        <v>1355.1279999999999</v>
      </c>
      <c r="C28" s="857">
        <f t="shared" si="0"/>
        <v>143.81739145200453</v>
      </c>
      <c r="D28" s="858">
        <f t="shared" si="1"/>
        <v>1.7158709809137473</v>
      </c>
      <c r="E28" s="858">
        <f t="shared" si="5"/>
        <v>-7.743629124933971</v>
      </c>
      <c r="F28" s="859">
        <f t="shared" si="4"/>
        <v>-9.2609382135400704</v>
      </c>
      <c r="G28" s="860"/>
      <c r="H28" s="861">
        <f t="shared" si="3"/>
        <v>1.619659545076185</v>
      </c>
    </row>
    <row r="29" spans="1:8" ht="16.5" customHeight="1">
      <c r="A29" s="1014" t="s">
        <v>500</v>
      </c>
      <c r="B29" s="857">
        <f>[116]Junho!$J$28</f>
        <v>1331.8</v>
      </c>
      <c r="C29" s="857">
        <f t="shared" si="0"/>
        <v>141.34163114907201</v>
      </c>
      <c r="D29" s="858">
        <f t="shared" si="1"/>
        <v>-1.7214609985182205</v>
      </c>
      <c r="E29" s="858">
        <f t="shared" si="5"/>
        <v>-9.3317865681965539</v>
      </c>
      <c r="F29" s="859">
        <f t="shared" si="4"/>
        <v>-9.6125106384133971</v>
      </c>
      <c r="G29" s="860"/>
      <c r="H29" s="861">
        <f t="shared" si="3"/>
        <v>1.648029734194324</v>
      </c>
    </row>
    <row r="30" spans="1:8" ht="16.5" customHeight="1">
      <c r="A30" s="1014" t="s">
        <v>501</v>
      </c>
      <c r="B30" s="857">
        <f>[116]Julho!$J$28</f>
        <v>1366.4666666666669</v>
      </c>
      <c r="C30" s="857">
        <f t="shared" si="0"/>
        <v>145.02074453934671</v>
      </c>
      <c r="D30" s="858">
        <f t="shared" si="1"/>
        <v>2.6029934424588452</v>
      </c>
      <c r="E30" s="858">
        <f t="shared" si="5"/>
        <v>-6.9716989181721196</v>
      </c>
      <c r="F30" s="859">
        <f t="shared" si="4"/>
        <v>-7.8758362053311988</v>
      </c>
      <c r="G30" s="860"/>
      <c r="H30" s="861">
        <f t="shared" si="3"/>
        <v>1.6062199346245793</v>
      </c>
    </row>
    <row r="31" spans="1:8" ht="16.5" customHeight="1">
      <c r="A31" s="1014" t="s">
        <v>502</v>
      </c>
      <c r="B31" s="857">
        <f>[116]Agosto!$J$28</f>
        <v>1393.5716666666667</v>
      </c>
      <c r="C31" s="857">
        <f t="shared" si="0"/>
        <v>147.89735132136772</v>
      </c>
      <c r="D31" s="858">
        <f t="shared" si="1"/>
        <v>1.9835829633604751</v>
      </c>
      <c r="E31" s="858">
        <f t="shared" si="5"/>
        <v>-5.1264053868092851</v>
      </c>
      <c r="F31" s="859">
        <f t="shared" si="4"/>
        <v>-5.5690928548809193</v>
      </c>
      <c r="G31" s="860"/>
      <c r="H31" s="861">
        <f t="shared" si="3"/>
        <v>1.5749789210697216</v>
      </c>
    </row>
    <row r="32" spans="1:8" ht="16.5" customHeight="1">
      <c r="A32" s="1014" t="s">
        <v>503</v>
      </c>
      <c r="B32" s="857">
        <f>[116]Setembro!$J$28</f>
        <v>1393.5716666666667</v>
      </c>
      <c r="C32" s="857">
        <f t="shared" si="0"/>
        <v>147.89735132136772</v>
      </c>
      <c r="D32" s="961">
        <f t="shared" si="1"/>
        <v>0</v>
      </c>
      <c r="E32" s="961">
        <f t="shared" si="5"/>
        <v>-5.1264053868092851</v>
      </c>
      <c r="F32" s="965">
        <f t="shared" si="4"/>
        <v>-5.5690928548809193</v>
      </c>
      <c r="G32" s="966">
        <f t="shared" ref="G32:G47" si="6">100*(B32/B8-1)</f>
        <v>47.897351321367722</v>
      </c>
      <c r="H32" s="861">
        <f t="shared" si="3"/>
        <v>1.5749789210697216</v>
      </c>
    </row>
    <row r="33" spans="1:8" ht="16.5" customHeight="1">
      <c r="A33" s="1014" t="s">
        <v>504</v>
      </c>
      <c r="B33" s="857">
        <f>[116]Outubro!$J$28</f>
        <v>1416.25</v>
      </c>
      <c r="C33" s="857">
        <f t="shared" si="0"/>
        <v>150.30416362432288</v>
      </c>
      <c r="D33" s="961">
        <f t="shared" si="1"/>
        <v>1.627353215897287</v>
      </c>
      <c r="E33" s="961">
        <f t="shared" si="5"/>
        <v>-3.5824768938341855</v>
      </c>
      <c r="F33" s="965">
        <f t="shared" si="4"/>
        <v>-7.9563714825604652</v>
      </c>
      <c r="G33" s="966">
        <f t="shared" si="6"/>
        <v>0.87035177311025613</v>
      </c>
      <c r="H33" s="861">
        <f t="shared" si="3"/>
        <v>1.5497588702559579</v>
      </c>
    </row>
    <row r="34" spans="1:8" ht="16.5" customHeight="1">
      <c r="A34" s="1014" t="s">
        <v>505</v>
      </c>
      <c r="B34" s="857">
        <f>[116]Novembro!$J$28</f>
        <v>1423.57</v>
      </c>
      <c r="C34" s="857">
        <f t="shared" si="0"/>
        <v>151.0810225671155</v>
      </c>
      <c r="D34" s="961">
        <f t="shared" si="1"/>
        <v>0.51685789938216153</v>
      </c>
      <c r="E34" s="961">
        <f t="shared" si="5"/>
        <v>-3.0841353092713408</v>
      </c>
      <c r="F34" s="965">
        <f t="shared" si="4"/>
        <v>-2.6244615024713869</v>
      </c>
      <c r="G34" s="966">
        <f t="shared" si="6"/>
        <v>11.457171154877521</v>
      </c>
      <c r="H34" s="861">
        <f t="shared" si="3"/>
        <v>1.5417900068138557</v>
      </c>
    </row>
    <row r="35" spans="1:8" ht="16.5" customHeight="1">
      <c r="A35" s="1014" t="s">
        <v>506</v>
      </c>
      <c r="B35" s="857">
        <f>[116]Dezembro!$J$28</f>
        <v>1411.4866666666667</v>
      </c>
      <c r="C35" s="857">
        <f t="shared" si="0"/>
        <v>149.79863929406301</v>
      </c>
      <c r="D35" s="961">
        <f t="shared" si="1"/>
        <v>-0.84880499963705391</v>
      </c>
      <c r="E35" s="961">
        <f t="shared" si="5"/>
        <v>-3.9067620142077319</v>
      </c>
      <c r="F35" s="965">
        <f t="shared" si="4"/>
        <v>-3.9067620142077319</v>
      </c>
      <c r="G35" s="966">
        <f t="shared" si="6"/>
        <v>3.9795992284638482</v>
      </c>
      <c r="H35" s="861">
        <f t="shared" si="3"/>
        <v>1.5549888297445249</v>
      </c>
    </row>
    <row r="36" spans="1:8" ht="16.5" customHeight="1">
      <c r="A36" s="1014" t="s">
        <v>507</v>
      </c>
      <c r="B36" s="857">
        <f>[107]Janeiro!$J$28</f>
        <v>1409.1533333333334</v>
      </c>
      <c r="C36" s="857">
        <f t="shared" si="0"/>
        <v>149.55100666202532</v>
      </c>
      <c r="D36" s="961">
        <f t="shared" si="1"/>
        <v>-0.16531033472980683</v>
      </c>
      <c r="E36" s="961">
        <f>100*((B36/$B$35)-1)</f>
        <v>-0.16531033472980683</v>
      </c>
      <c r="F36" s="965">
        <f t="shared" si="4"/>
        <v>-4.0656140675747521</v>
      </c>
      <c r="G36" s="966">
        <f t="shared" si="6"/>
        <v>1.0526788834595235</v>
      </c>
      <c r="H36" s="861">
        <f t="shared" si="3"/>
        <v>1.5575636434170876</v>
      </c>
    </row>
    <row r="37" spans="1:8" ht="16.5" customHeight="1">
      <c r="A37" s="1014" t="s">
        <v>508</v>
      </c>
      <c r="B37" s="857">
        <f>[107]Fevereiro!$J$28</f>
        <v>1411.8333333333333</v>
      </c>
      <c r="C37" s="857">
        <f t="shared" si="0"/>
        <v>149.83543042796575</v>
      </c>
      <c r="D37" s="961">
        <f t="shared" si="1"/>
        <v>0.19018512298163426</v>
      </c>
      <c r="E37" s="961">
        <f t="shared" ref="E37:E47" si="7">100*((B37/$B$35)-1)</f>
        <v>2.4560392588424129E-2</v>
      </c>
      <c r="F37" s="965">
        <f t="shared" si="4"/>
        <v>3.4496571054807745</v>
      </c>
      <c r="G37" s="966">
        <f t="shared" si="6"/>
        <v>1.9310954939500746</v>
      </c>
      <c r="H37" s="861">
        <f t="shared" si="3"/>
        <v>1.5546070121591316</v>
      </c>
    </row>
    <row r="38" spans="1:8" ht="16.5" customHeight="1">
      <c r="A38" s="1014" t="s">
        <v>509</v>
      </c>
      <c r="B38" s="857">
        <f>[107]Março!$J$28</f>
        <v>1431</v>
      </c>
      <c r="C38" s="857">
        <f t="shared" si="0"/>
        <v>151.86955561970419</v>
      </c>
      <c r="D38" s="961">
        <f t="shared" si="1"/>
        <v>1.3575728957620159</v>
      </c>
      <c r="E38" s="961">
        <f t="shared" si="7"/>
        <v>1.382466713583308</v>
      </c>
      <c r="F38" s="965">
        <f t="shared" si="4"/>
        <v>7.4108212461756917</v>
      </c>
      <c r="G38" s="966">
        <f t="shared" si="6"/>
        <v>-1.1913656029950648</v>
      </c>
      <c r="H38" s="861">
        <f t="shared" si="3"/>
        <v>1.5337847658979737</v>
      </c>
    </row>
    <row r="39" spans="1:8" ht="16.5" customHeight="1">
      <c r="A39" s="1014" t="s">
        <v>510</v>
      </c>
      <c r="B39" s="857">
        <f>[107]Abril!$J$28</f>
        <v>1472.4433333333334</v>
      </c>
      <c r="C39" s="857">
        <f t="shared" si="0"/>
        <v>156.267864925597</v>
      </c>
      <c r="D39" s="961">
        <f t="shared" si="1"/>
        <v>2.8961099464244189</v>
      </c>
      <c r="E39" s="961">
        <f t="shared" si="7"/>
        <v>4.3186144160058282</v>
      </c>
      <c r="F39" s="965">
        <f t="shared" si="4"/>
        <v>10.521556723822334</v>
      </c>
      <c r="G39" s="966">
        <f t="shared" si="6"/>
        <v>0.9038408209491422</v>
      </c>
      <c r="H39" s="861">
        <f t="shared" si="3"/>
        <v>1.4906149189668876</v>
      </c>
    </row>
    <row r="40" spans="1:8" ht="16.5" customHeight="1">
      <c r="A40" s="1014" t="s">
        <v>511</v>
      </c>
      <c r="B40" s="857">
        <f>[107]Maio!$J$28</f>
        <v>1476.1133333333335</v>
      </c>
      <c r="C40" s="857">
        <f t="shared" si="0"/>
        <v>156.65735567970205</v>
      </c>
      <c r="D40" s="961">
        <f t="shared" si="1"/>
        <v>0.24924558500269978</v>
      </c>
      <c r="E40" s="961">
        <f t="shared" si="7"/>
        <v>4.5786239567737086</v>
      </c>
      <c r="F40" s="965">
        <f t="shared" si="4"/>
        <v>8.9279635084902331</v>
      </c>
      <c r="G40" s="966">
        <f t="shared" si="6"/>
        <v>-1.1597878892985247</v>
      </c>
      <c r="H40" s="861">
        <f t="shared" si="3"/>
        <v>1.4869088642696813</v>
      </c>
    </row>
    <row r="41" spans="1:8" ht="16.5" customHeight="1">
      <c r="A41" s="1014" t="s">
        <v>512</v>
      </c>
      <c r="B41" s="857">
        <f>[107]Junho!$J$28</f>
        <v>1476.1133333333335</v>
      </c>
      <c r="C41" s="857">
        <f t="shared" si="0"/>
        <v>156.65735567970205</v>
      </c>
      <c r="D41" s="961">
        <f t="shared" si="1"/>
        <v>0</v>
      </c>
      <c r="E41" s="961">
        <f t="shared" si="7"/>
        <v>4.5786239567737086</v>
      </c>
      <c r="F41" s="965">
        <f t="shared" si="4"/>
        <v>10.83596135555891</v>
      </c>
      <c r="G41" s="966">
        <f t="shared" si="6"/>
        <v>0.18184277906805324</v>
      </c>
      <c r="H41" s="861">
        <f t="shared" si="3"/>
        <v>1.4869088642696813</v>
      </c>
    </row>
    <row r="42" spans="1:8" ht="16.5" customHeight="1">
      <c r="A42" s="1014" t="s">
        <v>513</v>
      </c>
      <c r="B42" s="857">
        <f>[107]Julho!$J$28</f>
        <v>1476.9716666666664</v>
      </c>
      <c r="C42" s="857">
        <f t="shared" si="0"/>
        <v>156.74844911220157</v>
      </c>
      <c r="D42" s="961">
        <f t="shared" si="1"/>
        <v>5.814820000267229E-2</v>
      </c>
      <c r="E42" s="961">
        <f t="shared" si="7"/>
        <v>4.6394345441921558</v>
      </c>
      <c r="F42" s="965">
        <f t="shared" si="4"/>
        <v>8.0869151583158114</v>
      </c>
      <c r="G42" s="966">
        <f t="shared" si="6"/>
        <v>-0.4258332389484476</v>
      </c>
      <c r="H42" s="861">
        <f t="shared" si="3"/>
        <v>1.4860447559928374</v>
      </c>
    </row>
    <row r="43" spans="1:8" ht="16.5" customHeight="1">
      <c r="A43" s="1014" t="s">
        <v>514</v>
      </c>
      <c r="B43" s="857">
        <f>[107]Agosto!$J$28</f>
        <v>1482.0266666666666</v>
      </c>
      <c r="C43" s="857">
        <f t="shared" si="0"/>
        <v>157.28492752146619</v>
      </c>
      <c r="D43" s="961">
        <f t="shared" si="1"/>
        <v>0.34225436506909457</v>
      </c>
      <c r="E43" s="961">
        <f t="shared" si="7"/>
        <v>4.9975675765032479</v>
      </c>
      <c r="F43" s="965">
        <f t="shared" si="4"/>
        <v>6.3473592435743686</v>
      </c>
      <c r="G43" s="966">
        <f t="shared" si="6"/>
        <v>0.42477605858590728</v>
      </c>
      <c r="H43" s="861">
        <f t="shared" si="3"/>
        <v>1.480976050813301</v>
      </c>
    </row>
    <row r="44" spans="1:8" ht="16.5" customHeight="1">
      <c r="A44" s="1014" t="s">
        <v>515</v>
      </c>
      <c r="B44" s="857">
        <f>[107]Setembro!$J$28</f>
        <v>1525.8433333333335</v>
      </c>
      <c r="C44" s="857">
        <f t="shared" si="0"/>
        <v>161.93511459023168</v>
      </c>
      <c r="D44" s="961">
        <f t="shared" si="1"/>
        <v>2.956536994386072</v>
      </c>
      <c r="E44" s="961">
        <f t="shared" si="7"/>
        <v>8.1018595051080879</v>
      </c>
      <c r="F44" s="965">
        <f t="shared" si="4"/>
        <v>9.4915582621633021</v>
      </c>
      <c r="G44" s="966">
        <f t="shared" si="6"/>
        <v>3.3938717142873776</v>
      </c>
      <c r="H44" s="861">
        <f t="shared" si="3"/>
        <v>1.4384478091896724</v>
      </c>
    </row>
    <row r="45" spans="1:8" ht="16.5" customHeight="1">
      <c r="A45" s="1014" t="s">
        <v>516</v>
      </c>
      <c r="B45" s="857">
        <f>[107]Outubro!$J$28</f>
        <v>1557.3516666666667</v>
      </c>
      <c r="C45" s="857">
        <f t="shared" si="0"/>
        <v>165.27903952499813</v>
      </c>
      <c r="D45" s="961">
        <f t="shared" si="1"/>
        <v>2.0649782743094924</v>
      </c>
      <c r="E45" s="961">
        <f t="shared" si="7"/>
        <v>10.334139418013155</v>
      </c>
      <c r="F45" s="965">
        <f t="shared" si="4"/>
        <v>9.9630479552809561</v>
      </c>
      <c r="G45" s="966">
        <f t="shared" si="6"/>
        <v>1.2139793664126985</v>
      </c>
      <c r="H45" s="861">
        <f t="shared" si="3"/>
        <v>1.4093451382742714</v>
      </c>
    </row>
    <row r="46" spans="1:8" ht="16.5" customHeight="1">
      <c r="A46" s="1014" t="s">
        <v>517</v>
      </c>
      <c r="B46" s="857">
        <f>[107]Novembro!$J$28</f>
        <v>1580.8116666666665</v>
      </c>
      <c r="C46" s="857">
        <f t="shared" si="0"/>
        <v>167.76880875968595</v>
      </c>
      <c r="D46" s="961">
        <f t="shared" si="1"/>
        <v>1.5064034991026265</v>
      </c>
      <c r="E46" s="961">
        <f t="shared" si="7"/>
        <v>11.996216754910893</v>
      </c>
      <c r="F46" s="965">
        <f t="shared" si="4"/>
        <v>11.045587267690848</v>
      </c>
      <c r="G46" s="966">
        <f t="shared" si="6"/>
        <v>8.1312385796570297</v>
      </c>
      <c r="H46" s="861">
        <f t="shared" si="3"/>
        <v>1.388429783434038</v>
      </c>
    </row>
    <row r="47" spans="1:8" ht="16.5" customHeight="1">
      <c r="A47" s="1014" t="s">
        <v>518</v>
      </c>
      <c r="B47" s="857">
        <f>[107]Dezembro!$J$28</f>
        <v>1590.8116666666665</v>
      </c>
      <c r="C47" s="857">
        <f t="shared" si="0"/>
        <v>168.83009146841903</v>
      </c>
      <c r="D47" s="961">
        <f t="shared" si="1"/>
        <v>0.63258642448447144</v>
      </c>
      <c r="E47" s="961">
        <f t="shared" si="7"/>
        <v>12.704689618038657</v>
      </c>
      <c r="F47" s="965">
        <f t="shared" si="4"/>
        <v>12.704689618038657</v>
      </c>
      <c r="G47" s="966">
        <f t="shared" si="6"/>
        <v>8.3015856158104029</v>
      </c>
      <c r="H47" s="861">
        <f t="shared" si="3"/>
        <v>1.3797019760352949</v>
      </c>
    </row>
    <row r="48" spans="1:8" ht="16.5" customHeight="1">
      <c r="A48" s="1014" t="s">
        <v>519</v>
      </c>
      <c r="B48" s="857">
        <f>'[108]jan-14'!$I$33</f>
        <v>1669.53</v>
      </c>
      <c r="C48" s="857">
        <f t="shared" si="0"/>
        <v>177.18433207111443</v>
      </c>
      <c r="D48" s="961">
        <f t="shared" si="1"/>
        <v>4.9483125490446866</v>
      </c>
      <c r="E48" s="961">
        <f t="shared" ref="E48:E53" si="8">100*((B48/$B$47)-1)</f>
        <v>4.9483125490446866</v>
      </c>
      <c r="F48" s="965">
        <f t="shared" ref="F48:F53" si="9">100*((B48/B36)-1)</f>
        <v>18.477525511773017</v>
      </c>
      <c r="G48" s="966">
        <f t="shared" ref="G48:G53" si="10">100*(B48/B24-1)</f>
        <v>13.660686567651915</v>
      </c>
      <c r="H48" s="861">
        <f t="shared" si="3"/>
        <v>1.3146490329613727</v>
      </c>
    </row>
    <row r="49" spans="1:8" ht="16.5" customHeight="1">
      <c r="A49" s="1014" t="s">
        <v>520</v>
      </c>
      <c r="B49" s="857">
        <f>'[108]fev-14'!$I$33</f>
        <v>1692.6133333333335</v>
      </c>
      <c r="C49" s="857">
        <f t="shared" ref="C49:C54" si="11">100*B49/$B$8</f>
        <v>179.6341263237733</v>
      </c>
      <c r="D49" s="961">
        <f t="shared" ref="D49:D54" si="12">100*((B49/B48)-1)</f>
        <v>1.3826246508498397</v>
      </c>
      <c r="E49" s="961">
        <f t="shared" si="8"/>
        <v>6.3993537889987184</v>
      </c>
      <c r="F49" s="965">
        <f t="shared" si="9"/>
        <v>19.887616574194332</v>
      </c>
      <c r="G49" s="966">
        <f t="shared" si="10"/>
        <v>24.02332825793756</v>
      </c>
      <c r="H49" s="861">
        <f t="shared" si="3"/>
        <v>1.2967202590077673</v>
      </c>
    </row>
    <row r="50" spans="1:8" ht="16.5" customHeight="1">
      <c r="A50" s="1014" t="s">
        <v>521</v>
      </c>
      <c r="B50" s="857">
        <f>'[108]mar-14'!$I$33</f>
        <v>1699.47</v>
      </c>
      <c r="C50" s="857">
        <f t="shared" si="11"/>
        <v>180.36181250106128</v>
      </c>
      <c r="D50" s="961">
        <f t="shared" si="12"/>
        <v>0.40509350432467173</v>
      </c>
      <c r="E50" s="961">
        <f t="shared" si="8"/>
        <v>6.8303706598413783</v>
      </c>
      <c r="F50" s="965">
        <f t="shared" si="9"/>
        <v>18.76100628930817</v>
      </c>
      <c r="G50" s="966">
        <f t="shared" si="10"/>
        <v>27.562172175568289</v>
      </c>
      <c r="H50" s="861">
        <f t="shared" si="3"/>
        <v>1.2914885228924313</v>
      </c>
    </row>
    <row r="51" spans="1:8" ht="16.5" customHeight="1">
      <c r="A51" s="1014" t="s">
        <v>522</v>
      </c>
      <c r="B51" s="857">
        <f>'[108]abr-14'!$I$33</f>
        <v>1556.4099999999999</v>
      </c>
      <c r="C51" s="857">
        <f t="shared" si="11"/>
        <v>165.17910206992579</v>
      </c>
      <c r="D51" s="961">
        <f t="shared" si="12"/>
        <v>-8.4179185275409463</v>
      </c>
      <c r="E51" s="961">
        <f t="shared" si="8"/>
        <v>-2.1625229049740846</v>
      </c>
      <c r="F51" s="965">
        <f t="shared" si="9"/>
        <v>5.702539769498749</v>
      </c>
      <c r="G51" s="966">
        <f t="shared" si="10"/>
        <v>16.824092449867422</v>
      </c>
      <c r="H51" s="861">
        <f t="shared" si="3"/>
        <v>1.4101978270507134</v>
      </c>
    </row>
    <row r="52" spans="1:8" ht="16.5" customHeight="1">
      <c r="A52" s="1014" t="s">
        <v>523</v>
      </c>
      <c r="B52" s="857">
        <f>'[108]mai-14'!$I$33</f>
        <v>1556.4099999999999</v>
      </c>
      <c r="C52" s="857">
        <f t="shared" si="11"/>
        <v>165.17910206992579</v>
      </c>
      <c r="D52" s="961">
        <f t="shared" si="12"/>
        <v>0</v>
      </c>
      <c r="E52" s="961">
        <f t="shared" si="8"/>
        <v>-2.1625229049740846</v>
      </c>
      <c r="F52" s="965">
        <f t="shared" si="9"/>
        <v>5.43973588297193</v>
      </c>
      <c r="G52" s="966">
        <f t="shared" si="10"/>
        <v>14.85335702605215</v>
      </c>
      <c r="H52" s="861">
        <f t="shared" si="3"/>
        <v>1.4101978270507134</v>
      </c>
    </row>
    <row r="53" spans="1:8" ht="16.5" customHeight="1">
      <c r="A53" s="1014" t="s">
        <v>524</v>
      </c>
      <c r="B53" s="857">
        <f>'[108]jun-14'!$I$33</f>
        <v>1511.2333333333336</v>
      </c>
      <c r="C53" s="857">
        <f t="shared" si="11"/>
        <v>160.38458055277266</v>
      </c>
      <c r="D53" s="961">
        <f t="shared" si="12"/>
        <v>-2.9026199180592682</v>
      </c>
      <c r="E53" s="961">
        <f t="shared" si="8"/>
        <v>-5.0023730024609803</v>
      </c>
      <c r="F53" s="965">
        <f t="shared" si="9"/>
        <v>2.3792211076836933</v>
      </c>
      <c r="G53" s="966">
        <f t="shared" si="10"/>
        <v>13.472993943034517</v>
      </c>
      <c r="H53" s="861">
        <f t="shared" si="3"/>
        <v>1.4523541478262789</v>
      </c>
    </row>
    <row r="54" spans="1:8" ht="16.5" customHeight="1">
      <c r="A54" s="1014" t="s">
        <v>525</v>
      </c>
      <c r="B54" s="857">
        <f>'[108]jul-14'!$I$33</f>
        <v>1511.2333333333336</v>
      </c>
      <c r="C54" s="857">
        <f t="shared" si="11"/>
        <v>160.38458055277266</v>
      </c>
      <c r="D54" s="961">
        <f t="shared" si="12"/>
        <v>0</v>
      </c>
      <c r="E54" s="961">
        <f t="shared" ref="E54:E59" si="13">100*((B54/$B$47)-1)</f>
        <v>-5.0023730024609803</v>
      </c>
      <c r="F54" s="965">
        <f t="shared" ref="F54:F59" si="14">100*((B54/B42)-1)</f>
        <v>2.3197240299126065</v>
      </c>
      <c r="G54" s="966">
        <f t="shared" ref="G54:G59" si="15">100*(B54/B30-1)</f>
        <v>10.594233302434496</v>
      </c>
      <c r="H54" s="861">
        <f t="shared" si="3"/>
        <v>1.4523541478262789</v>
      </c>
    </row>
    <row r="55" spans="1:8" ht="16.5" customHeight="1">
      <c r="A55" s="1014" t="s">
        <v>526</v>
      </c>
      <c r="B55" s="857">
        <f>'[108]ago-14'!$I$33</f>
        <v>1511.2333333333336</v>
      </c>
      <c r="C55" s="857">
        <f t="shared" ref="C55:C60" si="16">100*B55/$B$8</f>
        <v>160.38458055277266</v>
      </c>
      <c r="D55" s="961">
        <f t="shared" ref="D55:D60" si="17">100*((B55/B54)-1)</f>
        <v>0</v>
      </c>
      <c r="E55" s="961">
        <f t="shared" si="13"/>
        <v>-5.0023730024609803</v>
      </c>
      <c r="F55" s="965">
        <f t="shared" si="14"/>
        <v>1.9707247732834388</v>
      </c>
      <c r="G55" s="966">
        <f t="shared" si="15"/>
        <v>8.4431729979202341</v>
      </c>
      <c r="H55" s="861">
        <f t="shared" si="3"/>
        <v>1.4523541478262789</v>
      </c>
    </row>
    <row r="56" spans="1:8" ht="16.5" customHeight="1">
      <c r="A56" s="1014" t="s">
        <v>527</v>
      </c>
      <c r="B56" s="857">
        <f>'[108]set-14'!$I$33</f>
        <v>1511.2333333333336</v>
      </c>
      <c r="C56" s="857">
        <f t="shared" si="16"/>
        <v>160.38458055277266</v>
      </c>
      <c r="D56" s="961">
        <f t="shared" si="17"/>
        <v>0</v>
      </c>
      <c r="E56" s="961">
        <f t="shared" si="13"/>
        <v>-5.0023730024609803</v>
      </c>
      <c r="F56" s="965">
        <f t="shared" si="14"/>
        <v>-0.95750328233784598</v>
      </c>
      <c r="G56" s="966">
        <f t="shared" si="15"/>
        <v>8.4431729979202341</v>
      </c>
      <c r="H56" s="861">
        <f t="shared" si="3"/>
        <v>1.4523541478262789</v>
      </c>
    </row>
    <row r="57" spans="1:8" ht="16.5" customHeight="1">
      <c r="A57" s="1014" t="s">
        <v>528</v>
      </c>
      <c r="B57" s="857">
        <f>'[108]out-14'!$I$33</f>
        <v>1511.2333333333336</v>
      </c>
      <c r="C57" s="857">
        <f t="shared" si="16"/>
        <v>160.38458055277266</v>
      </c>
      <c r="D57" s="961">
        <f t="shared" si="17"/>
        <v>0</v>
      </c>
      <c r="E57" s="961">
        <f t="shared" si="13"/>
        <v>-5.0023730024609803</v>
      </c>
      <c r="F57" s="965">
        <f t="shared" si="14"/>
        <v>-2.9613307206357686</v>
      </c>
      <c r="G57" s="966">
        <f t="shared" si="15"/>
        <v>6.7066784348337904</v>
      </c>
      <c r="H57" s="861">
        <f t="shared" si="3"/>
        <v>1.4523541478262789</v>
      </c>
    </row>
    <row r="58" spans="1:8" ht="16.5" customHeight="1">
      <c r="A58" s="1014" t="s">
        <v>529</v>
      </c>
      <c r="B58" s="857">
        <f>'[108]nov-14'!$I$33</f>
        <v>1453.6333333333332</v>
      </c>
      <c r="C58" s="857">
        <f t="shared" si="16"/>
        <v>154.27159215047004</v>
      </c>
      <c r="D58" s="961">
        <f t="shared" si="17"/>
        <v>-3.8114564263184825</v>
      </c>
      <c r="E58" s="961">
        <f t="shared" si="13"/>
        <v>-8.6231661615087436</v>
      </c>
      <c r="F58" s="965">
        <f t="shared" si="14"/>
        <v>-8.0451287155227202</v>
      </c>
      <c r="G58" s="966">
        <f t="shared" si="15"/>
        <v>2.1118268390970085</v>
      </c>
      <c r="H58" s="861">
        <f t="shared" si="3"/>
        <v>1.5099034602948938</v>
      </c>
    </row>
    <row r="59" spans="1:8" ht="16.5" customHeight="1">
      <c r="A59" s="1014" t="s">
        <v>530</v>
      </c>
      <c r="B59" s="857">
        <f>'[108]dez-14'!$I$33</f>
        <v>1453.6333333333332</v>
      </c>
      <c r="C59" s="857">
        <f t="shared" si="16"/>
        <v>154.27159215047004</v>
      </c>
      <c r="D59" s="961">
        <f t="shared" si="17"/>
        <v>0</v>
      </c>
      <c r="E59" s="961">
        <f t="shared" si="13"/>
        <v>-8.6231661615087436</v>
      </c>
      <c r="F59" s="965">
        <f t="shared" si="14"/>
        <v>-8.6231661615087436</v>
      </c>
      <c r="G59" s="966">
        <f t="shared" si="15"/>
        <v>2.9859769604624775</v>
      </c>
      <c r="H59" s="861">
        <f t="shared" si="3"/>
        <v>1.5099034602948938</v>
      </c>
    </row>
    <row r="60" spans="1:8" ht="16.5" customHeight="1">
      <c r="A60" s="1014" t="s">
        <v>531</v>
      </c>
      <c r="B60" s="857">
        <f>'[109]jan-15'!$I$33</f>
        <v>1536.0400000000002</v>
      </c>
      <c r="C60" s="857">
        <f t="shared" si="16"/>
        <v>163.01726919223651</v>
      </c>
      <c r="D60" s="961">
        <f t="shared" si="17"/>
        <v>5.6690132770758517</v>
      </c>
      <c r="E60" s="961">
        <f t="shared" ref="E60:E65" si="18">100*((B60/$B$59)-1)</f>
        <v>5.6690132770758517</v>
      </c>
      <c r="F60" s="965">
        <f t="shared" ref="F60:F65" si="19">100*((B60/B48)-1)</f>
        <v>-7.9956634501925583</v>
      </c>
      <c r="G60" s="966">
        <f t="shared" ref="G60:G65" si="20">100*(B60/B36-1)</f>
        <v>9.0044613077356228</v>
      </c>
      <c r="H60" s="861">
        <f t="shared" si="3"/>
        <v>1.4288989870055469</v>
      </c>
    </row>
    <row r="61" spans="1:8" ht="16.5" customHeight="1">
      <c r="A61" s="1014" t="s">
        <v>649</v>
      </c>
      <c r="B61" s="857">
        <f>'[109]fev-15'!$I$33</f>
        <v>1607.04</v>
      </c>
      <c r="C61" s="857">
        <f t="shared" ref="C61:C66" si="21">100*B61/$B$8</f>
        <v>170.55237642424137</v>
      </c>
      <c r="D61" s="961">
        <f t="shared" ref="D61:D66" si="22">100*((B61/B60)-1)</f>
        <v>4.6222754615764972</v>
      </c>
      <c r="E61" s="961">
        <f t="shared" si="18"/>
        <v>10.553326148272157</v>
      </c>
      <c r="F61" s="965">
        <f t="shared" si="19"/>
        <v>-5.0556929718147963</v>
      </c>
      <c r="G61" s="966">
        <f t="shared" si="20"/>
        <v>13.82646676897652</v>
      </c>
      <c r="H61" s="861">
        <f t="shared" si="3"/>
        <v>1.3657693647949027</v>
      </c>
    </row>
    <row r="62" spans="1:8" ht="16.5" customHeight="1">
      <c r="A62" s="1014" t="s">
        <v>650</v>
      </c>
      <c r="B62" s="857">
        <f>'[109]mar-15'!$I$33</f>
        <v>1627.7533333333333</v>
      </c>
      <c r="C62" s="857">
        <f t="shared" si="21"/>
        <v>172.75064667493052</v>
      </c>
      <c r="D62" s="961">
        <f t="shared" si="22"/>
        <v>1.2889121200053033</v>
      </c>
      <c r="E62" s="961">
        <f t="shared" si="18"/>
        <v>11.978261368066235</v>
      </c>
      <c r="F62" s="965">
        <f t="shared" si="19"/>
        <v>-4.2199430802936639</v>
      </c>
      <c r="G62" s="966">
        <f t="shared" si="20"/>
        <v>13.749359422315388</v>
      </c>
      <c r="H62" s="861">
        <f t="shared" si="3"/>
        <v>1.348389805171136</v>
      </c>
    </row>
    <row r="63" spans="1:8" ht="16.5" customHeight="1">
      <c r="A63" s="1014" t="s">
        <v>652</v>
      </c>
      <c r="B63" s="857">
        <f>'[109]abr-15'!$I$33</f>
        <v>1584.29</v>
      </c>
      <c r="C63" s="857">
        <f t="shared" si="21"/>
        <v>168.13795826187362</v>
      </c>
      <c r="D63" s="961">
        <f t="shared" si="22"/>
        <v>-2.6701424867813683</v>
      </c>
      <c r="E63" s="961">
        <f t="shared" si="18"/>
        <v>8.9882822353184011</v>
      </c>
      <c r="F63" s="965">
        <f t="shared" si="19"/>
        <v>1.7913017778091955</v>
      </c>
      <c r="G63" s="966">
        <f t="shared" si="20"/>
        <v>7.5959912435792587</v>
      </c>
      <c r="H63" s="861">
        <f t="shared" si="3"/>
        <v>1.3853814642521258</v>
      </c>
    </row>
    <row r="64" spans="1:8" ht="16.5" customHeight="1">
      <c r="A64" s="1014" t="s">
        <v>653</v>
      </c>
      <c r="B64" s="857">
        <f>'[109]mai-15'!$I$33</f>
        <v>1614.6233333333332</v>
      </c>
      <c r="C64" s="857">
        <f t="shared" si="21"/>
        <v>171.35718247836394</v>
      </c>
      <c r="D64" s="961">
        <f t="shared" si="22"/>
        <v>1.9146326324936291</v>
      </c>
      <c r="E64" s="961">
        <f t="shared" si="18"/>
        <v>11.075007452590068</v>
      </c>
      <c r="F64" s="965">
        <f t="shared" si="19"/>
        <v>3.7402312586871878</v>
      </c>
      <c r="G64" s="966">
        <f t="shared" si="20"/>
        <v>9.3834258435440567</v>
      </c>
      <c r="H64" s="861">
        <f t="shared" si="3"/>
        <v>1.3593548134033329</v>
      </c>
    </row>
    <row r="65" spans="1:8" ht="16.5" customHeight="1">
      <c r="A65" s="1014" t="s">
        <v>654</v>
      </c>
      <c r="B65" s="857">
        <f>'[109]jun-15'!$I$33</f>
        <v>1634.3866666666665</v>
      </c>
      <c r="C65" s="857">
        <f t="shared" si="21"/>
        <v>173.45463087172345</v>
      </c>
      <c r="D65" s="961">
        <f t="shared" si="22"/>
        <v>1.2240212887629109</v>
      </c>
      <c r="E65" s="961">
        <f t="shared" si="18"/>
        <v>12.434589190304756</v>
      </c>
      <c r="F65" s="965">
        <f t="shared" si="19"/>
        <v>8.1491938152060897</v>
      </c>
      <c r="G65" s="966">
        <f t="shared" si="20"/>
        <v>10.72230226224724</v>
      </c>
      <c r="H65" s="861">
        <f t="shared" si="3"/>
        <v>1.3429172207311206</v>
      </c>
    </row>
    <row r="66" spans="1:8" ht="16.5" customHeight="1">
      <c r="A66" s="1014" t="s">
        <v>657</v>
      </c>
      <c r="B66" s="857">
        <f>'[109]jul-15'!$I$33</f>
        <v>1679.5433333333333</v>
      </c>
      <c r="C66" s="857">
        <f t="shared" si="21"/>
        <v>178.24702982345914</v>
      </c>
      <c r="D66" s="961">
        <f t="shared" si="22"/>
        <v>2.7629120811884622</v>
      </c>
      <c r="E66" s="961">
        <f t="shared" ref="E66:E71" si="23">100*((B66/$B$59)-1)</f>
        <v>15.541058038478294</v>
      </c>
      <c r="F66" s="965">
        <f t="shared" ref="F66:F71" si="24">100*((B66/B54)-1)</f>
        <v>11.137260956834361</v>
      </c>
      <c r="G66" s="966">
        <f t="shared" ref="G66:G71" si="25">100*(B66/B42-1)</f>
        <v>13.715338705436707</v>
      </c>
      <c r="H66" s="861">
        <f t="shared" si="3"/>
        <v>1.3068111768476751</v>
      </c>
    </row>
    <row r="67" spans="1:8" ht="16.5" customHeight="1">
      <c r="A67" s="1032" t="str">
        <f>rodoarlv!A192</f>
        <v>AGOSTO|15</v>
      </c>
      <c r="B67" s="918">
        <f>'[109]ago-15'!$I$33</f>
        <v>1678.1933333333334</v>
      </c>
      <c r="C67" s="918">
        <f t="shared" ref="C67:C72" si="26">100*B67/$B$8</f>
        <v>178.1037566577802</v>
      </c>
      <c r="D67" s="1036">
        <f t="shared" ref="D67:D72" si="27">100*((B67/B66)-1)</f>
        <v>-8.0378991908514053E-2</v>
      </c>
      <c r="E67" s="1036">
        <f t="shared" si="23"/>
        <v>15.448187300786543</v>
      </c>
      <c r="F67" s="1037">
        <f t="shared" si="24"/>
        <v>11.047929946842515</v>
      </c>
      <c r="G67" s="1038">
        <f t="shared" si="25"/>
        <v>13.236379012523392</v>
      </c>
      <c r="H67" s="861">
        <f t="shared" si="3"/>
        <v>1.307862423479218</v>
      </c>
    </row>
    <row r="68" spans="1:8" ht="16.5" customHeight="1">
      <c r="A68" s="1032" t="str">
        <f>rodoarlv!A193</f>
        <v>SETEMBRO|15</v>
      </c>
      <c r="B68" s="918">
        <f>'[109]set-15'!$I$33</f>
        <v>1682.7166666666665</v>
      </c>
      <c r="C68" s="918">
        <f t="shared" si="26"/>
        <v>178.58381020303042</v>
      </c>
      <c r="D68" s="1036">
        <f t="shared" si="27"/>
        <v>0.26953588978622101</v>
      </c>
      <c r="E68" s="1036">
        <f t="shared" si="23"/>
        <v>15.759361599669797</v>
      </c>
      <c r="F68" s="1037">
        <f t="shared" si="24"/>
        <v>11.347243972913933</v>
      </c>
      <c r="G68" s="1038">
        <f t="shared" si="25"/>
        <v>10.281090457080545</v>
      </c>
      <c r="H68" s="861">
        <f t="shared" si="3"/>
        <v>1.3043467408852751</v>
      </c>
    </row>
    <row r="69" spans="1:8" ht="16.5" customHeight="1">
      <c r="A69" s="1032" t="str">
        <f>rodoarlv!A194</f>
        <v>OUTUBRO|15</v>
      </c>
      <c r="B69" s="918">
        <f>'[109]out-15'!$I$33</f>
        <v>1755.6366666666665</v>
      </c>
      <c r="C69" s="918">
        <f t="shared" si="26"/>
        <v>186.32268371511208</v>
      </c>
      <c r="D69" s="1036">
        <f t="shared" si="27"/>
        <v>4.3334686964531688</v>
      </c>
      <c r="E69" s="1036">
        <f t="shared" si="23"/>
        <v>20.775757297805498</v>
      </c>
      <c r="F69" s="1037">
        <f t="shared" si="24"/>
        <v>16.172441934843484</v>
      </c>
      <c r="G69" s="1038">
        <f t="shared" si="25"/>
        <v>12.732191722914221</v>
      </c>
      <c r="H69" s="861">
        <f t="shared" si="3"/>
        <v>1.250170973113268</v>
      </c>
    </row>
    <row r="70" spans="1:8" ht="16.5" customHeight="1">
      <c r="A70" s="1032" t="str">
        <f>rodoarlv!A195</f>
        <v>NOVEMBRO|15</v>
      </c>
      <c r="B70" s="918">
        <f>'[109]nov-15'!$I$33</f>
        <v>1717.5100000000002</v>
      </c>
      <c r="C70" s="918">
        <f t="shared" si="26"/>
        <v>182.27636650761579</v>
      </c>
      <c r="D70" s="1036">
        <f t="shared" si="27"/>
        <v>-2.1716718151629455</v>
      </c>
      <c r="E70" s="1036">
        <f t="shared" si="23"/>
        <v>18.152904217019451</v>
      </c>
      <c r="F70" s="1037">
        <f t="shared" si="24"/>
        <v>18.152904217019451</v>
      </c>
      <c r="G70" s="1038">
        <f t="shared" si="25"/>
        <v>8.6473509916319635</v>
      </c>
      <c r="H70" s="861">
        <f t="shared" si="3"/>
        <v>1.277923272644701</v>
      </c>
    </row>
    <row r="71" spans="1:8" ht="16.5" customHeight="1">
      <c r="A71" s="1032" t="str">
        <f>rodoarlv!A196</f>
        <v>DEZEMBRO|15</v>
      </c>
      <c r="B71" s="918">
        <f>'[109]dez-15'!$I$33</f>
        <v>1711.7300000000002</v>
      </c>
      <c r="C71" s="918">
        <f t="shared" si="26"/>
        <v>181.66294510196806</v>
      </c>
      <c r="D71" s="1036">
        <f t="shared" si="27"/>
        <v>-0.33653370286053086</v>
      </c>
      <c r="E71" s="1036">
        <f t="shared" si="23"/>
        <v>17.755279873420648</v>
      </c>
      <c r="F71" s="1037">
        <f t="shared" si="24"/>
        <v>17.755279873420648</v>
      </c>
      <c r="G71" s="1038">
        <f t="shared" si="25"/>
        <v>7.6010464259859134</v>
      </c>
      <c r="H71" s="861">
        <f t="shared" si="3"/>
        <v>1.2822384371366979</v>
      </c>
    </row>
    <row r="72" spans="1:8" ht="16.5" customHeight="1">
      <c r="A72" s="1032" t="str">
        <f>rodoarlv!A197</f>
        <v>JANEIRO|16</v>
      </c>
      <c r="B72" s="918">
        <f>'[115]jan-16'!$I$33</f>
        <v>1727.54</v>
      </c>
      <c r="C72" s="918">
        <f t="shared" si="26"/>
        <v>183.34083306447502</v>
      </c>
      <c r="D72" s="1036">
        <f t="shared" si="27"/>
        <v>0.92362697388022053</v>
      </c>
      <c r="E72" s="1036">
        <f t="shared" ref="E72:E77" si="28">100*((B72/$B$71)-1)</f>
        <v>0.92362697388022053</v>
      </c>
      <c r="F72" s="1037">
        <f t="shared" ref="F72" si="29">100*((B72/B60)-1)</f>
        <v>12.467123251998636</v>
      </c>
      <c r="G72" s="1038">
        <f t="shared" ref="G72" si="30">100*(B72/B48-1)</f>
        <v>3.4746305846555581</v>
      </c>
      <c r="H72" s="861">
        <f t="shared" si="3"/>
        <v>1.2705037220556401</v>
      </c>
    </row>
    <row r="73" spans="1:8" ht="16.5" customHeight="1">
      <c r="A73" s="1032" t="str">
        <f>rodoarlv!A198</f>
        <v>FEVEREIRO|16</v>
      </c>
      <c r="B73" s="918">
        <f>'[115]fev-16'!$I$33</f>
        <v>1686.5800000000002</v>
      </c>
      <c r="C73" s="918">
        <f t="shared" ref="C73" si="31">100*B73/$B$8</f>
        <v>178.99381908950434</v>
      </c>
      <c r="D73" s="1036">
        <f t="shared" ref="D73" si="32">100*((B73/B72)-1)</f>
        <v>-2.3710015397617301</v>
      </c>
      <c r="E73" s="1036">
        <f t="shared" si="28"/>
        <v>-1.4692737756538787</v>
      </c>
      <c r="F73" s="1037">
        <f t="shared" ref="F73" si="33">100*((B73/B61)-1)</f>
        <v>4.9494723217841541</v>
      </c>
      <c r="G73" s="1038">
        <f t="shared" ref="G73" si="34">100*(B73/B49-1)</f>
        <v>-0.35645077434499628</v>
      </c>
      <c r="H73" s="861">
        <f t="shared" si="3"/>
        <v>1.3013589631087765</v>
      </c>
    </row>
    <row r="74" spans="1:8" ht="16.5" customHeight="1">
      <c r="A74" s="1032" t="str">
        <f>rodoarlv!A199</f>
        <v>MARÇO|16</v>
      </c>
      <c r="B74" s="918">
        <f>'[115]mar-16'!$I$33</f>
        <v>1666.95</v>
      </c>
      <c r="C74" s="918">
        <f t="shared" ref="C74" si="35">100*B74/$B$8</f>
        <v>176.91052113226127</v>
      </c>
      <c r="D74" s="1036">
        <f t="shared" ref="D74" si="36">100*((B74/B73)-1)</f>
        <v>-1.1638937969144725</v>
      </c>
      <c r="E74" s="1036">
        <f t="shared" si="28"/>
        <v>-2.6160667862338172</v>
      </c>
      <c r="F74" s="1037">
        <f t="shared" ref="F74" si="37">100*((B74/B62)-1)</f>
        <v>2.4080225095530539</v>
      </c>
      <c r="G74" s="1038">
        <f t="shared" ref="G74" si="38">100*(B74/B50-1)</f>
        <v>-1.9135377500044126</v>
      </c>
      <c r="H74" s="861">
        <f t="shared" si="3"/>
        <v>1.3166837637601609</v>
      </c>
    </row>
    <row r="75" spans="1:8" ht="16.5" customHeight="1">
      <c r="A75" s="1032" t="str">
        <f>rodoarlv!A200</f>
        <v>ABRIL|16</v>
      </c>
      <c r="B75" s="918">
        <f>'[115]abr-16'!$I$33</f>
        <v>1682.7560000000001</v>
      </c>
      <c r="C75" s="918">
        <f t="shared" ref="C75" si="39">100*B75/$B$8</f>
        <v>178.58798458168479</v>
      </c>
      <c r="D75" s="1036">
        <f t="shared" ref="D75" si="40">100*((B75/B74)-1)</f>
        <v>0.94819880620293784</v>
      </c>
      <c r="E75" s="1036">
        <f t="shared" si="28"/>
        <v>-1.6926734940674093</v>
      </c>
      <c r="F75" s="1037">
        <f t="shared" ref="F75" si="41">100*((B75/B63)-1)</f>
        <v>6.2151500041027985</v>
      </c>
      <c r="G75" s="1038">
        <f t="shared" ref="G75" si="42">100*(B75/B51-1)</f>
        <v>8.1177838744289854</v>
      </c>
      <c r="H75" s="861">
        <f t="shared" si="3"/>
        <v>1.3043162526236722</v>
      </c>
    </row>
    <row r="76" spans="1:8" ht="16.5" customHeight="1">
      <c r="A76" s="1032" t="str">
        <f>rodoarlv!A201</f>
        <v>MAIO|16</v>
      </c>
      <c r="B76" s="918">
        <f>'[115]mai-16'!$I$33</f>
        <v>1682.7560000000001</v>
      </c>
      <c r="C76" s="918">
        <f t="shared" ref="C76" si="43">100*B76/$B$8</f>
        <v>178.58798458168479</v>
      </c>
      <c r="D76" s="1036">
        <f t="shared" ref="D76" si="44">100*((B76/B75)-1)</f>
        <v>0</v>
      </c>
      <c r="E76" s="1036">
        <f t="shared" si="28"/>
        <v>-1.6926734940674093</v>
      </c>
      <c r="F76" s="1037">
        <f t="shared" ref="F76" si="45">100*((B76/B64)-1)</f>
        <v>4.219725137132091</v>
      </c>
      <c r="G76" s="1038">
        <f t="shared" ref="G76" si="46">100*(B76/B52-1)</f>
        <v>8.1177838744289854</v>
      </c>
      <c r="H76" s="861">
        <f t="shared" si="3"/>
        <v>1.3043162526236722</v>
      </c>
    </row>
    <row r="77" spans="1:8">
      <c r="A77" s="1032" t="str">
        <f>rodoarlv!A202</f>
        <v>JUNHO|16</v>
      </c>
      <c r="B77" s="918">
        <f>'[115]jun-16'!$I$33</f>
        <v>1682.7560000000001</v>
      </c>
      <c r="C77" s="918">
        <f t="shared" ref="C77" si="47">100*B77/$B$8</f>
        <v>178.58798458168479</v>
      </c>
      <c r="D77" s="1036">
        <f t="shared" ref="D77" si="48">100*((B77/B76)-1)</f>
        <v>0</v>
      </c>
      <c r="E77" s="1036">
        <f t="shared" si="28"/>
        <v>-1.6926734940674093</v>
      </c>
      <c r="F77" s="1037">
        <f t="shared" ref="F77" si="49">100*((B77/B65)-1)</f>
        <v>2.9594791930102282</v>
      </c>
      <c r="G77" s="1038">
        <f t="shared" ref="G77" si="50">100*(B77/B53-1)</f>
        <v>11.349846703575439</v>
      </c>
      <c r="H77" s="861">
        <f t="shared" si="3"/>
        <v>1.3043162526236722</v>
      </c>
    </row>
    <row r="78" spans="1:8">
      <c r="A78" s="1032" t="str">
        <f>rodoarlv!A203</f>
        <v>JULHO|16</v>
      </c>
      <c r="B78" s="918">
        <f>'[115]jul-16'!$I$33</f>
        <v>1685.0360000000001</v>
      </c>
      <c r="C78" s="918">
        <f t="shared" ref="C78" si="51">100*B78/$B$8</f>
        <v>178.82995703927594</v>
      </c>
      <c r="D78" s="1036">
        <f t="shared" ref="D78" si="52">100*((B78/B77)-1)</f>
        <v>0.1354920142908389</v>
      </c>
      <c r="E78" s="1036">
        <f t="shared" ref="E78" si="53">100*((B78/$B$71)-1)</f>
        <v>-1.5594749171890521</v>
      </c>
      <c r="F78" s="1037">
        <f t="shared" ref="F78" si="54">100*((B78/B66)-1)</f>
        <v>0.32703334041197518</v>
      </c>
      <c r="G78" s="1038">
        <f t="shared" ref="G78" si="55">100*(B78/B54-1)</f>
        <v>11.500716853783866</v>
      </c>
      <c r="H78" s="861">
        <f t="shared" si="3"/>
        <v>1.3025513994953226</v>
      </c>
    </row>
    <row r="79" spans="1:8">
      <c r="A79" s="1032" t="str">
        <f>rodoarlv!A204</f>
        <v>AGOSTO|16</v>
      </c>
      <c r="B79" s="918">
        <f>'[115]ago-16'!$I$33</f>
        <v>1691.8340000000001</v>
      </c>
      <c r="C79" s="918">
        <f t="shared" ref="C79" si="56">100*B79/$B$8</f>
        <v>179.55141702467267</v>
      </c>
      <c r="D79" s="1036">
        <f t="shared" ref="D79" si="57">100*((B79/B78)-1)</f>
        <v>0.40343351714740017</v>
      </c>
      <c r="E79" s="1036">
        <f t="shared" ref="E79" si="58">100*((B79/$B$71)-1)</f>
        <v>-1.1623328445490966</v>
      </c>
      <c r="F79" s="1037">
        <f t="shared" ref="F79" si="59">100*((B79/B67)-1)</f>
        <v>0.81281854692942801</v>
      </c>
      <c r="G79" s="1038">
        <f t="shared" ref="G79" si="60">100*(B79/B55-1)</f>
        <v>11.950548117431659</v>
      </c>
      <c r="H79" s="861">
        <f t="shared" ref="H79:H128" si="61">$B$128/B79</f>
        <v>1.2973175855314412</v>
      </c>
    </row>
    <row r="80" spans="1:8">
      <c r="A80" s="1032" t="str">
        <f>rodoarlv!A205</f>
        <v>SETEMBRO|16</v>
      </c>
      <c r="B80" s="918">
        <f>'[115]set-16'!$I$33</f>
        <v>1693.6560000000002</v>
      </c>
      <c r="C80" s="918">
        <f t="shared" ref="C80" si="62">100*B80/$B$8</f>
        <v>179.74478273420385</v>
      </c>
      <c r="D80" s="1036">
        <f t="shared" ref="D80" si="63">100*((B80/B79)-1)</f>
        <v>0.10769378083193004</v>
      </c>
      <c r="E80" s="1036">
        <f t="shared" ref="E80" si="64">100*((B80/$B$71)-1)</f>
        <v>-1.0558908239033049</v>
      </c>
      <c r="F80" s="1037">
        <f t="shared" ref="F80" si="65">100*((B80/B68)-1)</f>
        <v>0.65009954141619364</v>
      </c>
      <c r="G80" s="1038">
        <f t="shared" ref="G80" si="66">100*(B80/B56-1)</f>
        <v>12.071111895361408</v>
      </c>
      <c r="H80" s="861">
        <f t="shared" si="61"/>
        <v>1.2959219581780481</v>
      </c>
    </row>
    <row r="81" spans="1:8">
      <c r="A81" s="1032" t="str">
        <f>rodoarlv!A206</f>
        <v>OUTUBRO|16</v>
      </c>
      <c r="B81" s="918">
        <f>'[115]out-16'!$I$33</f>
        <v>1687.818</v>
      </c>
      <c r="C81" s="918">
        <f t="shared" ref="C81" si="67">100*B81/$B$8</f>
        <v>179.12520588884547</v>
      </c>
      <c r="D81" s="1036">
        <f t="shared" ref="D81" si="68">100*((B81/B80)-1)</f>
        <v>-0.34469809689807729</v>
      </c>
      <c r="E81" s="1036">
        <f t="shared" ref="E81" si="69">100*((B81/$B$71)-1)</f>
        <v>-1.3969492852260679</v>
      </c>
      <c r="F81" s="1037">
        <f t="shared" ref="F81" si="70">100*((B81/B69)-1)</f>
        <v>-3.8629101313673475</v>
      </c>
      <c r="G81" s="1038">
        <f t="shared" ref="G81" si="71">100*(B81/B57-1)</f>
        <v>11.684804905485557</v>
      </c>
      <c r="H81" s="861">
        <f t="shared" si="61"/>
        <v>1.30040442749159</v>
      </c>
    </row>
    <row r="82" spans="1:8">
      <c r="A82" s="1032" t="str">
        <f>rodoarlv!A207</f>
        <v>NOVEMBRO|16</v>
      </c>
      <c r="B82" s="918">
        <f>'[115]nov-16'!$I$33</f>
        <v>1719.9899999999998</v>
      </c>
      <c r="C82" s="918">
        <f t="shared" ref="C82" si="72">100*B82/$B$8</f>
        <v>182.53956461938151</v>
      </c>
      <c r="D82" s="1036">
        <f t="shared" ref="D82" si="73">100*((B82/B81)-1)</f>
        <v>1.9061296893385204</v>
      </c>
      <c r="E82" s="1036">
        <f t="shared" ref="E82" si="74">100*((B82/$B$71)-1)</f>
        <v>0.48255273904176388</v>
      </c>
      <c r="F82" s="1037">
        <f t="shared" ref="F82" si="75">100*((B82/B70)-1)</f>
        <v>0.1443950835802843</v>
      </c>
      <c r="G82" s="1038">
        <f t="shared" ref="G82" si="76">100*(B82/B58-1)</f>
        <v>18.323511201816125</v>
      </c>
      <c r="H82" s="861">
        <f t="shared" si="61"/>
        <v>1.2760806748876452</v>
      </c>
    </row>
    <row r="83" spans="1:8">
      <c r="A83" s="1032" t="str">
        <f>rodoarlv!A208</f>
        <v>DEZEMBRO|16</v>
      </c>
      <c r="B83" s="918">
        <f>'[115]dez-16'!$I$33</f>
        <v>1723.6079999999997</v>
      </c>
      <c r="C83" s="918">
        <f t="shared" ref="C83" si="77">100*B83/$B$8</f>
        <v>182.92353670340114</v>
      </c>
      <c r="D83" s="1036">
        <f t="shared" ref="D83" si="78">100*((B83/B82)-1)</f>
        <v>0.21035006017475766</v>
      </c>
      <c r="E83" s="1036">
        <f t="shared" ref="E83" si="79">100*((B83/$B$71)-1)</f>
        <v>0.69391784919348165</v>
      </c>
      <c r="F83" s="1037">
        <f t="shared" ref="F83" si="80">100*((B83/B71)-1)</f>
        <v>0.69391784919348165</v>
      </c>
      <c r="G83" s="1038">
        <f t="shared" ref="G83" si="81">100*(B83/B59-1)</f>
        <v>18.572404778830041</v>
      </c>
      <c r="H83" s="861">
        <f t="shared" si="61"/>
        <v>1.2734020728611151</v>
      </c>
    </row>
    <row r="84" spans="1:8">
      <c r="A84" s="1032" t="str">
        <f>rodoarlv!A209</f>
        <v>JANEIRO|17</v>
      </c>
      <c r="B84" s="918">
        <f>'[111]jan-17'!$I$33</f>
        <v>1723.6079999999997</v>
      </c>
      <c r="C84" s="918">
        <f t="shared" ref="C84" si="82">100*B84/$B$8</f>
        <v>182.92353670340114</v>
      </c>
      <c r="D84" s="1036">
        <f t="shared" ref="D84" si="83">100*((B84/B83)-1)</f>
        <v>0</v>
      </c>
      <c r="E84" s="1036">
        <f t="shared" ref="E84:E89" si="84">100*((B84/$B$83)-1)</f>
        <v>0</v>
      </c>
      <c r="F84" s="1037">
        <f t="shared" ref="F84" si="85">100*((B84/B72)-1)</f>
        <v>-0.22760688609237967</v>
      </c>
      <c r="G84" s="1038">
        <f t="shared" ref="G84" si="86">100*(B84/B60-1)</f>
        <v>12.211140334887084</v>
      </c>
      <c r="H84" s="861">
        <f t="shared" si="61"/>
        <v>1.2734020728611151</v>
      </c>
    </row>
    <row r="85" spans="1:8">
      <c r="A85" s="1032" t="str">
        <f>rodoarlv!A210</f>
        <v>FEVEREIRO|17</v>
      </c>
      <c r="B85" s="918">
        <f>'[111]fev-17'!$I$33</f>
        <v>1691.732</v>
      </c>
      <c r="C85" s="918">
        <f t="shared" ref="C85" si="87">100*B85/$B$8</f>
        <v>179.54059194104363</v>
      </c>
      <c r="D85" s="1036">
        <f t="shared" ref="D85" si="88">100*((B85/B84)-1)</f>
        <v>-1.8493764243377675</v>
      </c>
      <c r="E85" s="1036">
        <f t="shared" si="84"/>
        <v>-1.8493764243377675</v>
      </c>
      <c r="F85" s="1037">
        <f t="shared" ref="F85" si="89">100*((B85/B73)-1)</f>
        <v>0.30547024155389568</v>
      </c>
      <c r="G85" s="1038">
        <f t="shared" ref="G85" si="90">100*(B85/B61-1)</f>
        <v>5.270061728395059</v>
      </c>
      <c r="H85" s="861">
        <f t="shared" si="61"/>
        <v>1.2973958050093044</v>
      </c>
    </row>
    <row r="86" spans="1:8">
      <c r="A86" s="1032" t="str">
        <f>rodoarlv!A211</f>
        <v>MARÇO|17</v>
      </c>
      <c r="B86" s="918">
        <f>'[111]mar-17'!$I$33</f>
        <v>1690.3879999999997</v>
      </c>
      <c r="C86" s="918">
        <f t="shared" ref="C86" si="91">100*B86/$B$8</f>
        <v>179.39795554498983</v>
      </c>
      <c r="D86" s="1036">
        <f t="shared" ref="D86" si="92">100*((B86/B85)-1)</f>
        <v>-7.9445207633377368E-2</v>
      </c>
      <c r="E86" s="1036">
        <f t="shared" si="84"/>
        <v>-1.927352391030912</v>
      </c>
      <c r="F86" s="1037">
        <f t="shared" ref="F86" si="93">100*((B86/B74)-1)</f>
        <v>1.4060409730345613</v>
      </c>
      <c r="G86" s="1038">
        <f t="shared" ref="G86" si="94">100*(B86/B62-1)</f>
        <v>3.8479212657118289</v>
      </c>
      <c r="H86" s="861">
        <f t="shared" si="61"/>
        <v>1.2984273433081641</v>
      </c>
    </row>
    <row r="87" spans="1:8">
      <c r="A87" s="1032" t="str">
        <f>rodoarlv!A212</f>
        <v>ABRIL|17</v>
      </c>
      <c r="B87" s="918">
        <f>'[111]abr-17'!$I$33</f>
        <v>1690.3879999999997</v>
      </c>
      <c r="C87" s="918">
        <f t="shared" ref="C87" si="95">100*B87/$B$8</f>
        <v>179.39795554498983</v>
      </c>
      <c r="D87" s="1036">
        <f t="shared" ref="D87" si="96">100*((B87/B86)-1)</f>
        <v>0</v>
      </c>
      <c r="E87" s="1036">
        <f t="shared" si="84"/>
        <v>-1.927352391030912</v>
      </c>
      <c r="F87" s="1037">
        <f t="shared" ref="F87" si="97">100*((B87/B75)-1)</f>
        <v>0.45354168994196087</v>
      </c>
      <c r="G87" s="1038">
        <f t="shared" ref="G87" si="98">100*(B87/B63-1)</f>
        <v>6.6968799904057796</v>
      </c>
      <c r="H87" s="861">
        <f t="shared" si="61"/>
        <v>1.2984273433081641</v>
      </c>
    </row>
    <row r="88" spans="1:8">
      <c r="A88" s="1032" t="str">
        <f>rodoarlv!A213</f>
        <v>MAIO|17</v>
      </c>
      <c r="B88" s="918">
        <f>'[111]mai-17'!$I$33</f>
        <v>1697.9920000000002</v>
      </c>
      <c r="C88" s="918">
        <f t="shared" ref="C88" si="99">100*B88/$B$8</f>
        <v>180.20495491671053</v>
      </c>
      <c r="D88" s="1036">
        <f t="shared" ref="D88" si="100">100*((B88/B87)-1)</f>
        <v>0.44983755208867215</v>
      </c>
      <c r="E88" s="1036">
        <f t="shared" si="84"/>
        <v>-1.4861847937581829</v>
      </c>
      <c r="F88" s="1037">
        <f t="shared" ref="F88" si="101">100*((B88/B76)-1)</f>
        <v>0.9054194428663509</v>
      </c>
      <c r="G88" s="1038">
        <f t="shared" ref="G88" si="102">100*(B88/B64-1)</f>
        <v>5.1633507918255717</v>
      </c>
      <c r="H88" s="861">
        <f t="shared" si="61"/>
        <v>1.2926126860432794</v>
      </c>
    </row>
    <row r="89" spans="1:8">
      <c r="A89" s="1032" t="str">
        <f>rodoarlv!A214</f>
        <v>JUNHO|17</v>
      </c>
      <c r="B89" s="918">
        <f>'[111]jun-17'!$I$33</f>
        <v>1682.7860000000001</v>
      </c>
      <c r="C89" s="918">
        <f t="shared" ref="C89" si="103">100*B89/$B$8</f>
        <v>178.59116842981101</v>
      </c>
      <c r="D89" s="1036">
        <f t="shared" ref="D89" si="104">100*((B89/B88)-1)</f>
        <v>-0.89552836526910484</v>
      </c>
      <c r="E89" s="1036">
        <f t="shared" si="84"/>
        <v>-2.3684039526388645</v>
      </c>
      <c r="F89" s="1037">
        <f t="shared" ref="F89" si="105">100*((B89/B77)-1)</f>
        <v>1.7827896617195194E-3</v>
      </c>
      <c r="G89" s="1038">
        <f t="shared" ref="G89" si="106">100*(B89/B65-1)</f>
        <v>2.961314743961041</v>
      </c>
      <c r="H89" s="861">
        <f t="shared" si="61"/>
        <v>1.3042929998229129</v>
      </c>
    </row>
    <row r="90" spans="1:8">
      <c r="A90" s="1032" t="str">
        <f>rodoarlv!A215</f>
        <v>JULHO|17</v>
      </c>
      <c r="B90" s="918">
        <f>'[111]jul-17'!$I$33</f>
        <v>1676.0060000000001</v>
      </c>
      <c r="C90" s="918">
        <f t="shared" ref="C90" si="107">100*B90/$B$8</f>
        <v>177.87161875328997</v>
      </c>
      <c r="D90" s="1036">
        <f t="shared" ref="D90" si="108">100*((B90/B89)-1)</f>
        <v>-0.40290328063105063</v>
      </c>
      <c r="E90" s="1036">
        <f t="shared" ref="E90" si="109">100*((B90/$B$83)-1)</f>
        <v>-2.7617648560461339</v>
      </c>
      <c r="F90" s="1037">
        <f t="shared" ref="F90" si="110">100*((B90/B78)-1)</f>
        <v>-0.53589359515167079</v>
      </c>
      <c r="G90" s="1038">
        <f t="shared" ref="G90" si="111">100*(B90/B66-1)</f>
        <v>-0.21061280546497141</v>
      </c>
      <c r="H90" s="861">
        <f t="shared" si="61"/>
        <v>1.3095692974846154</v>
      </c>
    </row>
    <row r="91" spans="1:8">
      <c r="A91" s="1032" t="str">
        <f>rodoarlv!A216</f>
        <v>AGOSTO|17</v>
      </c>
      <c r="B91" s="918">
        <f>'[111]ago-17'!$I$33</f>
        <v>1706.2040000000002</v>
      </c>
      <c r="C91" s="918">
        <f t="shared" ref="C91" si="112">100*B91/$B$8</f>
        <v>181.07648027712216</v>
      </c>
      <c r="D91" s="1036">
        <f t="shared" ref="D91" si="113">100*((B91/B90)-1)</f>
        <v>1.8017835258346437</v>
      </c>
      <c r="E91" s="1036">
        <f t="shared" ref="E91" si="114">100*((B91/$B$83)-1)</f>
        <v>-1.0097423544100259</v>
      </c>
      <c r="F91" s="1037">
        <f t="shared" ref="F91" si="115">100*((B91/B79)-1)</f>
        <v>0.84937411117167461</v>
      </c>
      <c r="G91" s="1038">
        <f t="shared" ref="G91" si="116">100*(B91/B67-1)</f>
        <v>1.6690965284095194</v>
      </c>
      <c r="H91" s="861">
        <f t="shared" si="61"/>
        <v>1.2863913107694041</v>
      </c>
    </row>
    <row r="92" spans="1:8">
      <c r="A92" s="1032" t="str">
        <f>rodoarlv!A217</f>
        <v>SETEMBRO|17</v>
      </c>
      <c r="B92" s="918">
        <f>'[111]set-17'!$I$33</f>
        <v>1706.2040000000002</v>
      </c>
      <c r="C92" s="918">
        <f t="shared" ref="C92" si="117">100*B92/$B$8</f>
        <v>181.07648027712216</v>
      </c>
      <c r="D92" s="1036">
        <f t="shared" ref="D92" si="118">100*((B92/B91)-1)</f>
        <v>0</v>
      </c>
      <c r="E92" s="1036">
        <f t="shared" ref="E92" si="119">100*((B92/$B$83)-1)</f>
        <v>-1.0097423544100259</v>
      </c>
      <c r="F92" s="1037">
        <f t="shared" ref="F92" si="120">100*((B92/B80)-1)</f>
        <v>0.7408824460221064</v>
      </c>
      <c r="G92" s="1038">
        <f t="shared" ref="G92" si="121">100*(B92/B68-1)</f>
        <v>1.3957984608222951</v>
      </c>
      <c r="H92" s="861">
        <f t="shared" si="61"/>
        <v>1.2863913107694041</v>
      </c>
    </row>
    <row r="93" spans="1:8">
      <c r="A93" s="1032" t="str">
        <f>rodoarlv!A218</f>
        <v>OUTUBRO|17</v>
      </c>
      <c r="B93" s="918">
        <f>'[111]out-17'!$I$33</f>
        <v>1872.3920000000003</v>
      </c>
      <c r="C93" s="918">
        <f t="shared" ref="C93" si="122">100*B93/$B$8</f>
        <v>198.71372535701553</v>
      </c>
      <c r="D93" s="1036">
        <f t="shared" ref="D93" si="123">100*((B93/B92)-1)</f>
        <v>9.7402186373962465</v>
      </c>
      <c r="E93" s="1036">
        <f t="shared" ref="E93" si="124">100*((B93/$B$83)-1)</f>
        <v>8.6321251699922783</v>
      </c>
      <c r="F93" s="1037">
        <f t="shared" ref="F93" si="125">100*((B93/B81)-1)</f>
        <v>10.93565775456835</v>
      </c>
      <c r="G93" s="1038">
        <f t="shared" ref="G93" si="126">100*(B93/B69-1)</f>
        <v>6.6503129918681125</v>
      </c>
      <c r="H93" s="861">
        <f t="shared" si="61"/>
        <v>1.172215006259373</v>
      </c>
    </row>
    <row r="94" spans="1:8">
      <c r="A94" s="1032" t="str">
        <f>rodoarlv!A219</f>
        <v>NOVEMBRO|17</v>
      </c>
      <c r="B94" s="918">
        <f>'[111]nov-17'!$I$33</f>
        <v>1871.7819999999999</v>
      </c>
      <c r="C94" s="918">
        <f t="shared" ref="C94" si="127">100*B94/$B$8</f>
        <v>198.64898711178276</v>
      </c>
      <c r="D94" s="1036">
        <f t="shared" ref="D94" si="128">100*((B94/B93)-1)</f>
        <v>-3.2578648060899162E-2</v>
      </c>
      <c r="E94" s="1036">
        <f t="shared" ref="E94" si="129">100*((B94/$B$83)-1)</f>
        <v>8.5967342922520729</v>
      </c>
      <c r="F94" s="1037">
        <f t="shared" ref="F94" si="130">100*((B94/B82)-1)</f>
        <v>8.8251675881836569</v>
      </c>
      <c r="G94" s="1038">
        <f t="shared" ref="G94" si="131">100*(B94/B70-1)</f>
        <v>8.9823057798789954</v>
      </c>
      <c r="H94" s="861">
        <f t="shared" si="61"/>
        <v>1.1725970225165112</v>
      </c>
    </row>
    <row r="95" spans="1:8">
      <c r="A95" s="1032" t="str">
        <f>rodoarlv!A220</f>
        <v>DEZEMBRO|17</v>
      </c>
      <c r="B95" s="918">
        <f>'[111]dez-17'!$I$33</f>
        <v>1874.3420000000001</v>
      </c>
      <c r="C95" s="918">
        <f t="shared" ref="C95" si="132">100*B95/$B$8</f>
        <v>198.92067548521845</v>
      </c>
      <c r="D95" s="1036">
        <f t="shared" ref="D95" si="133">100*((B95/B94)-1)</f>
        <v>0.13676806380231721</v>
      </c>
      <c r="E95" s="1036">
        <f t="shared" ref="E95" si="134">100*((B95/$B$83)-1)</f>
        <v>8.7452599430961406</v>
      </c>
      <c r="F95" s="1037">
        <f t="shared" ref="F95" si="135">100*((B95/B83)-1)</f>
        <v>8.7452599430961406</v>
      </c>
      <c r="G95" s="1038">
        <f t="shared" ref="G95" si="136">100*(B95/B71-1)</f>
        <v>9.4998627119931243</v>
      </c>
      <c r="H95" s="861">
        <f t="shared" si="61"/>
        <v>1.1709954746785807</v>
      </c>
    </row>
    <row r="96" spans="1:8">
      <c r="A96" s="1032" t="str">
        <f>rodoarlv!A221</f>
        <v>JANEIRO|18</v>
      </c>
      <c r="B96" s="918">
        <f>'[112]jan-18'!$I$33</f>
        <v>1874.3420000000001</v>
      </c>
      <c r="C96" s="918">
        <f t="shared" ref="C96" si="137">100*B96/$B$8</f>
        <v>198.92067548521845</v>
      </c>
      <c r="D96" s="1036">
        <f t="shared" ref="D96" si="138">100*((B96/B95)-1)</f>
        <v>0</v>
      </c>
      <c r="E96" s="1036">
        <f t="shared" ref="E96:E101" si="139">100*((B96/$B$95)-1)</f>
        <v>0</v>
      </c>
      <c r="F96" s="1037">
        <f t="shared" ref="F96" si="140">100*((B96/B84)-1)</f>
        <v>8.7452599430961406</v>
      </c>
      <c r="G96" s="1038">
        <f t="shared" ref="G96" si="141">100*(B96/B72-1)</f>
        <v>8.4977482431665798</v>
      </c>
      <c r="H96" s="861">
        <f t="shared" si="61"/>
        <v>1.1709954746785807</v>
      </c>
    </row>
    <row r="97" spans="1:8">
      <c r="A97" s="1032" t="str">
        <f>rodoarlv!A222</f>
        <v>FEVEREIRO|18</v>
      </c>
      <c r="B97" s="918">
        <f>'[112]fev-18'!$I$33</f>
        <v>1891.1880000000001</v>
      </c>
      <c r="C97" s="918">
        <f t="shared" ref="C97" si="142">100*B97/$B$8</f>
        <v>200.7085123363502</v>
      </c>
      <c r="D97" s="1036">
        <f t="shared" ref="D97" si="143">100*((B97/B96)-1)</f>
        <v>0.89876874124359407</v>
      </c>
      <c r="E97" s="1036">
        <f t="shared" si="139"/>
        <v>0.89876874124359407</v>
      </c>
      <c r="F97" s="1037">
        <f t="shared" ref="F97" si="144">100*((B97/B85)-1)</f>
        <v>11.790047123303227</v>
      </c>
      <c r="G97" s="1038">
        <f t="shared" ref="G97" si="145">100*(B97/B73-1)</f>
        <v>12.131532450283999</v>
      </c>
      <c r="H97" s="861">
        <f t="shared" si="61"/>
        <v>1.1605646820940068</v>
      </c>
    </row>
    <row r="98" spans="1:8">
      <c r="A98" s="1032" t="str">
        <f>rodoarlv!A223</f>
        <v>MARÇO|18</v>
      </c>
      <c r="B98" s="918">
        <f>'[112]mar-18'!$I$33</f>
        <v>1875.9480000000003</v>
      </c>
      <c r="C98" s="918">
        <f t="shared" ref="C98" si="146">100*B98/$B$8</f>
        <v>199.09111748824103</v>
      </c>
      <c r="D98" s="1036">
        <f t="shared" ref="D98" si="147">100*((B98/B97)-1)</f>
        <v>-0.80584267666672371</v>
      </c>
      <c r="E98" s="1036">
        <f t="shared" si="139"/>
        <v>8.5683402495395633E-2</v>
      </c>
      <c r="F98" s="1037">
        <f t="shared" ref="F98" si="148">100*((B98/B86)-1)</f>
        <v>10.977361410516441</v>
      </c>
      <c r="G98" s="1038">
        <f t="shared" ref="G98" si="149">100*(B98/B74-1)</f>
        <v>12.537748582740949</v>
      </c>
      <c r="H98" s="861">
        <f t="shared" si="61"/>
        <v>1.169992984880178</v>
      </c>
    </row>
    <row r="99" spans="1:8">
      <c r="A99" s="1032" t="str">
        <f>rodoarlv!A224</f>
        <v>ABRIL|18</v>
      </c>
      <c r="B99" s="918">
        <f>'[112]abr-18'!$I$33</f>
        <v>1889.0060000000001</v>
      </c>
      <c r="C99" s="918">
        <f t="shared" ref="C99" si="150">100*B99/$B$8</f>
        <v>200.47694044930464</v>
      </c>
      <c r="D99" s="1036">
        <f t="shared" ref="D99" si="151">100*((B99/B98)-1)</f>
        <v>0.69607473128252551</v>
      </c>
      <c r="E99" s="1036">
        <f t="shared" si="139"/>
        <v>0.78235455429158662</v>
      </c>
      <c r="F99" s="1037">
        <f t="shared" ref="F99" si="152">100*((B99/B87)-1)</f>
        <v>11.749846780739116</v>
      </c>
      <c r="G99" s="1038">
        <f t="shared" ref="G99" si="153">100*(B99/B75-1)</f>
        <v>12.25667892433604</v>
      </c>
      <c r="H99" s="861">
        <f t="shared" si="61"/>
        <v>1.1619052559917757</v>
      </c>
    </row>
    <row r="100" spans="1:8">
      <c r="A100" s="1032" t="str">
        <f>rodoarlv!A225</f>
        <v>MAIO|18</v>
      </c>
      <c r="B100" s="918">
        <f>'[112]mai-18'!$I$33</f>
        <v>1917.9879999999998</v>
      </c>
      <c r="C100" s="918">
        <f t="shared" ref="C100" si="154">100*B100/$B$8</f>
        <v>203.55274999575485</v>
      </c>
      <c r="D100" s="1036">
        <f t="shared" ref="D100" si="155">100*((B100/B99)-1)</f>
        <v>1.5342460532152824</v>
      </c>
      <c r="E100" s="1036">
        <f t="shared" si="139"/>
        <v>2.3286038513782303</v>
      </c>
      <c r="F100" s="1037">
        <f t="shared" ref="F100" si="156">100*((B100/B88)-1)</f>
        <v>12.956244787961291</v>
      </c>
      <c r="G100" s="1038">
        <f t="shared" ref="G100" si="157">100*(B100/B76-1)</f>
        <v>13.978972590203199</v>
      </c>
      <c r="H100" s="861">
        <f t="shared" si="61"/>
        <v>1.1443481398215216</v>
      </c>
    </row>
    <row r="101" spans="1:8">
      <c r="A101" s="1032" t="str">
        <f>rodoarlv!A226</f>
        <v>JUNHO|18</v>
      </c>
      <c r="B101" s="918">
        <f>'[112]jun-18'!$I$33</f>
        <v>1917.9879999999998</v>
      </c>
      <c r="C101" s="918">
        <f t="shared" ref="C101" si="158">100*B101/$B$8</f>
        <v>203.55274999575485</v>
      </c>
      <c r="D101" s="1036">
        <f t="shared" ref="D101" si="159">100*((B101/B100)-1)</f>
        <v>0</v>
      </c>
      <c r="E101" s="1036">
        <f t="shared" si="139"/>
        <v>2.3286038513782303</v>
      </c>
      <c r="F101" s="1037">
        <f t="shared" ref="F101" si="160">100*((B101/B89)-1)</f>
        <v>13.976940621089051</v>
      </c>
      <c r="G101" s="1038">
        <f t="shared" ref="G101" si="161">100*(B101/B77-1)</f>
        <v>13.978972590203199</v>
      </c>
      <c r="H101" s="861">
        <f t="shared" si="61"/>
        <v>1.1443481398215216</v>
      </c>
    </row>
    <row r="102" spans="1:8">
      <c r="A102" s="1032" t="str">
        <f>rodoarlv!A227</f>
        <v>JULHO|18</v>
      </c>
      <c r="B102" s="918">
        <f>'[112]jul-18'!$I$33</f>
        <v>1935.816</v>
      </c>
      <c r="C102" s="918">
        <f t="shared" ref="C102" si="162">100*B102/$B$8</f>
        <v>205.44480480888419</v>
      </c>
      <c r="D102" s="1036">
        <f t="shared" ref="D102" si="163">100*((B102/B101)-1)</f>
        <v>0.9295157216833605</v>
      </c>
      <c r="E102" s="1036">
        <f t="shared" ref="E102" si="164">100*((B102/$B$95)-1)</f>
        <v>3.2797643119558684</v>
      </c>
      <c r="F102" s="1037">
        <f t="shared" ref="F102" si="165">100*((B102/B90)-1)</f>
        <v>15.501734480664142</v>
      </c>
      <c r="G102" s="1038">
        <f t="shared" ref="G102" si="166">100*(B102/B78-1)</f>
        <v>14.882768083293163</v>
      </c>
      <c r="H102" s="861">
        <f t="shared" si="61"/>
        <v>1.1338092050070876</v>
      </c>
    </row>
    <row r="103" spans="1:8">
      <c r="A103" s="1032" t="str">
        <f>rodoarlv!A228</f>
        <v>AGOSTO|18</v>
      </c>
      <c r="B103" s="918">
        <f>'[112]ago-18'!$I$33</f>
        <v>1985.248</v>
      </c>
      <c r="C103" s="918">
        <f t="shared" ref="C103" si="167">100*B103/$B$8</f>
        <v>210.6909374946936</v>
      </c>
      <c r="D103" s="1036">
        <f t="shared" ref="D103" si="168">100*((B103/B102)-1)</f>
        <v>2.5535484777478912</v>
      </c>
      <c r="E103" s="1036">
        <f t="shared" ref="E103" si="169">100*((B103/$B$95)-1)</f>
        <v>5.9170631613654212</v>
      </c>
      <c r="F103" s="1037">
        <f t="shared" ref="F103" si="170">100*((B103/B91)-1)</f>
        <v>16.354668023284425</v>
      </c>
      <c r="G103" s="1038">
        <f t="shared" ref="G103" si="171">100*(B103/B79-1)</f>
        <v>17.342954450613956</v>
      </c>
      <c r="H103" s="861">
        <f t="shared" si="61"/>
        <v>1.1055777414207195</v>
      </c>
    </row>
    <row r="104" spans="1:8">
      <c r="A104" s="1032" t="str">
        <f>rodoarlv!A229</f>
        <v>SETEMBRO|18</v>
      </c>
      <c r="B104" s="918">
        <f>'[112]set-18'!$I$33</f>
        <v>1985.248</v>
      </c>
      <c r="C104" s="918">
        <f t="shared" ref="C104" si="172">100*B104/$B$8</f>
        <v>210.6909374946936</v>
      </c>
      <c r="D104" s="1036">
        <f t="shared" ref="D104" si="173">100*((B104/B103)-1)</f>
        <v>0</v>
      </c>
      <c r="E104" s="1036">
        <f t="shared" ref="E104" si="174">100*((B104/$B$95)-1)</f>
        <v>5.9170631613654212</v>
      </c>
      <c r="F104" s="1037">
        <f t="shared" ref="F104" si="175">100*((B104/B92)-1)</f>
        <v>16.354668023284425</v>
      </c>
      <c r="G104" s="1038">
        <f t="shared" ref="G104" si="176">100*(B104/B80-1)</f>
        <v>17.216719333796227</v>
      </c>
      <c r="H104" s="861">
        <f t="shared" si="61"/>
        <v>1.1055777414207195</v>
      </c>
    </row>
    <row r="105" spans="1:8">
      <c r="A105" s="1032" t="str">
        <f>rodoarlv!A230</f>
        <v>OUTUBRO|18</v>
      </c>
      <c r="B105" s="918">
        <f>'[112]out-18'!$I$33</f>
        <v>2000.3759999999997</v>
      </c>
      <c r="C105" s="918">
        <f t="shared" ref="C105" si="177">100*B105/$B$8</f>
        <v>212.29644597646495</v>
      </c>
      <c r="D105" s="1036">
        <f t="shared" ref="D105" si="178">100*((B105/B104)-1)</f>
        <v>0.76202066442074834</v>
      </c>
      <c r="E105" s="1036">
        <f t="shared" ref="E105" si="179">100*((B105/$B$95)-1)</f>
        <v>6.7241730698026192</v>
      </c>
      <c r="F105" s="1037">
        <f t="shared" ref="F105" si="180">100*((B105/B93)-1)</f>
        <v>6.8353208088904216</v>
      </c>
      <c r="G105" s="1038">
        <f t="shared" ref="G105" si="181">100*(B105/B81-1)</f>
        <v>18.51846585354582</v>
      </c>
      <c r="H105" s="861">
        <f t="shared" si="61"/>
        <v>1.0972167232560281</v>
      </c>
    </row>
    <row r="106" spans="1:8">
      <c r="A106" s="1032" t="str">
        <f>rodoarlv!A231</f>
        <v>NOVEMBRO|18</v>
      </c>
      <c r="B106" s="918">
        <f>'[112]nov-18'!$I$33</f>
        <v>2000.3759999999997</v>
      </c>
      <c r="C106" s="918">
        <f t="shared" ref="C106" si="182">100*B106/$B$8</f>
        <v>212.29644597646495</v>
      </c>
      <c r="D106" s="1036">
        <f t="shared" ref="D106" si="183">100*((B106/B105)-1)</f>
        <v>0</v>
      </c>
      <c r="E106" s="1036">
        <f t="shared" ref="E106" si="184">100*((B106/$B$95)-1)</f>
        <v>6.7241730698026192</v>
      </c>
      <c r="F106" s="1037">
        <f t="shared" ref="F106" si="185">100*((B106/B94)-1)</f>
        <v>6.8701376549192172</v>
      </c>
      <c r="G106" s="1038">
        <f t="shared" ref="G106" si="186">100*(B106/B82-1)</f>
        <v>16.301606404688407</v>
      </c>
      <c r="H106" s="861">
        <f t="shared" si="61"/>
        <v>1.0972167232560281</v>
      </c>
    </row>
    <row r="107" spans="1:8">
      <c r="A107" s="1032" t="str">
        <f>rodoarlv!A232</f>
        <v>DEZEMBRO|18</v>
      </c>
      <c r="B107" s="918">
        <f>'[112]dez-18'!$I$33</f>
        <v>1960.4580000000001</v>
      </c>
      <c r="C107" s="918">
        <f t="shared" ref="C107" si="187">100*B107/$B$8</f>
        <v>208.06001765974426</v>
      </c>
      <c r="D107" s="1036">
        <f t="shared" ref="D107" si="188">100*((B107/B106)-1)</f>
        <v>-1.9955248413298099</v>
      </c>
      <c r="E107" s="1036">
        <f t="shared" ref="E107" si="189">100*((B107/$B$95)-1)</f>
        <v>4.5944656844908671</v>
      </c>
      <c r="F107" s="1037">
        <f t="shared" ref="F107" si="190">100*((B107/B95)-1)</f>
        <v>4.5944656844908671</v>
      </c>
      <c r="G107" s="1038">
        <f t="shared" ref="G107" si="191">100*(B107/B83-1)</f>
        <v>13.741523594692096</v>
      </c>
      <c r="H107" s="861">
        <f t="shared" si="61"/>
        <v>1.1195577768052161</v>
      </c>
    </row>
    <row r="108" spans="1:8">
      <c r="A108" s="1032" t="str">
        <f>rodoarlv!A233</f>
        <v>JANEIRO|19</v>
      </c>
      <c r="B108" s="918">
        <f>'[113]jan-19'!$I$33</f>
        <v>2011.4159999999999</v>
      </c>
      <c r="C108" s="918">
        <f t="shared" ref="C108" si="192">100*B108/$B$8</f>
        <v>213.4681020869063</v>
      </c>
      <c r="D108" s="1036">
        <f t="shared" ref="D108" si="193">100*((B108/B107)-1)</f>
        <v>2.5992905739373073</v>
      </c>
      <c r="E108" s="1036">
        <f t="shared" ref="E108:E113" si="194">100*((B108/$B$107-1))</f>
        <v>2.5992905739373073</v>
      </c>
      <c r="F108" s="1037">
        <f t="shared" ref="F108" si="195">100*((B108/B96)-1)</f>
        <v>7.3131797718879454</v>
      </c>
      <c r="G108" s="1038">
        <f t="shared" ref="G108" si="196">100*(B108/B84-1)</f>
        <v>16.697996296141593</v>
      </c>
      <c r="H108" s="861">
        <f t="shared" si="61"/>
        <v>1.0911944620108425</v>
      </c>
    </row>
    <row r="109" spans="1:8">
      <c r="A109" s="1032" t="str">
        <f>rodoarlv!A234</f>
        <v>FEVEREIRO|19</v>
      </c>
      <c r="B109" s="918">
        <f>'[113]fev-19'!$I$33</f>
        <v>2048.02</v>
      </c>
      <c r="C109" s="918">
        <f t="shared" ref="C109" si="197">100*B109/$B$8</f>
        <v>217.35282131395289</v>
      </c>
      <c r="D109" s="1036">
        <f t="shared" ref="D109" si="198">100*((B109/B108)-1)</f>
        <v>1.8198125101918317</v>
      </c>
      <c r="E109" s="1036">
        <f t="shared" si="194"/>
        <v>4.4664052991698844</v>
      </c>
      <c r="F109" s="1037">
        <f t="shared" ref="F109" si="199">100*((B109/B97)-1)</f>
        <v>8.2927768154197103</v>
      </c>
      <c r="G109" s="1038">
        <f t="shared" ref="G109" si="200">100*(B109/B85-1)</f>
        <v>21.060546233091305</v>
      </c>
      <c r="H109" s="861">
        <f t="shared" si="61"/>
        <v>1.0716916826984113</v>
      </c>
    </row>
    <row r="110" spans="1:8">
      <c r="A110" s="1032" t="str">
        <f>rodoarlv!A235</f>
        <v>MARÇO|19</v>
      </c>
      <c r="B110" s="918">
        <f>'[113]mar-19'!$I$33</f>
        <v>2036.0400000000002</v>
      </c>
      <c r="C110" s="918">
        <f t="shared" ref="C110" si="201">100*B110/$B$8</f>
        <v>216.08140462889068</v>
      </c>
      <c r="D110" s="1036">
        <f t="shared" ref="D110" si="202">100*((B110/B109)-1)</f>
        <v>-0.58495522504662389</v>
      </c>
      <c r="E110" s="1036">
        <f t="shared" si="194"/>
        <v>3.8553236029540194</v>
      </c>
      <c r="F110" s="1037">
        <f t="shared" ref="F110" si="203">100*((B110/B98)-1)</f>
        <v>8.5339252473949134</v>
      </c>
      <c r="G110" s="1038">
        <f t="shared" ref="G110" si="204">100*(B110/B86-1)</f>
        <v>20.448086474821192</v>
      </c>
      <c r="H110" s="861">
        <f t="shared" si="61"/>
        <v>1.0779974853146306</v>
      </c>
    </row>
    <row r="111" spans="1:8">
      <c r="A111" s="1032" t="str">
        <f>rodoarlv!A236</f>
        <v>ABRIL|19</v>
      </c>
      <c r="B111" s="918">
        <f>'[113]abr-19'!$I$33</f>
        <v>2036.0400000000002</v>
      </c>
      <c r="C111" s="918">
        <f t="shared" ref="C111" si="205">100*B111/$B$8</f>
        <v>216.08140462889068</v>
      </c>
      <c r="D111" s="1036">
        <f t="shared" ref="D111" si="206">100*((B111/B110)-1)</f>
        <v>0</v>
      </c>
      <c r="E111" s="1036">
        <f t="shared" si="194"/>
        <v>3.8553236029540194</v>
      </c>
      <c r="F111" s="1037">
        <f t="shared" ref="F111" si="207">100*((B111/B99)-1)</f>
        <v>7.7836703536145579</v>
      </c>
      <c r="G111" s="1038">
        <f t="shared" ref="G111" si="208">100*(B111/B87-1)</f>
        <v>20.448086474821192</v>
      </c>
      <c r="H111" s="861">
        <f t="shared" si="61"/>
        <v>1.0779974853146306</v>
      </c>
    </row>
    <row r="112" spans="1:8">
      <c r="A112" s="1032" t="str">
        <f>rodoarlv!A237</f>
        <v>MAIO|19</v>
      </c>
      <c r="B112" s="918">
        <f>'[113]mai-19'!$I$33</f>
        <v>2037.3200000000002</v>
      </c>
      <c r="C112" s="918">
        <f t="shared" ref="C112" si="209">100*B112/$B$8</f>
        <v>216.21724881560851</v>
      </c>
      <c r="D112" s="1036">
        <f t="shared" ref="D112" si="210">100*((B112/B111)-1)</f>
        <v>6.2867134240973677E-2</v>
      </c>
      <c r="E112" s="1036">
        <f t="shared" si="194"/>
        <v>3.9206144686598776</v>
      </c>
      <c r="F112" s="1037">
        <f t="shared" ref="F112" si="211">100*((B112/B100)-1)</f>
        <v>6.2217281859949347</v>
      </c>
      <c r="G112" s="1038">
        <f t="shared" ref="G112" si="212">100*(B112/B88-1)</f>
        <v>19.984075307775306</v>
      </c>
      <c r="H112" s="861">
        <f t="shared" si="61"/>
        <v>1.0773202049751636</v>
      </c>
    </row>
    <row r="113" spans="1:8">
      <c r="A113" s="1032" t="str">
        <f>rodoarlv!A238</f>
        <v>JUNHO|19</v>
      </c>
      <c r="B113" s="918">
        <f>'[113]jun-19'!$I$33</f>
        <v>2012.4299999999998</v>
      </c>
      <c r="C113" s="918">
        <f t="shared" ref="C113" si="213">100*B113/$B$8</f>
        <v>213.57571615357179</v>
      </c>
      <c r="D113" s="1036">
        <f t="shared" ref="D113" si="214">100*((B113/B112)-1)</f>
        <v>-1.2217030216166491</v>
      </c>
      <c r="E113" s="1036">
        <f t="shared" si="194"/>
        <v>2.6510131816136706</v>
      </c>
      <c r="F113" s="1037">
        <f t="shared" ref="F113" si="215">100*((B113/B101)-1)</f>
        <v>4.9240141231331913</v>
      </c>
      <c r="G113" s="1038">
        <f t="shared" ref="G113" si="216">100*(B113/B89-1)</f>
        <v>19.589181274386625</v>
      </c>
      <c r="H113" s="861">
        <f t="shared" si="61"/>
        <v>1.0906446435403967</v>
      </c>
    </row>
    <row r="114" spans="1:8">
      <c r="A114" s="1032" t="str">
        <f>rodoarlv!A239</f>
        <v>JULHO|19</v>
      </c>
      <c r="B114" s="918">
        <f>'[113]jul-19'!$I$33</f>
        <v>2012.4299999999998</v>
      </c>
      <c r="C114" s="918">
        <f t="shared" ref="C114" si="217">100*B114/$B$8</f>
        <v>213.57571615357179</v>
      </c>
      <c r="D114" s="1036">
        <f t="shared" ref="D114" si="218">100*((B114/B113)-1)</f>
        <v>0</v>
      </c>
      <c r="E114" s="1036">
        <f t="shared" ref="E114" si="219">100*((B114/$B$107-1))</f>
        <v>2.6510131816136706</v>
      </c>
      <c r="F114" s="1037">
        <f t="shared" ref="F114" si="220">100*((B114/B102)-1)</f>
        <v>3.9577108568169539</v>
      </c>
      <c r="G114" s="1038">
        <f t="shared" ref="G114" si="221">100*(B114/B90-1)</f>
        <v>20.072959166017277</v>
      </c>
      <c r="H114" s="861">
        <f t="shared" si="61"/>
        <v>1.0906446435403967</v>
      </c>
    </row>
    <row r="115" spans="1:8">
      <c r="A115" s="1032" t="str">
        <f>rodoarlv!A240</f>
        <v>AGOSTO|19</v>
      </c>
      <c r="B115" s="918">
        <f>'[113]ago-19'!$I$33</f>
        <v>2015.1419999999998</v>
      </c>
      <c r="C115" s="918">
        <f t="shared" ref="C115" si="222">100*B115/$B$8</f>
        <v>213.86353602418023</v>
      </c>
      <c r="D115" s="1036">
        <f t="shared" ref="D115" si="223">100*((B115/B114)-1)</f>
        <v>0.13476245136476717</v>
      </c>
      <c r="E115" s="1036">
        <f t="shared" ref="E115" si="224">100*((B115/$B$107-1))</f>
        <v>2.7893482033279904</v>
      </c>
      <c r="F115" s="1037">
        <f t="shared" ref="F115" si="225">100*((B115/B103)-1)</f>
        <v>1.5058068311868178</v>
      </c>
      <c r="G115" s="1038">
        <f t="shared" ref="G115" si="226">100*(B115/B91-1)</f>
        <v>18.106744562783806</v>
      </c>
      <c r="H115" s="861">
        <f t="shared" si="61"/>
        <v>1.0891768421282473</v>
      </c>
    </row>
    <row r="116" spans="1:8">
      <c r="A116" s="1032" t="str">
        <f>rodoarlv!A241</f>
        <v>SETEMBRO|19</v>
      </c>
      <c r="B116" s="918">
        <f>'[113]set-19'!$I$33</f>
        <v>2006.8380000000002</v>
      </c>
      <c r="C116" s="918">
        <f t="shared" ref="C116" si="227">100*B116/$B$8</f>
        <v>212.98224686284831</v>
      </c>
      <c r="D116" s="1036">
        <f t="shared" ref="D116" si="228">100*((B116/B115)-1)</f>
        <v>-0.41208014125057035</v>
      </c>
      <c r="E116" s="1036">
        <f t="shared" ref="E116" si="229">100*((B116/$B$107-1))</f>
        <v>2.3657737120611699</v>
      </c>
      <c r="F116" s="1037">
        <f t="shared" ref="F116" si="230">100*((B116/B104)-1)</f>
        <v>1.0875215590193443</v>
      </c>
      <c r="G116" s="1038">
        <f t="shared" ref="G116" si="231">100*(B116/B92-1)</f>
        <v>17.620050122963015</v>
      </c>
      <c r="H116" s="861">
        <f t="shared" si="61"/>
        <v>1.0936836954452727</v>
      </c>
    </row>
    <row r="117" spans="1:8">
      <c r="A117" s="1032" t="str">
        <f>rodoarlv!A242</f>
        <v>OUTUBRO|19</v>
      </c>
      <c r="B117" s="918">
        <f>'[113]out-19'!$I$33</f>
        <v>2037.9</v>
      </c>
      <c r="C117" s="918">
        <f t="shared" ref="C117" si="232">100*B117/$B$8</f>
        <v>216.27880321271499</v>
      </c>
      <c r="D117" s="1036">
        <f t="shared" ref="D117" si="233">100*((B117/B116)-1)</f>
        <v>1.5478080442965503</v>
      </c>
      <c r="E117" s="1036">
        <f t="shared" ref="E117" si="234">100*((B117/$B$107-1))</f>
        <v>3.9501993921828404</v>
      </c>
      <c r="F117" s="1037">
        <f t="shared" ref="F117" si="235">100*((B117/B105)-1)</f>
        <v>1.8758473406999654</v>
      </c>
      <c r="G117" s="1038">
        <f t="shared" ref="G117" si="236">100*(B117/B93-1)</f>
        <v>8.8393883332122734</v>
      </c>
      <c r="H117" s="861">
        <f t="shared" si="61"/>
        <v>1.0770135924235735</v>
      </c>
    </row>
    <row r="118" spans="1:8">
      <c r="A118" s="1032" t="str">
        <f>rodoarlv!A243</f>
        <v>NOVEMBRO|19</v>
      </c>
      <c r="B118" s="918">
        <f>'[113]nov-19'!$I$33</f>
        <v>2023.3559999999998</v>
      </c>
      <c r="C118" s="918">
        <f t="shared" ref="C118" si="237">100*B118/$B$8</f>
        <v>214.73527364113357</v>
      </c>
      <c r="D118" s="1036">
        <f t="shared" ref="D118" si="238">100*((B118/B117)-1)</f>
        <v>-0.71367584277934881</v>
      </c>
      <c r="E118" s="1036">
        <f t="shared" ref="E118" si="239">100*((B118/$B$107-1))</f>
        <v>3.2083319305998836</v>
      </c>
      <c r="F118" s="1037">
        <f t="shared" ref="F118" si="240">100*((B118/B106)-1)</f>
        <v>1.1487840286026341</v>
      </c>
      <c r="G118" s="1038">
        <f t="shared" ref="G118" si="241">100*(B118/B94-1)</f>
        <v>8.0978447276445653</v>
      </c>
      <c r="H118" s="861">
        <f t="shared" si="61"/>
        <v>1.0847552284422517</v>
      </c>
    </row>
    <row r="119" spans="1:8">
      <c r="A119" s="1032" t="str">
        <f>rodoarlv!A244</f>
        <v>DEZEMBRO|19</v>
      </c>
      <c r="B119" s="918">
        <f>'[113]dez-19'!$I$33</f>
        <v>2012.8759999999997</v>
      </c>
      <c r="C119" s="918">
        <f t="shared" ref="C119" si="242">100*B119/$B$8</f>
        <v>213.62304936238129</v>
      </c>
      <c r="D119" s="1036">
        <f t="shared" ref="D119" si="243">100*((B119/B118)-1)</f>
        <v>-0.51795136397153607</v>
      </c>
      <c r="E119" s="1036">
        <f t="shared" ref="E119" si="244">100*((B119/$B$107-1))</f>
        <v>2.6737629676330643</v>
      </c>
      <c r="F119" s="1037">
        <f t="shared" ref="F119" si="245">100*((B119/B107)-1)</f>
        <v>2.6737629676330643</v>
      </c>
      <c r="G119" s="1038">
        <f t="shared" ref="G119" si="246">100*(B119/B95-1)</f>
        <v>7.3910737741564647</v>
      </c>
      <c r="H119" s="861">
        <f t="shared" si="61"/>
        <v>1.0904029855788437</v>
      </c>
    </row>
    <row r="120" spans="1:8">
      <c r="A120" s="1032" t="str">
        <f>rodoarlv!A245</f>
        <v>JANEIRO|20</v>
      </c>
      <c r="B120" s="918">
        <f>'[114]jan-20'!$I$33</f>
        <v>2020.4659999999999</v>
      </c>
      <c r="C120" s="918">
        <f t="shared" ref="C120" si="247">100*B120/$B$8</f>
        <v>214.42856293830971</v>
      </c>
      <c r="D120" s="1036">
        <f t="shared" ref="D120" si="248">100*((B120/B119)-1)</f>
        <v>0.3770724078383525</v>
      </c>
      <c r="E120" s="1036">
        <f t="shared" ref="E120:E125" si="249">100*((B120/$B$119-1))</f>
        <v>0.3770724078383525</v>
      </c>
      <c r="F120" s="1037">
        <f t="shared" ref="F120" si="250">100*((B120/B108)-1)</f>
        <v>0.44993178934640277</v>
      </c>
      <c r="G120" s="1038">
        <f t="shared" ref="G120" si="251">100*(B120/B96-1)</f>
        <v>7.7960158818401126</v>
      </c>
      <c r="H120" s="861">
        <f t="shared" si="61"/>
        <v>1.0863068222875321</v>
      </c>
    </row>
    <row r="121" spans="1:8">
      <c r="A121" s="1032" t="str">
        <f>rodoarlv!A246</f>
        <v>FEVEREIRO|20</v>
      </c>
      <c r="B121" s="918">
        <f>'[114]fev-20'!$I$33</f>
        <v>2044.33</v>
      </c>
      <c r="C121" s="918">
        <f t="shared" ref="C121" si="252">100*B121/$B$8</f>
        <v>216.96120799443037</v>
      </c>
      <c r="D121" s="1036">
        <f t="shared" ref="D121" si="253">100*((B121/B120)-1)</f>
        <v>1.1811136638775421</v>
      </c>
      <c r="E121" s="1036">
        <f t="shared" si="249"/>
        <v>1.5626397254475677</v>
      </c>
      <c r="F121" s="1037">
        <f t="shared" ref="F121" si="254">100*((B121/B109)-1)</f>
        <v>-0.18017402173806651</v>
      </c>
      <c r="G121" s="1038">
        <f t="shared" ref="G121" si="255">100*(B121/B97-1)</f>
        <v>8.0976613641795545</v>
      </c>
      <c r="H121" s="861">
        <f t="shared" si="61"/>
        <v>1.0736260779815394</v>
      </c>
    </row>
    <row r="122" spans="1:8">
      <c r="A122" s="1032" t="str">
        <f>rodoarlv!A247</f>
        <v>MARÇO|20</v>
      </c>
      <c r="B122" s="918">
        <f>'[114]mar-20'!$I$33</f>
        <v>2044.5319999999999</v>
      </c>
      <c r="C122" s="918">
        <f t="shared" ref="C122" si="256">100*B122/$B$8</f>
        <v>216.98264590514677</v>
      </c>
      <c r="D122" s="1036">
        <f t="shared" ref="D122" si="257">100*((B122/B121)-1)</f>
        <v>9.880987903132521E-3</v>
      </c>
      <c r="E122" s="1036">
        <f t="shared" si="249"/>
        <v>1.5726751175929365</v>
      </c>
      <c r="F122" s="1037">
        <f t="shared" ref="F122" si="258">100*((B122/B110)-1)</f>
        <v>0.41708414372996216</v>
      </c>
      <c r="G122" s="1038">
        <f t="shared" ref="G122" si="259">100*(B122/B98-1)</f>
        <v>8.9866030401695376</v>
      </c>
      <c r="H122" s="861">
        <f t="shared" si="61"/>
        <v>1.073520003599846</v>
      </c>
    </row>
    <row r="123" spans="1:8">
      <c r="A123" s="1032" t="str">
        <f>rodoarlv!A248</f>
        <v>ABRIL|20</v>
      </c>
      <c r="B123" s="918">
        <f>'[114]abr-20'!$I$33</f>
        <v>2022.15</v>
      </c>
      <c r="C123" s="918">
        <f t="shared" ref="C123" si="260">100*B123/$B$8</f>
        <v>214.6072829464604</v>
      </c>
      <c r="D123" s="1036">
        <f t="shared" ref="D123" si="261">100*((B123/B122)-1)</f>
        <v>-1.094724856348539</v>
      </c>
      <c r="E123" s="1036">
        <f t="shared" si="249"/>
        <v>0.46073379582252105</v>
      </c>
      <c r="F123" s="1037">
        <f t="shared" ref="F123" si="262">100*((B123/B111)-1)</f>
        <v>-0.68220663641186396</v>
      </c>
      <c r="G123" s="1038">
        <f t="shared" ref="G123" si="263">100*(B123/B99-1)</f>
        <v>7.048363001493918</v>
      </c>
      <c r="H123" s="861">
        <f t="shared" si="61"/>
        <v>1.0854021709566553</v>
      </c>
    </row>
    <row r="124" spans="1:8">
      <c r="A124" s="1032" t="str">
        <f>rodoarlv!A249</f>
        <v>MAIO|20</v>
      </c>
      <c r="B124" s="918">
        <f>'[114]mai-20'!$I$33</f>
        <v>2033.4240000000002</v>
      </c>
      <c r="C124" s="918">
        <f t="shared" ref="C124" si="264">100*B124/$B$8</f>
        <v>215.80377307228611</v>
      </c>
      <c r="D124" s="1036">
        <f t="shared" ref="D124" si="265">100*((B124/B123)-1)</f>
        <v>0.55752540612714618</v>
      </c>
      <c r="E124" s="1036">
        <f t="shared" si="249"/>
        <v>1.0208279099159778</v>
      </c>
      <c r="F124" s="1037">
        <f t="shared" ref="F124" si="266">100*((B124/B112)-1)</f>
        <v>-0.19123161800796984</v>
      </c>
      <c r="G124" s="1038">
        <f t="shared" ref="G124" si="267">100*(B124/B100-1)</f>
        <v>6.0185986565088223</v>
      </c>
      <c r="H124" s="861">
        <f t="shared" si="61"/>
        <v>1.0793843290922112</v>
      </c>
    </row>
    <row r="125" spans="1:8">
      <c r="A125" s="1032" t="str">
        <f>rodoarlv!A250</f>
        <v>JUNHO|20</v>
      </c>
      <c r="B125" s="918">
        <f>'[114]jun-20'!$I$33</f>
        <v>2067.7159999999999</v>
      </c>
      <c r="C125" s="918">
        <f t="shared" ref="C125" si="268">100*B125/$B$8</f>
        <v>219.44312373707353</v>
      </c>
      <c r="D125" s="1036">
        <f t="shared" ref="D125" si="269">100*((B125/B124)-1)</f>
        <v>1.6864166056857588</v>
      </c>
      <c r="E125" s="1036">
        <f t="shared" si="249"/>
        <v>2.7244599269900416</v>
      </c>
      <c r="F125" s="1037">
        <f t="shared" ref="F125" si="270">100*((B125/B113)-1)</f>
        <v>2.7472259904692375</v>
      </c>
      <c r="G125" s="1038">
        <f t="shared" ref="G125" si="271">100*(B125/B101-1)</f>
        <v>7.8065139093675295</v>
      </c>
      <c r="H125" s="861">
        <f t="shared" si="61"/>
        <v>1.0614832984800624</v>
      </c>
    </row>
    <row r="126" spans="1:8">
      <c r="A126" s="1032" t="str">
        <f>rodoarlv!A251</f>
        <v>JULHO|20</v>
      </c>
      <c r="B126" s="918">
        <f>'[114]jul-20'!$I$33</f>
        <v>2112.3020000000001</v>
      </c>
      <c r="C126" s="918">
        <f t="shared" ref="C126" si="272">100*B126/$B$8</f>
        <v>224.17495882223091</v>
      </c>
      <c r="D126" s="1036">
        <f t="shared" ref="D126" si="273">100*((B126/B125)-1)</f>
        <v>2.1562922567702758</v>
      </c>
      <c r="E126" s="1036">
        <f t="shared" ref="E126" si="274">100*((B126/$B$119-1))</f>
        <v>4.9394995022048249</v>
      </c>
      <c r="F126" s="1037">
        <f t="shared" ref="F126" si="275">100*((B126/B114)-1)</f>
        <v>4.9627564685479797</v>
      </c>
      <c r="G126" s="1038">
        <f t="shared" ref="G126" si="276">100*(B126/B102-1)</f>
        <v>9.1168788769180544</v>
      </c>
      <c r="H126" s="861">
        <f t="shared" si="61"/>
        <v>1.0390777455117688</v>
      </c>
    </row>
    <row r="127" spans="1:8">
      <c r="A127" s="1032" t="str">
        <f>rodoarlv!A252</f>
        <v>AGOSTO|20</v>
      </c>
      <c r="B127" s="918">
        <f>'[114]ago-20'!$I$33</f>
        <v>2121.4360000000001</v>
      </c>
      <c r="C127" s="918">
        <f t="shared" ref="C127" si="277">100*B127/$B$8</f>
        <v>225.1443344483877</v>
      </c>
      <c r="D127" s="1036">
        <f t="shared" ref="D127" si="278">100*((B127/B126)-1)</f>
        <v>0.43241922793237908</v>
      </c>
      <c r="E127" s="1036">
        <f t="shared" ref="E127" si="279">100*((B127/$B$119-1))</f>
        <v>5.3932780757483423</v>
      </c>
      <c r="F127" s="1037">
        <f t="shared" ref="F127" si="280">100*((B127/B115)-1)</f>
        <v>5.274764756032102</v>
      </c>
      <c r="G127" s="1038">
        <f t="shared" ref="G127" si="281">100*(B127/B103-1)</f>
        <v>6.8599993552442839</v>
      </c>
      <c r="H127" s="926">
        <f t="shared" si="61"/>
        <v>1.0346039192320675</v>
      </c>
    </row>
    <row r="128" spans="1:8" ht="16.5" thickBot="1">
      <c r="A128" s="1046" t="str">
        <f>rodoarlv!A253</f>
        <v>SETEMBRO|20</v>
      </c>
      <c r="B128" s="1047">
        <f>'[114]set-20'!$I$33</f>
        <v>2194.8460000000005</v>
      </c>
      <c r="C128" s="1047">
        <f t="shared" ref="C128" si="282">100*B128/$B$8</f>
        <v>232.93521081319727</v>
      </c>
      <c r="D128" s="1048">
        <f t="shared" ref="D128" si="283">100*((B128/B127)-1)</f>
        <v>3.4603919232067515</v>
      </c>
      <c r="E128" s="1048">
        <f t="shared" ref="E128" si="284">100*((B128/$B$119-1))</f>
        <v>9.0402985578843733</v>
      </c>
      <c r="F128" s="1051">
        <f t="shared" ref="F128" si="285">100*((B128/B116)-1)</f>
        <v>9.3683695445272654</v>
      </c>
      <c r="G128" s="1052">
        <f t="shared" ref="G128" si="286">100*(B128/B104-1)</f>
        <v>10.557774142071953</v>
      </c>
      <c r="H128" s="1053">
        <f t="shared" si="61"/>
        <v>1</v>
      </c>
    </row>
    <row r="129" spans="1:1">
      <c r="A129" s="758" t="s">
        <v>238</v>
      </c>
    </row>
  </sheetData>
  <mergeCells count="7">
    <mergeCell ref="A7:B7"/>
    <mergeCell ref="D4:H4"/>
    <mergeCell ref="C1:H3"/>
    <mergeCell ref="A4:C4"/>
    <mergeCell ref="A5:C5"/>
    <mergeCell ref="D5:G5"/>
    <mergeCell ref="H5:H6"/>
  </mergeCells>
  <printOptions horizontalCentered="1" verticalCentered="1"/>
  <pageMargins left="0.70866141732283472" right="0.70866141732283472" top="0.74803149606299213" bottom="0.74803149606299213" header="0.31496062992125984" footer="0.31496062992125984"/>
  <pageSetup paperSize="9" scale="37" orientation="portrait" r:id="rId1"/>
  <headerFooter>
    <oddFooter>&amp;L&amp;"Calibri,Regular"&amp;K184782&amp;F&amp;C&amp;"Calibri,Regular"&amp;K184782&amp;A&amp;R&amp;"Calibri,Regular"&amp;K184782&amp;P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pageSetUpPr fitToPage="1"/>
  </sheetPr>
  <dimension ref="A1:N516"/>
  <sheetViews>
    <sheetView showGridLines="0" showOutlineSymbols="0" zoomScaleNormal="100" workbookViewId="0">
      <pane ySplit="2295" topLeftCell="A310" activePane="bottomLeft"/>
      <selection activeCell="J3" sqref="J3"/>
      <selection pane="bottomLeft" activeCell="I323" sqref="I323"/>
    </sheetView>
  </sheetViews>
  <sheetFormatPr defaultColWidth="11.6640625" defaultRowHeight="15.75"/>
  <cols>
    <col min="1" max="1" width="1" style="722" customWidth="1"/>
    <col min="2" max="2" width="10.6640625" style="707" customWidth="1"/>
    <col min="3" max="3" width="10.44140625" style="707" customWidth="1"/>
    <col min="4" max="4" width="7.6640625" style="707" customWidth="1"/>
    <col min="5" max="6" width="6.5546875" style="707" customWidth="1"/>
    <col min="7" max="7" width="8.109375" style="707" customWidth="1"/>
    <col min="8" max="8" width="7.21875" style="707" customWidth="1"/>
    <col min="9" max="9" width="11.6640625" style="707"/>
    <col min="10" max="11" width="11.6640625" style="745"/>
    <col min="12" max="16384" width="11.6640625" style="722"/>
  </cols>
  <sheetData>
    <row r="1" spans="1:9" s="707" customFormat="1" ht="21" customHeight="1">
      <c r="C1" s="708"/>
      <c r="D1" s="1417" t="s">
        <v>385</v>
      </c>
      <c r="E1" s="1417" t="s">
        <v>346</v>
      </c>
      <c r="F1" s="1417"/>
      <c r="G1" s="1417"/>
      <c r="H1" s="1417"/>
      <c r="I1" s="1417"/>
    </row>
    <row r="2" spans="1:9" s="707" customFormat="1" ht="15" customHeight="1">
      <c r="B2" s="708"/>
      <c r="C2" s="708"/>
      <c r="D2" s="1417"/>
      <c r="E2" s="1417"/>
      <c r="F2" s="1417"/>
      <c r="G2" s="1417"/>
      <c r="H2" s="1417"/>
      <c r="I2" s="1417"/>
    </row>
    <row r="3" spans="1:9" s="707" customFormat="1" ht="15" customHeight="1" thickBot="1">
      <c r="B3" s="708"/>
      <c r="C3" s="708"/>
      <c r="D3" s="1418"/>
      <c r="E3" s="1418"/>
      <c r="F3" s="1418"/>
      <c r="G3" s="1418"/>
      <c r="H3" s="1418"/>
      <c r="I3" s="1418"/>
    </row>
    <row r="4" spans="1:9" s="707" customFormat="1" ht="17.25" customHeight="1" thickBot="1">
      <c r="B4" s="1429" t="s">
        <v>386</v>
      </c>
      <c r="C4" s="1430"/>
      <c r="D4" s="1431"/>
      <c r="E4" s="1432" t="s">
        <v>359</v>
      </c>
      <c r="F4" s="1433"/>
      <c r="G4" s="1433"/>
      <c r="H4" s="1433"/>
      <c r="I4" s="1434"/>
    </row>
    <row r="5" spans="1:9" s="707" customFormat="1" ht="15" customHeight="1" thickBot="1">
      <c r="B5" s="1421" t="s">
        <v>274</v>
      </c>
      <c r="C5" s="1422"/>
      <c r="D5" s="1423"/>
      <c r="E5" s="1424" t="s">
        <v>275</v>
      </c>
      <c r="F5" s="1425"/>
      <c r="G5" s="1425"/>
      <c r="H5" s="1426"/>
      <c r="I5" s="1427" t="s">
        <v>186</v>
      </c>
    </row>
    <row r="6" spans="1:9" s="707" customFormat="1" ht="15.75" customHeight="1" thickBot="1">
      <c r="B6" s="831" t="s">
        <v>341</v>
      </c>
      <c r="C6" s="781" t="s">
        <v>64</v>
      </c>
      <c r="D6" s="781" t="s">
        <v>68</v>
      </c>
      <c r="E6" s="781" t="s">
        <v>342</v>
      </c>
      <c r="F6" s="781" t="s">
        <v>343</v>
      </c>
      <c r="G6" s="781" t="s">
        <v>344</v>
      </c>
      <c r="H6" s="781" t="s">
        <v>345</v>
      </c>
      <c r="I6" s="1428"/>
    </row>
    <row r="7" spans="1:9" s="707" customFormat="1" ht="15.75" customHeight="1" thickBot="1">
      <c r="B7" s="1419" t="s">
        <v>347</v>
      </c>
      <c r="C7" s="1420"/>
      <c r="D7" s="952"/>
      <c r="E7" s="952"/>
      <c r="F7" s="952"/>
      <c r="G7" s="952"/>
      <c r="H7" s="952"/>
      <c r="I7" s="953"/>
    </row>
    <row r="8" spans="1:9" ht="15" hidden="1" customHeight="1" thickBot="1">
      <c r="A8" s="734">
        <v>1</v>
      </c>
      <c r="B8" s="1010" t="s">
        <v>637</v>
      </c>
      <c r="C8" s="1011">
        <f>+geral!C15</f>
        <v>0.34</v>
      </c>
      <c r="D8" s="997">
        <v>100</v>
      </c>
      <c r="E8" s="997"/>
      <c r="F8" s="997"/>
      <c r="G8" s="997"/>
      <c r="H8" s="1002"/>
      <c r="I8" s="1001">
        <f>$C$322/C8</f>
        <v>9.9235294117647044</v>
      </c>
    </row>
    <row r="9" spans="1:9" ht="15" hidden="1" customHeight="1" thickBot="1">
      <c r="A9" s="734">
        <f>A8+1</f>
        <v>2</v>
      </c>
      <c r="B9" s="970" t="s">
        <v>638</v>
      </c>
      <c r="C9" s="721">
        <f>+geral!C16</f>
        <v>0.34</v>
      </c>
      <c r="D9" s="748">
        <f>100*C9/$C$8</f>
        <v>99.999999999999986</v>
      </c>
      <c r="E9" s="748">
        <f>100*((C9/C8)-1)</f>
        <v>0</v>
      </c>
      <c r="F9" s="748"/>
      <c r="G9" s="748"/>
      <c r="H9" s="839"/>
      <c r="I9" s="842">
        <f>$C$322/C9</f>
        <v>9.9235294117647044</v>
      </c>
    </row>
    <row r="10" spans="1:9" ht="15" hidden="1" customHeight="1" thickBot="1">
      <c r="A10" s="734">
        <f t="shared" ref="A10:A73" si="0">A9+1</f>
        <v>3</v>
      </c>
      <c r="B10" s="970" t="s">
        <v>639</v>
      </c>
      <c r="C10" s="721">
        <f>+geral!C17</f>
        <v>0.34</v>
      </c>
      <c r="D10" s="748">
        <f t="shared" ref="D10:D73" si="1">100*C10/$C$8</f>
        <v>99.999999999999986</v>
      </c>
      <c r="E10" s="748">
        <f t="shared" ref="E10:E73" si="2">100*((C10/C9)-1)</f>
        <v>0</v>
      </c>
      <c r="F10" s="748"/>
      <c r="G10" s="748"/>
      <c r="H10" s="839"/>
      <c r="I10" s="842">
        <f>$C$322/C10</f>
        <v>9.9235294117647044</v>
      </c>
    </row>
    <row r="11" spans="1:9" ht="15" hidden="1" customHeight="1" thickBot="1">
      <c r="A11" s="734">
        <f t="shared" si="0"/>
        <v>4</v>
      </c>
      <c r="B11" s="970" t="s">
        <v>640</v>
      </c>
      <c r="C11" s="721">
        <f>+geral!C18</f>
        <v>0.34</v>
      </c>
      <c r="D11" s="748">
        <f t="shared" si="1"/>
        <v>99.999999999999986</v>
      </c>
      <c r="E11" s="748">
        <f t="shared" si="2"/>
        <v>0</v>
      </c>
      <c r="F11" s="748"/>
      <c r="G11" s="748"/>
      <c r="H11" s="839"/>
      <c r="I11" s="842">
        <f>$C$322/C11</f>
        <v>9.9235294117647044</v>
      </c>
    </row>
    <row r="12" spans="1:9" ht="15" hidden="1" customHeight="1" thickBot="1">
      <c r="A12" s="734">
        <f t="shared" si="0"/>
        <v>5</v>
      </c>
      <c r="B12" s="970" t="s">
        <v>641</v>
      </c>
      <c r="C12" s="721">
        <v>0.34</v>
      </c>
      <c r="D12" s="748">
        <f t="shared" si="1"/>
        <v>99.999999999999986</v>
      </c>
      <c r="E12" s="748">
        <f t="shared" si="2"/>
        <v>0</v>
      </c>
      <c r="F12" s="748"/>
      <c r="G12" s="748"/>
      <c r="H12" s="839"/>
      <c r="I12" s="842">
        <f>$C$322/C12</f>
        <v>9.9235294117647044</v>
      </c>
    </row>
    <row r="13" spans="1:9" ht="15" hidden="1" customHeight="1" thickBot="1">
      <c r="A13" s="734">
        <f t="shared" si="0"/>
        <v>6</v>
      </c>
      <c r="B13" s="970" t="s">
        <v>642</v>
      </c>
      <c r="C13" s="721">
        <f>+geral!C20</f>
        <v>0.34</v>
      </c>
      <c r="D13" s="748">
        <f t="shared" si="1"/>
        <v>99.999999999999986</v>
      </c>
      <c r="E13" s="748">
        <f t="shared" si="2"/>
        <v>0</v>
      </c>
      <c r="F13" s="748"/>
      <c r="G13" s="748"/>
      <c r="H13" s="839"/>
      <c r="I13" s="842">
        <f>$C$322/C13</f>
        <v>9.9235294117647044</v>
      </c>
    </row>
    <row r="14" spans="1:9" ht="15" hidden="1" customHeight="1" thickBot="1">
      <c r="A14" s="734">
        <f t="shared" si="0"/>
        <v>7</v>
      </c>
      <c r="B14" s="970" t="s">
        <v>625</v>
      </c>
      <c r="C14" s="721">
        <f>+geral!E9</f>
        <v>0.34</v>
      </c>
      <c r="D14" s="748">
        <f t="shared" si="1"/>
        <v>99.999999999999986</v>
      </c>
      <c r="E14" s="748">
        <f t="shared" si="2"/>
        <v>0</v>
      </c>
      <c r="F14" s="748">
        <f>100*((C14/$C$13)-1)</f>
        <v>0</v>
      </c>
      <c r="G14" s="748"/>
      <c r="H14" s="839"/>
      <c r="I14" s="842">
        <f>$C$322/C14</f>
        <v>9.9235294117647044</v>
      </c>
    </row>
    <row r="15" spans="1:9" ht="15" hidden="1" customHeight="1" thickBot="1">
      <c r="A15" s="734">
        <f t="shared" si="0"/>
        <v>8</v>
      </c>
      <c r="B15" s="970" t="s">
        <v>626</v>
      </c>
      <c r="C15" s="721">
        <f>+geral!E10</f>
        <v>0.34</v>
      </c>
      <c r="D15" s="748">
        <f t="shared" si="1"/>
        <v>99.999999999999986</v>
      </c>
      <c r="E15" s="748">
        <f t="shared" si="2"/>
        <v>0</v>
      </c>
      <c r="F15" s="748">
        <f t="shared" ref="F15:F25" si="3">100*((C15/$C$13)-1)</f>
        <v>0</v>
      </c>
      <c r="G15" s="748"/>
      <c r="H15" s="839"/>
      <c r="I15" s="842">
        <f>$C$322/C15</f>
        <v>9.9235294117647044</v>
      </c>
    </row>
    <row r="16" spans="1:9" ht="15" hidden="1" customHeight="1" thickBot="1">
      <c r="A16" s="734">
        <f t="shared" si="0"/>
        <v>9</v>
      </c>
      <c r="B16" s="970" t="s">
        <v>627</v>
      </c>
      <c r="C16" s="721">
        <f>+geral!E11</f>
        <v>0.34</v>
      </c>
      <c r="D16" s="748">
        <f t="shared" si="1"/>
        <v>99.999999999999986</v>
      </c>
      <c r="E16" s="748">
        <f t="shared" si="2"/>
        <v>0</v>
      </c>
      <c r="F16" s="748">
        <f t="shared" si="3"/>
        <v>0</v>
      </c>
      <c r="G16" s="748"/>
      <c r="H16" s="839"/>
      <c r="I16" s="842">
        <f>$C$322/C16</f>
        <v>9.9235294117647044</v>
      </c>
    </row>
    <row r="17" spans="1:9" ht="15" hidden="1" customHeight="1" thickBot="1">
      <c r="A17" s="734">
        <f t="shared" si="0"/>
        <v>10</v>
      </c>
      <c r="B17" s="970" t="s">
        <v>628</v>
      </c>
      <c r="C17" s="721">
        <f>+geral!E12</f>
        <v>0.34</v>
      </c>
      <c r="D17" s="748">
        <f t="shared" si="1"/>
        <v>99.999999999999986</v>
      </c>
      <c r="E17" s="748">
        <f t="shared" si="2"/>
        <v>0</v>
      </c>
      <c r="F17" s="748">
        <f t="shared" si="3"/>
        <v>0</v>
      </c>
      <c r="G17" s="748"/>
      <c r="H17" s="839"/>
      <c r="I17" s="842">
        <f>$C$322/C17</f>
        <v>9.9235294117647044</v>
      </c>
    </row>
    <row r="18" spans="1:9" ht="15" hidden="1" customHeight="1" thickBot="1">
      <c r="A18" s="734">
        <f t="shared" si="0"/>
        <v>11</v>
      </c>
      <c r="B18" s="970" t="s">
        <v>629</v>
      </c>
      <c r="C18" s="721">
        <f>+geral!E13</f>
        <v>0.34</v>
      </c>
      <c r="D18" s="748">
        <f t="shared" si="1"/>
        <v>99.999999999999986</v>
      </c>
      <c r="E18" s="748">
        <f t="shared" si="2"/>
        <v>0</v>
      </c>
      <c r="F18" s="748">
        <f t="shared" si="3"/>
        <v>0</v>
      </c>
      <c r="G18" s="748"/>
      <c r="H18" s="839"/>
      <c r="I18" s="842">
        <f>$C$322/C18</f>
        <v>9.9235294117647044</v>
      </c>
    </row>
    <row r="19" spans="1:9" ht="15" hidden="1" customHeight="1" thickBot="1">
      <c r="A19" s="734">
        <f t="shared" si="0"/>
        <v>12</v>
      </c>
      <c r="B19" s="970" t="s">
        <v>630</v>
      </c>
      <c r="C19" s="721">
        <f>+geral!E14</f>
        <v>0.34</v>
      </c>
      <c r="D19" s="748">
        <f t="shared" si="1"/>
        <v>99.999999999999986</v>
      </c>
      <c r="E19" s="748">
        <f t="shared" si="2"/>
        <v>0</v>
      </c>
      <c r="F19" s="748">
        <f t="shared" si="3"/>
        <v>0</v>
      </c>
      <c r="G19" s="748"/>
      <c r="H19" s="839"/>
      <c r="I19" s="842">
        <f>$C$322/C19</f>
        <v>9.9235294117647044</v>
      </c>
    </row>
    <row r="20" spans="1:9" ht="15" hidden="1" customHeight="1" thickBot="1">
      <c r="A20" s="734">
        <f t="shared" si="0"/>
        <v>13</v>
      </c>
      <c r="B20" s="970" t="s">
        <v>631</v>
      </c>
      <c r="C20" s="721">
        <f>+geral!E15</f>
        <v>0.34</v>
      </c>
      <c r="D20" s="748">
        <f t="shared" si="1"/>
        <v>99.999999999999986</v>
      </c>
      <c r="E20" s="748">
        <f t="shared" si="2"/>
        <v>0</v>
      </c>
      <c r="F20" s="748">
        <f t="shared" si="3"/>
        <v>0</v>
      </c>
      <c r="G20" s="748">
        <f>100*((C20/C8)-1)</f>
        <v>0</v>
      </c>
      <c r="H20" s="839"/>
      <c r="I20" s="842">
        <f>$C$322/C20</f>
        <v>9.9235294117647044</v>
      </c>
    </row>
    <row r="21" spans="1:9" ht="15" hidden="1" customHeight="1" thickBot="1">
      <c r="A21" s="734">
        <f t="shared" si="0"/>
        <v>14</v>
      </c>
      <c r="B21" s="970" t="s">
        <v>632</v>
      </c>
      <c r="C21" s="721">
        <f>+geral!E16</f>
        <v>0.34</v>
      </c>
      <c r="D21" s="748">
        <f t="shared" si="1"/>
        <v>99.999999999999986</v>
      </c>
      <c r="E21" s="748">
        <f t="shared" si="2"/>
        <v>0</v>
      </c>
      <c r="F21" s="748">
        <f t="shared" si="3"/>
        <v>0</v>
      </c>
      <c r="G21" s="749">
        <f t="shared" ref="G21:G51" si="4">100*((C21/C9)-1)</f>
        <v>0</v>
      </c>
      <c r="H21" s="840"/>
      <c r="I21" s="842">
        <f>$C$322/C21</f>
        <v>9.9235294117647044</v>
      </c>
    </row>
    <row r="22" spans="1:9" ht="15" hidden="1" customHeight="1" thickBot="1">
      <c r="A22" s="734">
        <f t="shared" si="0"/>
        <v>15</v>
      </c>
      <c r="B22" s="970" t="s">
        <v>633</v>
      </c>
      <c r="C22" s="721">
        <f>+geral!E17</f>
        <v>0.34</v>
      </c>
      <c r="D22" s="748">
        <f t="shared" si="1"/>
        <v>99.999999999999986</v>
      </c>
      <c r="E22" s="748">
        <f t="shared" si="2"/>
        <v>0</v>
      </c>
      <c r="F22" s="748">
        <f t="shared" si="3"/>
        <v>0</v>
      </c>
      <c r="G22" s="749">
        <f t="shared" si="4"/>
        <v>0</v>
      </c>
      <c r="H22" s="840"/>
      <c r="I22" s="842">
        <f>$C$322/C22</f>
        <v>9.9235294117647044</v>
      </c>
    </row>
    <row r="23" spans="1:9" ht="15" hidden="1" customHeight="1" thickBot="1">
      <c r="A23" s="734">
        <f t="shared" si="0"/>
        <v>16</v>
      </c>
      <c r="B23" s="970" t="s">
        <v>634</v>
      </c>
      <c r="C23" s="721">
        <f>+geral!E18</f>
        <v>0.38</v>
      </c>
      <c r="D23" s="748">
        <f t="shared" si="1"/>
        <v>111.76470588235293</v>
      </c>
      <c r="E23" s="748">
        <f>100*((C23/C22)-1)</f>
        <v>11.764705882352944</v>
      </c>
      <c r="F23" s="748">
        <f>100*((C23/$C$13)-1)</f>
        <v>11.764705882352944</v>
      </c>
      <c r="G23" s="749">
        <f t="shared" si="4"/>
        <v>11.764705882352944</v>
      </c>
      <c r="H23" s="840"/>
      <c r="I23" s="842">
        <f>$C$322/C23</f>
        <v>8.878947368421052</v>
      </c>
    </row>
    <row r="24" spans="1:9" ht="15" hidden="1" customHeight="1" thickBot="1">
      <c r="A24" s="734">
        <f t="shared" si="0"/>
        <v>17</v>
      </c>
      <c r="B24" s="970" t="s">
        <v>635</v>
      </c>
      <c r="C24" s="721">
        <f>+geral!E19</f>
        <v>0.38</v>
      </c>
      <c r="D24" s="748">
        <f t="shared" si="1"/>
        <v>111.76470588235293</v>
      </c>
      <c r="E24" s="748">
        <f t="shared" si="2"/>
        <v>0</v>
      </c>
      <c r="F24" s="748">
        <f t="shared" si="3"/>
        <v>11.764705882352944</v>
      </c>
      <c r="G24" s="749">
        <f t="shared" si="4"/>
        <v>11.764705882352944</v>
      </c>
      <c r="H24" s="840"/>
      <c r="I24" s="842">
        <f>$C$322/C24</f>
        <v>8.878947368421052</v>
      </c>
    </row>
    <row r="25" spans="1:9" ht="15" hidden="1" customHeight="1" thickBot="1">
      <c r="A25" s="734">
        <f t="shared" si="0"/>
        <v>18</v>
      </c>
      <c r="B25" s="970" t="s">
        <v>636</v>
      </c>
      <c r="C25" s="721">
        <f>+geral!E20</f>
        <v>0.38</v>
      </c>
      <c r="D25" s="748">
        <f t="shared" si="1"/>
        <v>111.76470588235293</v>
      </c>
      <c r="E25" s="748">
        <f t="shared" si="2"/>
        <v>0</v>
      </c>
      <c r="F25" s="748">
        <f t="shared" si="3"/>
        <v>11.764705882352944</v>
      </c>
      <c r="G25" s="749">
        <f t="shared" si="4"/>
        <v>11.764705882352944</v>
      </c>
      <c r="H25" s="840"/>
      <c r="I25" s="842">
        <f>$C$322/C25</f>
        <v>8.878947368421052</v>
      </c>
    </row>
    <row r="26" spans="1:9" ht="15" hidden="1" customHeight="1" thickBot="1">
      <c r="A26" s="734">
        <f t="shared" si="0"/>
        <v>19</v>
      </c>
      <c r="B26" s="970" t="s">
        <v>613</v>
      </c>
      <c r="C26" s="721">
        <f>+geral!G9</f>
        <v>0.38</v>
      </c>
      <c r="D26" s="748">
        <f t="shared" si="1"/>
        <v>111.76470588235293</v>
      </c>
      <c r="E26" s="748">
        <f t="shared" si="2"/>
        <v>0</v>
      </c>
      <c r="F26" s="748">
        <f t="shared" ref="F26:F37" si="5">100*((C26/$C$25)-1)</f>
        <v>0</v>
      </c>
      <c r="G26" s="749">
        <f t="shared" si="4"/>
        <v>11.764705882352944</v>
      </c>
      <c r="H26" s="840"/>
      <c r="I26" s="842">
        <f>$C$322/C26</f>
        <v>8.878947368421052</v>
      </c>
    </row>
    <row r="27" spans="1:9" ht="15" hidden="1" customHeight="1" thickBot="1">
      <c r="A27" s="734">
        <f t="shared" si="0"/>
        <v>20</v>
      </c>
      <c r="B27" s="970" t="s">
        <v>614</v>
      </c>
      <c r="C27" s="721">
        <f>+geral!G10</f>
        <v>0.38</v>
      </c>
      <c r="D27" s="748">
        <f t="shared" si="1"/>
        <v>111.76470588235293</v>
      </c>
      <c r="E27" s="748">
        <f t="shared" si="2"/>
        <v>0</v>
      </c>
      <c r="F27" s="748">
        <f t="shared" si="5"/>
        <v>0</v>
      </c>
      <c r="G27" s="749">
        <f t="shared" si="4"/>
        <v>11.764705882352944</v>
      </c>
      <c r="H27" s="840"/>
      <c r="I27" s="842">
        <f>$C$322/C27</f>
        <v>8.878947368421052</v>
      </c>
    </row>
    <row r="28" spans="1:9" ht="15" hidden="1" customHeight="1" thickBot="1">
      <c r="A28" s="734">
        <f t="shared" si="0"/>
        <v>21</v>
      </c>
      <c r="B28" s="970" t="s">
        <v>615</v>
      </c>
      <c r="C28" s="721">
        <f>+geral!G11</f>
        <v>0.38</v>
      </c>
      <c r="D28" s="748">
        <f t="shared" si="1"/>
        <v>111.76470588235293</v>
      </c>
      <c r="E28" s="748">
        <f t="shared" si="2"/>
        <v>0</v>
      </c>
      <c r="F28" s="748">
        <f t="shared" si="5"/>
        <v>0</v>
      </c>
      <c r="G28" s="749">
        <f t="shared" si="4"/>
        <v>11.764705882352944</v>
      </c>
      <c r="H28" s="840"/>
      <c r="I28" s="842">
        <f>$C$322/C28</f>
        <v>8.878947368421052</v>
      </c>
    </row>
    <row r="29" spans="1:9" ht="15" hidden="1" customHeight="1" thickBot="1">
      <c r="A29" s="734">
        <f t="shared" si="0"/>
        <v>22</v>
      </c>
      <c r="B29" s="970" t="s">
        <v>616</v>
      </c>
      <c r="C29" s="721">
        <f>+geral!G12</f>
        <v>0.38</v>
      </c>
      <c r="D29" s="748">
        <f t="shared" si="1"/>
        <v>111.76470588235293</v>
      </c>
      <c r="E29" s="748">
        <f t="shared" si="2"/>
        <v>0</v>
      </c>
      <c r="F29" s="748">
        <f t="shared" si="5"/>
        <v>0</v>
      </c>
      <c r="G29" s="749">
        <f t="shared" si="4"/>
        <v>11.764705882352944</v>
      </c>
      <c r="H29" s="840"/>
      <c r="I29" s="842">
        <f>$C$322/C29</f>
        <v>8.878947368421052</v>
      </c>
    </row>
    <row r="30" spans="1:9" ht="15" hidden="1" customHeight="1" thickBot="1">
      <c r="A30" s="734">
        <f t="shared" si="0"/>
        <v>23</v>
      </c>
      <c r="B30" s="970" t="s">
        <v>617</v>
      </c>
      <c r="C30" s="721">
        <f>+geral!G13</f>
        <v>0.38</v>
      </c>
      <c r="D30" s="748">
        <f t="shared" si="1"/>
        <v>111.76470588235293</v>
      </c>
      <c r="E30" s="748">
        <f t="shared" si="2"/>
        <v>0</v>
      </c>
      <c r="F30" s="748">
        <f t="shared" si="5"/>
        <v>0</v>
      </c>
      <c r="G30" s="749">
        <f t="shared" si="4"/>
        <v>11.764705882352944</v>
      </c>
      <c r="H30" s="840"/>
      <c r="I30" s="842">
        <f>$C$322/C30</f>
        <v>8.878947368421052</v>
      </c>
    </row>
    <row r="31" spans="1:9" ht="15" hidden="1" customHeight="1" thickBot="1">
      <c r="A31" s="734">
        <f t="shared" si="0"/>
        <v>24</v>
      </c>
      <c r="B31" s="970" t="s">
        <v>618</v>
      </c>
      <c r="C31" s="721">
        <f>+geral!G14</f>
        <v>0.38</v>
      </c>
      <c r="D31" s="748">
        <f t="shared" si="1"/>
        <v>111.76470588235293</v>
      </c>
      <c r="E31" s="748">
        <f t="shared" si="2"/>
        <v>0</v>
      </c>
      <c r="F31" s="748">
        <f t="shared" si="5"/>
        <v>0</v>
      </c>
      <c r="G31" s="749">
        <f t="shared" si="4"/>
        <v>11.764705882352944</v>
      </c>
      <c r="H31" s="840"/>
      <c r="I31" s="842">
        <f>$C$322/C31</f>
        <v>8.878947368421052</v>
      </c>
    </row>
    <row r="32" spans="1:9" ht="15" hidden="1" customHeight="1" thickBot="1">
      <c r="A32" s="734">
        <f t="shared" si="0"/>
        <v>25</v>
      </c>
      <c r="B32" s="970" t="s">
        <v>619</v>
      </c>
      <c r="C32" s="721">
        <f>+geral!G15</f>
        <v>0.38</v>
      </c>
      <c r="D32" s="748">
        <f t="shared" si="1"/>
        <v>111.76470588235293</v>
      </c>
      <c r="E32" s="748">
        <f t="shared" si="2"/>
        <v>0</v>
      </c>
      <c r="F32" s="748">
        <f t="shared" si="5"/>
        <v>0</v>
      </c>
      <c r="G32" s="749">
        <f t="shared" si="4"/>
        <v>11.764705882352944</v>
      </c>
      <c r="H32" s="840">
        <f>100*(C32/C8-1)</f>
        <v>11.764705882352944</v>
      </c>
      <c r="I32" s="842">
        <f>$C$322/C32</f>
        <v>8.878947368421052</v>
      </c>
    </row>
    <row r="33" spans="1:9" ht="15" hidden="1" customHeight="1" thickBot="1">
      <c r="A33" s="734">
        <f t="shared" si="0"/>
        <v>26</v>
      </c>
      <c r="B33" s="970" t="s">
        <v>620</v>
      </c>
      <c r="C33" s="721">
        <f>+geral!G16</f>
        <v>0.38</v>
      </c>
      <c r="D33" s="748">
        <f t="shared" si="1"/>
        <v>111.76470588235293</v>
      </c>
      <c r="E33" s="748">
        <f t="shared" si="2"/>
        <v>0</v>
      </c>
      <c r="F33" s="748">
        <f t="shared" si="5"/>
        <v>0</v>
      </c>
      <c r="G33" s="749">
        <f t="shared" si="4"/>
        <v>11.764705882352944</v>
      </c>
      <c r="H33" s="840">
        <f t="shared" ref="H33:H96" si="6">100*(C33/C9-1)</f>
        <v>11.764705882352944</v>
      </c>
      <c r="I33" s="842">
        <f>$C$322/C33</f>
        <v>8.878947368421052</v>
      </c>
    </row>
    <row r="34" spans="1:9" ht="15" hidden="1" customHeight="1" thickBot="1">
      <c r="A34" s="734">
        <f t="shared" si="0"/>
        <v>27</v>
      </c>
      <c r="B34" s="970" t="s">
        <v>621</v>
      </c>
      <c r="C34" s="721">
        <f>+geral!G17</f>
        <v>0.38</v>
      </c>
      <c r="D34" s="748">
        <f t="shared" si="1"/>
        <v>111.76470588235293</v>
      </c>
      <c r="E34" s="748">
        <f t="shared" si="2"/>
        <v>0</v>
      </c>
      <c r="F34" s="748">
        <f t="shared" si="5"/>
        <v>0</v>
      </c>
      <c r="G34" s="749">
        <f t="shared" si="4"/>
        <v>11.764705882352944</v>
      </c>
      <c r="H34" s="840">
        <f t="shared" si="6"/>
        <v>11.764705882352944</v>
      </c>
      <c r="I34" s="842">
        <f>$C$322/C34</f>
        <v>8.878947368421052</v>
      </c>
    </row>
    <row r="35" spans="1:9" ht="15" hidden="1" customHeight="1" thickBot="1">
      <c r="A35" s="734">
        <f t="shared" si="0"/>
        <v>28</v>
      </c>
      <c r="B35" s="970" t="s">
        <v>622</v>
      </c>
      <c r="C35" s="721">
        <f>+geral!G18</f>
        <v>0.38</v>
      </c>
      <c r="D35" s="748">
        <f t="shared" si="1"/>
        <v>111.76470588235293</v>
      </c>
      <c r="E35" s="748">
        <f t="shared" si="2"/>
        <v>0</v>
      </c>
      <c r="F35" s="748">
        <f t="shared" si="5"/>
        <v>0</v>
      </c>
      <c r="G35" s="749">
        <f t="shared" si="4"/>
        <v>0</v>
      </c>
      <c r="H35" s="840">
        <f t="shared" si="6"/>
        <v>11.764705882352944</v>
      </c>
      <c r="I35" s="842">
        <f>$C$322/C35</f>
        <v>8.878947368421052</v>
      </c>
    </row>
    <row r="36" spans="1:9" ht="15" hidden="1" customHeight="1" thickBot="1">
      <c r="A36" s="734">
        <f t="shared" si="0"/>
        <v>29</v>
      </c>
      <c r="B36" s="970" t="s">
        <v>623</v>
      </c>
      <c r="C36" s="721">
        <f>+geral!G19</f>
        <v>0.38</v>
      </c>
      <c r="D36" s="748">
        <f t="shared" si="1"/>
        <v>111.76470588235293</v>
      </c>
      <c r="E36" s="748">
        <f t="shared" si="2"/>
        <v>0</v>
      </c>
      <c r="F36" s="748">
        <f t="shared" si="5"/>
        <v>0</v>
      </c>
      <c r="G36" s="749">
        <f t="shared" si="4"/>
        <v>0</v>
      </c>
      <c r="H36" s="840">
        <f t="shared" si="6"/>
        <v>11.764705882352944</v>
      </c>
      <c r="I36" s="842">
        <f>$C$322/C36</f>
        <v>8.878947368421052</v>
      </c>
    </row>
    <row r="37" spans="1:9" ht="15" hidden="1" customHeight="1" thickBot="1">
      <c r="A37" s="734">
        <f t="shared" si="0"/>
        <v>30</v>
      </c>
      <c r="B37" s="970" t="s">
        <v>624</v>
      </c>
      <c r="C37" s="721">
        <f>+geral!G20</f>
        <v>0.41</v>
      </c>
      <c r="D37" s="748">
        <f t="shared" si="1"/>
        <v>120.58823529411764</v>
      </c>
      <c r="E37" s="748">
        <f t="shared" si="2"/>
        <v>7.8947368421052655</v>
      </c>
      <c r="F37" s="748">
        <f t="shared" si="5"/>
        <v>7.8947368421052655</v>
      </c>
      <c r="G37" s="749">
        <f t="shared" si="4"/>
        <v>7.8947368421052655</v>
      </c>
      <c r="H37" s="840">
        <f t="shared" si="6"/>
        <v>20.588235294117641</v>
      </c>
      <c r="I37" s="842">
        <f>$C$322/C37</f>
        <v>8.2292682926829261</v>
      </c>
    </row>
    <row r="38" spans="1:9" ht="15" hidden="1" customHeight="1" thickBot="1">
      <c r="A38" s="734">
        <f t="shared" si="0"/>
        <v>31</v>
      </c>
      <c r="B38" s="970" t="s">
        <v>601</v>
      </c>
      <c r="C38" s="721">
        <f>+geral!I9</f>
        <v>0.41</v>
      </c>
      <c r="D38" s="748">
        <f t="shared" si="1"/>
        <v>120.58823529411764</v>
      </c>
      <c r="E38" s="748">
        <f t="shared" si="2"/>
        <v>0</v>
      </c>
      <c r="F38" s="748">
        <f>100*((C38/$C$37)-1)</f>
        <v>0</v>
      </c>
      <c r="G38" s="749">
        <f t="shared" si="4"/>
        <v>7.8947368421052655</v>
      </c>
      <c r="H38" s="840">
        <f t="shared" si="6"/>
        <v>20.588235294117641</v>
      </c>
      <c r="I38" s="842">
        <f>$C$322/C38</f>
        <v>8.2292682926829261</v>
      </c>
    </row>
    <row r="39" spans="1:9" ht="15" hidden="1" customHeight="1" thickBot="1">
      <c r="A39" s="734">
        <f t="shared" si="0"/>
        <v>32</v>
      </c>
      <c r="B39" s="970" t="s">
        <v>602</v>
      </c>
      <c r="C39" s="721">
        <f>+geral!I10</f>
        <v>0.41</v>
      </c>
      <c r="D39" s="748">
        <f t="shared" si="1"/>
        <v>120.58823529411764</v>
      </c>
      <c r="E39" s="748">
        <f t="shared" si="2"/>
        <v>0</v>
      </c>
      <c r="F39" s="748">
        <f>100*((C39/$C$37)-1)</f>
        <v>0</v>
      </c>
      <c r="G39" s="749">
        <f t="shared" si="4"/>
        <v>7.8947368421052655</v>
      </c>
      <c r="H39" s="840">
        <f t="shared" si="6"/>
        <v>20.588235294117641</v>
      </c>
      <c r="I39" s="842">
        <f>$C$322/C39</f>
        <v>8.2292682926829261</v>
      </c>
    </row>
    <row r="40" spans="1:9" ht="15" hidden="1" customHeight="1" thickBot="1">
      <c r="A40" s="734">
        <f t="shared" si="0"/>
        <v>33</v>
      </c>
      <c r="B40" s="970" t="s">
        <v>603</v>
      </c>
      <c r="C40" s="721">
        <f>+geral!I11</f>
        <v>0.41</v>
      </c>
      <c r="D40" s="748">
        <f t="shared" si="1"/>
        <v>120.58823529411764</v>
      </c>
      <c r="E40" s="748">
        <f t="shared" si="2"/>
        <v>0</v>
      </c>
      <c r="F40" s="748">
        <f>100*((C40/$C$37)-1)</f>
        <v>0</v>
      </c>
      <c r="G40" s="749">
        <f t="shared" si="4"/>
        <v>7.8947368421052655</v>
      </c>
      <c r="H40" s="840">
        <f t="shared" si="6"/>
        <v>20.588235294117641</v>
      </c>
      <c r="I40" s="842">
        <f>$C$322/C40</f>
        <v>8.2292682926829261</v>
      </c>
    </row>
    <row r="41" spans="1:9" ht="15" hidden="1" customHeight="1" thickBot="1">
      <c r="A41" s="734">
        <f t="shared" si="0"/>
        <v>34</v>
      </c>
      <c r="B41" s="970" t="s">
        <v>604</v>
      </c>
      <c r="C41" s="721">
        <f>+geral!I12</f>
        <v>0.41</v>
      </c>
      <c r="D41" s="748">
        <f t="shared" si="1"/>
        <v>120.58823529411764</v>
      </c>
      <c r="E41" s="748">
        <f t="shared" si="2"/>
        <v>0</v>
      </c>
      <c r="F41" s="748">
        <f t="shared" ref="F41:F49" si="7">100*((C41/$C$37)-1)</f>
        <v>0</v>
      </c>
      <c r="G41" s="749">
        <f t="shared" si="4"/>
        <v>7.8947368421052655</v>
      </c>
      <c r="H41" s="840">
        <f t="shared" si="6"/>
        <v>20.588235294117641</v>
      </c>
      <c r="I41" s="842">
        <f>$C$322/C41</f>
        <v>8.2292682926829261</v>
      </c>
    </row>
    <row r="42" spans="1:9" ht="15" hidden="1" customHeight="1" thickBot="1">
      <c r="A42" s="734">
        <f t="shared" si="0"/>
        <v>35</v>
      </c>
      <c r="B42" s="970" t="s">
        <v>605</v>
      </c>
      <c r="C42" s="721">
        <f>+geral!I13</f>
        <v>0.41</v>
      </c>
      <c r="D42" s="748">
        <f t="shared" si="1"/>
        <v>120.58823529411764</v>
      </c>
      <c r="E42" s="748">
        <f t="shared" si="2"/>
        <v>0</v>
      </c>
      <c r="F42" s="748">
        <f t="shared" si="7"/>
        <v>0</v>
      </c>
      <c r="G42" s="749">
        <f t="shared" si="4"/>
        <v>7.8947368421052655</v>
      </c>
      <c r="H42" s="840">
        <f t="shared" si="6"/>
        <v>20.588235294117641</v>
      </c>
      <c r="I42" s="842">
        <f>$C$322/C42</f>
        <v>8.2292682926829261</v>
      </c>
    </row>
    <row r="43" spans="1:9" ht="15" hidden="1" customHeight="1" thickBot="1">
      <c r="A43" s="734">
        <f t="shared" si="0"/>
        <v>36</v>
      </c>
      <c r="B43" s="970" t="s">
        <v>606</v>
      </c>
      <c r="C43" s="721">
        <f>+geral!I14</f>
        <v>0.41</v>
      </c>
      <c r="D43" s="748">
        <f t="shared" si="1"/>
        <v>120.58823529411764</v>
      </c>
      <c r="E43" s="748">
        <f t="shared" si="2"/>
        <v>0</v>
      </c>
      <c r="F43" s="748">
        <f t="shared" si="7"/>
        <v>0</v>
      </c>
      <c r="G43" s="749">
        <f t="shared" si="4"/>
        <v>7.8947368421052655</v>
      </c>
      <c r="H43" s="840">
        <f t="shared" si="6"/>
        <v>20.588235294117641</v>
      </c>
      <c r="I43" s="842">
        <f>$C$322/C43</f>
        <v>8.2292682926829261</v>
      </c>
    </row>
    <row r="44" spans="1:9" ht="15" hidden="1" customHeight="1" thickBot="1">
      <c r="A44" s="734">
        <f t="shared" si="0"/>
        <v>37</v>
      </c>
      <c r="B44" s="970" t="s">
        <v>607</v>
      </c>
      <c r="C44" s="721">
        <f>+geral!I15</f>
        <v>0.41</v>
      </c>
      <c r="D44" s="748">
        <f t="shared" si="1"/>
        <v>120.58823529411764</v>
      </c>
      <c r="E44" s="748">
        <f t="shared" si="2"/>
        <v>0</v>
      </c>
      <c r="F44" s="748">
        <f t="shared" si="7"/>
        <v>0</v>
      </c>
      <c r="G44" s="749">
        <f t="shared" si="4"/>
        <v>7.8947368421052655</v>
      </c>
      <c r="H44" s="840">
        <f t="shared" si="6"/>
        <v>20.588235294117641</v>
      </c>
      <c r="I44" s="842">
        <f>$C$322/C44</f>
        <v>8.2292682926829261</v>
      </c>
    </row>
    <row r="45" spans="1:9" ht="15" hidden="1" customHeight="1" thickBot="1">
      <c r="A45" s="734">
        <f t="shared" si="0"/>
        <v>38</v>
      </c>
      <c r="B45" s="970" t="s">
        <v>608</v>
      </c>
      <c r="C45" s="721">
        <f>+geral!I16</f>
        <v>0.41</v>
      </c>
      <c r="D45" s="748">
        <f t="shared" si="1"/>
        <v>120.58823529411764</v>
      </c>
      <c r="E45" s="748">
        <f t="shared" si="2"/>
        <v>0</v>
      </c>
      <c r="F45" s="748">
        <f t="shared" si="7"/>
        <v>0</v>
      </c>
      <c r="G45" s="749">
        <f t="shared" si="4"/>
        <v>7.8947368421052655</v>
      </c>
      <c r="H45" s="840">
        <f t="shared" si="6"/>
        <v>20.588235294117641</v>
      </c>
      <c r="I45" s="842">
        <f>$C$322/C45</f>
        <v>8.2292682926829261</v>
      </c>
    </row>
    <row r="46" spans="1:9" ht="15" hidden="1" customHeight="1" thickBot="1">
      <c r="A46" s="734">
        <f t="shared" si="0"/>
        <v>39</v>
      </c>
      <c r="B46" s="970" t="s">
        <v>609</v>
      </c>
      <c r="C46" s="721">
        <f>+geral!I17</f>
        <v>0.41</v>
      </c>
      <c r="D46" s="748">
        <f t="shared" si="1"/>
        <v>120.58823529411764</v>
      </c>
      <c r="E46" s="748">
        <f t="shared" si="2"/>
        <v>0</v>
      </c>
      <c r="F46" s="748">
        <f t="shared" si="7"/>
        <v>0</v>
      </c>
      <c r="G46" s="749">
        <f t="shared" si="4"/>
        <v>7.8947368421052655</v>
      </c>
      <c r="H46" s="840">
        <f t="shared" si="6"/>
        <v>20.588235294117641</v>
      </c>
      <c r="I46" s="842">
        <f>$C$322/C46</f>
        <v>8.2292682926829261</v>
      </c>
    </row>
    <row r="47" spans="1:9" ht="15" hidden="1" customHeight="1" thickBot="1">
      <c r="A47" s="734">
        <f t="shared" si="0"/>
        <v>40</v>
      </c>
      <c r="B47" s="970" t="s">
        <v>610</v>
      </c>
      <c r="C47" s="721">
        <f>+geral!I18</f>
        <v>0.41</v>
      </c>
      <c r="D47" s="748">
        <f t="shared" si="1"/>
        <v>120.58823529411764</v>
      </c>
      <c r="E47" s="748">
        <f t="shared" si="2"/>
        <v>0</v>
      </c>
      <c r="F47" s="748">
        <f t="shared" si="7"/>
        <v>0</v>
      </c>
      <c r="G47" s="749">
        <f t="shared" si="4"/>
        <v>7.8947368421052655</v>
      </c>
      <c r="H47" s="840">
        <f t="shared" si="6"/>
        <v>7.8947368421052655</v>
      </c>
      <c r="I47" s="842">
        <f>$C$322/C47</f>
        <v>8.2292682926829261</v>
      </c>
    </row>
    <row r="48" spans="1:9" ht="15" hidden="1" customHeight="1" thickBot="1">
      <c r="A48" s="734">
        <f t="shared" si="0"/>
        <v>41</v>
      </c>
      <c r="B48" s="970" t="s">
        <v>611</v>
      </c>
      <c r="C48" s="721">
        <f>+geral!I19</f>
        <v>0.41</v>
      </c>
      <c r="D48" s="748">
        <f t="shared" si="1"/>
        <v>120.58823529411764</v>
      </c>
      <c r="E48" s="748">
        <f t="shared" si="2"/>
        <v>0</v>
      </c>
      <c r="F48" s="748">
        <f t="shared" si="7"/>
        <v>0</v>
      </c>
      <c r="G48" s="749">
        <f t="shared" si="4"/>
        <v>7.8947368421052655</v>
      </c>
      <c r="H48" s="840">
        <f t="shared" si="6"/>
        <v>7.8947368421052655</v>
      </c>
      <c r="I48" s="842">
        <f>$C$322/C48</f>
        <v>8.2292682926829261</v>
      </c>
    </row>
    <row r="49" spans="1:9" ht="15" hidden="1" customHeight="1" thickBot="1">
      <c r="A49" s="734">
        <f t="shared" si="0"/>
        <v>42</v>
      </c>
      <c r="B49" s="970" t="s">
        <v>612</v>
      </c>
      <c r="C49" s="721">
        <f>+geral!I20</f>
        <v>0.43</v>
      </c>
      <c r="D49" s="748">
        <f t="shared" si="1"/>
        <v>126.4705882352941</v>
      </c>
      <c r="E49" s="748">
        <f t="shared" si="2"/>
        <v>4.8780487804878092</v>
      </c>
      <c r="F49" s="748">
        <f t="shared" si="7"/>
        <v>4.8780487804878092</v>
      </c>
      <c r="G49" s="749">
        <f t="shared" si="4"/>
        <v>4.8780487804878092</v>
      </c>
      <c r="H49" s="840">
        <f t="shared" si="6"/>
        <v>13.157894736842103</v>
      </c>
      <c r="I49" s="842">
        <f>$C$322/C49</f>
        <v>7.8465116279069758</v>
      </c>
    </row>
    <row r="50" spans="1:9" ht="15" hidden="1" customHeight="1" thickBot="1">
      <c r="A50" s="734">
        <f t="shared" si="0"/>
        <v>43</v>
      </c>
      <c r="B50" s="970" t="s">
        <v>589</v>
      </c>
      <c r="C50" s="721">
        <f>+geral!K9</f>
        <v>0.43</v>
      </c>
      <c r="D50" s="748">
        <f t="shared" si="1"/>
        <v>126.4705882352941</v>
      </c>
      <c r="E50" s="748">
        <f t="shared" si="2"/>
        <v>0</v>
      </c>
      <c r="F50" s="748">
        <f>100*((C50/$C$49)-1)</f>
        <v>0</v>
      </c>
      <c r="G50" s="749">
        <f t="shared" si="4"/>
        <v>4.8780487804878092</v>
      </c>
      <c r="H50" s="840">
        <f t="shared" si="6"/>
        <v>13.157894736842103</v>
      </c>
      <c r="I50" s="842">
        <f>$C$322/C50</f>
        <v>7.8465116279069758</v>
      </c>
    </row>
    <row r="51" spans="1:9" ht="15" hidden="1" customHeight="1" thickBot="1">
      <c r="A51" s="734">
        <f t="shared" si="0"/>
        <v>44</v>
      </c>
      <c r="B51" s="970" t="s">
        <v>590</v>
      </c>
      <c r="C51" s="721">
        <f>+geral!K10</f>
        <v>0.43</v>
      </c>
      <c r="D51" s="748">
        <f t="shared" si="1"/>
        <v>126.4705882352941</v>
      </c>
      <c r="E51" s="748">
        <f t="shared" si="2"/>
        <v>0</v>
      </c>
      <c r="F51" s="748">
        <f t="shared" ref="F51:F61" si="8">100*((C51/$C$49)-1)</f>
        <v>0</v>
      </c>
      <c r="G51" s="749">
        <f t="shared" si="4"/>
        <v>4.8780487804878092</v>
      </c>
      <c r="H51" s="840">
        <f t="shared" si="6"/>
        <v>13.157894736842103</v>
      </c>
      <c r="I51" s="842">
        <f>$C$322/C51</f>
        <v>7.8465116279069758</v>
      </c>
    </row>
    <row r="52" spans="1:9" ht="15" hidden="1" customHeight="1" thickBot="1">
      <c r="A52" s="734">
        <f t="shared" si="0"/>
        <v>45</v>
      </c>
      <c r="B52" s="970" t="s">
        <v>591</v>
      </c>
      <c r="C52" s="721">
        <f>+geral!K11</f>
        <v>0.43</v>
      </c>
      <c r="D52" s="748">
        <f t="shared" si="1"/>
        <v>126.4705882352941</v>
      </c>
      <c r="E52" s="750">
        <f t="shared" si="2"/>
        <v>0</v>
      </c>
      <c r="F52" s="750">
        <f t="shared" si="8"/>
        <v>0</v>
      </c>
      <c r="G52" s="751">
        <f t="shared" ref="G52:G83" si="9">100*((C52/C40)-1)</f>
        <v>4.8780487804878092</v>
      </c>
      <c r="H52" s="840">
        <f t="shared" si="6"/>
        <v>13.157894736842103</v>
      </c>
      <c r="I52" s="842">
        <f>$C$322/C52</f>
        <v>7.8465116279069758</v>
      </c>
    </row>
    <row r="53" spans="1:9" ht="15" hidden="1" customHeight="1" thickBot="1">
      <c r="A53" s="734">
        <f t="shared" si="0"/>
        <v>46</v>
      </c>
      <c r="B53" s="970" t="s">
        <v>592</v>
      </c>
      <c r="C53" s="721">
        <f>+geral!K12</f>
        <v>0.43</v>
      </c>
      <c r="D53" s="748">
        <f t="shared" si="1"/>
        <v>126.4705882352941</v>
      </c>
      <c r="E53" s="750">
        <f t="shared" si="2"/>
        <v>0</v>
      </c>
      <c r="F53" s="750">
        <f t="shared" si="8"/>
        <v>0</v>
      </c>
      <c r="G53" s="751">
        <f t="shared" si="9"/>
        <v>4.8780487804878092</v>
      </c>
      <c r="H53" s="840">
        <f t="shared" si="6"/>
        <v>13.157894736842103</v>
      </c>
      <c r="I53" s="842">
        <f>$C$322/C53</f>
        <v>7.8465116279069758</v>
      </c>
    </row>
    <row r="54" spans="1:9" ht="15" hidden="1" customHeight="1" thickBot="1">
      <c r="A54" s="734">
        <f t="shared" si="0"/>
        <v>47</v>
      </c>
      <c r="B54" s="970" t="s">
        <v>593</v>
      </c>
      <c r="C54" s="752">
        <f>+geral!K13</f>
        <v>0.43</v>
      </c>
      <c r="D54" s="748">
        <f t="shared" si="1"/>
        <v>126.4705882352941</v>
      </c>
      <c r="E54" s="750">
        <f t="shared" si="2"/>
        <v>0</v>
      </c>
      <c r="F54" s="750">
        <f t="shared" si="8"/>
        <v>0</v>
      </c>
      <c r="G54" s="751">
        <f t="shared" si="9"/>
        <v>4.8780487804878092</v>
      </c>
      <c r="H54" s="840">
        <f t="shared" si="6"/>
        <v>13.157894736842103</v>
      </c>
      <c r="I54" s="842">
        <f>$C$322/C54</f>
        <v>7.8465116279069758</v>
      </c>
    </row>
    <row r="55" spans="1:9" ht="15" hidden="1" customHeight="1" thickBot="1">
      <c r="A55" s="734">
        <f t="shared" si="0"/>
        <v>48</v>
      </c>
      <c r="B55" s="970" t="s">
        <v>594</v>
      </c>
      <c r="C55" s="721">
        <f>+geral!K14</f>
        <v>0.43</v>
      </c>
      <c r="D55" s="748">
        <f t="shared" si="1"/>
        <v>126.4705882352941</v>
      </c>
      <c r="E55" s="750">
        <f t="shared" si="2"/>
        <v>0</v>
      </c>
      <c r="F55" s="750">
        <f t="shared" si="8"/>
        <v>0</v>
      </c>
      <c r="G55" s="751">
        <f t="shared" si="9"/>
        <v>4.8780487804878092</v>
      </c>
      <c r="H55" s="840">
        <f t="shared" si="6"/>
        <v>13.157894736842103</v>
      </c>
      <c r="I55" s="842">
        <f>$C$322/C55</f>
        <v>7.8465116279069758</v>
      </c>
    </row>
    <row r="56" spans="1:9" ht="15" hidden="1" customHeight="1" thickBot="1">
      <c r="A56" s="734">
        <f t="shared" si="0"/>
        <v>49</v>
      </c>
      <c r="B56" s="970" t="s">
        <v>595</v>
      </c>
      <c r="C56" s="721">
        <f>+geral!K15</f>
        <v>0.43</v>
      </c>
      <c r="D56" s="748">
        <f t="shared" si="1"/>
        <v>126.4705882352941</v>
      </c>
      <c r="E56" s="750">
        <f t="shared" si="2"/>
        <v>0</v>
      </c>
      <c r="F56" s="750">
        <f t="shared" si="8"/>
        <v>0</v>
      </c>
      <c r="G56" s="751">
        <f t="shared" si="9"/>
        <v>4.8780487804878092</v>
      </c>
      <c r="H56" s="840">
        <f t="shared" si="6"/>
        <v>13.157894736842103</v>
      </c>
      <c r="I56" s="842">
        <f>$C$322/C56</f>
        <v>7.8465116279069758</v>
      </c>
    </row>
    <row r="57" spans="1:9" ht="15" hidden="1" customHeight="1" thickBot="1">
      <c r="A57" s="734">
        <f t="shared" si="0"/>
        <v>50</v>
      </c>
      <c r="B57" s="970" t="s">
        <v>596</v>
      </c>
      <c r="C57" s="721">
        <f>+geral!K16</f>
        <v>0.43</v>
      </c>
      <c r="D57" s="748">
        <f t="shared" si="1"/>
        <v>126.4705882352941</v>
      </c>
      <c r="E57" s="750">
        <f t="shared" si="2"/>
        <v>0</v>
      </c>
      <c r="F57" s="750">
        <f t="shared" si="8"/>
        <v>0</v>
      </c>
      <c r="G57" s="751">
        <f t="shared" si="9"/>
        <v>4.8780487804878092</v>
      </c>
      <c r="H57" s="840">
        <f t="shared" si="6"/>
        <v>13.157894736842103</v>
      </c>
      <c r="I57" s="842">
        <f>$C$322/C57</f>
        <v>7.8465116279069758</v>
      </c>
    </row>
    <row r="58" spans="1:9" ht="15" hidden="1" customHeight="1" thickBot="1">
      <c r="A58" s="734">
        <f t="shared" si="0"/>
        <v>51</v>
      </c>
      <c r="B58" s="970" t="s">
        <v>597</v>
      </c>
      <c r="C58" s="721">
        <f>+geral!K17</f>
        <v>0.41</v>
      </c>
      <c r="D58" s="748">
        <f t="shared" si="1"/>
        <v>120.58823529411764</v>
      </c>
      <c r="E58" s="750">
        <f t="shared" si="2"/>
        <v>-4.6511627906976827</v>
      </c>
      <c r="F58" s="750">
        <f t="shared" si="8"/>
        <v>-4.6511627906976827</v>
      </c>
      <c r="G58" s="751">
        <f t="shared" si="9"/>
        <v>0</v>
      </c>
      <c r="H58" s="840">
        <f t="shared" si="6"/>
        <v>7.8947368421052655</v>
      </c>
      <c r="I58" s="842">
        <f>$C$322/C58</f>
        <v>8.2292682926829261</v>
      </c>
    </row>
    <row r="59" spans="1:9" ht="15" hidden="1" customHeight="1" thickBot="1">
      <c r="A59" s="734">
        <f t="shared" si="0"/>
        <v>52</v>
      </c>
      <c r="B59" s="970" t="s">
        <v>598</v>
      </c>
      <c r="C59" s="721">
        <f>+geral!K18</f>
        <v>0.41</v>
      </c>
      <c r="D59" s="748">
        <f t="shared" si="1"/>
        <v>120.58823529411764</v>
      </c>
      <c r="E59" s="750">
        <f t="shared" si="2"/>
        <v>0</v>
      </c>
      <c r="F59" s="750">
        <f t="shared" si="8"/>
        <v>-4.6511627906976827</v>
      </c>
      <c r="G59" s="751">
        <f t="shared" si="9"/>
        <v>0</v>
      </c>
      <c r="H59" s="840">
        <f t="shared" si="6"/>
        <v>7.8947368421052655</v>
      </c>
      <c r="I59" s="842">
        <f>$C$322/C59</f>
        <v>8.2292682926829261</v>
      </c>
    </row>
    <row r="60" spans="1:9" ht="15" hidden="1" customHeight="1" thickBot="1">
      <c r="A60" s="734">
        <f t="shared" si="0"/>
        <v>53</v>
      </c>
      <c r="B60" s="970" t="s">
        <v>599</v>
      </c>
      <c r="C60" s="721">
        <f>+geral!K19</f>
        <v>0.41</v>
      </c>
      <c r="D60" s="748">
        <f t="shared" si="1"/>
        <v>120.58823529411764</v>
      </c>
      <c r="E60" s="750">
        <f t="shared" si="2"/>
        <v>0</v>
      </c>
      <c r="F60" s="750">
        <f t="shared" si="8"/>
        <v>-4.6511627906976827</v>
      </c>
      <c r="G60" s="751">
        <f t="shared" si="9"/>
        <v>0</v>
      </c>
      <c r="H60" s="840">
        <f t="shared" si="6"/>
        <v>7.8947368421052655</v>
      </c>
      <c r="I60" s="842">
        <f>$C$322/C60</f>
        <v>8.2292682926829261</v>
      </c>
    </row>
    <row r="61" spans="1:9" ht="15" hidden="1" customHeight="1" thickBot="1">
      <c r="A61" s="734">
        <f t="shared" si="0"/>
        <v>54</v>
      </c>
      <c r="B61" s="970" t="s">
        <v>600</v>
      </c>
      <c r="C61" s="721">
        <f>+geral!K20</f>
        <v>0.42</v>
      </c>
      <c r="D61" s="748">
        <f t="shared" si="1"/>
        <v>123.52941176470587</v>
      </c>
      <c r="E61" s="750">
        <f t="shared" si="2"/>
        <v>2.4390243902439046</v>
      </c>
      <c r="F61" s="750">
        <f t="shared" si="8"/>
        <v>-2.3255813953488413</v>
      </c>
      <c r="G61" s="751">
        <f t="shared" si="9"/>
        <v>-2.3255813953488413</v>
      </c>
      <c r="H61" s="840">
        <f t="shared" si="6"/>
        <v>2.4390243902439046</v>
      </c>
      <c r="I61" s="842">
        <f>$C$322/C61</f>
        <v>8.0333333333333332</v>
      </c>
    </row>
    <row r="62" spans="1:9" ht="15" hidden="1" customHeight="1" thickBot="1">
      <c r="A62" s="734">
        <f t="shared" si="0"/>
        <v>55</v>
      </c>
      <c r="B62" s="970" t="s">
        <v>577</v>
      </c>
      <c r="C62" s="721">
        <f>+geral!M9</f>
        <v>0.42</v>
      </c>
      <c r="D62" s="748">
        <f t="shared" si="1"/>
        <v>123.52941176470587</v>
      </c>
      <c r="E62" s="750">
        <f t="shared" si="2"/>
        <v>0</v>
      </c>
      <c r="F62" s="750">
        <f>100*((C62/$C$61)-1)</f>
        <v>0</v>
      </c>
      <c r="G62" s="751">
        <f t="shared" si="9"/>
        <v>-2.3255813953488413</v>
      </c>
      <c r="H62" s="840">
        <f t="shared" si="6"/>
        <v>2.4390243902439046</v>
      </c>
      <c r="I62" s="842">
        <f>$C$322/C62</f>
        <v>8.0333333333333332</v>
      </c>
    </row>
    <row r="63" spans="1:9" ht="15" hidden="1" customHeight="1" thickBot="1">
      <c r="A63" s="734">
        <f t="shared" si="0"/>
        <v>56</v>
      </c>
      <c r="B63" s="970" t="s">
        <v>578</v>
      </c>
      <c r="C63" s="721">
        <f>+geral!M10</f>
        <v>0.43314600000000003</v>
      </c>
      <c r="D63" s="748">
        <f t="shared" si="1"/>
        <v>127.39588235294119</v>
      </c>
      <c r="E63" s="750">
        <f t="shared" si="2"/>
        <v>3.1300000000000106</v>
      </c>
      <c r="F63" s="750">
        <f t="shared" ref="F63:F73" si="10">100*((C63/$C$61)-1)</f>
        <v>3.1300000000000106</v>
      </c>
      <c r="G63" s="751">
        <f t="shared" si="9"/>
        <v>0.73162790697676172</v>
      </c>
      <c r="H63" s="840">
        <f t="shared" si="6"/>
        <v>5.6453658536585571</v>
      </c>
      <c r="I63" s="842">
        <f>$C$322/C63</f>
        <v>7.789521316138206</v>
      </c>
    </row>
    <row r="64" spans="1:9" ht="15" hidden="1" customHeight="1" thickBot="1">
      <c r="A64" s="734">
        <f t="shared" si="0"/>
        <v>57</v>
      </c>
      <c r="B64" s="970" t="s">
        <v>579</v>
      </c>
      <c r="C64" s="721">
        <f>+geral!M11</f>
        <v>0.46749447780000003</v>
      </c>
      <c r="D64" s="748">
        <f t="shared" si="1"/>
        <v>137.49837582352941</v>
      </c>
      <c r="E64" s="750">
        <f t="shared" si="2"/>
        <v>7.9299999999999926</v>
      </c>
      <c r="F64" s="750">
        <f t="shared" si="10"/>
        <v>11.308209000000002</v>
      </c>
      <c r="G64" s="751">
        <f t="shared" si="9"/>
        <v>8.7196460000000151</v>
      </c>
      <c r="H64" s="840">
        <f t="shared" si="6"/>
        <v>14.02304336585367</v>
      </c>
      <c r="I64" s="842">
        <f>$C$322/C64</f>
        <v>7.217197550392112</v>
      </c>
    </row>
    <row r="65" spans="1:9" ht="15" hidden="1" customHeight="1" thickBot="1">
      <c r="A65" s="734">
        <f t="shared" si="0"/>
        <v>58</v>
      </c>
      <c r="B65" s="970" t="s">
        <v>580</v>
      </c>
      <c r="C65" s="721">
        <f>+geral!M12</f>
        <v>0.50442654154620004</v>
      </c>
      <c r="D65" s="748">
        <f t="shared" si="1"/>
        <v>148.36074751358822</v>
      </c>
      <c r="E65" s="750">
        <f t="shared" si="2"/>
        <v>7.8999999999999959</v>
      </c>
      <c r="F65" s="750">
        <f t="shared" si="10"/>
        <v>20.101557511000024</v>
      </c>
      <c r="G65" s="751">
        <f t="shared" si="9"/>
        <v>17.30849803400001</v>
      </c>
      <c r="H65" s="840">
        <f t="shared" si="6"/>
        <v>23.030863791756119</v>
      </c>
      <c r="I65" s="842">
        <f>$C$322/C65</f>
        <v>6.688783642624756</v>
      </c>
    </row>
    <row r="66" spans="1:9" ht="15" hidden="1" customHeight="1" thickBot="1">
      <c r="A66" s="734">
        <f t="shared" si="0"/>
        <v>59</v>
      </c>
      <c r="B66" s="970" t="s">
        <v>581</v>
      </c>
      <c r="C66" s="721">
        <f>+geral!M13</f>
        <v>0.50483008277943686</v>
      </c>
      <c r="D66" s="748">
        <f t="shared" si="1"/>
        <v>148.47943611159909</v>
      </c>
      <c r="E66" s="750">
        <f t="shared" si="2"/>
        <v>7.9999999999968985E-2</v>
      </c>
      <c r="F66" s="750">
        <f t="shared" si="10"/>
        <v>20.197638757008775</v>
      </c>
      <c r="G66" s="751">
        <f t="shared" si="9"/>
        <v>17.402344832427175</v>
      </c>
      <c r="H66" s="840">
        <f t="shared" si="6"/>
        <v>23.129288482789477</v>
      </c>
      <c r="I66" s="842">
        <f>$C$322/C66</f>
        <v>6.6834368931102697</v>
      </c>
    </row>
    <row r="67" spans="1:9" ht="15" hidden="1" customHeight="1" thickBot="1">
      <c r="A67" s="734">
        <f t="shared" si="0"/>
        <v>60</v>
      </c>
      <c r="B67" s="970" t="s">
        <v>582</v>
      </c>
      <c r="C67" s="721">
        <f>+geral!M14</f>
        <v>0.50483008277943686</v>
      </c>
      <c r="D67" s="748">
        <f t="shared" si="1"/>
        <v>148.47943611159909</v>
      </c>
      <c r="E67" s="750">
        <f t="shared" si="2"/>
        <v>0</v>
      </c>
      <c r="F67" s="750">
        <f t="shared" si="10"/>
        <v>20.197638757008775</v>
      </c>
      <c r="G67" s="751">
        <f t="shared" si="9"/>
        <v>17.402344832427175</v>
      </c>
      <c r="H67" s="840">
        <f t="shared" si="6"/>
        <v>23.129288482789477</v>
      </c>
      <c r="I67" s="842">
        <f>$C$322/C67</f>
        <v>6.6834368931102697</v>
      </c>
    </row>
    <row r="68" spans="1:9" ht="15" hidden="1" customHeight="1" thickBot="1">
      <c r="A68" s="734">
        <f t="shared" si="0"/>
        <v>61</v>
      </c>
      <c r="B68" s="970" t="s">
        <v>583</v>
      </c>
      <c r="C68" s="721">
        <f>+geral!M15</f>
        <v>0.56999999999999995</v>
      </c>
      <c r="D68" s="748">
        <f t="shared" si="1"/>
        <v>167.64705882352939</v>
      </c>
      <c r="E68" s="750">
        <f t="shared" si="2"/>
        <v>12.909277684435505</v>
      </c>
      <c r="F68" s="750">
        <f t="shared" si="10"/>
        <v>35.714285714285701</v>
      </c>
      <c r="G68" s="751">
        <f t="shared" si="9"/>
        <v>32.558139534883715</v>
      </c>
      <c r="H68" s="840">
        <f t="shared" si="6"/>
        <v>39.024390243902431</v>
      </c>
      <c r="I68" s="842">
        <f>$C$322/C68</f>
        <v>5.9192982456140353</v>
      </c>
    </row>
    <row r="69" spans="1:9" ht="15" hidden="1" customHeight="1" thickBot="1">
      <c r="A69" s="734">
        <f t="shared" si="0"/>
        <v>62</v>
      </c>
      <c r="B69" s="970" t="s">
        <v>584</v>
      </c>
      <c r="C69" s="721">
        <f>+geral!M16</f>
        <v>0.6</v>
      </c>
      <c r="D69" s="748">
        <f t="shared" si="1"/>
        <v>176.47058823529412</v>
      </c>
      <c r="E69" s="750">
        <f t="shared" si="2"/>
        <v>5.2631578947368363</v>
      </c>
      <c r="F69" s="750">
        <f t="shared" si="10"/>
        <v>42.857142857142861</v>
      </c>
      <c r="G69" s="751">
        <f t="shared" si="9"/>
        <v>39.534883720930239</v>
      </c>
      <c r="H69" s="840">
        <f t="shared" si="6"/>
        <v>46.341463414634141</v>
      </c>
      <c r="I69" s="842">
        <f>$C$322/C69</f>
        <v>5.6233333333333331</v>
      </c>
    </row>
    <row r="70" spans="1:9" ht="15" hidden="1" customHeight="1" thickBot="1">
      <c r="A70" s="734">
        <f t="shared" si="0"/>
        <v>63</v>
      </c>
      <c r="B70" s="970" t="s">
        <v>585</v>
      </c>
      <c r="C70" s="721">
        <f>+geral!M17</f>
        <v>0.6</v>
      </c>
      <c r="D70" s="748">
        <f t="shared" si="1"/>
        <v>176.47058823529412</v>
      </c>
      <c r="E70" s="750">
        <f t="shared" si="2"/>
        <v>0</v>
      </c>
      <c r="F70" s="750">
        <f t="shared" si="10"/>
        <v>42.857142857142861</v>
      </c>
      <c r="G70" s="751">
        <f t="shared" si="9"/>
        <v>46.341463414634141</v>
      </c>
      <c r="H70" s="840">
        <f t="shared" si="6"/>
        <v>46.341463414634141</v>
      </c>
      <c r="I70" s="842">
        <f>$C$322/C70</f>
        <v>5.6233333333333331</v>
      </c>
    </row>
    <row r="71" spans="1:9" ht="15" hidden="1" customHeight="1" thickBot="1">
      <c r="A71" s="734">
        <f t="shared" si="0"/>
        <v>64</v>
      </c>
      <c r="B71" s="970" t="s">
        <v>586</v>
      </c>
      <c r="C71" s="721">
        <f>+geral!M18</f>
        <v>0.6</v>
      </c>
      <c r="D71" s="748">
        <f t="shared" si="1"/>
        <v>176.47058823529412</v>
      </c>
      <c r="E71" s="750">
        <f t="shared" si="2"/>
        <v>0</v>
      </c>
      <c r="F71" s="750">
        <f t="shared" si="10"/>
        <v>42.857142857142861</v>
      </c>
      <c r="G71" s="751">
        <f t="shared" si="9"/>
        <v>46.341463414634141</v>
      </c>
      <c r="H71" s="840">
        <f t="shared" si="6"/>
        <v>46.341463414634141</v>
      </c>
      <c r="I71" s="842">
        <f>$C$322/C71</f>
        <v>5.6233333333333331</v>
      </c>
    </row>
    <row r="72" spans="1:9" ht="15" hidden="1" customHeight="1" thickBot="1">
      <c r="A72" s="734">
        <f t="shared" si="0"/>
        <v>65</v>
      </c>
      <c r="B72" s="970" t="s">
        <v>587</v>
      </c>
      <c r="C72" s="721">
        <f>+geral!M19</f>
        <v>0.61</v>
      </c>
      <c r="D72" s="748">
        <f t="shared" si="1"/>
        <v>179.41176470588235</v>
      </c>
      <c r="E72" s="750">
        <f t="shared" si="2"/>
        <v>1.6666666666666607</v>
      </c>
      <c r="F72" s="750">
        <f t="shared" si="10"/>
        <v>45.238095238095234</v>
      </c>
      <c r="G72" s="751">
        <f t="shared" si="9"/>
        <v>48.780487804878049</v>
      </c>
      <c r="H72" s="840">
        <f t="shared" si="6"/>
        <v>48.780487804878049</v>
      </c>
      <c r="I72" s="842">
        <f>$C$322/C72</f>
        <v>5.5311475409836062</v>
      </c>
    </row>
    <row r="73" spans="1:9" ht="15" hidden="1" customHeight="1" thickBot="1">
      <c r="A73" s="734">
        <f t="shared" si="0"/>
        <v>66</v>
      </c>
      <c r="B73" s="970" t="s">
        <v>588</v>
      </c>
      <c r="C73" s="721">
        <f>+geral!M20</f>
        <v>0.61</v>
      </c>
      <c r="D73" s="748">
        <f t="shared" si="1"/>
        <v>179.41176470588235</v>
      </c>
      <c r="E73" s="750">
        <f t="shared" si="2"/>
        <v>0</v>
      </c>
      <c r="F73" s="750">
        <f t="shared" si="10"/>
        <v>45.238095238095234</v>
      </c>
      <c r="G73" s="751">
        <f t="shared" si="9"/>
        <v>45.238095238095234</v>
      </c>
      <c r="H73" s="840">
        <f t="shared" si="6"/>
        <v>41.86046511627908</v>
      </c>
      <c r="I73" s="842">
        <f>$C$322/C73</f>
        <v>5.5311475409836062</v>
      </c>
    </row>
    <row r="74" spans="1:9" ht="15" hidden="1" customHeight="1" thickBot="1">
      <c r="A74" s="734">
        <f t="shared" ref="A74:A137" si="11">A73+1</f>
        <v>67</v>
      </c>
      <c r="B74" s="970" t="s">
        <v>574</v>
      </c>
      <c r="C74" s="721">
        <f>+geral!C24</f>
        <v>0.60899999999999999</v>
      </c>
      <c r="D74" s="748">
        <f t="shared" ref="D74:D83" si="12">100*C74/$C$8</f>
        <v>179.11764705882351</v>
      </c>
      <c r="E74" s="750">
        <f t="shared" ref="E74:E85" si="13">100*((C74/C73)-1)</f>
        <v>-0.16393442622950616</v>
      </c>
      <c r="F74" s="750">
        <f>100*((C74/$C$73)-1)</f>
        <v>-0.16393442622950616</v>
      </c>
      <c r="G74" s="751">
        <f t="shared" si="9"/>
        <v>44.999999999999993</v>
      </c>
      <c r="H74" s="840">
        <f t="shared" si="6"/>
        <v>41.627906976744185</v>
      </c>
      <c r="I74" s="842">
        <f>$C$322/C74</f>
        <v>5.5402298850574709</v>
      </c>
    </row>
    <row r="75" spans="1:9" ht="15" hidden="1" customHeight="1" thickBot="1">
      <c r="A75" s="734">
        <f t="shared" si="11"/>
        <v>68</v>
      </c>
      <c r="B75" s="970" t="s">
        <v>575</v>
      </c>
      <c r="C75" s="721">
        <f>+geral!C25</f>
        <v>0.60699999999999998</v>
      </c>
      <c r="D75" s="748">
        <f t="shared" si="12"/>
        <v>178.52941176470586</v>
      </c>
      <c r="E75" s="750">
        <f t="shared" si="13"/>
        <v>-0.3284072249589487</v>
      </c>
      <c r="F75" s="750">
        <f t="shared" ref="F75:F85" si="14">100*((C75/$C$73)-1)</f>
        <v>-0.49180327868852958</v>
      </c>
      <c r="G75" s="751">
        <f t="shared" si="9"/>
        <v>40.137505598574144</v>
      </c>
      <c r="H75" s="840">
        <f t="shared" si="6"/>
        <v>41.16279069767441</v>
      </c>
      <c r="I75" s="842">
        <f>$C$322/C75</f>
        <v>5.5584843492586486</v>
      </c>
    </row>
    <row r="76" spans="1:9" ht="15" hidden="1" customHeight="1" thickBot="1">
      <c r="A76" s="734">
        <f t="shared" si="11"/>
        <v>69</v>
      </c>
      <c r="B76" s="970" t="s">
        <v>576</v>
      </c>
      <c r="C76" s="721">
        <f>+geral!C26</f>
        <v>0.64900000000000002</v>
      </c>
      <c r="D76" s="748">
        <f t="shared" si="12"/>
        <v>190.88235294117646</v>
      </c>
      <c r="E76" s="750">
        <f t="shared" si="13"/>
        <v>6.9192751235584993</v>
      </c>
      <c r="F76" s="750">
        <f t="shared" si="14"/>
        <v>6.393442622950829</v>
      </c>
      <c r="G76" s="751">
        <f t="shared" si="9"/>
        <v>38.825169241389482</v>
      </c>
      <c r="H76" s="840">
        <f t="shared" si="6"/>
        <v>50.930232558139529</v>
      </c>
      <c r="I76" s="842">
        <f>$C$322/C76</f>
        <v>5.1987673343605536</v>
      </c>
    </row>
    <row r="77" spans="1:9" ht="15" hidden="1" customHeight="1" thickBot="1">
      <c r="A77" s="734">
        <f t="shared" si="11"/>
        <v>70</v>
      </c>
      <c r="B77" s="970" t="s">
        <v>557</v>
      </c>
      <c r="C77" s="721">
        <f>+geral!C27</f>
        <v>0.65</v>
      </c>
      <c r="D77" s="748">
        <f t="shared" si="12"/>
        <v>191.17647058823528</v>
      </c>
      <c r="E77" s="750">
        <f t="shared" si="13"/>
        <v>0.15408320493066618</v>
      </c>
      <c r="F77" s="750">
        <f t="shared" si="14"/>
        <v>6.5573770491803351</v>
      </c>
      <c r="G77" s="751">
        <f t="shared" si="9"/>
        <v>28.859198805752584</v>
      </c>
      <c r="H77" s="840">
        <f t="shared" si="6"/>
        <v>51.162790697674424</v>
      </c>
      <c r="I77" s="842">
        <f>$C$322/C77</f>
        <v>5.1907692307692299</v>
      </c>
    </row>
    <row r="78" spans="1:9" ht="15" hidden="1" customHeight="1" thickBot="1">
      <c r="A78" s="734">
        <f t="shared" si="11"/>
        <v>71</v>
      </c>
      <c r="B78" s="970" t="s">
        <v>558</v>
      </c>
      <c r="C78" s="721">
        <f>+geral!C28</f>
        <v>0.65</v>
      </c>
      <c r="D78" s="748">
        <f t="shared" si="12"/>
        <v>191.17647058823528</v>
      </c>
      <c r="E78" s="750">
        <f t="shared" si="13"/>
        <v>0</v>
      </c>
      <c r="F78" s="750">
        <f t="shared" si="14"/>
        <v>6.5573770491803351</v>
      </c>
      <c r="G78" s="751">
        <f t="shared" si="9"/>
        <v>28.756193850672073</v>
      </c>
      <c r="H78" s="840">
        <f t="shared" si="6"/>
        <v>51.162790697674424</v>
      </c>
      <c r="I78" s="842">
        <f>$C$322/C78</f>
        <v>5.1907692307692299</v>
      </c>
    </row>
    <row r="79" spans="1:9" ht="15" hidden="1" customHeight="1" thickBot="1">
      <c r="A79" s="734">
        <f t="shared" si="11"/>
        <v>72</v>
      </c>
      <c r="B79" s="970" t="s">
        <v>559</v>
      </c>
      <c r="C79" s="721">
        <f>+geral!C29</f>
        <v>0.65</v>
      </c>
      <c r="D79" s="748">
        <f t="shared" si="12"/>
        <v>191.17647058823528</v>
      </c>
      <c r="E79" s="750">
        <f t="shared" si="13"/>
        <v>0</v>
      </c>
      <c r="F79" s="750">
        <f t="shared" si="14"/>
        <v>6.5573770491803351</v>
      </c>
      <c r="G79" s="751">
        <f t="shared" si="9"/>
        <v>28.756193850672073</v>
      </c>
      <c r="H79" s="840">
        <f t="shared" si="6"/>
        <v>51.162790697674424</v>
      </c>
      <c r="I79" s="842">
        <f>$C$322/C79</f>
        <v>5.1907692307692299</v>
      </c>
    </row>
    <row r="80" spans="1:9" ht="15" hidden="1" customHeight="1" thickBot="1">
      <c r="A80" s="734">
        <f t="shared" si="11"/>
        <v>73</v>
      </c>
      <c r="B80" s="970" t="s">
        <v>560</v>
      </c>
      <c r="C80" s="721">
        <f>+geral!C30</f>
        <v>0.73</v>
      </c>
      <c r="D80" s="748">
        <f t="shared" si="12"/>
        <v>214.70588235294116</v>
      </c>
      <c r="E80" s="750">
        <f t="shared" si="13"/>
        <v>12.307692307692308</v>
      </c>
      <c r="F80" s="750">
        <f t="shared" si="14"/>
        <v>19.672131147540984</v>
      </c>
      <c r="G80" s="751">
        <f t="shared" si="9"/>
        <v>28.07017543859649</v>
      </c>
      <c r="H80" s="840">
        <f t="shared" si="6"/>
        <v>69.767441860465112</v>
      </c>
      <c r="I80" s="842">
        <f>$C$322/C80</f>
        <v>4.6219178082191776</v>
      </c>
    </row>
    <row r="81" spans="1:9" ht="15" hidden="1" customHeight="1" thickBot="1">
      <c r="A81" s="734">
        <f t="shared" si="11"/>
        <v>74</v>
      </c>
      <c r="B81" s="970" t="s">
        <v>561</v>
      </c>
      <c r="C81" s="721">
        <f>+geral!C31</f>
        <v>0.73</v>
      </c>
      <c r="D81" s="748">
        <f t="shared" si="12"/>
        <v>214.70588235294116</v>
      </c>
      <c r="E81" s="750">
        <f t="shared" si="13"/>
        <v>0</v>
      </c>
      <c r="F81" s="750">
        <f t="shared" si="14"/>
        <v>19.672131147540984</v>
      </c>
      <c r="G81" s="751">
        <f t="shared" si="9"/>
        <v>21.666666666666679</v>
      </c>
      <c r="H81" s="840">
        <f t="shared" si="6"/>
        <v>69.767441860465112</v>
      </c>
      <c r="I81" s="842">
        <f>$C$322/C81</f>
        <v>4.6219178082191776</v>
      </c>
    </row>
    <row r="82" spans="1:9" ht="15" hidden="1" customHeight="1" thickBot="1">
      <c r="A82" s="734">
        <f t="shared" si="11"/>
        <v>75</v>
      </c>
      <c r="B82" s="970" t="s">
        <v>562</v>
      </c>
      <c r="C82" s="721">
        <f>+geral!C32</f>
        <v>0.73</v>
      </c>
      <c r="D82" s="748">
        <f t="shared" si="12"/>
        <v>214.70588235294116</v>
      </c>
      <c r="E82" s="750">
        <f t="shared" si="13"/>
        <v>0</v>
      </c>
      <c r="F82" s="750">
        <f t="shared" si="14"/>
        <v>19.672131147540984</v>
      </c>
      <c r="G82" s="751">
        <f t="shared" si="9"/>
        <v>21.666666666666679</v>
      </c>
      <c r="H82" s="840">
        <f t="shared" si="6"/>
        <v>78.048780487804876</v>
      </c>
      <c r="I82" s="842">
        <f>$C$322/C82</f>
        <v>4.6219178082191776</v>
      </c>
    </row>
    <row r="83" spans="1:9" ht="15" hidden="1" customHeight="1" thickBot="1">
      <c r="A83" s="734">
        <f t="shared" si="11"/>
        <v>76</v>
      </c>
      <c r="B83" s="970" t="s">
        <v>534</v>
      </c>
      <c r="C83" s="721">
        <f>+geral!C33</f>
        <v>0.73</v>
      </c>
      <c r="D83" s="748">
        <f t="shared" si="12"/>
        <v>214.70588235294116</v>
      </c>
      <c r="E83" s="750">
        <f t="shared" si="13"/>
        <v>0</v>
      </c>
      <c r="F83" s="750">
        <f t="shared" si="14"/>
        <v>19.672131147540984</v>
      </c>
      <c r="G83" s="751">
        <f t="shared" si="9"/>
        <v>21.666666666666679</v>
      </c>
      <c r="H83" s="840">
        <f t="shared" si="6"/>
        <v>78.048780487804876</v>
      </c>
      <c r="I83" s="842">
        <f>$C$322/C83</f>
        <v>4.6219178082191776</v>
      </c>
    </row>
    <row r="84" spans="1:9" ht="15" hidden="1" customHeight="1" thickBot="1">
      <c r="A84" s="734">
        <f t="shared" si="11"/>
        <v>77</v>
      </c>
      <c r="B84" s="970" t="s">
        <v>563</v>
      </c>
      <c r="C84" s="721">
        <f>+geral!C34</f>
        <v>0.80700000000000005</v>
      </c>
      <c r="D84" s="748">
        <f t="shared" ref="D84:D90" si="15">100*C84/$C$8</f>
        <v>237.35294117647058</v>
      </c>
      <c r="E84" s="750">
        <f t="shared" si="13"/>
        <v>10.547945205479458</v>
      </c>
      <c r="F84" s="750">
        <f t="shared" si="14"/>
        <v>32.295081967213136</v>
      </c>
      <c r="G84" s="751">
        <f>100*((C84/C72)-1)</f>
        <v>32.295081967213136</v>
      </c>
      <c r="H84" s="840">
        <f t="shared" si="6"/>
        <v>96.82926829268294</v>
      </c>
      <c r="I84" s="842">
        <f>$C$322/C84</f>
        <v>4.1809169764560092</v>
      </c>
    </row>
    <row r="85" spans="1:9" ht="15" hidden="1" customHeight="1" thickBot="1">
      <c r="A85" s="734">
        <f t="shared" si="11"/>
        <v>78</v>
      </c>
      <c r="B85" s="970" t="s">
        <v>564</v>
      </c>
      <c r="C85" s="721">
        <f>+geral!C35</f>
        <v>0.80700000000000005</v>
      </c>
      <c r="D85" s="748">
        <f t="shared" si="15"/>
        <v>237.35294117647058</v>
      </c>
      <c r="E85" s="750">
        <f t="shared" si="13"/>
        <v>0</v>
      </c>
      <c r="F85" s="750">
        <f t="shared" si="14"/>
        <v>32.295081967213136</v>
      </c>
      <c r="G85" s="751">
        <f t="shared" ref="G85:G93" si="16">100*((C85/C73)-1)</f>
        <v>32.295081967213136</v>
      </c>
      <c r="H85" s="840">
        <f t="shared" si="6"/>
        <v>92.142857142857167</v>
      </c>
      <c r="I85" s="842">
        <f>$C$322/C85</f>
        <v>4.1809169764560092</v>
      </c>
    </row>
    <row r="86" spans="1:9" ht="15" hidden="1" customHeight="1" thickBot="1">
      <c r="A86" s="734">
        <f t="shared" si="11"/>
        <v>79</v>
      </c>
      <c r="B86" s="970" t="s">
        <v>546</v>
      </c>
      <c r="C86" s="721">
        <f>+geral!E24</f>
        <v>0.76700000000000002</v>
      </c>
      <c r="D86" s="748">
        <f t="shared" si="15"/>
        <v>225.58823529411765</v>
      </c>
      <c r="E86" s="750">
        <f t="shared" ref="E86:E92" si="17">100*((C86/C85)-1)</f>
        <v>-4.9566294919454856</v>
      </c>
      <c r="F86" s="750">
        <f t="shared" ref="F86:F92" si="18">100*((C86/$C$85)-1)</f>
        <v>-4.9566294919454856</v>
      </c>
      <c r="G86" s="751">
        <f t="shared" si="16"/>
        <v>25.94417077175699</v>
      </c>
      <c r="H86" s="840">
        <f t="shared" si="6"/>
        <v>82.619047619047635</v>
      </c>
      <c r="I86" s="842">
        <f>$C$322/C86</f>
        <v>4.3989569752281614</v>
      </c>
    </row>
    <row r="87" spans="1:9" ht="15" hidden="1" customHeight="1" thickBot="1">
      <c r="A87" s="734">
        <f t="shared" si="11"/>
        <v>80</v>
      </c>
      <c r="B87" s="970" t="s">
        <v>547</v>
      </c>
      <c r="C87" s="721">
        <f>+geral!E25</f>
        <v>0.76700000000000002</v>
      </c>
      <c r="D87" s="748">
        <f t="shared" si="15"/>
        <v>225.58823529411765</v>
      </c>
      <c r="E87" s="750">
        <f t="shared" si="17"/>
        <v>0</v>
      </c>
      <c r="F87" s="750">
        <f t="shared" si="18"/>
        <v>-4.9566294919454856</v>
      </c>
      <c r="G87" s="751">
        <f t="shared" si="16"/>
        <v>26.35914332784186</v>
      </c>
      <c r="H87" s="840">
        <f t="shared" si="6"/>
        <v>77.076551555364702</v>
      </c>
      <c r="I87" s="842">
        <f>$C$322/C87</f>
        <v>4.3989569752281614</v>
      </c>
    </row>
    <row r="88" spans="1:9" ht="15" hidden="1" customHeight="1" thickBot="1">
      <c r="A88" s="734">
        <f t="shared" si="11"/>
        <v>81</v>
      </c>
      <c r="B88" s="970" t="s">
        <v>548</v>
      </c>
      <c r="C88" s="721">
        <f>+geral!E26</f>
        <v>0.76700000000000002</v>
      </c>
      <c r="D88" s="748">
        <f t="shared" si="15"/>
        <v>225.58823529411765</v>
      </c>
      <c r="E88" s="750">
        <f t="shared" si="17"/>
        <v>0</v>
      </c>
      <c r="F88" s="750">
        <f t="shared" si="18"/>
        <v>-4.9566294919454856</v>
      </c>
      <c r="G88" s="751">
        <f t="shared" si="16"/>
        <v>18.181818181818187</v>
      </c>
      <c r="H88" s="840">
        <f t="shared" si="6"/>
        <v>64.066109103460292</v>
      </c>
      <c r="I88" s="842">
        <f>$C$322/C88</f>
        <v>4.3989569752281614</v>
      </c>
    </row>
    <row r="89" spans="1:9" ht="15" hidden="1" customHeight="1" thickBot="1">
      <c r="A89" s="734">
        <f t="shared" si="11"/>
        <v>82</v>
      </c>
      <c r="B89" s="970" t="s">
        <v>549</v>
      </c>
      <c r="C89" s="721">
        <f>+geral!E27</f>
        <v>0.76700000000000002</v>
      </c>
      <c r="D89" s="748">
        <f t="shared" si="15"/>
        <v>225.58823529411765</v>
      </c>
      <c r="E89" s="750">
        <f t="shared" si="17"/>
        <v>0</v>
      </c>
      <c r="F89" s="750">
        <f t="shared" si="18"/>
        <v>-4.9566294919454856</v>
      </c>
      <c r="G89" s="751">
        <f t="shared" si="16"/>
        <v>17.999999999999993</v>
      </c>
      <c r="H89" s="840">
        <f t="shared" si="6"/>
        <v>52.053854590788042</v>
      </c>
      <c r="I89" s="842">
        <f>$C$322/C89</f>
        <v>4.3989569752281614</v>
      </c>
    </row>
    <row r="90" spans="1:9" ht="15" hidden="1" customHeight="1" thickBot="1">
      <c r="A90" s="734">
        <f t="shared" si="11"/>
        <v>83</v>
      </c>
      <c r="B90" s="970" t="s">
        <v>550</v>
      </c>
      <c r="C90" s="721">
        <f>+geral!E28</f>
        <v>0.76700000000000002</v>
      </c>
      <c r="D90" s="748">
        <f t="shared" si="15"/>
        <v>225.58823529411765</v>
      </c>
      <c r="E90" s="750">
        <f t="shared" si="17"/>
        <v>0</v>
      </c>
      <c r="F90" s="750">
        <f t="shared" si="18"/>
        <v>-4.9566294919454856</v>
      </c>
      <c r="G90" s="751">
        <f t="shared" si="16"/>
        <v>17.999999999999993</v>
      </c>
      <c r="H90" s="840">
        <f t="shared" si="6"/>
        <v>51.932308743793044</v>
      </c>
      <c r="I90" s="842">
        <f>$C$322/C90</f>
        <v>4.3989569752281614</v>
      </c>
    </row>
    <row r="91" spans="1:9" ht="15" hidden="1" customHeight="1" thickBot="1">
      <c r="A91" s="734">
        <f t="shared" si="11"/>
        <v>84</v>
      </c>
      <c r="B91" s="970" t="s">
        <v>551</v>
      </c>
      <c r="C91" s="721">
        <f>+geral!E29</f>
        <v>0.76700000000000002</v>
      </c>
      <c r="D91" s="748">
        <f t="shared" ref="D91:D97" si="19">100*C91/$C$8</f>
        <v>225.58823529411765</v>
      </c>
      <c r="E91" s="750">
        <f t="shared" si="17"/>
        <v>0</v>
      </c>
      <c r="F91" s="750">
        <f t="shared" si="18"/>
        <v>-4.9566294919454856</v>
      </c>
      <c r="G91" s="751">
        <f t="shared" si="16"/>
        <v>17.999999999999993</v>
      </c>
      <c r="H91" s="840">
        <f t="shared" si="6"/>
        <v>51.932308743793044</v>
      </c>
      <c r="I91" s="842">
        <f>$C$322/C91</f>
        <v>4.3989569752281614</v>
      </c>
    </row>
    <row r="92" spans="1:9" ht="15" hidden="1" customHeight="1" thickBot="1">
      <c r="A92" s="734">
        <f t="shared" si="11"/>
        <v>85</v>
      </c>
      <c r="B92" s="970" t="s">
        <v>552</v>
      </c>
      <c r="C92" s="721">
        <f>+geral!E30</f>
        <v>0.81799999999999995</v>
      </c>
      <c r="D92" s="748">
        <f t="shared" si="19"/>
        <v>240.58823529411762</v>
      </c>
      <c r="E92" s="750">
        <f t="shared" si="17"/>
        <v>6.6492829204693571</v>
      </c>
      <c r="F92" s="750">
        <f t="shared" si="18"/>
        <v>1.3630731102849847</v>
      </c>
      <c r="G92" s="751">
        <f t="shared" si="16"/>
        <v>12.05479452054794</v>
      </c>
      <c r="H92" s="840">
        <f t="shared" si="6"/>
        <v>43.508771929824562</v>
      </c>
      <c r="I92" s="842">
        <f>$C$322/C92</f>
        <v>4.124694376528117</v>
      </c>
    </row>
    <row r="93" spans="1:9" ht="15" hidden="1" customHeight="1" thickBot="1">
      <c r="A93" s="734">
        <f t="shared" si="11"/>
        <v>86</v>
      </c>
      <c r="B93" s="970" t="s">
        <v>553</v>
      </c>
      <c r="C93" s="721">
        <f>+geral!E31</f>
        <v>0.81799999999999995</v>
      </c>
      <c r="D93" s="748">
        <f t="shared" si="19"/>
        <v>240.58823529411762</v>
      </c>
      <c r="E93" s="750">
        <f t="shared" ref="E93:E98" si="20">100*((C93/C92)-1)</f>
        <v>0</v>
      </c>
      <c r="F93" s="750">
        <f>100*((C93/$C$85)-1)</f>
        <v>1.3630731102849847</v>
      </c>
      <c r="G93" s="751">
        <f t="shared" si="16"/>
        <v>12.05479452054794</v>
      </c>
      <c r="H93" s="840">
        <f t="shared" si="6"/>
        <v>36.333333333333329</v>
      </c>
      <c r="I93" s="842">
        <f>$C$322/C93</f>
        <v>4.124694376528117</v>
      </c>
    </row>
    <row r="94" spans="1:9" ht="15" hidden="1" customHeight="1" thickBot="1">
      <c r="A94" s="734">
        <f t="shared" si="11"/>
        <v>87</v>
      </c>
      <c r="B94" s="970" t="s">
        <v>554</v>
      </c>
      <c r="C94" s="721">
        <f>+geral!E32</f>
        <v>0.84199999999999997</v>
      </c>
      <c r="D94" s="748">
        <f t="shared" si="19"/>
        <v>247.64705882352939</v>
      </c>
      <c r="E94" s="750">
        <f t="shared" si="20"/>
        <v>2.9339853300733632</v>
      </c>
      <c r="F94" s="750">
        <f>100*((C94/$C$85)-1)</f>
        <v>4.3370508054522805</v>
      </c>
      <c r="G94" s="751">
        <f t="shared" ref="G94:G99" si="21">100*((C94/C82)-1)</f>
        <v>15.342465753424662</v>
      </c>
      <c r="H94" s="840">
        <f t="shared" si="6"/>
        <v>40.333333333333329</v>
      </c>
      <c r="I94" s="842">
        <f>$C$322/C94</f>
        <v>4.0071258907363418</v>
      </c>
    </row>
    <row r="95" spans="1:9" ht="15" hidden="1" customHeight="1" thickBot="1">
      <c r="A95" s="734">
        <f t="shared" si="11"/>
        <v>88</v>
      </c>
      <c r="B95" s="970" t="s">
        <v>533</v>
      </c>
      <c r="C95" s="721">
        <f>+geral!E33</f>
        <v>0.88600000000000001</v>
      </c>
      <c r="D95" s="748">
        <f t="shared" si="19"/>
        <v>260.58823529411762</v>
      </c>
      <c r="E95" s="750">
        <f t="shared" si="20"/>
        <v>5.2256532066508266</v>
      </c>
      <c r="F95" s="750">
        <f>100*((C95/$C$85)-1)</f>
        <v>9.789343246592308</v>
      </c>
      <c r="G95" s="751">
        <f t="shared" si="21"/>
        <v>21.36986301369863</v>
      </c>
      <c r="H95" s="840">
        <f t="shared" si="6"/>
        <v>47.666666666666679</v>
      </c>
      <c r="I95" s="842">
        <f>$C$322/C95</f>
        <v>3.808126410835214</v>
      </c>
    </row>
    <row r="96" spans="1:9" ht="15" hidden="1" customHeight="1" thickBot="1">
      <c r="A96" s="734">
        <f t="shared" si="11"/>
        <v>89</v>
      </c>
      <c r="B96" s="970" t="s">
        <v>555</v>
      </c>
      <c r="C96" s="721">
        <f>+geral!E34</f>
        <v>0.89449999999999996</v>
      </c>
      <c r="D96" s="748">
        <f t="shared" si="19"/>
        <v>263.08823529411762</v>
      </c>
      <c r="E96" s="750">
        <f t="shared" si="20"/>
        <v>0.95936794582391904</v>
      </c>
      <c r="F96" s="750">
        <f>100*((C96/$C$85)-1)</f>
        <v>10.842627013630723</v>
      </c>
      <c r="G96" s="751">
        <f t="shared" si="21"/>
        <v>10.842627013630723</v>
      </c>
      <c r="H96" s="840">
        <f t="shared" si="6"/>
        <v>46.639344262295083</v>
      </c>
      <c r="I96" s="842">
        <f>$C$322/C96</f>
        <v>3.7719396310788147</v>
      </c>
    </row>
    <row r="97" spans="1:14" ht="15" hidden="1" customHeight="1" thickBot="1">
      <c r="A97" s="734">
        <f t="shared" si="11"/>
        <v>90</v>
      </c>
      <c r="B97" s="970" t="s">
        <v>556</v>
      </c>
      <c r="C97" s="721">
        <f>+geral!E35</f>
        <v>0.90200000000000002</v>
      </c>
      <c r="D97" s="748">
        <f t="shared" si="19"/>
        <v>265.29411764705884</v>
      </c>
      <c r="E97" s="750">
        <f t="shared" si="20"/>
        <v>0.83845723868083422</v>
      </c>
      <c r="F97" s="750">
        <f>100*((C97/$C$85)-1)</f>
        <v>11.771995043370499</v>
      </c>
      <c r="G97" s="751">
        <f t="shared" si="21"/>
        <v>11.771995043370499</v>
      </c>
      <c r="H97" s="840">
        <f t="shared" ref="H97:H110" si="22">100*(C97/C73-1)</f>
        <v>47.868852459016395</v>
      </c>
      <c r="I97" s="842">
        <f>$C$322/C97</f>
        <v>3.7405764966740573</v>
      </c>
    </row>
    <row r="98" spans="1:14" ht="15" hidden="1" customHeight="1" thickBot="1">
      <c r="A98" s="734">
        <f t="shared" si="11"/>
        <v>91</v>
      </c>
      <c r="B98" s="970" t="s">
        <v>535</v>
      </c>
      <c r="C98" s="721">
        <f>+geral!G24</f>
        <v>0.872</v>
      </c>
      <c r="D98" s="748">
        <f t="shared" ref="D98:D105" si="23">100*C98/$C$8</f>
        <v>256.47058823529409</v>
      </c>
      <c r="E98" s="750">
        <f t="shared" si="20"/>
        <v>-3.3259423503326002</v>
      </c>
      <c r="F98" s="750">
        <f t="shared" ref="F98:F103" si="24">100*((C98/$C$97)-1)</f>
        <v>-3.3259423503326002</v>
      </c>
      <c r="G98" s="751">
        <f t="shared" si="21"/>
        <v>13.689700130378091</v>
      </c>
      <c r="H98" s="840">
        <f t="shared" si="22"/>
        <v>43.185550082101813</v>
      </c>
      <c r="I98" s="842">
        <f>$C$322/C98</f>
        <v>3.8692660550458711</v>
      </c>
      <c r="N98" s="753"/>
    </row>
    <row r="99" spans="1:14" ht="15" hidden="1" customHeight="1" thickBot="1">
      <c r="A99" s="734">
        <f t="shared" si="11"/>
        <v>92</v>
      </c>
      <c r="B99" s="970" t="s">
        <v>536</v>
      </c>
      <c r="C99" s="721">
        <f>+geral!G25</f>
        <v>0.88639999999999997</v>
      </c>
      <c r="D99" s="748">
        <f t="shared" si="23"/>
        <v>260.70588235294116</v>
      </c>
      <c r="E99" s="750">
        <f t="shared" ref="E99:E104" si="25">100*((C99/C98)-1)</f>
        <v>1.6513761467889854</v>
      </c>
      <c r="F99" s="750">
        <f t="shared" si="24"/>
        <v>-1.7294900221729526</v>
      </c>
      <c r="G99" s="751">
        <f t="shared" si="21"/>
        <v>15.567144719687075</v>
      </c>
      <c r="H99" s="840">
        <f t="shared" si="22"/>
        <v>46.029654036243819</v>
      </c>
      <c r="I99" s="842">
        <f>$C$322/C99</f>
        <v>3.8064079422382671</v>
      </c>
      <c r="N99" s="753"/>
    </row>
    <row r="100" spans="1:14" ht="15" hidden="1" customHeight="1" thickBot="1">
      <c r="A100" s="734">
        <f t="shared" si="11"/>
        <v>93</v>
      </c>
      <c r="B100" s="970" t="s">
        <v>537</v>
      </c>
      <c r="C100" s="721">
        <f>+geral!G26</f>
        <v>0.89839999999999998</v>
      </c>
      <c r="D100" s="748">
        <f t="shared" si="23"/>
        <v>264.23529411764707</v>
      </c>
      <c r="E100" s="750">
        <f t="shared" si="25"/>
        <v>1.3537906137184086</v>
      </c>
      <c r="F100" s="750">
        <f t="shared" si="24"/>
        <v>-0.39911308203991469</v>
      </c>
      <c r="G100" s="751">
        <f t="shared" ref="G100:G105" si="26">100*((C100/C88)-1)</f>
        <v>17.131681877444581</v>
      </c>
      <c r="H100" s="840">
        <f t="shared" si="22"/>
        <v>38.428351309707232</v>
      </c>
      <c r="I100" s="842">
        <f>$C$322/C100</f>
        <v>3.7555654496883344</v>
      </c>
      <c r="N100" s="753"/>
    </row>
    <row r="101" spans="1:14" ht="15" hidden="1" customHeight="1" thickBot="1">
      <c r="A101" s="734">
        <f t="shared" si="11"/>
        <v>94</v>
      </c>
      <c r="B101" s="970" t="s">
        <v>538</v>
      </c>
      <c r="C101" s="721">
        <f>+geral!G27</f>
        <v>0.9698</v>
      </c>
      <c r="D101" s="748">
        <f t="shared" si="23"/>
        <v>285.23529411764707</v>
      </c>
      <c r="E101" s="750">
        <f t="shared" si="25"/>
        <v>7.9474621549421309</v>
      </c>
      <c r="F101" s="750">
        <f t="shared" si="24"/>
        <v>7.5166297117516656</v>
      </c>
      <c r="G101" s="751">
        <f t="shared" si="26"/>
        <v>26.440677966101699</v>
      </c>
      <c r="H101" s="840">
        <f t="shared" si="22"/>
        <v>49.2</v>
      </c>
      <c r="I101" s="842">
        <f>$C$322/C101</f>
        <v>3.4790678490410389</v>
      </c>
      <c r="N101" s="753"/>
    </row>
    <row r="102" spans="1:14" ht="15" hidden="1" customHeight="1" thickBot="1">
      <c r="A102" s="734">
        <f t="shared" si="11"/>
        <v>95</v>
      </c>
      <c r="B102" s="970" t="s">
        <v>539</v>
      </c>
      <c r="C102" s="721">
        <f>+geral!G28</f>
        <v>0.99029999999999996</v>
      </c>
      <c r="D102" s="748">
        <f t="shared" si="23"/>
        <v>291.26470588235293</v>
      </c>
      <c r="E102" s="750">
        <f>100*((C102/C101)-1)</f>
        <v>2.1138379047226152</v>
      </c>
      <c r="F102" s="750">
        <f t="shared" si="24"/>
        <v>9.7893569844789354</v>
      </c>
      <c r="G102" s="751">
        <f t="shared" si="26"/>
        <v>29.113428943937404</v>
      </c>
      <c r="H102" s="840">
        <f t="shared" si="22"/>
        <v>52.353846153846149</v>
      </c>
      <c r="I102" s="842">
        <f>$C$322/C102</f>
        <v>3.407048369181056</v>
      </c>
      <c r="N102" s="753"/>
    </row>
    <row r="103" spans="1:14" ht="15" hidden="1" customHeight="1" thickBot="1">
      <c r="A103" s="734">
        <f t="shared" si="11"/>
        <v>96</v>
      </c>
      <c r="B103" s="970" t="s">
        <v>540</v>
      </c>
      <c r="C103" s="721">
        <f>+geral!G29</f>
        <v>0.98877000000000004</v>
      </c>
      <c r="D103" s="748">
        <f t="shared" si="23"/>
        <v>290.81470588235294</v>
      </c>
      <c r="E103" s="750">
        <f t="shared" si="25"/>
        <v>-0.15449863677672315</v>
      </c>
      <c r="F103" s="750">
        <f t="shared" si="24"/>
        <v>9.6197339246119729</v>
      </c>
      <c r="G103" s="751">
        <f t="shared" si="26"/>
        <v>28.913950456323345</v>
      </c>
      <c r="H103" s="840">
        <f t="shared" si="22"/>
        <v>52.118461538461538</v>
      </c>
      <c r="I103" s="842">
        <f>$C$322/C103</f>
        <v>3.4123203576160277</v>
      </c>
      <c r="N103" s="753"/>
    </row>
    <row r="104" spans="1:14" ht="15" hidden="1" customHeight="1" thickBot="1">
      <c r="A104" s="734">
        <f t="shared" si="11"/>
        <v>97</v>
      </c>
      <c r="B104" s="970" t="s">
        <v>541</v>
      </c>
      <c r="C104" s="721">
        <f>+geral!G30</f>
        <v>1.079</v>
      </c>
      <c r="D104" s="748">
        <f t="shared" si="23"/>
        <v>317.35294117647055</v>
      </c>
      <c r="E104" s="750">
        <f t="shared" si="25"/>
        <v>9.1254791306370375</v>
      </c>
      <c r="F104" s="750">
        <f t="shared" ref="F104:F109" si="27">100*((C104/$C$97)-1)</f>
        <v>19.62305986696229</v>
      </c>
      <c r="G104" s="751">
        <f t="shared" si="26"/>
        <v>31.907090464547672</v>
      </c>
      <c r="H104" s="840">
        <f t="shared" si="22"/>
        <v>47.808219178082197</v>
      </c>
      <c r="I104" s="842">
        <f>$C$322/C104</f>
        <v>3.1269694161260424</v>
      </c>
      <c r="N104" s="753"/>
    </row>
    <row r="105" spans="1:14" ht="15" hidden="1" customHeight="1" thickBot="1">
      <c r="A105" s="734">
        <f t="shared" si="11"/>
        <v>98</v>
      </c>
      <c r="B105" s="970" t="s">
        <v>542</v>
      </c>
      <c r="C105" s="721">
        <f>+geral!G31</f>
        <v>1.0714999999999999</v>
      </c>
      <c r="D105" s="748">
        <f t="shared" si="23"/>
        <v>315.14705882352939</v>
      </c>
      <c r="E105" s="750">
        <f t="shared" ref="E105:E110" si="28">100*((C105/C104)-1)</f>
        <v>-0.69508804448563666</v>
      </c>
      <c r="F105" s="750">
        <f t="shared" si="27"/>
        <v>18.791574279379141</v>
      </c>
      <c r="G105" s="751">
        <f t="shared" si="26"/>
        <v>30.990220048899751</v>
      </c>
      <c r="H105" s="840">
        <f t="shared" si="22"/>
        <v>46.780821917808211</v>
      </c>
      <c r="I105" s="842">
        <f>$C$322/C105</f>
        <v>3.1488567428838077</v>
      </c>
      <c r="N105" s="753"/>
    </row>
    <row r="106" spans="1:14" ht="15" hidden="1" customHeight="1" thickBot="1">
      <c r="A106" s="734">
        <f t="shared" si="11"/>
        <v>99</v>
      </c>
      <c r="B106" s="970" t="s">
        <v>543</v>
      </c>
      <c r="C106" s="721">
        <f>+geral!G32</f>
        <v>1.0720000000000001</v>
      </c>
      <c r="D106" s="748">
        <f t="shared" ref="D106:D122" si="29">100*C106/$C$8</f>
        <v>315.29411764705878</v>
      </c>
      <c r="E106" s="750">
        <f t="shared" si="28"/>
        <v>4.666355576297132E-2</v>
      </c>
      <c r="F106" s="750">
        <f t="shared" si="27"/>
        <v>18.847006651884701</v>
      </c>
      <c r="G106" s="751">
        <f t="shared" ref="G106:G112" si="30">100*((C106/C94)-1)</f>
        <v>27.315914489311165</v>
      </c>
      <c r="H106" s="840">
        <f t="shared" si="22"/>
        <v>46.849315068493169</v>
      </c>
      <c r="I106" s="842">
        <f>$C$322/C106</f>
        <v>3.147388059701492</v>
      </c>
      <c r="N106" s="753"/>
    </row>
    <row r="107" spans="1:14" ht="15" hidden="1" customHeight="1" thickBot="1">
      <c r="A107" s="734">
        <f t="shared" si="11"/>
        <v>100</v>
      </c>
      <c r="B107" s="970" t="s">
        <v>532</v>
      </c>
      <c r="C107" s="721">
        <f>+geral!G33</f>
        <v>1.0740000000000001</v>
      </c>
      <c r="D107" s="748">
        <f>100*C107/$C$8</f>
        <v>315.88235294117646</v>
      </c>
      <c r="E107" s="750">
        <f t="shared" si="28"/>
        <v>0.18656716417910779</v>
      </c>
      <c r="F107" s="750">
        <f t="shared" si="27"/>
        <v>19.068736141906871</v>
      </c>
      <c r="G107" s="751">
        <f t="shared" si="30"/>
        <v>21.218961625282162</v>
      </c>
      <c r="H107" s="840">
        <f t="shared" si="22"/>
        <v>47.12328767123288</v>
      </c>
      <c r="I107" s="842">
        <f>$C$322/C107</f>
        <v>3.141527001862197</v>
      </c>
      <c r="N107" s="753"/>
    </row>
    <row r="108" spans="1:14" ht="15" hidden="1" customHeight="1" thickBot="1">
      <c r="A108" s="734">
        <f t="shared" si="11"/>
        <v>101</v>
      </c>
      <c r="B108" s="970" t="s">
        <v>544</v>
      </c>
      <c r="C108" s="721">
        <f>+geral!G34</f>
        <v>1.2892999999999999</v>
      </c>
      <c r="D108" s="748">
        <f t="shared" si="29"/>
        <v>379.2058823529411</v>
      </c>
      <c r="E108" s="750">
        <f t="shared" si="28"/>
        <v>20.046554934823078</v>
      </c>
      <c r="F108" s="750">
        <f t="shared" si="27"/>
        <v>42.937915742793777</v>
      </c>
      <c r="G108" s="751">
        <f t="shared" si="30"/>
        <v>44.136389044158754</v>
      </c>
      <c r="H108" s="840">
        <f t="shared" si="22"/>
        <v>59.764560099132559</v>
      </c>
      <c r="I108" s="842">
        <f>$C$322/C108</f>
        <v>2.6169239122004186</v>
      </c>
      <c r="N108" s="753"/>
    </row>
    <row r="109" spans="1:14" ht="15" hidden="1" customHeight="1" thickBot="1">
      <c r="A109" s="734">
        <f t="shared" si="11"/>
        <v>102</v>
      </c>
      <c r="B109" s="970" t="s">
        <v>545</v>
      </c>
      <c r="C109" s="721">
        <f>+geral!G35</f>
        <v>1.369</v>
      </c>
      <c r="D109" s="748">
        <f t="shared" si="29"/>
        <v>402.64705882352939</v>
      </c>
      <c r="E109" s="750">
        <f t="shared" si="28"/>
        <v>6.1816489567982691</v>
      </c>
      <c r="F109" s="750">
        <f t="shared" si="27"/>
        <v>51.773835920177369</v>
      </c>
      <c r="G109" s="751">
        <f t="shared" si="30"/>
        <v>51.773835920177369</v>
      </c>
      <c r="H109" s="840">
        <f t="shared" si="22"/>
        <v>69.640644361833949</v>
      </c>
      <c r="I109" s="842">
        <f>$C$322/C109</f>
        <v>2.4645726807888968</v>
      </c>
      <c r="N109" s="753"/>
    </row>
    <row r="110" spans="1:14" ht="15" hidden="1" customHeight="1" thickBot="1">
      <c r="A110" s="734">
        <f t="shared" si="11"/>
        <v>103</v>
      </c>
      <c r="B110" s="970" t="s">
        <v>565</v>
      </c>
      <c r="C110" s="721">
        <f>+geral!I24</f>
        <v>1.5109999999999999</v>
      </c>
      <c r="D110" s="748">
        <f t="shared" si="29"/>
        <v>444.41176470588232</v>
      </c>
      <c r="E110" s="750">
        <f t="shared" si="28"/>
        <v>10.372534696859015</v>
      </c>
      <c r="F110" s="750">
        <f t="shared" ref="F110:F115" si="31">100*((C110/$C$109)-1)</f>
        <v>10.372534696859015</v>
      </c>
      <c r="G110" s="751">
        <f t="shared" si="30"/>
        <v>73.27981651376146</v>
      </c>
      <c r="H110" s="840">
        <f t="shared" si="22"/>
        <v>97.00130378096479</v>
      </c>
      <c r="I110" s="842">
        <f>$C$322/C110</f>
        <v>2.2329583057577764</v>
      </c>
      <c r="N110" s="753"/>
    </row>
    <row r="111" spans="1:14" ht="15" hidden="1" customHeight="1" thickBot="1">
      <c r="A111" s="734">
        <f t="shared" si="11"/>
        <v>104</v>
      </c>
      <c r="B111" s="970" t="s">
        <v>566</v>
      </c>
      <c r="C111" s="721">
        <f>+geral!I25</f>
        <v>1.5069999999999999</v>
      </c>
      <c r="D111" s="748">
        <f t="shared" si="29"/>
        <v>443.23529411764702</v>
      </c>
      <c r="E111" s="750">
        <f t="shared" ref="E111:E116" si="32">100*((C111/C110)-1)</f>
        <v>-0.2647253474520217</v>
      </c>
      <c r="F111" s="750">
        <f t="shared" si="31"/>
        <v>10.080350620891165</v>
      </c>
      <c r="G111" s="751">
        <f t="shared" si="30"/>
        <v>70.013537906137174</v>
      </c>
      <c r="H111" s="840">
        <f t="shared" ref="H111:H116" si="33">100*(C111/C87-1)</f>
        <v>96.479791395045609</v>
      </c>
      <c r="I111" s="842">
        <f>$C$322/C111</f>
        <v>2.2388852023888521</v>
      </c>
      <c r="N111" s="753"/>
    </row>
    <row r="112" spans="1:14" ht="15" hidden="1" customHeight="1" thickBot="1">
      <c r="A112" s="734">
        <f t="shared" si="11"/>
        <v>105</v>
      </c>
      <c r="B112" s="970" t="s">
        <v>567</v>
      </c>
      <c r="C112" s="721">
        <f>+geral!I26</f>
        <v>1.5069999999999999</v>
      </c>
      <c r="D112" s="748">
        <f t="shared" si="29"/>
        <v>443.23529411764702</v>
      </c>
      <c r="E112" s="750">
        <f t="shared" si="32"/>
        <v>0</v>
      </c>
      <c r="F112" s="750">
        <f t="shared" si="31"/>
        <v>10.080350620891165</v>
      </c>
      <c r="G112" s="751">
        <f t="shared" si="30"/>
        <v>67.74265360641138</v>
      </c>
      <c r="H112" s="840">
        <f t="shared" si="33"/>
        <v>96.479791395045609</v>
      </c>
      <c r="I112" s="842">
        <f>$C$322/C112</f>
        <v>2.2388852023888521</v>
      </c>
      <c r="N112" s="753"/>
    </row>
    <row r="113" spans="1:14" ht="15" hidden="1" customHeight="1" thickBot="1">
      <c r="A113" s="734">
        <f t="shared" si="11"/>
        <v>106</v>
      </c>
      <c r="B113" s="970" t="s">
        <v>568</v>
      </c>
      <c r="C113" s="721">
        <f>+geral!I27</f>
        <v>1.5069999999999999</v>
      </c>
      <c r="D113" s="748">
        <f t="shared" si="29"/>
        <v>443.23529411764702</v>
      </c>
      <c r="E113" s="750">
        <f t="shared" si="32"/>
        <v>0</v>
      </c>
      <c r="F113" s="750">
        <f t="shared" si="31"/>
        <v>10.080350620891165</v>
      </c>
      <c r="G113" s="751">
        <f t="shared" ref="G113:G118" si="34">100*((C113/C101)-1)</f>
        <v>55.392864508145998</v>
      </c>
      <c r="H113" s="840">
        <f t="shared" si="33"/>
        <v>96.479791395045609</v>
      </c>
      <c r="I113" s="842">
        <f>$C$322/C113</f>
        <v>2.2388852023888521</v>
      </c>
      <c r="N113" s="753"/>
    </row>
    <row r="114" spans="1:14" ht="15" hidden="1" customHeight="1" thickBot="1">
      <c r="A114" s="734">
        <f t="shared" si="11"/>
        <v>107</v>
      </c>
      <c r="B114" s="970" t="s">
        <v>569</v>
      </c>
      <c r="C114" s="721">
        <f>+geral!I28</f>
        <v>1.4216</v>
      </c>
      <c r="D114" s="748">
        <f t="shared" si="29"/>
        <v>418.11764705882348</v>
      </c>
      <c r="E114" s="750">
        <f t="shared" si="32"/>
        <v>-5.666887856668879</v>
      </c>
      <c r="F114" s="750">
        <f t="shared" si="31"/>
        <v>3.8422205989773639</v>
      </c>
      <c r="G114" s="751">
        <f t="shared" si="34"/>
        <v>43.552458850853284</v>
      </c>
      <c r="H114" s="840">
        <f t="shared" si="33"/>
        <v>85.345501955671438</v>
      </c>
      <c r="I114" s="842">
        <f>$C$322/C114</f>
        <v>2.3733821046707932</v>
      </c>
      <c r="N114" s="753"/>
    </row>
    <row r="115" spans="1:14" ht="15" hidden="1" customHeight="1" thickBot="1">
      <c r="A115" s="734">
        <f t="shared" si="11"/>
        <v>108</v>
      </c>
      <c r="B115" s="970" t="s">
        <v>570</v>
      </c>
      <c r="C115" s="721">
        <f>+geral!I29</f>
        <v>1.399</v>
      </c>
      <c r="D115" s="748">
        <f t="shared" si="29"/>
        <v>411.47058823529409</v>
      </c>
      <c r="E115" s="750">
        <f t="shared" si="32"/>
        <v>-1.5897580191333693</v>
      </c>
      <c r="F115" s="750">
        <f t="shared" si="31"/>
        <v>2.1913805697589606</v>
      </c>
      <c r="G115" s="751">
        <f t="shared" si="34"/>
        <v>41.488920578091971</v>
      </c>
      <c r="H115" s="840">
        <f t="shared" si="33"/>
        <v>82.39895697522816</v>
      </c>
      <c r="I115" s="842">
        <f>$C$322/C115</f>
        <v>2.4117226590421725</v>
      </c>
      <c r="N115" s="753"/>
    </row>
    <row r="116" spans="1:14" ht="15" hidden="1" customHeight="1" thickBot="1">
      <c r="A116" s="734">
        <f t="shared" si="11"/>
        <v>109</v>
      </c>
      <c r="B116" s="970" t="s">
        <v>571</v>
      </c>
      <c r="C116" s="721">
        <f>+geral!I30</f>
        <v>1.3841000000000001</v>
      </c>
      <c r="D116" s="748">
        <f t="shared" si="29"/>
        <v>407.08823529411768</v>
      </c>
      <c r="E116" s="750">
        <f t="shared" si="32"/>
        <v>-1.0650464617583899</v>
      </c>
      <c r="F116" s="750">
        <f t="shared" ref="F116:F121" si="35">100*((C116/$C$109)-1)</f>
        <v>1.1029948867786743</v>
      </c>
      <c r="G116" s="751">
        <f t="shared" si="34"/>
        <v>28.276181649675646</v>
      </c>
      <c r="H116" s="840">
        <f t="shared" si="33"/>
        <v>69.205378973105141</v>
      </c>
      <c r="I116" s="842">
        <f>$C$322/C116</f>
        <v>2.4376851383570548</v>
      </c>
      <c r="N116" s="753"/>
    </row>
    <row r="117" spans="1:14" ht="15" hidden="1" customHeight="1" thickBot="1">
      <c r="A117" s="734">
        <f t="shared" si="11"/>
        <v>110</v>
      </c>
      <c r="B117" s="970" t="s">
        <v>572</v>
      </c>
      <c r="C117" s="721">
        <f>+geral!I31</f>
        <v>1.3916999999999999</v>
      </c>
      <c r="D117" s="748">
        <f t="shared" si="29"/>
        <v>409.32352941176464</v>
      </c>
      <c r="E117" s="750">
        <f t="shared" ref="E117:E122" si="36">100*((C117/C116)-1)</f>
        <v>0.5490932736073928</v>
      </c>
      <c r="F117" s="750">
        <f t="shared" si="35"/>
        <v>1.6581446311175974</v>
      </c>
      <c r="G117" s="751">
        <f t="shared" si="34"/>
        <v>29.883341110592632</v>
      </c>
      <c r="H117" s="840">
        <f t="shared" ref="H117:H122" si="37">100*(C117/C93-1)</f>
        <v>70.134474327628354</v>
      </c>
      <c r="I117" s="842">
        <f>$C$322/C117</f>
        <v>2.4243730689085292</v>
      </c>
      <c r="N117" s="753"/>
    </row>
    <row r="118" spans="1:14" ht="15" hidden="1" customHeight="1" thickBot="1">
      <c r="A118" s="734">
        <f t="shared" si="11"/>
        <v>111</v>
      </c>
      <c r="B118" s="970" t="s">
        <v>573</v>
      </c>
      <c r="C118" s="721">
        <f>+geral!I32</f>
        <v>1.3633</v>
      </c>
      <c r="D118" s="748">
        <f t="shared" si="29"/>
        <v>400.97058823529403</v>
      </c>
      <c r="E118" s="750">
        <f t="shared" si="36"/>
        <v>-2.0406696845584493</v>
      </c>
      <c r="F118" s="750">
        <f t="shared" si="35"/>
        <v>-0.41636230825420339</v>
      </c>
      <c r="G118" s="751">
        <f t="shared" si="34"/>
        <v>27.173507462686565</v>
      </c>
      <c r="H118" s="840">
        <f t="shared" si="37"/>
        <v>61.912114014251785</v>
      </c>
      <c r="I118" s="842">
        <f>$C$322/C118</f>
        <v>2.4748771363603019</v>
      </c>
      <c r="N118" s="753"/>
    </row>
    <row r="119" spans="1:14" ht="15" hidden="1" customHeight="1" thickBot="1">
      <c r="A119" s="734">
        <f t="shared" si="11"/>
        <v>112</v>
      </c>
      <c r="B119" s="970" t="s">
        <v>396</v>
      </c>
      <c r="C119" s="721">
        <f>+geral!I33</f>
        <v>1.3553999999999999</v>
      </c>
      <c r="D119" s="748">
        <f t="shared" si="29"/>
        <v>398.64705882352933</v>
      </c>
      <c r="E119" s="750">
        <f t="shared" si="36"/>
        <v>-0.57947627081347264</v>
      </c>
      <c r="F119" s="750">
        <f t="shared" si="35"/>
        <v>-0.99342585829073071</v>
      </c>
      <c r="G119" s="751">
        <f t="shared" ref="G119:G124" si="38">100*((C119/C107)-1)</f>
        <v>26.201117318435752</v>
      </c>
      <c r="H119" s="840">
        <f t="shared" si="37"/>
        <v>52.97968397291195</v>
      </c>
      <c r="I119" s="842">
        <f>$C$322/C119</f>
        <v>2.4893020510550388</v>
      </c>
      <c r="N119" s="753"/>
    </row>
    <row r="120" spans="1:14" ht="15" hidden="1" customHeight="1" thickBot="1">
      <c r="A120" s="734">
        <f t="shared" si="11"/>
        <v>113</v>
      </c>
      <c r="B120" s="970" t="s">
        <v>397</v>
      </c>
      <c r="C120" s="721">
        <f>+geral!I34</f>
        <v>1.3560000000000001</v>
      </c>
      <c r="D120" s="748">
        <f t="shared" si="29"/>
        <v>398.82352941176475</v>
      </c>
      <c r="E120" s="750">
        <f t="shared" si="36"/>
        <v>4.4267374944673143E-2</v>
      </c>
      <c r="F120" s="750">
        <f t="shared" si="35"/>
        <v>-0.94959824689553329</v>
      </c>
      <c r="G120" s="751">
        <f t="shared" si="38"/>
        <v>5.1733498797797317</v>
      </c>
      <c r="H120" s="840">
        <f t="shared" si="37"/>
        <v>51.59306875349359</v>
      </c>
      <c r="I120" s="842">
        <f>$C$322/C120</f>
        <v>2.4882005899705009</v>
      </c>
      <c r="N120" s="753"/>
    </row>
    <row r="121" spans="1:14" ht="15" hidden="1" customHeight="1" thickBot="1">
      <c r="A121" s="734">
        <f t="shared" si="11"/>
        <v>114</v>
      </c>
      <c r="B121" s="970" t="s">
        <v>398</v>
      </c>
      <c r="C121" s="721">
        <f>+geral!I35</f>
        <v>1.3464</v>
      </c>
      <c r="D121" s="748">
        <f t="shared" si="29"/>
        <v>396</v>
      </c>
      <c r="E121" s="750">
        <f t="shared" si="36"/>
        <v>-0.70796460176991705</v>
      </c>
      <c r="F121" s="750">
        <f t="shared" si="35"/>
        <v>-1.6508400292184033</v>
      </c>
      <c r="G121" s="751">
        <f t="shared" si="38"/>
        <v>-1.6508400292184033</v>
      </c>
      <c r="H121" s="840">
        <f t="shared" si="37"/>
        <v>49.268292682926827</v>
      </c>
      <c r="I121" s="842">
        <f>$C$322/C121</f>
        <v>2.5059417706476528</v>
      </c>
      <c r="N121" s="753"/>
    </row>
    <row r="122" spans="1:14" ht="15" hidden="1" customHeight="1" thickBot="1">
      <c r="A122" s="734">
        <f t="shared" si="11"/>
        <v>115</v>
      </c>
      <c r="B122" s="970" t="s">
        <v>399</v>
      </c>
      <c r="C122" s="721">
        <f>+geral!K24</f>
        <v>1.3319000000000001</v>
      </c>
      <c r="D122" s="748">
        <f t="shared" si="29"/>
        <v>391.73529411764702</v>
      </c>
      <c r="E122" s="750">
        <f t="shared" si="36"/>
        <v>-1.0769459298871076</v>
      </c>
      <c r="F122" s="750">
        <f t="shared" ref="F122:F127" si="39">100*((C122/$C$121)-1)</f>
        <v>-1.0769459298871076</v>
      </c>
      <c r="G122" s="751">
        <f t="shared" si="38"/>
        <v>-11.853077432164117</v>
      </c>
      <c r="H122" s="840">
        <f t="shared" si="37"/>
        <v>52.740825688073414</v>
      </c>
      <c r="I122" s="842">
        <f>$C$322/C122</f>
        <v>2.5332232149560774</v>
      </c>
      <c r="N122" s="753"/>
    </row>
    <row r="123" spans="1:14" ht="15" hidden="1" customHeight="1" thickBot="1">
      <c r="A123" s="734">
        <f t="shared" si="11"/>
        <v>116</v>
      </c>
      <c r="B123" s="970" t="s">
        <v>400</v>
      </c>
      <c r="C123" s="721">
        <f>+geral!K25</f>
        <v>1.3371999999999999</v>
      </c>
      <c r="D123" s="748">
        <f t="shared" ref="D123:D157" si="40">100*C123/$C$8</f>
        <v>393.29411764705878</v>
      </c>
      <c r="E123" s="750">
        <f t="shared" ref="E123:E128" si="41">100*((C123/C122)-1)</f>
        <v>0.39792777235527765</v>
      </c>
      <c r="F123" s="750">
        <f t="shared" si="39"/>
        <v>-0.68330362448010273</v>
      </c>
      <c r="G123" s="751">
        <f t="shared" si="38"/>
        <v>-11.267418712674182</v>
      </c>
      <c r="H123" s="840">
        <f t="shared" ref="H123:H128" si="42">100*(C123/C99-1)</f>
        <v>50.857400722021652</v>
      </c>
      <c r="I123" s="842">
        <f>$C$322/C123</f>
        <v>2.5231827699670952</v>
      </c>
      <c r="N123" s="753"/>
    </row>
    <row r="124" spans="1:14" ht="15" hidden="1" customHeight="1" thickBot="1">
      <c r="A124" s="734">
        <f t="shared" si="11"/>
        <v>117</v>
      </c>
      <c r="B124" s="970" t="s">
        <v>401</v>
      </c>
      <c r="C124" s="721">
        <f>+geral!K26</f>
        <v>1.3304</v>
      </c>
      <c r="D124" s="748">
        <f t="shared" si="40"/>
        <v>391.29411764705878</v>
      </c>
      <c r="E124" s="750">
        <f t="shared" si="41"/>
        <v>-0.50852527669756897</v>
      </c>
      <c r="F124" s="750">
        <f t="shared" si="39"/>
        <v>-1.1883541295305999</v>
      </c>
      <c r="G124" s="751">
        <f t="shared" si="38"/>
        <v>-11.718646317186455</v>
      </c>
      <c r="H124" s="840">
        <f t="shared" si="42"/>
        <v>48.085485307212835</v>
      </c>
      <c r="I124" s="842">
        <f>$C$322/C124</f>
        <v>2.536079374624173</v>
      </c>
      <c r="N124" s="753"/>
    </row>
    <row r="125" spans="1:14" ht="15" hidden="1" customHeight="1" thickBot="1">
      <c r="A125" s="734">
        <f t="shared" si="11"/>
        <v>118</v>
      </c>
      <c r="B125" s="970" t="s">
        <v>402</v>
      </c>
      <c r="C125" s="721">
        <f>+geral!K27</f>
        <v>1.3284</v>
      </c>
      <c r="D125" s="748">
        <f t="shared" si="40"/>
        <v>390.70588235294116</v>
      </c>
      <c r="E125" s="750">
        <f t="shared" si="41"/>
        <v>-0.15033072760072264</v>
      </c>
      <c r="F125" s="750">
        <f t="shared" si="39"/>
        <v>-1.3368983957219305</v>
      </c>
      <c r="G125" s="751">
        <f t="shared" ref="G125:G130" si="43">100*((C125/C113)-1)</f>
        <v>-11.851360318513592</v>
      </c>
      <c r="H125" s="840">
        <f t="shared" si="42"/>
        <v>36.976696226025993</v>
      </c>
      <c r="I125" s="842">
        <f>$C$322/C125</f>
        <v>2.5398976211984339</v>
      </c>
      <c r="N125" s="753"/>
    </row>
    <row r="126" spans="1:14" ht="15" hidden="1" customHeight="1" thickBot="1">
      <c r="A126" s="734">
        <f t="shared" si="11"/>
        <v>119</v>
      </c>
      <c r="B126" s="970" t="s">
        <v>403</v>
      </c>
      <c r="C126" s="721">
        <f>+geral!K28</f>
        <v>1.3229</v>
      </c>
      <c r="D126" s="748">
        <f t="shared" si="40"/>
        <v>389.08823529411762</v>
      </c>
      <c r="E126" s="750">
        <f t="shared" si="41"/>
        <v>-0.41403191809696871</v>
      </c>
      <c r="F126" s="750">
        <f t="shared" si="39"/>
        <v>-1.7453951277480728</v>
      </c>
      <c r="G126" s="751">
        <f t="shared" si="43"/>
        <v>-6.9428812605514922</v>
      </c>
      <c r="H126" s="840">
        <f t="shared" si="42"/>
        <v>33.585782086236506</v>
      </c>
      <c r="I126" s="842">
        <f>$C$322/C126</f>
        <v>2.5504573285962655</v>
      </c>
      <c r="N126" s="753"/>
    </row>
    <row r="127" spans="1:14" ht="15" hidden="1" customHeight="1" thickBot="1">
      <c r="A127" s="734">
        <f t="shared" si="11"/>
        <v>120</v>
      </c>
      <c r="B127" s="970" t="s">
        <v>404</v>
      </c>
      <c r="C127" s="721">
        <f>+geral!K29</f>
        <v>1.4466000000000001</v>
      </c>
      <c r="D127" s="748">
        <f t="shared" si="40"/>
        <v>425.47058823529414</v>
      </c>
      <c r="E127" s="750">
        <f>100*((C127/C126)-1)</f>
        <v>9.35066898480612</v>
      </c>
      <c r="F127" s="750">
        <f t="shared" si="39"/>
        <v>7.4420677361853871</v>
      </c>
      <c r="G127" s="751">
        <f t="shared" si="43"/>
        <v>3.4024303073624029</v>
      </c>
      <c r="H127" s="840">
        <f t="shared" si="42"/>
        <v>46.302982493400904</v>
      </c>
      <c r="I127" s="842">
        <f>$C$322/C127</f>
        <v>2.3323655467993913</v>
      </c>
      <c r="J127" s="745" t="s">
        <v>210</v>
      </c>
      <c r="N127" s="753"/>
    </row>
    <row r="128" spans="1:14" ht="15" hidden="1" customHeight="1" thickBot="1">
      <c r="A128" s="734">
        <f t="shared" si="11"/>
        <v>121</v>
      </c>
      <c r="B128" s="970" t="s">
        <v>405</v>
      </c>
      <c r="C128" s="721">
        <f>+geral!K30</f>
        <v>1.4466000000000001</v>
      </c>
      <c r="D128" s="748">
        <f t="shared" si="40"/>
        <v>425.47058823529414</v>
      </c>
      <c r="E128" s="750">
        <f t="shared" si="41"/>
        <v>0</v>
      </c>
      <c r="F128" s="750">
        <f t="shared" ref="F128:F133" si="44">100*((C128/$C$121)-1)</f>
        <v>7.4420677361853871</v>
      </c>
      <c r="G128" s="751">
        <f t="shared" si="43"/>
        <v>4.5155696842713589</v>
      </c>
      <c r="H128" s="840">
        <f t="shared" si="42"/>
        <v>34.068582020389272</v>
      </c>
      <c r="I128" s="842">
        <f>$C$322/C128</f>
        <v>2.3323655467993913</v>
      </c>
      <c r="N128" s="753"/>
    </row>
    <row r="129" spans="1:14" ht="15" hidden="1" customHeight="1" thickBot="1">
      <c r="A129" s="734">
        <f t="shared" si="11"/>
        <v>122</v>
      </c>
      <c r="B129" s="970" t="s">
        <v>406</v>
      </c>
      <c r="C129" s="721">
        <f>+geral!K31</f>
        <v>1.4475</v>
      </c>
      <c r="D129" s="748">
        <f t="shared" si="40"/>
        <v>425.73529411764702</v>
      </c>
      <c r="E129" s="750">
        <f t="shared" ref="E129:E135" si="45">100*((C129/C128)-1)</f>
        <v>6.221484861053117E-2</v>
      </c>
      <c r="F129" s="750">
        <f t="shared" si="44"/>
        <v>7.508912655971467</v>
      </c>
      <c r="G129" s="751">
        <f t="shared" si="43"/>
        <v>4.0094848027592223</v>
      </c>
      <c r="H129" s="840">
        <f t="shared" ref="H129:H134" si="46">100*(C129/C105-1)</f>
        <v>35.090993933737757</v>
      </c>
      <c r="I129" s="842">
        <f>$C$322/C129</f>
        <v>2.3309153713298789</v>
      </c>
      <c r="N129" s="753"/>
    </row>
    <row r="130" spans="1:14" ht="15" hidden="1" customHeight="1" thickBot="1">
      <c r="A130" s="734">
        <f t="shared" si="11"/>
        <v>123</v>
      </c>
      <c r="B130" s="970" t="s">
        <v>407</v>
      </c>
      <c r="C130" s="721">
        <f>+geral!K32</f>
        <v>1.4407000000000001</v>
      </c>
      <c r="D130" s="748">
        <f t="shared" si="40"/>
        <v>423.73529411764707</v>
      </c>
      <c r="E130" s="750">
        <f t="shared" si="45"/>
        <v>-0.46977547495681282</v>
      </c>
      <c r="F130" s="750">
        <f t="shared" si="44"/>
        <v>7.0038621509209698</v>
      </c>
      <c r="G130" s="751">
        <f t="shared" si="43"/>
        <v>5.6774004254382948</v>
      </c>
      <c r="H130" s="840">
        <f t="shared" si="46"/>
        <v>34.393656716417922</v>
      </c>
      <c r="I130" s="842">
        <f>$C$322/C130</f>
        <v>2.3419171236204619</v>
      </c>
      <c r="N130" s="753"/>
    </row>
    <row r="131" spans="1:14" ht="15" hidden="1" customHeight="1" thickBot="1">
      <c r="A131" s="734">
        <f t="shared" si="11"/>
        <v>124</v>
      </c>
      <c r="B131" s="970" t="s">
        <v>408</v>
      </c>
      <c r="C131" s="721">
        <f>+geral!K33</f>
        <v>1.5230999999999999</v>
      </c>
      <c r="D131" s="748">
        <f t="shared" si="40"/>
        <v>447.97058823529409</v>
      </c>
      <c r="E131" s="750">
        <f t="shared" si="45"/>
        <v>5.7194419379468231</v>
      </c>
      <c r="F131" s="750">
        <f t="shared" si="44"/>
        <v>13.123885918003552</v>
      </c>
      <c r="G131" s="751">
        <f t="shared" ref="G131:G136" si="47">100*((C131/C119)-1)</f>
        <v>12.37273129703409</v>
      </c>
      <c r="H131" s="840">
        <f t="shared" si="46"/>
        <v>41.815642458100541</v>
      </c>
      <c r="I131" s="842">
        <f>$C$322/C131</f>
        <v>2.2152189613288686</v>
      </c>
      <c r="J131" s="745" t="s">
        <v>210</v>
      </c>
      <c r="N131" s="753"/>
    </row>
    <row r="132" spans="1:14" ht="15" hidden="1" customHeight="1" thickBot="1">
      <c r="A132" s="734">
        <f t="shared" si="11"/>
        <v>125</v>
      </c>
      <c r="B132" s="970" t="s">
        <v>409</v>
      </c>
      <c r="C132" s="721">
        <f>+geral!K34</f>
        <v>1.5259</v>
      </c>
      <c r="D132" s="748">
        <f t="shared" si="40"/>
        <v>448.79411764705878</v>
      </c>
      <c r="E132" s="750">
        <f t="shared" si="45"/>
        <v>0.18383559845054354</v>
      </c>
      <c r="F132" s="750">
        <f t="shared" si="44"/>
        <v>13.331847890671412</v>
      </c>
      <c r="G132" s="751">
        <f t="shared" si="47"/>
        <v>12.529498525073745</v>
      </c>
      <c r="H132" s="840">
        <f t="shared" si="46"/>
        <v>18.351043201737394</v>
      </c>
      <c r="I132" s="842">
        <f>$C$322/C132</f>
        <v>2.2111540730060946</v>
      </c>
      <c r="N132" s="753"/>
    </row>
    <row r="133" spans="1:14" ht="15" hidden="1" customHeight="1" thickBot="1">
      <c r="A133" s="734">
        <f t="shared" si="11"/>
        <v>126</v>
      </c>
      <c r="B133" s="970" t="s">
        <v>410</v>
      </c>
      <c r="C133" s="721">
        <f>+geral!K35</f>
        <v>1.6366000000000001</v>
      </c>
      <c r="D133" s="748">
        <f t="shared" si="40"/>
        <v>481.35294117647055</v>
      </c>
      <c r="E133" s="750">
        <f>100*((C133/C132)-1)</f>
        <v>7.2547349105446024</v>
      </c>
      <c r="F133" s="750">
        <f t="shared" si="44"/>
        <v>21.553773024361256</v>
      </c>
      <c r="G133" s="751">
        <f t="shared" si="47"/>
        <v>21.553773024361256</v>
      </c>
      <c r="H133" s="840">
        <f t="shared" si="46"/>
        <v>19.547114682249813</v>
      </c>
      <c r="I133" s="842">
        <f>$C$322/C133</f>
        <v>2.0615911035072707</v>
      </c>
      <c r="J133" s="745" t="s">
        <v>210</v>
      </c>
      <c r="N133" s="753"/>
    </row>
    <row r="134" spans="1:14" ht="15" hidden="1" customHeight="1" thickBot="1">
      <c r="A134" s="734">
        <f t="shared" si="11"/>
        <v>127</v>
      </c>
      <c r="B134" s="970" t="s">
        <v>411</v>
      </c>
      <c r="C134" s="721">
        <f>+geral!M24</f>
        <v>1.6359999999999999</v>
      </c>
      <c r="D134" s="748">
        <f t="shared" si="40"/>
        <v>481.17647058823525</v>
      </c>
      <c r="E134" s="750">
        <f t="shared" si="45"/>
        <v>-3.6661371135293663E-2</v>
      </c>
      <c r="F134" s="750">
        <f t="shared" ref="F134:F139" si="48">100*((C134/$C$133)-1)</f>
        <v>-3.6661371135293663E-2</v>
      </c>
      <c r="G134" s="751">
        <f t="shared" si="47"/>
        <v>22.832044447781353</v>
      </c>
      <c r="H134" s="840">
        <f t="shared" si="46"/>
        <v>8.2726671078755754</v>
      </c>
      <c r="I134" s="842">
        <f>$C$322/C134</f>
        <v>2.0623471882640585</v>
      </c>
      <c r="N134" s="753"/>
    </row>
    <row r="135" spans="1:14" ht="15" hidden="1" customHeight="1" thickBot="1">
      <c r="A135" s="734">
        <f t="shared" si="11"/>
        <v>128</v>
      </c>
      <c r="B135" s="970" t="s">
        <v>412</v>
      </c>
      <c r="C135" s="721">
        <f>+geral!M25</f>
        <v>1.6398999999999999</v>
      </c>
      <c r="D135" s="748">
        <f t="shared" si="40"/>
        <v>482.32352941176464</v>
      </c>
      <c r="E135" s="750">
        <f t="shared" si="45"/>
        <v>0.23838630806845007</v>
      </c>
      <c r="F135" s="750">
        <f t="shared" si="48"/>
        <v>0.20163754124402633</v>
      </c>
      <c r="G135" s="751">
        <f t="shared" si="47"/>
        <v>22.636853125934799</v>
      </c>
      <c r="H135" s="840">
        <f t="shared" ref="H135:H140" si="49">100*(C135/C111-1)</f>
        <v>8.8188453881884463</v>
      </c>
      <c r="I135" s="842">
        <f>$C$322/C135</f>
        <v>2.0574425269833525</v>
      </c>
      <c r="N135" s="753"/>
    </row>
    <row r="136" spans="1:14" ht="15" hidden="1" customHeight="1" thickBot="1">
      <c r="A136" s="734">
        <f t="shared" si="11"/>
        <v>129</v>
      </c>
      <c r="B136" s="970" t="s">
        <v>413</v>
      </c>
      <c r="C136" s="721">
        <f>+geral!M26</f>
        <v>1.643</v>
      </c>
      <c r="D136" s="748">
        <f t="shared" si="40"/>
        <v>483.23529411764707</v>
      </c>
      <c r="E136" s="750">
        <f t="shared" ref="E136:E141" si="50">100*((C136/C135)-1)</f>
        <v>0.1890359168241984</v>
      </c>
      <c r="F136" s="750">
        <f t="shared" si="48"/>
        <v>0.39105462544299918</v>
      </c>
      <c r="G136" s="751">
        <f t="shared" si="47"/>
        <v>23.496692723992773</v>
      </c>
      <c r="H136" s="840">
        <f t="shared" si="49"/>
        <v>9.0245520902455301</v>
      </c>
      <c r="I136" s="842">
        <f>$C$322/C136</f>
        <v>2.0535605599513085</v>
      </c>
      <c r="N136" s="753"/>
    </row>
    <row r="137" spans="1:14" ht="15" hidden="1" customHeight="1" thickBot="1">
      <c r="A137" s="734">
        <f t="shared" si="11"/>
        <v>130</v>
      </c>
      <c r="B137" s="970" t="s">
        <v>414</v>
      </c>
      <c r="C137" s="721">
        <f>+geral!M27</f>
        <v>1.6386000000000001</v>
      </c>
      <c r="D137" s="748">
        <f t="shared" si="40"/>
        <v>481.94117647058823</v>
      </c>
      <c r="E137" s="750">
        <f t="shared" si="50"/>
        <v>-0.26780279975654464</v>
      </c>
      <c r="F137" s="750">
        <f t="shared" si="48"/>
        <v>0.12220457045093447</v>
      </c>
      <c r="G137" s="751">
        <f t="shared" ref="G137:G142" si="51">100*((C137/C125)-1)</f>
        <v>23.351400180668481</v>
      </c>
      <c r="H137" s="840">
        <f t="shared" si="49"/>
        <v>8.7325812873258144</v>
      </c>
      <c r="I137" s="842">
        <f>$C$322/C137</f>
        <v>2.0590748199682651</v>
      </c>
      <c r="N137" s="753"/>
    </row>
    <row r="138" spans="1:14" ht="15" hidden="1" customHeight="1" thickBot="1">
      <c r="A138" s="734">
        <f t="shared" ref="A138:A201" si="52">A137+1</f>
        <v>131</v>
      </c>
      <c r="B138" s="970" t="s">
        <v>415</v>
      </c>
      <c r="C138" s="721">
        <f>+geral!M28</f>
        <v>1.6569</v>
      </c>
      <c r="D138" s="748">
        <f t="shared" si="40"/>
        <v>487.32352941176464</v>
      </c>
      <c r="E138" s="750">
        <f t="shared" si="50"/>
        <v>1.1168070303917865</v>
      </c>
      <c r="F138" s="750">
        <f t="shared" si="48"/>
        <v>1.2403763900769915</v>
      </c>
      <c r="G138" s="751">
        <f t="shared" si="51"/>
        <v>25.247562174011652</v>
      </c>
      <c r="H138" s="840">
        <f t="shared" si="49"/>
        <v>16.551772650534623</v>
      </c>
      <c r="I138" s="842">
        <f>$C$322/C138</f>
        <v>2.0363329108576256</v>
      </c>
      <c r="J138" s="745" t="s">
        <v>209</v>
      </c>
      <c r="N138" s="753"/>
    </row>
    <row r="139" spans="1:14" ht="15" hidden="1" customHeight="1" thickBot="1">
      <c r="A139" s="734">
        <f t="shared" si="52"/>
        <v>132</v>
      </c>
      <c r="B139" s="970" t="s">
        <v>416</v>
      </c>
      <c r="C139" s="721">
        <f>+geral!M29</f>
        <v>1.6478999999999999</v>
      </c>
      <c r="D139" s="748">
        <f t="shared" si="40"/>
        <v>484.67647058823525</v>
      </c>
      <c r="E139" s="750">
        <f t="shared" si="50"/>
        <v>-0.5431830526887671</v>
      </c>
      <c r="F139" s="750">
        <f t="shared" si="48"/>
        <v>0.69045582304776421</v>
      </c>
      <c r="G139" s="751">
        <f t="shared" si="51"/>
        <v>13.915387805889656</v>
      </c>
      <c r="H139" s="840">
        <f t="shared" si="49"/>
        <v>17.791279485346667</v>
      </c>
      <c r="I139" s="842">
        <f>$C$322/C139</f>
        <v>2.0474543358213482</v>
      </c>
      <c r="N139" s="753"/>
    </row>
    <row r="140" spans="1:14" ht="15" hidden="1" customHeight="1" thickBot="1">
      <c r="A140" s="734">
        <f t="shared" si="52"/>
        <v>133</v>
      </c>
      <c r="B140" s="970" t="s">
        <v>417</v>
      </c>
      <c r="C140" s="721">
        <f>+geral!M30</f>
        <v>1.653</v>
      </c>
      <c r="D140" s="748">
        <f t="shared" si="40"/>
        <v>486.1764705882353</v>
      </c>
      <c r="E140" s="750">
        <f t="shared" si="50"/>
        <v>0.30948479883488034</v>
      </c>
      <c r="F140" s="750">
        <f t="shared" ref="F140:F145" si="53">100*((C140/$C$133)-1)</f>
        <v>1.0020774776976715</v>
      </c>
      <c r="G140" s="751">
        <f t="shared" si="51"/>
        <v>14.267938614682695</v>
      </c>
      <c r="H140" s="840">
        <f t="shared" si="49"/>
        <v>19.427787009609119</v>
      </c>
      <c r="I140" s="842">
        <f>$C$322/C140</f>
        <v>2.0411373260738048</v>
      </c>
      <c r="N140" s="753"/>
    </row>
    <row r="141" spans="1:14" ht="15" hidden="1" customHeight="1" thickBot="1">
      <c r="A141" s="734">
        <f t="shared" si="52"/>
        <v>134</v>
      </c>
      <c r="B141" s="970" t="s">
        <v>418</v>
      </c>
      <c r="C141" s="721">
        <f>+geral!M31</f>
        <v>1.6459999999999999</v>
      </c>
      <c r="D141" s="748">
        <f t="shared" si="40"/>
        <v>484.11764705882348</v>
      </c>
      <c r="E141" s="750">
        <f t="shared" si="50"/>
        <v>-0.42347247428917711</v>
      </c>
      <c r="F141" s="750">
        <f t="shared" si="53"/>
        <v>0.57436148111937868</v>
      </c>
      <c r="G141" s="751">
        <f t="shared" si="51"/>
        <v>13.713298791018991</v>
      </c>
      <c r="H141" s="840">
        <f t="shared" ref="H141:H146" si="54">100*(C141/C117-1)</f>
        <v>18.272616224761084</v>
      </c>
      <c r="I141" s="842">
        <f>$C$322/C141</f>
        <v>2.0498177399756985</v>
      </c>
      <c r="N141" s="753"/>
    </row>
    <row r="142" spans="1:14" ht="15" hidden="1" customHeight="1" thickBot="1">
      <c r="A142" s="734">
        <f t="shared" si="52"/>
        <v>135</v>
      </c>
      <c r="B142" s="970" t="s">
        <v>419</v>
      </c>
      <c r="C142" s="721">
        <f>+geral!M32</f>
        <v>1.8149</v>
      </c>
      <c r="D142" s="748">
        <f t="shared" si="40"/>
        <v>533.79411764705878</v>
      </c>
      <c r="E142" s="750">
        <f t="shared" ref="E142:E147" si="55">100*((C142/C141)-1)</f>
        <v>10.261239368165253</v>
      </c>
      <c r="F142" s="750">
        <f t="shared" si="53"/>
        <v>10.894537455700837</v>
      </c>
      <c r="G142" s="751">
        <f t="shared" si="51"/>
        <v>25.973485111404159</v>
      </c>
      <c r="H142" s="840">
        <f t="shared" si="54"/>
        <v>33.125504291058469</v>
      </c>
      <c r="I142" s="842">
        <f>$C$322/C142</f>
        <v>1.859055595349606</v>
      </c>
      <c r="J142" s="745" t="s">
        <v>210</v>
      </c>
      <c r="N142" s="753"/>
    </row>
    <row r="143" spans="1:14" ht="15" hidden="1" customHeight="1" thickBot="1">
      <c r="A143" s="734">
        <f t="shared" si="52"/>
        <v>136</v>
      </c>
      <c r="B143" s="970" t="s">
        <v>420</v>
      </c>
      <c r="C143" s="721">
        <f>+geral!M33</f>
        <v>1.84</v>
      </c>
      <c r="D143" s="748">
        <f t="shared" si="40"/>
        <v>541.17647058823525</v>
      </c>
      <c r="E143" s="750">
        <f t="shared" si="55"/>
        <v>1.3829963083365593</v>
      </c>
      <c r="F143" s="750">
        <f t="shared" si="53"/>
        <v>12.428204814860067</v>
      </c>
      <c r="G143" s="751">
        <f t="shared" ref="G143:G148" si="56">100*((C143/C131)-1)</f>
        <v>20.806250410347339</v>
      </c>
      <c r="H143" s="840">
        <f t="shared" si="54"/>
        <v>35.753283163641747</v>
      </c>
      <c r="I143" s="842">
        <f>$C$322/C143</f>
        <v>1.8336956521739127</v>
      </c>
      <c r="N143" s="753"/>
    </row>
    <row r="144" spans="1:14" ht="15" hidden="1" customHeight="1" thickBot="1">
      <c r="A144" s="734">
        <f t="shared" si="52"/>
        <v>137</v>
      </c>
      <c r="B144" s="970" t="s">
        <v>421</v>
      </c>
      <c r="C144" s="721">
        <f>+geral!M34</f>
        <v>1.83</v>
      </c>
      <c r="D144" s="748">
        <f t="shared" si="40"/>
        <v>538.23529411764707</v>
      </c>
      <c r="E144" s="750">
        <f t="shared" si="55"/>
        <v>-0.54347826086956763</v>
      </c>
      <c r="F144" s="750">
        <f t="shared" si="53"/>
        <v>11.817181962605394</v>
      </c>
      <c r="G144" s="751">
        <f t="shared" si="56"/>
        <v>19.929222098433709</v>
      </c>
      <c r="H144" s="840">
        <f t="shared" si="54"/>
        <v>34.955752212389378</v>
      </c>
      <c r="I144" s="842">
        <f>$C$322/C144</f>
        <v>1.8437158469945352</v>
      </c>
      <c r="N144" s="753"/>
    </row>
    <row r="145" spans="1:14" ht="15" hidden="1" customHeight="1" thickBot="1">
      <c r="A145" s="734">
        <f t="shared" si="52"/>
        <v>138</v>
      </c>
      <c r="B145" s="970" t="s">
        <v>422</v>
      </c>
      <c r="C145" s="721">
        <f>+geral!M35</f>
        <v>1.8327500000000001</v>
      </c>
      <c r="D145" s="748">
        <f t="shared" si="40"/>
        <v>539.04411764705878</v>
      </c>
      <c r="E145" s="750">
        <f t="shared" si="55"/>
        <v>0.15027322404370658</v>
      </c>
      <c r="F145" s="750">
        <f t="shared" si="53"/>
        <v>11.985213246975434</v>
      </c>
      <c r="G145" s="751">
        <f t="shared" si="56"/>
        <v>11.985213246975434</v>
      </c>
      <c r="H145" s="840">
        <f t="shared" si="54"/>
        <v>36.122251931075454</v>
      </c>
      <c r="I145" s="842">
        <f>$C$322/C145</f>
        <v>1.840949392988678</v>
      </c>
      <c r="N145" s="753"/>
    </row>
    <row r="146" spans="1:14" ht="15" hidden="1" customHeight="1" thickBot="1">
      <c r="A146" s="734">
        <f t="shared" si="52"/>
        <v>139</v>
      </c>
      <c r="B146" s="970" t="s">
        <v>423</v>
      </c>
      <c r="C146" s="721">
        <f>+geral!C40</f>
        <v>1.8360000000000001</v>
      </c>
      <c r="D146" s="748">
        <f t="shared" si="40"/>
        <v>540</v>
      </c>
      <c r="E146" s="750">
        <f t="shared" si="55"/>
        <v>0.17732915018415785</v>
      </c>
      <c r="F146" s="750">
        <f t="shared" ref="F146:F151" si="57">100*((C146/$C$145)-1)</f>
        <v>0.17732915018415785</v>
      </c>
      <c r="G146" s="751">
        <f t="shared" si="56"/>
        <v>12.224938875305625</v>
      </c>
      <c r="H146" s="840">
        <f t="shared" si="54"/>
        <v>37.848186800810879</v>
      </c>
      <c r="I146" s="842">
        <f>$C$322/C146</f>
        <v>1.8376906318082786</v>
      </c>
      <c r="N146" s="753"/>
    </row>
    <row r="147" spans="1:14" ht="15" hidden="1" customHeight="1" thickBot="1">
      <c r="A147" s="734">
        <f t="shared" si="52"/>
        <v>140</v>
      </c>
      <c r="B147" s="970" t="s">
        <v>424</v>
      </c>
      <c r="C147" s="721">
        <f>+geral!C41</f>
        <v>1.837</v>
      </c>
      <c r="D147" s="748">
        <f t="shared" si="40"/>
        <v>540.29411764705878</v>
      </c>
      <c r="E147" s="750">
        <f t="shared" si="55"/>
        <v>5.4466230936811577E-2</v>
      </c>
      <c r="F147" s="750">
        <f t="shared" si="57"/>
        <v>0.23189196562540815</v>
      </c>
      <c r="G147" s="751">
        <f t="shared" si="56"/>
        <v>12.019025550338448</v>
      </c>
      <c r="H147" s="840">
        <f t="shared" ref="H147:H152" si="58">100*(C147/C123-1)</f>
        <v>37.376607837271926</v>
      </c>
      <c r="I147" s="842">
        <f>$C$322/C147</f>
        <v>1.8366902558519322</v>
      </c>
      <c r="N147" s="753"/>
    </row>
    <row r="148" spans="1:14" ht="15" hidden="1" customHeight="1" thickBot="1">
      <c r="A148" s="734">
        <f t="shared" si="52"/>
        <v>141</v>
      </c>
      <c r="B148" s="970" t="s">
        <v>425</v>
      </c>
      <c r="C148" s="721">
        <f>+geral!C42</f>
        <v>1.8240000000000001</v>
      </c>
      <c r="D148" s="748">
        <f t="shared" si="40"/>
        <v>536.47058823529414</v>
      </c>
      <c r="E148" s="750">
        <f t="shared" ref="E148:E153" si="59">100*((C148/C147)-1)</f>
        <v>-0.70767555797495163</v>
      </c>
      <c r="F148" s="750">
        <f t="shared" si="57"/>
        <v>-0.47742463511117883</v>
      </c>
      <c r="G148" s="751">
        <f t="shared" si="56"/>
        <v>11.016433353621435</v>
      </c>
      <c r="H148" s="840">
        <f t="shared" si="58"/>
        <v>37.101623571858092</v>
      </c>
      <c r="I148" s="842">
        <f>$C$322/C148</f>
        <v>1.8497807017543857</v>
      </c>
      <c r="N148" s="753"/>
    </row>
    <row r="149" spans="1:14" ht="15" hidden="1" customHeight="1" thickBot="1">
      <c r="A149" s="734">
        <f t="shared" si="52"/>
        <v>142</v>
      </c>
      <c r="B149" s="970" t="s">
        <v>426</v>
      </c>
      <c r="C149" s="721">
        <f>+geral!C43</f>
        <v>1.821</v>
      </c>
      <c r="D149" s="748">
        <f t="shared" si="40"/>
        <v>535.58823529411757</v>
      </c>
      <c r="E149" s="750">
        <f t="shared" si="59"/>
        <v>-0.16447368421053099</v>
      </c>
      <c r="F149" s="750">
        <f t="shared" si="57"/>
        <v>-0.64111308143500745</v>
      </c>
      <c r="G149" s="751">
        <f t="shared" ref="G149:G154" si="60">100*((C149/C137)-1)</f>
        <v>11.131453679970704</v>
      </c>
      <c r="H149" s="840">
        <f t="shared" si="58"/>
        <v>37.082204155374889</v>
      </c>
      <c r="I149" s="842">
        <f>$C$322/C149</f>
        <v>1.8528281164195495</v>
      </c>
      <c r="N149" s="753"/>
    </row>
    <row r="150" spans="1:14" ht="15" hidden="1" customHeight="1" thickBot="1">
      <c r="A150" s="734">
        <f t="shared" si="52"/>
        <v>143</v>
      </c>
      <c r="B150" s="970" t="s">
        <v>427</v>
      </c>
      <c r="C150" s="721">
        <f>+geral!C44</f>
        <v>1.825</v>
      </c>
      <c r="D150" s="748">
        <f t="shared" si="40"/>
        <v>536.76470588235293</v>
      </c>
      <c r="E150" s="750">
        <f t="shared" si="59"/>
        <v>0.21965952773201902</v>
      </c>
      <c r="F150" s="750">
        <f t="shared" si="57"/>
        <v>-0.42286181966990632</v>
      </c>
      <c r="G150" s="751">
        <f t="shared" si="60"/>
        <v>10.14545235077553</v>
      </c>
      <c r="H150" s="840">
        <f t="shared" si="58"/>
        <v>37.954493914883969</v>
      </c>
      <c r="I150" s="842">
        <f>$C$322/C150</f>
        <v>1.848767123287671</v>
      </c>
      <c r="N150" s="753"/>
    </row>
    <row r="151" spans="1:14" ht="15" hidden="1" customHeight="1" thickBot="1">
      <c r="A151" s="734">
        <f t="shared" si="52"/>
        <v>144</v>
      </c>
      <c r="B151" s="970" t="s">
        <v>428</v>
      </c>
      <c r="C151" s="721">
        <f>+geral!C45</f>
        <v>1.788</v>
      </c>
      <c r="D151" s="748">
        <f t="shared" si="40"/>
        <v>525.88235294117646</v>
      </c>
      <c r="E151" s="750">
        <f t="shared" si="59"/>
        <v>-2.0273972602739665</v>
      </c>
      <c r="F151" s="750">
        <f t="shared" si="57"/>
        <v>-2.4416859909971445</v>
      </c>
      <c r="G151" s="751">
        <f t="shared" si="60"/>
        <v>8.5017294738758409</v>
      </c>
      <c r="H151" s="840">
        <f t="shared" si="58"/>
        <v>23.600165906262948</v>
      </c>
      <c r="I151" s="842">
        <f>$C$322/C151</f>
        <v>1.8870246085011184</v>
      </c>
      <c r="N151" s="753"/>
    </row>
    <row r="152" spans="1:14" ht="15" hidden="1" customHeight="1" thickBot="1">
      <c r="A152" s="734">
        <f t="shared" si="52"/>
        <v>145</v>
      </c>
      <c r="B152" s="970" t="s">
        <v>429</v>
      </c>
      <c r="C152" s="721">
        <f>+geral!C46</f>
        <v>1.8280000000000001</v>
      </c>
      <c r="D152" s="748">
        <f t="shared" si="40"/>
        <v>537.64705882352939</v>
      </c>
      <c r="E152" s="750">
        <f t="shared" si="59"/>
        <v>2.2371364653243964</v>
      </c>
      <c r="F152" s="750">
        <f t="shared" ref="F152:F157" si="61">100*((C152/$C$145)-1)</f>
        <v>-0.2591733733460666</v>
      </c>
      <c r="G152" s="751">
        <f t="shared" si="60"/>
        <v>10.586811857229272</v>
      </c>
      <c r="H152" s="840">
        <f t="shared" si="58"/>
        <v>26.365270288953411</v>
      </c>
      <c r="I152" s="842">
        <f>$C$322/C152</f>
        <v>1.845733041575492</v>
      </c>
      <c r="N152" s="753"/>
    </row>
    <row r="153" spans="1:14" ht="15" hidden="1" customHeight="1" thickBot="1">
      <c r="A153" s="734">
        <f t="shared" si="52"/>
        <v>146</v>
      </c>
      <c r="B153" s="970" t="s">
        <v>430</v>
      </c>
      <c r="C153" s="721">
        <f>+geral!C47</f>
        <v>1.796</v>
      </c>
      <c r="D153" s="748">
        <f t="shared" si="40"/>
        <v>528.23529411764696</v>
      </c>
      <c r="E153" s="750">
        <f t="shared" si="59"/>
        <v>-1.7505470459518668</v>
      </c>
      <c r="F153" s="750">
        <f t="shared" si="61"/>
        <v>-2.00518346746692</v>
      </c>
      <c r="G153" s="751">
        <f t="shared" si="60"/>
        <v>9.1130012150668414</v>
      </c>
      <c r="H153" s="840">
        <f t="shared" ref="H153:H158" si="62">100*(C153/C129-1)</f>
        <v>24.075993091537139</v>
      </c>
      <c r="I153" s="842">
        <f>$C$322/C153</f>
        <v>1.8786191536748327</v>
      </c>
      <c r="N153" s="753"/>
    </row>
    <row r="154" spans="1:14" ht="15" hidden="1" customHeight="1" thickBot="1">
      <c r="A154" s="734">
        <f t="shared" si="52"/>
        <v>147</v>
      </c>
      <c r="B154" s="970" t="s">
        <v>431</v>
      </c>
      <c r="C154" s="721">
        <f>+geral!C48</f>
        <v>1.8360000000000001</v>
      </c>
      <c r="D154" s="748">
        <f t="shared" si="40"/>
        <v>540</v>
      </c>
      <c r="E154" s="750">
        <f t="shared" ref="E154:E159" si="63">100*((C154/C153)-1)</f>
        <v>2.2271714922049046</v>
      </c>
      <c r="F154" s="750">
        <f t="shared" si="61"/>
        <v>0.17732915018415785</v>
      </c>
      <c r="G154" s="751">
        <f t="shared" si="60"/>
        <v>1.1625984902749575</v>
      </c>
      <c r="H154" s="840">
        <f t="shared" si="62"/>
        <v>27.438050947456105</v>
      </c>
      <c r="I154" s="842">
        <f>$C$322/C154</f>
        <v>1.8376906318082786</v>
      </c>
      <c r="N154" s="753"/>
    </row>
    <row r="155" spans="1:14" ht="15" hidden="1" customHeight="1" thickBot="1">
      <c r="A155" s="734">
        <f t="shared" si="52"/>
        <v>148</v>
      </c>
      <c r="B155" s="970" t="s">
        <v>432</v>
      </c>
      <c r="C155" s="721">
        <f>+geral!C49</f>
        <v>1.8362000000000003</v>
      </c>
      <c r="D155" s="748">
        <f t="shared" si="40"/>
        <v>540.05882352941182</v>
      </c>
      <c r="E155" s="750">
        <f t="shared" si="63"/>
        <v>1.0893246187371197E-2</v>
      </c>
      <c r="F155" s="750">
        <f t="shared" si="61"/>
        <v>0.18824171327240791</v>
      </c>
      <c r="G155" s="751">
        <f t="shared" ref="G155:G160" si="64">100*((C155/C143)-1)</f>
        <v>-0.20652173913042748</v>
      </c>
      <c r="H155" s="840">
        <f t="shared" si="62"/>
        <v>20.556759241021627</v>
      </c>
      <c r="I155" s="842">
        <f>$C$322/C155</f>
        <v>1.8374904694477721</v>
      </c>
      <c r="N155" s="753"/>
    </row>
    <row r="156" spans="1:14" ht="15" hidden="1" customHeight="1" thickBot="1">
      <c r="A156" s="734">
        <f t="shared" si="52"/>
        <v>149</v>
      </c>
      <c r="B156" s="970" t="s">
        <v>433</v>
      </c>
      <c r="C156" s="721">
        <f>+geral!C50</f>
        <v>1.8080000000000001</v>
      </c>
      <c r="D156" s="748">
        <f t="shared" si="40"/>
        <v>531.76470588235293</v>
      </c>
      <c r="E156" s="750">
        <f t="shared" si="63"/>
        <v>-1.535780416076693</v>
      </c>
      <c r="F156" s="750">
        <f t="shared" si="61"/>
        <v>-1.3504296821716055</v>
      </c>
      <c r="G156" s="751">
        <f t="shared" si="64"/>
        <v>-1.2021857923497303</v>
      </c>
      <c r="H156" s="840">
        <f t="shared" si="62"/>
        <v>18.487450029490795</v>
      </c>
      <c r="I156" s="842">
        <f>$C$322/C156</f>
        <v>1.8661504424778759</v>
      </c>
      <c r="N156" s="753"/>
    </row>
    <row r="157" spans="1:14" ht="15" hidden="1" customHeight="1" thickBot="1">
      <c r="A157" s="734">
        <f t="shared" si="52"/>
        <v>150</v>
      </c>
      <c r="B157" s="970" t="s">
        <v>434</v>
      </c>
      <c r="C157" s="721">
        <f>+geral!C51</f>
        <v>1.8180000000000001</v>
      </c>
      <c r="D157" s="748">
        <f t="shared" si="40"/>
        <v>534.70588235294122</v>
      </c>
      <c r="E157" s="750">
        <f t="shared" si="63"/>
        <v>0.5530973451327359</v>
      </c>
      <c r="F157" s="750">
        <f t="shared" si="61"/>
        <v>-0.80480152775883607</v>
      </c>
      <c r="G157" s="751">
        <f t="shared" si="64"/>
        <v>-0.80480152775883607</v>
      </c>
      <c r="H157" s="840">
        <f t="shared" si="62"/>
        <v>11.083954539899787</v>
      </c>
      <c r="I157" s="842">
        <f>$C$322/C157</f>
        <v>1.8558855885588557</v>
      </c>
      <c r="M157" s="737"/>
      <c r="N157" s="753"/>
    </row>
    <row r="158" spans="1:14" ht="15" hidden="1" customHeight="1" thickBot="1">
      <c r="A158" s="734">
        <f t="shared" si="52"/>
        <v>151</v>
      </c>
      <c r="B158" s="970" t="s">
        <v>435</v>
      </c>
      <c r="C158" s="721">
        <f>+geral!E40</f>
        <v>1.8240000000000001</v>
      </c>
      <c r="D158" s="748">
        <f t="shared" ref="D158:D217" si="65">100*C158/$C$8</f>
        <v>536.47058823529414</v>
      </c>
      <c r="E158" s="750">
        <f t="shared" si="63"/>
        <v>0.33003300330032292</v>
      </c>
      <c r="F158" s="750">
        <f t="shared" ref="F158:F163" si="66">100*((C158/$C$157)-1)</f>
        <v>0.33003300330032292</v>
      </c>
      <c r="G158" s="751">
        <f t="shared" si="64"/>
        <v>-0.65359477124182774</v>
      </c>
      <c r="H158" s="840">
        <f t="shared" si="62"/>
        <v>11.49144254278729</v>
      </c>
      <c r="I158" s="842">
        <f>$C$322/C158</f>
        <v>1.8497807017543857</v>
      </c>
      <c r="N158" s="753"/>
    </row>
    <row r="159" spans="1:14" ht="15" hidden="1" customHeight="1" thickBot="1">
      <c r="A159" s="734">
        <f t="shared" si="52"/>
        <v>152</v>
      </c>
      <c r="B159" s="970" t="s">
        <v>436</v>
      </c>
      <c r="C159" s="721">
        <f>+geral!E41</f>
        <v>1.8220000000000001</v>
      </c>
      <c r="D159" s="748">
        <f t="shared" si="65"/>
        <v>535.88235294117646</v>
      </c>
      <c r="E159" s="750">
        <f t="shared" si="63"/>
        <v>-0.10964912280702066</v>
      </c>
      <c r="F159" s="750">
        <f t="shared" si="66"/>
        <v>0.22002200220021528</v>
      </c>
      <c r="G159" s="751">
        <f t="shared" si="64"/>
        <v>-0.8165487207403288</v>
      </c>
      <c r="H159" s="840">
        <f t="shared" ref="H159:H169" si="67">100*(C159/C135-1)</f>
        <v>11.104335630221374</v>
      </c>
      <c r="I159" s="842">
        <f>$C$322/C159</f>
        <v>1.8518111964873762</v>
      </c>
      <c r="N159" s="753"/>
    </row>
    <row r="160" spans="1:14" ht="15" hidden="1" customHeight="1" thickBot="1">
      <c r="A160" s="734">
        <f t="shared" si="52"/>
        <v>153</v>
      </c>
      <c r="B160" s="970" t="s">
        <v>437</v>
      </c>
      <c r="C160" s="721">
        <f>+geral!E42</f>
        <v>1.8280000000000001</v>
      </c>
      <c r="D160" s="748">
        <f t="shared" si="65"/>
        <v>537.64705882352939</v>
      </c>
      <c r="E160" s="750">
        <f t="shared" ref="E160:E169" si="68">100*((C160/C159)-1)</f>
        <v>0.3293084522502765</v>
      </c>
      <c r="F160" s="750">
        <f t="shared" si="66"/>
        <v>0.55005500550056041</v>
      </c>
      <c r="G160" s="751">
        <f t="shared" si="64"/>
        <v>0.21929824561404132</v>
      </c>
      <c r="H160" s="840">
        <f t="shared" si="67"/>
        <v>11.259890444309196</v>
      </c>
      <c r="I160" s="842">
        <f>$C$322/C160</f>
        <v>1.845733041575492</v>
      </c>
      <c r="N160" s="753"/>
    </row>
    <row r="161" spans="1:14" ht="15" hidden="1" customHeight="1" thickBot="1">
      <c r="A161" s="734">
        <f t="shared" si="52"/>
        <v>154</v>
      </c>
      <c r="B161" s="970" t="s">
        <v>438</v>
      </c>
      <c r="C161" s="721">
        <f>+geral!E43</f>
        <v>1.8420000000000001</v>
      </c>
      <c r="D161" s="748">
        <f t="shared" si="65"/>
        <v>541.76470588235293</v>
      </c>
      <c r="E161" s="750">
        <f t="shared" si="68"/>
        <v>0.76586433260394937</v>
      </c>
      <c r="F161" s="750">
        <f t="shared" si="66"/>
        <v>1.3201320132013139</v>
      </c>
      <c r="G161" s="751">
        <f t="shared" ref="G161:G169" si="69">100*((C161/C149)-1)</f>
        <v>1.1532125205930832</v>
      </c>
      <c r="H161" s="840">
        <f t="shared" si="67"/>
        <v>12.413035518125227</v>
      </c>
      <c r="I161" s="842">
        <f>$C$322/C161</f>
        <v>1.831704668838219</v>
      </c>
      <c r="N161" s="753"/>
    </row>
    <row r="162" spans="1:14" ht="15" hidden="1" customHeight="1" thickBot="1">
      <c r="A162" s="734">
        <f t="shared" si="52"/>
        <v>155</v>
      </c>
      <c r="B162" s="970" t="s">
        <v>439</v>
      </c>
      <c r="C162" s="721">
        <f>+geral!E44</f>
        <v>1.835</v>
      </c>
      <c r="D162" s="748">
        <f t="shared" si="65"/>
        <v>539.7058823529411</v>
      </c>
      <c r="E162" s="750">
        <f t="shared" si="68"/>
        <v>-0.38002171552661279</v>
      </c>
      <c r="F162" s="750">
        <f t="shared" si="66"/>
        <v>0.93509350935092606</v>
      </c>
      <c r="G162" s="751">
        <f t="shared" si="69"/>
        <v>0.5479452054794498</v>
      </c>
      <c r="H162" s="840">
        <f t="shared" si="67"/>
        <v>10.748989075985271</v>
      </c>
      <c r="I162" s="842">
        <f>$C$322/C162</f>
        <v>1.8386920980926429</v>
      </c>
      <c r="N162" s="753"/>
    </row>
    <row r="163" spans="1:14" ht="15" hidden="1" customHeight="1" thickBot="1">
      <c r="A163" s="734">
        <f t="shared" si="52"/>
        <v>156</v>
      </c>
      <c r="B163" s="970" t="s">
        <v>440</v>
      </c>
      <c r="C163" s="721">
        <f>+geral!E45</f>
        <v>1.8207100000000001</v>
      </c>
      <c r="D163" s="748">
        <f t="shared" si="65"/>
        <v>535.50294117647059</v>
      </c>
      <c r="E163" s="750">
        <f t="shared" si="68"/>
        <v>-0.77874659400544166</v>
      </c>
      <c r="F163" s="750">
        <f t="shared" si="66"/>
        <v>0.14906490649064796</v>
      </c>
      <c r="G163" s="751">
        <f t="shared" si="69"/>
        <v>1.8294183445190182</v>
      </c>
      <c r="H163" s="840">
        <f t="shared" si="67"/>
        <v>10.486680016991334</v>
      </c>
      <c r="I163" s="842">
        <f>$C$322/C163</f>
        <v>1.8531232321457012</v>
      </c>
      <c r="N163" s="753"/>
    </row>
    <row r="164" spans="1:14" ht="15" hidden="1" customHeight="1" thickBot="1">
      <c r="A164" s="734">
        <f t="shared" si="52"/>
        <v>157</v>
      </c>
      <c r="B164" s="970" t="s">
        <v>441</v>
      </c>
      <c r="C164" s="721">
        <f>+geral!E46</f>
        <v>1.82213</v>
      </c>
      <c r="D164" s="748">
        <f t="shared" si="65"/>
        <v>535.92058823529408</v>
      </c>
      <c r="E164" s="750">
        <f t="shared" si="68"/>
        <v>7.799155274590408E-2</v>
      </c>
      <c r="F164" s="750">
        <f t="shared" ref="F164:F169" si="70">100*((C164/$C$157)-1)</f>
        <v>0.22717271727172861</v>
      </c>
      <c r="G164" s="751">
        <f t="shared" si="69"/>
        <v>-0.32111597374179235</v>
      </c>
      <c r="H164" s="840">
        <f t="shared" si="67"/>
        <v>10.231699939503924</v>
      </c>
      <c r="I164" s="842">
        <f>$C$322/C164</f>
        <v>1.8516790788802113</v>
      </c>
      <c r="J164" s="745" t="s">
        <v>243</v>
      </c>
      <c r="N164" s="753"/>
    </row>
    <row r="165" spans="1:14" ht="15" hidden="1" customHeight="1" thickBot="1">
      <c r="A165" s="734">
        <f t="shared" si="52"/>
        <v>158</v>
      </c>
      <c r="B165" s="970" t="s">
        <v>442</v>
      </c>
      <c r="C165" s="721">
        <f>+geral!E47</f>
        <v>1.81525</v>
      </c>
      <c r="D165" s="748">
        <f t="shared" si="65"/>
        <v>533.89705882352939</v>
      </c>
      <c r="E165" s="750">
        <f t="shared" si="68"/>
        <v>-0.37758008484575223</v>
      </c>
      <c r="F165" s="750">
        <f t="shared" si="70"/>
        <v>-0.15126512651265633</v>
      </c>
      <c r="G165" s="751">
        <f t="shared" si="69"/>
        <v>1.0718262806236112</v>
      </c>
      <c r="H165" s="840">
        <f t="shared" si="67"/>
        <v>10.282503037667091</v>
      </c>
      <c r="I165" s="842">
        <f>$C$322/C165</f>
        <v>1.8586971491530091</v>
      </c>
      <c r="N165" s="753"/>
    </row>
    <row r="166" spans="1:14" ht="15" hidden="1" customHeight="1" thickBot="1">
      <c r="A166" s="734">
        <f t="shared" si="52"/>
        <v>159</v>
      </c>
      <c r="B166" s="970" t="s">
        <v>443</v>
      </c>
      <c r="C166" s="721">
        <f>+geral!E48</f>
        <v>1.8089999999999999</v>
      </c>
      <c r="D166" s="748">
        <f t="shared" si="65"/>
        <v>532.05882352941171</v>
      </c>
      <c r="E166" s="750">
        <f t="shared" si="68"/>
        <v>-0.34430519212230726</v>
      </c>
      <c r="F166" s="750">
        <f t="shared" si="70"/>
        <v>-0.49504950495050659</v>
      </c>
      <c r="G166" s="751">
        <f t="shared" si="69"/>
        <v>-1.4705882352941235</v>
      </c>
      <c r="H166" s="840">
        <f t="shared" si="67"/>
        <v>-0.3250867816408598</v>
      </c>
      <c r="I166" s="842">
        <f>$C$322/C166</f>
        <v>1.865118850193477</v>
      </c>
      <c r="N166" s="753"/>
    </row>
    <row r="167" spans="1:14" ht="15" hidden="1" customHeight="1" thickBot="1">
      <c r="A167" s="734">
        <f t="shared" si="52"/>
        <v>160</v>
      </c>
      <c r="B167" s="970" t="s">
        <v>444</v>
      </c>
      <c r="C167" s="721">
        <f>+geral!E49</f>
        <v>1.8146249999999995</v>
      </c>
      <c r="D167" s="748">
        <f t="shared" si="65"/>
        <v>533.71323529411745</v>
      </c>
      <c r="E167" s="750">
        <f t="shared" si="68"/>
        <v>0.31094527363182412</v>
      </c>
      <c r="F167" s="750">
        <f t="shared" si="70"/>
        <v>-0.18564356435646356</v>
      </c>
      <c r="G167" s="751">
        <f t="shared" si="69"/>
        <v>-1.1749809388955867</v>
      </c>
      <c r="H167" s="840">
        <f t="shared" si="67"/>
        <v>-1.3790760869565544</v>
      </c>
      <c r="I167" s="842">
        <f>$C$322/C167</f>
        <v>1.8593373286491703</v>
      </c>
      <c r="N167" s="753"/>
    </row>
    <row r="168" spans="1:14" ht="15" hidden="1" customHeight="1" thickBot="1">
      <c r="A168" s="734">
        <f t="shared" si="52"/>
        <v>161</v>
      </c>
      <c r="B168" s="970" t="s">
        <v>445</v>
      </c>
      <c r="C168" s="721">
        <f>+geral!E50</f>
        <v>1.8214999999999997</v>
      </c>
      <c r="D168" s="748">
        <f t="shared" si="65"/>
        <v>535.73529411764696</v>
      </c>
      <c r="E168" s="750">
        <f t="shared" si="68"/>
        <v>0.37886615691948844</v>
      </c>
      <c r="F168" s="750">
        <f t="shared" si="70"/>
        <v>0.19251925192516062</v>
      </c>
      <c r="G168" s="751">
        <f t="shared" si="69"/>
        <v>0.74668141592917348</v>
      </c>
      <c r="H168" s="840">
        <f t="shared" si="67"/>
        <v>-0.46448087431696372</v>
      </c>
      <c r="I168" s="842">
        <f>$C$322/C168</f>
        <v>1.8523195168816911</v>
      </c>
      <c r="N168" s="753"/>
    </row>
    <row r="169" spans="1:14" ht="15" hidden="1" customHeight="1" thickBot="1">
      <c r="A169" s="734">
        <f t="shared" si="52"/>
        <v>162</v>
      </c>
      <c r="B169" s="970" t="s">
        <v>446</v>
      </c>
      <c r="C169" s="721">
        <f>+geral!E51</f>
        <v>1.8358750000000001</v>
      </c>
      <c r="D169" s="748">
        <f t="shared" si="65"/>
        <v>539.96323529411768</v>
      </c>
      <c r="E169" s="750">
        <f t="shared" si="68"/>
        <v>0.78918473785345444</v>
      </c>
      <c r="F169" s="750">
        <f t="shared" si="70"/>
        <v>0.98322332233222731</v>
      </c>
      <c r="G169" s="751">
        <f t="shared" si="69"/>
        <v>0.98322332233222731</v>
      </c>
      <c r="H169" s="840">
        <f t="shared" si="67"/>
        <v>0.17050879825399878</v>
      </c>
      <c r="I169" s="842">
        <f>$C$322/C169</f>
        <v>1.8378157554299717</v>
      </c>
      <c r="N169" s="753"/>
    </row>
    <row r="170" spans="1:14" ht="15" hidden="1" customHeight="1" thickBot="1">
      <c r="A170" s="734">
        <f t="shared" si="52"/>
        <v>163</v>
      </c>
      <c r="B170" s="970" t="s">
        <v>447</v>
      </c>
      <c r="C170" s="721">
        <f>geral!G40</f>
        <v>1.875</v>
      </c>
      <c r="D170" s="748">
        <f t="shared" si="65"/>
        <v>551.47058823529403</v>
      </c>
      <c r="E170" s="750">
        <f t="shared" ref="E170:E175" si="71">100*((C170/C169)-1)</f>
        <v>2.1311363791107762</v>
      </c>
      <c r="F170" s="750">
        <f t="shared" ref="F170:F175" si="72">100*((C170/$C$169)-1)</f>
        <v>2.1311363791107762</v>
      </c>
      <c r="G170" s="751">
        <f t="shared" ref="G170:G175" si="73">100*((C170/C158)-1)</f>
        <v>2.796052631578938</v>
      </c>
      <c r="H170" s="840">
        <f t="shared" ref="H170:H175" si="74">100*(C170/C146-1)</f>
        <v>2.1241830065359402</v>
      </c>
      <c r="I170" s="842">
        <f>$C$322/C170</f>
        <v>1.7994666666666665</v>
      </c>
      <c r="N170" s="753"/>
    </row>
    <row r="171" spans="1:14" ht="15" hidden="1" customHeight="1" thickBot="1">
      <c r="A171" s="734">
        <f t="shared" si="52"/>
        <v>164</v>
      </c>
      <c r="B171" s="970" t="s">
        <v>448</v>
      </c>
      <c r="C171" s="721">
        <f>geral!G41</f>
        <v>1.8759999999999999</v>
      </c>
      <c r="D171" s="748">
        <f t="shared" si="65"/>
        <v>551.76470588235293</v>
      </c>
      <c r="E171" s="750">
        <f t="shared" si="71"/>
        <v>5.333333333332746E-2</v>
      </c>
      <c r="F171" s="750">
        <f t="shared" si="72"/>
        <v>2.1856063185129671</v>
      </c>
      <c r="G171" s="751">
        <f t="shared" si="73"/>
        <v>2.9637760702524663</v>
      </c>
      <c r="H171" s="840">
        <f t="shared" si="74"/>
        <v>2.1230266739248771</v>
      </c>
      <c r="I171" s="842">
        <f>$C$322/C171</f>
        <v>1.7985074626865671</v>
      </c>
      <c r="N171" s="753"/>
    </row>
    <row r="172" spans="1:14" ht="15" hidden="1" customHeight="1" thickBot="1">
      <c r="A172" s="734">
        <f t="shared" si="52"/>
        <v>165</v>
      </c>
      <c r="B172" s="970" t="s">
        <v>449</v>
      </c>
      <c r="C172" s="721">
        <f>geral!G42</f>
        <v>1.8769999999999996</v>
      </c>
      <c r="D172" s="748">
        <f t="shared" si="65"/>
        <v>552.0588235294116</v>
      </c>
      <c r="E172" s="750">
        <f t="shared" si="71"/>
        <v>5.3304904051154622E-2</v>
      </c>
      <c r="F172" s="750">
        <f t="shared" si="72"/>
        <v>2.2400762579151356</v>
      </c>
      <c r="G172" s="751">
        <f t="shared" si="73"/>
        <v>2.6805251641137673</v>
      </c>
      <c r="H172" s="840">
        <f t="shared" si="74"/>
        <v>2.9057017543859365</v>
      </c>
      <c r="I172" s="842">
        <f>$C$322/C172</f>
        <v>1.797549280767182</v>
      </c>
      <c r="N172" s="753"/>
    </row>
    <row r="173" spans="1:14" ht="15" hidden="1" customHeight="1" thickBot="1">
      <c r="A173" s="734">
        <f t="shared" si="52"/>
        <v>166</v>
      </c>
      <c r="B173" s="970" t="s">
        <v>450</v>
      </c>
      <c r="C173" s="721">
        <f>geral!G43</f>
        <v>1.8779999999999999</v>
      </c>
      <c r="D173" s="748">
        <f t="shared" si="65"/>
        <v>552.35294117647049</v>
      </c>
      <c r="E173" s="750">
        <f t="shared" si="71"/>
        <v>5.3276505061283785E-2</v>
      </c>
      <c r="F173" s="750">
        <f t="shared" si="72"/>
        <v>2.2945461973173487</v>
      </c>
      <c r="G173" s="751">
        <f t="shared" si="73"/>
        <v>1.9543973941367865</v>
      </c>
      <c r="H173" s="840">
        <f t="shared" si="74"/>
        <v>3.13014827018121</v>
      </c>
      <c r="I173" s="842">
        <f>$C$322/C173</f>
        <v>1.7965921192758252</v>
      </c>
      <c r="J173" s="745" t="s">
        <v>256</v>
      </c>
      <c r="N173" s="753"/>
    </row>
    <row r="174" spans="1:14" ht="15" hidden="1" customHeight="1" thickBot="1">
      <c r="A174" s="734">
        <f t="shared" si="52"/>
        <v>167</v>
      </c>
      <c r="B174" s="970" t="s">
        <v>451</v>
      </c>
      <c r="C174" s="721">
        <f>geral!G44</f>
        <v>2.0459999999999998</v>
      </c>
      <c r="D174" s="748">
        <f t="shared" si="65"/>
        <v>601.76470588235293</v>
      </c>
      <c r="E174" s="750">
        <f t="shared" si="71"/>
        <v>8.9456869009584707</v>
      </c>
      <c r="F174" s="750">
        <f t="shared" si="72"/>
        <v>11.44549601688567</v>
      </c>
      <c r="G174" s="751">
        <f t="shared" si="73"/>
        <v>11.498637602179841</v>
      </c>
      <c r="H174" s="840">
        <f t="shared" si="74"/>
        <v>12.109589041095891</v>
      </c>
      <c r="I174" s="842">
        <f>$C$322/C174</f>
        <v>1.6490713587487782</v>
      </c>
      <c r="N174" s="753"/>
    </row>
    <row r="175" spans="1:14" ht="15" hidden="1" customHeight="1" thickBot="1">
      <c r="A175" s="734">
        <f t="shared" si="52"/>
        <v>168</v>
      </c>
      <c r="B175" s="970" t="s">
        <v>452</v>
      </c>
      <c r="C175" s="721">
        <f>geral!G45</f>
        <v>2.052</v>
      </c>
      <c r="D175" s="748">
        <f t="shared" si="65"/>
        <v>603.52941176470586</v>
      </c>
      <c r="E175" s="750">
        <f t="shared" si="71"/>
        <v>0.29325513196483133</v>
      </c>
      <c r="F175" s="750">
        <f t="shared" si="72"/>
        <v>11.772315653298836</v>
      </c>
      <c r="G175" s="751">
        <f t="shared" si="73"/>
        <v>12.703286080704789</v>
      </c>
      <c r="H175" s="840">
        <f t="shared" si="74"/>
        <v>14.76510067114094</v>
      </c>
      <c r="I175" s="842">
        <f>$C$322/C175</f>
        <v>1.6442495126705652</v>
      </c>
      <c r="N175" s="753"/>
    </row>
    <row r="176" spans="1:14" ht="15" hidden="1" customHeight="1" thickBot="1">
      <c r="A176" s="734">
        <f t="shared" si="52"/>
        <v>169</v>
      </c>
      <c r="B176" s="970" t="s">
        <v>453</v>
      </c>
      <c r="C176" s="721">
        <f>geral!G46</f>
        <v>2.1</v>
      </c>
      <c r="D176" s="748">
        <f t="shared" si="65"/>
        <v>617.64705882352939</v>
      </c>
      <c r="E176" s="750">
        <f t="shared" ref="E176:E181" si="75">100*((C176/C175)-1)</f>
        <v>2.3391812865497075</v>
      </c>
      <c r="F176" s="750">
        <f t="shared" ref="F176:F181" si="76">100*((C176/$C$169)-1)</f>
        <v>14.386872744604062</v>
      </c>
      <c r="G176" s="751">
        <f t="shared" ref="G176:G181" si="77">100*((C176/C164)-1)</f>
        <v>15.249735200013181</v>
      </c>
      <c r="H176" s="840">
        <f t="shared" ref="H176:H181" si="78">100*(C176/C152-1)</f>
        <v>14.879649890590807</v>
      </c>
      <c r="I176" s="842">
        <f>$C$322/C176</f>
        <v>1.6066666666666665</v>
      </c>
      <c r="N176" s="753"/>
    </row>
    <row r="177" spans="1:14" ht="15" hidden="1" customHeight="1" thickBot="1">
      <c r="A177" s="734">
        <f t="shared" si="52"/>
        <v>170</v>
      </c>
      <c r="B177" s="970" t="s">
        <v>454</v>
      </c>
      <c r="C177" s="721">
        <f>geral!G47</f>
        <v>2.1030000000000002</v>
      </c>
      <c r="D177" s="748">
        <f t="shared" si="65"/>
        <v>618.52941176470586</v>
      </c>
      <c r="E177" s="750">
        <f t="shared" si="75"/>
        <v>0.14285714285715567</v>
      </c>
      <c r="F177" s="750">
        <f t="shared" si="76"/>
        <v>14.550282562810658</v>
      </c>
      <c r="G177" s="751">
        <f t="shared" si="77"/>
        <v>15.851811045310571</v>
      </c>
      <c r="H177" s="840">
        <f t="shared" si="78"/>
        <v>17.093541202672611</v>
      </c>
      <c r="I177" s="842">
        <f>$C$322/C177</f>
        <v>1.6043747028055155</v>
      </c>
      <c r="N177" s="753"/>
    </row>
    <row r="178" spans="1:14" ht="15" hidden="1" customHeight="1" thickBot="1">
      <c r="A178" s="734">
        <f t="shared" si="52"/>
        <v>171</v>
      </c>
      <c r="B178" s="970" t="s">
        <v>455</v>
      </c>
      <c r="C178" s="721">
        <f>geral!G48</f>
        <v>2.105</v>
      </c>
      <c r="D178" s="748">
        <f t="shared" si="65"/>
        <v>619.11764705882354</v>
      </c>
      <c r="E178" s="750">
        <f t="shared" si="75"/>
        <v>9.5102234902499916E-2</v>
      </c>
      <c r="F178" s="750">
        <f t="shared" si="76"/>
        <v>14.659222441615016</v>
      </c>
      <c r="G178" s="751">
        <f t="shared" si="77"/>
        <v>16.362631288004415</v>
      </c>
      <c r="H178" s="840">
        <f t="shared" si="78"/>
        <v>14.651416122004356</v>
      </c>
      <c r="I178" s="842">
        <f>$C$322/C178</f>
        <v>1.6028503562945366</v>
      </c>
      <c r="N178" s="753"/>
    </row>
    <row r="179" spans="1:14" ht="15" hidden="1" customHeight="1" thickBot="1">
      <c r="A179" s="734">
        <f t="shared" si="52"/>
        <v>172</v>
      </c>
      <c r="B179" s="970" t="s">
        <v>456</v>
      </c>
      <c r="C179" s="721">
        <f>geral!G49</f>
        <v>2.1059999999999999</v>
      </c>
      <c r="D179" s="748">
        <f t="shared" si="65"/>
        <v>619.41176470588232</v>
      </c>
      <c r="E179" s="750">
        <f t="shared" si="75"/>
        <v>4.7505938242276002E-2</v>
      </c>
      <c r="F179" s="750">
        <f t="shared" si="76"/>
        <v>14.713692381017207</v>
      </c>
      <c r="G179" s="751">
        <f t="shared" si="77"/>
        <v>16.057036577805349</v>
      </c>
      <c r="H179" s="840">
        <f t="shared" si="78"/>
        <v>14.693388519769069</v>
      </c>
      <c r="I179" s="842">
        <f>$C$322/C179</f>
        <v>1.6020892687559354</v>
      </c>
      <c r="N179" s="753"/>
    </row>
    <row r="180" spans="1:14" ht="15" hidden="1" customHeight="1" thickBot="1">
      <c r="A180" s="734">
        <f t="shared" si="52"/>
        <v>173</v>
      </c>
      <c r="B180" s="970" t="s">
        <v>457</v>
      </c>
      <c r="C180" s="721">
        <f>geral!G50</f>
        <v>2.1080000000000001</v>
      </c>
      <c r="D180" s="748">
        <f t="shared" si="65"/>
        <v>620</v>
      </c>
      <c r="E180" s="750">
        <f t="shared" si="75"/>
        <v>9.496676163343043E-2</v>
      </c>
      <c r="F180" s="750">
        <f t="shared" si="76"/>
        <v>14.82263225982161</v>
      </c>
      <c r="G180" s="751">
        <f t="shared" si="77"/>
        <v>15.728794949217706</v>
      </c>
      <c r="H180" s="840">
        <f t="shared" si="78"/>
        <v>16.592920353982301</v>
      </c>
      <c r="I180" s="842">
        <f>$C$322/C180</f>
        <v>1.6005692599620491</v>
      </c>
      <c r="N180" s="753"/>
    </row>
    <row r="181" spans="1:14" ht="15" hidden="1" customHeight="1" thickBot="1">
      <c r="A181" s="734">
        <f t="shared" si="52"/>
        <v>174</v>
      </c>
      <c r="B181" s="970" t="s">
        <v>458</v>
      </c>
      <c r="C181" s="721">
        <f>geral!G51</f>
        <v>2.1080000000000001</v>
      </c>
      <c r="D181" s="748">
        <f t="shared" si="65"/>
        <v>620</v>
      </c>
      <c r="E181" s="750">
        <f t="shared" si="75"/>
        <v>0</v>
      </c>
      <c r="F181" s="750">
        <f t="shared" si="76"/>
        <v>14.82263225982161</v>
      </c>
      <c r="G181" s="751">
        <f t="shared" si="77"/>
        <v>14.82263225982161</v>
      </c>
      <c r="H181" s="840">
        <f t="shared" si="78"/>
        <v>15.951595159515964</v>
      </c>
      <c r="I181" s="842">
        <f>$C$322/C181</f>
        <v>1.6005692599620491</v>
      </c>
      <c r="N181" s="753"/>
    </row>
    <row r="182" spans="1:14" ht="15" hidden="1" customHeight="1" thickBot="1">
      <c r="A182" s="734">
        <f t="shared" si="52"/>
        <v>175</v>
      </c>
      <c r="B182" s="970" t="s">
        <v>459</v>
      </c>
      <c r="C182" s="721">
        <f>geral!I40</f>
        <v>2.1080000000000001</v>
      </c>
      <c r="D182" s="748">
        <f t="shared" si="65"/>
        <v>620</v>
      </c>
      <c r="E182" s="750">
        <f t="shared" ref="E182:E187" si="79">100*((C182/C181)-1)</f>
        <v>0</v>
      </c>
      <c r="F182" s="750">
        <f t="shared" ref="F182:F187" si="80">100*((C182/$C$181)-1)</f>
        <v>0</v>
      </c>
      <c r="G182" s="751">
        <f t="shared" ref="G182:G187" si="81">100*((C182/C170)-1)</f>
        <v>12.426666666666675</v>
      </c>
      <c r="H182" s="840">
        <f t="shared" ref="H182:H187" si="82">100*(C182/C158-1)</f>
        <v>15.57017543859649</v>
      </c>
      <c r="I182" s="842">
        <f>$C$322/C182</f>
        <v>1.6005692599620491</v>
      </c>
      <c r="N182" s="753"/>
    </row>
    <row r="183" spans="1:14" ht="15" hidden="1" customHeight="1" thickBot="1">
      <c r="A183" s="734">
        <f t="shared" si="52"/>
        <v>176</v>
      </c>
      <c r="B183" s="970" t="s">
        <v>460</v>
      </c>
      <c r="C183" s="721">
        <f>geral!I41</f>
        <v>2.1080000000000001</v>
      </c>
      <c r="D183" s="748">
        <f t="shared" si="65"/>
        <v>620</v>
      </c>
      <c r="E183" s="750">
        <f t="shared" si="79"/>
        <v>0</v>
      </c>
      <c r="F183" s="750">
        <f t="shared" si="80"/>
        <v>0</v>
      </c>
      <c r="G183" s="751">
        <f t="shared" si="81"/>
        <v>12.366737739872068</v>
      </c>
      <c r="H183" s="840">
        <f t="shared" si="82"/>
        <v>15.69703622392975</v>
      </c>
      <c r="I183" s="842">
        <f>$C$322/C183</f>
        <v>1.6005692599620491</v>
      </c>
      <c r="N183" s="753"/>
    </row>
    <row r="184" spans="1:14" ht="15" hidden="1" customHeight="1" thickBot="1">
      <c r="A184" s="734">
        <f t="shared" si="52"/>
        <v>177</v>
      </c>
      <c r="B184" s="970" t="s">
        <v>461</v>
      </c>
      <c r="C184" s="721">
        <f>geral!I42</f>
        <v>2.1070000000000002</v>
      </c>
      <c r="D184" s="748">
        <f t="shared" si="65"/>
        <v>619.70588235294122</v>
      </c>
      <c r="E184" s="750">
        <f t="shared" si="79"/>
        <v>-4.743833017076815E-2</v>
      </c>
      <c r="F184" s="750">
        <f t="shared" si="80"/>
        <v>-4.743833017076815E-2</v>
      </c>
      <c r="G184" s="751">
        <f t="shared" si="81"/>
        <v>12.253596164091674</v>
      </c>
      <c r="H184" s="840">
        <f t="shared" si="82"/>
        <v>15.262582056892793</v>
      </c>
      <c r="I184" s="842">
        <f>$C$322/C184</f>
        <v>1.6013289036544847</v>
      </c>
      <c r="N184" s="753"/>
    </row>
    <row r="185" spans="1:14" ht="15" hidden="1" customHeight="1" thickBot="1">
      <c r="A185" s="734">
        <f t="shared" si="52"/>
        <v>178</v>
      </c>
      <c r="B185" s="970" t="s">
        <v>462</v>
      </c>
      <c r="C185" s="721">
        <f>geral!I43</f>
        <v>2.1070000000000002</v>
      </c>
      <c r="D185" s="748">
        <f t="shared" si="65"/>
        <v>619.70588235294122</v>
      </c>
      <c r="E185" s="750">
        <f t="shared" si="79"/>
        <v>0</v>
      </c>
      <c r="F185" s="750">
        <f t="shared" si="80"/>
        <v>-4.743833017076815E-2</v>
      </c>
      <c r="G185" s="751">
        <f t="shared" si="81"/>
        <v>12.19382321618745</v>
      </c>
      <c r="H185" s="840">
        <f t="shared" si="82"/>
        <v>14.386536373507063</v>
      </c>
      <c r="I185" s="842">
        <f>$C$322/C185</f>
        <v>1.6013289036544847</v>
      </c>
      <c r="N185" s="753"/>
    </row>
    <row r="186" spans="1:14" ht="15" hidden="1" customHeight="1" thickBot="1">
      <c r="A186" s="734">
        <f t="shared" si="52"/>
        <v>179</v>
      </c>
      <c r="B186" s="970" t="s">
        <v>463</v>
      </c>
      <c r="C186" s="721">
        <f>geral!I44</f>
        <v>2.1059999999999999</v>
      </c>
      <c r="D186" s="748">
        <f t="shared" si="65"/>
        <v>619.41176470588232</v>
      </c>
      <c r="E186" s="750">
        <f t="shared" si="79"/>
        <v>-4.7460844803048907E-2</v>
      </c>
      <c r="F186" s="750">
        <f t="shared" si="80"/>
        <v>-9.4876660341569607E-2</v>
      </c>
      <c r="G186" s="751">
        <f t="shared" si="81"/>
        <v>2.9325513196480912</v>
      </c>
      <c r="H186" s="840">
        <f t="shared" si="82"/>
        <v>14.768392370572192</v>
      </c>
      <c r="I186" s="842">
        <f>$C$322/C186</f>
        <v>1.6020892687559354</v>
      </c>
      <c r="N186" s="753"/>
    </row>
    <row r="187" spans="1:14" ht="15" hidden="1" customHeight="1" thickBot="1">
      <c r="A187" s="734">
        <f t="shared" si="52"/>
        <v>180</v>
      </c>
      <c r="B187" s="970" t="s">
        <v>464</v>
      </c>
      <c r="C187" s="721">
        <f>geral!I45</f>
        <v>2.0219999999999998</v>
      </c>
      <c r="D187" s="748">
        <f t="shared" si="65"/>
        <v>594.7058823529411</v>
      </c>
      <c r="E187" s="750">
        <f t="shared" si="79"/>
        <v>-3.9886039886039892</v>
      </c>
      <c r="F187" s="750">
        <f t="shared" si="80"/>
        <v>-4.0796963946869162</v>
      </c>
      <c r="G187" s="751">
        <f t="shared" si="81"/>
        <v>-1.4619883040935755</v>
      </c>
      <c r="H187" s="840">
        <f t="shared" si="82"/>
        <v>11.055577219875756</v>
      </c>
      <c r="I187" s="842">
        <f>$C$322/C187</f>
        <v>1.6686449060336301</v>
      </c>
      <c r="J187" s="745" t="s">
        <v>257</v>
      </c>
      <c r="N187" s="753"/>
    </row>
    <row r="188" spans="1:14" ht="15" hidden="1" customHeight="1" thickBot="1">
      <c r="A188" s="734">
        <f t="shared" si="52"/>
        <v>181</v>
      </c>
      <c r="B188" s="970" t="s">
        <v>465</v>
      </c>
      <c r="C188" s="721">
        <f>geral!I46</f>
        <v>1.9970000000000001</v>
      </c>
      <c r="D188" s="748">
        <f t="shared" si="65"/>
        <v>587.35294117647061</v>
      </c>
      <c r="E188" s="750">
        <f t="shared" ref="E188:E193" si="83">100*((C188/C187)-1)</f>
        <v>-1.2363996043521119</v>
      </c>
      <c r="F188" s="750">
        <f t="shared" ref="F188:F193" si="84">100*((C188/$C$181)-1)</f>
        <v>-5.2656546489563532</v>
      </c>
      <c r="G188" s="751">
        <f t="shared" ref="G188:G193" si="85">100*((C188/C176)-1)</f>
        <v>-4.9047619047619007</v>
      </c>
      <c r="H188" s="840">
        <f t="shared" ref="H188:H193" si="86">100*(C188/C164-1)</f>
        <v>9.5970100925839574</v>
      </c>
      <c r="I188" s="842">
        <f>$C$322/C188</f>
        <v>1.689534301452178</v>
      </c>
      <c r="N188" s="753"/>
    </row>
    <row r="189" spans="1:14" ht="15" hidden="1" customHeight="1" thickBot="1">
      <c r="A189" s="734">
        <f t="shared" si="52"/>
        <v>182</v>
      </c>
      <c r="B189" s="970" t="s">
        <v>466</v>
      </c>
      <c r="C189" s="721">
        <f>geral!I47</f>
        <v>1.9929999999999994</v>
      </c>
      <c r="D189" s="748">
        <f t="shared" si="65"/>
        <v>586.17647058823513</v>
      </c>
      <c r="E189" s="750">
        <f t="shared" si="83"/>
        <v>-0.20030045067604973</v>
      </c>
      <c r="F189" s="750">
        <f t="shared" si="84"/>
        <v>-5.455407969639503</v>
      </c>
      <c r="G189" s="751">
        <f t="shared" si="85"/>
        <v>-5.23062291963865</v>
      </c>
      <c r="H189" s="840">
        <f t="shared" si="86"/>
        <v>9.7920396639580964</v>
      </c>
      <c r="I189" s="842">
        <f>$C$322/C189</f>
        <v>1.69292523833417</v>
      </c>
      <c r="N189" s="753"/>
    </row>
    <row r="190" spans="1:14" ht="15" hidden="1" customHeight="1" thickBot="1">
      <c r="A190" s="734">
        <f t="shared" si="52"/>
        <v>183</v>
      </c>
      <c r="B190" s="970" t="s">
        <v>467</v>
      </c>
      <c r="C190" s="721">
        <f>geral!I48</f>
        <v>1.9830000000000001</v>
      </c>
      <c r="D190" s="748">
        <f t="shared" si="65"/>
        <v>583.23529411764707</v>
      </c>
      <c r="E190" s="750">
        <f t="shared" si="83"/>
        <v>-0.50175614651276623</v>
      </c>
      <c r="F190" s="750">
        <f t="shared" si="84"/>
        <v>-5.9297912713472511</v>
      </c>
      <c r="G190" s="751">
        <f t="shared" si="85"/>
        <v>-5.7957244655581945</v>
      </c>
      <c r="H190" s="840">
        <f t="shared" si="86"/>
        <v>9.6185737976782768</v>
      </c>
      <c r="I190" s="842">
        <f>$C$322/C190</f>
        <v>1.701462430660615</v>
      </c>
      <c r="N190" s="753"/>
    </row>
    <row r="191" spans="1:14" ht="15" hidden="1" customHeight="1" thickBot="1">
      <c r="A191" s="734">
        <f t="shared" si="52"/>
        <v>184</v>
      </c>
      <c r="B191" s="970" t="s">
        <v>468</v>
      </c>
      <c r="C191" s="721">
        <f>geral!I49</f>
        <v>1.974</v>
      </c>
      <c r="D191" s="748">
        <f t="shared" si="65"/>
        <v>580.58823529411757</v>
      </c>
      <c r="E191" s="750">
        <f t="shared" si="83"/>
        <v>-0.45385779122542047</v>
      </c>
      <c r="F191" s="750">
        <f t="shared" si="84"/>
        <v>-6.3567362428842529</v>
      </c>
      <c r="G191" s="751">
        <f t="shared" si="85"/>
        <v>-6.2678062678062645</v>
      </c>
      <c r="H191" s="840">
        <f t="shared" si="86"/>
        <v>8.7828063649514565</v>
      </c>
      <c r="I191" s="842">
        <f>$C$322/C191</f>
        <v>1.7092198581560283</v>
      </c>
      <c r="N191" s="753"/>
    </row>
    <row r="192" spans="1:14" ht="15" hidden="1" customHeight="1" thickBot="1">
      <c r="A192" s="734">
        <f t="shared" si="52"/>
        <v>185</v>
      </c>
      <c r="B192" s="970" t="s">
        <v>469</v>
      </c>
      <c r="C192" s="721">
        <f>geral!I50</f>
        <v>1.9780000000000006</v>
      </c>
      <c r="D192" s="748">
        <f t="shared" si="65"/>
        <v>581.76470588235316</v>
      </c>
      <c r="E192" s="750">
        <f t="shared" si="83"/>
        <v>0.20263424518747186</v>
      </c>
      <c r="F192" s="750">
        <f t="shared" si="84"/>
        <v>-6.1669829222011145</v>
      </c>
      <c r="G192" s="751">
        <f t="shared" si="85"/>
        <v>-6.1669829222011145</v>
      </c>
      <c r="H192" s="840">
        <f t="shared" si="86"/>
        <v>8.5918199286302954</v>
      </c>
      <c r="I192" s="842">
        <f>$C$322/C192</f>
        <v>1.7057633973710811</v>
      </c>
      <c r="N192" s="753"/>
    </row>
    <row r="193" spans="1:14" ht="15" hidden="1" customHeight="1" thickBot="1">
      <c r="A193" s="734">
        <f t="shared" si="52"/>
        <v>186</v>
      </c>
      <c r="B193" s="970" t="s">
        <v>470</v>
      </c>
      <c r="C193" s="721">
        <f>geral!I51</f>
        <v>1.9790000000000001</v>
      </c>
      <c r="D193" s="748">
        <f t="shared" si="65"/>
        <v>582.05882352941171</v>
      </c>
      <c r="E193" s="750">
        <f t="shared" si="83"/>
        <v>5.0556117290168068E-2</v>
      </c>
      <c r="F193" s="750">
        <f t="shared" si="84"/>
        <v>-6.1195445920303566</v>
      </c>
      <c r="G193" s="751">
        <f t="shared" si="85"/>
        <v>-6.1195445920303566</v>
      </c>
      <c r="H193" s="840">
        <f t="shared" si="86"/>
        <v>7.7960100769387752</v>
      </c>
      <c r="I193" s="842">
        <f>$C$322/C193</f>
        <v>1.7049014653865586</v>
      </c>
      <c r="N193" s="753"/>
    </row>
    <row r="194" spans="1:14" ht="15" hidden="1" customHeight="1" thickBot="1">
      <c r="A194" s="734">
        <f t="shared" si="52"/>
        <v>187</v>
      </c>
      <c r="B194" s="970" t="s">
        <v>471</v>
      </c>
      <c r="C194" s="721">
        <f>geral!K40</f>
        <v>1.986</v>
      </c>
      <c r="D194" s="748">
        <f t="shared" si="65"/>
        <v>584.11764705882342</v>
      </c>
      <c r="E194" s="750">
        <f t="shared" ref="E194:E199" si="87">100*((C194/C193)-1)</f>
        <v>0.35371399696815242</v>
      </c>
      <c r="F194" s="750">
        <f t="shared" ref="F194:F199" si="88">100*((C194/$C$193)-1)</f>
        <v>0.35371399696815242</v>
      </c>
      <c r="G194" s="751">
        <f t="shared" ref="G194:G199" si="89">100*((C194/C182)-1)</f>
        <v>-5.7874762808349249</v>
      </c>
      <c r="H194" s="840">
        <f t="shared" ref="H194:H199" si="90">100*(C194/C170-1)</f>
        <v>5.9199999999999919</v>
      </c>
      <c r="I194" s="842">
        <f>$C$322/C194</f>
        <v>1.6988922457200402</v>
      </c>
      <c r="N194" s="753"/>
    </row>
    <row r="195" spans="1:14" ht="15" hidden="1" customHeight="1" thickBot="1">
      <c r="A195" s="734">
        <f t="shared" si="52"/>
        <v>188</v>
      </c>
      <c r="B195" s="970" t="s">
        <v>472</v>
      </c>
      <c r="C195" s="721">
        <f>geral!K41</f>
        <v>1.9910000000000001</v>
      </c>
      <c r="D195" s="748">
        <f t="shared" si="65"/>
        <v>585.58823529411768</v>
      </c>
      <c r="E195" s="750">
        <f t="shared" si="87"/>
        <v>0.25176233635448853</v>
      </c>
      <c r="F195" s="750">
        <f t="shared" si="88"/>
        <v>0.60636685194541684</v>
      </c>
      <c r="G195" s="751">
        <f t="shared" si="89"/>
        <v>-5.5502846299810287</v>
      </c>
      <c r="H195" s="840">
        <f t="shared" si="90"/>
        <v>6.1300639658848688</v>
      </c>
      <c r="I195" s="842">
        <f>$C$322/C195</f>
        <v>1.6946258161727772</v>
      </c>
      <c r="N195" s="753"/>
    </row>
    <row r="196" spans="1:14" ht="15" hidden="1" customHeight="1" thickBot="1">
      <c r="A196" s="734">
        <f t="shared" si="52"/>
        <v>189</v>
      </c>
      <c r="B196" s="970" t="s">
        <v>473</v>
      </c>
      <c r="C196" s="721">
        <f>geral!K42</f>
        <v>1.9890000000000003</v>
      </c>
      <c r="D196" s="748">
        <f t="shared" si="65"/>
        <v>585.00000000000011</v>
      </c>
      <c r="E196" s="750">
        <f t="shared" si="87"/>
        <v>-0.10045203415367521</v>
      </c>
      <c r="F196" s="750">
        <f t="shared" si="88"/>
        <v>0.50530570995452884</v>
      </c>
      <c r="G196" s="751">
        <f t="shared" si="89"/>
        <v>-5.6003796867584166</v>
      </c>
      <c r="H196" s="840">
        <f t="shared" si="90"/>
        <v>5.966968566862052</v>
      </c>
      <c r="I196" s="842">
        <f>$C$322/C196</f>
        <v>1.6963298139768723</v>
      </c>
      <c r="N196" s="753"/>
    </row>
    <row r="197" spans="1:14" ht="15" hidden="1" customHeight="1" thickBot="1">
      <c r="A197" s="734">
        <f t="shared" si="52"/>
        <v>190</v>
      </c>
      <c r="B197" s="970" t="s">
        <v>474</v>
      </c>
      <c r="C197" s="721">
        <f>geral!K43</f>
        <v>1.988</v>
      </c>
      <c r="D197" s="748">
        <f t="shared" si="65"/>
        <v>584.70588235294122</v>
      </c>
      <c r="E197" s="750">
        <f t="shared" si="87"/>
        <v>-5.0276520864778185E-2</v>
      </c>
      <c r="F197" s="750">
        <f t="shared" si="88"/>
        <v>0.45477513895906263</v>
      </c>
      <c r="G197" s="751">
        <f t="shared" si="89"/>
        <v>-5.6478405315614761</v>
      </c>
      <c r="H197" s="840">
        <f t="shared" si="90"/>
        <v>5.8572949946751995</v>
      </c>
      <c r="I197" s="842">
        <f>$C$322/C197</f>
        <v>1.697183098591549</v>
      </c>
      <c r="N197" s="753"/>
    </row>
    <row r="198" spans="1:14" ht="15" hidden="1" customHeight="1" thickBot="1">
      <c r="A198" s="734">
        <f t="shared" si="52"/>
        <v>191</v>
      </c>
      <c r="B198" s="970" t="s">
        <v>475</v>
      </c>
      <c r="C198" s="721">
        <f>geral!K44</f>
        <v>1.9860000000000002</v>
      </c>
      <c r="D198" s="748">
        <f t="shared" si="65"/>
        <v>584.11764705882354</v>
      </c>
      <c r="E198" s="750">
        <f t="shared" si="87"/>
        <v>-0.1006036217303663</v>
      </c>
      <c r="F198" s="750">
        <f t="shared" si="88"/>
        <v>0.35371399696817463</v>
      </c>
      <c r="G198" s="751">
        <f t="shared" si="89"/>
        <v>-5.6980056980056819</v>
      </c>
      <c r="H198" s="840">
        <f t="shared" si="90"/>
        <v>-2.9325513196480801</v>
      </c>
      <c r="I198" s="842">
        <f>$C$322/C198</f>
        <v>1.6988922457200399</v>
      </c>
      <c r="N198" s="753"/>
    </row>
    <row r="199" spans="1:14" ht="15" hidden="1" customHeight="1" thickBot="1">
      <c r="A199" s="734">
        <f t="shared" si="52"/>
        <v>192</v>
      </c>
      <c r="B199" s="970" t="s">
        <v>476</v>
      </c>
      <c r="C199" s="721">
        <f>geral!K45</f>
        <v>1.9830000000000003</v>
      </c>
      <c r="D199" s="748">
        <f t="shared" si="65"/>
        <v>583.23529411764719</v>
      </c>
      <c r="E199" s="750">
        <f t="shared" si="87"/>
        <v>-0.15105740181268201</v>
      </c>
      <c r="F199" s="750">
        <f t="shared" si="88"/>
        <v>0.20212228398182042</v>
      </c>
      <c r="G199" s="751">
        <f t="shared" si="89"/>
        <v>-1.9287833827892897</v>
      </c>
      <c r="H199" s="840">
        <f t="shared" si="90"/>
        <v>-3.3625730994151892</v>
      </c>
      <c r="I199" s="842">
        <f>$C$322/C199</f>
        <v>1.7014624306606148</v>
      </c>
      <c r="N199" s="753"/>
    </row>
    <row r="200" spans="1:14" ht="15" hidden="1" customHeight="1" thickBot="1">
      <c r="A200" s="734">
        <f t="shared" si="52"/>
        <v>193</v>
      </c>
      <c r="B200" s="970" t="s">
        <v>477</v>
      </c>
      <c r="C200" s="721">
        <f>geral!K46</f>
        <v>1.9830000000000001</v>
      </c>
      <c r="D200" s="748">
        <f t="shared" si="65"/>
        <v>583.23529411764707</v>
      </c>
      <c r="E200" s="750">
        <f t="shared" ref="E200:E205" si="91">100*((C200/C199)-1)</f>
        <v>-1.1102230246251565E-14</v>
      </c>
      <c r="F200" s="750">
        <f t="shared" ref="F200:F205" si="92">100*((C200/$C$193)-1)</f>
        <v>0.20212228398179821</v>
      </c>
      <c r="G200" s="751">
        <f t="shared" ref="G200:G205" si="93">100*((C200/C188)-1)</f>
        <v>-0.70105157736605195</v>
      </c>
      <c r="H200" s="840">
        <f t="shared" ref="H200:H205" si="94">100*(C200/C176-1)</f>
        <v>-5.5714285714285712</v>
      </c>
      <c r="I200" s="842">
        <f>$C$322/C200</f>
        <v>1.701462430660615</v>
      </c>
      <c r="N200" s="753"/>
    </row>
    <row r="201" spans="1:14" ht="15" hidden="1" customHeight="1" thickBot="1">
      <c r="A201" s="734">
        <f t="shared" si="52"/>
        <v>194</v>
      </c>
      <c r="B201" s="970" t="s">
        <v>478</v>
      </c>
      <c r="C201" s="721">
        <f>geral!K47</f>
        <v>1.982</v>
      </c>
      <c r="D201" s="748">
        <f t="shared" si="65"/>
        <v>582.94117647058818</v>
      </c>
      <c r="E201" s="750">
        <f t="shared" si="91"/>
        <v>-5.0428643469491163E-2</v>
      </c>
      <c r="F201" s="750">
        <f t="shared" si="92"/>
        <v>0.15159171298635421</v>
      </c>
      <c r="G201" s="751">
        <f t="shared" si="93"/>
        <v>-0.55193176116404841</v>
      </c>
      <c r="H201" s="840">
        <f t="shared" si="94"/>
        <v>-5.7536852116024768</v>
      </c>
      <c r="I201" s="842">
        <f>$C$322/C201</f>
        <v>1.7023208879919272</v>
      </c>
      <c r="N201" s="753"/>
    </row>
    <row r="202" spans="1:14" ht="15" hidden="1" customHeight="1" thickBot="1">
      <c r="A202" s="734">
        <f t="shared" ref="A202:A322" si="95">A201+1</f>
        <v>195</v>
      </c>
      <c r="B202" s="970" t="s">
        <v>479</v>
      </c>
      <c r="C202" s="721">
        <f>geral!K48</f>
        <v>1.9810000000000001</v>
      </c>
      <c r="D202" s="748">
        <f t="shared" si="65"/>
        <v>582.64705882352939</v>
      </c>
      <c r="E202" s="750">
        <f t="shared" si="91"/>
        <v>-5.0454086781026586E-2</v>
      </c>
      <c r="F202" s="750">
        <f t="shared" si="92"/>
        <v>0.10106114199091021</v>
      </c>
      <c r="G202" s="751">
        <f t="shared" si="93"/>
        <v>-0.10085728693898233</v>
      </c>
      <c r="H202" s="840">
        <f t="shared" si="94"/>
        <v>-5.8907363420427465</v>
      </c>
      <c r="I202" s="842">
        <f>$C$322/C202</f>
        <v>1.7031802120141339</v>
      </c>
      <c r="N202" s="753"/>
    </row>
    <row r="203" spans="1:14" ht="15" hidden="1" customHeight="1" thickBot="1">
      <c r="A203" s="734">
        <f t="shared" si="95"/>
        <v>196</v>
      </c>
      <c r="B203" s="970" t="s">
        <v>480</v>
      </c>
      <c r="C203" s="721">
        <f>geral!K49</f>
        <v>1.982</v>
      </c>
      <c r="D203" s="748">
        <f t="shared" si="65"/>
        <v>582.94117647058818</v>
      </c>
      <c r="E203" s="750">
        <f t="shared" si="91"/>
        <v>5.0479555779903151E-2</v>
      </c>
      <c r="F203" s="750">
        <f t="shared" si="92"/>
        <v>0.15159171298635421</v>
      </c>
      <c r="G203" s="751">
        <f t="shared" si="93"/>
        <v>0.40526849037487711</v>
      </c>
      <c r="H203" s="840">
        <f t="shared" si="94"/>
        <v>-5.8879392212725534</v>
      </c>
      <c r="I203" s="842">
        <f>$C$322/C203</f>
        <v>1.7023208879919272</v>
      </c>
      <c r="N203" s="753"/>
    </row>
    <row r="204" spans="1:14" ht="15" hidden="1" customHeight="1" thickBot="1">
      <c r="A204" s="734">
        <f t="shared" si="95"/>
        <v>197</v>
      </c>
      <c r="B204" s="970" t="s">
        <v>481</v>
      </c>
      <c r="C204" s="721">
        <f>geral!K50</f>
        <v>1.982</v>
      </c>
      <c r="D204" s="748">
        <f t="shared" si="65"/>
        <v>582.94117647058818</v>
      </c>
      <c r="E204" s="750">
        <f t="shared" si="91"/>
        <v>0</v>
      </c>
      <c r="F204" s="750">
        <f t="shared" si="92"/>
        <v>0.15159171298635421</v>
      </c>
      <c r="G204" s="751">
        <f t="shared" si="93"/>
        <v>0.20222446916073888</v>
      </c>
      <c r="H204" s="840">
        <f t="shared" si="94"/>
        <v>-5.9772296015180304</v>
      </c>
      <c r="I204" s="842">
        <f>$C$322/C204</f>
        <v>1.7023208879919272</v>
      </c>
      <c r="N204" s="753"/>
    </row>
    <row r="205" spans="1:14" ht="15" hidden="1" customHeight="1" thickBot="1">
      <c r="A205" s="734">
        <f t="shared" si="95"/>
        <v>198</v>
      </c>
      <c r="B205" s="1012" t="s">
        <v>482</v>
      </c>
      <c r="C205" s="915">
        <f>geral!K51</f>
        <v>1.9830000000000001</v>
      </c>
      <c r="D205" s="755">
        <f t="shared" si="65"/>
        <v>583.23529411764707</v>
      </c>
      <c r="E205" s="756">
        <f t="shared" si="91"/>
        <v>5.0454086781037688E-2</v>
      </c>
      <c r="F205" s="756">
        <f t="shared" si="92"/>
        <v>0.20212228398179821</v>
      </c>
      <c r="G205" s="757">
        <f t="shared" si="93"/>
        <v>0.20212228398179821</v>
      </c>
      <c r="H205" s="841">
        <f t="shared" si="94"/>
        <v>-5.9297912713472511</v>
      </c>
      <c r="I205" s="842">
        <f>$C$322/C205</f>
        <v>1.701462430660615</v>
      </c>
      <c r="N205" s="753"/>
    </row>
    <row r="206" spans="1:14" ht="16.5" customHeight="1">
      <c r="A206" s="734">
        <f t="shared" si="95"/>
        <v>199</v>
      </c>
      <c r="B206" s="1067" t="s">
        <v>483</v>
      </c>
      <c r="C206" s="1068">
        <f>geral!M40</f>
        <v>1.9950000000000001</v>
      </c>
      <c r="D206" s="826">
        <f t="shared" si="65"/>
        <v>586.76470588235293</v>
      </c>
      <c r="E206" s="827">
        <f t="shared" ref="E206:E211" si="96">100*((C206/C205)-1)</f>
        <v>0.60514372163389396</v>
      </c>
      <c r="F206" s="827">
        <f t="shared" ref="F206:F211" si="97">100*((C206/$C$205)-1)</f>
        <v>0.60514372163389396</v>
      </c>
      <c r="G206" s="828">
        <f t="shared" ref="G206:G211" si="98">100*((C206/C194)-1)</f>
        <v>0.45317220543807935</v>
      </c>
      <c r="H206" s="850">
        <f t="shared" ref="H206:H211" si="99">100*(C206/C182-1)</f>
        <v>-5.3605313092979117</v>
      </c>
      <c r="I206" s="922">
        <f>$C$322/C206</f>
        <v>1.6912280701754383</v>
      </c>
      <c r="N206" s="753"/>
    </row>
    <row r="207" spans="1:14" ht="16.5" customHeight="1">
      <c r="A207" s="734">
        <f t="shared" si="95"/>
        <v>200</v>
      </c>
      <c r="B207" s="1029" t="s">
        <v>484</v>
      </c>
      <c r="C207" s="1091">
        <f>geral!M41</f>
        <v>2</v>
      </c>
      <c r="D207" s="1092">
        <f t="shared" si="65"/>
        <v>588.23529411764707</v>
      </c>
      <c r="E207" s="1093">
        <f t="shared" si="96"/>
        <v>0.25062656641603454</v>
      </c>
      <c r="F207" s="1093">
        <f t="shared" si="97"/>
        <v>0.85728693898132757</v>
      </c>
      <c r="G207" s="1094">
        <f t="shared" si="98"/>
        <v>0.45203415369161615</v>
      </c>
      <c r="H207" s="1095">
        <f t="shared" si="99"/>
        <v>-5.1233396584440261</v>
      </c>
      <c r="I207" s="1100">
        <f>$C$322/C207</f>
        <v>1.6869999999999998</v>
      </c>
      <c r="N207" s="753"/>
    </row>
    <row r="208" spans="1:14" ht="16.5" customHeight="1">
      <c r="A208" s="734">
        <f t="shared" si="95"/>
        <v>201</v>
      </c>
      <c r="B208" s="1029" t="s">
        <v>485</v>
      </c>
      <c r="C208" s="880">
        <f>geral!M42</f>
        <v>2.008</v>
      </c>
      <c r="D208" s="1096">
        <f t="shared" si="65"/>
        <v>590.58823529411768</v>
      </c>
      <c r="E208" s="1097">
        <f t="shared" si="96"/>
        <v>0.40000000000000036</v>
      </c>
      <c r="F208" s="1097">
        <f t="shared" si="97"/>
        <v>1.2607160867372569</v>
      </c>
      <c r="G208" s="1098">
        <f t="shared" si="98"/>
        <v>0.95525389643034142</v>
      </c>
      <c r="H208" s="1099">
        <f t="shared" si="99"/>
        <v>-4.69862363550072</v>
      </c>
      <c r="I208" s="1100">
        <f t="shared" ref="I208:I271" si="100">$C$322/C208</f>
        <v>1.6802788844621512</v>
      </c>
      <c r="N208" s="753"/>
    </row>
    <row r="209" spans="1:14" ht="16.5" customHeight="1">
      <c r="A209" s="734">
        <f t="shared" si="95"/>
        <v>202</v>
      </c>
      <c r="B209" s="1029" t="s">
        <v>486</v>
      </c>
      <c r="C209" s="880">
        <f>geral!M43</f>
        <v>2.012</v>
      </c>
      <c r="D209" s="1096">
        <f t="shared" si="65"/>
        <v>591.76470588235281</v>
      </c>
      <c r="E209" s="1097">
        <f t="shared" si="96"/>
        <v>0.19920318725099584</v>
      </c>
      <c r="F209" s="1097">
        <f t="shared" si="97"/>
        <v>1.4624306606152215</v>
      </c>
      <c r="G209" s="1098">
        <f t="shared" si="98"/>
        <v>1.2072434607645954</v>
      </c>
      <c r="H209" s="1099">
        <f t="shared" si="99"/>
        <v>-4.5087802562885688</v>
      </c>
      <c r="I209" s="1100">
        <f t="shared" si="100"/>
        <v>1.6769383697813121</v>
      </c>
      <c r="N209" s="753"/>
    </row>
    <row r="210" spans="1:14" ht="16.5" customHeight="1">
      <c r="A210" s="734">
        <f t="shared" si="95"/>
        <v>203</v>
      </c>
      <c r="B210" s="1029" t="s">
        <v>487</v>
      </c>
      <c r="C210" s="880">
        <f>geral!M44</f>
        <v>2.0099999999999998</v>
      </c>
      <c r="D210" s="1096">
        <f t="shared" si="65"/>
        <v>591.17647058823513</v>
      </c>
      <c r="E210" s="1097">
        <f t="shared" si="96"/>
        <v>-9.9403578528833858E-2</v>
      </c>
      <c r="F210" s="1097">
        <f t="shared" si="97"/>
        <v>1.3615733736762392</v>
      </c>
      <c r="G210" s="1098">
        <f t="shared" si="98"/>
        <v>1.2084592145014783</v>
      </c>
      <c r="H210" s="1099">
        <f t="shared" si="99"/>
        <v>-4.5584045584045612</v>
      </c>
      <c r="I210" s="1100">
        <f t="shared" si="100"/>
        <v>1.6786069651741293</v>
      </c>
      <c r="N210" s="753"/>
    </row>
    <row r="211" spans="1:14" ht="16.5" customHeight="1">
      <c r="A211" s="734">
        <f t="shared" si="95"/>
        <v>204</v>
      </c>
      <c r="B211" s="1029" t="s">
        <v>488</v>
      </c>
      <c r="C211" s="880">
        <f>geral!M45</f>
        <v>2.008</v>
      </c>
      <c r="D211" s="1096">
        <f t="shared" si="65"/>
        <v>590.58823529411768</v>
      </c>
      <c r="E211" s="1097">
        <f t="shared" si="96"/>
        <v>-9.9502487562175279E-2</v>
      </c>
      <c r="F211" s="1097">
        <f t="shared" si="97"/>
        <v>1.2607160867372569</v>
      </c>
      <c r="G211" s="1098">
        <f t="shared" si="98"/>
        <v>1.2607160867372569</v>
      </c>
      <c r="H211" s="1099">
        <f t="shared" si="99"/>
        <v>-0.6923837784371778</v>
      </c>
      <c r="I211" s="1100">
        <f t="shared" si="100"/>
        <v>1.6802788844621512</v>
      </c>
      <c r="N211" s="753"/>
    </row>
    <row r="212" spans="1:14" ht="16.5" customHeight="1">
      <c r="A212" s="734">
        <f t="shared" si="95"/>
        <v>205</v>
      </c>
      <c r="B212" s="1029" t="s">
        <v>489</v>
      </c>
      <c r="C212" s="880">
        <f>geral!M46</f>
        <v>2.0089999999999999</v>
      </c>
      <c r="D212" s="1096">
        <f t="shared" si="65"/>
        <v>590.88235294117635</v>
      </c>
      <c r="E212" s="1097">
        <f t="shared" ref="E212:E217" si="101">100*((C212/C211)-1)</f>
        <v>4.9800796812737858E-2</v>
      </c>
      <c r="F212" s="1097">
        <f t="shared" ref="F212:F217" si="102">100*((C212/$C$205)-1)</f>
        <v>1.311144730206748</v>
      </c>
      <c r="G212" s="1098">
        <f t="shared" ref="G212:G217" si="103">100*((C212/C200)-1)</f>
        <v>1.311144730206748</v>
      </c>
      <c r="H212" s="1099">
        <f t="shared" ref="H212:H217" si="104">100*(C212/C188-1)</f>
        <v>0.60090135202803818</v>
      </c>
      <c r="I212" s="1100">
        <f t="shared" si="100"/>
        <v>1.6794425087108014</v>
      </c>
      <c r="N212" s="753"/>
    </row>
    <row r="213" spans="1:14" ht="16.5" customHeight="1">
      <c r="A213" s="734">
        <f t="shared" si="95"/>
        <v>206</v>
      </c>
      <c r="B213" s="1029" t="s">
        <v>490</v>
      </c>
      <c r="C213" s="880">
        <f>geral!M47</f>
        <v>2.0089999999999999</v>
      </c>
      <c r="D213" s="1096">
        <f t="shared" si="65"/>
        <v>590.88235294117635</v>
      </c>
      <c r="E213" s="1097">
        <f t="shared" si="101"/>
        <v>0</v>
      </c>
      <c r="F213" s="1097">
        <f t="shared" si="102"/>
        <v>1.311144730206748</v>
      </c>
      <c r="G213" s="1098">
        <f t="shared" si="103"/>
        <v>1.3622603430877955</v>
      </c>
      <c r="H213" s="1099">
        <f t="shared" si="104"/>
        <v>0.80280983442049259</v>
      </c>
      <c r="I213" s="1100">
        <f t="shared" si="100"/>
        <v>1.6794425087108014</v>
      </c>
      <c r="N213" s="753"/>
    </row>
    <row r="214" spans="1:14" ht="16.5" customHeight="1">
      <c r="A214" s="734">
        <f t="shared" si="95"/>
        <v>207</v>
      </c>
      <c r="B214" s="1029" t="s">
        <v>491</v>
      </c>
      <c r="C214" s="880">
        <f>geral!M48</f>
        <v>2.0259999999999998</v>
      </c>
      <c r="D214" s="1096">
        <f t="shared" si="65"/>
        <v>595.88235294117635</v>
      </c>
      <c r="E214" s="1097">
        <f t="shared" si="101"/>
        <v>0.84619213539074423</v>
      </c>
      <c r="F214" s="1097">
        <f t="shared" si="102"/>
        <v>2.1684316691880756</v>
      </c>
      <c r="G214" s="1098">
        <f t="shared" si="103"/>
        <v>2.2715800100958861</v>
      </c>
      <c r="H214" s="1099">
        <f t="shared" si="104"/>
        <v>2.1684316691880756</v>
      </c>
      <c r="I214" s="1100">
        <f t="shared" si="100"/>
        <v>1.6653504442250739</v>
      </c>
      <c r="L214" s="754"/>
      <c r="N214" s="753"/>
    </row>
    <row r="215" spans="1:14" ht="16.5" customHeight="1">
      <c r="A215" s="734">
        <f t="shared" si="95"/>
        <v>208</v>
      </c>
      <c r="B215" s="1029" t="s">
        <v>492</v>
      </c>
      <c r="C215" s="880">
        <f>geral!M49</f>
        <v>2.0299999999999998</v>
      </c>
      <c r="D215" s="1096">
        <f t="shared" si="65"/>
        <v>597.0588235294116</v>
      </c>
      <c r="E215" s="1097">
        <f t="shared" si="101"/>
        <v>0.19743336623889718</v>
      </c>
      <c r="F215" s="1097">
        <f t="shared" si="102"/>
        <v>2.3701462430660403</v>
      </c>
      <c r="G215" s="1098">
        <f t="shared" si="103"/>
        <v>2.4217961654893871</v>
      </c>
      <c r="H215" s="1099">
        <f t="shared" si="104"/>
        <v>2.8368794326240954</v>
      </c>
      <c r="I215" s="1100">
        <f t="shared" si="100"/>
        <v>1.6620689655172414</v>
      </c>
      <c r="L215" s="754"/>
      <c r="N215" s="753"/>
    </row>
    <row r="216" spans="1:14" ht="16.5" customHeight="1">
      <c r="A216" s="734">
        <f t="shared" si="95"/>
        <v>209</v>
      </c>
      <c r="B216" s="1029" t="s">
        <v>493</v>
      </c>
      <c r="C216" s="880">
        <f>geral!M50</f>
        <v>2.0310000000000001</v>
      </c>
      <c r="D216" s="1096">
        <f t="shared" si="65"/>
        <v>597.35294117647061</v>
      </c>
      <c r="E216" s="1097">
        <f t="shared" si="101"/>
        <v>4.9261083743856737E-2</v>
      </c>
      <c r="F216" s="1097">
        <f t="shared" si="102"/>
        <v>2.4205748865355536</v>
      </c>
      <c r="G216" s="1098">
        <f t="shared" si="103"/>
        <v>2.472250252270447</v>
      </c>
      <c r="H216" s="1099">
        <f t="shared" si="104"/>
        <v>2.679474216380151</v>
      </c>
      <c r="I216" s="1100">
        <f t="shared" si="100"/>
        <v>1.6612506154603641</v>
      </c>
      <c r="L216" s="754"/>
      <c r="N216" s="753"/>
    </row>
    <row r="217" spans="1:14" ht="16.5" customHeight="1">
      <c r="A217" s="734">
        <f t="shared" si="95"/>
        <v>210</v>
      </c>
      <c r="B217" s="1029" t="s">
        <v>494</v>
      </c>
      <c r="C217" s="880">
        <f>geral!M51</f>
        <v>2.0329999999999999</v>
      </c>
      <c r="D217" s="1096">
        <f t="shared" si="65"/>
        <v>597.94117647058818</v>
      </c>
      <c r="E217" s="1097">
        <f t="shared" si="101"/>
        <v>9.8473658296405198E-2</v>
      </c>
      <c r="F217" s="1097">
        <f t="shared" si="102"/>
        <v>2.5214321734745138</v>
      </c>
      <c r="G217" s="1098">
        <f t="shared" si="103"/>
        <v>2.5214321734745138</v>
      </c>
      <c r="H217" s="1099">
        <f t="shared" si="104"/>
        <v>2.7286508337544202</v>
      </c>
      <c r="I217" s="1100">
        <f t="shared" si="100"/>
        <v>1.659616330545991</v>
      </c>
      <c r="L217" s="754"/>
      <c r="N217" s="753"/>
    </row>
    <row r="218" spans="1:14" ht="16.5" customHeight="1">
      <c r="A218" s="734">
        <f t="shared" si="95"/>
        <v>211</v>
      </c>
      <c r="B218" s="1029" t="s">
        <v>495</v>
      </c>
      <c r="C218" s="880">
        <f>geral!C55</f>
        <v>2.04</v>
      </c>
      <c r="D218" s="1096">
        <f t="shared" ref="D218:D223" si="105">100*C218/$C$8</f>
        <v>600</v>
      </c>
      <c r="E218" s="1097">
        <f t="shared" ref="E218:E223" si="106">100*((C218/C217)-1)</f>
        <v>0.34431874077718305</v>
      </c>
      <c r="F218" s="1097">
        <f t="shared" ref="F218:F223" si="107">100*((C218/$C$217)-1)</f>
        <v>0.34431874077718305</v>
      </c>
      <c r="G218" s="1098">
        <f t="shared" ref="G218:G223" si="108">100*((C218/C206)-1)</f>
        <v>2.2556390977443552</v>
      </c>
      <c r="H218" s="1099">
        <f t="shared" ref="H218:H223" si="109">100*(C218/C194-1)</f>
        <v>2.7190332326284095</v>
      </c>
      <c r="I218" s="1100">
        <f t="shared" si="100"/>
        <v>1.6539215686274509</v>
      </c>
      <c r="L218" s="754"/>
      <c r="N218" s="753"/>
    </row>
    <row r="219" spans="1:14" ht="16.5" customHeight="1">
      <c r="A219" s="734">
        <f t="shared" si="95"/>
        <v>212</v>
      </c>
      <c r="B219" s="1029" t="s">
        <v>496</v>
      </c>
      <c r="C219" s="880">
        <f>geral!C56</f>
        <v>2.0409999999999999</v>
      </c>
      <c r="D219" s="1096">
        <f t="shared" si="105"/>
        <v>600.29411764705878</v>
      </c>
      <c r="E219" s="1097">
        <f t="shared" si="106"/>
        <v>4.9019607843137081E-2</v>
      </c>
      <c r="F219" s="1097">
        <f t="shared" si="107"/>
        <v>0.3935071323167838</v>
      </c>
      <c r="G219" s="1098">
        <f t="shared" si="108"/>
        <v>2.0499999999999963</v>
      </c>
      <c r="H219" s="1099">
        <f t="shared" si="109"/>
        <v>2.5113008538422799</v>
      </c>
      <c r="I219" s="1100">
        <f t="shared" si="100"/>
        <v>1.6531112199902007</v>
      </c>
      <c r="L219" s="754"/>
      <c r="N219" s="753"/>
    </row>
    <row r="220" spans="1:14" ht="16.5" customHeight="1">
      <c r="A220" s="734">
        <f t="shared" si="95"/>
        <v>213</v>
      </c>
      <c r="B220" s="1029" t="s">
        <v>497</v>
      </c>
      <c r="C220" s="880">
        <f>geral!C57</f>
        <v>2.0430000000000001</v>
      </c>
      <c r="D220" s="1096">
        <f t="shared" si="105"/>
        <v>600.88235294117646</v>
      </c>
      <c r="E220" s="1097">
        <f t="shared" si="106"/>
        <v>9.7991180793743915E-2</v>
      </c>
      <c r="F220" s="1097">
        <f t="shared" si="107"/>
        <v>0.4918839153959853</v>
      </c>
      <c r="G220" s="1098">
        <f t="shared" si="108"/>
        <v>1.7430278884462247</v>
      </c>
      <c r="H220" s="1099">
        <f t="shared" si="109"/>
        <v>2.7149321266968229</v>
      </c>
      <c r="I220" s="1100">
        <f t="shared" si="100"/>
        <v>1.651492902594224</v>
      </c>
      <c r="L220" s="754"/>
      <c r="N220" s="753"/>
    </row>
    <row r="221" spans="1:14" ht="16.5" customHeight="1">
      <c r="A221" s="734">
        <f t="shared" si="95"/>
        <v>214</v>
      </c>
      <c r="B221" s="1029" t="s">
        <v>498</v>
      </c>
      <c r="C221" s="880">
        <f>geral!C58</f>
        <v>2.0459999999999998</v>
      </c>
      <c r="D221" s="1096">
        <f t="shared" si="105"/>
        <v>601.76470588235293</v>
      </c>
      <c r="E221" s="1097">
        <f t="shared" si="106"/>
        <v>0.1468428781203901</v>
      </c>
      <c r="F221" s="1097">
        <f t="shared" si="107"/>
        <v>0.63944909001474315</v>
      </c>
      <c r="G221" s="1098">
        <f t="shared" si="108"/>
        <v>1.6898608349900535</v>
      </c>
      <c r="H221" s="1099">
        <f t="shared" si="109"/>
        <v>2.917505030181089</v>
      </c>
      <c r="I221" s="1100">
        <f t="shared" si="100"/>
        <v>1.6490713587487782</v>
      </c>
      <c r="L221" s="754"/>
      <c r="N221" s="753"/>
    </row>
    <row r="222" spans="1:14" ht="16.5" customHeight="1">
      <c r="A222" s="734">
        <f t="shared" si="95"/>
        <v>215</v>
      </c>
      <c r="B222" s="1029" t="s">
        <v>499</v>
      </c>
      <c r="C222" s="880">
        <f>geral!C59</f>
        <v>2.0470000000000002</v>
      </c>
      <c r="D222" s="1096">
        <f t="shared" si="105"/>
        <v>602.05882352941182</v>
      </c>
      <c r="E222" s="1097">
        <f t="shared" si="106"/>
        <v>4.8875855327490392E-2</v>
      </c>
      <c r="F222" s="1097">
        <f t="shared" si="107"/>
        <v>0.6886374815543661</v>
      </c>
      <c r="G222" s="1098">
        <f t="shared" si="108"/>
        <v>1.8407960199005258</v>
      </c>
      <c r="H222" s="1099">
        <f t="shared" si="109"/>
        <v>3.0715005035246712</v>
      </c>
      <c r="I222" s="1100">
        <f t="shared" si="100"/>
        <v>1.6482657547630677</v>
      </c>
      <c r="L222" s="754"/>
      <c r="N222" s="753"/>
    </row>
    <row r="223" spans="1:14" ht="16.5" customHeight="1">
      <c r="A223" s="734">
        <f t="shared" si="95"/>
        <v>216</v>
      </c>
      <c r="B223" s="1029" t="s">
        <v>500</v>
      </c>
      <c r="C223" s="880">
        <f>geral!C60</f>
        <v>2.0430000000000001</v>
      </c>
      <c r="D223" s="1096">
        <f t="shared" si="105"/>
        <v>600.88235294117646</v>
      </c>
      <c r="E223" s="1097">
        <f t="shared" si="106"/>
        <v>-0.19540791402051783</v>
      </c>
      <c r="F223" s="1097">
        <f t="shared" si="107"/>
        <v>0.4918839153959853</v>
      </c>
      <c r="G223" s="1098">
        <f t="shared" si="108"/>
        <v>1.7430278884462247</v>
      </c>
      <c r="H223" s="1099">
        <f t="shared" si="109"/>
        <v>3.0257186081694254</v>
      </c>
      <c r="I223" s="1100">
        <f t="shared" si="100"/>
        <v>1.651492902594224</v>
      </c>
      <c r="L223" s="754"/>
      <c r="N223" s="753"/>
    </row>
    <row r="224" spans="1:14" ht="16.5" customHeight="1">
      <c r="A224" s="734">
        <f t="shared" si="95"/>
        <v>217</v>
      </c>
      <c r="B224" s="1029" t="s">
        <v>501</v>
      </c>
      <c r="C224" s="880">
        <f>geral!C61</f>
        <v>2.1039999999999996</v>
      </c>
      <c r="D224" s="1096">
        <f t="shared" ref="D224:D229" si="110">100*C224/$C$8</f>
        <v>618.82352941176464</v>
      </c>
      <c r="E224" s="1097">
        <f t="shared" ref="E224:E229" si="111">100*((C224/C223)-1)</f>
        <v>2.9858051884483316</v>
      </c>
      <c r="F224" s="1097">
        <f t="shared" ref="F224:F229" si="112">100*((C224/$C$217)-1)</f>
        <v>3.4923757993113425</v>
      </c>
      <c r="G224" s="1098">
        <f t="shared" ref="G224:G229" si="113">100*((C224/C212)-1)</f>
        <v>4.7287207565953171</v>
      </c>
      <c r="H224" s="1099">
        <f t="shared" ref="H224:H229" si="114">100*(C224/C200-1)</f>
        <v>6.101865859808342</v>
      </c>
      <c r="I224" s="1100">
        <f t="shared" si="100"/>
        <v>1.6036121673003803</v>
      </c>
      <c r="L224" s="754"/>
      <c r="N224" s="753"/>
    </row>
    <row r="225" spans="1:14" ht="16.5" customHeight="1">
      <c r="A225" s="734">
        <f t="shared" si="95"/>
        <v>218</v>
      </c>
      <c r="B225" s="1029" t="s">
        <v>502</v>
      </c>
      <c r="C225" s="880">
        <f>geral!C62</f>
        <v>2.1320000000000001</v>
      </c>
      <c r="D225" s="1096">
        <f t="shared" si="110"/>
        <v>627.05882352941182</v>
      </c>
      <c r="E225" s="1097">
        <f t="shared" si="111"/>
        <v>1.3307984790874805</v>
      </c>
      <c r="F225" s="1097">
        <f t="shared" si="112"/>
        <v>4.8696507624200747</v>
      </c>
      <c r="G225" s="1098">
        <f t="shared" si="113"/>
        <v>6.1224489795918435</v>
      </c>
      <c r="H225" s="1099">
        <f t="shared" si="114"/>
        <v>7.5681130171543876</v>
      </c>
      <c r="I225" s="1100">
        <f t="shared" si="100"/>
        <v>1.5825515947467164</v>
      </c>
      <c r="L225" s="754"/>
      <c r="N225" s="753"/>
    </row>
    <row r="226" spans="1:14" ht="16.5" customHeight="1">
      <c r="A226" s="734">
        <f t="shared" si="95"/>
        <v>219</v>
      </c>
      <c r="B226" s="1029" t="s">
        <v>503</v>
      </c>
      <c r="C226" s="880">
        <f>geral!C63</f>
        <v>2.1379999999999999</v>
      </c>
      <c r="D226" s="1096">
        <f t="shared" si="110"/>
        <v>628.82352941176464</v>
      </c>
      <c r="E226" s="1097">
        <f t="shared" si="111"/>
        <v>0.28142589118198558</v>
      </c>
      <c r="F226" s="1097">
        <f t="shared" si="112"/>
        <v>5.164781111657657</v>
      </c>
      <c r="G226" s="1098">
        <f t="shared" si="113"/>
        <v>5.5281342546890544</v>
      </c>
      <c r="H226" s="1099">
        <f t="shared" si="114"/>
        <v>7.9252902574457273</v>
      </c>
      <c r="I226" s="1100">
        <f t="shared" si="100"/>
        <v>1.5781103835360148</v>
      </c>
      <c r="L226" s="754"/>
      <c r="N226" s="753"/>
    </row>
    <row r="227" spans="1:14" ht="16.5" customHeight="1">
      <c r="A227" s="734">
        <f t="shared" si="95"/>
        <v>220</v>
      </c>
      <c r="B227" s="1029" t="s">
        <v>504</v>
      </c>
      <c r="C227" s="880">
        <f>geral!C64</f>
        <v>2.1460000000000004</v>
      </c>
      <c r="D227" s="1096">
        <f t="shared" si="110"/>
        <v>631.17647058823536</v>
      </c>
      <c r="E227" s="1097">
        <f t="shared" si="111"/>
        <v>0.37418147801686619</v>
      </c>
      <c r="F227" s="1097">
        <f t="shared" si="112"/>
        <v>5.5582882439744408</v>
      </c>
      <c r="G227" s="1098">
        <f t="shared" si="113"/>
        <v>5.7142857142857384</v>
      </c>
      <c r="H227" s="1099">
        <f t="shared" si="114"/>
        <v>8.2744702320888273</v>
      </c>
      <c r="I227" s="1100">
        <f t="shared" si="100"/>
        <v>1.5722273998136063</v>
      </c>
      <c r="L227" s="754"/>
      <c r="N227" s="753"/>
    </row>
    <row r="228" spans="1:14" ht="16.5" customHeight="1">
      <c r="A228" s="734">
        <f t="shared" si="95"/>
        <v>221</v>
      </c>
      <c r="B228" s="1029" t="s">
        <v>505</v>
      </c>
      <c r="C228" s="880">
        <f>geral!C65</f>
        <v>2.15</v>
      </c>
      <c r="D228" s="1096">
        <f t="shared" si="110"/>
        <v>632.35294117647049</v>
      </c>
      <c r="E228" s="1097">
        <f t="shared" si="111"/>
        <v>0.18639328984153547</v>
      </c>
      <c r="F228" s="1097">
        <f t="shared" si="112"/>
        <v>5.7550418101327994</v>
      </c>
      <c r="G228" s="1098">
        <f t="shared" si="113"/>
        <v>5.8591826686361204</v>
      </c>
      <c r="H228" s="1099">
        <f t="shared" si="114"/>
        <v>8.4762865792129105</v>
      </c>
      <c r="I228" s="1100">
        <f t="shared" si="100"/>
        <v>1.5693023255813952</v>
      </c>
      <c r="L228" s="754"/>
      <c r="N228" s="753"/>
    </row>
    <row r="229" spans="1:14" ht="16.5" customHeight="1">
      <c r="A229" s="734">
        <f t="shared" si="95"/>
        <v>222</v>
      </c>
      <c r="B229" s="1029" t="s">
        <v>506</v>
      </c>
      <c r="C229" s="880">
        <f>geral!C66</f>
        <v>2.1520000000000006</v>
      </c>
      <c r="D229" s="1096">
        <f t="shared" si="110"/>
        <v>632.94117647058829</v>
      </c>
      <c r="E229" s="1097">
        <f t="shared" si="111"/>
        <v>9.3023255813995398E-2</v>
      </c>
      <c r="F229" s="1097">
        <f t="shared" si="112"/>
        <v>5.8534185932120453</v>
      </c>
      <c r="G229" s="1098">
        <f t="shared" si="113"/>
        <v>5.8534185932120453</v>
      </c>
      <c r="H229" s="1099">
        <f t="shared" si="114"/>
        <v>8.5224407463439391</v>
      </c>
      <c r="I229" s="1100">
        <f t="shared" si="100"/>
        <v>1.5678438661710032</v>
      </c>
      <c r="L229" s="754"/>
      <c r="N229" s="753"/>
    </row>
    <row r="230" spans="1:14" ht="16.5" customHeight="1">
      <c r="A230" s="734">
        <f t="shared" si="95"/>
        <v>223</v>
      </c>
      <c r="B230" s="1029" t="s">
        <v>507</v>
      </c>
      <c r="C230" s="880">
        <f>geral!E55</f>
        <v>2.1640000000000001</v>
      </c>
      <c r="D230" s="1096">
        <f t="shared" ref="D230:D235" si="115">100*C230/$C$8</f>
        <v>636.47058823529414</v>
      </c>
      <c r="E230" s="1097">
        <f t="shared" ref="E230:E235" si="116">100*((C230/C229)-1)</f>
        <v>0.55762081784385131</v>
      </c>
      <c r="F230" s="1097">
        <f t="shared" ref="F230:F235" si="117">100*((C230/$C$229)-1)</f>
        <v>0.55762081784385131</v>
      </c>
      <c r="G230" s="1098">
        <f t="shared" ref="G230:G235" si="118">100*((C230/C218)-1)</f>
        <v>6.0784313725490202</v>
      </c>
      <c r="H230" s="1099">
        <f t="shared" ref="H230:H235" si="119">100*(C230/C206-1)</f>
        <v>8.4711779448621627</v>
      </c>
      <c r="I230" s="1100">
        <f t="shared" si="100"/>
        <v>1.5591497227356743</v>
      </c>
      <c r="L230" s="754"/>
      <c r="N230" s="753"/>
    </row>
    <row r="231" spans="1:14" ht="16.5" customHeight="1">
      <c r="A231" s="734">
        <f t="shared" si="95"/>
        <v>224</v>
      </c>
      <c r="B231" s="1029" t="s">
        <v>508</v>
      </c>
      <c r="C231" s="880">
        <f>geral!E56</f>
        <v>2.2549999999999994</v>
      </c>
      <c r="D231" s="1096">
        <f t="shared" si="115"/>
        <v>663.23529411764684</v>
      </c>
      <c r="E231" s="1097">
        <f t="shared" si="116"/>
        <v>4.2051756007393415</v>
      </c>
      <c r="F231" s="1097">
        <f t="shared" si="117"/>
        <v>4.7862453531597904</v>
      </c>
      <c r="G231" s="1098">
        <f t="shared" si="118"/>
        <v>10.485056344928934</v>
      </c>
      <c r="H231" s="1099">
        <f t="shared" si="119"/>
        <v>12.749999999999972</v>
      </c>
      <c r="I231" s="1100">
        <f t="shared" si="100"/>
        <v>1.4962305986696234</v>
      </c>
      <c r="L231" s="754"/>
      <c r="N231" s="753"/>
    </row>
    <row r="232" spans="1:14" ht="16.5" customHeight="1">
      <c r="A232" s="734">
        <f t="shared" si="95"/>
        <v>225</v>
      </c>
      <c r="B232" s="1029" t="s">
        <v>509</v>
      </c>
      <c r="C232" s="880">
        <f>geral!E57</f>
        <v>2.3210000000000002</v>
      </c>
      <c r="D232" s="1096">
        <f t="shared" si="115"/>
        <v>682.64705882352939</v>
      </c>
      <c r="E232" s="1097">
        <f t="shared" si="116"/>
        <v>2.9268292682927077</v>
      </c>
      <c r="F232" s="1097">
        <f t="shared" si="117"/>
        <v>7.8531598513010836</v>
      </c>
      <c r="G232" s="1098">
        <f t="shared" si="118"/>
        <v>13.607440039158103</v>
      </c>
      <c r="H232" s="1099">
        <f t="shared" si="119"/>
        <v>15.587649402390436</v>
      </c>
      <c r="I232" s="1100">
        <f t="shared" si="100"/>
        <v>1.4536837570012924</v>
      </c>
      <c r="L232" s="754"/>
      <c r="N232" s="753"/>
    </row>
    <row r="233" spans="1:14" ht="16.5" customHeight="1">
      <c r="A233" s="734">
        <f t="shared" si="95"/>
        <v>226</v>
      </c>
      <c r="B233" s="1029" t="s">
        <v>510</v>
      </c>
      <c r="C233" s="880">
        <f>geral!E58</f>
        <v>2.3340000000000001</v>
      </c>
      <c r="D233" s="1096">
        <f t="shared" si="115"/>
        <v>686.47058823529403</v>
      </c>
      <c r="E233" s="1097">
        <f t="shared" si="116"/>
        <v>0.5601034037052921</v>
      </c>
      <c r="F233" s="1097">
        <f t="shared" si="117"/>
        <v>8.4572490706319456</v>
      </c>
      <c r="G233" s="1098">
        <f t="shared" si="118"/>
        <v>14.076246334310859</v>
      </c>
      <c r="H233" s="1099">
        <f t="shared" si="119"/>
        <v>16.003976143141152</v>
      </c>
      <c r="I233" s="1100">
        <f t="shared" si="100"/>
        <v>1.445586975149957</v>
      </c>
      <c r="L233" s="754"/>
      <c r="N233" s="753"/>
    </row>
    <row r="234" spans="1:14" ht="16.5" customHeight="1">
      <c r="A234" s="734">
        <f t="shared" si="95"/>
        <v>227</v>
      </c>
      <c r="B234" s="1029" t="s">
        <v>511</v>
      </c>
      <c r="C234" s="880">
        <f>geral!E59</f>
        <v>2.3340000000000001</v>
      </c>
      <c r="D234" s="1096">
        <f t="shared" si="115"/>
        <v>686.47058823529403</v>
      </c>
      <c r="E234" s="1097">
        <f t="shared" si="116"/>
        <v>0</v>
      </c>
      <c r="F234" s="1097">
        <f t="shared" si="117"/>
        <v>8.4572490706319456</v>
      </c>
      <c r="G234" s="1098">
        <f t="shared" si="118"/>
        <v>14.020517830972157</v>
      </c>
      <c r="H234" s="1099">
        <f t="shared" si="119"/>
        <v>16.119402985074636</v>
      </c>
      <c r="I234" s="1100">
        <f t="shared" si="100"/>
        <v>1.445586975149957</v>
      </c>
      <c r="L234" s="754"/>
      <c r="N234" s="753"/>
    </row>
    <row r="235" spans="1:14" ht="16.5" customHeight="1">
      <c r="A235" s="734">
        <f t="shared" si="95"/>
        <v>228</v>
      </c>
      <c r="B235" s="1029" t="s">
        <v>512</v>
      </c>
      <c r="C235" s="880">
        <f>geral!E60</f>
        <v>2.3340000000000001</v>
      </c>
      <c r="D235" s="1096">
        <f t="shared" si="115"/>
        <v>686.47058823529403</v>
      </c>
      <c r="E235" s="1097">
        <f t="shared" si="116"/>
        <v>0</v>
      </c>
      <c r="F235" s="1097">
        <f t="shared" si="117"/>
        <v>8.4572490706319456</v>
      </c>
      <c r="G235" s="1098">
        <f t="shared" si="118"/>
        <v>14.243759177679882</v>
      </c>
      <c r="H235" s="1099">
        <f t="shared" si="119"/>
        <v>16.235059760956183</v>
      </c>
      <c r="I235" s="1100">
        <f t="shared" si="100"/>
        <v>1.445586975149957</v>
      </c>
      <c r="L235" s="754"/>
      <c r="N235" s="753"/>
    </row>
    <row r="236" spans="1:14" ht="16.5" customHeight="1">
      <c r="A236" s="734">
        <f t="shared" si="95"/>
        <v>229</v>
      </c>
      <c r="B236" s="1029" t="s">
        <v>513</v>
      </c>
      <c r="C236" s="880">
        <f>geral!E61</f>
        <v>2.3330000000000006</v>
      </c>
      <c r="D236" s="1096">
        <f t="shared" ref="D236:D241" si="120">100*C236/$C$8</f>
        <v>686.17647058823547</v>
      </c>
      <c r="E236" s="1097">
        <f t="shared" ref="E236:E241" si="121">100*((C236/C235)-1)</f>
        <v>-4.2844901456706719E-2</v>
      </c>
      <c r="F236" s="1097">
        <f t="shared" ref="F236:F241" si="122">100*((C236/$C$229)-1)</f>
        <v>8.4107806691449802</v>
      </c>
      <c r="G236" s="1098">
        <f t="shared" ref="G236:G241" si="123">100*((C236/C224)-1)</f>
        <v>10.88403041825099</v>
      </c>
      <c r="H236" s="1099">
        <f t="shared" ref="H236:H241" si="124">100*(C236/C212-1)</f>
        <v>16.127426580388281</v>
      </c>
      <c r="I236" s="1100">
        <f t="shared" si="100"/>
        <v>1.4462066009429912</v>
      </c>
      <c r="L236" s="754"/>
      <c r="N236" s="753"/>
    </row>
    <row r="237" spans="1:14" ht="16.5" customHeight="1">
      <c r="A237" s="734">
        <f t="shared" si="95"/>
        <v>230</v>
      </c>
      <c r="B237" s="1029" t="s">
        <v>514</v>
      </c>
      <c r="C237" s="880">
        <f>geral!E62</f>
        <v>2.331</v>
      </c>
      <c r="D237" s="1096">
        <f t="shared" si="120"/>
        <v>685.58823529411757</v>
      </c>
      <c r="E237" s="1097">
        <f t="shared" si="121"/>
        <v>-8.5726532361796171E-2</v>
      </c>
      <c r="F237" s="1097">
        <f t="shared" si="122"/>
        <v>8.3178438661709819</v>
      </c>
      <c r="G237" s="1098">
        <f t="shared" si="123"/>
        <v>9.333958724202617</v>
      </c>
      <c r="H237" s="1099">
        <f t="shared" si="124"/>
        <v>16.027874564459932</v>
      </c>
      <c r="I237" s="1100">
        <f t="shared" si="100"/>
        <v>1.4474474474474472</v>
      </c>
      <c r="L237" s="754"/>
      <c r="N237" s="753"/>
    </row>
    <row r="238" spans="1:14" ht="16.5" customHeight="1">
      <c r="A238" s="734">
        <f t="shared" si="95"/>
        <v>231</v>
      </c>
      <c r="B238" s="1029" t="s">
        <v>515</v>
      </c>
      <c r="C238" s="880">
        <f>geral!E63</f>
        <v>2.3300000000000005</v>
      </c>
      <c r="D238" s="1096">
        <f t="shared" si="120"/>
        <v>685.2941176470589</v>
      </c>
      <c r="E238" s="1097">
        <f t="shared" si="121"/>
        <v>-4.2900042900018143E-2</v>
      </c>
      <c r="F238" s="1097">
        <f t="shared" si="122"/>
        <v>8.2713754646840165</v>
      </c>
      <c r="G238" s="1098">
        <f t="shared" si="123"/>
        <v>8.9803554724041454</v>
      </c>
      <c r="H238" s="1099">
        <f t="shared" si="124"/>
        <v>15.004935834156008</v>
      </c>
      <c r="I238" s="1100">
        <f t="shared" si="100"/>
        <v>1.4480686695278966</v>
      </c>
      <c r="L238" s="754"/>
      <c r="N238" s="753"/>
    </row>
    <row r="239" spans="1:14" ht="16.5" customHeight="1">
      <c r="A239" s="734">
        <f t="shared" si="95"/>
        <v>232</v>
      </c>
      <c r="B239" s="1029" t="s">
        <v>516</v>
      </c>
      <c r="C239" s="880">
        <f>geral!E64</f>
        <v>2.3330000000000006</v>
      </c>
      <c r="D239" s="1096">
        <f t="shared" si="120"/>
        <v>686.17647058823547</v>
      </c>
      <c r="E239" s="1097">
        <f t="shared" si="121"/>
        <v>0.12875536480687622</v>
      </c>
      <c r="F239" s="1097">
        <f t="shared" si="122"/>
        <v>8.4107806691449802</v>
      </c>
      <c r="G239" s="1098">
        <f t="shared" si="123"/>
        <v>8.7138863000931988</v>
      </c>
      <c r="H239" s="1099">
        <f t="shared" si="124"/>
        <v>14.926108374384285</v>
      </c>
      <c r="I239" s="1100">
        <f t="shared" si="100"/>
        <v>1.4462066009429912</v>
      </c>
      <c r="L239" s="754"/>
      <c r="N239" s="753"/>
    </row>
    <row r="240" spans="1:14" ht="16.5" customHeight="1">
      <c r="A240" s="734">
        <f t="shared" si="95"/>
        <v>233</v>
      </c>
      <c r="B240" s="1029" t="s">
        <v>517</v>
      </c>
      <c r="C240" s="880">
        <f>geral!E65</f>
        <v>2.3320000000000003</v>
      </c>
      <c r="D240" s="1096">
        <f t="shared" si="120"/>
        <v>685.88235294117646</v>
      </c>
      <c r="E240" s="1097">
        <f t="shared" si="121"/>
        <v>-4.2863266180892534E-2</v>
      </c>
      <c r="F240" s="1097">
        <f t="shared" si="122"/>
        <v>8.3643122676579686</v>
      </c>
      <c r="G240" s="1098">
        <f t="shared" si="123"/>
        <v>8.4651162790697843</v>
      </c>
      <c r="H240" s="1099">
        <f t="shared" si="124"/>
        <v>14.820285573609059</v>
      </c>
      <c r="I240" s="1100">
        <f t="shared" si="100"/>
        <v>1.4468267581475125</v>
      </c>
      <c r="L240" s="754"/>
      <c r="N240" s="753"/>
    </row>
    <row r="241" spans="1:14" ht="16.5" customHeight="1">
      <c r="A241" s="734">
        <f t="shared" si="95"/>
        <v>234</v>
      </c>
      <c r="B241" s="1029" t="s">
        <v>518</v>
      </c>
      <c r="C241" s="880">
        <f>geral!E66</f>
        <v>2.4750000000000001</v>
      </c>
      <c r="D241" s="1096">
        <f t="shared" si="120"/>
        <v>727.94117647058818</v>
      </c>
      <c r="E241" s="1097">
        <f t="shared" si="121"/>
        <v>6.1320754716980952</v>
      </c>
      <c r="F241" s="1097">
        <f t="shared" si="122"/>
        <v>15.009293680297375</v>
      </c>
      <c r="G241" s="1098">
        <f t="shared" si="123"/>
        <v>15.009293680297375</v>
      </c>
      <c r="H241" s="1099">
        <f t="shared" si="124"/>
        <v>21.741269060501732</v>
      </c>
      <c r="I241" s="1100">
        <f t="shared" si="100"/>
        <v>1.3632323232323231</v>
      </c>
      <c r="L241" s="754"/>
      <c r="N241" s="753"/>
    </row>
    <row r="242" spans="1:14" ht="16.5" customHeight="1">
      <c r="A242" s="734">
        <f t="shared" si="95"/>
        <v>235</v>
      </c>
      <c r="B242" s="1029" t="s">
        <v>519</v>
      </c>
      <c r="C242" s="880">
        <f>geral!G55</f>
        <v>2.4869999999999997</v>
      </c>
      <c r="D242" s="1096">
        <f t="shared" ref="D242:D247" si="125">100*C242/$C$8</f>
        <v>731.47058823529392</v>
      </c>
      <c r="E242" s="1097">
        <f t="shared" ref="E242:E247" si="126">100*((C242/C241)-1)</f>
        <v>0.48484848484846577</v>
      </c>
      <c r="F242" s="1097">
        <f t="shared" ref="F242:F247" si="127">100*((C242/$C$241)-1)</f>
        <v>0.48484848484846577</v>
      </c>
      <c r="G242" s="1098">
        <f t="shared" ref="G242:G247" si="128">100*((C242/C230)-1)</f>
        <v>14.926062846580379</v>
      </c>
      <c r="H242" s="1099">
        <f t="shared" ref="H242:H247" si="129">100*(C242/C218-1)</f>
        <v>21.911764705882341</v>
      </c>
      <c r="I242" s="1100">
        <f t="shared" si="100"/>
        <v>1.3566546039404905</v>
      </c>
      <c r="L242" s="754"/>
      <c r="N242" s="753"/>
    </row>
    <row r="243" spans="1:14" ht="16.5" customHeight="1">
      <c r="A243" s="734">
        <f t="shared" si="95"/>
        <v>236</v>
      </c>
      <c r="B243" s="1029" t="s">
        <v>520</v>
      </c>
      <c r="C243" s="880">
        <f>geral!G56</f>
        <v>2.4929999999999999</v>
      </c>
      <c r="D243" s="1096">
        <f t="shared" si="125"/>
        <v>733.23529411764696</v>
      </c>
      <c r="E243" s="1097">
        <f t="shared" si="126"/>
        <v>0.24125452352232735</v>
      </c>
      <c r="F243" s="1097">
        <f t="shared" si="127"/>
        <v>0.72727272727270975</v>
      </c>
      <c r="G243" s="1098">
        <f t="shared" si="128"/>
        <v>10.554323725055447</v>
      </c>
      <c r="H243" s="1099">
        <f t="shared" si="129"/>
        <v>22.146006859382659</v>
      </c>
      <c r="I243" s="1100">
        <f t="shared" si="100"/>
        <v>1.3533894905736061</v>
      </c>
      <c r="L243" s="754"/>
      <c r="N243" s="753"/>
    </row>
    <row r="244" spans="1:14" ht="16.5" customHeight="1">
      <c r="A244" s="734">
        <f t="shared" si="95"/>
        <v>237</v>
      </c>
      <c r="B244" s="1029" t="s">
        <v>521</v>
      </c>
      <c r="C244" s="880">
        <f>geral!G57</f>
        <v>2.4990000000000001</v>
      </c>
      <c r="D244" s="1096">
        <f t="shared" si="125"/>
        <v>735</v>
      </c>
      <c r="E244" s="1097">
        <f t="shared" si="126"/>
        <v>0.24067388688329139</v>
      </c>
      <c r="F244" s="1097">
        <f t="shared" si="127"/>
        <v>0.96969696969697594</v>
      </c>
      <c r="G244" s="1098">
        <f t="shared" si="128"/>
        <v>7.6691081430417807</v>
      </c>
      <c r="H244" s="1099">
        <f t="shared" si="129"/>
        <v>22.320117474302492</v>
      </c>
      <c r="I244" s="1100">
        <f t="shared" si="100"/>
        <v>1.3501400560224088</v>
      </c>
      <c r="L244" s="754"/>
      <c r="N244" s="753"/>
    </row>
    <row r="245" spans="1:14" ht="16.5" customHeight="1">
      <c r="A245" s="734">
        <f t="shared" si="95"/>
        <v>238</v>
      </c>
      <c r="B245" s="1029" t="s">
        <v>522</v>
      </c>
      <c r="C245" s="880">
        <f>geral!G58</f>
        <v>2.5009999999999999</v>
      </c>
      <c r="D245" s="1096">
        <f t="shared" si="125"/>
        <v>735.58823529411757</v>
      </c>
      <c r="E245" s="1097">
        <f t="shared" si="126"/>
        <v>8.0032012805109076E-2</v>
      </c>
      <c r="F245" s="1097">
        <f t="shared" si="127"/>
        <v>1.0505050505050351</v>
      </c>
      <c r="G245" s="1098">
        <f t="shared" si="128"/>
        <v>7.1550985432733416</v>
      </c>
      <c r="H245" s="1099">
        <f t="shared" si="129"/>
        <v>22.238514173998048</v>
      </c>
      <c r="I245" s="1100">
        <f t="shared" si="100"/>
        <v>1.34906037584966</v>
      </c>
      <c r="L245" s="754"/>
      <c r="N245" s="753"/>
    </row>
    <row r="246" spans="1:14" ht="16.5" customHeight="1">
      <c r="A246" s="734">
        <f t="shared" si="95"/>
        <v>239</v>
      </c>
      <c r="B246" s="1029" t="s">
        <v>523</v>
      </c>
      <c r="C246" s="880">
        <f>geral!G59</f>
        <v>2.5</v>
      </c>
      <c r="D246" s="1096">
        <f t="shared" si="125"/>
        <v>735.29411764705878</v>
      </c>
      <c r="E246" s="1097">
        <f t="shared" si="126"/>
        <v>-3.9984006397442151E-2</v>
      </c>
      <c r="F246" s="1097">
        <f t="shared" si="127"/>
        <v>1.0101010101010166</v>
      </c>
      <c r="G246" s="1098">
        <f t="shared" si="128"/>
        <v>7.1122536418166238</v>
      </c>
      <c r="H246" s="1099">
        <f t="shared" si="129"/>
        <v>22.12994626282363</v>
      </c>
      <c r="I246" s="1100">
        <f t="shared" si="100"/>
        <v>1.3495999999999999</v>
      </c>
    </row>
    <row r="247" spans="1:14" ht="16.5" customHeight="1">
      <c r="A247" s="734">
        <f t="shared" si="95"/>
        <v>240</v>
      </c>
      <c r="B247" s="1029" t="s">
        <v>524</v>
      </c>
      <c r="C247" s="880">
        <f>geral!G60</f>
        <v>2.5</v>
      </c>
      <c r="D247" s="1096">
        <f t="shared" si="125"/>
        <v>735.29411764705878</v>
      </c>
      <c r="E247" s="1097">
        <f t="shared" si="126"/>
        <v>0</v>
      </c>
      <c r="F247" s="1097">
        <f t="shared" si="127"/>
        <v>1.0101010101010166</v>
      </c>
      <c r="G247" s="1098">
        <f t="shared" si="128"/>
        <v>7.1122536418166238</v>
      </c>
      <c r="H247" s="1099">
        <f t="shared" si="129"/>
        <v>22.369065100342624</v>
      </c>
      <c r="I247" s="1100">
        <f t="shared" si="100"/>
        <v>1.3495999999999999</v>
      </c>
    </row>
    <row r="248" spans="1:14" ht="16.5" customHeight="1">
      <c r="A248" s="734">
        <f t="shared" si="95"/>
        <v>241</v>
      </c>
      <c r="B248" s="1029" t="s">
        <v>525</v>
      </c>
      <c r="C248" s="880">
        <f>geral!G61</f>
        <v>2.4990000000000001</v>
      </c>
      <c r="D248" s="1096">
        <f t="shared" ref="D248:D253" si="130">100*C248/$C$8</f>
        <v>735</v>
      </c>
      <c r="E248" s="1097">
        <f t="shared" ref="E248:E253" si="131">100*((C248/C247)-1)</f>
        <v>-3.9999999999995595E-2</v>
      </c>
      <c r="F248" s="1097">
        <f t="shared" ref="F248:F253" si="132">100*((C248/$C$241)-1)</f>
        <v>0.96969696969697594</v>
      </c>
      <c r="G248" s="1098">
        <f t="shared" ref="G248:G253" si="133">100*((C248/C236)-1)</f>
        <v>7.1153021860265619</v>
      </c>
      <c r="H248" s="1099">
        <f t="shared" ref="H248:H253" si="134">100*(C248/C224-1)</f>
        <v>18.773764258555147</v>
      </c>
      <c r="I248" s="1100">
        <f t="shared" si="100"/>
        <v>1.3501400560224088</v>
      </c>
    </row>
    <row r="249" spans="1:14" ht="16.5" customHeight="1">
      <c r="A249" s="734">
        <f t="shared" si="95"/>
        <v>242</v>
      </c>
      <c r="B249" s="1029" t="s">
        <v>526</v>
      </c>
      <c r="C249" s="880">
        <f>geral!G62</f>
        <v>2.4990000000000001</v>
      </c>
      <c r="D249" s="1096">
        <f t="shared" si="130"/>
        <v>735</v>
      </c>
      <c r="E249" s="1097">
        <f t="shared" si="131"/>
        <v>0</v>
      </c>
      <c r="F249" s="1097">
        <f t="shared" si="132"/>
        <v>0.96969696969697594</v>
      </c>
      <c r="G249" s="1098">
        <f t="shared" si="133"/>
        <v>7.2072072072072224</v>
      </c>
      <c r="H249" s="1099">
        <f t="shared" si="134"/>
        <v>17.213883677298302</v>
      </c>
      <c r="I249" s="1100">
        <f t="shared" si="100"/>
        <v>1.3501400560224088</v>
      </c>
    </row>
    <row r="250" spans="1:14" ht="16.5" customHeight="1">
      <c r="A250" s="734">
        <f t="shared" si="95"/>
        <v>243</v>
      </c>
      <c r="B250" s="1029" t="s">
        <v>527</v>
      </c>
      <c r="C250" s="880">
        <f>geral!G63</f>
        <v>2.5009999999999999</v>
      </c>
      <c r="D250" s="1096">
        <f t="shared" si="130"/>
        <v>735.58823529411757</v>
      </c>
      <c r="E250" s="1097">
        <f t="shared" si="131"/>
        <v>8.0032012805109076E-2</v>
      </c>
      <c r="F250" s="1097">
        <f t="shared" si="132"/>
        <v>1.0505050505050351</v>
      </c>
      <c r="G250" s="1098">
        <f t="shared" si="133"/>
        <v>7.3390557939913892</v>
      </c>
      <c r="H250" s="1099">
        <f t="shared" si="134"/>
        <v>16.978484565014028</v>
      </c>
      <c r="I250" s="1100">
        <f t="shared" si="100"/>
        <v>1.34906037584966</v>
      </c>
    </row>
    <row r="251" spans="1:14" ht="16.5" customHeight="1">
      <c r="A251" s="734">
        <f t="shared" si="95"/>
        <v>244</v>
      </c>
      <c r="B251" s="1029" t="s">
        <v>528</v>
      </c>
      <c r="C251" s="880">
        <f>geral!G64</f>
        <v>2.5</v>
      </c>
      <c r="D251" s="1096">
        <f t="shared" si="130"/>
        <v>735.29411764705878</v>
      </c>
      <c r="E251" s="1097">
        <f t="shared" si="131"/>
        <v>-3.9984006397442151E-2</v>
      </c>
      <c r="F251" s="1097">
        <f t="shared" si="132"/>
        <v>1.0101010101010166</v>
      </c>
      <c r="G251" s="1098">
        <f t="shared" si="133"/>
        <v>7.1581654522074212</v>
      </c>
      <c r="H251" s="1099">
        <f t="shared" si="134"/>
        <v>16.495806150978542</v>
      </c>
      <c r="I251" s="1100">
        <f t="shared" si="100"/>
        <v>1.3495999999999999</v>
      </c>
    </row>
    <row r="252" spans="1:14" ht="16.5" customHeight="1">
      <c r="A252" s="734">
        <f t="shared" si="95"/>
        <v>245</v>
      </c>
      <c r="B252" s="1029" t="s">
        <v>529</v>
      </c>
      <c r="C252" s="880">
        <f>geral!G65</f>
        <v>2.6</v>
      </c>
      <c r="D252" s="1096">
        <f t="shared" si="130"/>
        <v>764.7058823529411</v>
      </c>
      <c r="E252" s="1097">
        <f t="shared" si="131"/>
        <v>4.0000000000000036</v>
      </c>
      <c r="F252" s="1097">
        <f t="shared" si="132"/>
        <v>5.0505050505050608</v>
      </c>
      <c r="G252" s="1098">
        <f t="shared" si="133"/>
        <v>11.492281303602049</v>
      </c>
      <c r="H252" s="1099">
        <f t="shared" si="134"/>
        <v>20.930232558139551</v>
      </c>
      <c r="I252" s="1100">
        <f t="shared" si="100"/>
        <v>1.2976923076923075</v>
      </c>
    </row>
    <row r="253" spans="1:14" ht="16.5" customHeight="1">
      <c r="A253" s="734">
        <f t="shared" si="95"/>
        <v>246</v>
      </c>
      <c r="B253" s="1029" t="s">
        <v>530</v>
      </c>
      <c r="C253" s="880">
        <f>geral!G66</f>
        <v>2.6069999999999998</v>
      </c>
      <c r="D253" s="1096">
        <f t="shared" si="130"/>
        <v>766.76470588235281</v>
      </c>
      <c r="E253" s="1097">
        <f t="shared" si="131"/>
        <v>0.26923076923075495</v>
      </c>
      <c r="F253" s="1097">
        <f t="shared" si="132"/>
        <v>5.3333333333333233</v>
      </c>
      <c r="G253" s="1098">
        <f t="shared" si="133"/>
        <v>5.3333333333333233</v>
      </c>
      <c r="H253" s="1099">
        <f t="shared" si="134"/>
        <v>21.143122676579871</v>
      </c>
      <c r="I253" s="1100">
        <f t="shared" si="100"/>
        <v>1.2942079018028385</v>
      </c>
    </row>
    <row r="254" spans="1:14" ht="16.5" customHeight="1">
      <c r="A254" s="734">
        <f t="shared" si="95"/>
        <v>247</v>
      </c>
      <c r="B254" s="1029" t="s">
        <v>531</v>
      </c>
      <c r="C254" s="880">
        <f>geral!I55</f>
        <v>2.613</v>
      </c>
      <c r="D254" s="1096">
        <f t="shared" ref="D254:D259" si="135">100*C254/$C$8</f>
        <v>768.52941176470586</v>
      </c>
      <c r="E254" s="1097">
        <f t="shared" ref="E254:E259" si="136">100*((C254/C253)-1)</f>
        <v>0.23014959723821615</v>
      </c>
      <c r="F254" s="1097">
        <f t="shared" ref="F254:F259" si="137">100*((C254/$C$253)-1)</f>
        <v>0.23014959723821615</v>
      </c>
      <c r="G254" s="1098">
        <f t="shared" ref="G254:G259" si="138">100*((C254/C242)-1)</f>
        <v>5.0663449939686522</v>
      </c>
      <c r="H254" s="1099">
        <f t="shared" ref="H254:H259" si="139">100*(C254/C230-1)</f>
        <v>20.748613678373374</v>
      </c>
      <c r="I254" s="1100">
        <f t="shared" si="100"/>
        <v>1.2912361270570225</v>
      </c>
    </row>
    <row r="255" spans="1:14" ht="16.5" customHeight="1">
      <c r="A255" s="734">
        <f t="shared" si="95"/>
        <v>248</v>
      </c>
      <c r="B255" s="1029" t="s">
        <v>649</v>
      </c>
      <c r="C255" s="880">
        <f>geral!I56</f>
        <v>2.8079999999999998</v>
      </c>
      <c r="D255" s="1096">
        <f t="shared" si="135"/>
        <v>825.88235294117624</v>
      </c>
      <c r="E255" s="1097">
        <f t="shared" si="136"/>
        <v>7.4626865671641784</v>
      </c>
      <c r="F255" s="1097">
        <f t="shared" si="137"/>
        <v>7.7100115074798747</v>
      </c>
      <c r="G255" s="1098">
        <f t="shared" si="138"/>
        <v>12.635379061371843</v>
      </c>
      <c r="H255" s="1099">
        <f t="shared" si="139"/>
        <v>24.523281596452364</v>
      </c>
      <c r="I255" s="1100">
        <f t="shared" si="100"/>
        <v>1.2015669515669516</v>
      </c>
    </row>
    <row r="256" spans="1:14" ht="16.5" customHeight="1">
      <c r="A256" s="734">
        <f t="shared" si="95"/>
        <v>249</v>
      </c>
      <c r="B256" s="1029" t="s">
        <v>650</v>
      </c>
      <c r="C256" s="880">
        <f>geral!I57</f>
        <v>2.8099999999999996</v>
      </c>
      <c r="D256" s="1096">
        <f t="shared" si="135"/>
        <v>826.47058823529392</v>
      </c>
      <c r="E256" s="1097">
        <f t="shared" si="136"/>
        <v>7.1225071225056169E-2</v>
      </c>
      <c r="F256" s="1097">
        <f t="shared" si="137"/>
        <v>7.7867280398925987</v>
      </c>
      <c r="G256" s="1098">
        <f t="shared" si="138"/>
        <v>12.44497799119646</v>
      </c>
      <c r="H256" s="1099">
        <f t="shared" si="139"/>
        <v>21.068504954760847</v>
      </c>
      <c r="I256" s="1100">
        <f t="shared" si="100"/>
        <v>1.2007117437722421</v>
      </c>
    </row>
    <row r="257" spans="1:9" ht="16.5" customHeight="1">
      <c r="A257" s="734">
        <f t="shared" si="95"/>
        <v>250</v>
      </c>
      <c r="B257" s="1029" t="s">
        <v>652</v>
      </c>
      <c r="C257" s="880">
        <f>geral!I58</f>
        <v>2.8090000000000006</v>
      </c>
      <c r="D257" s="1096">
        <f t="shared" si="135"/>
        <v>826.17647058823536</v>
      </c>
      <c r="E257" s="1097">
        <f t="shared" si="136"/>
        <v>-3.5587188612062892E-2</v>
      </c>
      <c r="F257" s="1097">
        <f t="shared" si="137"/>
        <v>7.74836977368627</v>
      </c>
      <c r="G257" s="1098">
        <f t="shared" si="138"/>
        <v>12.315073970411872</v>
      </c>
      <c r="H257" s="1099">
        <f t="shared" si="139"/>
        <v>20.351328191945186</v>
      </c>
      <c r="I257" s="1100">
        <f t="shared" si="100"/>
        <v>1.2011391954432178</v>
      </c>
    </row>
    <row r="258" spans="1:9" ht="16.5" customHeight="1">
      <c r="A258" s="734">
        <f t="shared" si="95"/>
        <v>251</v>
      </c>
      <c r="B258" s="1029" t="s">
        <v>653</v>
      </c>
      <c r="C258" s="880">
        <f>geral!I59</f>
        <v>2.8069999999999995</v>
      </c>
      <c r="D258" s="1096">
        <f t="shared" si="135"/>
        <v>825.58823529411734</v>
      </c>
      <c r="E258" s="1097">
        <f t="shared" si="136"/>
        <v>-7.1199715201175628E-2</v>
      </c>
      <c r="F258" s="1097">
        <f t="shared" si="137"/>
        <v>7.6716532412734795</v>
      </c>
      <c r="G258" s="1098">
        <f t="shared" si="138"/>
        <v>12.27999999999998</v>
      </c>
      <c r="H258" s="1099">
        <f t="shared" si="139"/>
        <v>20.265638389031682</v>
      </c>
      <c r="I258" s="1100">
        <f t="shared" si="100"/>
        <v>1.2019950124688281</v>
      </c>
    </row>
    <row r="259" spans="1:9" ht="16.5" customHeight="1">
      <c r="A259" s="734">
        <f t="shared" si="95"/>
        <v>252</v>
      </c>
      <c r="B259" s="1029" t="s">
        <v>654</v>
      </c>
      <c r="C259" s="880">
        <f>geral!I60</f>
        <v>2.8069999999999995</v>
      </c>
      <c r="D259" s="1096">
        <f t="shared" si="135"/>
        <v>825.58823529411734</v>
      </c>
      <c r="E259" s="1097">
        <f t="shared" si="136"/>
        <v>0</v>
      </c>
      <c r="F259" s="1097">
        <f t="shared" si="137"/>
        <v>7.6716532412734795</v>
      </c>
      <c r="G259" s="1098">
        <f t="shared" si="138"/>
        <v>12.27999999999998</v>
      </c>
      <c r="H259" s="1099">
        <f t="shared" si="139"/>
        <v>20.265638389031682</v>
      </c>
      <c r="I259" s="1100">
        <f t="shared" si="100"/>
        <v>1.2019950124688281</v>
      </c>
    </row>
    <row r="260" spans="1:9" ht="16.5" customHeight="1">
      <c r="A260" s="734">
        <f t="shared" si="95"/>
        <v>253</v>
      </c>
      <c r="B260" s="1029" t="s">
        <v>657</v>
      </c>
      <c r="C260" s="880">
        <f>geral!I61</f>
        <v>2.8050000000000002</v>
      </c>
      <c r="D260" s="1096">
        <f t="shared" ref="D260:D264" si="140">100*C260/$C$8</f>
        <v>824.99999999999989</v>
      </c>
      <c r="E260" s="1097">
        <f t="shared" ref="E260:E265" si="141">100*((C260/C259)-1)</f>
        <v>-7.1250445315262922E-2</v>
      </c>
      <c r="F260" s="1097">
        <f t="shared" ref="F260:F265" si="142">100*((C260/$C$253)-1)</f>
        <v>7.5949367088607778</v>
      </c>
      <c r="G260" s="1098">
        <f t="shared" ref="G260:G265" si="143">100*((C260/C248)-1)</f>
        <v>12.244897959183664</v>
      </c>
      <c r="H260" s="1099">
        <f t="shared" ref="H260:H265" si="144">100*(C260/C236-1)</f>
        <v>20.231461637376746</v>
      </c>
      <c r="I260" s="1100">
        <f t="shared" si="100"/>
        <v>1.2028520499108732</v>
      </c>
    </row>
    <row r="261" spans="1:9" ht="16.5" customHeight="1">
      <c r="A261" s="734">
        <f t="shared" si="95"/>
        <v>254</v>
      </c>
      <c r="B261" s="1029" t="s">
        <v>658</v>
      </c>
      <c r="C261" s="880">
        <f>geral!I62</f>
        <v>2.7989999999999999</v>
      </c>
      <c r="D261" s="1096">
        <f t="shared" si="140"/>
        <v>823.23529411764696</v>
      </c>
      <c r="E261" s="1097">
        <f t="shared" si="141"/>
        <v>-0.21390374331551332</v>
      </c>
      <c r="F261" s="1097">
        <f t="shared" si="142"/>
        <v>7.3647871116225616</v>
      </c>
      <c r="G261" s="1098">
        <f t="shared" si="143"/>
        <v>12.004801920768294</v>
      </c>
      <c r="H261" s="1099">
        <f t="shared" si="144"/>
        <v>20.077220077220083</v>
      </c>
      <c r="I261" s="1100">
        <f t="shared" si="100"/>
        <v>1.2054305108967487</v>
      </c>
    </row>
    <row r="262" spans="1:9" ht="16.5" customHeight="1">
      <c r="A262" s="734">
        <f t="shared" si="95"/>
        <v>255</v>
      </c>
      <c r="B262" s="1071" t="s">
        <v>659</v>
      </c>
      <c r="C262" s="880">
        <f>geral!I63</f>
        <v>2.8129999999999997</v>
      </c>
      <c r="D262" s="1096">
        <f t="shared" si="140"/>
        <v>827.35294117647038</v>
      </c>
      <c r="E262" s="1097">
        <f t="shared" si="141"/>
        <v>0.50017863522686667</v>
      </c>
      <c r="F262" s="1097">
        <f t="shared" si="142"/>
        <v>7.9018028385116956</v>
      </c>
      <c r="G262" s="1098">
        <f t="shared" si="143"/>
        <v>12.475009996001596</v>
      </c>
      <c r="H262" s="1099">
        <f t="shared" si="144"/>
        <v>20.729613733905538</v>
      </c>
      <c r="I262" s="1100">
        <f t="shared" si="100"/>
        <v>1.199431212228937</v>
      </c>
    </row>
    <row r="263" spans="1:9" ht="16.5" customHeight="1">
      <c r="A263" s="734">
        <f t="shared" si="95"/>
        <v>256</v>
      </c>
      <c r="B263" s="1071" t="s">
        <v>662</v>
      </c>
      <c r="C263" s="880">
        <f>geral!I64</f>
        <v>2.93</v>
      </c>
      <c r="D263" s="1096">
        <f t="shared" si="140"/>
        <v>861.76470588235293</v>
      </c>
      <c r="E263" s="1097">
        <f t="shared" si="141"/>
        <v>4.1592605758976386</v>
      </c>
      <c r="F263" s="1097">
        <f t="shared" si="142"/>
        <v>12.389719984656701</v>
      </c>
      <c r="G263" s="1098">
        <f t="shared" si="143"/>
        <v>17.200000000000017</v>
      </c>
      <c r="H263" s="1099">
        <f t="shared" si="144"/>
        <v>25.589369909987102</v>
      </c>
      <c r="I263" s="1100">
        <f t="shared" si="100"/>
        <v>1.1515358361774741</v>
      </c>
    </row>
    <row r="264" spans="1:9" ht="16.5" customHeight="1">
      <c r="A264" s="734">
        <f t="shared" si="95"/>
        <v>257</v>
      </c>
      <c r="B264" s="1071" t="s">
        <v>663</v>
      </c>
      <c r="C264" s="880">
        <f>geral!I65</f>
        <v>2.9769999999999999</v>
      </c>
      <c r="D264" s="1096">
        <f t="shared" si="140"/>
        <v>875.58823529411757</v>
      </c>
      <c r="E264" s="1097">
        <f t="shared" si="141"/>
        <v>1.6040955631399179</v>
      </c>
      <c r="F264" s="1097">
        <f t="shared" si="142"/>
        <v>14.192558496355968</v>
      </c>
      <c r="G264" s="1098">
        <f t="shared" si="143"/>
        <v>14.500000000000002</v>
      </c>
      <c r="H264" s="1099">
        <f t="shared" si="144"/>
        <v>27.658662092624333</v>
      </c>
      <c r="I264" s="1100">
        <f t="shared" si="100"/>
        <v>1.1333557272421901</v>
      </c>
    </row>
    <row r="265" spans="1:9" ht="16.5" customHeight="1">
      <c r="A265" s="734">
        <f t="shared" si="95"/>
        <v>258</v>
      </c>
      <c r="B265" s="1071" t="s">
        <v>664</v>
      </c>
      <c r="C265" s="880">
        <f>geral!I66</f>
        <v>2.9860000000000002</v>
      </c>
      <c r="D265" s="1096">
        <f>100*C265/$C$8</f>
        <v>878.23529411764707</v>
      </c>
      <c r="E265" s="1097">
        <f t="shared" si="141"/>
        <v>0.30231776956668455</v>
      </c>
      <c r="F265" s="1097">
        <f t="shared" si="142"/>
        <v>14.537782892213279</v>
      </c>
      <c r="G265" s="1098">
        <f t="shared" si="143"/>
        <v>14.537782892213279</v>
      </c>
      <c r="H265" s="1099">
        <f t="shared" si="144"/>
        <v>20.646464646464647</v>
      </c>
      <c r="I265" s="1100">
        <f t="shared" si="100"/>
        <v>1.1299397186872069</v>
      </c>
    </row>
    <row r="266" spans="1:9" ht="16.5" customHeight="1">
      <c r="A266" s="734">
        <f t="shared" si="95"/>
        <v>259</v>
      </c>
      <c r="B266" s="1071" t="s">
        <v>666</v>
      </c>
      <c r="C266" s="880">
        <f>geral!K55</f>
        <v>3.0100000000000002</v>
      </c>
      <c r="D266" s="1096">
        <f t="shared" ref="D266" si="145">100*C266/$C$8</f>
        <v>885.29411764705878</v>
      </c>
      <c r="E266" s="1097">
        <f t="shared" ref="E266" si="146">100*((C266/C265)-1)</f>
        <v>0.80375083724044671</v>
      </c>
      <c r="F266" s="1097">
        <f t="shared" ref="F266:F271" si="147">100*((C266/$C$265)-1)</f>
        <v>0.80375083724044671</v>
      </c>
      <c r="G266" s="1098">
        <f t="shared" ref="G266" si="148">100*((C266/C254)-1)</f>
        <v>15.193264446995801</v>
      </c>
      <c r="H266" s="1099">
        <f t="shared" ref="H266" si="149">100*(C266/C242-1)</f>
        <v>21.029352633695233</v>
      </c>
      <c r="I266" s="1100">
        <f t="shared" si="100"/>
        <v>1.1209302325581394</v>
      </c>
    </row>
    <row r="267" spans="1:9" ht="16.5" customHeight="1">
      <c r="A267" s="734">
        <f t="shared" si="95"/>
        <v>260</v>
      </c>
      <c r="B267" s="1029" t="s">
        <v>667</v>
      </c>
      <c r="C267" s="880">
        <f>geral!K56</f>
        <v>3.02</v>
      </c>
      <c r="D267" s="1096">
        <f t="shared" ref="D267" si="150">100*C267/$C$8</f>
        <v>888.23529411764696</v>
      </c>
      <c r="E267" s="1097">
        <f t="shared" ref="E267" si="151">100*((C267/C266)-1)</f>
        <v>0.33222591362125353</v>
      </c>
      <c r="F267" s="1097">
        <f t="shared" si="147"/>
        <v>1.1386470194239662</v>
      </c>
      <c r="G267" s="1098">
        <f t="shared" ref="G267" si="152">100*((C267/C255)-1)</f>
        <v>7.5498575498575526</v>
      </c>
      <c r="H267" s="1099">
        <f t="shared" ref="H267" si="153">100*(C267/C243-1)</f>
        <v>21.139189731247509</v>
      </c>
      <c r="I267" s="1100">
        <f t="shared" si="100"/>
        <v>1.1172185430463575</v>
      </c>
    </row>
    <row r="268" spans="1:9" ht="16.5" customHeight="1">
      <c r="A268" s="734">
        <f t="shared" si="95"/>
        <v>261</v>
      </c>
      <c r="B268" s="1029" t="s">
        <v>668</v>
      </c>
      <c r="C268" s="880">
        <f>geral!K57</f>
        <v>3.0210000000000004</v>
      </c>
      <c r="D268" s="1096">
        <f t="shared" ref="D268" si="154">100*C268/$C$8</f>
        <v>888.52941176470586</v>
      </c>
      <c r="E268" s="1097">
        <f t="shared" ref="E268" si="155">100*((C268/C267)-1)</f>
        <v>3.3112582781469335E-2</v>
      </c>
      <c r="F268" s="1097">
        <f t="shared" si="147"/>
        <v>1.1721366376423292</v>
      </c>
      <c r="G268" s="1098">
        <f t="shared" ref="G268" si="156">100*((C268/C256)-1)</f>
        <v>7.5088967971530529</v>
      </c>
      <c r="H268" s="1099">
        <f t="shared" ref="H268" si="157">100*(C268/C244-1)</f>
        <v>20.888355342136865</v>
      </c>
      <c r="I268" s="1100">
        <f t="shared" si="100"/>
        <v>1.1168487255875537</v>
      </c>
    </row>
    <row r="269" spans="1:9" ht="16.5" customHeight="1" thickBot="1">
      <c r="A269" s="734">
        <f t="shared" si="95"/>
        <v>262</v>
      </c>
      <c r="B269" s="1071" t="s">
        <v>669</v>
      </c>
      <c r="C269" s="880">
        <f>geral!K58</f>
        <v>3.0210000000000004</v>
      </c>
      <c r="D269" s="1096">
        <f t="shared" ref="D269" si="158">100*C269/$C$8</f>
        <v>888.52941176470586</v>
      </c>
      <c r="E269" s="1097">
        <f t="shared" ref="E269" si="159">100*((C269/C268)-1)</f>
        <v>0</v>
      </c>
      <c r="F269" s="1097">
        <f t="shared" si="147"/>
        <v>1.1721366376423292</v>
      </c>
      <c r="G269" s="1098">
        <f t="shared" ref="G269" si="160">100*((C269/C257)-1)</f>
        <v>7.547169811320753</v>
      </c>
      <c r="H269" s="1099">
        <f t="shared" ref="H269" si="161">100*(C269/C245-1)</f>
        <v>20.791683326669343</v>
      </c>
      <c r="I269" s="1100">
        <f t="shared" si="100"/>
        <v>1.1168487255875537</v>
      </c>
    </row>
    <row r="270" spans="1:9" ht="16.5" customHeight="1">
      <c r="A270" s="734">
        <f t="shared" si="95"/>
        <v>263</v>
      </c>
      <c r="B270" s="1101" t="s">
        <v>670</v>
      </c>
      <c r="C270" s="899">
        <f>geral!K59</f>
        <v>3.0150000000000001</v>
      </c>
      <c r="D270" s="1102">
        <f t="shared" ref="D270" si="162">100*C270/$C$8</f>
        <v>886.76470588235293</v>
      </c>
      <c r="E270" s="1103">
        <f t="shared" ref="E270" si="163">100*((C270/C269)-1)</f>
        <v>-0.19860973187686426</v>
      </c>
      <c r="F270" s="1103">
        <f t="shared" si="147"/>
        <v>0.97119892833221755</v>
      </c>
      <c r="G270" s="1104">
        <f t="shared" ref="G270" si="164">100*((C270/C258)-1)</f>
        <v>7.4100463127894756</v>
      </c>
      <c r="H270" s="1105">
        <f t="shared" ref="H270" si="165">100*(C270/C246-1)</f>
        <v>20.599999999999994</v>
      </c>
      <c r="I270" s="1100">
        <f t="shared" si="100"/>
        <v>1.1190713101160861</v>
      </c>
    </row>
    <row r="271" spans="1:9" ht="16.5" customHeight="1">
      <c r="A271" s="734">
        <f t="shared" si="95"/>
        <v>264</v>
      </c>
      <c r="B271" s="1071" t="s">
        <v>671</v>
      </c>
      <c r="C271" s="910">
        <f>geral!K60</f>
        <v>3.0130000000000003</v>
      </c>
      <c r="D271" s="918">
        <f t="shared" ref="D271" si="166">100*C271/$C$8</f>
        <v>886.17647058823525</v>
      </c>
      <c r="E271" s="919">
        <f t="shared" ref="E271" si="167">100*((C271/C270)-1)</f>
        <v>-6.6334991708116853E-2</v>
      </c>
      <c r="F271" s="919">
        <f t="shared" si="147"/>
        <v>0.90421969189551366</v>
      </c>
      <c r="G271" s="920">
        <f t="shared" ref="G271" si="168">100*((C271/C259)-1)</f>
        <v>7.3387958674742126</v>
      </c>
      <c r="H271" s="921">
        <f t="shared" ref="H271" si="169">100*(C271/C247-1)</f>
        <v>20.520000000000003</v>
      </c>
      <c r="I271" s="1100">
        <f t="shared" si="100"/>
        <v>1.1198141387321603</v>
      </c>
    </row>
    <row r="272" spans="1:9" ht="16.5" customHeight="1">
      <c r="A272" s="734">
        <f t="shared" si="95"/>
        <v>265</v>
      </c>
      <c r="B272" s="1071" t="s">
        <v>672</v>
      </c>
      <c r="C272" s="910">
        <f>geral!K61</f>
        <v>3.0100000000000002</v>
      </c>
      <c r="D272" s="918">
        <f t="shared" ref="D272" si="170">100*C272/$C$8</f>
        <v>885.29411764705878</v>
      </c>
      <c r="E272" s="919">
        <f t="shared" ref="E272" si="171">100*((C272/C271)-1)</f>
        <v>-9.9568536342520275E-2</v>
      </c>
      <c r="F272" s="919">
        <f t="shared" ref="F272" si="172">100*((C272/$C$265)-1)</f>
        <v>0.80375083724044671</v>
      </c>
      <c r="G272" s="920">
        <f t="shared" ref="G272" si="173">100*((C272/C260)-1)</f>
        <v>7.3083778966131829</v>
      </c>
      <c r="H272" s="921">
        <f t="shared" ref="H272" si="174">100*(C272/C248-1)</f>
        <v>20.448179271708678</v>
      </c>
      <c r="I272" s="1100">
        <f t="shared" ref="I272:I322" si="175">$C$322/C272</f>
        <v>1.1209302325581394</v>
      </c>
    </row>
    <row r="273" spans="1:9" ht="16.5" customHeight="1">
      <c r="A273" s="734">
        <f t="shared" si="95"/>
        <v>266</v>
      </c>
      <c r="B273" s="1071" t="s">
        <v>673</v>
      </c>
      <c r="C273" s="910">
        <f>geral!K62</f>
        <v>3.0070000000000006</v>
      </c>
      <c r="D273" s="918">
        <f t="shared" ref="D273" si="176">100*C273/$C$8</f>
        <v>884.41176470588243</v>
      </c>
      <c r="E273" s="919">
        <f t="shared" ref="E273" si="177">100*((C273/C272)-1)</f>
        <v>-9.9667774086364957E-2</v>
      </c>
      <c r="F273" s="919">
        <f t="shared" ref="F273" si="178">100*((C273/$C$265)-1)</f>
        <v>0.70328198258540198</v>
      </c>
      <c r="G273" s="920">
        <f t="shared" ref="G273" si="179">100*((C273/C261)-1)</f>
        <v>7.4312254376563303</v>
      </c>
      <c r="H273" s="921">
        <f t="shared" ref="H273" si="180">100*(C273/C249-1)</f>
        <v>20.328131252501013</v>
      </c>
      <c r="I273" s="1100">
        <f t="shared" si="175"/>
        <v>1.1220485533754569</v>
      </c>
    </row>
    <row r="274" spans="1:9" ht="16.5" customHeight="1">
      <c r="A274" s="734">
        <f t="shared" si="95"/>
        <v>267</v>
      </c>
      <c r="B274" s="1071" t="s">
        <v>674</v>
      </c>
      <c r="C274" s="910">
        <f>geral!K63</f>
        <v>3.0059999999999998</v>
      </c>
      <c r="D274" s="918">
        <f t="shared" ref="D274" si="181">100*C274/$C$8</f>
        <v>884.11764705882342</v>
      </c>
      <c r="E274" s="919">
        <f t="shared" ref="E274" si="182">100*((C274/C273)-1)</f>
        <v>-3.3255736614590248E-2</v>
      </c>
      <c r="F274" s="919">
        <f t="shared" ref="F274" si="183">100*((C274/$C$265)-1)</f>
        <v>0.66979236436703893</v>
      </c>
      <c r="G274" s="920">
        <f t="shared" ref="G274" si="184">100*((C274/C262)-1)</f>
        <v>6.8610024884464993</v>
      </c>
      <c r="H274" s="921">
        <f t="shared" ref="H274" si="185">100*(C274/C250-1)</f>
        <v>20.191923230707708</v>
      </c>
      <c r="I274" s="1100">
        <f t="shared" si="175"/>
        <v>1.1224218230206253</v>
      </c>
    </row>
    <row r="275" spans="1:9" ht="16.5" customHeight="1">
      <c r="A275" s="734">
        <f t="shared" si="95"/>
        <v>268</v>
      </c>
      <c r="B275" s="1071" t="s">
        <v>675</v>
      </c>
      <c r="C275" s="910">
        <f>geral!K64</f>
        <v>3.0079999999999996</v>
      </c>
      <c r="D275" s="918">
        <f t="shared" ref="D275" si="186">100*C275/$C$8</f>
        <v>884.70588235294099</v>
      </c>
      <c r="E275" s="919">
        <f t="shared" ref="E275" si="187">100*((C275/C274)-1)</f>
        <v>6.6533599467732962E-2</v>
      </c>
      <c r="F275" s="919">
        <f t="shared" ref="F275" si="188">100*((C275/$C$265)-1)</f>
        <v>0.73677160080372062</v>
      </c>
      <c r="G275" s="920">
        <f t="shared" ref="G275" si="189">100*((C275/C263)-1)</f>
        <v>2.6621160409556088</v>
      </c>
      <c r="H275" s="921">
        <f t="shared" ref="H275" si="190">100*(C275/C251-1)</f>
        <v>20.319999999999983</v>
      </c>
      <c r="I275" s="1100">
        <f t="shared" si="175"/>
        <v>1.1216755319148937</v>
      </c>
    </row>
    <row r="276" spans="1:9" ht="16.5" customHeight="1">
      <c r="A276" s="734">
        <f t="shared" si="95"/>
        <v>269</v>
      </c>
      <c r="B276" s="1071" t="s">
        <v>676</v>
      </c>
      <c r="C276" s="910">
        <f>geral!K65</f>
        <v>2.9839999999999995</v>
      </c>
      <c r="D276" s="918">
        <f t="shared" ref="D276" si="191">100*C276/$C$8</f>
        <v>877.64705882352928</v>
      </c>
      <c r="E276" s="919">
        <f t="shared" ref="E276" si="192">100*((C276/C275)-1)</f>
        <v>-0.79787234042553168</v>
      </c>
      <c r="F276" s="919">
        <f t="shared" ref="F276" si="193">100*((C276/$C$265)-1)</f>
        <v>-6.6979236436726097E-2</v>
      </c>
      <c r="G276" s="920">
        <f t="shared" ref="G276" si="194">100*((C276/C264)-1)</f>
        <v>0.23513604299629787</v>
      </c>
      <c r="H276" s="921">
        <f t="shared" ref="H276" si="195">100*(C276/C252-1)</f>
        <v>14.769230769230756</v>
      </c>
      <c r="I276" s="1100">
        <f t="shared" si="175"/>
        <v>1.1306970509383378</v>
      </c>
    </row>
    <row r="277" spans="1:9" ht="16.5" customHeight="1">
      <c r="A277" s="734">
        <f t="shared" si="95"/>
        <v>270</v>
      </c>
      <c r="B277" s="1071" t="s">
        <v>677</v>
      </c>
      <c r="C277" s="910">
        <f>geral!K66</f>
        <v>3.0509999999999997</v>
      </c>
      <c r="D277" s="918">
        <f t="shared" ref="D277" si="196">100*C277/$C$8</f>
        <v>897.35294117647038</v>
      </c>
      <c r="E277" s="919">
        <f t="shared" ref="E277" si="197">100*((C277/C276)-1)</f>
        <v>2.2453083109919669</v>
      </c>
      <c r="F277" s="919">
        <f t="shared" ref="F277" si="198">100*((C277/$C$265)-1)</f>
        <v>2.1768251841928876</v>
      </c>
      <c r="G277" s="920">
        <f t="shared" ref="G277" si="199">100*((C277/C265)-1)</f>
        <v>2.1768251841928876</v>
      </c>
      <c r="H277" s="921">
        <f t="shared" ref="H277" si="200">100*(C277/C253-1)</f>
        <v>17.031070195627152</v>
      </c>
      <c r="I277" s="1100">
        <f t="shared" si="175"/>
        <v>1.1058669288757785</v>
      </c>
    </row>
    <row r="278" spans="1:9" ht="16.5" customHeight="1">
      <c r="A278" s="734">
        <f t="shared" si="95"/>
        <v>271</v>
      </c>
      <c r="B278" s="1071" t="s">
        <v>679</v>
      </c>
      <c r="C278" s="910">
        <f>geral!M55</f>
        <v>3.1209999999999996</v>
      </c>
      <c r="D278" s="918">
        <f t="shared" ref="D278" si="201">100*C278/$C$8</f>
        <v>917.94117647058806</v>
      </c>
      <c r="E278" s="919">
        <f t="shared" ref="E278" si="202">100*((C278/C277)-1)</f>
        <v>2.2943297279580444</v>
      </c>
      <c r="F278" s="919">
        <f t="shared" ref="F278:F283" si="203">100*((C278/$C$277)-1)</f>
        <v>2.2943297279580444</v>
      </c>
      <c r="G278" s="920">
        <f t="shared" ref="G278" si="204">100*((C278/C266)-1)</f>
        <v>3.6877076411959919</v>
      </c>
      <c r="H278" s="921">
        <f t="shared" ref="H278" si="205">100*(C278/C254-1)</f>
        <v>19.441255262150769</v>
      </c>
      <c r="I278" s="1100">
        <f t="shared" si="175"/>
        <v>1.0810637616148671</v>
      </c>
    </row>
    <row r="279" spans="1:9" ht="16.5" customHeight="1">
      <c r="A279" s="734">
        <f t="shared" si="95"/>
        <v>272</v>
      </c>
      <c r="B279" s="1071" t="s">
        <v>680</v>
      </c>
      <c r="C279" s="910">
        <f>geral!M56</f>
        <v>3.0970000000000004</v>
      </c>
      <c r="D279" s="918">
        <f t="shared" ref="D279" si="206">100*C279/$C$8</f>
        <v>910.88235294117658</v>
      </c>
      <c r="E279" s="919">
        <f t="shared" ref="E279" si="207">100*((C279/C278)-1)</f>
        <v>-0.76898429990385209</v>
      </c>
      <c r="F279" s="919">
        <f t="shared" si="203"/>
        <v>1.5077023926581612</v>
      </c>
      <c r="G279" s="920">
        <f t="shared" ref="G279" si="208">100*((C279/C267)-1)</f>
        <v>2.5496688741722062</v>
      </c>
      <c r="H279" s="921">
        <f t="shared" ref="H279" si="209">100*(C279/C255-1)</f>
        <v>10.292022792022815</v>
      </c>
      <c r="I279" s="1100">
        <f t="shared" si="175"/>
        <v>1.0894413948982884</v>
      </c>
    </row>
    <row r="280" spans="1:9" ht="16.5" customHeight="1">
      <c r="A280" s="734">
        <f t="shared" si="95"/>
        <v>273</v>
      </c>
      <c r="B280" s="1071" t="s">
        <v>681</v>
      </c>
      <c r="C280" s="910">
        <f>geral!M57</f>
        <v>3.0419999999999994</v>
      </c>
      <c r="D280" s="918">
        <f t="shared" ref="D280" si="210">100*C280/$C$8</f>
        <v>894.70588235294088</v>
      </c>
      <c r="E280" s="919">
        <f t="shared" ref="E280" si="211">100*((C280/C279)-1)</f>
        <v>-1.7759121730707483</v>
      </c>
      <c r="F280" s="919">
        <f t="shared" si="203"/>
        <v>-0.29498525073747839</v>
      </c>
      <c r="G280" s="920">
        <f t="shared" ref="G280" si="212">100*((C280/C268)-1)</f>
        <v>0.6951340615689805</v>
      </c>
      <c r="H280" s="921">
        <f t="shared" ref="H280" si="213">100*(C280/C256-1)</f>
        <v>8.2562277580071175</v>
      </c>
      <c r="I280" s="1100">
        <f t="shared" si="175"/>
        <v>1.1091387245233399</v>
      </c>
    </row>
    <row r="281" spans="1:9" ht="16.5" customHeight="1">
      <c r="A281" s="734">
        <f t="shared" si="95"/>
        <v>274</v>
      </c>
      <c r="B281" s="1071" t="s">
        <v>682</v>
      </c>
      <c r="C281" s="910">
        <f>geral!M58</f>
        <v>3.012</v>
      </c>
      <c r="D281" s="918">
        <f t="shared" ref="D281" si="214">100*C281/$C$8</f>
        <v>885.88235294117635</v>
      </c>
      <c r="E281" s="919">
        <f t="shared" ref="E281" si="215">100*((C281/C280)-1)</f>
        <v>-0.98619329388558441</v>
      </c>
      <c r="F281" s="919">
        <f t="shared" si="203"/>
        <v>-1.2782694198623323</v>
      </c>
      <c r="G281" s="920">
        <f t="shared" ref="G281" si="216">100*((C281/C269)-1)</f>
        <v>-0.29791459781530749</v>
      </c>
      <c r="H281" s="921">
        <f t="shared" ref="H281" si="217">100*(C281/C257-1)</f>
        <v>7.226771092915607</v>
      </c>
      <c r="I281" s="1100">
        <f t="shared" si="175"/>
        <v>1.1201859229747675</v>
      </c>
    </row>
    <row r="282" spans="1:9" ht="16.5" customHeight="1">
      <c r="A282" s="734">
        <f t="shared" si="95"/>
        <v>275</v>
      </c>
      <c r="B282" s="1071" t="s">
        <v>683</v>
      </c>
      <c r="C282" s="910">
        <f>geral!M59</f>
        <v>3.0190000000000006</v>
      </c>
      <c r="D282" s="918">
        <f t="shared" ref="D282" si="218">100*C282/$C$8</f>
        <v>887.94117647058829</v>
      </c>
      <c r="E282" s="919">
        <f t="shared" ref="E282" si="219">100*((C282/C281)-1)</f>
        <v>0.23240371845951735</v>
      </c>
      <c r="F282" s="919">
        <f t="shared" si="203"/>
        <v>-1.0488364470665035</v>
      </c>
      <c r="G282" s="920">
        <f t="shared" ref="G282" si="220">100*((C282/C270)-1)</f>
        <v>0.13266998341625591</v>
      </c>
      <c r="H282" s="921">
        <f t="shared" ref="H282" si="221">100*(C282/C258-1)</f>
        <v>7.552547203420068</v>
      </c>
      <c r="I282" s="1100">
        <f t="shared" si="175"/>
        <v>1.1175886054985091</v>
      </c>
    </row>
    <row r="283" spans="1:9" ht="16.5" customHeight="1">
      <c r="A283" s="734">
        <f t="shared" si="95"/>
        <v>276</v>
      </c>
      <c r="B283" s="1071" t="s">
        <v>684</v>
      </c>
      <c r="C283" s="910">
        <f>geral!M60</f>
        <v>2.9580000000000006</v>
      </c>
      <c r="D283" s="918">
        <f t="shared" ref="D283" si="222">100*C283/$C$8</f>
        <v>870.00000000000011</v>
      </c>
      <c r="E283" s="919">
        <f t="shared" ref="E283" si="223">100*((C283/C282)-1)</f>
        <v>-2.0205366015236814</v>
      </c>
      <c r="F283" s="919">
        <f t="shared" si="203"/>
        <v>-3.0481809242870916</v>
      </c>
      <c r="G283" s="920">
        <f t="shared" ref="G283" si="224">100*((C283/C271)-1)</f>
        <v>-1.8254231662794496</v>
      </c>
      <c r="H283" s="921">
        <f t="shared" ref="H283" si="225">100*(C283/C259-1)</f>
        <v>5.3794086213039272</v>
      </c>
      <c r="I283" s="1100">
        <f t="shared" si="175"/>
        <v>1.1406355645706554</v>
      </c>
    </row>
    <row r="284" spans="1:9" ht="16.5" customHeight="1">
      <c r="A284" s="734">
        <f t="shared" si="95"/>
        <v>277</v>
      </c>
      <c r="B284" s="1071" t="s">
        <v>687</v>
      </c>
      <c r="C284" s="910">
        <f>geral!M61</f>
        <v>3.0560000000000005</v>
      </c>
      <c r="D284" s="918">
        <f t="shared" ref="D284" si="226">100*C284/$C$8</f>
        <v>898.82352941176475</v>
      </c>
      <c r="E284" s="919">
        <f t="shared" ref="E284" si="227">100*((C284/C283)-1)</f>
        <v>3.3130493576740916</v>
      </c>
      <c r="F284" s="919">
        <f t="shared" ref="F284" si="228">100*((C284/$C$277)-1)</f>
        <v>0.16388069485417933</v>
      </c>
      <c r="G284" s="920">
        <f t="shared" ref="G284" si="229">100*((C284/C272)-1)</f>
        <v>1.5282392026578107</v>
      </c>
      <c r="H284" s="921">
        <f t="shared" ref="H284" si="230">100*(C284/C260-1)</f>
        <v>8.9483065953654304</v>
      </c>
      <c r="I284" s="1100">
        <f t="shared" si="175"/>
        <v>1.1040575916230364</v>
      </c>
    </row>
    <row r="285" spans="1:9" ht="16.5" customHeight="1">
      <c r="A285" s="734">
        <f t="shared" si="95"/>
        <v>278</v>
      </c>
      <c r="B285" s="1071" t="s">
        <v>693</v>
      </c>
      <c r="C285" s="910">
        <f>geral!M62</f>
        <v>3.1030000000000006</v>
      </c>
      <c r="D285" s="918">
        <f t="shared" ref="D285" si="231">100*C285/$C$8</f>
        <v>912.64705882352951</v>
      </c>
      <c r="E285" s="919">
        <f t="shared" ref="E285" si="232">100*((C285/C284)-1)</f>
        <v>1.5379581151832467</v>
      </c>
      <c r="F285" s="919">
        <f t="shared" ref="F285" si="233">100*((C285/$C$277)-1)</f>
        <v>1.7043592264831542</v>
      </c>
      <c r="G285" s="920">
        <f t="shared" ref="G285" si="234">100*((C285/C273)-1)</f>
        <v>3.1925507149983323</v>
      </c>
      <c r="H285" s="921">
        <f t="shared" ref="H285" si="235">100*(C285/C261-1)</f>
        <v>10.861021793497706</v>
      </c>
      <c r="I285" s="1100">
        <f t="shared" si="175"/>
        <v>1.0873348372542697</v>
      </c>
    </row>
    <row r="286" spans="1:9" ht="16.5" customHeight="1">
      <c r="A286" s="734">
        <f t="shared" si="95"/>
        <v>279</v>
      </c>
      <c r="B286" s="1071" t="s">
        <v>694</v>
      </c>
      <c r="C286" s="910">
        <f>geral!M63</f>
        <v>3.2010000000000001</v>
      </c>
      <c r="D286" s="918">
        <f t="shared" ref="D286" si="236">100*C286/$C$8</f>
        <v>941.47058823529414</v>
      </c>
      <c r="E286" s="919">
        <f t="shared" ref="E286" si="237">100*((C286/C285)-1)</f>
        <v>3.1582339671285764</v>
      </c>
      <c r="F286" s="919">
        <f t="shared" ref="F286" si="238">100*((C286/$C$277)-1)</f>
        <v>4.916420845624403</v>
      </c>
      <c r="G286" s="920">
        <f t="shared" ref="G286" si="239">100*((C286/C274)-1)</f>
        <v>6.4870259481037973</v>
      </c>
      <c r="H286" s="921">
        <f t="shared" ref="H286" si="240">100*(C286/C262-1)</f>
        <v>13.793103448275868</v>
      </c>
      <c r="I286" s="1100">
        <f t="shared" si="175"/>
        <v>1.0540456107466416</v>
      </c>
    </row>
    <row r="287" spans="1:9" ht="16.5" customHeight="1">
      <c r="A287" s="734">
        <f t="shared" si="95"/>
        <v>280</v>
      </c>
      <c r="B287" s="1071" t="s">
        <v>695</v>
      </c>
      <c r="C287" s="910">
        <f>geral!M64</f>
        <v>3.2139999999999995</v>
      </c>
      <c r="D287" s="918">
        <f t="shared" ref="D287" si="241">100*C287/$C$8</f>
        <v>945.29411764705867</v>
      </c>
      <c r="E287" s="919">
        <f t="shared" ref="E287" si="242">100*((C287/C286)-1)</f>
        <v>0.40612308653544815</v>
      </c>
      <c r="F287" s="919">
        <f t="shared" ref="F287" si="243">100*((C287/$C$277)-1)</f>
        <v>5.3425106522451582</v>
      </c>
      <c r="G287" s="920">
        <f t="shared" ref="G287" si="244">100*((C287/C275)-1)</f>
        <v>6.8484042553191404</v>
      </c>
      <c r="H287" s="921">
        <f t="shared" ref="H287" si="245">100*(C287/C263-1)</f>
        <v>9.6928327645050985</v>
      </c>
      <c r="I287" s="1100">
        <f t="shared" si="175"/>
        <v>1.0497822028624768</v>
      </c>
    </row>
    <row r="288" spans="1:9" ht="16.5" customHeight="1">
      <c r="A288" s="734">
        <f t="shared" si="95"/>
        <v>281</v>
      </c>
      <c r="B288" s="1071" t="s">
        <v>696</v>
      </c>
      <c r="C288" s="910">
        <f>geral!M65</f>
        <v>3.3030000000000004</v>
      </c>
      <c r="D288" s="918">
        <f t="shared" ref="D288" si="246">100*C288/$C$8</f>
        <v>971.47058823529403</v>
      </c>
      <c r="E288" s="919">
        <f t="shared" ref="E288" si="247">100*((C288/C287)-1)</f>
        <v>2.7691350342252896</v>
      </c>
      <c r="F288" s="919">
        <f t="shared" ref="F288" si="248">100*((C288/$C$277)-1)</f>
        <v>8.2595870206489952</v>
      </c>
      <c r="G288" s="920">
        <f t="shared" ref="G288" si="249">100*((C288/C276)-1)</f>
        <v>10.690348525469195</v>
      </c>
      <c r="H288" s="921">
        <f t="shared" ref="H288" si="250">100*(C288/C264-1)</f>
        <v>10.950621430970786</v>
      </c>
      <c r="I288" s="1100">
        <f t="shared" si="175"/>
        <v>1.0214956100514681</v>
      </c>
    </row>
    <row r="289" spans="1:9" ht="16.5" customHeight="1">
      <c r="A289" s="734">
        <f t="shared" si="95"/>
        <v>282</v>
      </c>
      <c r="B289" s="1071" t="s">
        <v>697</v>
      </c>
      <c r="C289" s="910">
        <f>geral!M66</f>
        <v>3.3260000000000001</v>
      </c>
      <c r="D289" s="918">
        <f t="shared" ref="D289" si="251">100*C289/$C$8</f>
        <v>978.23529411764707</v>
      </c>
      <c r="E289" s="919">
        <f t="shared" ref="E289" si="252">100*((C289/C288)-1)</f>
        <v>0.69633666363910773</v>
      </c>
      <c r="F289" s="919">
        <f t="shared" ref="F289" si="253">100*((C289/$C$277)-1)</f>
        <v>9.0134382169780416</v>
      </c>
      <c r="G289" s="920">
        <f t="shared" ref="G289" si="254">100*((C289/C277)-1)</f>
        <v>9.0134382169780416</v>
      </c>
      <c r="H289" s="921">
        <f t="shared" ref="H289" si="255">100*(C289/C265-1)</f>
        <v>11.386470194239774</v>
      </c>
      <c r="I289" s="1100">
        <f t="shared" si="175"/>
        <v>1.0144317498496691</v>
      </c>
    </row>
    <row r="290" spans="1:9" ht="16.5" customHeight="1">
      <c r="A290" s="734">
        <f t="shared" si="95"/>
        <v>283</v>
      </c>
      <c r="B290" s="1071" t="s">
        <v>698</v>
      </c>
      <c r="C290" s="910">
        <f>geral!O55</f>
        <v>3.3809999999999998</v>
      </c>
      <c r="D290" s="918">
        <f t="shared" ref="D290" si="256">100*C290/$C$8</f>
        <v>994.41176470588221</v>
      </c>
      <c r="E290" s="919">
        <f t="shared" ref="E290" si="257">100*((C290/C289)-1)</f>
        <v>1.6536380036079379</v>
      </c>
      <c r="F290" s="919">
        <f t="shared" ref="F290:F295" si="258">100*((C290/$C$289)-1)</f>
        <v>1.6536380036079379</v>
      </c>
      <c r="G290" s="920">
        <f t="shared" ref="G290" si="259">100*((C290/C278)-1)</f>
        <v>8.3306632489586807</v>
      </c>
      <c r="H290" s="921">
        <f t="shared" ref="H290" si="260">100*(C290/C266-1)</f>
        <v>12.325581395348827</v>
      </c>
      <c r="I290" s="1100">
        <f t="shared" si="175"/>
        <v>0.99792960662525876</v>
      </c>
    </row>
    <row r="291" spans="1:9" ht="16.5" customHeight="1">
      <c r="A291" s="734">
        <f t="shared" si="95"/>
        <v>284</v>
      </c>
      <c r="B291" s="1071" t="s">
        <v>702</v>
      </c>
      <c r="C291" s="910">
        <f>geral!O56</f>
        <v>3.3829999999999996</v>
      </c>
      <c r="D291" s="918">
        <f t="shared" ref="D291" si="261">100*C291/$C$8</f>
        <v>994.99999999999977</v>
      </c>
      <c r="E291" s="919">
        <f t="shared" ref="E291" si="262">100*((C291/C290)-1)</f>
        <v>5.9154096421165647E-2</v>
      </c>
      <c r="F291" s="919">
        <f t="shared" si="258"/>
        <v>1.7137702946482092</v>
      </c>
      <c r="G291" s="920">
        <f t="shared" ref="G291" si="263">100*((C291/C279)-1)</f>
        <v>9.2347432999676737</v>
      </c>
      <c r="H291" s="921">
        <f t="shared" ref="H291" si="264">100*(C291/C267-1)</f>
        <v>12.019867549668861</v>
      </c>
      <c r="I291" s="1100">
        <f t="shared" si="175"/>
        <v>0.99733963937333725</v>
      </c>
    </row>
    <row r="292" spans="1:9" ht="16.5" customHeight="1">
      <c r="A292" s="734">
        <f t="shared" si="95"/>
        <v>285</v>
      </c>
      <c r="B292" s="1071" t="s">
        <v>703</v>
      </c>
      <c r="C292" s="910">
        <f>geral!O57</f>
        <v>3.3909999999999991</v>
      </c>
      <c r="D292" s="918">
        <f t="shared" ref="D292" si="265">100*C292/$C$8</f>
        <v>997.35294117647027</v>
      </c>
      <c r="E292" s="919">
        <f t="shared" ref="E292" si="266">100*((C292/C291)-1)</f>
        <v>0.23647650014777533</v>
      </c>
      <c r="F292" s="919">
        <f t="shared" si="258"/>
        <v>1.954299458809361</v>
      </c>
      <c r="G292" s="920">
        <f t="shared" ref="G292" si="267">100*((C292/C280)-1)</f>
        <v>11.472715318869152</v>
      </c>
      <c r="H292" s="921">
        <f t="shared" ref="H292" si="268">100*(C292/C268-1)</f>
        <v>12.247600132406443</v>
      </c>
      <c r="I292" s="1100">
        <f t="shared" si="175"/>
        <v>0.99498672957829559</v>
      </c>
    </row>
    <row r="293" spans="1:9" ht="16.5" customHeight="1">
      <c r="A293" s="734">
        <f t="shared" si="95"/>
        <v>286</v>
      </c>
      <c r="B293" s="1071" t="s">
        <v>704</v>
      </c>
      <c r="C293" s="910">
        <f>geral!O58</f>
        <v>3.4710000000000001</v>
      </c>
      <c r="D293" s="918">
        <f t="shared" ref="D293" si="269">100*C293/$C$8</f>
        <v>1020.8823529411765</v>
      </c>
      <c r="E293" s="919">
        <f t="shared" ref="E293" si="270">100*((C293/C292)-1)</f>
        <v>2.3591860808021448</v>
      </c>
      <c r="F293" s="919">
        <f t="shared" si="258"/>
        <v>4.3595911004209231</v>
      </c>
      <c r="G293" s="920">
        <f t="shared" ref="G293" si="271">100*((C293/C281)-1)</f>
        <v>15.239043824701204</v>
      </c>
      <c r="H293" s="921">
        <f t="shared" ref="H293" si="272">100*(C293/C269-1)</f>
        <v>14.895729890764642</v>
      </c>
      <c r="I293" s="1100">
        <f t="shared" si="175"/>
        <v>0.97205416306539894</v>
      </c>
    </row>
    <row r="294" spans="1:9" ht="16.5" customHeight="1">
      <c r="A294" s="734">
        <f t="shared" si="95"/>
        <v>287</v>
      </c>
      <c r="B294" s="1071" t="s">
        <v>705</v>
      </c>
      <c r="C294" s="910">
        <f>geral!O59</f>
        <v>3.7879999999999998</v>
      </c>
      <c r="D294" s="918">
        <f t="shared" ref="D294" si="273">100*C294/$C$8</f>
        <v>1114.1176470588234</v>
      </c>
      <c r="E294" s="919">
        <f t="shared" ref="E294" si="274">100*((C294/C293)-1)</f>
        <v>9.1328147507922619</v>
      </c>
      <c r="F294" s="919">
        <f t="shared" si="258"/>
        <v>13.890559230306664</v>
      </c>
      <c r="G294" s="920">
        <f t="shared" ref="G294" si="275">100*((C294/C282)-1)</f>
        <v>25.472010599536233</v>
      </c>
      <c r="H294" s="921">
        <f t="shared" ref="H294" si="276">100*(C294/C270-1)</f>
        <v>25.638474295190704</v>
      </c>
      <c r="I294" s="1100">
        <f t="shared" si="175"/>
        <v>0.89070749736008448</v>
      </c>
    </row>
    <row r="295" spans="1:9" ht="16.5" customHeight="1">
      <c r="A295" s="734">
        <f t="shared" si="95"/>
        <v>288</v>
      </c>
      <c r="B295" s="1071" t="s">
        <v>706</v>
      </c>
      <c r="C295" s="910">
        <f>geral!O60</f>
        <v>3.3889999999999998</v>
      </c>
      <c r="D295" s="918">
        <f t="shared" ref="D295" si="277">100*C295/$C$8</f>
        <v>996.76470588235281</v>
      </c>
      <c r="E295" s="919">
        <f t="shared" ref="E295" si="278">100*((C295/C294)-1)</f>
        <v>-10.533262935586063</v>
      </c>
      <c r="F295" s="919">
        <f t="shared" si="258"/>
        <v>1.8941671677690897</v>
      </c>
      <c r="G295" s="920">
        <f t="shared" ref="G295" si="279">100*((C295/C283)-1)</f>
        <v>14.570655848546288</v>
      </c>
      <c r="H295" s="921">
        <f t="shared" ref="H295" si="280">100*(C295/C271-1)</f>
        <v>12.479256554928631</v>
      </c>
      <c r="I295" s="1100">
        <f t="shared" si="175"/>
        <v>0.99557391560932429</v>
      </c>
    </row>
    <row r="296" spans="1:9" ht="16.5" customHeight="1">
      <c r="A296" s="734">
        <f t="shared" si="95"/>
        <v>289</v>
      </c>
      <c r="B296" s="1071" t="s">
        <v>707</v>
      </c>
      <c r="C296" s="910">
        <f>geral!O61</f>
        <v>3.3780000000000001</v>
      </c>
      <c r="D296" s="918">
        <f t="shared" ref="D296" si="281">100*C296/$C$8</f>
        <v>993.52941176470586</v>
      </c>
      <c r="E296" s="919">
        <f t="shared" ref="E296" si="282">100*((C296/C295)-1)</f>
        <v>-0.32457952198288176</v>
      </c>
      <c r="F296" s="919">
        <f t="shared" ref="F296" si="283">100*((C296/$C$289)-1)</f>
        <v>1.5634395670474976</v>
      </c>
      <c r="G296" s="920">
        <f t="shared" ref="G296" si="284">100*((C296/C284)-1)</f>
        <v>10.536649214659665</v>
      </c>
      <c r="H296" s="921">
        <f t="shared" ref="H296" si="285">100*(C296/C272-1)</f>
        <v>12.225913621262464</v>
      </c>
      <c r="I296" s="1100">
        <f t="shared" si="175"/>
        <v>0.99881586737714612</v>
      </c>
    </row>
    <row r="297" spans="1:9" ht="16.5" customHeight="1">
      <c r="A297" s="734">
        <f t="shared" si="95"/>
        <v>290</v>
      </c>
      <c r="B297" s="1071" t="s">
        <v>708</v>
      </c>
      <c r="C297" s="910">
        <f>geral!O62</f>
        <v>3.3709999999999996</v>
      </c>
      <c r="D297" s="918">
        <f t="shared" ref="D297" si="286">100*C297/$C$8</f>
        <v>991.47058823529392</v>
      </c>
      <c r="E297" s="919">
        <f t="shared" ref="E297" si="287">100*((C297/C296)-1)</f>
        <v>-0.2072232089994297</v>
      </c>
      <c r="F297" s="919">
        <f t="shared" ref="F297" si="288">100*((C297/$C$289)-1)</f>
        <v>1.3529765484064704</v>
      </c>
      <c r="G297" s="920">
        <f t="shared" ref="G297" si="289">100*((C297/C285)-1)</f>
        <v>8.6368030937801663</v>
      </c>
      <c r="H297" s="921">
        <f t="shared" ref="H297" si="290">100*(C297/C273-1)</f>
        <v>12.10508812770199</v>
      </c>
      <c r="I297" s="1100">
        <f t="shared" si="175"/>
        <v>1.000889943636903</v>
      </c>
    </row>
    <row r="298" spans="1:9" ht="16.5" customHeight="1">
      <c r="A298" s="734">
        <f t="shared" si="95"/>
        <v>291</v>
      </c>
      <c r="B298" s="1071" t="s">
        <v>709</v>
      </c>
      <c r="C298" s="910">
        <f>geral!O63</f>
        <v>3.6550000000000002</v>
      </c>
      <c r="D298" s="918">
        <f t="shared" ref="D298" si="291">100*C298/$C$8</f>
        <v>1075</v>
      </c>
      <c r="E298" s="919">
        <f t="shared" ref="E298" si="292">100*((C298/C297)-1)</f>
        <v>8.4247997626817117</v>
      </c>
      <c r="F298" s="919">
        <f t="shared" ref="F298" si="293">100*((C298/$C$289)-1)</f>
        <v>9.8917618761274806</v>
      </c>
      <c r="G298" s="920">
        <f t="shared" ref="G298" si="294">100*((C298/C286)-1)</f>
        <v>14.183067791315217</v>
      </c>
      <c r="H298" s="921">
        <f t="shared" ref="H298" si="295">100*(C298/C274-1)</f>
        <v>21.590153027278802</v>
      </c>
      <c r="I298" s="1100">
        <f t="shared" si="175"/>
        <v>0.92311901504787941</v>
      </c>
    </row>
    <row r="299" spans="1:9" ht="16.5" customHeight="1">
      <c r="A299" s="734">
        <f t="shared" si="95"/>
        <v>292</v>
      </c>
      <c r="B299" s="1071" t="s">
        <v>710</v>
      </c>
      <c r="C299" s="910">
        <f>geral!O64</f>
        <v>3.7210000000000001</v>
      </c>
      <c r="D299" s="918">
        <f t="shared" ref="D299" si="296">100*C299/$C$8</f>
        <v>1094.4117647058824</v>
      </c>
      <c r="E299" s="919">
        <f t="shared" ref="E299" si="297">100*((C299/C298)-1)</f>
        <v>1.8057455540355649</v>
      </c>
      <c r="F299" s="919">
        <f t="shared" ref="F299" si="298">100*((C299/$C$289)-1)</f>
        <v>11.876127480457011</v>
      </c>
      <c r="G299" s="920">
        <f t="shared" ref="G299" si="299">100*((C299/C287)-1)</f>
        <v>15.774735532047313</v>
      </c>
      <c r="H299" s="921">
        <f t="shared" ref="H299" si="300">100*(C299/C275-1)</f>
        <v>23.703457446808528</v>
      </c>
      <c r="I299" s="1100">
        <f t="shared" si="175"/>
        <v>0.90674549852190256</v>
      </c>
    </row>
    <row r="300" spans="1:9" ht="16.5" customHeight="1">
      <c r="A300" s="734">
        <f t="shared" si="95"/>
        <v>293</v>
      </c>
      <c r="B300" s="1071" t="s">
        <v>712</v>
      </c>
      <c r="C300" s="910">
        <f>geral!O65</f>
        <v>3.6499999999999995</v>
      </c>
      <c r="D300" s="918">
        <f t="shared" ref="D300" si="301">100*C300/$C$8</f>
        <v>1073.5294117647056</v>
      </c>
      <c r="E300" s="919">
        <f t="shared" ref="E300" si="302">100*((C300/C299)-1)</f>
        <v>-1.9080892233270808</v>
      </c>
      <c r="F300" s="919">
        <f t="shared" ref="F300" si="303">100*((C300/$C$289)-1)</f>
        <v>9.7414311485267469</v>
      </c>
      <c r="G300" s="920">
        <f t="shared" ref="G300" si="304">100*((C300/C288)-1)</f>
        <v>10.505600968816209</v>
      </c>
      <c r="H300" s="921">
        <f t="shared" ref="H300" si="305">100*(C300/C276-1)</f>
        <v>22.319034852546913</v>
      </c>
      <c r="I300" s="1100">
        <f t="shared" si="175"/>
        <v>0.92438356164383562</v>
      </c>
    </row>
    <row r="301" spans="1:9" ht="16.5" customHeight="1">
      <c r="A301" s="734">
        <f t="shared" si="95"/>
        <v>294</v>
      </c>
      <c r="B301" s="1071" t="s">
        <v>713</v>
      </c>
      <c r="C301" s="910">
        <f>geral!O66</f>
        <v>3.4510000000000001</v>
      </c>
      <c r="D301" s="918">
        <f t="shared" ref="D301" si="306">100*C301/$C$8</f>
        <v>1015</v>
      </c>
      <c r="E301" s="919">
        <f t="shared" ref="E301" si="307">100*((C301/C300)-1)</f>
        <v>-5.4520547945205333</v>
      </c>
      <c r="F301" s="919">
        <f t="shared" ref="F301" si="308">100*((C301/$C$289)-1)</f>
        <v>3.7582681900180326</v>
      </c>
      <c r="G301" s="920">
        <f t="shared" ref="G301" si="309">100*((C301/C289)-1)</f>
        <v>3.7582681900180326</v>
      </c>
      <c r="H301" s="921">
        <f t="shared" ref="H301" si="310">100*(C301/C277-1)</f>
        <v>13.110455588331703</v>
      </c>
      <c r="I301" s="1100">
        <f t="shared" si="175"/>
        <v>0.97768762677484777</v>
      </c>
    </row>
    <row r="302" spans="1:9" ht="16.5" customHeight="1">
      <c r="A302" s="734">
        <f t="shared" si="95"/>
        <v>295</v>
      </c>
      <c r="B302" s="1071" t="s">
        <v>715</v>
      </c>
      <c r="C302" s="910">
        <f>geral!Q55</f>
        <v>3.4329999999999998</v>
      </c>
      <c r="D302" s="918">
        <f t="shared" ref="D302" si="311">100*C302/$C$8</f>
        <v>1009.705882352941</v>
      </c>
      <c r="E302" s="919">
        <f t="shared" ref="E302" si="312">100*((C302/C301)-1)</f>
        <v>-0.52158794552303878</v>
      </c>
      <c r="F302" s="919">
        <f t="shared" ref="F302:F307" si="313">100*((C302/$C$301)-1)</f>
        <v>-0.52158794552303878</v>
      </c>
      <c r="G302" s="920">
        <f t="shared" ref="G302" si="314">100*((C302/C290)-1)</f>
        <v>1.5380065069506177</v>
      </c>
      <c r="H302" s="921">
        <f t="shared" ref="H302" si="315">100*(C302/C278-1)</f>
        <v>9.9967958987504204</v>
      </c>
      <c r="I302" s="1100">
        <f t="shared" si="175"/>
        <v>0.98281386542382754</v>
      </c>
    </row>
    <row r="303" spans="1:9" ht="16.5" customHeight="1">
      <c r="A303" s="734">
        <f t="shared" si="95"/>
        <v>296</v>
      </c>
      <c r="B303" s="1071" t="s">
        <v>716</v>
      </c>
      <c r="C303" s="910">
        <f>geral!Q56</f>
        <v>3.4439999999999995</v>
      </c>
      <c r="D303" s="918">
        <f t="shared" ref="D303" si="316">100*C303/$C$8</f>
        <v>1012.9411764705881</v>
      </c>
      <c r="E303" s="919">
        <f t="shared" ref="E303" si="317">100*((C303/C302)-1)</f>
        <v>0.32041945819980544</v>
      </c>
      <c r="F303" s="919">
        <f t="shared" si="313"/>
        <v>-0.20283975659231013</v>
      </c>
      <c r="G303" s="920">
        <f t="shared" ref="G303" si="318">100*((C303/C291)-1)</f>
        <v>1.8031333136269589</v>
      </c>
      <c r="H303" s="921">
        <f t="shared" ref="H303" si="319">100*(C303/C279-1)</f>
        <v>11.204391346464293</v>
      </c>
      <c r="I303" s="1100">
        <f t="shared" si="175"/>
        <v>0.97967479674796754</v>
      </c>
    </row>
    <row r="304" spans="1:9" ht="16.5" customHeight="1">
      <c r="A304" s="734">
        <f t="shared" si="95"/>
        <v>297</v>
      </c>
      <c r="B304" s="1071" t="s">
        <v>717</v>
      </c>
      <c r="C304" s="910">
        <f>geral!Q57</f>
        <v>3.5539999999999994</v>
      </c>
      <c r="D304" s="918">
        <f t="shared" ref="D304" si="320">100*C304/$C$8</f>
        <v>1045.2941176470586</v>
      </c>
      <c r="E304" s="919">
        <f t="shared" ref="E304" si="321">100*((C304/C303)-1)</f>
        <v>3.1939605110336888</v>
      </c>
      <c r="F304" s="919">
        <f t="shared" si="313"/>
        <v>2.9846421327151429</v>
      </c>
      <c r="G304" s="920">
        <f t="shared" ref="G304" si="322">100*((C304/C292)-1)</f>
        <v>4.8068416396343405</v>
      </c>
      <c r="H304" s="921">
        <f t="shared" ref="H304" si="323">100*(C304/C280-1)</f>
        <v>16.83103221564761</v>
      </c>
      <c r="I304" s="1100">
        <f t="shared" si="175"/>
        <v>0.94935284186831748</v>
      </c>
    </row>
    <row r="305" spans="1:9" ht="16.5" customHeight="1">
      <c r="A305" s="1253">
        <f t="shared" si="95"/>
        <v>298</v>
      </c>
      <c r="B305" s="1071" t="s">
        <v>718</v>
      </c>
      <c r="C305" s="910">
        <f>geral!Q58</f>
        <v>3.6140000000000003</v>
      </c>
      <c r="D305" s="918">
        <f t="shared" ref="D305" si="324">100*C305/$C$8</f>
        <v>1062.9411764705883</v>
      </c>
      <c r="E305" s="919">
        <f t="shared" ref="E305" si="325">100*((C305/C304)-1)</f>
        <v>1.6882386043894471</v>
      </c>
      <c r="F305" s="919">
        <f t="shared" si="313"/>
        <v>4.7232686177919536</v>
      </c>
      <c r="G305" s="920">
        <f t="shared" ref="G305" si="326">100*((C305/C293)-1)</f>
        <v>4.1198501872659277</v>
      </c>
      <c r="H305" s="921">
        <f t="shared" ref="H305" si="327">100*(C305/C281-1)</f>
        <v>19.986719787516606</v>
      </c>
      <c r="I305" s="1100">
        <f t="shared" si="175"/>
        <v>0.93359158826784705</v>
      </c>
    </row>
    <row r="306" spans="1:9" ht="16.5" customHeight="1">
      <c r="A306" s="1254">
        <f t="shared" si="95"/>
        <v>299</v>
      </c>
      <c r="B306" s="1071" t="s">
        <v>719</v>
      </c>
      <c r="C306" s="910">
        <f>geral!Q59</f>
        <v>3.6539999999999999</v>
      </c>
      <c r="D306" s="918">
        <f t="shared" ref="D306" si="328">100*C306/$C$8</f>
        <v>1074.705882352941</v>
      </c>
      <c r="E306" s="919">
        <f t="shared" ref="E306" si="329">100*((C306/C305)-1)</f>
        <v>1.1068068622025251</v>
      </c>
      <c r="F306" s="919">
        <f t="shared" si="313"/>
        <v>5.8823529411764719</v>
      </c>
      <c r="G306" s="920">
        <f t="shared" ref="G306" si="330">100*((C306/C294)-1)</f>
        <v>-3.5374868004223847</v>
      </c>
      <c r="H306" s="921">
        <f t="shared" ref="H306" si="331">100*(C306/C282-1)</f>
        <v>21.033454786353079</v>
      </c>
      <c r="I306" s="1100">
        <f t="shared" si="175"/>
        <v>0.92337164750957845</v>
      </c>
    </row>
    <row r="307" spans="1:9" ht="16.5" customHeight="1">
      <c r="A307" s="1255">
        <f t="shared" si="95"/>
        <v>300</v>
      </c>
      <c r="B307" s="1071" t="s">
        <v>720</v>
      </c>
      <c r="C307" s="910">
        <f>geral!Q60</f>
        <v>3.57</v>
      </c>
      <c r="D307" s="918">
        <f t="shared" ref="D307" si="332">100*C307/$C$8</f>
        <v>1050</v>
      </c>
      <c r="E307" s="919">
        <f t="shared" ref="E307" si="333">100*((C307/C306)-1)</f>
        <v>-2.2988505747126409</v>
      </c>
      <c r="F307" s="919">
        <f t="shared" si="313"/>
        <v>3.4482758620689502</v>
      </c>
      <c r="G307" s="920">
        <f t="shared" ref="G307" si="334">100*((C307/C295)-1)</f>
        <v>5.3408084980820281</v>
      </c>
      <c r="H307" s="921">
        <f t="shared" ref="H307" si="335">100*(C307/C283-1)</f>
        <v>20.689655172413769</v>
      </c>
      <c r="I307" s="1100">
        <f t="shared" si="175"/>
        <v>0.94509803921568625</v>
      </c>
    </row>
    <row r="308" spans="1:9" ht="16.5" customHeight="1">
      <c r="A308" s="1256">
        <f t="shared" si="95"/>
        <v>301</v>
      </c>
      <c r="B308" s="1071" t="s">
        <v>721</v>
      </c>
      <c r="C308" s="910">
        <f>geral!Q61</f>
        <v>3.5369999999999995</v>
      </c>
      <c r="D308" s="918">
        <f t="shared" ref="D308" si="336">100*C308/$C$8</f>
        <v>1040.2941176470586</v>
      </c>
      <c r="E308" s="919">
        <f t="shared" ref="E308" si="337">100*((C308/C307)-1)</f>
        <v>-0.92436974789916748</v>
      </c>
      <c r="F308" s="919">
        <f t="shared" ref="F308" si="338">100*((C308/$C$301)-1)</f>
        <v>2.4920312952767087</v>
      </c>
      <c r="G308" s="920">
        <f t="shared" ref="G308" si="339">100*((C308/C296)-1)</f>
        <v>4.706927175843667</v>
      </c>
      <c r="H308" s="921">
        <f t="shared" ref="H308" si="340">100*(C308/C284-1)</f>
        <v>15.739528795811486</v>
      </c>
      <c r="I308" s="1100">
        <f t="shared" si="175"/>
        <v>0.95391574780887767</v>
      </c>
    </row>
    <row r="309" spans="1:9" ht="16.5" customHeight="1">
      <c r="A309" s="1257">
        <f t="shared" si="95"/>
        <v>302</v>
      </c>
      <c r="B309" s="1071" t="s">
        <v>722</v>
      </c>
      <c r="C309" s="910">
        <f>geral!Q62</f>
        <v>3.5159999999999991</v>
      </c>
      <c r="D309" s="918">
        <f t="shared" ref="D309" si="341">100*C309/$C$8</f>
        <v>1034.1176470588232</v>
      </c>
      <c r="E309" s="919">
        <f t="shared" ref="E309" si="342">100*((C309/C308)-1)</f>
        <v>-0.59372349448686412</v>
      </c>
      <c r="F309" s="919">
        <f t="shared" ref="F309" si="343">100*((C309/$C$301)-1)</f>
        <v>1.8835120254998339</v>
      </c>
      <c r="G309" s="920">
        <f t="shared" ref="G309" si="344">100*((C309/C297)-1)</f>
        <v>4.3013942450311315</v>
      </c>
      <c r="H309" s="921">
        <f t="shared" ref="H309" si="345">100*(C309/C285-1)</f>
        <v>13.309700290041837</v>
      </c>
      <c r="I309" s="1100">
        <f t="shared" si="175"/>
        <v>0.95961319681456214</v>
      </c>
    </row>
    <row r="310" spans="1:9" ht="16.5" customHeight="1">
      <c r="A310" s="1258">
        <f t="shared" si="95"/>
        <v>303</v>
      </c>
      <c r="B310" s="1071" t="s">
        <v>723</v>
      </c>
      <c r="C310" s="910">
        <f>geral!Q63</f>
        <v>3.6700000000000008</v>
      </c>
      <c r="D310" s="918">
        <f t="shared" ref="D310" si="346">100*C310/$C$8</f>
        <v>1079.4117647058824</v>
      </c>
      <c r="E310" s="919">
        <f t="shared" ref="E310" si="347">100*((C310/C309)-1)</f>
        <v>4.3799772468714915</v>
      </c>
      <c r="F310" s="919">
        <f t="shared" ref="F310" si="348">100*((C310/$C$301)-1)</f>
        <v>6.3459866705303014</v>
      </c>
      <c r="G310" s="920">
        <f t="shared" ref="G310" si="349">100*((C310/C298)-1)</f>
        <v>0.41039671682627787</v>
      </c>
      <c r="H310" s="921">
        <f t="shared" ref="H310" si="350">100*(C310/C286-1)</f>
        <v>14.651671352702312</v>
      </c>
      <c r="I310" s="1100">
        <f t="shared" si="175"/>
        <v>0.91934604904632122</v>
      </c>
    </row>
    <row r="311" spans="1:9" ht="16.5" customHeight="1">
      <c r="A311" s="1259">
        <f t="shared" si="95"/>
        <v>304</v>
      </c>
      <c r="B311" s="1071" t="s">
        <v>724</v>
      </c>
      <c r="C311" s="910">
        <f>geral!Q64</f>
        <v>3.7120000000000002</v>
      </c>
      <c r="D311" s="918">
        <f t="shared" ref="D311" si="351">100*C311/$C$8</f>
        <v>1091.7647058823529</v>
      </c>
      <c r="E311" s="919">
        <f t="shared" ref="E311" si="352">100*((C311/C310)-1)</f>
        <v>1.1444141689373133</v>
      </c>
      <c r="F311" s="919">
        <f t="shared" ref="F311" si="353">100*((C311/$C$301)-1)</f>
        <v>7.5630252100840289</v>
      </c>
      <c r="G311" s="920">
        <f t="shared" ref="G311" si="354">100*((C311/C299)-1)</f>
        <v>-0.24187046492878395</v>
      </c>
      <c r="H311" s="921">
        <f t="shared" ref="H311" si="355">100*(C311/C287-1)</f>
        <v>15.494710640945875</v>
      </c>
      <c r="I311" s="1100">
        <f t="shared" si="175"/>
        <v>0.90894396551724121</v>
      </c>
    </row>
    <row r="312" spans="1:9" ht="16.5" customHeight="1">
      <c r="A312" s="1260">
        <f t="shared" si="95"/>
        <v>305</v>
      </c>
      <c r="B312" s="1071" t="s">
        <v>725</v>
      </c>
      <c r="C312" s="910">
        <f>geral!Q65</f>
        <v>3.7079999999999993</v>
      </c>
      <c r="D312" s="918">
        <f t="shared" ref="D312" si="356">100*C312/$C$8</f>
        <v>1090.5882352941173</v>
      </c>
      <c r="E312" s="919">
        <f t="shared" ref="E312" si="357">100*((C312/C311)-1)</f>
        <v>-0.10775862068967967</v>
      </c>
      <c r="F312" s="919">
        <f t="shared" ref="F312" si="358">100*((C312/$C$301)-1)</f>
        <v>7.447116777745566</v>
      </c>
      <c r="G312" s="920">
        <f t="shared" ref="G312" si="359">100*((C312/C300)-1)</f>
        <v>1.5890410958903978</v>
      </c>
      <c r="H312" s="921">
        <f t="shared" ref="H312" si="360">100*(C312/C288-1)</f>
        <v>12.26158038147136</v>
      </c>
      <c r="I312" s="1100">
        <f t="shared" si="175"/>
        <v>0.9099244875943906</v>
      </c>
    </row>
    <row r="313" spans="1:9" ht="16.5" customHeight="1">
      <c r="A313" s="1262">
        <f t="shared" si="95"/>
        <v>306</v>
      </c>
      <c r="B313" s="1071" t="s">
        <v>726</v>
      </c>
      <c r="C313" s="910">
        <f>geral!Q66</f>
        <v>3.7510000000000003</v>
      </c>
      <c r="D313" s="918">
        <f t="shared" ref="D313" si="361">100*C313/$C$8</f>
        <v>1103.2352941176471</v>
      </c>
      <c r="E313" s="919">
        <f t="shared" ref="E313" si="362">100*((C313/C312)-1)</f>
        <v>1.1596548004315199</v>
      </c>
      <c r="F313" s="919">
        <f t="shared" ref="F313" si="363">100*((C313/$C$301)-1)</f>
        <v>8.6931324253839648</v>
      </c>
      <c r="G313" s="920">
        <f t="shared" ref="G313" si="364">100*((C313/C301)-1)</f>
        <v>8.6931324253839648</v>
      </c>
      <c r="H313" s="921">
        <f t="shared" ref="H313" si="365">100*(C313/C289-1)</f>
        <v>12.778111846061346</v>
      </c>
      <c r="I313" s="1100">
        <f t="shared" si="175"/>
        <v>0.89949346840842426</v>
      </c>
    </row>
    <row r="314" spans="1:9" ht="16.5" customHeight="1">
      <c r="A314" s="1273">
        <f t="shared" si="95"/>
        <v>307</v>
      </c>
      <c r="B314" s="1071" t="s">
        <v>728</v>
      </c>
      <c r="C314" s="910">
        <f>geral!S55</f>
        <v>3.8000000000000003</v>
      </c>
      <c r="D314" s="918">
        <f t="shared" ref="D314" si="366">100*C314/$C$8</f>
        <v>1117.6470588235293</v>
      </c>
      <c r="E314" s="919">
        <f t="shared" ref="E314" si="367">100*((C314/C313)-1)</f>
        <v>1.3063183151159619</v>
      </c>
      <c r="F314" s="919">
        <f t="shared" ref="F314:F319" si="368">100*((C314/$C$313)-1)</f>
        <v>1.3063183151159619</v>
      </c>
      <c r="G314" s="920">
        <f t="shared" ref="G314" si="369">100*((C314/C302)-1)</f>
        <v>10.690358287212366</v>
      </c>
      <c r="H314" s="921">
        <f t="shared" ref="H314" si="370">100*(C314/C290-1)</f>
        <v>12.392783200236623</v>
      </c>
      <c r="I314" s="1100">
        <f t="shared" si="175"/>
        <v>0.88789473684210507</v>
      </c>
    </row>
    <row r="315" spans="1:9" ht="16.5" customHeight="1">
      <c r="A315" s="1274">
        <f t="shared" si="95"/>
        <v>308</v>
      </c>
      <c r="B315" s="1071" t="s">
        <v>729</v>
      </c>
      <c r="C315" s="910">
        <f>geral!S56</f>
        <v>3.677</v>
      </c>
      <c r="D315" s="918">
        <f t="shared" ref="D315" si="371">100*C315/$C$8</f>
        <v>1081.4705882352939</v>
      </c>
      <c r="E315" s="919">
        <f t="shared" ref="E315" si="372">100*((C315/C314)-1)</f>
        <v>-3.2368421052631602</v>
      </c>
      <c r="F315" s="919">
        <f t="shared" si="368"/>
        <v>-1.9728072513996331</v>
      </c>
      <c r="G315" s="920">
        <f t="shared" ref="G315" si="373">100*((C315/C303)-1)</f>
        <v>6.7653890824622698</v>
      </c>
      <c r="H315" s="921">
        <f t="shared" ref="H315" si="374">100*(C315/C291-1)</f>
        <v>8.6905113804315768</v>
      </c>
      <c r="I315" s="1100">
        <f t="shared" si="175"/>
        <v>0.91759586619526778</v>
      </c>
    </row>
    <row r="316" spans="1:9" ht="16.5" customHeight="1">
      <c r="A316" s="1281">
        <f t="shared" si="95"/>
        <v>309</v>
      </c>
      <c r="B316" s="1071" t="s">
        <v>730</v>
      </c>
      <c r="C316" s="910">
        <f>geral!S57</f>
        <v>3.4920000000000004</v>
      </c>
      <c r="D316" s="918">
        <f t="shared" ref="D316" si="375">100*C316/$C$8</f>
        <v>1027.0588235294117</v>
      </c>
      <c r="E316" s="919">
        <f t="shared" ref="E316" si="376">100*((C316/C315)-1)</f>
        <v>-5.0312754963285133</v>
      </c>
      <c r="F316" s="919">
        <f t="shared" si="368"/>
        <v>-6.9048253798986936</v>
      </c>
      <c r="G316" s="920">
        <f t="shared" ref="G316" si="377">100*((C316/C304)-1)</f>
        <v>-1.7445132245357042</v>
      </c>
      <c r="H316" s="921">
        <f t="shared" ref="H316" si="378">100*(C316/C292-1)</f>
        <v>2.9784724270127239</v>
      </c>
      <c r="I316" s="1100">
        <f t="shared" si="175"/>
        <v>0.96620847651775466</v>
      </c>
    </row>
    <row r="317" spans="1:9" ht="16.5" customHeight="1">
      <c r="A317" s="1282">
        <f t="shared" si="95"/>
        <v>310</v>
      </c>
      <c r="B317" s="1071" t="s">
        <v>731</v>
      </c>
      <c r="C317" s="910">
        <f>geral!S58</f>
        <v>3.2029999999999998</v>
      </c>
      <c r="D317" s="918">
        <f t="shared" ref="D317" si="379">100*C317/$C$8</f>
        <v>942.05882352941171</v>
      </c>
      <c r="E317" s="919">
        <f t="shared" ref="E317" si="380">100*((C317/C316)-1)</f>
        <v>-8.2760595647193735</v>
      </c>
      <c r="F317" s="919">
        <f t="shared" si="368"/>
        <v>-14.609437483337784</v>
      </c>
      <c r="G317" s="920">
        <f t="shared" ref="G317" si="381">100*((C317/C305)-1)</f>
        <v>-11.372440509131165</v>
      </c>
      <c r="H317" s="921">
        <f t="shared" ref="H317" si="382">100*(C317/C293-1)</f>
        <v>-7.7211178334773862</v>
      </c>
      <c r="I317" s="1100">
        <f t="shared" si="175"/>
        <v>1.0533874492663127</v>
      </c>
    </row>
    <row r="318" spans="1:9" ht="16.5" customHeight="1">
      <c r="A318" s="1283">
        <f t="shared" si="95"/>
        <v>311</v>
      </c>
      <c r="B318" s="1071" t="s">
        <v>732</v>
      </c>
      <c r="C318" s="910">
        <f>geral!S59</f>
        <v>3.0089999999999999</v>
      </c>
      <c r="D318" s="918">
        <f t="shared" ref="D318" si="383">100*C318/$C$8</f>
        <v>884.99999999999989</v>
      </c>
      <c r="E318" s="919">
        <f t="shared" ref="E318" si="384">100*((C318/C317)-1)</f>
        <v>-6.0568217296284699</v>
      </c>
      <c r="F318" s="919">
        <f t="shared" si="368"/>
        <v>-19.78139162889897</v>
      </c>
      <c r="G318" s="920">
        <f t="shared" ref="G318" si="385">100*((C318/C306)-1)</f>
        <v>-17.651888341543518</v>
      </c>
      <c r="H318" s="921">
        <f t="shared" ref="H318" si="386">100*(C318/C294-1)</f>
        <v>-20.564941921858505</v>
      </c>
      <c r="I318" s="1100">
        <f t="shared" si="175"/>
        <v>1.1213027583914921</v>
      </c>
    </row>
    <row r="319" spans="1:9" ht="16.5" customHeight="1">
      <c r="A319" s="1287">
        <f t="shared" si="95"/>
        <v>312</v>
      </c>
      <c r="B319" s="1071" t="s">
        <v>733</v>
      </c>
      <c r="C319" s="910">
        <f>geral!S60</f>
        <v>3.1469999999999994</v>
      </c>
      <c r="D319" s="918">
        <f t="shared" ref="D319" si="387">100*C319/$C$8</f>
        <v>925.58823529411734</v>
      </c>
      <c r="E319" s="919">
        <f t="shared" ref="E319" si="388">100*((C319/C318)-1)</f>
        <v>4.5862412761714655</v>
      </c>
      <c r="F319" s="919">
        <f t="shared" si="368"/>
        <v>-16.102372700613198</v>
      </c>
      <c r="G319" s="920">
        <f t="shared" ref="G319" si="389">100*((C319/C307)-1)</f>
        <v>-11.848739495798332</v>
      </c>
      <c r="H319" s="921">
        <f t="shared" ref="H319" si="390">100*(C319/C295-1)</f>
        <v>-7.1407494836234982</v>
      </c>
      <c r="I319" s="1100">
        <f t="shared" si="175"/>
        <v>1.0721321893867177</v>
      </c>
    </row>
    <row r="320" spans="1:9" ht="16.5" customHeight="1">
      <c r="A320" s="1289">
        <f t="shared" si="95"/>
        <v>313</v>
      </c>
      <c r="B320" s="1071" t="s">
        <v>734</v>
      </c>
      <c r="C320" s="910">
        <f>geral!S61</f>
        <v>3.3219999999999996</v>
      </c>
      <c r="D320" s="918">
        <f t="shared" ref="D320" si="391">100*C320/$C$8</f>
        <v>977.05882352941171</v>
      </c>
      <c r="E320" s="919">
        <f t="shared" ref="E320" si="392">100*((C320/C319)-1)</f>
        <v>5.5608516047028989</v>
      </c>
      <c r="F320" s="919">
        <f t="shared" ref="F320" si="393">100*((C320/$C$313)-1)</f>
        <v>-11.43695014662759</v>
      </c>
      <c r="G320" s="920">
        <f t="shared" ref="G320" si="394">100*((C320/C308)-1)</f>
        <v>-6.07859768165111</v>
      </c>
      <c r="H320" s="921">
        <f t="shared" ref="H320" si="395">100*(C320/C296-1)</f>
        <v>-1.6577856719952822</v>
      </c>
      <c r="I320" s="1100">
        <f t="shared" si="175"/>
        <v>1.0156532209512341</v>
      </c>
    </row>
    <row r="321" spans="1:9" ht="16.5" customHeight="1">
      <c r="A321" s="1290">
        <f t="shared" si="95"/>
        <v>314</v>
      </c>
      <c r="B321" s="1071" t="s">
        <v>735</v>
      </c>
      <c r="C321" s="910">
        <f>geral!S62</f>
        <v>3.3739999999999997</v>
      </c>
      <c r="D321" s="918">
        <f t="shared" ref="D321" si="396">100*C321/$C$8</f>
        <v>992.35294117647049</v>
      </c>
      <c r="E321" s="919">
        <f t="shared" ref="E321" si="397">100*((C321/C320)-1)</f>
        <v>1.5653220951234115</v>
      </c>
      <c r="F321" s="919">
        <f t="shared" ref="F321" si="398">100*((C321/$C$313)-1)</f>
        <v>-10.050653159157575</v>
      </c>
      <c r="G321" s="920">
        <f t="shared" ref="G321" si="399">100*((C321/C309)-1)</f>
        <v>-4.0386803185437863</v>
      </c>
      <c r="H321" s="921">
        <f t="shared" ref="H321" si="400">100*(C321/C297-1)</f>
        <v>8.8994363690297895E-2</v>
      </c>
      <c r="I321" s="926">
        <f t="shared" si="175"/>
        <v>1</v>
      </c>
    </row>
    <row r="322" spans="1:9" ht="16.5" customHeight="1" thickBot="1">
      <c r="A322" s="1291">
        <f t="shared" si="95"/>
        <v>315</v>
      </c>
      <c r="B322" s="1106" t="s">
        <v>736</v>
      </c>
      <c r="C322" s="1107">
        <f>geral!S63</f>
        <v>3.3739999999999997</v>
      </c>
      <c r="D322" s="1047">
        <f t="shared" ref="D322" si="401">100*C322/$C$8</f>
        <v>992.35294117647049</v>
      </c>
      <c r="E322" s="1062">
        <f t="shared" ref="E322" si="402">100*((C322/C321)-1)</f>
        <v>0</v>
      </c>
      <c r="F322" s="1062">
        <f t="shared" ref="F322" si="403">100*((C322/$C$313)-1)</f>
        <v>-10.050653159157575</v>
      </c>
      <c r="G322" s="1063">
        <f t="shared" ref="G322" si="404">100*((C322/C310)-1)</f>
        <v>-8.0653950953678777</v>
      </c>
      <c r="H322" s="1064">
        <f t="shared" ref="H322" si="405">100*(C322/C298-1)</f>
        <v>-7.688098495212059</v>
      </c>
      <c r="I322" s="1053">
        <f t="shared" si="175"/>
        <v>1</v>
      </c>
    </row>
    <row r="323" spans="1:9" ht="15" customHeight="1">
      <c r="B323" s="758" t="s">
        <v>238</v>
      </c>
      <c r="C323" s="759"/>
      <c r="D323" s="759"/>
      <c r="E323" s="759"/>
      <c r="F323" s="759"/>
      <c r="G323" s="759"/>
      <c r="H323" s="759"/>
      <c r="I323" s="759"/>
    </row>
    <row r="324" spans="1:9" ht="15" customHeight="1">
      <c r="C324" s="759"/>
      <c r="D324" s="759"/>
      <c r="E324" s="759"/>
      <c r="F324" s="759"/>
      <c r="G324" s="759"/>
      <c r="H324" s="759"/>
      <c r="I324" s="759"/>
    </row>
    <row r="325" spans="1:9" ht="15" customHeight="1">
      <c r="C325" s="759"/>
      <c r="D325" s="759"/>
      <c r="E325" s="759"/>
      <c r="F325" s="759"/>
      <c r="G325" s="759"/>
      <c r="H325" s="759"/>
      <c r="I325" s="759"/>
    </row>
    <row r="326" spans="1:9" ht="15" customHeight="1">
      <c r="C326" s="759"/>
      <c r="D326" s="759"/>
      <c r="E326" s="759"/>
      <c r="F326" s="759"/>
      <c r="G326" s="759"/>
      <c r="H326" s="759"/>
      <c r="I326" s="759"/>
    </row>
    <row r="327" spans="1:9" ht="15" customHeight="1">
      <c r="C327" s="759"/>
      <c r="D327" s="759"/>
      <c r="E327" s="759"/>
      <c r="F327" s="759"/>
      <c r="G327" s="759"/>
      <c r="H327" s="759"/>
      <c r="I327" s="759"/>
    </row>
    <row r="328" spans="1:9" ht="15" customHeight="1">
      <c r="C328" s="759"/>
      <c r="D328" s="759"/>
      <c r="E328" s="759"/>
      <c r="F328" s="759"/>
      <c r="G328" s="759"/>
      <c r="H328" s="759"/>
      <c r="I328" s="759"/>
    </row>
    <row r="329" spans="1:9" ht="15" customHeight="1">
      <c r="C329" s="759"/>
      <c r="D329" s="759"/>
      <c r="E329" s="759"/>
      <c r="F329" s="759"/>
      <c r="G329" s="759"/>
      <c r="H329" s="759"/>
      <c r="I329" s="759"/>
    </row>
    <row r="330" spans="1:9" ht="15" customHeight="1">
      <c r="C330" s="759"/>
      <c r="D330" s="759"/>
      <c r="E330" s="759"/>
      <c r="F330" s="759"/>
      <c r="G330" s="759"/>
      <c r="H330" s="759"/>
      <c r="I330" s="759"/>
    </row>
    <row r="331" spans="1:9" ht="15" customHeight="1">
      <c r="C331" s="759"/>
      <c r="D331" s="759"/>
      <c r="E331" s="759"/>
      <c r="F331" s="759"/>
      <c r="G331" s="759"/>
      <c r="H331" s="759"/>
      <c r="I331" s="759"/>
    </row>
    <row r="332" spans="1:9" ht="15" customHeight="1">
      <c r="C332" s="759"/>
      <c r="D332" s="759"/>
      <c r="E332" s="759"/>
      <c r="F332" s="759"/>
      <c r="G332" s="759"/>
      <c r="H332" s="759"/>
      <c r="I332" s="759"/>
    </row>
    <row r="333" spans="1:9" ht="15" customHeight="1">
      <c r="C333" s="759"/>
      <c r="D333" s="759"/>
      <c r="E333" s="759"/>
      <c r="F333" s="759"/>
      <c r="G333" s="759"/>
      <c r="H333" s="759"/>
      <c r="I333" s="759"/>
    </row>
    <row r="334" spans="1:9" ht="15" customHeight="1">
      <c r="C334" s="759"/>
      <c r="D334" s="759"/>
      <c r="E334" s="759"/>
      <c r="F334" s="759"/>
      <c r="G334" s="759"/>
      <c r="H334" s="759"/>
      <c r="I334" s="759"/>
    </row>
    <row r="335" spans="1:9" ht="15" customHeight="1">
      <c r="C335" s="759"/>
      <c r="D335" s="759"/>
      <c r="E335" s="759"/>
      <c r="F335" s="759"/>
      <c r="G335" s="759"/>
      <c r="H335" s="759"/>
      <c r="I335" s="759"/>
    </row>
    <row r="336" spans="1:9" ht="15" customHeight="1">
      <c r="C336" s="759"/>
      <c r="D336" s="759"/>
      <c r="E336" s="759"/>
      <c r="F336" s="759"/>
      <c r="G336" s="759"/>
      <c r="H336" s="759"/>
      <c r="I336" s="759"/>
    </row>
    <row r="337" spans="3:9" ht="15" customHeight="1">
      <c r="C337" s="759"/>
      <c r="D337" s="759"/>
      <c r="E337" s="759"/>
      <c r="F337" s="759"/>
      <c r="G337" s="759"/>
      <c r="H337" s="759"/>
      <c r="I337" s="759"/>
    </row>
    <row r="338" spans="3:9" ht="15" customHeight="1">
      <c r="C338" s="759"/>
      <c r="D338" s="759"/>
      <c r="E338" s="759"/>
      <c r="F338" s="759"/>
      <c r="G338" s="759"/>
      <c r="H338" s="759"/>
      <c r="I338" s="759"/>
    </row>
    <row r="339" spans="3:9" ht="15" customHeight="1">
      <c r="C339" s="759"/>
      <c r="D339" s="759"/>
      <c r="E339" s="759"/>
      <c r="F339" s="759"/>
      <c r="G339" s="759"/>
      <c r="H339" s="759"/>
      <c r="I339" s="759"/>
    </row>
    <row r="340" spans="3:9" ht="15" customHeight="1">
      <c r="C340" s="759"/>
      <c r="D340" s="759"/>
      <c r="E340" s="759"/>
      <c r="F340" s="759"/>
      <c r="G340" s="759"/>
      <c r="H340" s="759"/>
      <c r="I340" s="759"/>
    </row>
    <row r="341" spans="3:9" ht="15" customHeight="1">
      <c r="C341" s="759"/>
      <c r="D341" s="759"/>
      <c r="E341" s="759"/>
      <c r="F341" s="759"/>
      <c r="G341" s="759"/>
      <c r="H341" s="759"/>
      <c r="I341" s="759"/>
    </row>
    <row r="342" spans="3:9" ht="15" customHeight="1">
      <c r="C342" s="759"/>
      <c r="D342" s="759"/>
      <c r="E342" s="759"/>
      <c r="F342" s="759"/>
      <c r="G342" s="759"/>
      <c r="H342" s="759"/>
      <c r="I342" s="759"/>
    </row>
    <row r="343" spans="3:9" ht="15" customHeight="1">
      <c r="C343" s="759"/>
      <c r="D343" s="759"/>
      <c r="E343" s="759"/>
      <c r="F343" s="759"/>
      <c r="G343" s="759"/>
      <c r="H343" s="759"/>
      <c r="I343" s="759"/>
    </row>
    <row r="344" spans="3:9" ht="15" customHeight="1">
      <c r="C344" s="759"/>
      <c r="D344" s="759"/>
      <c r="E344" s="759"/>
      <c r="F344" s="759"/>
      <c r="G344" s="759"/>
      <c r="H344" s="759"/>
      <c r="I344" s="759"/>
    </row>
    <row r="345" spans="3:9" ht="15" customHeight="1">
      <c r="C345" s="759"/>
      <c r="D345" s="759"/>
      <c r="E345" s="759"/>
      <c r="F345" s="759"/>
      <c r="G345" s="759"/>
      <c r="H345" s="759"/>
      <c r="I345" s="759"/>
    </row>
    <row r="346" spans="3:9" ht="15" customHeight="1">
      <c r="C346" s="759"/>
      <c r="D346" s="759"/>
      <c r="E346" s="759"/>
      <c r="F346" s="759"/>
      <c r="G346" s="759"/>
      <c r="H346" s="759"/>
      <c r="I346" s="759"/>
    </row>
    <row r="347" spans="3:9" ht="15" customHeight="1">
      <c r="C347" s="759"/>
      <c r="D347" s="759"/>
      <c r="E347" s="759"/>
      <c r="F347" s="759"/>
      <c r="G347" s="759"/>
      <c r="H347" s="759"/>
      <c r="I347" s="759"/>
    </row>
    <row r="348" spans="3:9" ht="15" customHeight="1">
      <c r="C348" s="759"/>
      <c r="D348" s="759"/>
      <c r="E348" s="759"/>
      <c r="F348" s="759"/>
      <c r="G348" s="759"/>
      <c r="H348" s="759"/>
      <c r="I348" s="759"/>
    </row>
    <row r="349" spans="3:9" ht="15" customHeight="1">
      <c r="C349" s="759"/>
      <c r="D349" s="759"/>
      <c r="E349" s="759"/>
      <c r="F349" s="759"/>
      <c r="G349" s="759"/>
      <c r="H349" s="759"/>
      <c r="I349" s="759"/>
    </row>
    <row r="350" spans="3:9" ht="15" customHeight="1">
      <c r="C350" s="759"/>
      <c r="D350" s="759"/>
      <c r="E350" s="759"/>
      <c r="F350" s="759"/>
      <c r="G350" s="759"/>
      <c r="H350" s="759"/>
      <c r="I350" s="759"/>
    </row>
    <row r="351" spans="3:9" ht="15" customHeight="1">
      <c r="C351" s="759"/>
      <c r="D351" s="759"/>
      <c r="E351" s="759"/>
      <c r="F351" s="759"/>
      <c r="G351" s="759"/>
      <c r="H351" s="759"/>
      <c r="I351" s="759"/>
    </row>
    <row r="352" spans="3:9" ht="15" customHeight="1">
      <c r="C352" s="759"/>
      <c r="D352" s="759"/>
      <c r="E352" s="759"/>
      <c r="F352" s="759"/>
      <c r="G352" s="759"/>
      <c r="H352" s="759"/>
      <c r="I352" s="759"/>
    </row>
    <row r="353" spans="3:9" ht="15" customHeight="1">
      <c r="C353" s="759"/>
      <c r="D353" s="759"/>
      <c r="E353" s="759"/>
      <c r="F353" s="759"/>
      <c r="G353" s="759"/>
      <c r="H353" s="759"/>
      <c r="I353" s="759"/>
    </row>
    <row r="354" spans="3:9" ht="15" customHeight="1">
      <c r="C354" s="759"/>
      <c r="D354" s="759"/>
      <c r="E354" s="759"/>
      <c r="F354" s="759"/>
      <c r="G354" s="759"/>
      <c r="H354" s="759"/>
      <c r="I354" s="759"/>
    </row>
    <row r="355" spans="3:9" ht="15" customHeight="1">
      <c r="C355" s="759"/>
      <c r="D355" s="759"/>
      <c r="E355" s="759"/>
      <c r="F355" s="759"/>
      <c r="G355" s="759"/>
      <c r="H355" s="759"/>
      <c r="I355" s="759"/>
    </row>
    <row r="356" spans="3:9" ht="15" customHeight="1">
      <c r="C356" s="759"/>
      <c r="D356" s="759"/>
      <c r="E356" s="759"/>
      <c r="F356" s="759"/>
      <c r="G356" s="759"/>
      <c r="H356" s="759"/>
      <c r="I356" s="759"/>
    </row>
    <row r="357" spans="3:9" ht="15" customHeight="1">
      <c r="C357" s="759"/>
      <c r="D357" s="759"/>
      <c r="E357" s="759"/>
      <c r="F357" s="759"/>
      <c r="G357" s="759"/>
      <c r="H357" s="759"/>
      <c r="I357" s="759"/>
    </row>
    <row r="358" spans="3:9" ht="15" customHeight="1">
      <c r="C358" s="759"/>
      <c r="D358" s="759"/>
      <c r="E358" s="759"/>
      <c r="F358" s="759"/>
      <c r="G358" s="759"/>
      <c r="H358" s="759"/>
      <c r="I358" s="759"/>
    </row>
    <row r="359" spans="3:9" ht="15" customHeight="1">
      <c r="C359" s="759"/>
      <c r="D359" s="759"/>
      <c r="E359" s="759"/>
      <c r="F359" s="759"/>
      <c r="G359" s="759"/>
      <c r="H359" s="759"/>
      <c r="I359" s="759"/>
    </row>
    <row r="360" spans="3:9" ht="15" customHeight="1">
      <c r="C360" s="759"/>
      <c r="D360" s="759"/>
      <c r="E360" s="759"/>
      <c r="F360" s="759"/>
      <c r="G360" s="759"/>
      <c r="H360" s="759"/>
      <c r="I360" s="759"/>
    </row>
    <row r="361" spans="3:9" ht="15" customHeight="1">
      <c r="C361" s="759"/>
      <c r="D361" s="759"/>
      <c r="E361" s="759"/>
      <c r="F361" s="759"/>
      <c r="G361" s="759"/>
      <c r="H361" s="759"/>
      <c r="I361" s="759"/>
    </row>
    <row r="362" spans="3:9" ht="15" customHeight="1">
      <c r="C362" s="759"/>
      <c r="D362" s="759"/>
      <c r="E362" s="759"/>
      <c r="F362" s="759"/>
      <c r="G362" s="759"/>
      <c r="H362" s="759"/>
      <c r="I362" s="759"/>
    </row>
    <row r="363" spans="3:9" ht="15" customHeight="1">
      <c r="C363" s="759"/>
      <c r="D363" s="759"/>
      <c r="E363" s="759"/>
      <c r="F363" s="759"/>
      <c r="G363" s="759"/>
      <c r="H363" s="759"/>
      <c r="I363" s="759"/>
    </row>
    <row r="364" spans="3:9" ht="15" customHeight="1">
      <c r="C364" s="759"/>
      <c r="D364" s="759"/>
      <c r="E364" s="759"/>
      <c r="F364" s="759"/>
      <c r="G364" s="759"/>
      <c r="H364" s="759"/>
      <c r="I364" s="759"/>
    </row>
    <row r="365" spans="3:9" ht="15" customHeight="1">
      <c r="C365" s="759"/>
      <c r="D365" s="759"/>
      <c r="E365" s="759"/>
      <c r="F365" s="759"/>
      <c r="G365" s="759"/>
      <c r="H365" s="759"/>
      <c r="I365" s="759"/>
    </row>
    <row r="366" spans="3:9" ht="15" customHeight="1">
      <c r="C366" s="759"/>
      <c r="D366" s="759"/>
      <c r="E366" s="759"/>
      <c r="F366" s="759"/>
      <c r="G366" s="759"/>
      <c r="H366" s="759"/>
      <c r="I366" s="759"/>
    </row>
    <row r="367" spans="3:9" ht="15" customHeight="1">
      <c r="C367" s="759"/>
      <c r="D367" s="759"/>
      <c r="E367" s="759"/>
      <c r="F367" s="759"/>
      <c r="G367" s="759"/>
      <c r="H367" s="759"/>
      <c r="I367" s="759"/>
    </row>
    <row r="368" spans="3:9" ht="15" customHeight="1">
      <c r="C368" s="759"/>
      <c r="D368" s="759"/>
      <c r="E368" s="759"/>
      <c r="F368" s="759"/>
      <c r="G368" s="759"/>
      <c r="H368" s="759"/>
      <c r="I368" s="759"/>
    </row>
    <row r="369" spans="3:9" ht="15" customHeight="1">
      <c r="C369" s="759"/>
      <c r="D369" s="759"/>
      <c r="E369" s="759"/>
      <c r="F369" s="759"/>
      <c r="G369" s="759"/>
      <c r="H369" s="759"/>
      <c r="I369" s="759"/>
    </row>
    <row r="370" spans="3:9" ht="15" customHeight="1">
      <c r="C370" s="759"/>
      <c r="D370" s="759"/>
      <c r="E370" s="759"/>
      <c r="F370" s="759"/>
      <c r="G370" s="759"/>
      <c r="H370" s="759"/>
      <c r="I370" s="759"/>
    </row>
    <row r="371" spans="3:9" ht="15" customHeight="1">
      <c r="C371" s="759"/>
      <c r="D371" s="759"/>
      <c r="E371" s="759"/>
      <c r="F371" s="759"/>
      <c r="G371" s="759"/>
      <c r="H371" s="759"/>
      <c r="I371" s="759"/>
    </row>
    <row r="372" spans="3:9" ht="15" customHeight="1">
      <c r="C372" s="759"/>
      <c r="D372" s="759"/>
      <c r="E372" s="759"/>
      <c r="F372" s="759"/>
      <c r="G372" s="759"/>
      <c r="H372" s="759"/>
      <c r="I372" s="759"/>
    </row>
    <row r="373" spans="3:9" ht="15" customHeight="1">
      <c r="C373" s="759"/>
      <c r="D373" s="759"/>
      <c r="E373" s="759"/>
      <c r="F373" s="759"/>
      <c r="G373" s="759"/>
      <c r="H373" s="759"/>
      <c r="I373" s="759"/>
    </row>
    <row r="374" spans="3:9" ht="15" customHeight="1">
      <c r="C374" s="759"/>
      <c r="D374" s="759"/>
      <c r="E374" s="759"/>
      <c r="F374" s="759"/>
      <c r="G374" s="759"/>
      <c r="H374" s="759"/>
      <c r="I374" s="759"/>
    </row>
    <row r="375" spans="3:9" ht="15" customHeight="1">
      <c r="C375" s="759"/>
      <c r="D375" s="759"/>
      <c r="E375" s="759"/>
      <c r="F375" s="759"/>
      <c r="G375" s="759"/>
      <c r="H375" s="759"/>
      <c r="I375" s="759"/>
    </row>
    <row r="376" spans="3:9" ht="15" customHeight="1">
      <c r="C376" s="759"/>
      <c r="D376" s="759"/>
      <c r="E376" s="759"/>
      <c r="F376" s="759"/>
      <c r="G376" s="759"/>
      <c r="H376" s="759"/>
      <c r="I376" s="759"/>
    </row>
    <row r="377" spans="3:9" ht="15" customHeight="1">
      <c r="C377" s="759"/>
      <c r="D377" s="759"/>
      <c r="E377" s="759"/>
      <c r="F377" s="759"/>
      <c r="G377" s="759"/>
      <c r="H377" s="759"/>
      <c r="I377" s="759"/>
    </row>
    <row r="378" spans="3:9" ht="15" customHeight="1">
      <c r="C378" s="759"/>
      <c r="D378" s="759"/>
      <c r="E378" s="759"/>
      <c r="F378" s="759"/>
      <c r="G378" s="759"/>
      <c r="H378" s="759"/>
      <c r="I378" s="759"/>
    </row>
    <row r="379" spans="3:9" ht="15" customHeight="1">
      <c r="C379" s="759"/>
      <c r="D379" s="759"/>
      <c r="E379" s="759"/>
      <c r="F379" s="759"/>
      <c r="G379" s="759"/>
      <c r="H379" s="759"/>
      <c r="I379" s="759"/>
    </row>
    <row r="380" spans="3:9" ht="15" customHeight="1">
      <c r="C380" s="759"/>
      <c r="D380" s="759"/>
      <c r="E380" s="759"/>
      <c r="F380" s="759"/>
      <c r="G380" s="759"/>
      <c r="H380" s="759"/>
      <c r="I380" s="759"/>
    </row>
    <row r="381" spans="3:9" ht="15" customHeight="1">
      <c r="C381" s="759"/>
      <c r="D381" s="759"/>
      <c r="E381" s="759"/>
      <c r="F381" s="759"/>
      <c r="G381" s="759"/>
      <c r="H381" s="759"/>
      <c r="I381" s="759"/>
    </row>
    <row r="382" spans="3:9" ht="15" customHeight="1">
      <c r="C382" s="759"/>
      <c r="D382" s="759"/>
      <c r="E382" s="759"/>
      <c r="F382" s="759"/>
      <c r="G382" s="759"/>
      <c r="H382" s="759"/>
      <c r="I382" s="759"/>
    </row>
    <row r="383" spans="3:9" ht="15" customHeight="1">
      <c r="C383" s="759"/>
      <c r="D383" s="759"/>
      <c r="E383" s="759"/>
      <c r="F383" s="759"/>
      <c r="G383" s="759"/>
      <c r="H383" s="759"/>
      <c r="I383" s="759"/>
    </row>
    <row r="384" spans="3:9" ht="15" customHeight="1">
      <c r="C384" s="759"/>
      <c r="D384" s="759"/>
      <c r="E384" s="759"/>
      <c r="F384" s="759"/>
      <c r="G384" s="759"/>
      <c r="H384" s="759"/>
      <c r="I384" s="759"/>
    </row>
    <row r="385" spans="2:12" ht="15" customHeight="1">
      <c r="C385" s="759"/>
      <c r="D385" s="759"/>
      <c r="E385" s="759"/>
      <c r="F385" s="759"/>
      <c r="G385" s="759"/>
      <c r="H385" s="759"/>
      <c r="I385" s="759"/>
      <c r="L385" s="760">
        <f>C189/C173</f>
        <v>1.061235356762513</v>
      </c>
    </row>
    <row r="386" spans="2:12" ht="15" customHeight="1">
      <c r="C386" s="759"/>
      <c r="D386" s="759"/>
      <c r="E386" s="759"/>
      <c r="F386" s="759"/>
      <c r="G386" s="759"/>
      <c r="H386" s="759"/>
      <c r="I386" s="759"/>
    </row>
    <row r="387" spans="2:12" ht="15" customHeight="1">
      <c r="C387" s="759"/>
      <c r="D387" s="759"/>
      <c r="E387" s="759"/>
      <c r="F387" s="759"/>
      <c r="G387" s="759"/>
      <c r="H387" s="759"/>
      <c r="I387" s="759"/>
    </row>
    <row r="388" spans="2:12" ht="15" customHeight="1">
      <c r="C388" s="759"/>
      <c r="D388" s="759"/>
      <c r="E388" s="759"/>
      <c r="F388" s="759"/>
      <c r="G388" s="759"/>
      <c r="H388" s="759"/>
      <c r="I388" s="759"/>
    </row>
    <row r="389" spans="2:12" ht="15" customHeight="1">
      <c r="C389" s="759"/>
      <c r="D389" s="759"/>
      <c r="E389" s="759"/>
      <c r="F389" s="759"/>
      <c r="G389" s="759"/>
      <c r="H389" s="759"/>
      <c r="I389" s="759"/>
    </row>
    <row r="390" spans="2:12" ht="15" customHeight="1">
      <c r="C390" s="759"/>
      <c r="D390" s="759"/>
      <c r="E390" s="759"/>
      <c r="F390" s="759"/>
      <c r="G390" s="759"/>
      <c r="H390" s="759"/>
      <c r="I390" s="759"/>
    </row>
    <row r="391" spans="2:12" ht="15" customHeight="1">
      <c r="C391" s="759"/>
      <c r="D391" s="759"/>
      <c r="E391" s="759"/>
      <c r="F391" s="759"/>
      <c r="G391" s="759"/>
      <c r="H391" s="759"/>
      <c r="I391" s="759"/>
    </row>
    <row r="392" spans="2:12" ht="15" customHeight="1">
      <c r="C392" s="759"/>
      <c r="D392" s="759"/>
      <c r="E392" s="759"/>
      <c r="F392" s="759"/>
      <c r="G392" s="759"/>
      <c r="H392" s="759"/>
      <c r="I392" s="759"/>
    </row>
    <row r="393" spans="2:12" ht="15" customHeight="1">
      <c r="C393" s="759"/>
      <c r="D393" s="759"/>
      <c r="E393" s="759"/>
      <c r="F393" s="759"/>
      <c r="G393" s="759"/>
      <c r="H393" s="759"/>
      <c r="I393" s="759"/>
    </row>
    <row r="394" spans="2:12" ht="15" customHeight="1">
      <c r="C394" s="759"/>
      <c r="D394" s="759"/>
      <c r="E394" s="759"/>
      <c r="F394" s="759"/>
      <c r="G394" s="759"/>
      <c r="H394" s="759"/>
      <c r="I394" s="759"/>
    </row>
    <row r="395" spans="2:12" ht="15" customHeight="1">
      <c r="C395" s="759"/>
      <c r="D395" s="759"/>
      <c r="E395" s="759"/>
      <c r="F395" s="759"/>
      <c r="G395" s="759"/>
      <c r="H395" s="759"/>
      <c r="I395" s="759"/>
    </row>
    <row r="396" spans="2:12" ht="15" customHeight="1">
      <c r="C396" s="759"/>
      <c r="D396" s="759"/>
      <c r="E396" s="759"/>
      <c r="F396" s="759"/>
      <c r="G396" s="759"/>
      <c r="H396" s="759"/>
      <c r="I396" s="759"/>
    </row>
    <row r="397" spans="2:12" ht="15" customHeight="1">
      <c r="C397" s="759"/>
      <c r="D397" s="759"/>
      <c r="E397" s="759"/>
      <c r="F397" s="759"/>
      <c r="G397" s="759"/>
      <c r="H397" s="759"/>
      <c r="I397" s="759"/>
    </row>
    <row r="398" spans="2:12" ht="15" customHeight="1">
      <c r="C398" s="759"/>
      <c r="D398" s="759"/>
      <c r="E398" s="759"/>
      <c r="F398" s="759"/>
      <c r="G398" s="759"/>
      <c r="H398" s="759"/>
      <c r="I398" s="759"/>
    </row>
    <row r="399" spans="2:12" s="761" customFormat="1" ht="15" customHeight="1">
      <c r="B399" s="707" t="s">
        <v>266</v>
      </c>
      <c r="C399" s="759" t="s">
        <v>267</v>
      </c>
      <c r="D399" s="759" t="s">
        <v>264</v>
      </c>
      <c r="E399" s="759" t="s">
        <v>271</v>
      </c>
      <c r="F399" s="759" t="s">
        <v>268</v>
      </c>
      <c r="G399" s="759"/>
      <c r="H399" s="759" t="s">
        <v>272</v>
      </c>
      <c r="I399" s="759"/>
      <c r="J399" s="745"/>
      <c r="K399" s="745"/>
    </row>
    <row r="400" spans="2:12" s="760" customFormat="1" ht="15" customHeight="1">
      <c r="B400" s="707">
        <v>37226</v>
      </c>
      <c r="C400" s="759">
        <f>C97</f>
        <v>0.90200000000000002</v>
      </c>
      <c r="D400" s="759">
        <v>0</v>
      </c>
      <c r="E400" s="759">
        <v>0</v>
      </c>
      <c r="F400" s="759">
        <v>100</v>
      </c>
      <c r="G400" s="759">
        <v>100</v>
      </c>
      <c r="H400" s="759">
        <v>0</v>
      </c>
      <c r="I400" s="759"/>
      <c r="J400" s="745"/>
      <c r="K400" s="745"/>
    </row>
    <row r="401" spans="2:11" s="760" customFormat="1" ht="15" customHeight="1">
      <c r="B401" s="707">
        <v>37591</v>
      </c>
      <c r="C401" s="759">
        <f>C109</f>
        <v>1.369</v>
      </c>
      <c r="D401" s="759">
        <f>C401/C400*100-100</f>
        <v>51.773835920177362</v>
      </c>
      <c r="E401" s="759">
        <f>C401/C400*100-100</f>
        <v>51.773835920177362</v>
      </c>
      <c r="F401" s="759">
        <v>112.53033707957502</v>
      </c>
      <c r="G401" s="759">
        <f t="shared" ref="G401:G408" si="406">G400*F401/100</f>
        <v>112.53033707957502</v>
      </c>
      <c r="H401" s="759">
        <f>G401-100</f>
        <v>12.53033707957502</v>
      </c>
      <c r="I401" s="759"/>
      <c r="J401" s="745"/>
      <c r="K401" s="745"/>
    </row>
    <row r="402" spans="2:11" s="760" customFormat="1" ht="15" customHeight="1">
      <c r="B402" s="707">
        <v>37956</v>
      </c>
      <c r="C402" s="759">
        <f>C121</f>
        <v>1.3464</v>
      </c>
      <c r="D402" s="759">
        <f t="shared" ref="D402:D408" si="407">C402/C401*100-100</f>
        <v>-1.6508400292184007</v>
      </c>
      <c r="E402" s="759">
        <f t="shared" ref="E402:E408" si="408">C402/$C$400*100-100</f>
        <v>49.268292682926841</v>
      </c>
      <c r="F402" s="759">
        <v>109.30429871042612</v>
      </c>
      <c r="G402" s="759">
        <f t="shared" si="406"/>
        <v>123.00049578130809</v>
      </c>
      <c r="H402" s="759">
        <f t="shared" ref="H402:H410" si="409">G402-100</f>
        <v>23.000495781308089</v>
      </c>
      <c r="I402" s="759"/>
      <c r="J402" s="745"/>
      <c r="K402" s="745"/>
    </row>
    <row r="403" spans="2:11" s="760" customFormat="1" ht="15" customHeight="1">
      <c r="B403" s="707">
        <v>38322</v>
      </c>
      <c r="C403" s="759">
        <f>C133</f>
        <v>1.6366000000000001</v>
      </c>
      <c r="D403" s="759">
        <f t="shared" si="407"/>
        <v>21.553773024361249</v>
      </c>
      <c r="E403" s="759">
        <f t="shared" si="408"/>
        <v>81.441241685144121</v>
      </c>
      <c r="F403" s="759">
        <v>107.60489595608298</v>
      </c>
      <c r="G403" s="759">
        <f t="shared" si="406"/>
        <v>132.35455551094282</v>
      </c>
      <c r="H403" s="759">
        <f t="shared" si="409"/>
        <v>32.354555510942816</v>
      </c>
      <c r="I403" s="759"/>
      <c r="J403" s="745"/>
      <c r="K403" s="745"/>
    </row>
    <row r="404" spans="2:11" s="760" customFormat="1" ht="15" customHeight="1">
      <c r="B404" s="707">
        <v>38687</v>
      </c>
      <c r="C404" s="759">
        <f>C145</f>
        <v>1.8327500000000001</v>
      </c>
      <c r="D404" s="759">
        <f t="shared" si="407"/>
        <v>11.985213246975434</v>
      </c>
      <c r="E404" s="759">
        <f t="shared" si="408"/>
        <v>103.18736141906874</v>
      </c>
      <c r="F404" s="759">
        <v>105.68868116370828</v>
      </c>
      <c r="G404" s="759">
        <f t="shared" si="406"/>
        <v>139.88378417960365</v>
      </c>
      <c r="H404" s="759">
        <f t="shared" si="409"/>
        <v>39.883784179603651</v>
      </c>
      <c r="I404" s="759"/>
      <c r="J404" s="745"/>
      <c r="K404" s="745"/>
    </row>
    <row r="405" spans="2:11" s="760" customFormat="1" ht="15" customHeight="1">
      <c r="B405" s="707">
        <v>39052</v>
      </c>
      <c r="C405" s="759">
        <f>C157</f>
        <v>1.8180000000000001</v>
      </c>
      <c r="D405" s="759">
        <f t="shared" si="407"/>
        <v>-0.80480152775884051</v>
      </c>
      <c r="E405" s="759">
        <f t="shared" si="408"/>
        <v>101.55210643015522</v>
      </c>
      <c r="F405" s="759">
        <v>103.14177496830443</v>
      </c>
      <c r="G405" s="759">
        <f t="shared" si="406"/>
        <v>144.27861789567544</v>
      </c>
      <c r="H405" s="759">
        <f t="shared" si="409"/>
        <v>44.278617895675438</v>
      </c>
      <c r="I405" s="759"/>
      <c r="J405" s="745"/>
      <c r="K405" s="745"/>
    </row>
    <row r="406" spans="2:11" s="760" customFormat="1" ht="15" customHeight="1">
      <c r="B406" s="707">
        <v>39417</v>
      </c>
      <c r="C406" s="759">
        <f>C169</f>
        <v>1.8358750000000001</v>
      </c>
      <c r="D406" s="759">
        <f t="shared" si="407"/>
        <v>0.98322332233222198</v>
      </c>
      <c r="E406" s="759">
        <f t="shared" si="408"/>
        <v>103.53381374722841</v>
      </c>
      <c r="F406" s="759">
        <v>104.45541853385517</v>
      </c>
      <c r="G406" s="759">
        <f t="shared" si="406"/>
        <v>150.70683417778943</v>
      </c>
      <c r="H406" s="759">
        <f t="shared" si="409"/>
        <v>50.706834177789432</v>
      </c>
      <c r="I406" s="759"/>
      <c r="J406" s="745"/>
      <c r="K406" s="745"/>
    </row>
    <row r="407" spans="2:11" s="760" customFormat="1" ht="15" customHeight="1">
      <c r="B407" s="707">
        <v>39783</v>
      </c>
      <c r="C407" s="759">
        <f>C181</f>
        <v>2.1080000000000001</v>
      </c>
      <c r="D407" s="759">
        <f t="shared" si="407"/>
        <v>14.822632259821617</v>
      </c>
      <c r="E407" s="759">
        <f t="shared" si="408"/>
        <v>133.70288248337027</v>
      </c>
      <c r="F407" s="759">
        <v>105.90757710322016</v>
      </c>
      <c r="G407" s="759">
        <f t="shared" si="406"/>
        <v>159.6099566066645</v>
      </c>
      <c r="H407" s="759">
        <f t="shared" si="409"/>
        <v>59.609956606664497</v>
      </c>
      <c r="I407" s="759"/>
      <c r="J407" s="745"/>
      <c r="K407" s="745"/>
    </row>
    <row r="408" spans="2:11" s="760" customFormat="1" ht="15" customHeight="1">
      <c r="B408" s="707">
        <v>40148</v>
      </c>
      <c r="C408" s="759">
        <f>C189</f>
        <v>1.9929999999999994</v>
      </c>
      <c r="D408" s="759">
        <f t="shared" si="407"/>
        <v>-5.4554079696395092</v>
      </c>
      <c r="E408" s="759">
        <f t="shared" si="408"/>
        <v>120.9534368070953</v>
      </c>
      <c r="F408" s="759">
        <v>102.5666342229175</v>
      </c>
      <c r="G408" s="759">
        <f t="shared" si="406"/>
        <v>163.70656037611491</v>
      </c>
      <c r="H408" s="759">
        <f t="shared" si="409"/>
        <v>63.706560376114908</v>
      </c>
      <c r="I408" s="759"/>
      <c r="J408" s="745"/>
      <c r="K408" s="745"/>
    </row>
    <row r="409" spans="2:11" s="760" customFormat="1" ht="15" customHeight="1">
      <c r="B409" s="707">
        <v>40513</v>
      </c>
      <c r="C409" s="759">
        <f>C205</f>
        <v>1.9830000000000001</v>
      </c>
      <c r="D409" s="759">
        <f>C409/C408*100-100</f>
        <v>-0.50175614651276135</v>
      </c>
      <c r="E409" s="759">
        <f>C409/$C$400*100-100</f>
        <v>119.84478935698451</v>
      </c>
      <c r="F409" s="759">
        <v>103.566634222918</v>
      </c>
      <c r="G409" s="759">
        <f>G408*F409/100</f>
        <v>169.54537458365132</v>
      </c>
      <c r="H409" s="759">
        <f t="shared" si="409"/>
        <v>69.545374583651324</v>
      </c>
      <c r="I409" s="759"/>
      <c r="J409" s="745"/>
      <c r="K409" s="745"/>
    </row>
    <row r="410" spans="2:11" s="760" customFormat="1" ht="15" customHeight="1">
      <c r="B410" s="707">
        <v>40878</v>
      </c>
      <c r="C410" s="759">
        <f>C217</f>
        <v>2.0329999999999999</v>
      </c>
      <c r="D410" s="759">
        <f>C410/C409*100-100</f>
        <v>2.5214321734745084</v>
      </c>
      <c r="E410" s="759">
        <f>C410/$C$400*100-100</f>
        <v>125.38802660753879</v>
      </c>
      <c r="F410" s="759">
        <v>104.566634222918</v>
      </c>
      <c r="G410" s="759">
        <f>G409*F410/100</f>
        <v>177.28789168276285</v>
      </c>
      <c r="H410" s="759">
        <f t="shared" si="409"/>
        <v>77.287891682762847</v>
      </c>
      <c r="I410" s="759"/>
      <c r="J410" s="745"/>
      <c r="K410" s="745"/>
    </row>
    <row r="411" spans="2:11" s="760" customFormat="1" ht="15" customHeight="1">
      <c r="B411" s="707" t="s">
        <v>268</v>
      </c>
      <c r="C411" s="759">
        <v>1.6370656037611493</v>
      </c>
      <c r="D411" s="759">
        <f>C411-1</f>
        <v>0.63706560376114929</v>
      </c>
      <c r="E411" s="759"/>
      <c r="F411" s="759"/>
      <c r="G411" s="759"/>
      <c r="H411" s="759"/>
      <c r="I411" s="759"/>
      <c r="J411" s="745"/>
      <c r="K411" s="745"/>
    </row>
    <row r="412" spans="2:11" ht="15" customHeight="1">
      <c r="B412" s="707" t="s">
        <v>269</v>
      </c>
      <c r="C412" s="759">
        <f>C408/C400</f>
        <v>2.2095343680709529</v>
      </c>
      <c r="D412" s="759">
        <f>C412-1</f>
        <v>1.2095343680709529</v>
      </c>
      <c r="E412" s="759"/>
      <c r="F412" s="759"/>
      <c r="G412" s="759"/>
      <c r="H412" s="759"/>
      <c r="I412" s="759"/>
    </row>
    <row r="413" spans="2:11" ht="15" customHeight="1">
      <c r="C413" s="759">
        <f>C412/C411</f>
        <v>1.349692011727911</v>
      </c>
      <c r="D413" s="759">
        <f>C413-1</f>
        <v>0.34969201172791098</v>
      </c>
      <c r="E413" s="759" t="s">
        <v>270</v>
      </c>
      <c r="F413" s="759"/>
      <c r="G413" s="759"/>
      <c r="H413" s="759"/>
      <c r="I413" s="759"/>
    </row>
    <row r="414" spans="2:11" ht="15" customHeight="1">
      <c r="C414" s="759"/>
      <c r="D414" s="759"/>
      <c r="E414" s="759"/>
      <c r="F414" s="759"/>
      <c r="G414" s="759"/>
      <c r="H414" s="759"/>
      <c r="I414" s="759"/>
    </row>
    <row r="415" spans="2:11" ht="15" customHeight="1">
      <c r="C415" s="759"/>
      <c r="D415" s="759"/>
      <c r="E415" s="759"/>
      <c r="F415" s="759"/>
      <c r="G415" s="759"/>
      <c r="H415" s="759"/>
      <c r="I415" s="759"/>
    </row>
    <row r="416" spans="2:11" ht="15" customHeight="1">
      <c r="C416" s="759"/>
      <c r="D416" s="759"/>
      <c r="E416" s="759"/>
      <c r="F416" s="759"/>
      <c r="G416" s="759"/>
      <c r="H416" s="759"/>
      <c r="I416" s="759"/>
    </row>
    <row r="417" spans="3:9" ht="15" customHeight="1">
      <c r="C417" s="759"/>
      <c r="D417" s="759"/>
      <c r="E417" s="759"/>
      <c r="F417" s="759"/>
      <c r="G417" s="759"/>
      <c r="H417" s="759"/>
      <c r="I417" s="759"/>
    </row>
    <row r="418" spans="3:9" ht="15" customHeight="1">
      <c r="C418" s="759"/>
      <c r="D418" s="759"/>
      <c r="E418" s="759"/>
      <c r="F418" s="759"/>
      <c r="G418" s="759"/>
      <c r="H418" s="759"/>
      <c r="I418" s="759"/>
    </row>
    <row r="419" spans="3:9" ht="15" customHeight="1">
      <c r="C419" s="759"/>
      <c r="D419" s="759"/>
      <c r="E419" s="759"/>
      <c r="F419" s="759"/>
      <c r="G419" s="759"/>
      <c r="H419" s="759"/>
      <c r="I419" s="759"/>
    </row>
    <row r="420" spans="3:9" ht="15" customHeight="1">
      <c r="C420" s="759"/>
      <c r="D420" s="759"/>
      <c r="E420" s="759"/>
      <c r="F420" s="759"/>
      <c r="G420" s="759"/>
      <c r="H420" s="759"/>
      <c r="I420" s="759"/>
    </row>
    <row r="421" spans="3:9" ht="15" customHeight="1">
      <c r="C421" s="759"/>
      <c r="D421" s="759"/>
      <c r="E421" s="759"/>
      <c r="F421" s="759"/>
      <c r="G421" s="759"/>
      <c r="H421" s="759"/>
      <c r="I421" s="759"/>
    </row>
    <row r="422" spans="3:9" ht="15" customHeight="1">
      <c r="C422" s="759"/>
      <c r="D422" s="759"/>
      <c r="E422" s="759"/>
      <c r="F422" s="759"/>
      <c r="G422" s="759"/>
      <c r="H422" s="759"/>
      <c r="I422" s="759"/>
    </row>
    <row r="423" spans="3:9" ht="15" customHeight="1">
      <c r="C423" s="759"/>
      <c r="D423" s="759"/>
      <c r="E423" s="759"/>
      <c r="F423" s="759"/>
      <c r="G423" s="759"/>
      <c r="H423" s="759"/>
      <c r="I423" s="759"/>
    </row>
    <row r="424" spans="3:9" ht="15" customHeight="1">
      <c r="C424" s="759"/>
      <c r="D424" s="759"/>
      <c r="E424" s="759"/>
      <c r="F424" s="759"/>
      <c r="G424" s="759"/>
      <c r="H424" s="759"/>
      <c r="I424" s="759"/>
    </row>
    <row r="425" spans="3:9" ht="15" customHeight="1">
      <c r="C425" s="759"/>
      <c r="D425" s="759"/>
      <c r="E425" s="759"/>
      <c r="F425" s="759"/>
      <c r="G425" s="759"/>
      <c r="H425" s="759"/>
      <c r="I425" s="759"/>
    </row>
    <row r="426" spans="3:9" ht="15" customHeight="1">
      <c r="C426" s="759"/>
      <c r="D426" s="759"/>
      <c r="E426" s="759"/>
      <c r="F426" s="759"/>
      <c r="G426" s="759"/>
      <c r="H426" s="759"/>
      <c r="I426" s="759"/>
    </row>
    <row r="427" spans="3:9" ht="15" customHeight="1">
      <c r="C427" s="759"/>
      <c r="D427" s="759"/>
      <c r="E427" s="759"/>
      <c r="F427" s="759"/>
      <c r="G427" s="759"/>
      <c r="H427" s="759"/>
      <c r="I427" s="759"/>
    </row>
    <row r="428" spans="3:9" ht="15" customHeight="1">
      <c r="C428" s="759"/>
      <c r="D428" s="759"/>
      <c r="E428" s="759"/>
      <c r="F428" s="759"/>
      <c r="G428" s="759"/>
      <c r="H428" s="759"/>
      <c r="I428" s="759"/>
    </row>
    <row r="429" spans="3:9" ht="15" customHeight="1">
      <c r="C429" s="759"/>
      <c r="D429" s="759"/>
      <c r="E429" s="759"/>
      <c r="F429" s="759"/>
      <c r="G429" s="759"/>
      <c r="H429" s="759"/>
      <c r="I429" s="759"/>
    </row>
    <row r="430" spans="3:9" ht="15" customHeight="1">
      <c r="C430" s="759"/>
      <c r="D430" s="759"/>
      <c r="E430" s="759"/>
      <c r="F430" s="759"/>
      <c r="G430" s="759"/>
      <c r="H430" s="759"/>
      <c r="I430" s="759"/>
    </row>
    <row r="431" spans="3:9" ht="15" customHeight="1">
      <c r="C431" s="759"/>
      <c r="D431" s="759"/>
      <c r="E431" s="759"/>
      <c r="F431" s="759"/>
      <c r="G431" s="759"/>
      <c r="H431" s="759"/>
      <c r="I431" s="759"/>
    </row>
    <row r="432" spans="3:9" ht="15" customHeight="1">
      <c r="C432" s="759"/>
      <c r="D432" s="759"/>
      <c r="E432" s="759"/>
      <c r="F432" s="759"/>
      <c r="G432" s="759"/>
      <c r="H432" s="759"/>
      <c r="I432" s="759"/>
    </row>
    <row r="433" spans="3:9" ht="15" customHeight="1">
      <c r="C433" s="759"/>
      <c r="D433" s="759"/>
      <c r="E433" s="759"/>
      <c r="F433" s="759"/>
      <c r="G433" s="759"/>
      <c r="H433" s="759"/>
      <c r="I433" s="759"/>
    </row>
    <row r="434" spans="3:9" ht="15" customHeight="1">
      <c r="C434" s="759"/>
      <c r="D434" s="759"/>
      <c r="E434" s="759"/>
      <c r="F434" s="759"/>
      <c r="G434" s="759"/>
      <c r="H434" s="759"/>
      <c r="I434" s="759"/>
    </row>
    <row r="435" spans="3:9" ht="15" customHeight="1">
      <c r="C435" s="759"/>
      <c r="D435" s="759"/>
      <c r="E435" s="759"/>
      <c r="F435" s="759"/>
      <c r="G435" s="759"/>
      <c r="H435" s="759"/>
      <c r="I435" s="759"/>
    </row>
    <row r="436" spans="3:9" ht="15" customHeight="1">
      <c r="C436" s="759"/>
      <c r="D436" s="759"/>
      <c r="E436" s="759"/>
      <c r="F436" s="759"/>
      <c r="G436" s="759"/>
      <c r="H436" s="759"/>
      <c r="I436" s="759"/>
    </row>
    <row r="437" spans="3:9" ht="15" customHeight="1">
      <c r="C437" s="759"/>
      <c r="D437" s="759"/>
      <c r="E437" s="759"/>
      <c r="F437" s="759"/>
      <c r="G437" s="759"/>
      <c r="H437" s="759"/>
      <c r="I437" s="759"/>
    </row>
    <row r="438" spans="3:9" ht="15" customHeight="1">
      <c r="C438" s="759"/>
      <c r="D438" s="759"/>
      <c r="E438" s="759"/>
      <c r="F438" s="759"/>
      <c r="G438" s="759"/>
      <c r="H438" s="759"/>
      <c r="I438" s="759"/>
    </row>
    <row r="439" spans="3:9" ht="15" customHeight="1">
      <c r="C439" s="759"/>
      <c r="D439" s="759"/>
      <c r="E439" s="759"/>
      <c r="F439" s="759"/>
      <c r="G439" s="759"/>
      <c r="H439" s="759"/>
      <c r="I439" s="759"/>
    </row>
    <row r="440" spans="3:9" ht="15" customHeight="1">
      <c r="C440" s="759"/>
      <c r="D440" s="759"/>
      <c r="E440" s="759"/>
      <c r="F440" s="759"/>
      <c r="G440" s="759"/>
      <c r="H440" s="759"/>
      <c r="I440" s="759"/>
    </row>
    <row r="441" spans="3:9" ht="15" customHeight="1">
      <c r="C441" s="759"/>
      <c r="D441" s="759"/>
      <c r="E441" s="759"/>
      <c r="F441" s="759"/>
      <c r="G441" s="759"/>
      <c r="H441" s="759"/>
      <c r="I441" s="759"/>
    </row>
    <row r="442" spans="3:9" ht="15" customHeight="1">
      <c r="C442" s="759"/>
      <c r="D442" s="759"/>
      <c r="E442" s="759"/>
      <c r="F442" s="759"/>
      <c r="G442" s="759"/>
      <c r="H442" s="759"/>
      <c r="I442" s="759"/>
    </row>
    <row r="443" spans="3:9" ht="15" customHeight="1">
      <c r="C443" s="759"/>
      <c r="D443" s="759"/>
      <c r="E443" s="759"/>
      <c r="F443" s="759"/>
      <c r="G443" s="759"/>
      <c r="H443" s="759"/>
      <c r="I443" s="759"/>
    </row>
    <row r="444" spans="3:9" ht="15" customHeight="1">
      <c r="C444" s="759"/>
      <c r="D444" s="759"/>
      <c r="E444" s="759"/>
      <c r="F444" s="759"/>
      <c r="G444" s="759"/>
      <c r="H444" s="759"/>
      <c r="I444" s="759"/>
    </row>
    <row r="445" spans="3:9" ht="15" customHeight="1">
      <c r="C445" s="759"/>
      <c r="D445" s="759"/>
      <c r="E445" s="759"/>
      <c r="F445" s="759"/>
      <c r="G445" s="759"/>
      <c r="H445" s="759"/>
      <c r="I445" s="759"/>
    </row>
    <row r="446" spans="3:9" ht="15" customHeight="1">
      <c r="C446" s="759"/>
      <c r="D446" s="759"/>
      <c r="E446" s="759"/>
      <c r="F446" s="759"/>
      <c r="G446" s="759"/>
      <c r="H446" s="759"/>
      <c r="I446" s="759"/>
    </row>
    <row r="447" spans="3:9" ht="15" customHeight="1">
      <c r="C447" s="759"/>
      <c r="D447" s="759"/>
      <c r="E447" s="759"/>
      <c r="F447" s="759"/>
      <c r="G447" s="759"/>
      <c r="H447" s="759"/>
      <c r="I447" s="759"/>
    </row>
    <row r="448" spans="3:9" ht="15" customHeight="1">
      <c r="C448" s="759"/>
      <c r="D448" s="759"/>
      <c r="E448" s="759"/>
      <c r="F448" s="759"/>
      <c r="G448" s="759"/>
      <c r="H448" s="759"/>
      <c r="I448" s="759"/>
    </row>
    <row r="449" spans="3:9" ht="15" customHeight="1">
      <c r="C449" s="759"/>
      <c r="D449" s="759"/>
      <c r="E449" s="759"/>
      <c r="F449" s="759"/>
      <c r="G449" s="759"/>
      <c r="H449" s="759"/>
      <c r="I449" s="759"/>
    </row>
    <row r="450" spans="3:9" ht="15" customHeight="1">
      <c r="C450" s="759"/>
      <c r="D450" s="759"/>
      <c r="E450" s="759"/>
      <c r="F450" s="759"/>
      <c r="G450" s="759"/>
      <c r="H450" s="759"/>
      <c r="I450" s="759"/>
    </row>
    <row r="451" spans="3:9" ht="15" customHeight="1">
      <c r="C451" s="759"/>
      <c r="D451" s="759"/>
      <c r="E451" s="759"/>
      <c r="F451" s="759"/>
      <c r="G451" s="759"/>
      <c r="H451" s="759"/>
      <c r="I451" s="759"/>
    </row>
    <row r="452" spans="3:9" ht="15" customHeight="1">
      <c r="C452" s="759"/>
      <c r="D452" s="759"/>
      <c r="E452" s="759"/>
      <c r="F452" s="759"/>
      <c r="G452" s="759"/>
      <c r="H452" s="759"/>
      <c r="I452" s="759"/>
    </row>
    <row r="453" spans="3:9" ht="15" customHeight="1">
      <c r="C453" s="759"/>
      <c r="D453" s="759"/>
      <c r="E453" s="759"/>
      <c r="F453" s="759"/>
      <c r="G453" s="759"/>
      <c r="H453" s="759"/>
      <c r="I453" s="759"/>
    </row>
    <row r="454" spans="3:9" ht="15" customHeight="1">
      <c r="C454" s="759"/>
      <c r="D454" s="759"/>
      <c r="E454" s="759"/>
      <c r="F454" s="759"/>
      <c r="G454" s="759"/>
      <c r="H454" s="759"/>
      <c r="I454" s="759"/>
    </row>
    <row r="455" spans="3:9" ht="15" customHeight="1">
      <c r="C455" s="759"/>
      <c r="D455" s="759"/>
      <c r="E455" s="759"/>
      <c r="F455" s="759"/>
      <c r="G455" s="759"/>
      <c r="H455" s="759"/>
      <c r="I455" s="759"/>
    </row>
    <row r="456" spans="3:9" ht="15" customHeight="1">
      <c r="C456" s="759"/>
      <c r="D456" s="759"/>
      <c r="E456" s="759"/>
      <c r="F456" s="759"/>
      <c r="G456" s="759"/>
      <c r="H456" s="759"/>
      <c r="I456" s="759"/>
    </row>
    <row r="457" spans="3:9" ht="15" customHeight="1">
      <c r="C457" s="759"/>
      <c r="D457" s="759"/>
      <c r="E457" s="759"/>
      <c r="F457" s="759"/>
      <c r="G457" s="759"/>
      <c r="H457" s="759"/>
      <c r="I457" s="759"/>
    </row>
    <row r="458" spans="3:9" ht="15" customHeight="1">
      <c r="C458" s="759"/>
      <c r="D458" s="759"/>
      <c r="E458" s="759"/>
      <c r="F458" s="759"/>
      <c r="G458" s="759"/>
      <c r="H458" s="759"/>
      <c r="I458" s="759"/>
    </row>
    <row r="459" spans="3:9" ht="15" customHeight="1">
      <c r="C459" s="759"/>
      <c r="D459" s="759"/>
      <c r="E459" s="759"/>
      <c r="F459" s="759"/>
      <c r="G459" s="759"/>
      <c r="H459" s="759"/>
      <c r="I459" s="759"/>
    </row>
    <row r="460" spans="3:9" ht="15" customHeight="1">
      <c r="C460" s="759"/>
      <c r="D460" s="759"/>
      <c r="E460" s="759"/>
      <c r="F460" s="759"/>
      <c r="G460" s="759"/>
      <c r="H460" s="759"/>
      <c r="I460" s="759"/>
    </row>
    <row r="461" spans="3:9" ht="15" customHeight="1">
      <c r="C461" s="759"/>
      <c r="D461" s="759"/>
      <c r="E461" s="759"/>
      <c r="F461" s="759"/>
      <c r="G461" s="759"/>
      <c r="H461" s="759"/>
      <c r="I461" s="759"/>
    </row>
    <row r="462" spans="3:9" ht="15" customHeight="1">
      <c r="C462" s="759"/>
      <c r="D462" s="759"/>
      <c r="E462" s="759"/>
      <c r="F462" s="759"/>
      <c r="G462" s="759"/>
      <c r="H462" s="759"/>
      <c r="I462" s="759"/>
    </row>
    <row r="463" spans="3:9" ht="15" customHeight="1">
      <c r="C463" s="759"/>
      <c r="D463" s="759"/>
      <c r="E463" s="759"/>
      <c r="F463" s="759"/>
      <c r="G463" s="759"/>
      <c r="H463" s="759"/>
      <c r="I463" s="759"/>
    </row>
    <row r="464" spans="3:9" ht="15" customHeight="1">
      <c r="C464" s="759"/>
      <c r="D464" s="759"/>
      <c r="E464" s="759"/>
      <c r="F464" s="759"/>
      <c r="G464" s="759"/>
      <c r="H464" s="759"/>
      <c r="I464" s="759"/>
    </row>
    <row r="465" spans="3:9" ht="15" customHeight="1">
      <c r="C465" s="759"/>
      <c r="D465" s="759"/>
      <c r="E465" s="759"/>
      <c r="F465" s="759"/>
      <c r="G465" s="759"/>
      <c r="H465" s="759"/>
      <c r="I465" s="759"/>
    </row>
    <row r="466" spans="3:9" ht="15" customHeight="1">
      <c r="C466" s="759"/>
      <c r="D466" s="759"/>
      <c r="E466" s="759"/>
      <c r="F466" s="759"/>
      <c r="G466" s="759"/>
      <c r="H466" s="759"/>
      <c r="I466" s="759"/>
    </row>
    <row r="467" spans="3:9" ht="15" customHeight="1">
      <c r="C467" s="759"/>
      <c r="D467" s="759"/>
      <c r="E467" s="759"/>
      <c r="F467" s="759"/>
      <c r="G467" s="759"/>
      <c r="H467" s="759"/>
      <c r="I467" s="759"/>
    </row>
    <row r="468" spans="3:9" ht="15" customHeight="1">
      <c r="C468" s="759"/>
      <c r="D468" s="759"/>
      <c r="E468" s="759"/>
      <c r="F468" s="759"/>
      <c r="G468" s="759"/>
      <c r="H468" s="759"/>
      <c r="I468" s="759"/>
    </row>
    <row r="469" spans="3:9" ht="15" customHeight="1">
      <c r="C469" s="759"/>
      <c r="D469" s="759"/>
      <c r="E469" s="759"/>
      <c r="F469" s="759"/>
      <c r="G469" s="759"/>
      <c r="H469" s="759"/>
      <c r="I469" s="759"/>
    </row>
    <row r="470" spans="3:9" ht="15" customHeight="1">
      <c r="C470" s="759"/>
      <c r="D470" s="759"/>
      <c r="E470" s="759"/>
      <c r="F470" s="759"/>
      <c r="G470" s="759"/>
      <c r="H470" s="759"/>
      <c r="I470" s="759"/>
    </row>
    <row r="471" spans="3:9" ht="15" customHeight="1">
      <c r="C471" s="759"/>
      <c r="D471" s="759"/>
      <c r="E471" s="759"/>
      <c r="F471" s="759"/>
      <c r="G471" s="759"/>
      <c r="H471" s="759"/>
      <c r="I471" s="759"/>
    </row>
    <row r="472" spans="3:9" ht="15" customHeight="1">
      <c r="C472" s="759"/>
      <c r="D472" s="759"/>
      <c r="E472" s="759"/>
      <c r="F472" s="759"/>
      <c r="G472" s="759"/>
      <c r="H472" s="759"/>
      <c r="I472" s="759"/>
    </row>
    <row r="473" spans="3:9" ht="15" customHeight="1">
      <c r="C473" s="759"/>
      <c r="D473" s="759"/>
      <c r="E473" s="759"/>
      <c r="F473" s="759"/>
      <c r="G473" s="759"/>
      <c r="H473" s="759"/>
      <c r="I473" s="759"/>
    </row>
    <row r="474" spans="3:9" ht="15" customHeight="1">
      <c r="C474" s="759"/>
      <c r="D474" s="759"/>
      <c r="E474" s="759"/>
      <c r="F474" s="759"/>
      <c r="G474" s="759"/>
      <c r="H474" s="759"/>
      <c r="I474" s="759"/>
    </row>
    <row r="475" spans="3:9" ht="15" customHeight="1">
      <c r="C475" s="759"/>
      <c r="D475" s="759"/>
      <c r="E475" s="759"/>
      <c r="F475" s="759"/>
      <c r="G475" s="759"/>
      <c r="H475" s="759"/>
      <c r="I475" s="759"/>
    </row>
    <row r="476" spans="3:9" ht="15" customHeight="1">
      <c r="C476" s="759"/>
      <c r="D476" s="759"/>
      <c r="E476" s="759"/>
      <c r="F476" s="759"/>
      <c r="G476" s="759"/>
      <c r="H476" s="759"/>
      <c r="I476" s="759"/>
    </row>
    <row r="477" spans="3:9" ht="15" customHeight="1">
      <c r="C477" s="759"/>
      <c r="D477" s="759"/>
      <c r="E477" s="759"/>
      <c r="F477" s="759"/>
      <c r="G477" s="759"/>
      <c r="H477" s="759"/>
      <c r="I477" s="759"/>
    </row>
    <row r="478" spans="3:9" ht="15" customHeight="1">
      <c r="C478" s="759"/>
      <c r="D478" s="759"/>
      <c r="E478" s="759"/>
      <c r="F478" s="759"/>
      <c r="G478" s="759"/>
      <c r="H478" s="759"/>
      <c r="I478" s="759"/>
    </row>
    <row r="479" spans="3:9" ht="15" customHeight="1">
      <c r="C479" s="759"/>
      <c r="D479" s="759"/>
      <c r="E479" s="759"/>
      <c r="F479" s="759"/>
      <c r="G479" s="759"/>
      <c r="H479" s="759"/>
      <c r="I479" s="759"/>
    </row>
    <row r="480" spans="3:9" ht="15" customHeight="1">
      <c r="C480" s="759"/>
      <c r="D480" s="759"/>
      <c r="E480" s="759"/>
      <c r="F480" s="759"/>
      <c r="G480" s="759"/>
      <c r="H480" s="759"/>
      <c r="I480" s="759"/>
    </row>
    <row r="481" spans="3:9" ht="15" customHeight="1">
      <c r="C481" s="759"/>
      <c r="D481" s="759"/>
      <c r="E481" s="759"/>
      <c r="F481" s="759"/>
      <c r="G481" s="759"/>
      <c r="H481" s="759"/>
      <c r="I481" s="759"/>
    </row>
    <row r="482" spans="3:9" ht="15" customHeight="1">
      <c r="C482" s="759"/>
      <c r="D482" s="759"/>
      <c r="E482" s="759"/>
      <c r="F482" s="759"/>
      <c r="G482" s="759"/>
      <c r="H482" s="759"/>
      <c r="I482" s="759"/>
    </row>
    <row r="483" spans="3:9" ht="15" customHeight="1">
      <c r="C483" s="759"/>
      <c r="D483" s="759"/>
      <c r="E483" s="759"/>
      <c r="F483" s="759"/>
      <c r="G483" s="759"/>
      <c r="H483" s="759"/>
      <c r="I483" s="759"/>
    </row>
    <row r="484" spans="3:9" ht="15" customHeight="1">
      <c r="C484" s="759"/>
      <c r="D484" s="759"/>
      <c r="E484" s="759"/>
      <c r="F484" s="759"/>
      <c r="G484" s="759"/>
      <c r="H484" s="759"/>
      <c r="I484" s="759"/>
    </row>
    <row r="485" spans="3:9">
      <c r="C485" s="759"/>
      <c r="D485" s="759"/>
      <c r="E485" s="759"/>
      <c r="F485" s="759"/>
      <c r="G485" s="759"/>
      <c r="H485" s="759"/>
      <c r="I485" s="759"/>
    </row>
    <row r="486" spans="3:9">
      <c r="C486" s="759"/>
      <c r="D486" s="759"/>
      <c r="E486" s="759"/>
      <c r="F486" s="759"/>
      <c r="G486" s="759"/>
      <c r="H486" s="759"/>
      <c r="I486" s="759"/>
    </row>
    <row r="487" spans="3:9">
      <c r="C487" s="759"/>
      <c r="D487" s="759"/>
      <c r="E487" s="759"/>
      <c r="F487" s="759"/>
      <c r="G487" s="759"/>
      <c r="H487" s="759"/>
      <c r="I487" s="759"/>
    </row>
    <row r="488" spans="3:9">
      <c r="C488" s="759"/>
      <c r="D488" s="759"/>
      <c r="E488" s="759"/>
      <c r="F488" s="759"/>
      <c r="G488" s="759"/>
      <c r="H488" s="759"/>
      <c r="I488" s="759"/>
    </row>
    <row r="489" spans="3:9">
      <c r="C489" s="759"/>
      <c r="D489" s="759"/>
      <c r="E489" s="759"/>
      <c r="F489" s="759"/>
      <c r="G489" s="759"/>
      <c r="H489" s="759"/>
      <c r="I489" s="759"/>
    </row>
    <row r="490" spans="3:9">
      <c r="C490" s="759"/>
      <c r="D490" s="759"/>
      <c r="E490" s="759"/>
      <c r="F490" s="759"/>
      <c r="G490" s="759"/>
      <c r="H490" s="759"/>
      <c r="I490" s="759"/>
    </row>
    <row r="491" spans="3:9">
      <c r="C491" s="759"/>
      <c r="D491" s="759"/>
      <c r="E491" s="759"/>
      <c r="F491" s="759"/>
      <c r="G491" s="759"/>
      <c r="H491" s="759"/>
      <c r="I491" s="759"/>
    </row>
    <row r="492" spans="3:9">
      <c r="C492" s="759"/>
      <c r="D492" s="759"/>
      <c r="E492" s="759"/>
      <c r="F492" s="759"/>
      <c r="G492" s="759"/>
      <c r="H492" s="759"/>
      <c r="I492" s="759"/>
    </row>
    <row r="493" spans="3:9">
      <c r="C493" s="759"/>
      <c r="D493" s="759"/>
      <c r="E493" s="759"/>
      <c r="F493" s="759"/>
      <c r="G493" s="759"/>
      <c r="H493" s="759"/>
      <c r="I493" s="759"/>
    </row>
    <row r="494" spans="3:9">
      <c r="C494" s="759"/>
      <c r="D494" s="759"/>
      <c r="E494" s="759"/>
      <c r="F494" s="759"/>
      <c r="G494" s="759"/>
      <c r="H494" s="759"/>
      <c r="I494" s="759"/>
    </row>
    <row r="495" spans="3:9">
      <c r="C495" s="759"/>
      <c r="D495" s="759"/>
      <c r="E495" s="759"/>
      <c r="F495" s="759"/>
      <c r="G495" s="759"/>
      <c r="H495" s="759"/>
      <c r="I495" s="759"/>
    </row>
    <row r="496" spans="3:9">
      <c r="C496" s="759"/>
      <c r="D496" s="759"/>
      <c r="E496" s="759"/>
      <c r="F496" s="759"/>
      <c r="G496" s="759"/>
      <c r="H496" s="759"/>
      <c r="I496" s="759"/>
    </row>
    <row r="497" spans="3:9">
      <c r="C497" s="759"/>
      <c r="D497" s="759"/>
      <c r="E497" s="759"/>
      <c r="F497" s="759"/>
      <c r="G497" s="759"/>
      <c r="H497" s="759"/>
      <c r="I497" s="759"/>
    </row>
    <row r="498" spans="3:9">
      <c r="C498" s="759"/>
      <c r="D498" s="759"/>
      <c r="E498" s="759"/>
      <c r="F498" s="759"/>
      <c r="G498" s="759"/>
      <c r="H498" s="759"/>
      <c r="I498" s="759"/>
    </row>
    <row r="499" spans="3:9">
      <c r="C499" s="759"/>
      <c r="D499" s="759"/>
      <c r="E499" s="759"/>
      <c r="F499" s="759"/>
      <c r="G499" s="759"/>
      <c r="H499" s="759"/>
      <c r="I499" s="759"/>
    </row>
    <row r="500" spans="3:9">
      <c r="C500" s="759"/>
      <c r="D500" s="759"/>
      <c r="E500" s="759"/>
      <c r="F500" s="759"/>
      <c r="G500" s="759"/>
      <c r="H500" s="759"/>
      <c r="I500" s="759"/>
    </row>
    <row r="501" spans="3:9">
      <c r="C501" s="759"/>
      <c r="D501" s="759"/>
      <c r="E501" s="759"/>
      <c r="F501" s="759"/>
      <c r="G501" s="759"/>
      <c r="H501" s="759"/>
      <c r="I501" s="759"/>
    </row>
    <row r="502" spans="3:9">
      <c r="C502" s="759"/>
      <c r="D502" s="759"/>
      <c r="E502" s="759"/>
      <c r="F502" s="759"/>
      <c r="G502" s="759"/>
      <c r="H502" s="759"/>
      <c r="I502" s="759"/>
    </row>
    <row r="503" spans="3:9">
      <c r="C503" s="759"/>
      <c r="D503" s="759"/>
      <c r="E503" s="759"/>
      <c r="F503" s="759"/>
      <c r="G503" s="759"/>
      <c r="H503" s="759"/>
      <c r="I503" s="759"/>
    </row>
    <row r="504" spans="3:9">
      <c r="C504" s="759"/>
      <c r="D504" s="759"/>
      <c r="E504" s="759"/>
      <c r="F504" s="759"/>
      <c r="G504" s="759"/>
      <c r="H504" s="759"/>
      <c r="I504" s="759"/>
    </row>
    <row r="505" spans="3:9">
      <c r="C505" s="759"/>
      <c r="D505" s="759"/>
      <c r="E505" s="759"/>
      <c r="F505" s="759"/>
      <c r="G505" s="759"/>
      <c r="H505" s="759"/>
      <c r="I505" s="759"/>
    </row>
    <row r="506" spans="3:9">
      <c r="C506" s="759"/>
      <c r="D506" s="759"/>
      <c r="E506" s="759"/>
      <c r="F506" s="759"/>
      <c r="G506" s="759"/>
      <c r="H506" s="759"/>
      <c r="I506" s="759"/>
    </row>
    <row r="507" spans="3:9">
      <c r="C507" s="759"/>
      <c r="D507" s="759"/>
      <c r="E507" s="759"/>
      <c r="F507" s="759"/>
      <c r="G507" s="759"/>
      <c r="H507" s="759"/>
      <c r="I507" s="759"/>
    </row>
    <row r="508" spans="3:9">
      <c r="C508" s="759"/>
      <c r="D508" s="759"/>
      <c r="E508" s="759"/>
      <c r="F508" s="759"/>
      <c r="G508" s="759"/>
      <c r="H508" s="759"/>
      <c r="I508" s="759"/>
    </row>
    <row r="509" spans="3:9">
      <c r="C509" s="759"/>
      <c r="D509" s="759"/>
      <c r="E509" s="759"/>
      <c r="F509" s="759"/>
      <c r="G509" s="759"/>
      <c r="H509" s="759"/>
      <c r="I509" s="759"/>
    </row>
    <row r="510" spans="3:9">
      <c r="C510" s="759"/>
      <c r="D510" s="759"/>
      <c r="E510" s="759"/>
      <c r="F510" s="759"/>
      <c r="G510" s="759"/>
      <c r="H510" s="759"/>
      <c r="I510" s="759"/>
    </row>
    <row r="511" spans="3:9">
      <c r="C511" s="759"/>
      <c r="D511" s="759"/>
      <c r="E511" s="759"/>
      <c r="F511" s="759"/>
      <c r="G511" s="759"/>
      <c r="H511" s="759"/>
      <c r="I511" s="759"/>
    </row>
    <row r="512" spans="3:9">
      <c r="C512" s="759"/>
      <c r="D512" s="759"/>
      <c r="E512" s="759"/>
      <c r="F512" s="759"/>
      <c r="G512" s="759"/>
      <c r="H512" s="759"/>
      <c r="I512" s="759"/>
    </row>
    <row r="513" spans="3:9">
      <c r="C513" s="759"/>
      <c r="D513" s="759"/>
      <c r="E513" s="759"/>
      <c r="F513" s="759"/>
      <c r="G513" s="759"/>
      <c r="H513" s="759"/>
      <c r="I513" s="759"/>
    </row>
    <row r="514" spans="3:9">
      <c r="C514" s="759"/>
      <c r="D514" s="759"/>
      <c r="E514" s="759"/>
      <c r="F514" s="759"/>
      <c r="G514" s="759"/>
      <c r="H514" s="759"/>
      <c r="I514" s="759"/>
    </row>
    <row r="515" spans="3:9">
      <c r="C515" s="759"/>
      <c r="D515" s="759"/>
      <c r="E515" s="759"/>
      <c r="F515" s="759"/>
      <c r="G515" s="759"/>
      <c r="H515" s="759"/>
      <c r="I515" s="759"/>
    </row>
    <row r="516" spans="3:9">
      <c r="C516" s="759"/>
      <c r="D516" s="759"/>
      <c r="E516" s="759"/>
      <c r="F516" s="759"/>
      <c r="G516" s="759"/>
      <c r="H516" s="759"/>
      <c r="I516" s="759"/>
    </row>
  </sheetData>
  <mergeCells count="7">
    <mergeCell ref="D1:I3"/>
    <mergeCell ref="B7:C7"/>
    <mergeCell ref="B5:D5"/>
    <mergeCell ref="E5:H5"/>
    <mergeCell ref="I5:I6"/>
    <mergeCell ref="B4:D4"/>
    <mergeCell ref="E4:I4"/>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5" orientation="portrait" r:id="rId1"/>
  <headerFooter>
    <oddFooter>&amp;L&amp;"Calibri,Regular"&amp;K184782&amp;F&amp;C&amp;"Calibri,Regular"&amp;K184782&amp;A&amp;R&amp;"Calibri,Regular"&amp;K184782&amp;P</oddFooter>
  </headerFooter>
  <rowBreaks count="1" manualBreakCount="1">
    <brk id="323" min="1" max="8"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30">
    <pageSetUpPr fitToPage="1"/>
  </sheetPr>
  <dimension ref="A1:H129"/>
  <sheetViews>
    <sheetView showGridLines="0" zoomScaleNormal="100" workbookViewId="0">
      <pane ySplit="2595" topLeftCell="A117" activePane="bottomLeft"/>
      <selection activeCell="H107" sqref="H7:H107"/>
      <selection pane="bottomLeft" activeCell="H129" sqref="H129"/>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601" t="s">
        <v>370</v>
      </c>
      <c r="B4" s="1442"/>
      <c r="C4" s="1602"/>
      <c r="D4" s="1432" t="s">
        <v>382</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771" t="s">
        <v>341</v>
      </c>
      <c r="B6" s="772" t="s">
        <v>76</v>
      </c>
      <c r="C6" s="772" t="s">
        <v>68</v>
      </c>
      <c r="D6" s="772" t="s">
        <v>342</v>
      </c>
      <c r="E6" s="772" t="s">
        <v>343</v>
      </c>
      <c r="F6" s="772" t="s">
        <v>344</v>
      </c>
      <c r="G6" s="772" t="s">
        <v>345</v>
      </c>
      <c r="H6" s="1428"/>
    </row>
    <row r="7" spans="1:8" ht="15.75" customHeight="1" thickBot="1">
      <c r="A7" s="1419" t="s">
        <v>347</v>
      </c>
      <c r="B7" s="1420"/>
      <c r="C7" s="952"/>
      <c r="D7" s="952"/>
      <c r="E7" s="952"/>
      <c r="F7" s="952"/>
      <c r="G7" s="952"/>
      <c r="H7" s="953" t="s">
        <v>361</v>
      </c>
    </row>
    <row r="8" spans="1:8" ht="16.5" hidden="1" customHeight="1" thickBot="1">
      <c r="A8" s="972" t="s">
        <v>479</v>
      </c>
      <c r="B8" s="992">
        <f>[121]Setembro!$J$28</f>
        <v>942.25600000000009</v>
      </c>
      <c r="C8" s="992">
        <v>100</v>
      </c>
      <c r="D8" s="994"/>
      <c r="E8" s="994"/>
      <c r="F8" s="995"/>
      <c r="G8" s="996"/>
      <c r="H8" s="993">
        <f>$B$128/B8</f>
        <v>1.1538647671121225</v>
      </c>
    </row>
    <row r="9" spans="1:8" ht="16.5" hidden="1" customHeight="1" thickBot="1">
      <c r="A9" s="973" t="s">
        <v>480</v>
      </c>
      <c r="B9" s="857">
        <f>[121]Outubro!$J$28</f>
        <v>1026.0360000000001</v>
      </c>
      <c r="C9" s="857">
        <f t="shared" ref="C9:C48" si="0">100*B9/$B$8</f>
        <v>108.89142653376577</v>
      </c>
      <c r="D9" s="858">
        <f t="shared" ref="D9:D48" si="1">100*((B9/B8)-1)</f>
        <v>8.8914265337657561</v>
      </c>
      <c r="E9" s="858">
        <f>100*((B9/$B$8)-1)</f>
        <v>8.8914265337657561</v>
      </c>
      <c r="F9" s="859"/>
      <c r="G9" s="860"/>
      <c r="H9" s="861">
        <f>$B$128/B9</f>
        <v>1.0596470299287746</v>
      </c>
    </row>
    <row r="10" spans="1:8" ht="16.5" hidden="1" customHeight="1" thickBot="1">
      <c r="A10" s="973" t="s">
        <v>481</v>
      </c>
      <c r="B10" s="857">
        <f>[121]Novembro!$J$28</f>
        <v>938.476</v>
      </c>
      <c r="C10" s="857">
        <f t="shared" si="0"/>
        <v>99.598835136098899</v>
      </c>
      <c r="D10" s="858">
        <f t="shared" si="1"/>
        <v>-8.533813628371723</v>
      </c>
      <c r="E10" s="858">
        <f>100*((B10/$B$8)-1)</f>
        <v>-0.40116486390111561</v>
      </c>
      <c r="F10" s="859"/>
      <c r="G10" s="860"/>
      <c r="H10" s="861">
        <f>$B$128/B10</f>
        <v>1.158512311449627</v>
      </c>
    </row>
    <row r="11" spans="1:8" ht="16.5" hidden="1" customHeight="1" thickBot="1">
      <c r="A11" s="1015" t="s">
        <v>482</v>
      </c>
      <c r="B11" s="918">
        <f>[121]Dezembro!$J$30</f>
        <v>813.24399999999991</v>
      </c>
      <c r="C11" s="918">
        <f t="shared" si="0"/>
        <v>86.308179518092729</v>
      </c>
      <c r="D11" s="919">
        <f t="shared" si="1"/>
        <v>-13.344187810876363</v>
      </c>
      <c r="E11" s="919">
        <f>100*((B11/$B$8)-1)</f>
        <v>-13.691820481907268</v>
      </c>
      <c r="F11" s="920"/>
      <c r="G11" s="921"/>
      <c r="H11" s="926">
        <f>$B$128/B11</f>
        <v>1.3369124149701692</v>
      </c>
    </row>
    <row r="12" spans="1:8" ht="16.5" customHeight="1">
      <c r="A12" s="1013" t="s">
        <v>483</v>
      </c>
      <c r="B12" s="852">
        <f>[122]Janeiro!$J$30</f>
        <v>825.11399999999992</v>
      </c>
      <c r="C12" s="852">
        <f t="shared" si="0"/>
        <v>87.567922093358902</v>
      </c>
      <c r="D12" s="853">
        <f t="shared" si="1"/>
        <v>1.4595865447516454</v>
      </c>
      <c r="E12" s="853">
        <f>100*((B12/$B$11)-1)</f>
        <v>1.4595865447516454</v>
      </c>
      <c r="F12" s="854"/>
      <c r="G12" s="855"/>
      <c r="H12" s="856">
        <f>$B$128/B12</f>
        <v>1.3176797387997297</v>
      </c>
    </row>
    <row r="13" spans="1:8" ht="16.5" customHeight="1">
      <c r="A13" s="1014" t="s">
        <v>484</v>
      </c>
      <c r="B13" s="857">
        <f>[122]Fevereiro!$J$30</f>
        <v>824.7120000000001</v>
      </c>
      <c r="C13" s="857">
        <f t="shared" si="0"/>
        <v>87.525258528467859</v>
      </c>
      <c r="D13" s="858">
        <f t="shared" si="1"/>
        <v>-4.8720540434388226E-2</v>
      </c>
      <c r="E13" s="858">
        <f t="shared" ref="E13:E23" si="2">100*((B13/$B$11)-1)</f>
        <v>1.4101548858645341</v>
      </c>
      <c r="F13" s="859"/>
      <c r="G13" s="860"/>
      <c r="H13" s="861">
        <f>$B$128/B13</f>
        <v>1.3183220324185898</v>
      </c>
    </row>
    <row r="14" spans="1:8" ht="16.5" customHeight="1">
      <c r="A14" s="1014" t="s">
        <v>485</v>
      </c>
      <c r="B14" s="857">
        <f>[122]Março!$J$30</f>
        <v>852.31200000000013</v>
      </c>
      <c r="C14" s="857">
        <f t="shared" si="0"/>
        <v>90.454398804571156</v>
      </c>
      <c r="D14" s="858">
        <f t="shared" si="1"/>
        <v>3.3466228210575322</v>
      </c>
      <c r="E14" s="858">
        <f t="shared" si="2"/>
        <v>4.8039702721446753</v>
      </c>
      <c r="F14" s="859"/>
      <c r="G14" s="860"/>
      <c r="H14" s="861">
        <f t="shared" ref="H14:H77" si="3">$B$128/B14</f>
        <v>1.2756314589023736</v>
      </c>
    </row>
    <row r="15" spans="1:8" ht="16.5" customHeight="1">
      <c r="A15" s="1014" t="s">
        <v>486</v>
      </c>
      <c r="B15" s="857">
        <f>[122]Abril!$J$30</f>
        <v>862.31200000000013</v>
      </c>
      <c r="C15" s="857">
        <f t="shared" si="0"/>
        <v>91.515681513304244</v>
      </c>
      <c r="D15" s="858">
        <f t="shared" si="1"/>
        <v>1.1732792686246274</v>
      </c>
      <c r="E15" s="858">
        <f t="shared" si="2"/>
        <v>6.0336135280432801</v>
      </c>
      <c r="F15" s="859"/>
      <c r="G15" s="860"/>
      <c r="H15" s="861">
        <f t="shared" si="3"/>
        <v>1.2608383044652052</v>
      </c>
    </row>
    <row r="16" spans="1:8" ht="16.5" customHeight="1">
      <c r="A16" s="1014" t="s">
        <v>487</v>
      </c>
      <c r="B16" s="857">
        <f>[122]Maio!$J$30</f>
        <v>882.27800000000002</v>
      </c>
      <c r="C16" s="857">
        <f t="shared" si="0"/>
        <v>93.634638569560707</v>
      </c>
      <c r="D16" s="858">
        <f t="shared" si="1"/>
        <v>2.3154032415181325</v>
      </c>
      <c r="E16" s="858">
        <f t="shared" si="2"/>
        <v>8.4887192527703945</v>
      </c>
      <c r="F16" s="859"/>
      <c r="G16" s="860"/>
      <c r="H16" s="861">
        <f t="shared" si="3"/>
        <v>1.2323054638107265</v>
      </c>
    </row>
    <row r="17" spans="1:8" ht="16.5" customHeight="1">
      <c r="A17" s="1014" t="s">
        <v>488</v>
      </c>
      <c r="B17" s="857">
        <f>[122]Junho!$J$30</f>
        <v>860.25800000000004</v>
      </c>
      <c r="C17" s="857">
        <f t="shared" si="0"/>
        <v>91.297694044930466</v>
      </c>
      <c r="D17" s="858">
        <f t="shared" si="1"/>
        <v>-2.4958119776306353</v>
      </c>
      <c r="E17" s="858">
        <f t="shared" si="2"/>
        <v>5.7810448032816986</v>
      </c>
      <c r="F17" s="859"/>
      <c r="G17" s="860"/>
      <c r="H17" s="861">
        <f t="shared" si="3"/>
        <v>1.2638487523510389</v>
      </c>
    </row>
    <row r="18" spans="1:8" ht="16.5" customHeight="1">
      <c r="A18" s="1014" t="s">
        <v>489</v>
      </c>
      <c r="B18" s="857">
        <f>[122]Julho!$J$30</f>
        <v>853.41800000000001</v>
      </c>
      <c r="C18" s="857">
        <f t="shared" si="0"/>
        <v>90.571776672157029</v>
      </c>
      <c r="D18" s="858">
        <f t="shared" si="1"/>
        <v>-0.79511030411807404</v>
      </c>
      <c r="E18" s="858">
        <f t="shared" si="2"/>
        <v>4.9399688162470312</v>
      </c>
      <c r="F18" s="859"/>
      <c r="G18" s="860"/>
      <c r="H18" s="861">
        <f t="shared" si="3"/>
        <v>1.2739782849670385</v>
      </c>
    </row>
    <row r="19" spans="1:8" ht="16.5" customHeight="1">
      <c r="A19" s="1014" t="s">
        <v>490</v>
      </c>
      <c r="B19" s="857">
        <f>[122]Agosto!$J$30</f>
        <v>848.09600000000012</v>
      </c>
      <c r="C19" s="857">
        <f t="shared" si="0"/>
        <v>90.006962014569282</v>
      </c>
      <c r="D19" s="858">
        <f t="shared" si="1"/>
        <v>-0.62361000119518506</v>
      </c>
      <c r="E19" s="858">
        <f t="shared" si="2"/>
        <v>4.2855526754578266</v>
      </c>
      <c r="F19" s="859"/>
      <c r="G19" s="860"/>
      <c r="H19" s="861">
        <f t="shared" si="3"/>
        <v>1.2819727955325813</v>
      </c>
    </row>
    <row r="20" spans="1:8" ht="16.5" customHeight="1">
      <c r="A20" s="1014" t="s">
        <v>491</v>
      </c>
      <c r="B20" s="857">
        <f>[122]Setembro!$J$30</f>
        <v>848.09600000000012</v>
      </c>
      <c r="C20" s="857">
        <f t="shared" si="0"/>
        <v>90.006962014569282</v>
      </c>
      <c r="D20" s="858">
        <f t="shared" si="1"/>
        <v>0</v>
      </c>
      <c r="E20" s="858">
        <f t="shared" si="2"/>
        <v>4.2855526754578266</v>
      </c>
      <c r="F20" s="859">
        <f t="shared" ref="F20:F48" si="4">100*((B20/B8)-1)</f>
        <v>-9.9930379854307088</v>
      </c>
      <c r="G20" s="860"/>
      <c r="H20" s="861">
        <f t="shared" si="3"/>
        <v>1.2819727955325813</v>
      </c>
    </row>
    <row r="21" spans="1:8" ht="16.5" customHeight="1">
      <c r="A21" s="1014" t="s">
        <v>492</v>
      </c>
      <c r="B21" s="857">
        <f>[122]Outubro!$J$30</f>
        <v>842.87599999999998</v>
      </c>
      <c r="C21" s="857">
        <f t="shared" si="0"/>
        <v>89.452972440610608</v>
      </c>
      <c r="D21" s="858">
        <f t="shared" si="1"/>
        <v>-0.61549635890277843</v>
      </c>
      <c r="E21" s="858">
        <f t="shared" si="2"/>
        <v>3.6436788958787325</v>
      </c>
      <c r="F21" s="859">
        <f t="shared" si="4"/>
        <v>-17.851225493062628</v>
      </c>
      <c r="G21" s="860"/>
      <c r="H21" s="861">
        <f t="shared" si="3"/>
        <v>1.2899121578974846</v>
      </c>
    </row>
    <row r="22" spans="1:8" ht="16.5" customHeight="1">
      <c r="A22" s="1014" t="s">
        <v>493</v>
      </c>
      <c r="B22" s="857">
        <f>[122]Novembro!$J$30</f>
        <v>814.87599999999998</v>
      </c>
      <c r="C22" s="857">
        <f t="shared" si="0"/>
        <v>86.481380856157969</v>
      </c>
      <c r="D22" s="858">
        <f t="shared" si="1"/>
        <v>-3.3219595764976129</v>
      </c>
      <c r="E22" s="858">
        <f t="shared" si="2"/>
        <v>0.20067777936265685</v>
      </c>
      <c r="F22" s="859">
        <f t="shared" si="4"/>
        <v>-13.170288851286561</v>
      </c>
      <c r="G22" s="860"/>
      <c r="H22" s="861">
        <f t="shared" si="3"/>
        <v>1.3342349019973592</v>
      </c>
    </row>
    <row r="23" spans="1:8" ht="16.5" customHeight="1">
      <c r="A23" s="1014" t="s">
        <v>494</v>
      </c>
      <c r="B23" s="857">
        <f>[122]Dezembro!$J$30</f>
        <v>818.70399999999995</v>
      </c>
      <c r="C23" s="857">
        <f t="shared" si="0"/>
        <v>86.887639877060991</v>
      </c>
      <c r="D23" s="858">
        <f t="shared" si="1"/>
        <v>0.46976472493973631</v>
      </c>
      <c r="E23" s="858">
        <f t="shared" si="2"/>
        <v>0.67138521772063253</v>
      </c>
      <c r="F23" s="859">
        <f t="shared" si="4"/>
        <v>0.67138521772063253</v>
      </c>
      <c r="G23" s="860"/>
      <c r="H23" s="861">
        <f t="shared" si="3"/>
        <v>1.3279964431589442</v>
      </c>
    </row>
    <row r="24" spans="1:8" ht="16.5" customHeight="1">
      <c r="A24" s="1014" t="s">
        <v>495</v>
      </c>
      <c r="B24" s="857">
        <f>[116]Janeiro!$J$30</f>
        <v>818.70399999999995</v>
      </c>
      <c r="C24" s="857">
        <f t="shared" si="0"/>
        <v>86.887639877060991</v>
      </c>
      <c r="D24" s="858">
        <f t="shared" si="1"/>
        <v>0</v>
      </c>
      <c r="E24" s="858">
        <f>100*((B24/$B$23)-1)</f>
        <v>0</v>
      </c>
      <c r="F24" s="859">
        <f t="shared" si="4"/>
        <v>-0.77686234871786608</v>
      </c>
      <c r="G24" s="860"/>
      <c r="H24" s="861">
        <f t="shared" si="3"/>
        <v>1.3279964431589442</v>
      </c>
    </row>
    <row r="25" spans="1:8" ht="16.5" customHeight="1">
      <c r="A25" s="1014" t="s">
        <v>496</v>
      </c>
      <c r="B25" s="857">
        <f>[116]Fevereiro!$J$30</f>
        <v>811.25599999999997</v>
      </c>
      <c r="C25" s="857">
        <f t="shared" si="0"/>
        <v>86.097196515596593</v>
      </c>
      <c r="D25" s="858">
        <f t="shared" si="1"/>
        <v>-0.90973050088920537</v>
      </c>
      <c r="E25" s="858">
        <f t="shared" ref="E25:E35" si="5">100*((B25/$B$23)-1)</f>
        <v>-0.90973050088920537</v>
      </c>
      <c r="F25" s="859">
        <f t="shared" si="4"/>
        <v>-1.6315998797156062</v>
      </c>
      <c r="G25" s="860"/>
      <c r="H25" s="861">
        <f t="shared" si="3"/>
        <v>1.3401885471417163</v>
      </c>
    </row>
    <row r="26" spans="1:8" ht="16.5" customHeight="1">
      <c r="A26" s="1014" t="s">
        <v>497</v>
      </c>
      <c r="B26" s="857">
        <f>[116]Março!$J$30</f>
        <v>833.19400000000007</v>
      </c>
      <c r="C26" s="857">
        <f t="shared" si="0"/>
        <v>88.425438522015256</v>
      </c>
      <c r="D26" s="858">
        <f t="shared" si="1"/>
        <v>2.7042018795546685</v>
      </c>
      <c r="E26" s="858">
        <f t="shared" si="5"/>
        <v>1.7698704293615419</v>
      </c>
      <c r="F26" s="859">
        <f t="shared" si="4"/>
        <v>-2.2430753057565811</v>
      </c>
      <c r="G26" s="860"/>
      <c r="H26" s="861">
        <f t="shared" si="3"/>
        <v>1.3049013795106541</v>
      </c>
    </row>
    <row r="27" spans="1:8" ht="16.5" customHeight="1">
      <c r="A27" s="1014" t="s">
        <v>498</v>
      </c>
      <c r="B27" s="857">
        <f>[116]Abril!$J$30</f>
        <v>833.19400000000007</v>
      </c>
      <c r="C27" s="857">
        <f t="shared" si="0"/>
        <v>88.425438522015256</v>
      </c>
      <c r="D27" s="858">
        <f t="shared" si="1"/>
        <v>0</v>
      </c>
      <c r="E27" s="858">
        <f t="shared" si="5"/>
        <v>1.7698704293615419</v>
      </c>
      <c r="F27" s="859">
        <f t="shared" si="4"/>
        <v>-3.3767360305782645</v>
      </c>
      <c r="G27" s="860"/>
      <c r="H27" s="861">
        <f t="shared" si="3"/>
        <v>1.3049013795106541</v>
      </c>
    </row>
    <row r="28" spans="1:8" ht="16.5" customHeight="1">
      <c r="A28" s="1014" t="s">
        <v>499</v>
      </c>
      <c r="B28" s="857">
        <f>[116]Maio!$J$30</f>
        <v>833.19400000000007</v>
      </c>
      <c r="C28" s="857">
        <f t="shared" si="0"/>
        <v>88.425438522015256</v>
      </c>
      <c r="D28" s="858">
        <f t="shared" si="1"/>
        <v>0</v>
      </c>
      <c r="E28" s="858">
        <f t="shared" si="5"/>
        <v>1.7698704293615419</v>
      </c>
      <c r="F28" s="859">
        <f t="shared" si="4"/>
        <v>-5.563325845141776</v>
      </c>
      <c r="G28" s="860"/>
      <c r="H28" s="861">
        <f t="shared" si="3"/>
        <v>1.3049013795106541</v>
      </c>
    </row>
    <row r="29" spans="1:8" ht="16.5" customHeight="1">
      <c r="A29" s="1014" t="s">
        <v>500</v>
      </c>
      <c r="B29" s="857">
        <f>[116]Junho!$J$30</f>
        <v>840.40599999999995</v>
      </c>
      <c r="C29" s="857">
        <f t="shared" si="0"/>
        <v>89.190835611553524</v>
      </c>
      <c r="D29" s="858">
        <f t="shared" si="1"/>
        <v>0.865584725766122</v>
      </c>
      <c r="E29" s="858">
        <f t="shared" si="5"/>
        <v>2.6507748832300893</v>
      </c>
      <c r="F29" s="859">
        <f t="shared" si="4"/>
        <v>-2.3076797890865364</v>
      </c>
      <c r="G29" s="860"/>
      <c r="H29" s="861">
        <f t="shared" si="3"/>
        <v>1.2937032815091756</v>
      </c>
    </row>
    <row r="30" spans="1:8" ht="16.5" customHeight="1">
      <c r="A30" s="1014" t="s">
        <v>501</v>
      </c>
      <c r="B30" s="857">
        <f>[116]Julho!$J$30</f>
        <v>841.62666666666655</v>
      </c>
      <c r="C30" s="857">
        <f t="shared" si="0"/>
        <v>89.320382854199551</v>
      </c>
      <c r="D30" s="858">
        <f t="shared" si="1"/>
        <v>0.14524725747633305</v>
      </c>
      <c r="E30" s="858">
        <f t="shared" si="5"/>
        <v>2.7998723185261865</v>
      </c>
      <c r="F30" s="859">
        <f t="shared" si="4"/>
        <v>-1.3816597884428794</v>
      </c>
      <c r="G30" s="860"/>
      <c r="H30" s="861">
        <f t="shared" si="3"/>
        <v>1.2918269383099399</v>
      </c>
    </row>
    <row r="31" spans="1:8" ht="16.5" customHeight="1">
      <c r="A31" s="1014" t="s">
        <v>502</v>
      </c>
      <c r="B31" s="857">
        <f>[116]Agosto!$J$30</f>
        <v>853.98333333333346</v>
      </c>
      <c r="C31" s="857">
        <f t="shared" si="0"/>
        <v>90.631774521290751</v>
      </c>
      <c r="D31" s="858">
        <f t="shared" si="1"/>
        <v>1.4681885871804079</v>
      </c>
      <c r="E31" s="858">
        <f t="shared" si="5"/>
        <v>4.3091683115428214</v>
      </c>
      <c r="F31" s="859">
        <f t="shared" si="4"/>
        <v>0.6941824196003088</v>
      </c>
      <c r="G31" s="860"/>
      <c r="H31" s="861">
        <f t="shared" si="3"/>
        <v>1.2731349167626222</v>
      </c>
    </row>
    <row r="32" spans="1:8" ht="16.5" customHeight="1">
      <c r="A32" s="1014" t="s">
        <v>503</v>
      </c>
      <c r="B32" s="857">
        <f>[116]Setembro!$J$30</f>
        <v>847.31666666666672</v>
      </c>
      <c r="C32" s="857">
        <f t="shared" si="0"/>
        <v>89.924252715468683</v>
      </c>
      <c r="D32" s="961">
        <f t="shared" si="1"/>
        <v>-0.78065536017487558</v>
      </c>
      <c r="E32" s="961">
        <f t="shared" si="5"/>
        <v>3.4948731979649317</v>
      </c>
      <c r="F32" s="965">
        <f t="shared" si="4"/>
        <v>-9.189211284258425E-2</v>
      </c>
      <c r="G32" s="966">
        <f t="shared" ref="G32:G48" si="6">100*(B32/B8-1)</f>
        <v>-10.07574728453131</v>
      </c>
      <c r="H32" s="861">
        <f t="shared" si="3"/>
        <v>1.2831519109345189</v>
      </c>
    </row>
    <row r="33" spans="1:8" ht="16.5" customHeight="1">
      <c r="A33" s="1014" t="s">
        <v>504</v>
      </c>
      <c r="B33" s="857">
        <f>[116]Outubro!$J$30</f>
        <v>858.44999999999993</v>
      </c>
      <c r="C33" s="857">
        <f t="shared" si="0"/>
        <v>91.105814131191522</v>
      </c>
      <c r="D33" s="961">
        <f t="shared" si="1"/>
        <v>1.3139518873305889</v>
      </c>
      <c r="E33" s="961">
        <f t="shared" si="5"/>
        <v>4.8547460376399787</v>
      </c>
      <c r="F33" s="965">
        <f t="shared" si="4"/>
        <v>1.8477213730133446</v>
      </c>
      <c r="G33" s="966">
        <f t="shared" si="6"/>
        <v>-16.333345028829406</v>
      </c>
      <c r="H33" s="861">
        <f t="shared" si="3"/>
        <v>1.2665105713786478</v>
      </c>
    </row>
    <row r="34" spans="1:8" ht="16.5" customHeight="1">
      <c r="A34" s="1014" t="s">
        <v>505</v>
      </c>
      <c r="B34" s="857">
        <f>[116]Novembro!$J$30</f>
        <v>862.80000000000007</v>
      </c>
      <c r="C34" s="857">
        <f t="shared" si="0"/>
        <v>91.56747210949041</v>
      </c>
      <c r="D34" s="961">
        <f t="shared" si="1"/>
        <v>0.50672724095754962</v>
      </c>
      <c r="E34" s="961">
        <f t="shared" si="5"/>
        <v>5.3860735992495634</v>
      </c>
      <c r="F34" s="965">
        <f t="shared" si="4"/>
        <v>5.8811401980178646</v>
      </c>
      <c r="G34" s="966">
        <f t="shared" si="6"/>
        <v>-8.0637118050967622</v>
      </c>
      <c r="H34" s="861">
        <f t="shared" si="3"/>
        <v>1.2601251738525729</v>
      </c>
    </row>
    <row r="35" spans="1:8" ht="16.5" customHeight="1">
      <c r="A35" s="1014" t="s">
        <v>506</v>
      </c>
      <c r="B35" s="857">
        <f>[116]Dezembro!$J$30</f>
        <v>886.03833333333341</v>
      </c>
      <c r="C35" s="857">
        <f t="shared" si="0"/>
        <v>94.033716244134652</v>
      </c>
      <c r="D35" s="961">
        <f t="shared" si="1"/>
        <v>2.6933626951012313</v>
      </c>
      <c r="E35" s="961">
        <f t="shared" si="5"/>
        <v>8.2245027914036761</v>
      </c>
      <c r="F35" s="965">
        <f t="shared" si="4"/>
        <v>8.2245027914036761</v>
      </c>
      <c r="G35" s="966">
        <f t="shared" si="6"/>
        <v>8.9511061050968177</v>
      </c>
      <c r="H35" s="861">
        <f t="shared" si="3"/>
        <v>1.22707557799418</v>
      </c>
    </row>
    <row r="36" spans="1:8" ht="16.5" customHeight="1">
      <c r="A36" s="1014" t="s">
        <v>507</v>
      </c>
      <c r="B36" s="857">
        <f>[107]Janeiro!$J$30</f>
        <v>886.03833333333341</v>
      </c>
      <c r="C36" s="857">
        <f t="shared" si="0"/>
        <v>94.033716244134652</v>
      </c>
      <c r="D36" s="961">
        <f t="shared" si="1"/>
        <v>0</v>
      </c>
      <c r="E36" s="961">
        <f>100*((B36/$B$35)-1)</f>
        <v>0</v>
      </c>
      <c r="F36" s="965">
        <f t="shared" si="4"/>
        <v>8.2245027914036761</v>
      </c>
      <c r="G36" s="966">
        <f t="shared" si="6"/>
        <v>7.3837473771301232</v>
      </c>
      <c r="H36" s="861">
        <f t="shared" si="3"/>
        <v>1.22707557799418</v>
      </c>
    </row>
    <row r="37" spans="1:8" ht="16.5" customHeight="1">
      <c r="A37" s="1014" t="s">
        <v>508</v>
      </c>
      <c r="B37" s="857">
        <f>[107]Fevereiro!$J$30</f>
        <v>845.64333333333343</v>
      </c>
      <c r="C37" s="857">
        <f t="shared" si="0"/>
        <v>89.746664742207358</v>
      </c>
      <c r="D37" s="961">
        <f t="shared" si="1"/>
        <v>-4.5590578285740087</v>
      </c>
      <c r="E37" s="961">
        <f t="shared" ref="E37:E47" si="7">100*((B37/$B$35)-1)</f>
        <v>-4.5590578285740087</v>
      </c>
      <c r="F37" s="965">
        <f t="shared" si="4"/>
        <v>4.2387770732461139</v>
      </c>
      <c r="G37" s="966">
        <f t="shared" si="6"/>
        <v>2.5380173119020188</v>
      </c>
      <c r="H37" s="861">
        <f t="shared" si="3"/>
        <v>1.2856909729476178</v>
      </c>
    </row>
    <row r="38" spans="1:8" ht="16.5" customHeight="1">
      <c r="A38" s="1014" t="s">
        <v>509</v>
      </c>
      <c r="B38" s="857">
        <f>[107]Março!$J$30</f>
        <v>876.84500000000014</v>
      </c>
      <c r="C38" s="857">
        <f t="shared" si="0"/>
        <v>93.058043673906042</v>
      </c>
      <c r="D38" s="961">
        <f t="shared" si="1"/>
        <v>3.6896958134438052</v>
      </c>
      <c r="E38" s="961">
        <f t="shared" si="7"/>
        <v>-1.0375773809635724</v>
      </c>
      <c r="F38" s="965">
        <f t="shared" si="4"/>
        <v>5.2389959601245373</v>
      </c>
      <c r="G38" s="966">
        <f t="shared" si="6"/>
        <v>2.878406029716829</v>
      </c>
      <c r="H38" s="861">
        <f t="shared" si="3"/>
        <v>1.2399409245647748</v>
      </c>
    </row>
    <row r="39" spans="1:8" ht="16.5" customHeight="1">
      <c r="A39" s="1014" t="s">
        <v>510</v>
      </c>
      <c r="B39" s="857">
        <f>[107]Abril!$J$30</f>
        <v>882.64166666666677</v>
      </c>
      <c r="C39" s="857">
        <f t="shared" si="0"/>
        <v>93.67323388406831</v>
      </c>
      <c r="D39" s="961">
        <f t="shared" si="1"/>
        <v>0.6610822513291037</v>
      </c>
      <c r="E39" s="961">
        <f t="shared" si="7"/>
        <v>-0.38335436954383129</v>
      </c>
      <c r="F39" s="965">
        <f t="shared" si="4"/>
        <v>5.9347122838938615</v>
      </c>
      <c r="G39" s="966">
        <f t="shared" si="6"/>
        <v>2.3575766853141999</v>
      </c>
      <c r="H39" s="861">
        <f t="shared" si="3"/>
        <v>1.2317977284099815</v>
      </c>
    </row>
    <row r="40" spans="1:8" ht="16.5" customHeight="1">
      <c r="A40" s="1014" t="s">
        <v>511</v>
      </c>
      <c r="B40" s="857">
        <f>[107]Maio!$J$30</f>
        <v>903.62999999999988</v>
      </c>
      <c r="C40" s="857">
        <f t="shared" si="0"/>
        <v>95.900689409247562</v>
      </c>
      <c r="D40" s="961">
        <f t="shared" si="1"/>
        <v>2.3778996761614879</v>
      </c>
      <c r="E40" s="961">
        <f t="shared" si="7"/>
        <v>1.9854295243057374</v>
      </c>
      <c r="F40" s="965">
        <f t="shared" si="4"/>
        <v>8.4537334642351922</v>
      </c>
      <c r="G40" s="966">
        <f t="shared" si="6"/>
        <v>2.4200988803982248</v>
      </c>
      <c r="H40" s="861">
        <f t="shared" si="3"/>
        <v>1.2031871451811031</v>
      </c>
    </row>
    <row r="41" spans="1:8" ht="16.5" customHeight="1">
      <c r="A41" s="1014" t="s">
        <v>512</v>
      </c>
      <c r="B41" s="857">
        <f>[107]Junho!$J$30</f>
        <v>913.62999999999988</v>
      </c>
      <c r="C41" s="857">
        <f t="shared" si="0"/>
        <v>96.96197211798065</v>
      </c>
      <c r="D41" s="961">
        <f t="shared" si="1"/>
        <v>1.1066476323273955</v>
      </c>
      <c r="E41" s="961">
        <f t="shared" si="7"/>
        <v>3.1140488654553877</v>
      </c>
      <c r="F41" s="965">
        <f t="shared" si="4"/>
        <v>8.7129316068661922</v>
      </c>
      <c r="G41" s="966">
        <f t="shared" si="6"/>
        <v>6.2041852560510646</v>
      </c>
      <c r="H41" s="861">
        <f t="shared" si="3"/>
        <v>1.1900178409202853</v>
      </c>
    </row>
    <row r="42" spans="1:8" ht="16.5" customHeight="1">
      <c r="A42" s="1014" t="s">
        <v>513</v>
      </c>
      <c r="B42" s="857">
        <f>[107]Julho!$J$30</f>
        <v>922.26800000000003</v>
      </c>
      <c r="C42" s="857">
        <f t="shared" si="0"/>
        <v>97.878708121784314</v>
      </c>
      <c r="D42" s="961">
        <f t="shared" si="1"/>
        <v>0.94545932160723378</v>
      </c>
      <c r="E42" s="961">
        <f t="shared" si="7"/>
        <v>4.0889502523404619</v>
      </c>
      <c r="F42" s="965">
        <f t="shared" si="4"/>
        <v>9.5816038782041257</v>
      </c>
      <c r="G42" s="966">
        <f t="shared" si="6"/>
        <v>8.0675589218882173</v>
      </c>
      <c r="H42" s="861">
        <f t="shared" si="3"/>
        <v>1.1788720849037373</v>
      </c>
    </row>
    <row r="43" spans="1:8" ht="16.5" customHeight="1">
      <c r="A43" s="1014" t="s">
        <v>514</v>
      </c>
      <c r="B43" s="857">
        <f>[107]Agosto!$J$30</f>
        <v>917.77200000000016</v>
      </c>
      <c r="C43" s="857">
        <f t="shared" si="0"/>
        <v>97.401555415937921</v>
      </c>
      <c r="D43" s="961">
        <f t="shared" si="1"/>
        <v>-0.48749387379806164</v>
      </c>
      <c r="E43" s="961">
        <f t="shared" si="7"/>
        <v>3.5815229965596052</v>
      </c>
      <c r="F43" s="965">
        <f t="shared" si="4"/>
        <v>7.4695446827611756</v>
      </c>
      <c r="G43" s="966">
        <f t="shared" si="6"/>
        <v>8.2155793683734046</v>
      </c>
      <c r="H43" s="861">
        <f t="shared" si="3"/>
        <v>1.1846471672703023</v>
      </c>
    </row>
    <row r="44" spans="1:8" ht="16.5" customHeight="1">
      <c r="A44" s="1014" t="s">
        <v>515</v>
      </c>
      <c r="B44" s="857">
        <f>[107]Setembro!$J$30</f>
        <v>929.952</v>
      </c>
      <c r="C44" s="857">
        <f t="shared" si="0"/>
        <v>98.694197755174798</v>
      </c>
      <c r="D44" s="961">
        <f t="shared" si="1"/>
        <v>1.3271269988624379</v>
      </c>
      <c r="E44" s="961">
        <f t="shared" si="7"/>
        <v>4.9561813540798472</v>
      </c>
      <c r="F44" s="965">
        <f t="shared" si="4"/>
        <v>9.7525915143885413</v>
      </c>
      <c r="G44" s="966">
        <f t="shared" si="6"/>
        <v>9.6517375391464988</v>
      </c>
      <c r="H44" s="861">
        <f t="shared" si="3"/>
        <v>1.1691313100030971</v>
      </c>
    </row>
    <row r="45" spans="1:8" ht="16.5" customHeight="1">
      <c r="A45" s="1014" t="s">
        <v>516</v>
      </c>
      <c r="B45" s="857">
        <f>[107]Outubro!$J$30</f>
        <v>945.21800000000007</v>
      </c>
      <c r="C45" s="857">
        <f t="shared" si="0"/>
        <v>100.31435193832674</v>
      </c>
      <c r="D45" s="961">
        <f t="shared" si="1"/>
        <v>1.6415901035752523</v>
      </c>
      <c r="E45" s="961">
        <f t="shared" si="7"/>
        <v>6.6791316402789125</v>
      </c>
      <c r="F45" s="965">
        <f t="shared" si="4"/>
        <v>10.107519366299744</v>
      </c>
      <c r="G45" s="966">
        <f t="shared" si="6"/>
        <v>12.141999534925674</v>
      </c>
      <c r="H45" s="861">
        <f t="shared" si="3"/>
        <v>1.1502489372821931</v>
      </c>
    </row>
    <row r="46" spans="1:8" ht="16.5" customHeight="1">
      <c r="A46" s="1014" t="s">
        <v>517</v>
      </c>
      <c r="B46" s="857">
        <f>[107]Novembro!$J$30</f>
        <v>947.04</v>
      </c>
      <c r="C46" s="857">
        <f t="shared" si="0"/>
        <v>100.5077176478579</v>
      </c>
      <c r="D46" s="961">
        <f t="shared" si="1"/>
        <v>0.19275976547208362</v>
      </c>
      <c r="E46" s="961">
        <f t="shared" si="7"/>
        <v>6.8847660842363823</v>
      </c>
      <c r="F46" s="965">
        <f t="shared" si="4"/>
        <v>9.7635605006954016</v>
      </c>
      <c r="G46" s="966">
        <f t="shared" si="6"/>
        <v>16.218909380077463</v>
      </c>
      <c r="H46" s="861">
        <f t="shared" si="3"/>
        <v>1.1480359858084137</v>
      </c>
    </row>
    <row r="47" spans="1:8" ht="16.5" customHeight="1">
      <c r="A47" s="1014" t="s">
        <v>518</v>
      </c>
      <c r="B47" s="857">
        <f>[107]Dezembro!$J$30</f>
        <v>947.04</v>
      </c>
      <c r="C47" s="857">
        <f t="shared" si="0"/>
        <v>100.5077176478579</v>
      </c>
      <c r="D47" s="961">
        <f t="shared" si="1"/>
        <v>0</v>
      </c>
      <c r="E47" s="961">
        <f t="shared" si="7"/>
        <v>6.8847660842363823</v>
      </c>
      <c r="F47" s="965">
        <f t="shared" si="4"/>
        <v>6.8847660842363823</v>
      </c>
      <c r="G47" s="966">
        <f t="shared" si="6"/>
        <v>15.67550665441968</v>
      </c>
      <c r="H47" s="861">
        <f t="shared" si="3"/>
        <v>1.1480359858084137</v>
      </c>
    </row>
    <row r="48" spans="1:8" ht="16.5" customHeight="1">
      <c r="A48" s="1014" t="s">
        <v>519</v>
      </c>
      <c r="B48" s="857">
        <f>'[108]jan-14'!$I$36</f>
        <v>935.04</v>
      </c>
      <c r="C48" s="857">
        <f t="shared" si="0"/>
        <v>99.234178397378201</v>
      </c>
      <c r="D48" s="961">
        <f t="shared" si="1"/>
        <v>-1.2671059300557563</v>
      </c>
      <c r="E48" s="961">
        <f t="shared" ref="E48:E53" si="8">100*((B48/$B$47)-1)</f>
        <v>-1.2671059300557563</v>
      </c>
      <c r="F48" s="965">
        <f t="shared" si="4"/>
        <v>5.5304228748567885</v>
      </c>
      <c r="G48" s="966">
        <f t="shared" si="6"/>
        <v>14.209775449979478</v>
      </c>
      <c r="H48" s="861">
        <f t="shared" si="3"/>
        <v>1.1627695071868585</v>
      </c>
    </row>
    <row r="49" spans="1:8" ht="16.5" customHeight="1">
      <c r="A49" s="1014" t="s">
        <v>520</v>
      </c>
      <c r="B49" s="857">
        <f>'[108]fev-14'!$I$36</f>
        <v>935.97200000000009</v>
      </c>
      <c r="C49" s="857">
        <f t="shared" ref="C49:C54" si="9">100*B49/$B$8</f>
        <v>99.333089945832128</v>
      </c>
      <c r="D49" s="961">
        <f t="shared" ref="D49:D54" si="10">100*((B49/B48)-1)</f>
        <v>9.9674880219047246E-2</v>
      </c>
      <c r="E49" s="961">
        <f t="shared" si="8"/>
        <v>-1.1686940361547382</v>
      </c>
      <c r="F49" s="965">
        <f t="shared" ref="F49:F54" si="11">100*((B49/B37)-1)</f>
        <v>10.68165065650215</v>
      </c>
      <c r="G49" s="966">
        <f t="shared" ref="G49:G54" si="12">100*(B49/B25-1)</f>
        <v>15.373199088820311</v>
      </c>
      <c r="H49" s="861">
        <f t="shared" si="3"/>
        <v>1.1616116721440386</v>
      </c>
    </row>
    <row r="50" spans="1:8" ht="16.5" customHeight="1">
      <c r="A50" s="1014" t="s">
        <v>521</v>
      </c>
      <c r="B50" s="857">
        <f>'[108]mar-14'!$I$36</f>
        <v>940.47799999999984</v>
      </c>
      <c r="C50" s="857">
        <f t="shared" si="9"/>
        <v>99.81130393438724</v>
      </c>
      <c r="D50" s="961">
        <f t="shared" si="10"/>
        <v>0.48142465800256051</v>
      </c>
      <c r="E50" s="961">
        <f t="shared" si="8"/>
        <v>-0.6928957594188323</v>
      </c>
      <c r="F50" s="965">
        <f t="shared" si="11"/>
        <v>7.2570408681123411</v>
      </c>
      <c r="G50" s="966">
        <f t="shared" si="12"/>
        <v>12.876232906141883</v>
      </c>
      <c r="H50" s="861">
        <f t="shared" si="3"/>
        <v>1.1560461807719056</v>
      </c>
    </row>
    <row r="51" spans="1:8" ht="16.5" customHeight="1">
      <c r="A51" s="1014" t="s">
        <v>522</v>
      </c>
      <c r="B51" s="857">
        <f>'[108]abr-14'!$I$36</f>
        <v>940.47799999999984</v>
      </c>
      <c r="C51" s="857">
        <f t="shared" si="9"/>
        <v>99.81130393438724</v>
      </c>
      <c r="D51" s="961">
        <f t="shared" si="10"/>
        <v>0</v>
      </c>
      <c r="E51" s="961">
        <f t="shared" si="8"/>
        <v>-0.6928957594188323</v>
      </c>
      <c r="F51" s="965">
        <f t="shared" si="11"/>
        <v>6.552640274932231</v>
      </c>
      <c r="G51" s="966">
        <f t="shared" si="12"/>
        <v>12.876232906141883</v>
      </c>
      <c r="H51" s="861">
        <f t="shared" si="3"/>
        <v>1.1560461807719056</v>
      </c>
    </row>
    <row r="52" spans="1:8" ht="16.5" customHeight="1">
      <c r="A52" s="1014" t="s">
        <v>523</v>
      </c>
      <c r="B52" s="857">
        <f>'[108]mai-14'!$I$36</f>
        <v>920.81600000000003</v>
      </c>
      <c r="C52" s="857">
        <f t="shared" si="9"/>
        <v>97.724609872476265</v>
      </c>
      <c r="D52" s="961">
        <f t="shared" si="10"/>
        <v>-2.0906390154793453</v>
      </c>
      <c r="E52" s="961">
        <f t="shared" si="8"/>
        <v>-2.769048825815168</v>
      </c>
      <c r="F52" s="965">
        <f t="shared" si="11"/>
        <v>1.9018846209178708</v>
      </c>
      <c r="G52" s="966">
        <f t="shared" si="12"/>
        <v>10.516398341802734</v>
      </c>
      <c r="H52" s="861">
        <f t="shared" si="3"/>
        <v>1.1807310038053205</v>
      </c>
    </row>
    <row r="53" spans="1:8" ht="16.5" customHeight="1">
      <c r="A53" s="1014" t="s">
        <v>524</v>
      </c>
      <c r="B53" s="857">
        <f>'[108]jun-14'!$I$36</f>
        <v>924.13199999999995</v>
      </c>
      <c r="C53" s="857">
        <f t="shared" si="9"/>
        <v>98.076531218692153</v>
      </c>
      <c r="D53" s="961">
        <f t="shared" si="10"/>
        <v>0.36011537592743892</v>
      </c>
      <c r="E53" s="961">
        <f t="shared" si="8"/>
        <v>-2.4189052204764305</v>
      </c>
      <c r="F53" s="965">
        <f t="shared" si="11"/>
        <v>1.1494806431487703</v>
      </c>
      <c r="G53" s="966">
        <f t="shared" si="12"/>
        <v>9.9625657122866862</v>
      </c>
      <c r="H53" s="861">
        <f t="shared" si="3"/>
        <v>1.1764942670527589</v>
      </c>
    </row>
    <row r="54" spans="1:8" ht="16.5" customHeight="1">
      <c r="A54" s="1014" t="s">
        <v>525</v>
      </c>
      <c r="B54" s="857">
        <f>'[108]jul-14'!$I$36</f>
        <v>923.00800000000004</v>
      </c>
      <c r="C54" s="857">
        <f t="shared" si="9"/>
        <v>97.957243042230559</v>
      </c>
      <c r="D54" s="961">
        <f t="shared" si="10"/>
        <v>-0.1216276462669752</v>
      </c>
      <c r="E54" s="961">
        <f t="shared" ref="E54:E59" si="13">100*((B54/$B$47)-1)</f>
        <v>-2.5375908092583166</v>
      </c>
      <c r="F54" s="965">
        <f t="shared" si="11"/>
        <v>8.0236981007697494E-2</v>
      </c>
      <c r="G54" s="966">
        <f t="shared" si="12"/>
        <v>9.6695288488958031</v>
      </c>
      <c r="H54" s="861">
        <f t="shared" si="3"/>
        <v>1.1779269518790736</v>
      </c>
    </row>
    <row r="55" spans="1:8" ht="16.5" customHeight="1">
      <c r="A55" s="1014" t="s">
        <v>526</v>
      </c>
      <c r="B55" s="857">
        <f>'[108]ago-14'!$I$36</f>
        <v>923.00800000000004</v>
      </c>
      <c r="C55" s="857">
        <f t="shared" ref="C55:C60" si="14">100*B55/$B$8</f>
        <v>97.957243042230559</v>
      </c>
      <c r="D55" s="961">
        <f t="shared" ref="D55:D60" si="15">100*((B55/B54)-1)</f>
        <v>0</v>
      </c>
      <c r="E55" s="961">
        <f t="shared" si="13"/>
        <v>-2.5375908092583166</v>
      </c>
      <c r="F55" s="965">
        <f t="shared" ref="F55:F60" si="16">100*((B55/B43)-1)</f>
        <v>0.57051206617764194</v>
      </c>
      <c r="G55" s="966">
        <f t="shared" ref="G55:G60" si="17">100*(B55/B31-1)</f>
        <v>8.0826714026425162</v>
      </c>
      <c r="H55" s="861">
        <f t="shared" si="3"/>
        <v>1.1779269518790736</v>
      </c>
    </row>
    <row r="56" spans="1:8" ht="16.5" customHeight="1">
      <c r="A56" s="1014" t="s">
        <v>527</v>
      </c>
      <c r="B56" s="857">
        <f>'[108]set-14'!$I$36</f>
        <v>923.00800000000004</v>
      </c>
      <c r="C56" s="857">
        <f t="shared" si="14"/>
        <v>97.957243042230559</v>
      </c>
      <c r="D56" s="961">
        <f t="shared" si="15"/>
        <v>0</v>
      </c>
      <c r="E56" s="961">
        <f t="shared" si="13"/>
        <v>-2.5375908092583166</v>
      </c>
      <c r="F56" s="965">
        <f t="shared" si="16"/>
        <v>-0.7467052062902102</v>
      </c>
      <c r="G56" s="966">
        <f t="shared" si="17"/>
        <v>8.9330631995121923</v>
      </c>
      <c r="H56" s="861">
        <f t="shared" si="3"/>
        <v>1.1779269518790736</v>
      </c>
    </row>
    <row r="57" spans="1:8" ht="16.5" customHeight="1">
      <c r="A57" s="1014" t="s">
        <v>528</v>
      </c>
      <c r="B57" s="857">
        <f>'[108]out-14'!$I$36</f>
        <v>923.00800000000004</v>
      </c>
      <c r="C57" s="857">
        <f t="shared" si="14"/>
        <v>97.957243042230559</v>
      </c>
      <c r="D57" s="961">
        <f t="shared" si="15"/>
        <v>0</v>
      </c>
      <c r="E57" s="961">
        <f t="shared" si="13"/>
        <v>-2.5375908092583166</v>
      </c>
      <c r="F57" s="965">
        <f t="shared" si="16"/>
        <v>-2.3497224978788034</v>
      </c>
      <c r="G57" s="966">
        <f t="shared" si="17"/>
        <v>7.5202982118935502</v>
      </c>
      <c r="H57" s="861">
        <f t="shared" si="3"/>
        <v>1.1779269518790736</v>
      </c>
    </row>
    <row r="58" spans="1:8" ht="16.5" customHeight="1">
      <c r="A58" s="1014" t="s">
        <v>529</v>
      </c>
      <c r="B58" s="857">
        <f>'[108]nov-14'!$I$36</f>
        <v>903.50800000000004</v>
      </c>
      <c r="C58" s="857">
        <f t="shared" si="14"/>
        <v>95.887741760201038</v>
      </c>
      <c r="D58" s="961">
        <f t="shared" si="15"/>
        <v>-2.1126577451116346</v>
      </c>
      <c r="E58" s="961">
        <f t="shared" si="13"/>
        <v>-4.5966379455989141</v>
      </c>
      <c r="F58" s="965">
        <f t="shared" si="16"/>
        <v>-4.5966379455989141</v>
      </c>
      <c r="G58" s="966">
        <f t="shared" si="17"/>
        <v>4.7181270282800059</v>
      </c>
      <c r="H58" s="861">
        <f t="shared" si="3"/>
        <v>1.2033496106287935</v>
      </c>
    </row>
    <row r="59" spans="1:8" ht="16.5" customHeight="1">
      <c r="A59" s="1014" t="s">
        <v>530</v>
      </c>
      <c r="B59" s="857">
        <f>'[108]dez-14'!$I$36</f>
        <v>886.77799999999991</v>
      </c>
      <c r="C59" s="857">
        <f t="shared" si="14"/>
        <v>94.112215788490587</v>
      </c>
      <c r="D59" s="961">
        <f t="shared" si="15"/>
        <v>-1.851671484923223</v>
      </c>
      <c r="E59" s="961">
        <f t="shared" si="13"/>
        <v>-6.3631947964183251</v>
      </c>
      <c r="F59" s="965">
        <f t="shared" si="16"/>
        <v>-6.3631947964183251</v>
      </c>
      <c r="G59" s="966">
        <f t="shared" si="17"/>
        <v>8.348021060033961E-2</v>
      </c>
      <c r="H59" s="861">
        <f t="shared" si="3"/>
        <v>1.2260520671464563</v>
      </c>
    </row>
    <row r="60" spans="1:8" ht="16.5" customHeight="1">
      <c r="A60" s="1014" t="s">
        <v>531</v>
      </c>
      <c r="B60" s="857">
        <f>'[109]jan-15'!$I$36</f>
        <v>883.09399999999982</v>
      </c>
      <c r="C60" s="857">
        <f t="shared" si="14"/>
        <v>93.721239238593299</v>
      </c>
      <c r="D60" s="961">
        <f t="shared" si="15"/>
        <v>-0.4154365579660424</v>
      </c>
      <c r="E60" s="961">
        <f t="shared" ref="E60:E65" si="18">100*((B60/$B$59)-1)</f>
        <v>-0.4154365579660424</v>
      </c>
      <c r="F60" s="965">
        <f t="shared" si="16"/>
        <v>-5.5554842573579899</v>
      </c>
      <c r="G60" s="966">
        <f t="shared" si="17"/>
        <v>-0.33230315467919214</v>
      </c>
      <c r="H60" s="861">
        <f t="shared" si="3"/>
        <v>1.2311667840569638</v>
      </c>
    </row>
    <row r="61" spans="1:8" ht="16.5" customHeight="1">
      <c r="A61" s="1014" t="s">
        <v>649</v>
      </c>
      <c r="B61" s="857">
        <f>'[109]fev-15'!$I$36</f>
        <v>907.15399999999988</v>
      </c>
      <c r="C61" s="857">
        <f t="shared" ref="C61:C66" si="19">100*B61/$B$8</f>
        <v>96.274685435805111</v>
      </c>
      <c r="D61" s="961">
        <f t="shared" ref="D61:D66" si="20">100*((B61/B60)-1)</f>
        <v>2.7245117733786017</v>
      </c>
      <c r="E61" s="961">
        <f t="shared" si="18"/>
        <v>2.2977565974798608</v>
      </c>
      <c r="F61" s="965">
        <f t="shared" ref="F61:F66" si="21">100*((B61/B49)-1)</f>
        <v>-3.0789382588368275</v>
      </c>
      <c r="G61" s="966">
        <f t="shared" ref="G61:G66" si="22">100*(B61/B37-1)</f>
        <v>7.2738309689269753</v>
      </c>
      <c r="H61" s="861">
        <f t="shared" si="3"/>
        <v>1.1985131521219112</v>
      </c>
    </row>
    <row r="62" spans="1:8" ht="16.5" customHeight="1">
      <c r="A62" s="1014" t="s">
        <v>650</v>
      </c>
      <c r="B62" s="857">
        <f>'[109]mar-15'!$I$36</f>
        <v>915.36199999999985</v>
      </c>
      <c r="C62" s="857">
        <f t="shared" si="19"/>
        <v>97.145786283133219</v>
      </c>
      <c r="D62" s="961">
        <f t="shared" si="20"/>
        <v>0.90480778346344604</v>
      </c>
      <c r="E62" s="961">
        <f t="shared" si="18"/>
        <v>3.2233546614823583</v>
      </c>
      <c r="F62" s="965">
        <f t="shared" si="21"/>
        <v>-2.6705568870297847</v>
      </c>
      <c r="G62" s="966">
        <f t="shared" si="22"/>
        <v>4.3926805763846222</v>
      </c>
      <c r="H62" s="861">
        <f t="shared" si="3"/>
        <v>1.1877661515334921</v>
      </c>
    </row>
    <row r="63" spans="1:8" ht="16.5" customHeight="1">
      <c r="A63" s="1014" t="s">
        <v>652</v>
      </c>
      <c r="B63" s="857">
        <f>'[109]abr-15'!$I$36</f>
        <v>870.41199999999992</v>
      </c>
      <c r="C63" s="857">
        <f t="shared" si="19"/>
        <v>92.375320507378021</v>
      </c>
      <c r="D63" s="961">
        <f t="shared" si="20"/>
        <v>-4.9106255230171207</v>
      </c>
      <c r="E63" s="961">
        <f t="shared" si="18"/>
        <v>-1.8455577382388788</v>
      </c>
      <c r="F63" s="965">
        <f t="shared" si="21"/>
        <v>-7.4500413619457255</v>
      </c>
      <c r="G63" s="966">
        <f t="shared" si="22"/>
        <v>-1.385575497795466</v>
      </c>
      <c r="H63" s="861">
        <f t="shared" si="3"/>
        <v>1.2491050215300343</v>
      </c>
    </row>
    <row r="64" spans="1:8" ht="16.5" customHeight="1">
      <c r="A64" s="1014" t="s">
        <v>653</v>
      </c>
      <c r="B64" s="857">
        <f>'[109]mai-15'!$I$36</f>
        <v>888.41199999999992</v>
      </c>
      <c r="C64" s="857">
        <f t="shared" si="19"/>
        <v>94.285629383097572</v>
      </c>
      <c r="D64" s="961">
        <f t="shared" si="20"/>
        <v>2.0679861950432699</v>
      </c>
      <c r="E64" s="961">
        <f t="shared" si="18"/>
        <v>0.18426257755606024</v>
      </c>
      <c r="F64" s="965">
        <f t="shared" si="21"/>
        <v>-3.5190526663307464</v>
      </c>
      <c r="G64" s="966">
        <f t="shared" si="22"/>
        <v>-1.6840963668758202</v>
      </c>
      <c r="H64" s="861">
        <f t="shared" si="3"/>
        <v>1.2237970671265137</v>
      </c>
    </row>
    <row r="65" spans="1:8" ht="16.5" customHeight="1">
      <c r="A65" s="1014" t="s">
        <v>654</v>
      </c>
      <c r="B65" s="857">
        <f>'[109]jun-15'!$I$36</f>
        <v>890.80200000000002</v>
      </c>
      <c r="C65" s="857">
        <f t="shared" si="19"/>
        <v>94.539275950484779</v>
      </c>
      <c r="D65" s="961">
        <f t="shared" si="20"/>
        <v>0.26901932886995716</v>
      </c>
      <c r="E65" s="961">
        <f t="shared" si="18"/>
        <v>0.45377760837550518</v>
      </c>
      <c r="F65" s="965">
        <f t="shared" si="21"/>
        <v>-3.6066276246250473</v>
      </c>
      <c r="G65" s="966">
        <f t="shared" si="22"/>
        <v>-2.4986044678917962</v>
      </c>
      <c r="H65" s="861">
        <f t="shared" si="3"/>
        <v>1.2205136494978683</v>
      </c>
    </row>
    <row r="66" spans="1:8" ht="16.5" customHeight="1">
      <c r="A66" s="1014" t="s">
        <v>657</v>
      </c>
      <c r="B66" s="857">
        <f>'[109]jul-15'!$I$36</f>
        <v>902.07399999999996</v>
      </c>
      <c r="C66" s="857">
        <f t="shared" si="19"/>
        <v>95.735553819768711</v>
      </c>
      <c r="D66" s="961">
        <f t="shared" si="20"/>
        <v>1.2653765932272298</v>
      </c>
      <c r="E66" s="961">
        <f t="shared" ref="E66:E71" si="23">100*((B66/$B$59)-1)</f>
        <v>1.7248961972444077</v>
      </c>
      <c r="F66" s="965">
        <f t="shared" si="21"/>
        <v>-2.2680193454444719</v>
      </c>
      <c r="G66" s="966">
        <f t="shared" si="22"/>
        <v>-2.1896021546882305</v>
      </c>
      <c r="H66" s="861">
        <f t="shared" si="3"/>
        <v>1.2052625394368979</v>
      </c>
    </row>
    <row r="67" spans="1:8" ht="16.5" customHeight="1">
      <c r="A67" s="1032" t="str">
        <f>'Pn275'!A67</f>
        <v>AGOSTO|15</v>
      </c>
      <c r="B67" s="918">
        <f>'[109]ago-15'!$I$36</f>
        <v>907.79599999999994</v>
      </c>
      <c r="C67" s="918">
        <f t="shared" ref="C67:C72" si="24">100*B67/$B$8</f>
        <v>96.342819785705771</v>
      </c>
      <c r="D67" s="1036">
        <f t="shared" ref="D67:D72" si="25">100*((B67/B66)-1)</f>
        <v>0.63431603172245943</v>
      </c>
      <c r="E67" s="1036">
        <f t="shared" si="23"/>
        <v>2.3701535220765457</v>
      </c>
      <c r="F67" s="1037">
        <f t="shared" ref="F67:F72" si="26">100*((B67/B55)-1)</f>
        <v>-1.6480897240327419</v>
      </c>
      <c r="G67" s="1038">
        <f t="shared" ref="G67:G72" si="27">100*(B67/B43-1)</f>
        <v>-1.0869802085921365</v>
      </c>
      <c r="H67" s="861">
        <f t="shared" si="3"/>
        <v>1.1976655548162805</v>
      </c>
    </row>
    <row r="68" spans="1:8" ht="16.5" customHeight="1">
      <c r="A68" s="1032" t="str">
        <f>'Pn275'!A68</f>
        <v>SETEMBRO|15</v>
      </c>
      <c r="B68" s="918">
        <f>'[109]set-15'!$I$36</f>
        <v>901.87800000000004</v>
      </c>
      <c r="C68" s="918">
        <f t="shared" si="24"/>
        <v>95.714752678677556</v>
      </c>
      <c r="D68" s="1036">
        <f t="shared" si="25"/>
        <v>-0.65190857857931883</v>
      </c>
      <c r="E68" s="1036">
        <f t="shared" si="23"/>
        <v>1.7027937093613277</v>
      </c>
      <c r="F68" s="1037">
        <f t="shared" si="26"/>
        <v>-2.2892542643183966</v>
      </c>
      <c r="G68" s="1038">
        <f t="shared" si="27"/>
        <v>-3.0188654898317235</v>
      </c>
      <c r="H68" s="861">
        <f t="shared" si="3"/>
        <v>1.2055244722678677</v>
      </c>
    </row>
    <row r="69" spans="1:8" ht="16.5" customHeight="1">
      <c r="A69" s="1032" t="str">
        <f>'Pn275'!A69</f>
        <v>OUTUBRO|15</v>
      </c>
      <c r="B69" s="918">
        <f>'[109]out-15'!$I$36</f>
        <v>945.12400000000002</v>
      </c>
      <c r="C69" s="918">
        <f t="shared" si="24"/>
        <v>100.30437588086465</v>
      </c>
      <c r="D69" s="1036">
        <f t="shared" si="25"/>
        <v>4.7951053246669595</v>
      </c>
      <c r="E69" s="1036">
        <f t="shared" si="23"/>
        <v>6.5795497858539775</v>
      </c>
      <c r="F69" s="1037">
        <f t="shared" si="26"/>
        <v>2.3960789072250632</v>
      </c>
      <c r="G69" s="1038">
        <f t="shared" si="27"/>
        <v>-9.9447958037290896E-3</v>
      </c>
      <c r="H69" s="861">
        <f t="shared" si="3"/>
        <v>1.1503633385672145</v>
      </c>
    </row>
    <row r="70" spans="1:8" ht="16.5" customHeight="1">
      <c r="A70" s="1032" t="str">
        <f>'Pn275'!A70</f>
        <v>NOVEMBRO|15</v>
      </c>
      <c r="B70" s="918">
        <f>'[109]nov-15'!$I$36</f>
        <v>931.45999999999981</v>
      </c>
      <c r="C70" s="918">
        <f t="shared" si="24"/>
        <v>98.854239187651743</v>
      </c>
      <c r="D70" s="1036">
        <f t="shared" si="25"/>
        <v>-1.4457362208556979</v>
      </c>
      <c r="E70" s="1036">
        <f t="shared" si="23"/>
        <v>5.0386906305749379</v>
      </c>
      <c r="F70" s="1037">
        <f t="shared" si="26"/>
        <v>3.0937191480318704</v>
      </c>
      <c r="G70" s="1038">
        <f t="shared" si="27"/>
        <v>-1.6451258658557344</v>
      </c>
      <c r="H70" s="861">
        <f t="shared" si="3"/>
        <v>1.1672385287612999</v>
      </c>
    </row>
    <row r="71" spans="1:8" ht="16.5" customHeight="1">
      <c r="A71" s="1032" t="str">
        <f>'Pn275'!A71</f>
        <v>DEZEMBRO|15</v>
      </c>
      <c r="B71" s="918">
        <f>'[109]dez-15'!$I$36</f>
        <v>915.48400000000004</v>
      </c>
      <c r="C71" s="918">
        <f t="shared" si="24"/>
        <v>97.158733932179786</v>
      </c>
      <c r="D71" s="1036">
        <f t="shared" si="25"/>
        <v>-1.7151568505356929</v>
      </c>
      <c r="E71" s="1036">
        <f t="shared" si="23"/>
        <v>3.2371123325116491</v>
      </c>
      <c r="F71" s="1037">
        <f t="shared" si="26"/>
        <v>3.2371123325116491</v>
      </c>
      <c r="G71" s="1038">
        <f t="shared" si="27"/>
        <v>-3.3320662274032742</v>
      </c>
      <c r="H71" s="861">
        <f t="shared" si="3"/>
        <v>1.1876078664400471</v>
      </c>
    </row>
    <row r="72" spans="1:8" ht="16.5" customHeight="1">
      <c r="A72" s="1032" t="str">
        <f>'Pn275'!A72</f>
        <v>JANEIRO|16</v>
      </c>
      <c r="B72" s="918">
        <f>'[115]jan-16'!$I$36</f>
        <v>928.88800000000015</v>
      </c>
      <c r="C72" s="918">
        <f t="shared" si="24"/>
        <v>98.581277274965629</v>
      </c>
      <c r="D72" s="1036">
        <f t="shared" si="25"/>
        <v>1.4641435568508054</v>
      </c>
      <c r="E72" s="1036">
        <f t="shared" ref="E72:E77" si="28">100*((B72/$B$71)-1)</f>
        <v>1.4641435568508054</v>
      </c>
      <c r="F72" s="1037">
        <f t="shared" si="26"/>
        <v>5.185631427684978</v>
      </c>
      <c r="G72" s="1038">
        <f t="shared" si="27"/>
        <v>-0.65793976728266701</v>
      </c>
      <c r="H72" s="861">
        <f t="shared" si="3"/>
        <v>1.1704704980578928</v>
      </c>
    </row>
    <row r="73" spans="1:8" ht="16.5" customHeight="1">
      <c r="A73" s="1032" t="str">
        <f>'Pn275'!A73</f>
        <v>FEVEREIRO|16</v>
      </c>
      <c r="B73" s="918">
        <f>'[115]fev-16'!$I$36</f>
        <v>944.81600000000003</v>
      </c>
      <c r="C73" s="918">
        <f t="shared" ref="C73" si="29">100*B73/$B$8</f>
        <v>100.27168837343567</v>
      </c>
      <c r="D73" s="1036">
        <f t="shared" ref="D73" si="30">100*((B73/B72)-1)</f>
        <v>1.7147384830033197</v>
      </c>
      <c r="E73" s="1036">
        <f t="shared" si="28"/>
        <v>3.2039882728698732</v>
      </c>
      <c r="F73" s="1037">
        <f t="shared" ref="F73" si="31">100*((B73/B61)-1)</f>
        <v>4.1516655385965606</v>
      </c>
      <c r="G73" s="1038">
        <f t="shared" ref="G73" si="32">100*(B73/B49-1)</f>
        <v>0.944900061112941</v>
      </c>
      <c r="H73" s="861">
        <f t="shared" si="3"/>
        <v>1.1507383448205788</v>
      </c>
    </row>
    <row r="74" spans="1:8" ht="16.5" customHeight="1">
      <c r="A74" s="1032" t="str">
        <f>'Pn275'!A74</f>
        <v>MARÇO|16</v>
      </c>
      <c r="B74" s="918">
        <f>'[115]mar-16'!$I$36</f>
        <v>933.32999999999993</v>
      </c>
      <c r="C74" s="918">
        <f t="shared" ref="C74" si="33">100*B74/$B$8</f>
        <v>99.052699054184842</v>
      </c>
      <c r="D74" s="1036">
        <f t="shared" ref="D74" si="34">100*((B74/B73)-1)</f>
        <v>-1.2156864405344692</v>
      </c>
      <c r="E74" s="1036">
        <f t="shared" si="28"/>
        <v>1.9493513813458208</v>
      </c>
      <c r="F74" s="1037">
        <f t="shared" ref="F74" si="35">100*((B74/B62)-1)</f>
        <v>1.9629392524487699</v>
      </c>
      <c r="G74" s="1038">
        <f t="shared" ref="G74" si="36">100*(B74/B50-1)</f>
        <v>-0.76003904397550226</v>
      </c>
      <c r="H74" s="861">
        <f t="shared" si="3"/>
        <v>1.1648998746424097</v>
      </c>
    </row>
    <row r="75" spans="1:8" ht="16.5" customHeight="1">
      <c r="A75" s="1032" t="str">
        <f>'Pn275'!A75</f>
        <v>ABRIL|16</v>
      </c>
      <c r="B75" s="918">
        <f>'[115]abr-16'!$I$36</f>
        <v>940.14399999999989</v>
      </c>
      <c r="C75" s="918">
        <f t="shared" ref="C75" si="37">100*B75/$B$8</f>
        <v>99.775857091915555</v>
      </c>
      <c r="D75" s="1036">
        <f t="shared" ref="D75" si="38">100*((B75/B74)-1)</f>
        <v>0.73007403597868947</v>
      </c>
      <c r="E75" s="1036">
        <f t="shared" si="28"/>
        <v>2.6936571256297004</v>
      </c>
      <c r="F75" s="1037">
        <f t="shared" ref="F75" si="39">100*((B75/B63)-1)</f>
        <v>8.0113785195976117</v>
      </c>
      <c r="G75" s="1038">
        <f t="shared" ref="G75" si="40">100*(B75/B51-1)</f>
        <v>-3.5513855720170628E-2</v>
      </c>
      <c r="H75" s="861">
        <f t="shared" si="3"/>
        <v>1.1564568832008717</v>
      </c>
    </row>
    <row r="76" spans="1:8" ht="16.5" customHeight="1">
      <c r="A76" s="1032" t="str">
        <f>'Pn275'!A76</f>
        <v>MAIO|16</v>
      </c>
      <c r="B76" s="918">
        <f>'[115]mai-16'!$I$36</f>
        <v>958.61</v>
      </c>
      <c r="C76" s="918">
        <f t="shared" ref="C76" si="41">100*B76/$B$8</f>
        <v>101.73562174186208</v>
      </c>
      <c r="D76" s="1036">
        <f t="shared" ref="D76" si="42">100*((B76/B75)-1)</f>
        <v>1.9641671914089942</v>
      </c>
      <c r="E76" s="1036">
        <f t="shared" si="28"/>
        <v>4.7107322465493651</v>
      </c>
      <c r="F76" s="1037">
        <f t="shared" ref="F76" si="43">100*((B76/B64)-1)</f>
        <v>7.9015141623481</v>
      </c>
      <c r="G76" s="1038">
        <f t="shared" ref="G76" si="44">100*(B76/B52-1)</f>
        <v>4.104403051206762</v>
      </c>
      <c r="H76" s="861">
        <f t="shared" si="3"/>
        <v>1.1341796976872764</v>
      </c>
    </row>
    <row r="77" spans="1:8" ht="16.5" customHeight="1">
      <c r="A77" s="1032" t="str">
        <f>'Pn275'!A77</f>
        <v>JUNHO|16</v>
      </c>
      <c r="B77" s="918">
        <f>'[115]jun-16'!$I$36</f>
        <v>962.87000000000012</v>
      </c>
      <c r="C77" s="918">
        <f t="shared" ref="C77" si="45">100*B77/$B$8</f>
        <v>102.18772817578238</v>
      </c>
      <c r="D77" s="1036">
        <f t="shared" ref="D77" si="46">100*((B77/B76)-1)</f>
        <v>0.44439344467510633</v>
      </c>
      <c r="E77" s="1036">
        <f t="shared" si="28"/>
        <v>5.1760598765243415</v>
      </c>
      <c r="F77" s="1037">
        <f t="shared" ref="F77" si="47">100*((B77/B65)-1)</f>
        <v>8.0902377857256838</v>
      </c>
      <c r="G77" s="1038">
        <f t="shared" ref="G77" si="48">100*(B77/B53-1)</f>
        <v>4.1918254102228047</v>
      </c>
      <c r="H77" s="861">
        <f t="shared" si="3"/>
        <v>1.1291617767715267</v>
      </c>
    </row>
    <row r="78" spans="1:8" ht="16.5" customHeight="1">
      <c r="A78" s="1032" t="str">
        <f>'Pn275'!A78</f>
        <v>JULHO|16</v>
      </c>
      <c r="B78" s="918">
        <f>'[115]jul-16'!$I$36</f>
        <v>957.24199999999996</v>
      </c>
      <c r="C78" s="918">
        <f t="shared" ref="C78" si="49">100*B78/$B$8</f>
        <v>101.59043826730739</v>
      </c>
      <c r="D78" s="1036">
        <f t="shared" ref="D78" si="50">100*((B78/B77)-1)</f>
        <v>-0.58450258082608508</v>
      </c>
      <c r="E78" s="1036">
        <f t="shared" ref="E78" si="51">100*((B78/$B$71)-1)</f>
        <v>4.5613030921348718</v>
      </c>
      <c r="F78" s="1037">
        <f t="shared" ref="F78" si="52">100*((B78/B66)-1)</f>
        <v>6.1156845225557976</v>
      </c>
      <c r="G78" s="1038">
        <f t="shared" ref="G78" si="53">100*(B78/B54-1)</f>
        <v>3.7089602690334234</v>
      </c>
      <c r="H78" s="861">
        <f t="shared" ref="H78:H128" si="54">$B$128/B78</f>
        <v>1.1358005603598673</v>
      </c>
    </row>
    <row r="79" spans="1:8" ht="16.5" customHeight="1">
      <c r="A79" s="1032" t="str">
        <f>'Pn275'!A79</f>
        <v>AGOSTO|16</v>
      </c>
      <c r="B79" s="918">
        <f>'[115]ago-16'!$I$36</f>
        <v>961.02600000000007</v>
      </c>
      <c r="C79" s="918">
        <f t="shared" ref="C79" si="55">100*B79/$B$8</f>
        <v>101.99202764429199</v>
      </c>
      <c r="D79" s="1036">
        <f t="shared" ref="D79" si="56">100*((B79/B78)-1)</f>
        <v>0.39530233733999776</v>
      </c>
      <c r="E79" s="1036">
        <f t="shared" ref="E79" si="57">100*((B79/$B$71)-1)</f>
        <v>4.974636367211227</v>
      </c>
      <c r="F79" s="1037">
        <f t="shared" ref="F79" si="58">100*((B79/B67)-1)</f>
        <v>5.8636521861739954</v>
      </c>
      <c r="G79" s="1038">
        <f t="shared" ref="G79" si="59">100*(B79/B55-1)</f>
        <v>4.1189242130079018</v>
      </c>
      <c r="H79" s="861">
        <f t="shared" si="54"/>
        <v>1.1313283927802162</v>
      </c>
    </row>
    <row r="80" spans="1:8" ht="16.5" customHeight="1">
      <c r="A80" s="1032" t="str">
        <f>'Pn275'!A80</f>
        <v>SETEMBRO|16</v>
      </c>
      <c r="B80" s="918">
        <f>'[115]set-16'!$I$36</f>
        <v>963.06600000000003</v>
      </c>
      <c r="C80" s="918">
        <f t="shared" ref="C80" si="60">100*B80/$B$8</f>
        <v>102.20852931687354</v>
      </c>
      <c r="D80" s="1036">
        <f t="shared" ref="D80" si="61">100*((B80/B79)-1)</f>
        <v>0.21227313308900264</v>
      </c>
      <c r="E80" s="1036">
        <f t="shared" ref="E80" si="62">100*((B80/$B$71)-1)</f>
        <v>5.1974693167766928</v>
      </c>
      <c r="F80" s="1037">
        <f t="shared" ref="F80" si="63">100*((B80/B68)-1)</f>
        <v>6.7845096565167351</v>
      </c>
      <c r="G80" s="1038">
        <f t="shared" ref="G80" si="64">100*(B80/B56-1)</f>
        <v>4.3399407155734204</v>
      </c>
      <c r="H80" s="861">
        <f t="shared" si="54"/>
        <v>1.1289319735096037</v>
      </c>
    </row>
    <row r="81" spans="1:8" ht="16.5" customHeight="1">
      <c r="A81" s="1032" t="str">
        <f>'Pn275'!A81</f>
        <v>OUTUBRO|16</v>
      </c>
      <c r="B81" s="918">
        <f>'[115]out-16'!$I$36</f>
        <v>963.048</v>
      </c>
      <c r="C81" s="918">
        <f t="shared" ref="C81" si="65">100*B81/$B$8</f>
        <v>102.20661900799782</v>
      </c>
      <c r="D81" s="1036">
        <f t="shared" ref="D81" si="66">100*((B81/B80)-1)</f>
        <v>-1.8690307829416497E-3</v>
      </c>
      <c r="E81" s="1036">
        <f t="shared" ref="E81" si="67">100*((B81/$B$71)-1)</f>
        <v>5.1955031436923038</v>
      </c>
      <c r="F81" s="1037">
        <f t="shared" ref="F81" si="68">100*((B81/B69)-1)</f>
        <v>1.8964707276505566</v>
      </c>
      <c r="G81" s="1038">
        <f t="shared" ref="G81" si="69">100*(B81/B57-1)</f>
        <v>4.3379905699625576</v>
      </c>
      <c r="H81" s="861">
        <f t="shared" si="54"/>
        <v>1.1289530739900815</v>
      </c>
    </row>
    <row r="82" spans="1:8" ht="16.5" customHeight="1">
      <c r="A82" s="1032" t="str">
        <f>'Pn275'!A82</f>
        <v>NOVEMBRO|16</v>
      </c>
      <c r="B82" s="918">
        <f>'[115]nov-16'!$I$36</f>
        <v>964.73800000000006</v>
      </c>
      <c r="C82" s="918">
        <f t="shared" ref="C82" si="70">100*B82/$B$8</f>
        <v>102.38597578577371</v>
      </c>
      <c r="D82" s="1036">
        <f t="shared" ref="D82" si="71">100*((B82/B81)-1)</f>
        <v>0.17548450336848376</v>
      </c>
      <c r="E82" s="1036">
        <f>100*((B82/$B$71)-1)</f>
        <v>5.380104949949982</v>
      </c>
      <c r="F82" s="1037">
        <f t="shared" ref="F82" si="72">100*((B82/B70)-1)</f>
        <v>3.5726708607991986</v>
      </c>
      <c r="G82" s="1038">
        <f t="shared" ref="G82" si="73">100*(B82/B58-1)</f>
        <v>6.7769184113477765</v>
      </c>
      <c r="H82" s="861">
        <f t="shared" si="54"/>
        <v>1.1269754067943836</v>
      </c>
    </row>
    <row r="83" spans="1:8" ht="16.5" customHeight="1">
      <c r="A83" s="1032" t="str">
        <f>'Pn275'!A83</f>
        <v>DEZEMBRO|16</v>
      </c>
      <c r="B83" s="918">
        <f>'[115]dez-16'!$I$36</f>
        <v>964.73800000000006</v>
      </c>
      <c r="C83" s="918">
        <f t="shared" ref="C83" si="74">100*B83/$B$8</f>
        <v>102.38597578577371</v>
      </c>
      <c r="D83" s="1036">
        <f t="shared" ref="D83" si="75">100*((B83/B82)-1)</f>
        <v>0</v>
      </c>
      <c r="E83" s="1036">
        <f t="shared" ref="E83" si="76">100*((B83/$B$71)-1)</f>
        <v>5.380104949949982</v>
      </c>
      <c r="F83" s="1037">
        <f t="shared" ref="F83" si="77">100*((B83/B71)-1)</f>
        <v>5.380104949949982</v>
      </c>
      <c r="G83" s="1038">
        <f t="shared" ref="G83" si="78">100*(B83/B59-1)</f>
        <v>8.7913773232985104</v>
      </c>
      <c r="H83" s="861">
        <f t="shared" si="54"/>
        <v>1.1269754067943836</v>
      </c>
    </row>
    <row r="84" spans="1:8" ht="16.5" customHeight="1">
      <c r="A84" s="1032" t="str">
        <f>'Pn275'!A84</f>
        <v>JANEIRO|17</v>
      </c>
      <c r="B84" s="918">
        <f>'[111]jan-17'!$I$36</f>
        <v>952.08400000000006</v>
      </c>
      <c r="C84" s="918">
        <f t="shared" ref="C84" si="79">100*B84/$B$8</f>
        <v>101.04302864614287</v>
      </c>
      <c r="D84" s="1036">
        <f t="shared" ref="D84" si="80">100*((B84/B83)-1)</f>
        <v>-1.3116514535552626</v>
      </c>
      <c r="E84" s="1036">
        <f t="shared" ref="E84:E89" si="81">100*((B84/$B$83)-1)</f>
        <v>-1.3116514535552626</v>
      </c>
      <c r="F84" s="1037">
        <f t="shared" ref="F84" si="82">100*((B84/B72)-1)</f>
        <v>2.497179423138185</v>
      </c>
      <c r="G84" s="1038">
        <f t="shared" ref="G84" si="83">100*(B84/B60-1)</f>
        <v>7.8123053717951141</v>
      </c>
      <c r="H84" s="861">
        <f t="shared" si="54"/>
        <v>1.1419538612139266</v>
      </c>
    </row>
    <row r="85" spans="1:8" ht="16.5" customHeight="1">
      <c r="A85" s="1032" t="str">
        <f>'Pn275'!A85</f>
        <v>FEVEREIRO|17</v>
      </c>
      <c r="B85" s="918">
        <f>'[111]fev-17'!$I$36</f>
        <v>958.41199999999992</v>
      </c>
      <c r="C85" s="918">
        <f t="shared" ref="C85" si="84">100*B85/$B$8</f>
        <v>101.71460834422916</v>
      </c>
      <c r="D85" s="1036">
        <f t="shared" ref="D85" si="85">100*((B85/B84)-1)</f>
        <v>0.6646472370084755</v>
      </c>
      <c r="E85" s="1036">
        <f t="shared" si="81"/>
        <v>-0.65572207169202201</v>
      </c>
      <c r="F85" s="1037">
        <f t="shared" ref="F85" si="86">100*((B85/B73)-1)</f>
        <v>1.4390103469881899</v>
      </c>
      <c r="G85" s="1038">
        <f t="shared" ref="G85" si="87">100*(B85/B61-1)</f>
        <v>5.6504187822574936</v>
      </c>
      <c r="H85" s="861">
        <f t="shared" si="54"/>
        <v>1.1344140098412794</v>
      </c>
    </row>
    <row r="86" spans="1:8" ht="16.5" customHeight="1">
      <c r="A86" s="1032" t="str">
        <f>'Pn275'!A86</f>
        <v>MARÇO|17</v>
      </c>
      <c r="B86" s="918">
        <f>'[111]mar-17'!$I$36</f>
        <v>958.41199999999992</v>
      </c>
      <c r="C86" s="918">
        <f t="shared" ref="C86" si="88">100*B86/$B$8</f>
        <v>101.71460834422916</v>
      </c>
      <c r="D86" s="1036">
        <f t="shared" ref="D86" si="89">100*((B86/B85)-1)</f>
        <v>0</v>
      </c>
      <c r="E86" s="1036">
        <f t="shared" si="81"/>
        <v>-0.65572207169202201</v>
      </c>
      <c r="F86" s="1037">
        <f t="shared" ref="F86" si="90">100*((B86/B74)-1)</f>
        <v>2.6873667405955093</v>
      </c>
      <c r="G86" s="1038">
        <f t="shared" ref="G86" si="91">100*(B86/B62-1)</f>
        <v>4.7030573696526634</v>
      </c>
      <c r="H86" s="861">
        <f t="shared" si="54"/>
        <v>1.1344140098412794</v>
      </c>
    </row>
    <row r="87" spans="1:8" ht="16.5" customHeight="1">
      <c r="A87" s="1032" t="str">
        <f>'Pn275'!A87</f>
        <v>ABRIL|17</v>
      </c>
      <c r="B87" s="918">
        <f>'[111]abr-17'!$I$36</f>
        <v>993.79200000000003</v>
      </c>
      <c r="C87" s="918">
        <f t="shared" ref="C87" si="92">100*B87/$B$8</f>
        <v>105.4694265677268</v>
      </c>
      <c r="D87" s="1036">
        <f t="shared" ref="D87" si="93">100*((B87/B86)-1)</f>
        <v>3.6915230610635286</v>
      </c>
      <c r="E87" s="1036">
        <f t="shared" si="81"/>
        <v>3.011594857878519</v>
      </c>
      <c r="F87" s="1037">
        <f t="shared" ref="F87" si="94">100*((B87/B75)-1)</f>
        <v>5.70635987678485</v>
      </c>
      <c r="G87" s="1038">
        <f t="shared" ref="G87" si="95">100*(B87/B63-1)</f>
        <v>14.174896485802147</v>
      </c>
      <c r="H87" s="861">
        <f t="shared" si="54"/>
        <v>1.094027724111283</v>
      </c>
    </row>
    <row r="88" spans="1:8" ht="16.5" customHeight="1">
      <c r="A88" s="1032" t="str">
        <f>'Pn275'!A88</f>
        <v>MAIO|17</v>
      </c>
      <c r="B88" s="918">
        <f>'[111]mai-17'!$I$36</f>
        <v>992.69400000000007</v>
      </c>
      <c r="C88" s="918">
        <f t="shared" ref="C88" si="96">100*B88/$B$8</f>
        <v>105.35289772630793</v>
      </c>
      <c r="D88" s="1036">
        <f t="shared" ref="D88" si="97">100*((B88/B87)-1)</f>
        <v>-0.11048589644512274</v>
      </c>
      <c r="E88" s="1036">
        <f t="shared" si="81"/>
        <v>2.8977815738573609</v>
      </c>
      <c r="F88" s="1037">
        <f t="shared" ref="F88" si="98">100*((B88/B76)-1)</f>
        <v>3.5555648282408869</v>
      </c>
      <c r="G88" s="1038">
        <f t="shared" ref="G88" si="99">100*(B88/B64-1)</f>
        <v>11.738022449043939</v>
      </c>
      <c r="H88" s="861">
        <f t="shared" si="54"/>
        <v>1.0952378074210181</v>
      </c>
    </row>
    <row r="89" spans="1:8" ht="16.5" customHeight="1">
      <c r="A89" s="1032" t="str">
        <f>'Pn275'!A89</f>
        <v>JUNHO|17</v>
      </c>
      <c r="B89" s="918">
        <f>'[111]jun-17'!$I$36</f>
        <v>991.94599999999991</v>
      </c>
      <c r="C89" s="918">
        <f t="shared" ref="C89" si="100">100*B89/$B$8</f>
        <v>105.27351377969467</v>
      </c>
      <c r="D89" s="1036">
        <f t="shared" ref="D89" si="101">100*((B89/B88)-1)</f>
        <v>-7.5350510832150608E-2</v>
      </c>
      <c r="E89" s="1036">
        <f t="shared" si="81"/>
        <v>2.8202475698064999</v>
      </c>
      <c r="F89" s="1037">
        <f t="shared" ref="F89" si="102">100*((B89/B77)-1)</f>
        <v>3.0197222885747665</v>
      </c>
      <c r="G89" s="1038">
        <f t="shared" ref="G89" si="103">100*(B89/B65-1)</f>
        <v>11.354262787914692</v>
      </c>
      <c r="H89" s="861">
        <f t="shared" si="54"/>
        <v>1.0960636970157651</v>
      </c>
    </row>
    <row r="90" spans="1:8" ht="16.5" customHeight="1">
      <c r="A90" s="1032" t="str">
        <f>'Pn275'!A90</f>
        <v>JULHO|17</v>
      </c>
      <c r="B90" s="918">
        <f>'[111]jul-17'!$I$36</f>
        <v>996.26999999999987</v>
      </c>
      <c r="C90" s="918">
        <f t="shared" ref="C90" si="104">100*B90/$B$8</f>
        <v>105.73241242295084</v>
      </c>
      <c r="D90" s="1036">
        <f t="shared" ref="D90" si="105">100*((B90/B89)-1)</f>
        <v>0.43591082579090834</v>
      </c>
      <c r="E90" s="1036">
        <f t="shared" ref="E90" si="106">100*((B90/$B$83)-1)</f>
        <v>3.2684521600683025</v>
      </c>
      <c r="F90" s="1037">
        <f t="shared" ref="F90" si="107">100*((B90/B78)-1)</f>
        <v>4.0771299211693535</v>
      </c>
      <c r="G90" s="1038">
        <f t="shared" ref="G90" si="108">100*(B90/B66-1)</f>
        <v>10.442158847278593</v>
      </c>
      <c r="H90" s="861">
        <f t="shared" si="54"/>
        <v>1.0913065735192269</v>
      </c>
    </row>
    <row r="91" spans="1:8" ht="16.5" customHeight="1">
      <c r="A91" s="1032" t="str">
        <f>'Pn275'!A91</f>
        <v>AGOSTO|17</v>
      </c>
      <c r="B91" s="918">
        <f>'[111]ago-17'!$I$36</f>
        <v>991.89599999999996</v>
      </c>
      <c r="C91" s="918">
        <f t="shared" ref="C91" si="109">100*B91/$B$8</f>
        <v>105.268207366151</v>
      </c>
      <c r="D91" s="1036">
        <f t="shared" ref="D91" si="110">100*((B91/B90)-1)</f>
        <v>-0.43903761028636357</v>
      </c>
      <c r="E91" s="1036">
        <f t="shared" ref="E91" si="111">100*((B91/$B$83)-1)</f>
        <v>2.8150648155250257</v>
      </c>
      <c r="F91" s="1037">
        <f t="shared" ref="F91" si="112">100*((B91/B79)-1)</f>
        <v>3.2121919698322232</v>
      </c>
      <c r="G91" s="1038">
        <f t="shared" ref="G91" si="113">100*(B91/B67-1)</f>
        <v>9.2641959206694047</v>
      </c>
      <c r="H91" s="861">
        <f t="shared" si="54"/>
        <v>1.0961189479542213</v>
      </c>
    </row>
    <row r="92" spans="1:8" ht="16.5" customHeight="1">
      <c r="A92" s="1032" t="str">
        <f>'Pn275'!A92</f>
        <v>SETEMBRO|17</v>
      </c>
      <c r="B92" s="918">
        <f>'[111]set-17'!$I$36</f>
        <v>991.89599999999996</v>
      </c>
      <c r="C92" s="918">
        <f t="shared" ref="C92" si="114">100*B92/$B$8</f>
        <v>105.268207366151</v>
      </c>
      <c r="D92" s="1036">
        <f t="shared" ref="D92" si="115">100*((B92/B91)-1)</f>
        <v>0</v>
      </c>
      <c r="E92" s="1036">
        <f t="shared" ref="E92" si="116">100*((B92/$B$83)-1)</f>
        <v>2.8150648155250257</v>
      </c>
      <c r="F92" s="1037">
        <f t="shared" ref="F92" si="117">100*((B92/B80)-1)</f>
        <v>2.9935643040040816</v>
      </c>
      <c r="G92" s="1038">
        <f t="shared" ref="G92" si="118">100*(B92/B68-1)</f>
        <v>9.9811726198000059</v>
      </c>
      <c r="H92" s="861">
        <f t="shared" si="54"/>
        <v>1.0961189479542213</v>
      </c>
    </row>
    <row r="93" spans="1:8" ht="16.5" customHeight="1">
      <c r="A93" s="1032" t="str">
        <f>'Pn275'!A93</f>
        <v>OUTUBRO|17</v>
      </c>
      <c r="B93" s="918">
        <f>'[111]out-17'!$I$36</f>
        <v>1083.46</v>
      </c>
      <c r="C93" s="918">
        <f t="shared" ref="C93" si="119">100*B93/$B$8</f>
        <v>114.98573636039461</v>
      </c>
      <c r="D93" s="1036">
        <f t="shared" ref="D93" si="120">100*((B93/B92)-1)</f>
        <v>9.2312097236000525</v>
      </c>
      <c r="E93" s="1036">
        <f t="shared" ref="E93" si="121">100*((B93/$B$83)-1)</f>
        <v>12.306139076101497</v>
      </c>
      <c r="F93" s="1037">
        <f t="shared" ref="F93" si="122">100*((B93/B81)-1)</f>
        <v>12.503218946511495</v>
      </c>
      <c r="G93" s="1038">
        <f t="shared" ref="G93" si="123">100*(B93/B69-1)</f>
        <v>14.636809561496689</v>
      </c>
      <c r="H93" s="861">
        <f t="shared" si="54"/>
        <v>1.003485130969302</v>
      </c>
    </row>
    <row r="94" spans="1:8" ht="16.5" customHeight="1">
      <c r="A94" s="1032" t="str">
        <f>'Pn275'!A94</f>
        <v>NOVEMBRO|17</v>
      </c>
      <c r="B94" s="918">
        <f>'[111]nov-17'!$I$36</f>
        <v>1083.46</v>
      </c>
      <c r="C94" s="918">
        <f t="shared" ref="C94" si="124">100*B94/$B$8</f>
        <v>114.98573636039461</v>
      </c>
      <c r="D94" s="1036">
        <f t="shared" ref="D94" si="125">100*((B94/B93)-1)</f>
        <v>0</v>
      </c>
      <c r="E94" s="1036">
        <f t="shared" ref="E94" si="126">100*((B94/$B$83)-1)</f>
        <v>12.306139076101497</v>
      </c>
      <c r="F94" s="1037">
        <f t="shared" ref="F94" si="127">100*((B94/B82)-1)</f>
        <v>12.306139076101497</v>
      </c>
      <c r="G94" s="1038">
        <f t="shared" ref="G94" si="128">100*(B94/B70-1)</f>
        <v>16.318467781762003</v>
      </c>
      <c r="H94" s="861">
        <f t="shared" si="54"/>
        <v>1.003485130969302</v>
      </c>
    </row>
    <row r="95" spans="1:8" ht="16.5" customHeight="1">
      <c r="A95" s="1032" t="str">
        <f>'Pn275'!A95</f>
        <v>DEZEMBRO|17</v>
      </c>
      <c r="B95" s="918">
        <f>'[111]dez-17'!$I$36</f>
        <v>1087.136</v>
      </c>
      <c r="C95" s="918">
        <f t="shared" ref="C95" si="129">100*B95/$B$8</f>
        <v>115.37586388412488</v>
      </c>
      <c r="D95" s="1036">
        <f t="shared" ref="D95" si="130">100*((B95/B94)-1)</f>
        <v>0.33928340686320002</v>
      </c>
      <c r="E95" s="1036">
        <f>100*((B95/$B$83)-1)</f>
        <v>12.68717517087541</v>
      </c>
      <c r="F95" s="1037">
        <f t="shared" ref="F95" si="131">100*((B95/B83)-1)</f>
        <v>12.68717517087541</v>
      </c>
      <c r="G95" s="1038">
        <f t="shared" ref="G95" si="132">100*(B95/B71-1)</f>
        <v>18.749863460202466</v>
      </c>
      <c r="H95" s="861">
        <f t="shared" si="54"/>
        <v>1.000091984811468</v>
      </c>
    </row>
    <row r="96" spans="1:8" ht="16.5" customHeight="1">
      <c r="A96" s="1032" t="str">
        <f>'Pn275'!A96</f>
        <v>JANEIRO|18</v>
      </c>
      <c r="B96" s="918">
        <f>'[112]jan-18'!$I$36</f>
        <v>1084.336</v>
      </c>
      <c r="C96" s="918">
        <f t="shared" ref="C96" si="133">100*B96/$B$8</f>
        <v>115.07870472567964</v>
      </c>
      <c r="D96" s="1036">
        <f t="shared" ref="D96" si="134">100*((B96/B95)-1)</f>
        <v>-0.25755747211020363</v>
      </c>
      <c r="E96" s="1036">
        <f>100*((B96/$B$95)-1)</f>
        <v>-0.25755747211020363</v>
      </c>
      <c r="F96" s="1037">
        <f t="shared" ref="F96" si="135">100*((B96/B84)-1)</f>
        <v>13.890791148680147</v>
      </c>
      <c r="G96" s="1038">
        <f t="shared" ref="G96" si="136">100*(B96/B72-1)</f>
        <v>16.734848550094284</v>
      </c>
      <c r="H96" s="861">
        <f t="shared" si="54"/>
        <v>1.0026744477726461</v>
      </c>
    </row>
    <row r="97" spans="1:8" ht="16.5" customHeight="1">
      <c r="A97" s="1032" t="str">
        <f>'Pn275'!A97</f>
        <v>FEVEREIRO|18</v>
      </c>
      <c r="B97" s="918">
        <f>'[112]fev-18'!$I$36</f>
        <v>1084.336</v>
      </c>
      <c r="C97" s="918">
        <f t="shared" ref="C97" si="137">100*B97/$B$8</f>
        <v>115.07870472567964</v>
      </c>
      <c r="D97" s="1036">
        <f t="shared" ref="D97" si="138">100*((B97/B96)-1)</f>
        <v>0</v>
      </c>
      <c r="E97" s="1036">
        <f t="shared" ref="E97:E107" si="139">100*((B97/$B$95)-1)</f>
        <v>-0.25755747211020363</v>
      </c>
      <c r="F97" s="1037">
        <f t="shared" ref="F97" si="140">100*((B97/B85)-1)</f>
        <v>13.138817126663692</v>
      </c>
      <c r="G97" s="1038">
        <f t="shared" ref="G97" si="141">100*(B97/B73-1)</f>
        <v>14.766896411576425</v>
      </c>
      <c r="H97" s="861">
        <f t="shared" si="54"/>
        <v>1.0026744477726461</v>
      </c>
    </row>
    <row r="98" spans="1:8" ht="16.5" customHeight="1">
      <c r="A98" s="1032" t="str">
        <f>'Pn275'!A98</f>
        <v>MARÇO|18</v>
      </c>
      <c r="B98" s="918">
        <f>'[112]mar-18'!$I$36</f>
        <v>1094.4939999999999</v>
      </c>
      <c r="C98" s="918">
        <f t="shared" ref="C98" si="142">100*B98/$B$8</f>
        <v>116.1567557012107</v>
      </c>
      <c r="D98" s="1036">
        <f t="shared" ref="D98" si="143">100*((B98/B97)-1)</f>
        <v>0.93679449912202895</v>
      </c>
      <c r="E98" s="1036">
        <f t="shared" si="139"/>
        <v>0.67682424278103781</v>
      </c>
      <c r="F98" s="1037">
        <f t="shared" ref="F98" si="144">100*((B98/B86)-1)</f>
        <v>14.198695341878032</v>
      </c>
      <c r="G98" s="1038">
        <f t="shared" ref="G98" si="145">100*(B98/B74-1)</f>
        <v>17.26763309868964</v>
      </c>
      <c r="H98" s="861">
        <f t="shared" si="54"/>
        <v>0.99336862513636459</v>
      </c>
    </row>
    <row r="99" spans="1:8" ht="16.5" customHeight="1">
      <c r="A99" s="1032" t="str">
        <f>'Pn275'!A99</f>
        <v>ABRIL|18</v>
      </c>
      <c r="B99" s="918">
        <f>'[112]abr-18'!$I$36</f>
        <v>1094.4939999999999</v>
      </c>
      <c r="C99" s="918">
        <f t="shared" ref="C99" si="146">100*B99/$B$8</f>
        <v>116.1567557012107</v>
      </c>
      <c r="D99" s="1036">
        <f t="shared" ref="D99" si="147">100*((B99/B98)-1)</f>
        <v>0</v>
      </c>
      <c r="E99" s="1036">
        <f t="shared" si="139"/>
        <v>0.67682424278103781</v>
      </c>
      <c r="F99" s="1037">
        <f t="shared" ref="F99" si="148">100*((B99/B87)-1)</f>
        <v>10.133106324059749</v>
      </c>
      <c r="G99" s="1038">
        <f t="shared" ref="G99" si="149">100*(B99/B75-1)</f>
        <v>16.417697714392698</v>
      </c>
      <c r="H99" s="861">
        <f t="shared" si="54"/>
        <v>0.99336862513636459</v>
      </c>
    </row>
    <row r="100" spans="1:8" ht="16.5" customHeight="1">
      <c r="A100" s="1032" t="str">
        <f>'Pn275'!A100</f>
        <v>MAIO|18</v>
      </c>
      <c r="B100" s="918">
        <f>'[112]mai-18'!$I$36</f>
        <v>1112.4459999999999</v>
      </c>
      <c r="C100" s="918">
        <f t="shared" ref="C100" si="150">100*B100/$B$8</f>
        <v>118.06197041992833</v>
      </c>
      <c r="D100" s="1036">
        <f t="shared" ref="D100" si="151">100*((B100/B99)-1)</f>
        <v>1.6402099965828976</v>
      </c>
      <c r="E100" s="1036">
        <f t="shared" si="139"/>
        <v>2.3281355782533097</v>
      </c>
      <c r="F100" s="1037">
        <f t="shared" ref="F100" si="152">100*((B100/B88)-1)</f>
        <v>12.063334723489794</v>
      </c>
      <c r="G100" s="1038">
        <f t="shared" ref="G100" si="153">100*(B100/B76-1)</f>
        <v>16.047819238272076</v>
      </c>
      <c r="H100" s="861">
        <f t="shared" si="54"/>
        <v>0.97733822585545738</v>
      </c>
    </row>
    <row r="101" spans="1:8" ht="16.5" customHeight="1">
      <c r="A101" s="1032" t="str">
        <f>'Pn275'!A101</f>
        <v>JUNHO|18</v>
      </c>
      <c r="B101" s="918">
        <f>'[112]jun-18'!$I$36</f>
        <v>1127.2459999999999</v>
      </c>
      <c r="C101" s="918">
        <f t="shared" ref="C101" si="154">100*B101/$B$8</f>
        <v>119.63266882885328</v>
      </c>
      <c r="D101" s="1036">
        <f t="shared" ref="D101" si="155">100*((B101/B100)-1)</f>
        <v>1.33040165545113</v>
      </c>
      <c r="E101" s="1036">
        <f t="shared" si="139"/>
        <v>3.6895107879786782</v>
      </c>
      <c r="F101" s="1037">
        <f t="shared" ref="F101" si="156">100*((B101/B89)-1)</f>
        <v>13.639855395354171</v>
      </c>
      <c r="G101" s="1038">
        <f t="shared" ref="G101" si="157">100*(B101/B77-1)</f>
        <v>17.071463437431824</v>
      </c>
      <c r="H101" s="861">
        <f t="shared" si="54"/>
        <v>0.96450641652310165</v>
      </c>
    </row>
    <row r="102" spans="1:8" ht="16.5" customHeight="1">
      <c r="A102" s="1032" t="str">
        <f>'Pn275'!A102</f>
        <v>JULHO|18</v>
      </c>
      <c r="B102" s="918">
        <f>'[112]jul-18'!$I$36</f>
        <v>1126.9759999999999</v>
      </c>
      <c r="C102" s="918">
        <f t="shared" ref="C102" si="158">100*B102/$B$8</f>
        <v>119.6040141957175</v>
      </c>
      <c r="D102" s="1036">
        <f t="shared" ref="D102" si="159">100*((B102/B101)-1)</f>
        <v>-2.3952180801700695E-2</v>
      </c>
      <c r="E102" s="1036">
        <f t="shared" si="139"/>
        <v>3.6646748888823355</v>
      </c>
      <c r="F102" s="1037">
        <f t="shared" ref="F102" si="160">100*((B102/B90)-1)</f>
        <v>13.119535868790599</v>
      </c>
      <c r="G102" s="1038">
        <f t="shared" ref="G102" si="161">100*(B102/B78-1)</f>
        <v>17.731566312384949</v>
      </c>
      <c r="H102" s="861">
        <f t="shared" si="54"/>
        <v>0.96473749219149318</v>
      </c>
    </row>
    <row r="103" spans="1:8" ht="16.5" customHeight="1">
      <c r="A103" s="1032" t="str">
        <f>'Pn275'!A103</f>
        <v>AGOSTO|18</v>
      </c>
      <c r="B103" s="918">
        <f>'[112]ago-18'!$I$36</f>
        <v>1133.3420000000001</v>
      </c>
      <c r="C103" s="918">
        <f t="shared" ref="C103" si="162">100*B103/$B$8</f>
        <v>120.27962676809699</v>
      </c>
      <c r="D103" s="1036">
        <f t="shared" ref="D103" si="163">100*((B103/B102)-1)</f>
        <v>0.5648744959963814</v>
      </c>
      <c r="E103" s="1036">
        <f t="shared" si="139"/>
        <v>4.250250198687211</v>
      </c>
      <c r="F103" s="1037">
        <f t="shared" ref="F103" si="164">100*((B103/B91)-1)</f>
        <v>14.260164372071271</v>
      </c>
      <c r="G103" s="1038">
        <f t="shared" ref="G103" si="165">100*(B103/B79-1)</f>
        <v>17.930420196748067</v>
      </c>
      <c r="H103" s="861">
        <f t="shared" si="54"/>
        <v>0.9593185463875864</v>
      </c>
    </row>
    <row r="104" spans="1:8" ht="16.5" customHeight="1">
      <c r="A104" s="1032" t="str">
        <f>'Pn275'!A104</f>
        <v>SETEMBRO|18</v>
      </c>
      <c r="B104" s="918">
        <f>'[112]set-18'!$I$36</f>
        <v>1050.028</v>
      </c>
      <c r="C104" s="918">
        <f t="shared" ref="C104" si="166">100*B104/$B$8</f>
        <v>111.43765600855818</v>
      </c>
      <c r="D104" s="1036">
        <f t="shared" ref="D104" si="167">100*((B104/B103)-1)</f>
        <v>-7.3511790792188165</v>
      </c>
      <c r="E104" s="1036">
        <f t="shared" si="139"/>
        <v>-3.4133723839519625</v>
      </c>
      <c r="F104" s="1037">
        <f t="shared" ref="F104" si="168">100*((B104/B92)-1)</f>
        <v>5.8606950728705476</v>
      </c>
      <c r="G104" s="1038">
        <f t="shared" ref="G104" si="169">100*(B104/B80-1)</f>
        <v>9.0297030525426045</v>
      </c>
      <c r="H104" s="861">
        <f t="shared" si="54"/>
        <v>1.0354352455363096</v>
      </c>
    </row>
    <row r="105" spans="1:8" ht="16.5" customHeight="1">
      <c r="A105" s="1032" t="str">
        <f>'Pn275'!A105</f>
        <v>OUTUBRO|18</v>
      </c>
      <c r="B105" s="918">
        <f>'[112]out-18'!$I$36</f>
        <v>1059.0999999999999</v>
      </c>
      <c r="C105" s="918">
        <f t="shared" ref="C105" si="170">100*B105/$B$8</f>
        <v>112.40045168192081</v>
      </c>
      <c r="D105" s="1036">
        <f t="shared" ref="D105" si="171">100*((B105/B104)-1)</f>
        <v>0.86397696061437657</v>
      </c>
      <c r="E105" s="1036">
        <f t="shared" si="139"/>
        <v>-2.5788861743148983</v>
      </c>
      <c r="F105" s="1037">
        <f t="shared" ref="F105" si="172">100*((B105/B93)-1)</f>
        <v>-2.2483525003230476</v>
      </c>
      <c r="G105" s="1038">
        <f t="shared" ref="G105" si="173">100*(B105/B81-1)</f>
        <v>9.9737500103836965</v>
      </c>
      <c r="H105" s="861">
        <f t="shared" si="54"/>
        <v>1.0265659522235862</v>
      </c>
    </row>
    <row r="106" spans="1:8" ht="16.5" customHeight="1">
      <c r="A106" s="1032" t="str">
        <f>'Pn275'!A106</f>
        <v>NOVEMBRO|18</v>
      </c>
      <c r="B106" s="918">
        <f>'[112]nov-18'!$I$36</f>
        <v>1051.4280000000001</v>
      </c>
      <c r="C106" s="918">
        <f t="shared" ref="C106" si="174">100*B106/$B$8</f>
        <v>111.58623558778082</v>
      </c>
      <c r="D106" s="1036">
        <f t="shared" ref="D106" si="175">100*((B106/B105)-1)</f>
        <v>-0.72438863185722013</v>
      </c>
      <c r="E106" s="1036">
        <f t="shared" si="139"/>
        <v>-3.2845936478968496</v>
      </c>
      <c r="F106" s="1037">
        <f t="shared" ref="F106" si="176">100*((B106/B94)-1)</f>
        <v>-2.9564543222638462</v>
      </c>
      <c r="G106" s="1038">
        <f t="shared" ref="G106" si="177">100*(B106/B82-1)</f>
        <v>8.98585937321843</v>
      </c>
      <c r="H106" s="861">
        <f t="shared" si="54"/>
        <v>1.0340565402481197</v>
      </c>
    </row>
    <row r="107" spans="1:8" ht="16.5" customHeight="1">
      <c r="A107" s="1032" t="str">
        <f>'Pn275'!A107</f>
        <v>DEZEMBRO|18</v>
      </c>
      <c r="B107" s="918">
        <f>'[112]dez-18'!$I$36</f>
        <v>1023.2280000000001</v>
      </c>
      <c r="C107" s="918">
        <f t="shared" ref="C107" si="178">100*B107/$B$8</f>
        <v>108.59341834915351</v>
      </c>
      <c r="D107" s="1036">
        <f t="shared" ref="D107" si="179">100*((B107/B106)-1)</f>
        <v>-2.6820666750362432</v>
      </c>
      <c r="E107" s="1036">
        <f t="shared" si="139"/>
        <v>-5.878565331292485</v>
      </c>
      <c r="F107" s="1037">
        <f t="shared" ref="F107:F112" si="180">100*((B107/B95)-1)</f>
        <v>-5.878565331292485</v>
      </c>
      <c r="G107" s="1038">
        <f t="shared" ref="G107" si="181">100*(B107/B83-1)</f>
        <v>6.0627859584674759</v>
      </c>
      <c r="H107" s="861">
        <f t="shared" si="54"/>
        <v>1.0625549730851775</v>
      </c>
    </row>
    <row r="108" spans="1:8" ht="16.5" customHeight="1">
      <c r="A108" s="1032" t="str">
        <f>'Pn275'!A108</f>
        <v>JANEIRO|19</v>
      </c>
      <c r="B108" s="918">
        <f>'[113]jan-19'!$I$36</f>
        <v>1054.0059999999999</v>
      </c>
      <c r="C108" s="918">
        <f t="shared" ref="C108" si="182">100*B108/$B$8</f>
        <v>111.85983427009218</v>
      </c>
      <c r="D108" s="1036">
        <f t="shared" ref="D108" si="183">100*((B108/B107)-1)</f>
        <v>3.0079317610542056</v>
      </c>
      <c r="E108" s="1036">
        <f t="shared" ref="E108:E113" si="184">100*((B108/$B$107)-1)</f>
        <v>3.0079317610542056</v>
      </c>
      <c r="F108" s="1037">
        <f t="shared" si="180"/>
        <v>-2.797103480839902</v>
      </c>
      <c r="G108" s="1038">
        <f t="shared" ref="G108" si="185">100*(B108/B84-1)</f>
        <v>10.705147865104326</v>
      </c>
      <c r="H108" s="861">
        <f t="shared" si="54"/>
        <v>1.0315273347590055</v>
      </c>
    </row>
    <row r="109" spans="1:8" ht="16.5" customHeight="1">
      <c r="A109" s="1032" t="str">
        <f>'Pn275'!A109</f>
        <v>FEVEREIRO|19</v>
      </c>
      <c r="B109" s="918">
        <f>'[113]fev-19'!$I$36</f>
        <v>1075.8820000000001</v>
      </c>
      <c r="C109" s="918">
        <f t="shared" ref="C109" si="186">100*B109/$B$8</f>
        <v>114.1814963237167</v>
      </c>
      <c r="D109" s="1036">
        <f t="shared" ref="D109" si="187">100*((B109/B108)-1)</f>
        <v>2.0755100065844134</v>
      </c>
      <c r="E109" s="1036">
        <f t="shared" si="184"/>
        <v>5.1458716923305392</v>
      </c>
      <c r="F109" s="1037">
        <f t="shared" si="180"/>
        <v>-0.7796476368948313</v>
      </c>
      <c r="G109" s="1038">
        <f t="shared" ref="G109" si="188">100*(B109/B85-1)</f>
        <v>12.256733012524901</v>
      </c>
      <c r="H109" s="861">
        <f t="shared" si="54"/>
        <v>1.0105532019310668</v>
      </c>
    </row>
    <row r="110" spans="1:8" ht="16.5" customHeight="1">
      <c r="A110" s="1032" t="str">
        <f>'Pn275'!A110</f>
        <v>MARÇO|19</v>
      </c>
      <c r="B110" s="918">
        <f>'[113]mar-19'!$I$36</f>
        <v>1075.8820000000001</v>
      </c>
      <c r="C110" s="918">
        <f t="shared" ref="C110" si="189">100*B110/$B$8</f>
        <v>114.1814963237167</v>
      </c>
      <c r="D110" s="1036">
        <f t="shared" ref="D110" si="190">100*((B110/B109)-1)</f>
        <v>0</v>
      </c>
      <c r="E110" s="1036">
        <f t="shared" si="184"/>
        <v>5.1458716923305392</v>
      </c>
      <c r="F110" s="1037">
        <f t="shared" si="180"/>
        <v>-1.700511834692553</v>
      </c>
      <c r="G110" s="1038">
        <f t="shared" ref="G110" si="191">100*(B110/B86-1)</f>
        <v>12.256733012524901</v>
      </c>
      <c r="H110" s="861">
        <f t="shared" si="54"/>
        <v>1.0105532019310668</v>
      </c>
    </row>
    <row r="111" spans="1:8" ht="16.5" customHeight="1">
      <c r="A111" s="1032" t="str">
        <f>'Pn275'!A111</f>
        <v>ABRIL|19</v>
      </c>
      <c r="B111" s="918">
        <f>'[113]abr-19'!$I$36</f>
        <v>1075.8820000000001</v>
      </c>
      <c r="C111" s="918">
        <f t="shared" ref="C111" si="192">100*B111/$B$8</f>
        <v>114.1814963237167</v>
      </c>
      <c r="D111" s="1036">
        <f t="shared" ref="D111" si="193">100*((B111/B110)-1)</f>
        <v>0</v>
      </c>
      <c r="E111" s="1036">
        <f t="shared" si="184"/>
        <v>5.1458716923305392</v>
      </c>
      <c r="F111" s="1037">
        <f t="shared" si="180"/>
        <v>-1.700511834692553</v>
      </c>
      <c r="G111" s="1038">
        <f t="shared" ref="G111" si="194">100*(B111/B87-1)</f>
        <v>8.2602798171045997</v>
      </c>
      <c r="H111" s="861">
        <f t="shared" si="54"/>
        <v>1.0105532019310668</v>
      </c>
    </row>
    <row r="112" spans="1:8" ht="16.5" customHeight="1">
      <c r="A112" s="1032" t="str">
        <f>'Pn275'!A112</f>
        <v>MAIO|19</v>
      </c>
      <c r="B112" s="918">
        <f>'[113]mai-19'!$I$36</f>
        <v>1069.5520000000001</v>
      </c>
      <c r="C112" s="918">
        <f t="shared" ref="C112" si="195">100*B112/$B$8</f>
        <v>113.50970436908865</v>
      </c>
      <c r="D112" s="1036">
        <f t="shared" ref="D112" si="196">100*((B112/B111)-1)</f>
        <v>-0.58835448497139842</v>
      </c>
      <c r="E112" s="1036">
        <f t="shared" si="184"/>
        <v>4.5272412404664619</v>
      </c>
      <c r="F112" s="1037">
        <f t="shared" si="180"/>
        <v>-3.8558276087108712</v>
      </c>
      <c r="G112" s="1038">
        <f t="shared" ref="G112" si="197">100*(B112/B88-1)</f>
        <v>7.7423657239793942</v>
      </c>
      <c r="H112" s="861">
        <f t="shared" si="54"/>
        <v>1.0165340254611277</v>
      </c>
    </row>
    <row r="113" spans="1:8" ht="16.5" customHeight="1">
      <c r="A113" s="1032" t="str">
        <f>'Pn275'!A113</f>
        <v>JUNHO|19</v>
      </c>
      <c r="B113" s="918">
        <f>'[113]jun-19'!$I$36</f>
        <v>1053.5319999999999</v>
      </c>
      <c r="C113" s="918">
        <f t="shared" ref="C113" si="198">100*B113/$B$8</f>
        <v>111.80952946969825</v>
      </c>
      <c r="D113" s="1036">
        <f t="shared" ref="D113" si="199">100*((B113/B112)-1)</f>
        <v>-1.4978233877361968</v>
      </c>
      <c r="E113" s="1036">
        <f t="shared" si="184"/>
        <v>2.961607774611319</v>
      </c>
      <c r="F113" s="1037">
        <f t="shared" ref="F113" si="200">100*((B113/B101)-1)</f>
        <v>-6.5393002059887522</v>
      </c>
      <c r="G113" s="1038">
        <f t="shared" ref="G113" si="201">100*(B113/B89-1)</f>
        <v>6.2086040974004719</v>
      </c>
      <c r="H113" s="861">
        <f t="shared" si="54"/>
        <v>1.0319914345269059</v>
      </c>
    </row>
    <row r="114" spans="1:8" ht="16.5" customHeight="1">
      <c r="A114" s="1032" t="str">
        <f>'Pn275'!A114</f>
        <v>JULHO|19</v>
      </c>
      <c r="B114" s="918">
        <f>'[113]jul-19'!$I$36</f>
        <v>1027.5520000000001</v>
      </c>
      <c r="C114" s="918">
        <f t="shared" ref="C114" si="202">100*B114/$B$8</f>
        <v>109.05231699240971</v>
      </c>
      <c r="D114" s="1036">
        <f t="shared" ref="D114" si="203">100*((B114/B113)-1)</f>
        <v>-2.4659905916478819</v>
      </c>
      <c r="E114" s="1036">
        <f t="shared" ref="E114" si="204">100*((B114/$B$107)-1)</f>
        <v>0.42258421387999512</v>
      </c>
      <c r="F114" s="1037">
        <f t="shared" ref="F114" si="205">100*((B114/B102)-1)</f>
        <v>-8.8221931966607769</v>
      </c>
      <c r="G114" s="1038">
        <f t="shared" ref="G114" si="206">100*(B114/B90-1)</f>
        <v>3.1399118712799101</v>
      </c>
      <c r="H114" s="861">
        <f t="shared" si="54"/>
        <v>1.058083678490237</v>
      </c>
    </row>
    <row r="115" spans="1:8" ht="16.5" customHeight="1">
      <c r="A115" s="1032" t="str">
        <f>'Pn275'!A115</f>
        <v>AGOSTO|19</v>
      </c>
      <c r="B115" s="918">
        <f>'[113]ago-19'!$I$36</f>
        <v>1028.5639999999999</v>
      </c>
      <c r="C115" s="918">
        <f t="shared" ref="C115" si="207">100*B115/$B$8</f>
        <v>109.15971880253346</v>
      </c>
      <c r="D115" s="1036">
        <f t="shared" ref="D115" si="208">100*((B115/B114)-1)</f>
        <v>9.8486499953254203E-2</v>
      </c>
      <c r="E115" s="1036">
        <f t="shared" ref="E115" si="209">100*((B115/$B$107)-1)</f>
        <v>0.52148690223485783</v>
      </c>
      <c r="F115" s="1037">
        <f t="shared" ref="F115" si="210">100*((B115/B103)-1)</f>
        <v>-9.2450469496409902</v>
      </c>
      <c r="G115" s="1038">
        <f t="shared" ref="G115" si="211">100*(B115/B91-1)</f>
        <v>3.6967585311363127</v>
      </c>
      <c r="H115" s="861">
        <f t="shared" si="54"/>
        <v>1.0570426341968029</v>
      </c>
    </row>
    <row r="116" spans="1:8" ht="16.5" customHeight="1">
      <c r="A116" s="1032" t="str">
        <f>'Pn275'!A116</f>
        <v>SETEMBRO|19</v>
      </c>
      <c r="B116" s="918">
        <f>'[113]set-19'!$I$36</f>
        <v>1037.2459999999999</v>
      </c>
      <c r="C116" s="918">
        <f t="shared" ref="C116" si="212">100*B116/$B$8</f>
        <v>110.08112445025554</v>
      </c>
      <c r="D116" s="1036">
        <f t="shared" ref="D116" si="213">100*((B116/B115)-1)</f>
        <v>0.84408942953477784</v>
      </c>
      <c r="E116" s="1036">
        <f t="shared" ref="E116" si="214">100*((B116/$B$107)-1)</f>
        <v>1.3699781475878137</v>
      </c>
      <c r="F116" s="1037">
        <f t="shared" ref="F116" si="215">100*((B116/B104)-1)</f>
        <v>-1.2173008719767564</v>
      </c>
      <c r="G116" s="1038">
        <f t="shared" ref="G116" si="216">100*(B116/B92-1)</f>
        <v>4.5720519086678291</v>
      </c>
      <c r="H116" s="861">
        <f t="shared" si="54"/>
        <v>1.04819493157843</v>
      </c>
    </row>
    <row r="117" spans="1:8" ht="16.5" customHeight="1">
      <c r="A117" s="1032" t="str">
        <f>'Pn275'!A117</f>
        <v>OUTUBRO|19</v>
      </c>
      <c r="B117" s="918">
        <f>'[113]out-19'!$I$36</f>
        <v>1107.1380000000001</v>
      </c>
      <c r="C117" s="918">
        <f t="shared" ref="C117" si="217">100*B117/$B$8</f>
        <v>117.49864155813283</v>
      </c>
      <c r="D117" s="1036">
        <f t="shared" ref="D117" si="218">100*((B117/B116)-1)</f>
        <v>6.7382279613515284</v>
      </c>
      <c r="E117" s="1036">
        <f t="shared" ref="E117" si="219">100*((B117/$B$107)-1)</f>
        <v>8.2005183595445175</v>
      </c>
      <c r="F117" s="1037">
        <f t="shared" ref="F117" si="220">100*((B117/B105)-1)</f>
        <v>4.5357378906619061</v>
      </c>
      <c r="G117" s="1038">
        <f t="shared" ref="G117" si="221">100*(B117/B93-1)</f>
        <v>2.1854060140660492</v>
      </c>
      <c r="H117" s="861">
        <f t="shared" si="54"/>
        <v>0.98202392113720238</v>
      </c>
    </row>
    <row r="118" spans="1:8" ht="16.5" customHeight="1">
      <c r="A118" s="1032" t="str">
        <f>'Pn275'!A118</f>
        <v>NOVEMBRO|19</v>
      </c>
      <c r="B118" s="918">
        <f>'[113]nov-19'!$I$36</f>
        <v>1089.828</v>
      </c>
      <c r="C118" s="918">
        <f t="shared" ref="C118" si="222">100*B118/$B$8</f>
        <v>115.66156118931585</v>
      </c>
      <c r="D118" s="1036">
        <f t="shared" ref="D118" si="223">100*((B118/B117)-1)</f>
        <v>-1.5634907301528944</v>
      </c>
      <c r="E118" s="1036">
        <f t="shared" ref="E118" si="224">100*((B118/$B$107)-1)</f>
        <v>6.5088132850156466</v>
      </c>
      <c r="F118" s="1037">
        <f t="shared" ref="F118" si="225">100*((B118/B106)-1)</f>
        <v>3.6521758979216612</v>
      </c>
      <c r="G118" s="1038">
        <f t="shared" ref="G118" si="226">100*(B118/B94-1)</f>
        <v>0.58774666346703697</v>
      </c>
      <c r="H118" s="861">
        <f t="shared" si="54"/>
        <v>0.99762164304826095</v>
      </c>
    </row>
    <row r="119" spans="1:8" ht="16.5" customHeight="1">
      <c r="A119" s="1032" t="str">
        <f>'Pn275'!A119</f>
        <v>DEZEMBRO|19</v>
      </c>
      <c r="B119" s="918">
        <f>'[113]dez-19'!$I$36</f>
        <v>1075.828</v>
      </c>
      <c r="C119" s="918">
        <f t="shared" ref="C119" si="227">100*B119/$B$8</f>
        <v>114.17576539708953</v>
      </c>
      <c r="D119" s="1036">
        <f t="shared" ref="D119" si="228">100*((B119/B118)-1)</f>
        <v>-1.2846063782541828</v>
      </c>
      <c r="E119" s="1036">
        <f t="shared" ref="E119" si="229">100*((B119/$B$107)-1)</f>
        <v>5.1405942761534984</v>
      </c>
      <c r="F119" s="1037">
        <f t="shared" ref="F119" si="230">100*((B119/B107)-1)</f>
        <v>5.1405942761534984</v>
      </c>
      <c r="G119" s="1038">
        <f t="shared" ref="G119" si="231">100*(B119/B95-1)</f>
        <v>-1.040164248079356</v>
      </c>
      <c r="H119" s="861">
        <f t="shared" si="54"/>
        <v>1.0106039255345651</v>
      </c>
    </row>
    <row r="120" spans="1:8" ht="16.5" customHeight="1">
      <c r="A120" s="1032" t="str">
        <f>'Pn275'!A120</f>
        <v>JANEIRO|20</v>
      </c>
      <c r="B120" s="918">
        <f>'[114]jan-20'!$I$36</f>
        <v>1070.7180000000001</v>
      </c>
      <c r="C120" s="918">
        <f t="shared" ref="C120" si="232">100*B120/$B$8</f>
        <v>113.63344993292692</v>
      </c>
      <c r="D120" s="1036">
        <f t="shared" ref="D120" si="233">100*((B120/B119)-1)</f>
        <v>-0.47498298984595122</v>
      </c>
      <c r="E120" s="1036">
        <f t="shared" ref="E120:E125" si="234">100*((B120/$B$119)-1)</f>
        <v>-0.47498298984595122</v>
      </c>
      <c r="F120" s="1037">
        <f t="shared" ref="F120" si="235">100*((B120/B108)-1)</f>
        <v>1.5855697216144993</v>
      </c>
      <c r="G120" s="1038">
        <f t="shared" ref="G120" si="236">100*(B120/B96-1)</f>
        <v>-1.2558837850998206</v>
      </c>
      <c r="H120" s="861">
        <f t="shared" si="54"/>
        <v>1.0154270312070965</v>
      </c>
    </row>
    <row r="121" spans="1:8" ht="16.5" customHeight="1">
      <c r="A121" s="1032" t="str">
        <f>'Pn275'!A121</f>
        <v>FEVEREIRO|20</v>
      </c>
      <c r="B121" s="918">
        <f>'[114]fev-20'!$I$36</f>
        <v>1070.7180000000001</v>
      </c>
      <c r="C121" s="918">
        <f t="shared" ref="C121" si="237">100*B121/$B$8</f>
        <v>113.63344993292692</v>
      </c>
      <c r="D121" s="1036">
        <f t="shared" ref="D121" si="238">100*((B121/B120)-1)</f>
        <v>0</v>
      </c>
      <c r="E121" s="1036">
        <f t="shared" si="234"/>
        <v>-0.47498298984595122</v>
      </c>
      <c r="F121" s="1037">
        <f t="shared" ref="F121" si="239">100*((B121/B109)-1)</f>
        <v>-0.47997828758171712</v>
      </c>
      <c r="G121" s="1038">
        <f t="shared" ref="G121" si="240">100*(B121/B97-1)</f>
        <v>-1.2558837850998206</v>
      </c>
      <c r="H121" s="861">
        <f t="shared" si="54"/>
        <v>1.0154270312070965</v>
      </c>
    </row>
    <row r="122" spans="1:8" ht="16.5" customHeight="1">
      <c r="A122" s="1032" t="str">
        <f>'Pn275'!A122</f>
        <v>MARÇO|20</v>
      </c>
      <c r="B122" s="918">
        <f>'[114]mar-20'!$I$36</f>
        <v>1097.48</v>
      </c>
      <c r="C122" s="918">
        <f t="shared" ref="C122" si="241">100*B122/$B$8</f>
        <v>116.4736547180384</v>
      </c>
      <c r="D122" s="1036">
        <f t="shared" ref="D122" si="242">100*((B122/B121)-1)</f>
        <v>2.4994442981251863</v>
      </c>
      <c r="E122" s="1036">
        <f t="shared" si="234"/>
        <v>2.0125893730224664</v>
      </c>
      <c r="F122" s="1037">
        <f t="shared" ref="F122" si="243">100*((B122/B110)-1)</f>
        <v>2.0074692206022648</v>
      </c>
      <c r="G122" s="1038">
        <f t="shared" ref="G122" si="244">100*(B122/B98-1)</f>
        <v>0.27282013423555185</v>
      </c>
      <c r="H122" s="861">
        <f t="shared" si="54"/>
        <v>0.99066588912782017</v>
      </c>
    </row>
    <row r="123" spans="1:8" ht="16.5" customHeight="1">
      <c r="A123" s="1032" t="str">
        <f>'Pn275'!A123</f>
        <v>ABRIL|20</v>
      </c>
      <c r="B123" s="918">
        <f>'[114]abr-20'!$I$36</f>
        <v>1064.03</v>
      </c>
      <c r="C123" s="918">
        <f t="shared" ref="C123" si="245">100*B123/$B$8</f>
        <v>112.92366405732623</v>
      </c>
      <c r="D123" s="1036">
        <f t="shared" ref="D123" si="246">100*((B123/B122)-1)</f>
        <v>-3.0478915333309042</v>
      </c>
      <c r="E123" s="1036">
        <f t="shared" si="234"/>
        <v>-1.0966437014095165</v>
      </c>
      <c r="F123" s="1037">
        <f t="shared" ref="F123" si="247">100*((B123/B111)-1)</f>
        <v>-1.1016077971376159</v>
      </c>
      <c r="G123" s="1038">
        <f t="shared" ref="G123" si="248">100*(B123/B99-1)</f>
        <v>-2.783386660867937</v>
      </c>
      <c r="H123" s="861">
        <f t="shared" si="54"/>
        <v>1.0218095354454293</v>
      </c>
    </row>
    <row r="124" spans="1:8" ht="16.5" customHeight="1">
      <c r="A124" s="1032" t="str">
        <f>'Pn275'!A124</f>
        <v>MAIO|20</v>
      </c>
      <c r="B124" s="918">
        <f>'[114]mai-20'!$I$36</f>
        <v>1079.8399999999999</v>
      </c>
      <c r="C124" s="918">
        <f t="shared" ref="C124" si="249">100*B124/$B$8</f>
        <v>114.60155201983322</v>
      </c>
      <c r="D124" s="1036">
        <f t="shared" ref="D124" si="250">100*((B124/B123)-1)</f>
        <v>1.4858603610800492</v>
      </c>
      <c r="E124" s="1036">
        <f t="shared" si="234"/>
        <v>0.37292206560899377</v>
      </c>
      <c r="F124" s="1037">
        <f t="shared" ref="F124" si="251">100*((B124/B112)-1)</f>
        <v>0.96189806573216963</v>
      </c>
      <c r="G124" s="1038">
        <f t="shared" ref="G124" si="252">100*(B124/B100-1)</f>
        <v>-2.9310186741648536</v>
      </c>
      <c r="H124" s="861">
        <f t="shared" si="54"/>
        <v>1.0068491628389393</v>
      </c>
    </row>
    <row r="125" spans="1:8" ht="16.5" customHeight="1">
      <c r="A125" s="1032" t="str">
        <f>'Pn275'!A125</f>
        <v>JUNHO|20</v>
      </c>
      <c r="B125" s="918">
        <f>'[114]jun-20'!$I$36</f>
        <v>1076.306</v>
      </c>
      <c r="C125" s="918">
        <f t="shared" ref="C125" si="253">100*B125/$B$8</f>
        <v>114.22649471056698</v>
      </c>
      <c r="D125" s="1036">
        <f t="shared" ref="D125" si="254">100*((B125/B124)-1)</f>
        <v>-0.32727070677136538</v>
      </c>
      <c r="E125" s="1036">
        <f t="shared" si="234"/>
        <v>4.4430894157798662E-2</v>
      </c>
      <c r="F125" s="1037">
        <f t="shared" ref="F125" si="255">100*((B125/B113)-1)</f>
        <v>2.1616808981597346</v>
      </c>
      <c r="G125" s="1038">
        <f t="shared" ref="G125" si="256">100*(B125/B101-1)</f>
        <v>-4.5189781112552012</v>
      </c>
      <c r="H125" s="861">
        <f t="shared" si="54"/>
        <v>1.0101551045892154</v>
      </c>
    </row>
    <row r="126" spans="1:8" ht="16.5" customHeight="1">
      <c r="A126" s="1032" t="str">
        <f>'Pn275'!A126</f>
        <v>JULHO|20</v>
      </c>
      <c r="B126" s="918">
        <f>'[114]jul-20'!$I$36</f>
        <v>1092.6299999999999</v>
      </c>
      <c r="C126" s="918">
        <f t="shared" ref="C126" si="257">100*B126/$B$8</f>
        <v>115.95893260430284</v>
      </c>
      <c r="D126" s="1036">
        <f t="shared" ref="D126" si="258">100*((B126/B125)-1)</f>
        <v>1.516669051366426</v>
      </c>
      <c r="E126" s="1036">
        <f t="shared" ref="E126" si="259">100*((B126/$B$119)-1)</f>
        <v>1.5617738151451732</v>
      </c>
      <c r="F126" s="1037">
        <f t="shared" ref="F126" si="260">100*((B126/B114)-1)</f>
        <v>6.3333047865217207</v>
      </c>
      <c r="G126" s="1038">
        <f t="shared" ref="G126" si="261">100*(B126/B102-1)</f>
        <v>-3.0476247941393586</v>
      </c>
      <c r="H126" s="861">
        <f t="shared" si="54"/>
        <v>0.99506328766371066</v>
      </c>
    </row>
    <row r="127" spans="1:8" ht="16.5" customHeight="1">
      <c r="A127" s="1032" t="str">
        <f>'Pn275'!A127</f>
        <v>AGOSTO|20</v>
      </c>
      <c r="B127" s="918">
        <f>'[114]ago-20'!$I$36</f>
        <v>1117.402</v>
      </c>
      <c r="C127" s="918">
        <f t="shared" ref="C127" si="262">100*B127/$B$8</f>
        <v>118.58794213037646</v>
      </c>
      <c r="D127" s="1036">
        <f t="shared" ref="D127" si="263">100*((B127/B126)-1)</f>
        <v>2.2671901741669442</v>
      </c>
      <c r="E127" s="1036">
        <f t="shared" ref="E127" si="264">100*((B127/$B$119)-1)</f>
        <v>3.8643723717917799</v>
      </c>
      <c r="F127" s="1037">
        <f t="shared" ref="F127" si="265">100*((B127/B115)-1)</f>
        <v>8.6370901567622624</v>
      </c>
      <c r="G127" s="1038">
        <f t="shared" ref="G127" si="266">100*(B127/B103-1)</f>
        <v>-1.4064598329542211</v>
      </c>
      <c r="H127" s="926">
        <f t="shared" si="54"/>
        <v>0.97300344907204395</v>
      </c>
    </row>
    <row r="128" spans="1:8" ht="16.5" customHeight="1" thickBot="1">
      <c r="A128" s="1046" t="str">
        <f>'Pn275'!A128</f>
        <v>SETEMBRO|20</v>
      </c>
      <c r="B128" s="1047">
        <f>'[114]set-20'!$I$36</f>
        <v>1087.2360000000001</v>
      </c>
      <c r="C128" s="1047">
        <f t="shared" ref="C128" si="267">100*B128/$B$8</f>
        <v>115.38647671121224</v>
      </c>
      <c r="D128" s="1048">
        <f t="shared" ref="D128" si="268">100*((B128/B127)-1)</f>
        <v>-2.6996550927956053</v>
      </c>
      <c r="E128" s="1048">
        <f t="shared" ref="E128" si="269">100*((B128/$B$119)-1)</f>
        <v>1.0603925534565128</v>
      </c>
      <c r="F128" s="1051">
        <f t="shared" ref="F128" si="270">100*((B128/B116)-1)</f>
        <v>4.8194931578430023</v>
      </c>
      <c r="G128" s="1052">
        <f t="shared" ref="G128" si="271">100*(B128/B104-1)</f>
        <v>3.5435245536309612</v>
      </c>
      <c r="H128" s="1053">
        <f t="shared" si="54"/>
        <v>1</v>
      </c>
    </row>
    <row r="129" spans="1:1">
      <c r="A129" s="758" t="s">
        <v>238</v>
      </c>
    </row>
  </sheetData>
  <mergeCells count="7">
    <mergeCell ref="A7:B7"/>
    <mergeCell ref="C1:H3"/>
    <mergeCell ref="A4:C4"/>
    <mergeCell ref="D4:H4"/>
    <mergeCell ref="A5:C5"/>
    <mergeCell ref="D5:G5"/>
    <mergeCell ref="H5:H6"/>
  </mergeCells>
  <printOptions horizontalCentered="1" verticalCentered="1"/>
  <pageMargins left="0.70866141732283472" right="0.70866141732283472" top="0.74803149606299213" bottom="0.74803149606299213" header="0.31496062992125984" footer="0.31496062992125984"/>
  <pageSetup paperSize="9" scale="37" orientation="portrait" r:id="rId1"/>
  <headerFooter>
    <oddFooter>&amp;L&amp;"Calibri,Regular"&amp;K184782&amp;F&amp;C&amp;"Calibri,Regular"&amp;K184782&amp;A&amp;R&amp;"Calibri,Regular"&amp;K184782&amp;P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31">
    <pageSetUpPr fitToPage="1"/>
  </sheetPr>
  <dimension ref="A1:H130"/>
  <sheetViews>
    <sheetView showGridLines="0" zoomScaleNormal="100" workbookViewId="0">
      <pane ySplit="2595" topLeftCell="A113" activePane="bottomLeft"/>
      <selection activeCell="H105" sqref="H105"/>
      <selection pane="bottomLeft" activeCell="H125" sqref="H125"/>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601" t="s">
        <v>656</v>
      </c>
      <c r="B4" s="1442"/>
      <c r="C4" s="1602"/>
      <c r="D4" s="1432" t="s">
        <v>365</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771" t="s">
        <v>341</v>
      </c>
      <c r="B6" s="772" t="s">
        <v>76</v>
      </c>
      <c r="C6" s="772" t="s">
        <v>68</v>
      </c>
      <c r="D6" s="772" t="s">
        <v>342</v>
      </c>
      <c r="E6" s="772" t="s">
        <v>343</v>
      </c>
      <c r="F6" s="772" t="s">
        <v>344</v>
      </c>
      <c r="G6" s="772" t="s">
        <v>345</v>
      </c>
      <c r="H6" s="1428"/>
    </row>
    <row r="7" spans="1:8" ht="15.75" customHeight="1" thickBot="1">
      <c r="A7" s="1419" t="s">
        <v>347</v>
      </c>
      <c r="B7" s="1420"/>
      <c r="C7" s="952"/>
      <c r="D7" s="952"/>
      <c r="E7" s="952"/>
      <c r="F7" s="952"/>
      <c r="G7" s="952"/>
      <c r="H7" s="953" t="s">
        <v>362</v>
      </c>
    </row>
    <row r="8" spans="1:8" ht="16.5" customHeight="1">
      <c r="A8" s="1013" t="s">
        <v>483</v>
      </c>
      <c r="B8" s="852">
        <f>[122]Janeiro!$J$32</f>
        <v>583.41</v>
      </c>
      <c r="C8" s="967"/>
      <c r="D8" s="967"/>
      <c r="E8" s="967"/>
      <c r="F8" s="968"/>
      <c r="G8" s="969"/>
      <c r="H8" s="856">
        <f>$B$124/B8</f>
        <v>1.1499974289093435</v>
      </c>
    </row>
    <row r="9" spans="1:8" ht="16.5" customHeight="1">
      <c r="A9" s="1014" t="s">
        <v>484</v>
      </c>
      <c r="B9" s="857">
        <f>[122]Fevereiro!$J$32</f>
        <v>643.03</v>
      </c>
      <c r="C9" s="961">
        <f t="shared" ref="C9:C44" si="0">100*B9/$B$8</f>
        <v>110.21922832999093</v>
      </c>
      <c r="D9" s="961">
        <f t="shared" ref="D9:D44" si="1">100*((B9/B8)-1)</f>
        <v>10.219228329990916</v>
      </c>
      <c r="E9" s="961">
        <f>100*((B9/$B$8)-1)</f>
        <v>10.219228329990916</v>
      </c>
      <c r="F9" s="965"/>
      <c r="G9" s="966"/>
      <c r="H9" s="861">
        <f>$B$124/B9</f>
        <v>1.0433727819852885</v>
      </c>
    </row>
    <row r="10" spans="1:8" ht="16.5" customHeight="1">
      <c r="A10" s="1014" t="s">
        <v>485</v>
      </c>
      <c r="B10" s="857">
        <f>[122]Março!$J$32</f>
        <v>493.90499999999997</v>
      </c>
      <c r="C10" s="961">
        <f t="shared" si="0"/>
        <v>84.658302051730345</v>
      </c>
      <c r="D10" s="961">
        <f t="shared" si="1"/>
        <v>-23.190986423650529</v>
      </c>
      <c r="E10" s="961">
        <f t="shared" ref="E10:E19" si="2">100*((B10/$B$8)-1)</f>
        <v>-15.341697948269662</v>
      </c>
      <c r="F10" s="965"/>
      <c r="G10" s="966"/>
      <c r="H10" s="861">
        <f t="shared" ref="H10:H73" si="3">$B$124/B10</f>
        <v>1.3583988823761657</v>
      </c>
    </row>
    <row r="11" spans="1:8" ht="16.5" customHeight="1">
      <c r="A11" s="1014" t="s">
        <v>486</v>
      </c>
      <c r="B11" s="857">
        <f>[122]Abril!$J$32</f>
        <v>520.38</v>
      </c>
      <c r="C11" s="961">
        <f t="shared" si="0"/>
        <v>89.196277060729173</v>
      </c>
      <c r="D11" s="961">
        <f t="shared" si="1"/>
        <v>5.3603425760014645</v>
      </c>
      <c r="E11" s="961">
        <f t="shared" si="2"/>
        <v>-10.803722939270832</v>
      </c>
      <c r="F11" s="965"/>
      <c r="G11" s="966"/>
      <c r="H11" s="861">
        <f t="shared" si="3"/>
        <v>1.2892885967946501</v>
      </c>
    </row>
    <row r="12" spans="1:8" ht="16.5" customHeight="1">
      <c r="A12" s="1014" t="s">
        <v>487</v>
      </c>
      <c r="B12" s="857">
        <f>[122]Maio!$J$32</f>
        <v>546.98500000000001</v>
      </c>
      <c r="C12" s="961">
        <f t="shared" si="0"/>
        <v>93.756534855419005</v>
      </c>
      <c r="D12" s="961">
        <f t="shared" si="1"/>
        <v>5.1126100157577126</v>
      </c>
      <c r="E12" s="961">
        <f t="shared" si="2"/>
        <v>-6.2434651445809948</v>
      </c>
      <c r="F12" s="965"/>
      <c r="G12" s="966"/>
      <c r="H12" s="861">
        <f t="shared" si="3"/>
        <v>1.2265784253681546</v>
      </c>
    </row>
    <row r="13" spans="1:8" ht="16.5" customHeight="1">
      <c r="A13" s="1014" t="s">
        <v>488</v>
      </c>
      <c r="B13" s="857">
        <f>[122]Junho!$J$32</f>
        <v>505.37</v>
      </c>
      <c r="C13" s="961">
        <f t="shared" si="0"/>
        <v>86.623472343634845</v>
      </c>
      <c r="D13" s="961">
        <f t="shared" si="1"/>
        <v>-7.6080696911249852</v>
      </c>
      <c r="E13" s="961">
        <f t="shared" si="2"/>
        <v>-13.376527656365155</v>
      </c>
      <c r="F13" s="965"/>
      <c r="G13" s="966"/>
      <c r="H13" s="861">
        <f t="shared" si="3"/>
        <v>1.3275817717711778</v>
      </c>
    </row>
    <row r="14" spans="1:8" ht="16.5" customHeight="1">
      <c r="A14" s="1014" t="s">
        <v>489</v>
      </c>
      <c r="B14" s="857">
        <f>[122]Julho!$J$32</f>
        <v>537.68499999999995</v>
      </c>
      <c r="C14" s="961">
        <f t="shared" si="0"/>
        <v>92.162458648291931</v>
      </c>
      <c r="D14" s="961">
        <f t="shared" si="1"/>
        <v>6.3943249500366006</v>
      </c>
      <c r="E14" s="961">
        <f t="shared" si="2"/>
        <v>-7.8375413517080661</v>
      </c>
      <c r="F14" s="965"/>
      <c r="G14" s="966"/>
      <c r="H14" s="861">
        <f t="shared" si="3"/>
        <v>1.2477937826050571</v>
      </c>
    </row>
    <row r="15" spans="1:8" ht="16.5" customHeight="1">
      <c r="A15" s="1014" t="s">
        <v>490</v>
      </c>
      <c r="B15" s="857">
        <f>[122]Agosto!$J$32</f>
        <v>496.48749999999995</v>
      </c>
      <c r="C15" s="961">
        <f t="shared" si="0"/>
        <v>85.10095815978471</v>
      </c>
      <c r="D15" s="961">
        <f t="shared" si="1"/>
        <v>-7.6620140044821756</v>
      </c>
      <c r="E15" s="961">
        <f t="shared" si="2"/>
        <v>-14.899041840215288</v>
      </c>
      <c r="F15" s="965"/>
      <c r="G15" s="966"/>
      <c r="H15" s="861">
        <f t="shared" si="3"/>
        <v>1.3513331151338153</v>
      </c>
    </row>
    <row r="16" spans="1:8" ht="16.5" customHeight="1">
      <c r="A16" s="1014" t="s">
        <v>491</v>
      </c>
      <c r="B16" s="857">
        <f>[122]Setembro!$J$32</f>
        <v>496.48749999999995</v>
      </c>
      <c r="C16" s="961">
        <f t="shared" si="0"/>
        <v>85.10095815978471</v>
      </c>
      <c r="D16" s="961">
        <f t="shared" si="1"/>
        <v>0</v>
      </c>
      <c r="E16" s="961">
        <f t="shared" si="2"/>
        <v>-14.899041840215288</v>
      </c>
      <c r="F16" s="965"/>
      <c r="G16" s="966"/>
      <c r="H16" s="861">
        <f t="shared" si="3"/>
        <v>1.3513331151338153</v>
      </c>
    </row>
    <row r="17" spans="1:8" ht="16.5" customHeight="1">
      <c r="A17" s="1014" t="s">
        <v>492</v>
      </c>
      <c r="B17" s="857">
        <f>[122]Outubro!$J$32</f>
        <v>477.92250000000001</v>
      </c>
      <c r="C17" s="961">
        <f t="shared" si="0"/>
        <v>81.91880495706279</v>
      </c>
      <c r="D17" s="961">
        <f t="shared" si="1"/>
        <v>-3.7392683602306076</v>
      </c>
      <c r="E17" s="961">
        <f t="shared" si="2"/>
        <v>-18.081195042937203</v>
      </c>
      <c r="F17" s="965"/>
      <c r="G17" s="966"/>
      <c r="H17" s="861">
        <f t="shared" si="3"/>
        <v>1.4038259341211181</v>
      </c>
    </row>
    <row r="18" spans="1:8" ht="16.5" customHeight="1">
      <c r="A18" s="1014" t="s">
        <v>493</v>
      </c>
      <c r="B18" s="857">
        <f>[122]Novembro!$J$32</f>
        <v>487.73</v>
      </c>
      <c r="C18" s="961">
        <f t="shared" si="0"/>
        <v>83.599869731406727</v>
      </c>
      <c r="D18" s="961">
        <f t="shared" si="1"/>
        <v>2.0521109594128673</v>
      </c>
      <c r="E18" s="961">
        <f t="shared" si="2"/>
        <v>-16.400130268593259</v>
      </c>
      <c r="F18" s="965"/>
      <c r="G18" s="966"/>
      <c r="H18" s="861">
        <f t="shared" si="3"/>
        <v>1.3755971541631642</v>
      </c>
    </row>
    <row r="19" spans="1:8" ht="16.5" customHeight="1">
      <c r="A19" s="1014" t="s">
        <v>494</v>
      </c>
      <c r="B19" s="857">
        <f>[122]Dezembro!$J$32</f>
        <v>490.38499999999999</v>
      </c>
      <c r="C19" s="961">
        <f t="shared" si="0"/>
        <v>84.054952777634938</v>
      </c>
      <c r="D19" s="961">
        <f t="shared" si="1"/>
        <v>0.54435855903880448</v>
      </c>
      <c r="E19" s="961">
        <f t="shared" si="2"/>
        <v>-15.94504722236506</v>
      </c>
      <c r="F19" s="965"/>
      <c r="G19" s="966"/>
      <c r="H19" s="861">
        <f t="shared" si="3"/>
        <v>1.368149515176851</v>
      </c>
    </row>
    <row r="20" spans="1:8" ht="16.5" customHeight="1">
      <c r="A20" s="1014" t="s">
        <v>495</v>
      </c>
      <c r="B20" s="857">
        <f>[116]Janeiro!$J$32</f>
        <v>490.38499999999999</v>
      </c>
      <c r="C20" s="961">
        <f t="shared" si="0"/>
        <v>84.054952777634938</v>
      </c>
      <c r="D20" s="961">
        <f t="shared" si="1"/>
        <v>0</v>
      </c>
      <c r="E20" s="961">
        <f>100*((B20/$B$19)-1)</f>
        <v>0</v>
      </c>
      <c r="F20" s="965">
        <f t="shared" ref="F20:F44" si="4">100*((B20/B8)-1)</f>
        <v>-15.94504722236506</v>
      </c>
      <c r="G20" s="966"/>
      <c r="H20" s="861">
        <f t="shared" si="3"/>
        <v>1.368149515176851</v>
      </c>
    </row>
    <row r="21" spans="1:8" ht="16.5" customHeight="1">
      <c r="A21" s="1014" t="s">
        <v>496</v>
      </c>
      <c r="B21" s="857">
        <f>[116]Fevereiro!$J$32</f>
        <v>542.74</v>
      </c>
      <c r="C21" s="961">
        <f t="shared" si="0"/>
        <v>93.028916199585197</v>
      </c>
      <c r="D21" s="961">
        <f t="shared" si="1"/>
        <v>10.676305351917371</v>
      </c>
      <c r="E21" s="961">
        <f t="shared" ref="E21:E31" si="5">100*((B21/$B$19)-1)</f>
        <v>10.676305351917371</v>
      </c>
      <c r="F21" s="965">
        <f t="shared" si="4"/>
        <v>-15.596472948384987</v>
      </c>
      <c r="G21" s="966"/>
      <c r="H21" s="861">
        <f t="shared" si="3"/>
        <v>1.236172016066625</v>
      </c>
    </row>
    <row r="22" spans="1:8" ht="16.5" customHeight="1">
      <c r="A22" s="1014" t="s">
        <v>497</v>
      </c>
      <c r="B22" s="857">
        <f>[116]Março!$J$32</f>
        <v>581.57799999999997</v>
      </c>
      <c r="C22" s="961">
        <f t="shared" si="0"/>
        <v>99.685984127800339</v>
      </c>
      <c r="D22" s="961">
        <f t="shared" si="1"/>
        <v>7.1559125916645039</v>
      </c>
      <c r="E22" s="961">
        <f t="shared" si="5"/>
        <v>18.5962050225843</v>
      </c>
      <c r="F22" s="965">
        <f t="shared" si="4"/>
        <v>17.750984501068025</v>
      </c>
      <c r="G22" s="966"/>
      <c r="H22" s="861">
        <f t="shared" si="3"/>
        <v>1.1536199787474768</v>
      </c>
    </row>
    <row r="23" spans="1:8" ht="16.5" customHeight="1">
      <c r="A23" s="1014" t="s">
        <v>498</v>
      </c>
      <c r="B23" s="857">
        <f>[116]Abril!$J$32</f>
        <v>578.11599999999999</v>
      </c>
      <c r="C23" s="961">
        <f t="shared" si="0"/>
        <v>99.092576404244014</v>
      </c>
      <c r="D23" s="961">
        <f t="shared" si="1"/>
        <v>-0.59527698778151228</v>
      </c>
      <c r="E23" s="961">
        <f t="shared" si="5"/>
        <v>17.890229105702659</v>
      </c>
      <c r="F23" s="965">
        <f t="shared" si="4"/>
        <v>11.094969061070747</v>
      </c>
      <c r="G23" s="966"/>
      <c r="H23" s="861">
        <f t="shared" si="3"/>
        <v>1.1605283368735688</v>
      </c>
    </row>
    <row r="24" spans="1:8" ht="16.5" customHeight="1">
      <c r="A24" s="1014" t="s">
        <v>499</v>
      </c>
      <c r="B24" s="857">
        <f>[116]Maio!$J$32</f>
        <v>577.94800000000009</v>
      </c>
      <c r="C24" s="961">
        <f t="shared" si="0"/>
        <v>99.063780188889481</v>
      </c>
      <c r="D24" s="961">
        <f t="shared" si="1"/>
        <v>-2.9059911851581077E-2</v>
      </c>
      <c r="E24" s="961">
        <f t="shared" si="5"/>
        <v>17.855970309042913</v>
      </c>
      <c r="F24" s="965">
        <f t="shared" si="4"/>
        <v>5.6606671115295715</v>
      </c>
      <c r="G24" s="966"/>
      <c r="H24" s="861">
        <f t="shared" si="3"/>
        <v>1.1608656834178852</v>
      </c>
    </row>
    <row r="25" spans="1:8" ht="16.5" customHeight="1">
      <c r="A25" s="1014" t="s">
        <v>500</v>
      </c>
      <c r="B25" s="857">
        <f>[116]Junho!$J$32</f>
        <v>598.27600000000007</v>
      </c>
      <c r="C25" s="961">
        <f t="shared" si="0"/>
        <v>102.54812224679044</v>
      </c>
      <c r="D25" s="961">
        <f t="shared" si="1"/>
        <v>3.5172714500266489</v>
      </c>
      <c r="E25" s="961">
        <f t="shared" si="5"/>
        <v>22.001284704874745</v>
      </c>
      <c r="F25" s="965">
        <f t="shared" si="4"/>
        <v>18.3837584344144</v>
      </c>
      <c r="G25" s="966"/>
      <c r="H25" s="861">
        <f t="shared" si="3"/>
        <v>1.1214222198450214</v>
      </c>
    </row>
    <row r="26" spans="1:8" ht="16.5" customHeight="1">
      <c r="A26" s="1014" t="s">
        <v>501</v>
      </c>
      <c r="B26" s="857">
        <f>[116]Julho!$J$32</f>
        <v>591.57399999999996</v>
      </c>
      <c r="C26" s="961">
        <f t="shared" si="0"/>
        <v>101.39935894139627</v>
      </c>
      <c r="D26" s="961">
        <f t="shared" si="1"/>
        <v>-1.1202187619092419</v>
      </c>
      <c r="E26" s="961">
        <f t="shared" si="5"/>
        <v>20.634603423840446</v>
      </c>
      <c r="F26" s="965">
        <f t="shared" si="4"/>
        <v>10.022410891135136</v>
      </c>
      <c r="G26" s="966"/>
      <c r="H26" s="861">
        <f t="shared" si="3"/>
        <v>1.1341269224137642</v>
      </c>
    </row>
    <row r="27" spans="1:8" ht="16.5" customHeight="1">
      <c r="A27" s="1014" t="s">
        <v>502</v>
      </c>
      <c r="B27" s="857">
        <f>[116]Agosto!$J$32</f>
        <v>577.24</v>
      </c>
      <c r="C27" s="961">
        <f t="shared" si="0"/>
        <v>98.942424709895278</v>
      </c>
      <c r="D27" s="961">
        <f t="shared" si="1"/>
        <v>-2.4230273811898351</v>
      </c>
      <c r="E27" s="961">
        <f t="shared" si="5"/>
        <v>17.711593951691018</v>
      </c>
      <c r="F27" s="965">
        <f t="shared" si="4"/>
        <v>16.264759938568464</v>
      </c>
      <c r="G27" s="966"/>
      <c r="H27" s="861">
        <f t="shared" si="3"/>
        <v>1.1622895156260828</v>
      </c>
    </row>
    <row r="28" spans="1:8" ht="16.5" customHeight="1">
      <c r="A28" s="1014" t="s">
        <v>503</v>
      </c>
      <c r="B28" s="857">
        <f>[116]Setembro!$J$32</f>
        <v>579.24</v>
      </c>
      <c r="C28" s="961">
        <f t="shared" si="0"/>
        <v>99.285236797449485</v>
      </c>
      <c r="D28" s="961">
        <f t="shared" si="1"/>
        <v>0.34647633566626812</v>
      </c>
      <c r="E28" s="961">
        <f t="shared" si="5"/>
        <v>18.119436769069196</v>
      </c>
      <c r="F28" s="965">
        <f t="shared" si="4"/>
        <v>16.667589818474802</v>
      </c>
      <c r="G28" s="966"/>
      <c r="H28" s="861">
        <f t="shared" si="3"/>
        <v>1.1582763621296872</v>
      </c>
    </row>
    <row r="29" spans="1:8" ht="16.5" customHeight="1">
      <c r="A29" s="1014" t="s">
        <v>504</v>
      </c>
      <c r="B29" s="857">
        <f>[116]Outubro!$J$32</f>
        <v>568.9</v>
      </c>
      <c r="C29" s="961">
        <f t="shared" si="0"/>
        <v>97.512898304794234</v>
      </c>
      <c r="D29" s="961">
        <f t="shared" si="1"/>
        <v>-1.7850977142462643</v>
      </c>
      <c r="E29" s="961">
        <f t="shared" si="5"/>
        <v>16.010889403223992</v>
      </c>
      <c r="F29" s="965">
        <f t="shared" si="4"/>
        <v>19.036036177413695</v>
      </c>
      <c r="G29" s="966"/>
      <c r="H29" s="861">
        <f t="shared" si="3"/>
        <v>1.1793285287396733</v>
      </c>
    </row>
    <row r="30" spans="1:8" ht="16.5" customHeight="1">
      <c r="A30" s="1014" t="s">
        <v>505</v>
      </c>
      <c r="B30" s="857">
        <f>[116]Novembro!$J$32</f>
        <v>571.55199999999991</v>
      </c>
      <c r="C30" s="961">
        <f t="shared" si="0"/>
        <v>97.967467132891088</v>
      </c>
      <c r="D30" s="961">
        <f t="shared" si="1"/>
        <v>0.46616277025837149</v>
      </c>
      <c r="E30" s="961">
        <f t="shared" si="5"/>
        <v>16.551688979067446</v>
      </c>
      <c r="F30" s="965">
        <f t="shared" si="4"/>
        <v>17.186148073729292</v>
      </c>
      <c r="G30" s="966"/>
      <c r="H30" s="861">
        <f t="shared" si="3"/>
        <v>1.1738564470074466</v>
      </c>
    </row>
    <row r="31" spans="1:8" ht="16.5" customHeight="1">
      <c r="A31" s="1014" t="s">
        <v>506</v>
      </c>
      <c r="B31" s="857">
        <f>[116]Dezembro!$J$32</f>
        <v>578.34400000000005</v>
      </c>
      <c r="C31" s="961">
        <f t="shared" si="0"/>
        <v>99.131656982225209</v>
      </c>
      <c r="D31" s="961">
        <f t="shared" si="1"/>
        <v>1.1883433178433656</v>
      </c>
      <c r="E31" s="961">
        <f t="shared" si="5"/>
        <v>17.936723186883796</v>
      </c>
      <c r="F31" s="965">
        <f t="shared" si="4"/>
        <v>17.936723186883796</v>
      </c>
      <c r="G31" s="966"/>
      <c r="H31" s="861">
        <f t="shared" si="3"/>
        <v>1.1600708229012491</v>
      </c>
    </row>
    <row r="32" spans="1:8" ht="16.5" customHeight="1">
      <c r="A32" s="1014" t="s">
        <v>507</v>
      </c>
      <c r="B32" s="857">
        <f>[107]Janeiro!$J$32</f>
        <v>588.07799999999997</v>
      </c>
      <c r="C32" s="961">
        <f t="shared" si="0"/>
        <v>100.80012341235152</v>
      </c>
      <c r="D32" s="961">
        <f t="shared" si="1"/>
        <v>1.6830813495082309</v>
      </c>
      <c r="E32" s="961">
        <f>100*((B32/$B$31)-1)</f>
        <v>1.6830813495082309</v>
      </c>
      <c r="F32" s="965">
        <f t="shared" si="4"/>
        <v>19.921694179063376</v>
      </c>
      <c r="G32" s="966">
        <f>100*(B32/B8-1)</f>
        <v>0.80012341235151663</v>
      </c>
      <c r="H32" s="861">
        <f t="shared" si="3"/>
        <v>1.1408690683888874</v>
      </c>
    </row>
    <row r="33" spans="1:8" ht="16.5" customHeight="1">
      <c r="A33" s="1014" t="s">
        <v>508</v>
      </c>
      <c r="B33" s="857">
        <f>[107]Fevereiro!$J$32</f>
        <v>597.51599999999996</v>
      </c>
      <c r="C33" s="961">
        <f t="shared" si="0"/>
        <v>102.41785365351983</v>
      </c>
      <c r="D33" s="961">
        <f t="shared" si="1"/>
        <v>1.6048891473579907</v>
      </c>
      <c r="E33" s="961">
        <f t="shared" ref="E33:E43" si="6">100*((B33/$B$31)-1)</f>
        <v>3.3149820867857116</v>
      </c>
      <c r="F33" s="965">
        <f t="shared" si="4"/>
        <v>10.092493643365131</v>
      </c>
      <c r="G33" s="966">
        <f t="shared" ref="G33:G44" si="7">100*(B33/B9-1)</f>
        <v>-7.0780523459247675</v>
      </c>
      <c r="H33" s="861">
        <f t="shared" si="3"/>
        <v>1.1228485931757477</v>
      </c>
    </row>
    <row r="34" spans="1:8" ht="16.5" customHeight="1">
      <c r="A34" s="1014" t="s">
        <v>509</v>
      </c>
      <c r="B34" s="857">
        <f>[107]Março!$J$32</f>
        <v>607.28800000000001</v>
      </c>
      <c r="C34" s="961">
        <f t="shared" si="0"/>
        <v>104.09283351330969</v>
      </c>
      <c r="D34" s="961">
        <f t="shared" si="1"/>
        <v>1.6354373774091435</v>
      </c>
      <c r="E34" s="961">
        <f t="shared" si="6"/>
        <v>5.0046339202965529</v>
      </c>
      <c r="F34" s="965">
        <f t="shared" si="4"/>
        <v>4.4207311830915197</v>
      </c>
      <c r="G34" s="966">
        <f t="shared" si="7"/>
        <v>22.956438991303997</v>
      </c>
      <c r="H34" s="861">
        <f t="shared" si="3"/>
        <v>1.1047805983322576</v>
      </c>
    </row>
    <row r="35" spans="1:8" ht="16.5" customHeight="1">
      <c r="A35" s="1014" t="s">
        <v>510</v>
      </c>
      <c r="B35" s="857">
        <f>[107]Abril!$J$32</f>
        <v>607.54200000000003</v>
      </c>
      <c r="C35" s="961">
        <f t="shared" si="0"/>
        <v>104.13637064842908</v>
      </c>
      <c r="D35" s="961">
        <f t="shared" si="1"/>
        <v>4.1825295411745955E-2</v>
      </c>
      <c r="E35" s="961">
        <f t="shared" si="6"/>
        <v>5.048552418629737</v>
      </c>
      <c r="F35" s="965">
        <f t="shared" si="4"/>
        <v>5.0899819413404934</v>
      </c>
      <c r="G35" s="966">
        <f t="shared" si="7"/>
        <v>16.749682924017062</v>
      </c>
      <c r="H35" s="861">
        <f t="shared" si="3"/>
        <v>1.1043187137679371</v>
      </c>
    </row>
    <row r="36" spans="1:8" ht="16.5" customHeight="1">
      <c r="A36" s="1014" t="s">
        <v>511</v>
      </c>
      <c r="B36" s="857">
        <f>[107]Maio!$J$32</f>
        <v>615.08000000000004</v>
      </c>
      <c r="C36" s="961">
        <f t="shared" si="0"/>
        <v>105.42842940642089</v>
      </c>
      <c r="D36" s="961">
        <f t="shared" si="1"/>
        <v>1.2407372659009708</v>
      </c>
      <c r="E36" s="961">
        <f t="shared" si="6"/>
        <v>6.3519289557771863</v>
      </c>
      <c r="F36" s="965">
        <f t="shared" si="4"/>
        <v>6.4247994629274441</v>
      </c>
      <c r="G36" s="966">
        <f t="shared" si="7"/>
        <v>12.449153084636698</v>
      </c>
      <c r="H36" s="861">
        <f t="shared" si="3"/>
        <v>1.0907849385445796</v>
      </c>
    </row>
    <row r="37" spans="1:8" ht="16.5" customHeight="1">
      <c r="A37" s="1014" t="s">
        <v>512</v>
      </c>
      <c r="B37" s="857">
        <f>[107]Junho!$J$32</f>
        <v>609.85</v>
      </c>
      <c r="C37" s="961">
        <f t="shared" si="0"/>
        <v>104.53197579746663</v>
      </c>
      <c r="D37" s="961">
        <f t="shared" si="1"/>
        <v>-0.8502958964687557</v>
      </c>
      <c r="E37" s="961">
        <f t="shared" si="6"/>
        <v>5.4476228680508498</v>
      </c>
      <c r="F37" s="965">
        <f t="shared" si="4"/>
        <v>1.9345586318020302</v>
      </c>
      <c r="G37" s="966">
        <f t="shared" si="7"/>
        <v>20.673961651859042</v>
      </c>
      <c r="H37" s="861">
        <f t="shared" si="3"/>
        <v>1.1001393785357056</v>
      </c>
    </row>
    <row r="38" spans="1:8" ht="16.5" customHeight="1">
      <c r="A38" s="1014" t="s">
        <v>513</v>
      </c>
      <c r="B38" s="857">
        <f>[107]Julho!$J$32</f>
        <v>612.61800000000005</v>
      </c>
      <c r="C38" s="961">
        <f t="shared" si="0"/>
        <v>105.00642772664165</v>
      </c>
      <c r="D38" s="961">
        <f t="shared" si="1"/>
        <v>0.45388210215626668</v>
      </c>
      <c r="E38" s="961">
        <f t="shared" si="6"/>
        <v>5.9262307553981763</v>
      </c>
      <c r="F38" s="965">
        <f t="shared" si="4"/>
        <v>3.5572895360513002</v>
      </c>
      <c r="G38" s="966">
        <f t="shared" si="7"/>
        <v>13.93622660107685</v>
      </c>
      <c r="H38" s="861">
        <f t="shared" si="3"/>
        <v>1.0951686042525686</v>
      </c>
    </row>
    <row r="39" spans="1:8" ht="16.5" customHeight="1">
      <c r="A39" s="1014" t="s">
        <v>514</v>
      </c>
      <c r="B39" s="857">
        <f>[107]Agosto!$J$32</f>
        <v>590.21800000000007</v>
      </c>
      <c r="C39" s="961">
        <f t="shared" si="0"/>
        <v>101.16693234603454</v>
      </c>
      <c r="D39" s="961">
        <f t="shared" si="1"/>
        <v>-3.6564384330855404</v>
      </c>
      <c r="E39" s="961">
        <f t="shared" si="6"/>
        <v>2.0531033433389245</v>
      </c>
      <c r="F39" s="965">
        <f t="shared" si="4"/>
        <v>2.2482849421384676</v>
      </c>
      <c r="G39" s="966">
        <f t="shared" si="7"/>
        <v>18.878723029280732</v>
      </c>
      <c r="H39" s="861">
        <f t="shared" si="3"/>
        <v>1.1367325293366179</v>
      </c>
    </row>
    <row r="40" spans="1:8" ht="16.5" customHeight="1">
      <c r="A40" s="1014" t="s">
        <v>515</v>
      </c>
      <c r="B40" s="857">
        <f>[107]Setembro!$J$32</f>
        <v>584.85799999999995</v>
      </c>
      <c r="C40" s="961">
        <f t="shared" si="0"/>
        <v>100.24819595138925</v>
      </c>
      <c r="D40" s="961">
        <f t="shared" si="1"/>
        <v>-0.90813902659697687</v>
      </c>
      <c r="E40" s="961">
        <f t="shared" si="6"/>
        <v>1.1263192840247127</v>
      </c>
      <c r="F40" s="965">
        <f t="shared" si="4"/>
        <v>0.96989158207305692</v>
      </c>
      <c r="G40" s="966">
        <f t="shared" si="7"/>
        <v>17.799138951131699</v>
      </c>
      <c r="H40" s="861">
        <f t="shared" si="3"/>
        <v>1.1471502484363729</v>
      </c>
    </row>
    <row r="41" spans="1:8" ht="16.5" customHeight="1">
      <c r="A41" s="1014" t="s">
        <v>516</v>
      </c>
      <c r="B41" s="857">
        <f>[107]Outubro!$J$32</f>
        <v>577.86</v>
      </c>
      <c r="C41" s="961">
        <f t="shared" si="0"/>
        <v>99.048696457037082</v>
      </c>
      <c r="D41" s="961">
        <f t="shared" si="1"/>
        <v>-1.1965297559407451</v>
      </c>
      <c r="E41" s="961">
        <f t="shared" si="6"/>
        <v>-8.3687217296291028E-2</v>
      </c>
      <c r="F41" s="965">
        <f t="shared" si="4"/>
        <v>1.5749692388820513</v>
      </c>
      <c r="G41" s="966">
        <f t="shared" si="7"/>
        <v>20.910817130392488</v>
      </c>
      <c r="H41" s="861">
        <f t="shared" si="3"/>
        <v>1.1610424670335375</v>
      </c>
    </row>
    <row r="42" spans="1:8" ht="16.5" customHeight="1">
      <c r="A42" s="1014" t="s">
        <v>517</v>
      </c>
      <c r="B42" s="857">
        <f>[107]Novembro!$J$32</f>
        <v>585.58600000000001</v>
      </c>
      <c r="C42" s="961">
        <f t="shared" si="0"/>
        <v>100.37297955125898</v>
      </c>
      <c r="D42" s="961">
        <f t="shared" si="1"/>
        <v>1.3370020420170992</v>
      </c>
      <c r="E42" s="961">
        <f t="shared" si="6"/>
        <v>1.2521959249166548</v>
      </c>
      <c r="F42" s="965">
        <f t="shared" si="4"/>
        <v>2.4554196293600672</v>
      </c>
      <c r="G42" s="966">
        <f t="shared" si="7"/>
        <v>20.063559756422599</v>
      </c>
      <c r="H42" s="861">
        <f t="shared" si="3"/>
        <v>1.1457241122567823</v>
      </c>
    </row>
    <row r="43" spans="1:8" ht="16.5" customHeight="1">
      <c r="A43" s="1014" t="s">
        <v>518</v>
      </c>
      <c r="B43" s="857">
        <f>[107]Dezembro!$J$32</f>
        <v>586.31600000000003</v>
      </c>
      <c r="C43" s="961">
        <f t="shared" si="0"/>
        <v>100.49810596321628</v>
      </c>
      <c r="D43" s="961">
        <f t="shared" si="1"/>
        <v>0.12466145023959374</v>
      </c>
      <c r="E43" s="961">
        <f t="shared" si="6"/>
        <v>1.3784183807560968</v>
      </c>
      <c r="F43" s="965">
        <f t="shared" si="4"/>
        <v>1.3784183807560968</v>
      </c>
      <c r="G43" s="966">
        <f t="shared" si="7"/>
        <v>19.562384656953213</v>
      </c>
      <c r="H43" s="861">
        <f t="shared" si="3"/>
        <v>1.1442976142557939</v>
      </c>
    </row>
    <row r="44" spans="1:8" ht="16.5" customHeight="1">
      <c r="A44" s="1014" t="s">
        <v>519</v>
      </c>
      <c r="B44" s="857">
        <f>'[108]jan-14'!$I$39</f>
        <v>591.78399999999999</v>
      </c>
      <c r="C44" s="961">
        <f t="shared" si="0"/>
        <v>101.43535421058948</v>
      </c>
      <c r="D44" s="961">
        <f t="shared" si="1"/>
        <v>0.93260289673144925</v>
      </c>
      <c r="E44" s="961">
        <f t="shared" ref="E44:E49" si="8">100*((B44/$B$43)-1)</f>
        <v>0.93260289673144925</v>
      </c>
      <c r="F44" s="965">
        <f t="shared" si="4"/>
        <v>0.63018851240821405</v>
      </c>
      <c r="G44" s="966">
        <f t="shared" si="7"/>
        <v>20.677426919665166</v>
      </c>
      <c r="H44" s="861">
        <f t="shared" si="3"/>
        <v>1.1337244670352697</v>
      </c>
    </row>
    <row r="45" spans="1:8" ht="16.5" customHeight="1">
      <c r="A45" s="1014" t="s">
        <v>520</v>
      </c>
      <c r="B45" s="857">
        <f>'[108]fev-14'!$I$39</f>
        <v>595.45600000000002</v>
      </c>
      <c r="C45" s="961">
        <f t="shared" ref="C45:C50" si="9">100*B45/$B$8</f>
        <v>102.064757203339</v>
      </c>
      <c r="D45" s="961">
        <f t="shared" ref="D45:D50" si="10">100*((B45/B44)-1)</f>
        <v>0.62049666770307432</v>
      </c>
      <c r="E45" s="961">
        <f t="shared" si="8"/>
        <v>1.558886334331655</v>
      </c>
      <c r="F45" s="965">
        <f t="shared" ref="F45:F50" si="11">100*((B45/B33)-1)</f>
        <v>-0.34476064239282733</v>
      </c>
      <c r="G45" s="966">
        <f t="shared" ref="G45:G50" si="12">100*(B45/B21-1)</f>
        <v>9.7129380550539768</v>
      </c>
      <c r="H45" s="861">
        <f t="shared" si="3"/>
        <v>1.1267331255374033</v>
      </c>
    </row>
    <row r="46" spans="1:8" ht="16.5" customHeight="1">
      <c r="A46" s="1014" t="s">
        <v>521</v>
      </c>
      <c r="B46" s="857">
        <f>'[108]mar-14'!$I$39</f>
        <v>616.21600000000001</v>
      </c>
      <c r="C46" s="961">
        <f t="shared" si="9"/>
        <v>105.62314667215166</v>
      </c>
      <c r="D46" s="961">
        <f t="shared" si="10"/>
        <v>3.4864036973344836</v>
      </c>
      <c r="E46" s="961">
        <f t="shared" si="8"/>
        <v>5.0996391024635157</v>
      </c>
      <c r="F46" s="965">
        <f t="shared" si="11"/>
        <v>1.4701426670706397</v>
      </c>
      <c r="G46" s="966">
        <f t="shared" si="12"/>
        <v>5.9558649054813007</v>
      </c>
      <c r="H46" s="861">
        <f t="shared" si="3"/>
        <v>1.0887740662365146</v>
      </c>
    </row>
    <row r="47" spans="1:8" ht="16.5" customHeight="1">
      <c r="A47" s="1014" t="s">
        <v>522</v>
      </c>
      <c r="B47" s="857">
        <f>'[108]abr-14'!$I$39</f>
        <v>595.77199999999993</v>
      </c>
      <c r="C47" s="961">
        <f t="shared" si="9"/>
        <v>102.11892151317255</v>
      </c>
      <c r="D47" s="961">
        <f t="shared" si="10"/>
        <v>-3.3176678307606511</v>
      </c>
      <c r="E47" s="961">
        <f t="shared" si="8"/>
        <v>1.6127821857155444</v>
      </c>
      <c r="F47" s="965">
        <f t="shared" si="11"/>
        <v>-1.937314621869779</v>
      </c>
      <c r="G47" s="966">
        <f t="shared" si="12"/>
        <v>3.0540583550705991</v>
      </c>
      <c r="H47" s="861">
        <f t="shared" si="3"/>
        <v>1.1261355015005743</v>
      </c>
    </row>
    <row r="48" spans="1:8" ht="16.5" customHeight="1">
      <c r="A48" s="1014" t="s">
        <v>523</v>
      </c>
      <c r="B48" s="857">
        <f>'[108]mai-14'!$I$39</f>
        <v>585.77199999999993</v>
      </c>
      <c r="C48" s="961">
        <f t="shared" si="9"/>
        <v>100.40486107540151</v>
      </c>
      <c r="D48" s="961">
        <f t="shared" si="10"/>
        <v>-1.6784944576113014</v>
      </c>
      <c r="E48" s="961">
        <f t="shared" si="8"/>
        <v>-9.278273149634364E-2</v>
      </c>
      <c r="F48" s="965">
        <f t="shared" si="11"/>
        <v>-4.7649086297717584</v>
      </c>
      <c r="G48" s="966">
        <f t="shared" si="12"/>
        <v>1.3537550091011319</v>
      </c>
      <c r="H48" s="861">
        <f t="shared" si="3"/>
        <v>1.145360310837664</v>
      </c>
    </row>
    <row r="49" spans="1:8" ht="16.5" customHeight="1">
      <c r="A49" s="1014" t="s">
        <v>524</v>
      </c>
      <c r="B49" s="857">
        <f>'[108]jun-14'!$I$39</f>
        <v>585.77199999999993</v>
      </c>
      <c r="C49" s="961">
        <f t="shared" si="9"/>
        <v>100.40486107540151</v>
      </c>
      <c r="D49" s="961">
        <f t="shared" si="10"/>
        <v>0</v>
      </c>
      <c r="E49" s="961">
        <f t="shared" si="8"/>
        <v>-9.278273149634364E-2</v>
      </c>
      <c r="F49" s="965">
        <f t="shared" si="11"/>
        <v>-3.9481839796671414</v>
      </c>
      <c r="G49" s="966">
        <f t="shared" si="12"/>
        <v>-2.090005281843188</v>
      </c>
      <c r="H49" s="861">
        <f t="shared" si="3"/>
        <v>1.145360310837664</v>
      </c>
    </row>
    <row r="50" spans="1:8" ht="16.5" customHeight="1">
      <c r="A50" s="1014" t="s">
        <v>525</v>
      </c>
      <c r="B50" s="857">
        <f>'[108]jul-14'!$I$39</f>
        <v>582.50599999999997</v>
      </c>
      <c r="C50" s="961">
        <f t="shared" si="9"/>
        <v>99.845048936425499</v>
      </c>
      <c r="D50" s="961">
        <f t="shared" si="10"/>
        <v>-0.55755481654977679</v>
      </c>
      <c r="E50" s="961">
        <f t="shared" ref="E50:E55" si="13">100*((B50/$B$43)-1)</f>
        <v>-0.64982023345773188</v>
      </c>
      <c r="F50" s="965">
        <f t="shared" si="11"/>
        <v>-4.9152979507621541</v>
      </c>
      <c r="G50" s="966">
        <f t="shared" si="12"/>
        <v>-1.5328597943790601</v>
      </c>
      <c r="H50" s="861">
        <f t="shared" si="3"/>
        <v>1.1517821275660682</v>
      </c>
    </row>
    <row r="51" spans="1:8" ht="16.5" customHeight="1">
      <c r="A51" s="1014" t="s">
        <v>526</v>
      </c>
      <c r="B51" s="857">
        <f>'[108]ago-14'!$I$39</f>
        <v>584.50599999999997</v>
      </c>
      <c r="C51" s="961">
        <f t="shared" ref="C51:C56" si="14">100*B51/$B$8</f>
        <v>100.18786102397971</v>
      </c>
      <c r="D51" s="961">
        <f t="shared" ref="D51:D56" si="15">100*((B51/B50)-1)</f>
        <v>0.34334410289336148</v>
      </c>
      <c r="E51" s="961">
        <f t="shared" si="13"/>
        <v>-0.30870725001536092</v>
      </c>
      <c r="F51" s="965">
        <f t="shared" ref="F51:F56" si="16">100*((B51/B39)-1)</f>
        <v>-0.96777800744811682</v>
      </c>
      <c r="G51" s="966">
        <f t="shared" ref="G51:G56" si="17">100*(B51/B27-1)</f>
        <v>1.2587485274755617</v>
      </c>
      <c r="H51" s="861">
        <f t="shared" si="3"/>
        <v>1.1478410828973529</v>
      </c>
    </row>
    <row r="52" spans="1:8" ht="16.5" customHeight="1">
      <c r="A52" s="1014" t="s">
        <v>527</v>
      </c>
      <c r="B52" s="857">
        <f>'[108]set-14'!$I$39</f>
        <v>581.24</v>
      </c>
      <c r="C52" s="961">
        <f t="shared" si="14"/>
        <v>99.628048885003693</v>
      </c>
      <c r="D52" s="961">
        <f t="shared" si="15"/>
        <v>-0.55876244213061144</v>
      </c>
      <c r="E52" s="961">
        <f t="shared" si="13"/>
        <v>-0.86574475197674916</v>
      </c>
      <c r="F52" s="965">
        <f t="shared" si="16"/>
        <v>-0.61861169719827913</v>
      </c>
      <c r="G52" s="966">
        <f t="shared" si="17"/>
        <v>0.34528002209792685</v>
      </c>
      <c r="H52" s="861">
        <f t="shared" si="3"/>
        <v>1.1542908265088432</v>
      </c>
    </row>
    <row r="53" spans="1:8" ht="16.5" customHeight="1">
      <c r="A53" s="1014" t="s">
        <v>528</v>
      </c>
      <c r="B53" s="857">
        <f>'[108]out-14'!$I$39</f>
        <v>581.04</v>
      </c>
      <c r="C53" s="961">
        <f t="shared" si="14"/>
        <v>99.593767676248277</v>
      </c>
      <c r="D53" s="961">
        <f t="shared" si="15"/>
        <v>-3.4409194136686416E-2</v>
      </c>
      <c r="E53" s="961">
        <f t="shared" si="13"/>
        <v>-0.8998560503210018</v>
      </c>
      <c r="F53" s="965">
        <f t="shared" si="16"/>
        <v>0.55030630256462931</v>
      </c>
      <c r="G53" s="966">
        <f t="shared" si="17"/>
        <v>2.133942696431701</v>
      </c>
      <c r="H53" s="861">
        <f t="shared" si="3"/>
        <v>1.1546881453944653</v>
      </c>
    </row>
    <row r="54" spans="1:8" ht="16.5" customHeight="1">
      <c r="A54" s="1014" t="s">
        <v>529</v>
      </c>
      <c r="B54" s="857">
        <f>'[108]nov-14'!$I$39</f>
        <v>585.7059999999999</v>
      </c>
      <c r="C54" s="961">
        <f t="shared" si="14"/>
        <v>100.39354827651222</v>
      </c>
      <c r="D54" s="961">
        <f t="shared" si="15"/>
        <v>0.80304281977143788</v>
      </c>
      <c r="E54" s="961">
        <f t="shared" si="13"/>
        <v>-0.10403945994994501</v>
      </c>
      <c r="F54" s="965">
        <f t="shared" si="16"/>
        <v>2.04922931900553E-2</v>
      </c>
      <c r="G54" s="966">
        <f t="shared" si="17"/>
        <v>2.4764150943396235</v>
      </c>
      <c r="H54" s="861">
        <f t="shared" si="3"/>
        <v>1.1454893752155522</v>
      </c>
    </row>
    <row r="55" spans="1:8" ht="16.5" customHeight="1">
      <c r="A55" s="1014" t="s">
        <v>530</v>
      </c>
      <c r="B55" s="857">
        <f>'[108]dez-14'!$I$39</f>
        <v>589.10400000000004</v>
      </c>
      <c r="C55" s="961">
        <f t="shared" si="14"/>
        <v>100.97598601326683</v>
      </c>
      <c r="D55" s="961">
        <f t="shared" si="15"/>
        <v>0.58015454852777815</v>
      </c>
      <c r="E55" s="961">
        <f t="shared" si="13"/>
        <v>0.47551149891866817</v>
      </c>
      <c r="F55" s="965">
        <f t="shared" si="16"/>
        <v>0.47551149891866817</v>
      </c>
      <c r="G55" s="966">
        <f t="shared" si="17"/>
        <v>1.8604844175784674</v>
      </c>
      <c r="H55" s="861">
        <f t="shared" si="3"/>
        <v>1.1388820989163204</v>
      </c>
    </row>
    <row r="56" spans="1:8" ht="16.5" customHeight="1">
      <c r="A56" s="1014" t="s">
        <v>531</v>
      </c>
      <c r="B56" s="857">
        <f>'[109]jan-15'!$I$39</f>
        <v>600.024</v>
      </c>
      <c r="C56" s="961">
        <f t="shared" si="14"/>
        <v>102.84774001131281</v>
      </c>
      <c r="D56" s="961">
        <f t="shared" si="15"/>
        <v>1.8536625112034466</v>
      </c>
      <c r="E56" s="961">
        <f t="shared" ref="E56:E61" si="18">100*((B56/$B$55)-1)</f>
        <v>1.8536625112034466</v>
      </c>
      <c r="F56" s="965">
        <f t="shared" si="16"/>
        <v>1.3923999297040801</v>
      </c>
      <c r="G56" s="966">
        <f t="shared" si="17"/>
        <v>2.0313631865160886</v>
      </c>
      <c r="H56" s="861">
        <f t="shared" si="3"/>
        <v>1.1181552737890486</v>
      </c>
    </row>
    <row r="57" spans="1:8" ht="16.5" customHeight="1">
      <c r="A57" s="1014" t="s">
        <v>649</v>
      </c>
      <c r="B57" s="857">
        <f>'[109]fev-15'!$I$39</f>
        <v>618.03399999999999</v>
      </c>
      <c r="C57" s="961">
        <f t="shared" ref="C57:C62" si="19">100*B57/$B$8</f>
        <v>105.93476285973844</v>
      </c>
      <c r="D57" s="961">
        <f t="shared" ref="D57:D62" si="20">100*((B57/B56)-1)</f>
        <v>3.0015466048024741</v>
      </c>
      <c r="E57" s="961">
        <f t="shared" si="18"/>
        <v>4.9108476601754436</v>
      </c>
      <c r="F57" s="965">
        <f t="shared" ref="F57:F62" si="21">100*((B57/B45)-1)</f>
        <v>3.7917159286328328</v>
      </c>
      <c r="G57" s="966">
        <f t="shared" ref="G57:G62" si="22">100*(B57/B33-1)</f>
        <v>3.4338829420467398</v>
      </c>
      <c r="H57" s="861">
        <f t="shared" si="3"/>
        <v>1.0855713439713675</v>
      </c>
    </row>
    <row r="58" spans="1:8" ht="16.5" customHeight="1">
      <c r="A58" s="1014" t="s">
        <v>650</v>
      </c>
      <c r="B58" s="857">
        <f>'[109]mar-15'!$I$39</f>
        <v>626.73400000000004</v>
      </c>
      <c r="C58" s="961">
        <f t="shared" si="19"/>
        <v>107.42599544059924</v>
      </c>
      <c r="D58" s="961">
        <f t="shared" si="20"/>
        <v>1.4076895445881643</v>
      </c>
      <c r="E58" s="961">
        <f t="shared" si="18"/>
        <v>6.3876666938265547</v>
      </c>
      <c r="F58" s="965">
        <f t="shared" si="21"/>
        <v>1.7068690199540493</v>
      </c>
      <c r="G58" s="966">
        <f t="shared" si="22"/>
        <v>3.2021050967580456</v>
      </c>
      <c r="H58" s="861">
        <f t="shared" si="3"/>
        <v>1.0705019992532718</v>
      </c>
    </row>
    <row r="59" spans="1:8" ht="16.5" customHeight="1">
      <c r="A59" s="1014" t="s">
        <v>652</v>
      </c>
      <c r="B59" s="857">
        <f>'[109]abr-15'!$I$39</f>
        <v>610.73400000000004</v>
      </c>
      <c r="C59" s="961">
        <f t="shared" si="19"/>
        <v>104.68349874016559</v>
      </c>
      <c r="D59" s="961">
        <f t="shared" si="20"/>
        <v>-2.5529171865576128</v>
      </c>
      <c r="E59" s="961">
        <f t="shared" si="18"/>
        <v>3.6716776664222239</v>
      </c>
      <c r="F59" s="965">
        <f t="shared" si="21"/>
        <v>2.51136340747804</v>
      </c>
      <c r="G59" s="966">
        <f t="shared" si="22"/>
        <v>0.52539577510690716</v>
      </c>
      <c r="H59" s="861">
        <f t="shared" si="3"/>
        <v>1.0985469942724657</v>
      </c>
    </row>
    <row r="60" spans="1:8" ht="16.5" customHeight="1">
      <c r="A60" s="1014" t="s">
        <v>653</v>
      </c>
      <c r="B60" s="857">
        <f>'[109]mai-15'!$I$39</f>
        <v>616.73400000000004</v>
      </c>
      <c r="C60" s="961">
        <f t="shared" si="19"/>
        <v>105.71193500282821</v>
      </c>
      <c r="D60" s="961">
        <f t="shared" si="20"/>
        <v>0.98242442700096078</v>
      </c>
      <c r="E60" s="961">
        <f t="shared" si="18"/>
        <v>4.6901735516988508</v>
      </c>
      <c r="F60" s="965">
        <f t="shared" si="21"/>
        <v>5.2856742896553843</v>
      </c>
      <c r="G60" s="966">
        <f t="shared" si="22"/>
        <v>0.26890810951420985</v>
      </c>
      <c r="H60" s="861">
        <f t="shared" si="3"/>
        <v>1.0878595958711537</v>
      </c>
    </row>
    <row r="61" spans="1:8" ht="16.5" customHeight="1">
      <c r="A61" s="1014" t="s">
        <v>654</v>
      </c>
      <c r="B61" s="857">
        <f>'[109]jun-15'!$I$39</f>
        <v>604.93399999999997</v>
      </c>
      <c r="C61" s="961">
        <f t="shared" si="19"/>
        <v>103.68934368625837</v>
      </c>
      <c r="D61" s="961">
        <f t="shared" si="20"/>
        <v>-1.9133046013354305</v>
      </c>
      <c r="E61" s="961">
        <f t="shared" si="18"/>
        <v>2.6871316439881499</v>
      </c>
      <c r="F61" s="965">
        <f t="shared" si="21"/>
        <v>3.2712386389243564</v>
      </c>
      <c r="G61" s="966">
        <f t="shared" si="22"/>
        <v>-0.80609986062146755</v>
      </c>
      <c r="H61" s="861">
        <f t="shared" si="3"/>
        <v>1.1090796681952082</v>
      </c>
    </row>
    <row r="62" spans="1:8" ht="16.5" customHeight="1">
      <c r="A62" s="1014" t="s">
        <v>657</v>
      </c>
      <c r="B62" s="857">
        <f>'[109]jul-15'!$I$39</f>
        <v>619.93399999999997</v>
      </c>
      <c r="C62" s="961">
        <f t="shared" si="19"/>
        <v>106.26043434291493</v>
      </c>
      <c r="D62" s="961">
        <f t="shared" si="20"/>
        <v>2.4796093458129276</v>
      </c>
      <c r="E62" s="961">
        <f t="shared" ref="E62:E67" si="23">100*((B62/$B$55)-1)</f>
        <v>5.2333713571796947</v>
      </c>
      <c r="F62" s="965">
        <f t="shared" si="21"/>
        <v>6.4253415415463477</v>
      </c>
      <c r="G62" s="966">
        <f t="shared" si="22"/>
        <v>1.1942189096631139</v>
      </c>
      <c r="H62" s="861">
        <f t="shared" si="3"/>
        <v>1.082244238902851</v>
      </c>
    </row>
    <row r="63" spans="1:8" ht="16.5" customHeight="1">
      <c r="A63" s="1032" t="str">
        <f>'Pn215'!A67</f>
        <v>AGOSTO|15</v>
      </c>
      <c r="B63" s="918">
        <f>'[109]ago-15'!$I$39</f>
        <v>625.904</v>
      </c>
      <c r="C63" s="1036">
        <f t="shared" ref="C63:C68" si="24">100*B63/$B$8</f>
        <v>107.28372842426425</v>
      </c>
      <c r="D63" s="1036">
        <f t="shared" ref="D63:D68" si="25">100*((B63/B62)-1)</f>
        <v>0.96300573932064371</v>
      </c>
      <c r="E63" s="1036">
        <f t="shared" si="23"/>
        <v>6.2467747630299497</v>
      </c>
      <c r="F63" s="1037">
        <f t="shared" ref="F63:F68" si="26">100*((B63/B51)-1)</f>
        <v>7.0825620267371159</v>
      </c>
      <c r="G63" s="1038">
        <f t="shared" ref="G63:G68" si="27">100*(B63/B39-1)</f>
        <v>6.0462405416303655</v>
      </c>
      <c r="H63" s="861">
        <f t="shared" si="3"/>
        <v>1.0719215726373374</v>
      </c>
    </row>
    <row r="64" spans="1:8" ht="16.5" customHeight="1">
      <c r="A64" s="1032" t="str">
        <f>'Pn215'!A68</f>
        <v>SETEMBRO|15</v>
      </c>
      <c r="B64" s="918">
        <f>'[109]set-15'!$I$39</f>
        <v>612.904</v>
      </c>
      <c r="C64" s="1036">
        <f t="shared" si="24"/>
        <v>105.0554498551619</v>
      </c>
      <c r="D64" s="1036">
        <f t="shared" si="25"/>
        <v>-2.0769958332268246</v>
      </c>
      <c r="E64" s="1036">
        <f t="shared" si="23"/>
        <v>4.0400336782639323</v>
      </c>
      <c r="F64" s="1037">
        <f t="shared" si="26"/>
        <v>5.4476636157181124</v>
      </c>
      <c r="G64" s="1038">
        <f t="shared" si="27"/>
        <v>4.795352034168987</v>
      </c>
      <c r="H64" s="861">
        <f t="shared" si="3"/>
        <v>1.0946575646430763</v>
      </c>
    </row>
    <row r="65" spans="1:8" ht="16.5" customHeight="1">
      <c r="A65" s="1032" t="str">
        <f>'Pn215'!A69</f>
        <v>OUTUBRO|15</v>
      </c>
      <c r="B65" s="918">
        <f>'[109]out-15'!$I$39</f>
        <v>592.70000000000005</v>
      </c>
      <c r="C65" s="1036">
        <f t="shared" si="24"/>
        <v>101.59236214668931</v>
      </c>
      <c r="D65" s="1036">
        <f t="shared" si="25"/>
        <v>-3.2964379413415346</v>
      </c>
      <c r="E65" s="1036">
        <f t="shared" si="23"/>
        <v>0.61041853390912948</v>
      </c>
      <c r="F65" s="1037">
        <f t="shared" si="26"/>
        <v>2.0067465234751669</v>
      </c>
      <c r="G65" s="1038">
        <f t="shared" si="27"/>
        <v>2.5680960786349738</v>
      </c>
      <c r="H65" s="861">
        <f t="shared" si="3"/>
        <v>1.1319723300151847</v>
      </c>
    </row>
    <row r="66" spans="1:8" ht="16.5" customHeight="1">
      <c r="A66" s="1032" t="str">
        <f>'Pn215'!A70</f>
        <v>NOVEMBRO|15</v>
      </c>
      <c r="B66" s="918">
        <f>'[109]nov-15'!$I$39</f>
        <v>593.96600000000001</v>
      </c>
      <c r="C66" s="1036">
        <f t="shared" si="24"/>
        <v>101.8093621981111</v>
      </c>
      <c r="D66" s="1036">
        <f t="shared" si="25"/>
        <v>0.2135987852201815</v>
      </c>
      <c r="E66" s="1036">
        <f t="shared" si="23"/>
        <v>0.82532116570248615</v>
      </c>
      <c r="F66" s="1037">
        <f t="shared" si="26"/>
        <v>1.4102638525130606</v>
      </c>
      <c r="G66" s="1038">
        <f t="shared" si="27"/>
        <v>1.4310451411065239</v>
      </c>
      <c r="H66" s="861">
        <f t="shared" si="3"/>
        <v>1.1295596044218019</v>
      </c>
    </row>
    <row r="67" spans="1:8" ht="16.5" customHeight="1">
      <c r="A67" s="1032" t="str">
        <f>'Pn215'!A71</f>
        <v>DEZEMBRO|15</v>
      </c>
      <c r="B67" s="918">
        <f>'[109]dez-15'!$I$39</f>
        <v>607.96</v>
      </c>
      <c r="C67" s="1036">
        <f t="shared" si="24"/>
        <v>104.2080183747279</v>
      </c>
      <c r="D67" s="1036">
        <f t="shared" si="25"/>
        <v>2.3560271126630283</v>
      </c>
      <c r="E67" s="1036">
        <f t="shared" si="23"/>
        <v>3.2007930687959929</v>
      </c>
      <c r="F67" s="1037">
        <f t="shared" si="26"/>
        <v>3.2007930687959929</v>
      </c>
      <c r="G67" s="1038">
        <f t="shared" si="27"/>
        <v>3.6915247068133983</v>
      </c>
      <c r="H67" s="861">
        <f t="shared" si="3"/>
        <v>1.1035594447003092</v>
      </c>
    </row>
    <row r="68" spans="1:8" ht="16.5" customHeight="1">
      <c r="A68" s="1032" t="str">
        <f>'Pn215'!A72</f>
        <v>JANEIRO|16</v>
      </c>
      <c r="B68" s="918">
        <f>'[115]jan-16'!$I$39</f>
        <v>607.96</v>
      </c>
      <c r="C68" s="1036">
        <f t="shared" si="24"/>
        <v>104.2080183747279</v>
      </c>
      <c r="D68" s="1036">
        <f t="shared" si="25"/>
        <v>0</v>
      </c>
      <c r="E68" s="1036">
        <f t="shared" ref="E68:E73" si="28">100*((B68/$B$67)-1)</f>
        <v>0</v>
      </c>
      <c r="F68" s="1037">
        <f t="shared" si="26"/>
        <v>1.3226137621161982</v>
      </c>
      <c r="G68" s="1038">
        <f t="shared" si="27"/>
        <v>2.7334297649142414</v>
      </c>
      <c r="H68" s="861">
        <f t="shared" si="3"/>
        <v>1.1035594447003092</v>
      </c>
    </row>
    <row r="69" spans="1:8" ht="16.5" customHeight="1">
      <c r="A69" s="1032" t="str">
        <f>'Pn215'!A73</f>
        <v>FEVEREIRO|16</v>
      </c>
      <c r="B69" s="918">
        <f>'[115]fev-16'!$I$39</f>
        <v>613.14200000000005</v>
      </c>
      <c r="C69" s="1036">
        <f t="shared" ref="C69" si="29">100*B69/$B$8</f>
        <v>105.09624449358085</v>
      </c>
      <c r="D69" s="1036">
        <f t="shared" ref="D69" si="30">100*((B69/B68)-1)</f>
        <v>0.85235870780973055</v>
      </c>
      <c r="E69" s="1036">
        <f t="shared" si="28"/>
        <v>0.85235870780973055</v>
      </c>
      <c r="F69" s="1037">
        <f t="shared" ref="F69" si="31">100*((B69/B57)-1)</f>
        <v>-0.79154221288795235</v>
      </c>
      <c r="G69" s="1038">
        <f t="shared" ref="G69" si="32">100*(B69/B45-1)</f>
        <v>2.9701606835769612</v>
      </c>
      <c r="H69" s="861">
        <f t="shared" si="3"/>
        <v>1.0942326573615899</v>
      </c>
    </row>
    <row r="70" spans="1:8" ht="16.5" customHeight="1">
      <c r="A70" s="1032" t="str">
        <f>'Pn215'!A74</f>
        <v>MARÇO|16</v>
      </c>
      <c r="B70" s="918">
        <f>'[115]mar-16'!$I$39</f>
        <v>641.26200000000006</v>
      </c>
      <c r="C70" s="1036">
        <f t="shared" ref="C70" si="33">100*B70/$B$8</f>
        <v>109.91618244459301</v>
      </c>
      <c r="D70" s="1036">
        <f t="shared" ref="D70" si="34">100*((B70/B69)-1)</f>
        <v>4.5862133078471201</v>
      </c>
      <c r="E70" s="1036">
        <f t="shared" si="28"/>
        <v>5.4776630041450058</v>
      </c>
      <c r="F70" s="1037">
        <f t="shared" ref="F70" si="35">100*((B70/B58)-1)</f>
        <v>2.3180488053943238</v>
      </c>
      <c r="G70" s="1038">
        <f t="shared" ref="G70" si="36">100*(B70/B46-1)</f>
        <v>4.0644838822750495</v>
      </c>
      <c r="H70" s="861">
        <f t="shared" si="3"/>
        <v>1.0462494269113092</v>
      </c>
    </row>
    <row r="71" spans="1:8" ht="16.5" customHeight="1">
      <c r="A71" s="1032" t="str">
        <f>'Pn215'!A75</f>
        <v>ABRIL|16</v>
      </c>
      <c r="B71" s="918">
        <f>'[115]abr-16'!$I$39</f>
        <v>631.86200000000008</v>
      </c>
      <c r="C71" s="1036">
        <f t="shared" ref="C71" si="37">100*B71/$B$8</f>
        <v>108.30496563308824</v>
      </c>
      <c r="D71" s="1036">
        <f t="shared" ref="D71" si="38">100*((B71/B70)-1)</f>
        <v>-1.465859508282108</v>
      </c>
      <c r="E71" s="1036">
        <f t="shared" si="28"/>
        <v>3.9315086518850073</v>
      </c>
      <c r="F71" s="1037">
        <f t="shared" ref="F71" si="39">100*((B71/B59)-1)</f>
        <v>3.4594438822793672</v>
      </c>
      <c r="G71" s="1038">
        <f t="shared" ref="G71" si="40">100*(B71/B47-1)</f>
        <v>6.0576864975192102</v>
      </c>
      <c r="H71" s="861">
        <f t="shared" si="3"/>
        <v>1.0618141303006037</v>
      </c>
    </row>
    <row r="72" spans="1:8" ht="16.5" customHeight="1">
      <c r="A72" s="1032" t="str">
        <f>'Pn215'!A76</f>
        <v>MAIO|16</v>
      </c>
      <c r="B72" s="918">
        <f>'[115]mai-16'!$I$39</f>
        <v>640.39800000000002</v>
      </c>
      <c r="C72" s="1036">
        <f t="shared" ref="C72" si="41">100*B72/$B$8</f>
        <v>109.76808762276958</v>
      </c>
      <c r="D72" s="1036">
        <f t="shared" ref="D72" si="42">100*((B72/B71)-1)</f>
        <v>1.3509278924828338</v>
      </c>
      <c r="E72" s="1036">
        <f t="shared" si="28"/>
        <v>5.335548391341538</v>
      </c>
      <c r="F72" s="1037">
        <f t="shared" ref="F72" si="43">100*((B72/B60)-1)</f>
        <v>3.8369864479662175</v>
      </c>
      <c r="G72" s="1038">
        <f t="shared" ref="G72" si="44">100*(B72/B48-1)</f>
        <v>9.3254713437993075</v>
      </c>
      <c r="H72" s="861">
        <f t="shared" si="3"/>
        <v>1.0476609858244406</v>
      </c>
    </row>
    <row r="73" spans="1:8" ht="16.5" customHeight="1">
      <c r="A73" s="1032" t="str">
        <f>'Pn215'!A77</f>
        <v>JUNHO|16</v>
      </c>
      <c r="B73" s="918">
        <f>'[115]jun-16'!$I$39</f>
        <v>633.54600000000005</v>
      </c>
      <c r="C73" s="1036">
        <f t="shared" ref="C73" si="45">100*B73/$B$8</f>
        <v>108.59361341080889</v>
      </c>
      <c r="D73" s="1036">
        <f t="shared" ref="D73" si="46">100*((B73/B72)-1)</f>
        <v>-1.0699596188620153</v>
      </c>
      <c r="E73" s="1036">
        <f t="shared" si="28"/>
        <v>4.2085005592473301</v>
      </c>
      <c r="F73" s="1037">
        <f t="shared" ref="F73" si="47">100*((B73/B61)-1)</f>
        <v>4.7297721734933296</v>
      </c>
      <c r="G73" s="1038">
        <f t="shared" ref="G73" si="48">100*(B73/B49-1)</f>
        <v>8.1557329472900832</v>
      </c>
      <c r="H73" s="861">
        <f t="shared" si="3"/>
        <v>1.0589917701319242</v>
      </c>
    </row>
    <row r="74" spans="1:8" ht="16.5" customHeight="1">
      <c r="A74" s="1032" t="str">
        <f>'Pn215'!A78</f>
        <v>JULHO|16</v>
      </c>
      <c r="B74" s="918">
        <f>'[115]jul-16'!$I$39</f>
        <v>644.18399999999997</v>
      </c>
      <c r="C74" s="1036">
        <f t="shared" ref="C74" si="49">100*B74/$B$8</f>
        <v>110.41703090450969</v>
      </c>
      <c r="D74" s="1036">
        <f t="shared" ref="D74" si="50">100*((B74/B73)-1)</f>
        <v>1.6791203795778031</v>
      </c>
      <c r="E74" s="1036">
        <f t="shared" ref="E74" si="51">100*((B74/$B$67)-1)</f>
        <v>5.9582867293900721</v>
      </c>
      <c r="F74" s="1037">
        <f t="shared" ref="F74" si="52">100*((B74/B62)-1)</f>
        <v>3.9117067300712627</v>
      </c>
      <c r="G74" s="1038">
        <f t="shared" ref="G74" si="53">100*(B74/B50-1)</f>
        <v>10.588388789128356</v>
      </c>
      <c r="H74" s="861">
        <f t="shared" ref="H74:H124" si="54">$B$124/B74</f>
        <v>1.041503669758951</v>
      </c>
    </row>
    <row r="75" spans="1:8" ht="16.5" customHeight="1">
      <c r="A75" s="1032" t="str">
        <f>'Pn215'!A79</f>
        <v>AGOSTO|16</v>
      </c>
      <c r="B75" s="918">
        <f>'[115]ago-16'!$I$39</f>
        <v>639.24199999999996</v>
      </c>
      <c r="C75" s="1036">
        <f t="shared" ref="C75" si="55">100*B75/$B$8</f>
        <v>109.56994223616324</v>
      </c>
      <c r="D75" s="1036">
        <f t="shared" ref="D75" si="56">100*((B75/B74)-1)</f>
        <v>-0.76717211231573934</v>
      </c>
      <c r="E75" s="1036">
        <f t="shared" ref="E75" si="57">100*((B75/$B$67)-1)</f>
        <v>5.1454043029146579</v>
      </c>
      <c r="F75" s="1037">
        <f t="shared" ref="F75" si="58">100*((B75/B63)-1)</f>
        <v>2.1309977248907153</v>
      </c>
      <c r="G75" s="1038">
        <f t="shared" ref="G75" si="59">100*(B75/B51-1)</f>
        <v>9.3644889872815718</v>
      </c>
      <c r="H75" s="861">
        <f t="shared" si="54"/>
        <v>1.04955556737511</v>
      </c>
    </row>
    <row r="76" spans="1:8" ht="16.5" customHeight="1">
      <c r="A76" s="1032" t="str">
        <f>'Pn215'!A80</f>
        <v>SETEMBRO|16</v>
      </c>
      <c r="B76" s="918">
        <f>'[115]set-16'!$I$39</f>
        <v>641.00400000000002</v>
      </c>
      <c r="C76" s="1036">
        <f t="shared" ref="C76" si="60">100*B76/$B$8</f>
        <v>109.87195968529851</v>
      </c>
      <c r="D76" s="1036">
        <f t="shared" ref="D76" si="61">100*((B76/B75)-1)</f>
        <v>0.27563895989313192</v>
      </c>
      <c r="E76" s="1036">
        <f t="shared" ref="E76" si="62">100*((B76/$B$67)-1)</f>
        <v>5.4352260017106246</v>
      </c>
      <c r="F76" s="1037">
        <f t="shared" ref="F76" si="63">100*((B76/B64)-1)</f>
        <v>4.5847310508660533</v>
      </c>
      <c r="G76" s="1038">
        <f t="shared" ref="G76" si="64">100*(B76/B52-1)</f>
        <v>10.282155391920721</v>
      </c>
      <c r="H76" s="861">
        <f t="shared" si="54"/>
        <v>1.0466705355972818</v>
      </c>
    </row>
    <row r="77" spans="1:8" ht="16.5" customHeight="1">
      <c r="A77" s="1032" t="str">
        <f>'Pn215'!A81</f>
        <v>OUTUBRO|16</v>
      </c>
      <c r="B77" s="918">
        <f>'[115]out-16'!$I$39</f>
        <v>627.67600000000004</v>
      </c>
      <c r="C77" s="1036">
        <f t="shared" ref="C77" si="65">100*B77/$B$8</f>
        <v>107.58745993383728</v>
      </c>
      <c r="D77" s="1036">
        <f t="shared" ref="D77" si="66">100*((B77/B76)-1)</f>
        <v>-2.0792381950814565</v>
      </c>
      <c r="E77" s="1036">
        <f t="shared" ref="E77" si="67">100*((B77/$B$67)-1)</f>
        <v>3.2429765116126053</v>
      </c>
      <c r="F77" s="1037">
        <f t="shared" ref="F77" si="68">100*((B77/B65)-1)</f>
        <v>5.9011304201113557</v>
      </c>
      <c r="G77" s="1038">
        <f t="shared" ref="G77" si="69">100*(B77/B53-1)</f>
        <v>8.0262976731378277</v>
      </c>
      <c r="H77" s="861">
        <f t="shared" si="54"/>
        <v>1.0688954173809417</v>
      </c>
    </row>
    <row r="78" spans="1:8" ht="16.5" customHeight="1">
      <c r="A78" s="1032" t="str">
        <f>'Pn215'!A82</f>
        <v>NOVEMBRO|16</v>
      </c>
      <c r="B78" s="918">
        <f>'[115]nov-16'!$I$39</f>
        <v>606.98799999999994</v>
      </c>
      <c r="C78" s="1036">
        <f t="shared" ref="C78" si="70">100*B78/$B$8</f>
        <v>104.04141170017655</v>
      </c>
      <c r="D78" s="1036">
        <f t="shared" ref="D78" si="71">100*((B78/B77)-1)</f>
        <v>-3.29596798348194</v>
      </c>
      <c r="E78" s="1036">
        <f t="shared" ref="E78" si="72">100*((B78/$B$67)-1)</f>
        <v>-0.1598789394039235</v>
      </c>
      <c r="F78" s="1037">
        <f t="shared" ref="F78" si="73">100*((B78/B66)-1)</f>
        <v>2.1923813820992955</v>
      </c>
      <c r="G78" s="1038">
        <f t="shared" ref="G78" si="74">100*(B78/B54-1)</f>
        <v>3.6335635967533308</v>
      </c>
      <c r="H78" s="861">
        <f t="shared" si="54"/>
        <v>1.1053266291920105</v>
      </c>
    </row>
    <row r="79" spans="1:8" ht="16.5" customHeight="1">
      <c r="A79" s="1032" t="str">
        <f>'Pn215'!A83</f>
        <v>DEZEMBRO|16</v>
      </c>
      <c r="B79" s="918">
        <f>'[115]dez-16'!$I$39</f>
        <v>634.16800000000001</v>
      </c>
      <c r="C79" s="1036">
        <f t="shared" ref="C79" si="75">100*B79/$B$8</f>
        <v>108.70022797003823</v>
      </c>
      <c r="D79" s="1036">
        <f t="shared" ref="D79" si="76">100*((B79/B78)-1)</f>
        <v>4.4778479969949991</v>
      </c>
      <c r="E79" s="1036">
        <f t="shared" ref="E79" si="77">100*((B79/$B$67)-1)</f>
        <v>4.3108099217053608</v>
      </c>
      <c r="F79" s="1037">
        <f t="shared" ref="F79" si="78">100*((B79/B67)-1)</f>
        <v>4.3108099217053608</v>
      </c>
      <c r="G79" s="1038">
        <f t="shared" ref="G79" si="79">100*(B79/B55-1)</f>
        <v>7.649583095684287</v>
      </c>
      <c r="H79" s="861">
        <f t="shared" si="54"/>
        <v>1.0579530976018974</v>
      </c>
    </row>
    <row r="80" spans="1:8" ht="16.5" customHeight="1">
      <c r="A80" s="1032" t="str">
        <f>'Pn215'!A84</f>
        <v>JANEIRO|17</v>
      </c>
      <c r="B80" s="918">
        <f>'[111]jan-17'!$I$39</f>
        <v>678.89400000000001</v>
      </c>
      <c r="C80" s="1036">
        <f t="shared" ref="C80" si="80">100*B80/$B$8</f>
        <v>116.36653468401296</v>
      </c>
      <c r="D80" s="1036">
        <f t="shared" ref="D80" si="81">100*((B80/B79)-1)</f>
        <v>7.0527052768351695</v>
      </c>
      <c r="E80" s="1036">
        <f t="shared" ref="E80:E85" si="82">100*((B80/$B$79)-1)</f>
        <v>7.0527052768351695</v>
      </c>
      <c r="F80" s="1037">
        <f t="shared" ref="F80" si="83">100*((B80/B68)-1)</f>
        <v>11.667543917362977</v>
      </c>
      <c r="G80" s="1038">
        <f t="shared" ref="G80" si="84">100*(B80/B56-1)</f>
        <v>13.144474221031155</v>
      </c>
      <c r="H80" s="861">
        <f t="shared" si="54"/>
        <v>0.98825442558042942</v>
      </c>
    </row>
    <row r="81" spans="1:8" ht="16.5" customHeight="1">
      <c r="A81" s="1032" t="str">
        <f>'Pn215'!A85</f>
        <v>FEVEREIRO|17</v>
      </c>
      <c r="B81" s="918">
        <f>'[111]fev-17'!$I$39</f>
        <v>646.524</v>
      </c>
      <c r="C81" s="1036">
        <f t="shared" ref="C81" si="85">100*B81/$B$8</f>
        <v>110.81812104694812</v>
      </c>
      <c r="D81" s="1036">
        <f t="shared" ref="D81" si="86">100*((B81/B80)-1)</f>
        <v>-4.7680492094494875</v>
      </c>
      <c r="E81" s="1036">
        <f t="shared" si="82"/>
        <v>1.9483796091887218</v>
      </c>
      <c r="F81" s="1037">
        <f t="shared" ref="F81" si="87">100*((B81/B69)-1)</f>
        <v>5.4444158123240438</v>
      </c>
      <c r="G81" s="1038">
        <f t="shared" ref="G81" si="88">100*(B81/B57-1)</f>
        <v>4.6097787500364085</v>
      </c>
      <c r="H81" s="861">
        <f t="shared" si="54"/>
        <v>1.037734098038124</v>
      </c>
    </row>
    <row r="82" spans="1:8" ht="16.5" customHeight="1">
      <c r="A82" s="1032" t="str">
        <f>'Pn215'!A86</f>
        <v>MARÇO|17</v>
      </c>
      <c r="B82" s="918">
        <f>'[111]mar-17'!$I$39</f>
        <v>621.56200000000013</v>
      </c>
      <c r="C82" s="1036">
        <f t="shared" ref="C82" si="89">100*B82/$B$8</f>
        <v>106.53948338218409</v>
      </c>
      <c r="D82" s="1036">
        <f t="shared" ref="D82" si="90">100*((B82/B81)-1)</f>
        <v>-3.8609548910790381</v>
      </c>
      <c r="E82" s="1036">
        <f t="shared" si="82"/>
        <v>-1.9878013397080729</v>
      </c>
      <c r="F82" s="1037">
        <f t="shared" ref="F82" si="91">100*((B82/B70)-1)</f>
        <v>-3.0720672673571703</v>
      </c>
      <c r="G82" s="1038">
        <f t="shared" ref="G82" si="92">100*(B82/B58-1)</f>
        <v>-0.82523048055473947</v>
      </c>
      <c r="H82" s="861">
        <f t="shared" si="54"/>
        <v>1.079409616417992</v>
      </c>
    </row>
    <row r="83" spans="1:8" ht="16.5" customHeight="1">
      <c r="A83" s="1032" t="str">
        <f>'Pn215'!A87</f>
        <v>ABRIL|17</v>
      </c>
      <c r="B83" s="918">
        <f>'[111]abr-17'!$I$39</f>
        <v>646.80200000000002</v>
      </c>
      <c r="C83" s="1036">
        <f t="shared" ref="C83" si="93">100*B83/$B$8</f>
        <v>110.86577192711816</v>
      </c>
      <c r="D83" s="1036">
        <f t="shared" ref="D83" si="94">100*((B83/B82)-1)</f>
        <v>4.0607373037605088</v>
      </c>
      <c r="E83" s="1036">
        <f t="shared" si="82"/>
        <v>1.992216573526262</v>
      </c>
      <c r="F83" s="1037">
        <f t="shared" ref="F83" si="95">100*((B83/B71)-1)</f>
        <v>2.3644403366557709</v>
      </c>
      <c r="G83" s="1038">
        <f t="shared" ref="G83" si="96">100*(B83/B59-1)</f>
        <v>5.9056807055117178</v>
      </c>
      <c r="H83" s="861">
        <f t="shared" si="54"/>
        <v>1.0372880727023108</v>
      </c>
    </row>
    <row r="84" spans="1:8" ht="16.5" customHeight="1">
      <c r="A84" s="1032" t="str">
        <f>'Pn215'!A88</f>
        <v>MAIO|17</v>
      </c>
      <c r="B84" s="918">
        <f>'[111]mai-17'!$I$39</f>
        <v>658.06200000000001</v>
      </c>
      <c r="C84" s="1036">
        <f t="shared" ref="C84" si="97">100*B84/$B$8</f>
        <v>112.79580398004833</v>
      </c>
      <c r="D84" s="1036">
        <f t="shared" ref="D84" si="98">100*((B84/B83)-1)</f>
        <v>1.7408727864168583</v>
      </c>
      <c r="E84" s="1036">
        <f t="shared" si="82"/>
        <v>3.7677713161181181</v>
      </c>
      <c r="F84" s="1037">
        <f t="shared" ref="F84" si="99">100*((B84/B72)-1)</f>
        <v>2.7582846917073356</v>
      </c>
      <c r="G84" s="1038">
        <f t="shared" ref="G84" si="100">100*(B84/B60-1)</f>
        <v>6.7011061494907098</v>
      </c>
      <c r="H84" s="861">
        <f t="shared" si="54"/>
        <v>1.0195391923557355</v>
      </c>
    </row>
    <row r="85" spans="1:8" ht="16.5" customHeight="1">
      <c r="A85" s="1032" t="str">
        <f>'Pn215'!A89</f>
        <v>JUNHO|17</v>
      </c>
      <c r="B85" s="918">
        <f>'[111]jun-17'!$I$39</f>
        <v>658.06200000000001</v>
      </c>
      <c r="C85" s="1036">
        <f t="shared" ref="C85" si="101">100*B85/$B$8</f>
        <v>112.79580398004833</v>
      </c>
      <c r="D85" s="1036">
        <f t="shared" ref="D85" si="102">100*((B85/B84)-1)</f>
        <v>0</v>
      </c>
      <c r="E85" s="1036">
        <f t="shared" si="82"/>
        <v>3.7677713161181181</v>
      </c>
      <c r="F85" s="1037">
        <f t="shared" ref="F85" si="103">100*((B85/B73)-1)</f>
        <v>3.8696479813620455</v>
      </c>
      <c r="G85" s="1038">
        <f t="shared" ref="G85" si="104">100*(B85/B61-1)</f>
        <v>8.7824456882899646</v>
      </c>
      <c r="H85" s="861">
        <f t="shared" si="54"/>
        <v>1.0195391923557355</v>
      </c>
    </row>
    <row r="86" spans="1:8" ht="16.5" customHeight="1">
      <c r="A86" s="1032" t="str">
        <f>'Pn215'!A90</f>
        <v>JULHO|17</v>
      </c>
      <c r="B86" s="918">
        <f>'[111]jul-17'!$I$39</f>
        <v>650.38599999999997</v>
      </c>
      <c r="C86" s="1036">
        <f t="shared" ref="C86" si="105">100*B86/$B$8</f>
        <v>111.48009118801529</v>
      </c>
      <c r="D86" s="1036">
        <f t="shared" ref="D86" si="106">100*((B86/B85)-1)</f>
        <v>-1.1664554403688521</v>
      </c>
      <c r="E86" s="1036">
        <f t="shared" ref="E86" si="107">100*((B86/$B$79)-1)</f>
        <v>2.5573665022517567</v>
      </c>
      <c r="F86" s="1037">
        <f t="shared" ref="F86" si="108">100*((B86/B74)-1)</f>
        <v>0.96276840157469845</v>
      </c>
      <c r="G86" s="1038">
        <f t="shared" ref="G86" si="109">100*(B86/B62-1)</f>
        <v>4.9121358080053579</v>
      </c>
      <c r="H86" s="861">
        <f t="shared" si="54"/>
        <v>1.0315720203079404</v>
      </c>
    </row>
    <row r="87" spans="1:8" ht="16.5" customHeight="1">
      <c r="A87" s="1032" t="str">
        <f>'Pn215'!A91</f>
        <v>AGOSTO|17</v>
      </c>
      <c r="B87" s="918">
        <f>'[111]ago-17'!$I$39</f>
        <v>641.99800000000005</v>
      </c>
      <c r="C87" s="1036">
        <f t="shared" ref="C87" si="110">100*B87/$B$8</f>
        <v>110.04233729281296</v>
      </c>
      <c r="D87" s="1036">
        <f t="shared" ref="D87" si="111">100*((B87/B86)-1)</f>
        <v>-1.2896956576555985</v>
      </c>
      <c r="E87" s="1036">
        <f t="shared" ref="E87" si="112">100*((B87/$B$79)-1)</f>
        <v>1.2346885998662849</v>
      </c>
      <c r="F87" s="1037">
        <f t="shared" ref="F87" si="113">100*((B87/B75)-1)</f>
        <v>0.43113562625736179</v>
      </c>
      <c r="G87" s="1038">
        <f t="shared" ref="G87" si="114">100*(B87/B63-1)</f>
        <v>2.5713208415348188</v>
      </c>
      <c r="H87" s="861">
        <f t="shared" si="54"/>
        <v>1.0450499845793912</v>
      </c>
    </row>
    <row r="88" spans="1:8" ht="16.5" customHeight="1">
      <c r="A88" s="1032" t="str">
        <f>'Pn215'!A92</f>
        <v>SETEMBRO|17</v>
      </c>
      <c r="B88" s="918">
        <f>'[111]set-17'!$I$39</f>
        <v>641.99800000000005</v>
      </c>
      <c r="C88" s="1036">
        <f t="shared" ref="C88" si="115">100*B88/$B$8</f>
        <v>110.04233729281296</v>
      </c>
      <c r="D88" s="1036">
        <f t="shared" ref="D88" si="116">100*((B88/B87)-1)</f>
        <v>0</v>
      </c>
      <c r="E88" s="1036">
        <f t="shared" ref="E88" si="117">100*((B88/$B$79)-1)</f>
        <v>1.2346885998662849</v>
      </c>
      <c r="F88" s="1037">
        <f t="shared" ref="F88" si="118">100*((B88/B76)-1)</f>
        <v>0.15506923513737281</v>
      </c>
      <c r="G88" s="1038">
        <f t="shared" ref="G88" si="119">100*(B88/B64-1)</f>
        <v>4.7469097933771076</v>
      </c>
      <c r="H88" s="861">
        <f t="shared" si="54"/>
        <v>1.0450499845793912</v>
      </c>
    </row>
    <row r="89" spans="1:8" ht="16.5" customHeight="1">
      <c r="A89" s="1032" t="str">
        <f>'Pn215'!A93</f>
        <v>OUTUBRO|17</v>
      </c>
      <c r="B89" s="918">
        <f>'[111]out-17'!$I$39</f>
        <v>581.98</v>
      </c>
      <c r="C89" s="1036">
        <f t="shared" ref="C89" si="120">100*B89/$B$8</f>
        <v>99.754889357398753</v>
      </c>
      <c r="D89" s="1036">
        <f t="shared" ref="D89" si="121">100*((B89/B88)-1)</f>
        <v>-9.3486272542905198</v>
      </c>
      <c r="E89" s="1036">
        <f t="shared" ref="E89" si="122">100*((B89/$B$79)-1)</f>
        <v>-8.2293650893769499</v>
      </c>
      <c r="F89" s="1037">
        <f t="shared" ref="F89" si="123">100*((B89/B77)-1)</f>
        <v>-7.2801891421688918</v>
      </c>
      <c r="G89" s="1038">
        <f t="shared" ref="G89" si="124">100*(B89/B65-1)</f>
        <v>-1.808672178167714</v>
      </c>
      <c r="H89" s="861">
        <f t="shared" si="54"/>
        <v>1.1528231210694526</v>
      </c>
    </row>
    <row r="90" spans="1:8" ht="16.5" customHeight="1">
      <c r="A90" s="1032" t="str">
        <f>'Pn215'!A94</f>
        <v>NOVEMBRO|17</v>
      </c>
      <c r="B90" s="918">
        <f>'[111]nov-17'!$I$39</f>
        <v>581.98</v>
      </c>
      <c r="C90" s="1036">
        <f t="shared" ref="C90" si="125">100*B90/$B$8</f>
        <v>99.754889357398753</v>
      </c>
      <c r="D90" s="1036">
        <f t="shared" ref="D90" si="126">100*((B90/B89)-1)</f>
        <v>0</v>
      </c>
      <c r="E90" s="1036">
        <f t="shared" ref="E90" si="127">100*((B90/$B$79)-1)</f>
        <v>-8.2293650893769499</v>
      </c>
      <c r="F90" s="1037">
        <f t="shared" ref="F90" si="128">100*((B90/B78)-1)</f>
        <v>-4.1200155522020054</v>
      </c>
      <c r="G90" s="1038">
        <f t="shared" ref="G90" si="129">100*(B90/B66-1)</f>
        <v>-2.0179606240087744</v>
      </c>
      <c r="H90" s="861">
        <f t="shared" si="54"/>
        <v>1.1528231210694526</v>
      </c>
    </row>
    <row r="91" spans="1:8" ht="16.5" customHeight="1">
      <c r="A91" s="1032" t="str">
        <f>'Pn215'!A95</f>
        <v>DEZEMBRO|17</v>
      </c>
      <c r="B91" s="918">
        <f>'[111]dez-17'!$I$39</f>
        <v>574.52800000000002</v>
      </c>
      <c r="C91" s="1036">
        <f t="shared" ref="C91" si="130">100*B91/$B$8</f>
        <v>98.477571519171775</v>
      </c>
      <c r="D91" s="1036">
        <f t="shared" ref="D91" si="131">100*((B91/B90)-1)</f>
        <v>-1.2804563730712371</v>
      </c>
      <c r="E91" s="1036">
        <f t="shared" ref="E91" si="132">100*((B91/$B$79)-1)</f>
        <v>-9.4044480326979532</v>
      </c>
      <c r="F91" s="1037">
        <f t="shared" ref="F91" si="133">100*((B91/B79)-1)</f>
        <v>-9.4044480326979532</v>
      </c>
      <c r="G91" s="1038">
        <f t="shared" ref="G91" si="134">100*(B91/B67-1)</f>
        <v>-5.4990459898677564</v>
      </c>
      <c r="H91" s="861">
        <f t="shared" si="54"/>
        <v>1.16777598306784</v>
      </c>
    </row>
    <row r="92" spans="1:8" ht="16.5" customHeight="1">
      <c r="A92" s="1032" t="str">
        <f>'Pn215'!A96</f>
        <v>JANEIRO|18</v>
      </c>
      <c r="B92" s="918">
        <f>'[112]jan-18'!$I$39</f>
        <v>573.3420000000001</v>
      </c>
      <c r="C92" s="1036">
        <f t="shared" ref="C92" si="135">100*B92/$B$8</f>
        <v>98.274283951252144</v>
      </c>
      <c r="D92" s="1036">
        <f t="shared" ref="D92" si="136">100*((B92/B91)-1)</f>
        <v>-0.20643032193381483</v>
      </c>
      <c r="E92" s="1036">
        <f t="shared" ref="E92:E97" si="137">100*((B92/$B$91)-1)</f>
        <v>-0.20643032193381483</v>
      </c>
      <c r="F92" s="1037">
        <f t="shared" ref="F92" si="138">100*((B92/B80)-1)</f>
        <v>-15.547640721526468</v>
      </c>
      <c r="G92" s="1038">
        <f t="shared" ref="G92" si="139">100*(B92/B68-1)</f>
        <v>-5.6941246134614047</v>
      </c>
      <c r="H92" s="861">
        <f t="shared" si="54"/>
        <v>1.1701916133825883</v>
      </c>
    </row>
    <row r="93" spans="1:8" ht="16.5" customHeight="1">
      <c r="A93" s="1032" t="str">
        <f>'Pn215'!A97</f>
        <v>FEVEREIRO|18</v>
      </c>
      <c r="B93" s="918">
        <f>'[112]fev-18'!$I$39</f>
        <v>559.74</v>
      </c>
      <c r="C93" s="1036">
        <f t="shared" ref="C93" si="140">100*B93/$B$8</f>
        <v>95.94281894379597</v>
      </c>
      <c r="D93" s="1036">
        <f t="shared" ref="D93" si="141">100*((B93/B92)-1)</f>
        <v>-2.3724059985139934</v>
      </c>
      <c r="E93" s="1036">
        <f t="shared" si="137"/>
        <v>-2.573938955107502</v>
      </c>
      <c r="F93" s="1037">
        <f t="shared" ref="F93" si="142">100*((B93/B81)-1)</f>
        <v>-13.423167585426066</v>
      </c>
      <c r="G93" s="1038">
        <f t="shared" ref="G93" si="143">100*(B93/B69-1)</f>
        <v>-8.7095648316377066</v>
      </c>
      <c r="H93" s="861">
        <f t="shared" si="54"/>
        <v>1.1986279343981134</v>
      </c>
    </row>
    <row r="94" spans="1:8" ht="16.5" customHeight="1">
      <c r="A94" s="1032" t="str">
        <f>'Pn215'!A98</f>
        <v>MARÇO|18</v>
      </c>
      <c r="B94" s="918">
        <f>'[112]mar-18'!$I$39</f>
        <v>580.37</v>
      </c>
      <c r="C94" s="1036">
        <f t="shared" ref="C94" si="144">100*B94/$B$8</f>
        <v>99.478925626917615</v>
      </c>
      <c r="D94" s="1036">
        <f t="shared" ref="D94" si="145">100*((B94/B93)-1)</f>
        <v>3.6856397613177494</v>
      </c>
      <c r="E94" s="1036">
        <f t="shared" si="137"/>
        <v>1.0168346886487711</v>
      </c>
      <c r="F94" s="1037">
        <f t="shared" ref="F94" si="146">100*((B94/B82)-1)</f>
        <v>-6.6271747629359723</v>
      </c>
      <c r="G94" s="1038">
        <f t="shared" ref="G94" si="147">100*(B94/B70-1)</f>
        <v>-9.4956507636504313</v>
      </c>
      <c r="H94" s="861">
        <f t="shared" si="54"/>
        <v>1.1560211589158642</v>
      </c>
    </row>
    <row r="95" spans="1:8" ht="16.5" customHeight="1">
      <c r="A95" s="1032" t="str">
        <f>'Pn215'!A99</f>
        <v>ABRIL|18</v>
      </c>
      <c r="B95" s="918">
        <f>'[112]abr-18'!$I$39</f>
        <v>582.33000000000004</v>
      </c>
      <c r="C95" s="1036">
        <f t="shared" ref="C95" si="148">100*B95/$B$8</f>
        <v>99.814881472720742</v>
      </c>
      <c r="D95" s="1036">
        <f t="shared" ref="D95" si="149">100*((B95/B94)-1)</f>
        <v>0.33771559522375316</v>
      </c>
      <c r="E95" s="1036">
        <f t="shared" si="137"/>
        <v>1.3579842931937147</v>
      </c>
      <c r="F95" s="1037">
        <f t="shared" ref="F95" si="150">100*((B95/B83)-1)</f>
        <v>-9.9678108602014213</v>
      </c>
      <c r="G95" s="1038">
        <f t="shared" ref="G95" si="151">100*(B95/B71-1)</f>
        <v>-7.8390534642057919</v>
      </c>
      <c r="H95" s="861">
        <f t="shared" si="54"/>
        <v>1.1521302354335172</v>
      </c>
    </row>
    <row r="96" spans="1:8" ht="16.5" customHeight="1">
      <c r="A96" s="1032" t="str">
        <f>'Pn215'!A100</f>
        <v>MAIO|18</v>
      </c>
      <c r="B96" s="918">
        <f>'[112]mai-18'!$I$39</f>
        <v>575.28200000000004</v>
      </c>
      <c r="C96" s="1036">
        <f t="shared" ref="C96" si="152">100*B96/$B$8</f>
        <v>98.606811676179717</v>
      </c>
      <c r="D96" s="1036">
        <f t="shared" ref="D96" si="153">100*((B96/B95)-1)</f>
        <v>-1.2103103051534392</v>
      </c>
      <c r="E96" s="1036">
        <f t="shared" si="137"/>
        <v>0.13123816419740031</v>
      </c>
      <c r="F96" s="1037">
        <f t="shared" ref="F96" si="154">100*((B96/B84)-1)</f>
        <v>-12.579361823050107</v>
      </c>
      <c r="G96" s="1038">
        <f t="shared" ref="G96" si="155">100*(B96/B72-1)</f>
        <v>-10.168051742822426</v>
      </c>
      <c r="H96" s="861">
        <f t="shared" si="54"/>
        <v>1.1662454239833682</v>
      </c>
    </row>
    <row r="97" spans="1:8" ht="16.5" customHeight="1">
      <c r="A97" s="1032" t="str">
        <f>'Pn215'!A101</f>
        <v>JUNHO|18</v>
      </c>
      <c r="B97" s="918">
        <f>'[112]jun-18'!$I$39</f>
        <v>593.08200000000011</v>
      </c>
      <c r="C97" s="1036">
        <f t="shared" ref="C97" si="156">100*B97/$B$8</f>
        <v>101.65783925541217</v>
      </c>
      <c r="D97" s="1036">
        <f t="shared" ref="D97" si="157">100*((B97/B96)-1)</f>
        <v>3.0941347026328003</v>
      </c>
      <c r="E97" s="1036">
        <f t="shared" si="137"/>
        <v>3.2294335524117423</v>
      </c>
      <c r="F97" s="1037">
        <f t="shared" ref="F97" si="158">100*((B97/B85)-1)</f>
        <v>-9.8744495199540321</v>
      </c>
      <c r="G97" s="1038">
        <f t="shared" ref="G97" si="159">100*(B97/B73-1)</f>
        <v>-6.3869079751115105</v>
      </c>
      <c r="H97" s="861">
        <f t="shared" si="54"/>
        <v>1.1312432344937124</v>
      </c>
    </row>
    <row r="98" spans="1:8" ht="16.5" customHeight="1">
      <c r="A98" s="1032" t="str">
        <f>'Pn215'!A102</f>
        <v>JULHO|18</v>
      </c>
      <c r="B98" s="918">
        <f>'[112]jul-18'!$I$39</f>
        <v>589.66000000000008</v>
      </c>
      <c r="C98" s="1036">
        <f t="shared" ref="C98" si="160">100*B98/$B$8</f>
        <v>101.07128777360691</v>
      </c>
      <c r="D98" s="1036">
        <f t="shared" ref="D98" si="161">100*((B98/B97)-1)</f>
        <v>-0.57698598170236037</v>
      </c>
      <c r="E98" s="1036">
        <f t="shared" ref="E98" si="162">100*((B98/$B$91)-1)</f>
        <v>2.633814191823558</v>
      </c>
      <c r="F98" s="1037">
        <f t="shared" ref="F98" si="163">100*((B98/B86)-1)</f>
        <v>-9.3369168463035663</v>
      </c>
      <c r="G98" s="1038">
        <f t="shared" ref="G98" si="164">100*(B98/B74-1)</f>
        <v>-8.4640413298063706</v>
      </c>
      <c r="H98" s="861">
        <f t="shared" si="54"/>
        <v>1.1378082284706441</v>
      </c>
    </row>
    <row r="99" spans="1:8" ht="16.5" customHeight="1">
      <c r="A99" s="1032" t="str">
        <f>'Pn215'!A103</f>
        <v>AGOSTO|18</v>
      </c>
      <c r="B99" s="918">
        <f>'[112]ago-18'!$I$39</f>
        <v>586.23800000000006</v>
      </c>
      <c r="C99" s="1036">
        <f t="shared" ref="C99" si="165">100*B99/$B$8</f>
        <v>100.48473629180165</v>
      </c>
      <c r="D99" s="1036">
        <f t="shared" ref="D99" si="166">100*((B99/B98)-1)</f>
        <v>-0.58033443001052065</v>
      </c>
      <c r="E99" s="1036">
        <f t="shared" ref="E99" si="167">100*((B99/$B$91)-1)</f>
        <v>2.0381948312353959</v>
      </c>
      <c r="F99" s="1037">
        <f t="shared" ref="F99" si="168">100*((B99/B87)-1)</f>
        <v>-8.6853853127268348</v>
      </c>
      <c r="G99" s="1038">
        <f t="shared" ref="G99" si="169">100*(B99/B75-1)</f>
        <v>-8.2916954768303519</v>
      </c>
      <c r="H99" s="861">
        <f t="shared" si="54"/>
        <v>1.1444498650718651</v>
      </c>
    </row>
    <row r="100" spans="1:8" ht="16.5" customHeight="1">
      <c r="A100" s="1032" t="str">
        <f>'Pn215'!A104</f>
        <v>SETEMBRO|18</v>
      </c>
      <c r="B100" s="918">
        <f>'[112]set-18'!$I$39</f>
        <v>580.12800000000004</v>
      </c>
      <c r="C100" s="1036">
        <f t="shared" ref="C100" si="170">100*B100/$B$8</f>
        <v>99.437445364323551</v>
      </c>
      <c r="D100" s="1036">
        <f t="shared" ref="D100" si="171">100*((B100/B99)-1)</f>
        <v>-1.0422388176815622</v>
      </c>
      <c r="E100" s="1036">
        <f t="shared" ref="E100" si="172">100*((B100/$B$91)-1)</f>
        <v>0.97471315584272133</v>
      </c>
      <c r="F100" s="1037">
        <f t="shared" ref="F100" si="173">100*((B100/B88)-1)</f>
        <v>-9.6371016732139321</v>
      </c>
      <c r="G100" s="1038">
        <f t="shared" ref="G100" si="174">100*(B100/B76-1)</f>
        <v>-9.4969766179306188</v>
      </c>
      <c r="H100" s="861">
        <f t="shared" si="54"/>
        <v>1.1565033923547907</v>
      </c>
    </row>
    <row r="101" spans="1:8" ht="16.5" customHeight="1">
      <c r="A101" s="1032" t="str">
        <f>'Pn215'!A105</f>
        <v>OUTUBRO|18</v>
      </c>
      <c r="B101" s="918">
        <f>'[112]out-18'!$I$39</f>
        <v>582.19400000000007</v>
      </c>
      <c r="C101" s="1036">
        <f t="shared" ref="C101" si="175">100*B101/$B$8</f>
        <v>99.791570250767066</v>
      </c>
      <c r="D101" s="1036">
        <f t="shared" ref="D101" si="176">100*((B101/B100)-1)</f>
        <v>0.3561283027194051</v>
      </c>
      <c r="E101" s="1036">
        <f t="shared" ref="E101" si="177">100*((B101/$B$91)-1)</f>
        <v>1.3343126879804101</v>
      </c>
      <c r="F101" s="1037">
        <f t="shared" ref="F101" si="178">100*((B101/B89)-1)</f>
        <v>3.6771023059212204E-2</v>
      </c>
      <c r="G101" s="1038">
        <f t="shared" ref="G101" si="179">100*(B101/B77-1)</f>
        <v>-7.2460951191378964</v>
      </c>
      <c r="H101" s="861">
        <f t="shared" si="54"/>
        <v>1.1523993720306289</v>
      </c>
    </row>
    <row r="102" spans="1:8" ht="16.5" customHeight="1">
      <c r="A102" s="1032" t="str">
        <f>'Pn215'!A106</f>
        <v>NOVEMBRO|18</v>
      </c>
      <c r="B102" s="918">
        <f>'[112]nov-18'!$I$39</f>
        <v>594.50199999999995</v>
      </c>
      <c r="C102" s="1036">
        <f t="shared" ref="C102" si="180">100*B102/$B$8</f>
        <v>101.90123583757563</v>
      </c>
      <c r="D102" s="1036">
        <f t="shared" ref="D102" si="181">100*((B102/B101)-1)</f>
        <v>2.1140719416551601</v>
      </c>
      <c r="E102" s="1036">
        <f t="shared" ref="E102" si="182">100*((B102/$B$91)-1)</f>
        <v>3.4765929597861067</v>
      </c>
      <c r="F102" s="1037">
        <f t="shared" ref="F102" si="183">100*((B102/B90)-1)</f>
        <v>2.1516203305955495</v>
      </c>
      <c r="G102" s="1038">
        <f t="shared" ref="G102" si="184">100*(B102/B78-1)</f>
        <v>-2.0570423138513427</v>
      </c>
      <c r="H102" s="861">
        <f t="shared" si="54"/>
        <v>1.1285411991885648</v>
      </c>
    </row>
    <row r="103" spans="1:8" ht="16.5" customHeight="1">
      <c r="A103" s="1032" t="str">
        <f>'Pn215'!A107</f>
        <v>DEZEMBRO|18</v>
      </c>
      <c r="B103" s="918">
        <f>'[112]dez-18'!$I$39</f>
        <v>609.26800000000003</v>
      </c>
      <c r="C103" s="1036">
        <f t="shared" ref="C103" si="185">100*B103/$B$8</f>
        <v>104.43221747998835</v>
      </c>
      <c r="D103" s="1036">
        <f t="shared" ref="D103" si="186">100*((B103/B102)-1)</f>
        <v>2.4837595163683446</v>
      </c>
      <c r="E103" s="1036">
        <f t="shared" ref="E103" si="187">100*((B103/$B$91)-1)</f>
        <v>6.0467026846385163</v>
      </c>
      <c r="F103" s="1037">
        <f t="shared" ref="F103" si="188">100*((B103/B91)-1)</f>
        <v>6.0467026846385163</v>
      </c>
      <c r="G103" s="1038">
        <f t="shared" ref="G103" si="189">100*(B103/B79-1)</f>
        <v>-3.9264043597280196</v>
      </c>
      <c r="H103" s="861">
        <f t="shared" si="54"/>
        <v>1.1011902807959717</v>
      </c>
    </row>
    <row r="104" spans="1:8" ht="16.5" customHeight="1">
      <c r="A104" s="1032" t="str">
        <f>'Pn215'!A108</f>
        <v>JANEIRO|19</v>
      </c>
      <c r="B104" s="918">
        <f>'[113]jan-19'!$I$39</f>
        <v>616.9</v>
      </c>
      <c r="C104" s="1036">
        <f t="shared" ref="C104" si="190">100*B104/$B$8</f>
        <v>105.74038840609521</v>
      </c>
      <c r="D104" s="1036">
        <f t="shared" ref="D104" si="191">100*((B104/B103)-1)</f>
        <v>1.2526507218498129</v>
      </c>
      <c r="E104" s="1036">
        <f t="shared" ref="E104:E109" si="192">100*((B104/$B$103)-1)</f>
        <v>1.2526507218498129</v>
      </c>
      <c r="F104" s="1037">
        <f t="shared" ref="F104" si="193">100*((B104/B92)-1)</f>
        <v>7.5972107398376343</v>
      </c>
      <c r="G104" s="1038">
        <f t="shared" ref="G104" si="194">100*(B104/B80-1)</f>
        <v>-9.1316170123760152</v>
      </c>
      <c r="H104" s="861">
        <f t="shared" si="54"/>
        <v>1.0875668665910199</v>
      </c>
    </row>
    <row r="105" spans="1:8" ht="16.5" customHeight="1">
      <c r="A105" s="1032" t="str">
        <f>'Pn215'!A109</f>
        <v>FEVEREIRO|19</v>
      </c>
      <c r="B105" s="918">
        <f>'[113]fev-19'!$I$39</f>
        <v>625.18799999999987</v>
      </c>
      <c r="C105" s="1036">
        <f t="shared" ref="C105" si="195">100*B105/$B$8</f>
        <v>107.16100169691983</v>
      </c>
      <c r="D105" s="1036">
        <f t="shared" ref="D105" si="196">100*((B105/B104)-1)</f>
        <v>1.3434916518074047</v>
      </c>
      <c r="E105" s="1036">
        <f t="shared" si="192"/>
        <v>2.6129716315315799</v>
      </c>
      <c r="F105" s="1037">
        <f t="shared" ref="F105" si="197">100*((B105/B93)-1)</f>
        <v>11.692571551077258</v>
      </c>
      <c r="G105" s="1038">
        <f t="shared" ref="G105" si="198">100*(B105/B81-1)</f>
        <v>-3.3001095086957477</v>
      </c>
      <c r="H105" s="861">
        <f t="shared" si="54"/>
        <v>1.0731491967216265</v>
      </c>
    </row>
    <row r="106" spans="1:8" ht="16.5" customHeight="1">
      <c r="A106" s="1032" t="str">
        <f>'Pn215'!A110</f>
        <v>MARÇO|19</v>
      </c>
      <c r="B106" s="918">
        <f>'[113]mar-19'!$I$39</f>
        <v>597.12999999999988</v>
      </c>
      <c r="C106" s="1036">
        <f t="shared" ref="C106" si="199">100*B106/$B$8</f>
        <v>102.35169092062185</v>
      </c>
      <c r="D106" s="1036">
        <f t="shared" ref="D106" si="200">100*((B106/B105)-1)</f>
        <v>-4.4879300306467806</v>
      </c>
      <c r="E106" s="1036">
        <f t="shared" si="192"/>
        <v>-1.9922267376589864</v>
      </c>
      <c r="F106" s="1037">
        <f t="shared" ref="F106" si="201">100*((B106/B94)-1)</f>
        <v>2.8878129469131597</v>
      </c>
      <c r="G106" s="1038">
        <f t="shared" ref="G106" si="202">100*(B106/B82-1)</f>
        <v>-3.9307422268414438</v>
      </c>
      <c r="H106" s="861">
        <f t="shared" si="54"/>
        <v>1.1235744310284197</v>
      </c>
    </row>
    <row r="107" spans="1:8" ht="16.5" customHeight="1">
      <c r="A107" s="1032" t="str">
        <f>'Pn215'!A111</f>
        <v>ABRIL|19</v>
      </c>
      <c r="B107" s="918">
        <f>'[113]abr-19'!$I$39</f>
        <v>604.34599999999989</v>
      </c>
      <c r="C107" s="1036">
        <f t="shared" ref="C107" si="203">100*B107/$B$8</f>
        <v>103.58855693251743</v>
      </c>
      <c r="D107" s="1036">
        <f t="shared" ref="D107" si="204">100*((B107/B106)-1)</f>
        <v>1.2084470718269014</v>
      </c>
      <c r="E107" s="1036">
        <f t="shared" si="192"/>
        <v>-0.80785467150746859</v>
      </c>
      <c r="F107" s="1037">
        <f t="shared" ref="F107" si="205">100*((B107/B95)-1)</f>
        <v>3.7806741881750705</v>
      </c>
      <c r="G107" s="1038">
        <f t="shared" ref="G107" si="206">100*(B107/B83-1)</f>
        <v>-6.5639871243441057</v>
      </c>
      <c r="H107" s="861">
        <f t="shared" si="54"/>
        <v>1.1101587501199648</v>
      </c>
    </row>
    <row r="108" spans="1:8" ht="16.5" customHeight="1">
      <c r="A108" s="1032" t="str">
        <f>'Pn215'!A112</f>
        <v>MAIO|19</v>
      </c>
      <c r="B108" s="918">
        <f>'[113]mai-19'!$I$39</f>
        <v>604.34599999999989</v>
      </c>
      <c r="C108" s="1036">
        <f t="shared" ref="C108" si="207">100*B108/$B$8</f>
        <v>103.58855693251743</v>
      </c>
      <c r="D108" s="1036">
        <f t="shared" ref="D108" si="208">100*((B108/B107)-1)</f>
        <v>0</v>
      </c>
      <c r="E108" s="1036">
        <f t="shared" si="192"/>
        <v>-0.80785467150746859</v>
      </c>
      <c r="F108" s="1037">
        <f t="shared" ref="F108" si="209">100*((B108/B96)-1)</f>
        <v>5.052130954905576</v>
      </c>
      <c r="G108" s="1038">
        <f t="shared" ref="G108" si="210">100*(B108/B84-1)</f>
        <v>-8.1627567007364181</v>
      </c>
      <c r="H108" s="861">
        <f t="shared" si="54"/>
        <v>1.1101587501199648</v>
      </c>
    </row>
    <row r="109" spans="1:8" ht="16.5" customHeight="1">
      <c r="A109" s="1032" t="str">
        <f>'Pn215'!A113</f>
        <v>JUNHO|19</v>
      </c>
      <c r="B109" s="918">
        <f>'[113]jun-19'!$I$39</f>
        <v>598.12800000000004</v>
      </c>
      <c r="C109" s="1036">
        <f t="shared" ref="C109" si="211">100*B109/$B$8</f>
        <v>102.52275415231142</v>
      </c>
      <c r="D109" s="1036">
        <f t="shared" ref="D109" si="212">100*((B109/B108)-1)</f>
        <v>-1.02888080669018</v>
      </c>
      <c r="E109" s="1036">
        <f t="shared" si="192"/>
        <v>-1.8284236165365675</v>
      </c>
      <c r="F109" s="1037">
        <f t="shared" ref="F109" si="213">100*((B109/B97)-1)</f>
        <v>0.85080983742551464</v>
      </c>
      <c r="G109" s="1038">
        <f t="shared" ref="G109" si="214">100*(B109/B85-1)</f>
        <v>-9.1076524704359123</v>
      </c>
      <c r="H109" s="861">
        <f t="shared" si="54"/>
        <v>1.1216997030735896</v>
      </c>
    </row>
    <row r="110" spans="1:8" ht="16.5" customHeight="1">
      <c r="A110" s="1032" t="str">
        <f>'Pn215'!A114</f>
        <v>JULHO|19</v>
      </c>
      <c r="B110" s="918">
        <f>'[113]jul-19'!$I$39</f>
        <v>598.12800000000004</v>
      </c>
      <c r="C110" s="1036">
        <f t="shared" ref="C110" si="215">100*B110/$B$8</f>
        <v>102.52275415231142</v>
      </c>
      <c r="D110" s="1036">
        <f t="shared" ref="D110" si="216">100*((B110/B109)-1)</f>
        <v>0</v>
      </c>
      <c r="E110" s="1036">
        <f t="shared" ref="E110" si="217">100*((B110/$B$103)-1)</f>
        <v>-1.8284236165365675</v>
      </c>
      <c r="F110" s="1037">
        <f t="shared" ref="F110" si="218">100*((B110/B98)-1)</f>
        <v>1.4360818098565264</v>
      </c>
      <c r="G110" s="1038">
        <f t="shared" ref="G110" si="219">100*(B110/B86-1)</f>
        <v>-8.0349208008782309</v>
      </c>
      <c r="H110" s="861">
        <f t="shared" si="54"/>
        <v>1.1216997030735896</v>
      </c>
    </row>
    <row r="111" spans="1:8" ht="16.5" customHeight="1">
      <c r="A111" s="1032" t="str">
        <f>'Pn215'!A115</f>
        <v>AGOSTO|19</v>
      </c>
      <c r="B111" s="918">
        <f>'[113]ago-19'!$I$39</f>
        <v>598.12800000000004</v>
      </c>
      <c r="C111" s="1036">
        <f t="shared" ref="C111" si="220">100*B111/$B$8</f>
        <v>102.52275415231142</v>
      </c>
      <c r="D111" s="1036">
        <f t="shared" ref="D111" si="221">100*((B111/B110)-1)</f>
        <v>0</v>
      </c>
      <c r="E111" s="1036">
        <f t="shared" ref="E111" si="222">100*((B111/$B$103)-1)</f>
        <v>-1.8284236165365675</v>
      </c>
      <c r="F111" s="1037">
        <f t="shared" ref="F111" si="223">100*((B111/B99)-1)</f>
        <v>2.0281865044572411</v>
      </c>
      <c r="G111" s="1038">
        <f t="shared" ref="G111" si="224">100*(B111/B87-1)</f>
        <v>-6.8333546210424316</v>
      </c>
      <c r="H111" s="861">
        <f t="shared" si="54"/>
        <v>1.1216997030735896</v>
      </c>
    </row>
    <row r="112" spans="1:8" ht="16.5" customHeight="1">
      <c r="A112" s="1032" t="str">
        <f>'Pn215'!A116</f>
        <v>SETEMBRO|19</v>
      </c>
      <c r="B112" s="918">
        <f>'[113]set-19'!$I$39</f>
        <v>591.47399999999993</v>
      </c>
      <c r="C112" s="1036">
        <f t="shared" ref="C112" si="225">100*B112/$B$8</f>
        <v>101.38221833701856</v>
      </c>
      <c r="D112" s="1036">
        <f t="shared" ref="D112" si="226">100*((B112/B111)-1)</f>
        <v>-1.1124709092368401</v>
      </c>
      <c r="E112" s="1036">
        <f t="shared" ref="E112" si="227">100*((B112/$B$103)-1)</f>
        <v>-2.92055384494182</v>
      </c>
      <c r="F112" s="1037">
        <f t="shared" ref="F112" si="228">100*((B112/B100)-1)</f>
        <v>1.9557752771801828</v>
      </c>
      <c r="G112" s="1038">
        <f t="shared" ref="G112" si="229">100*(B112/B88-1)</f>
        <v>-7.8698064479951864</v>
      </c>
      <c r="H112" s="861">
        <f t="shared" si="54"/>
        <v>1.1343186682762052</v>
      </c>
    </row>
    <row r="113" spans="1:8" ht="16.5" customHeight="1">
      <c r="A113" s="1032" t="str">
        <f>'Pn215'!A117</f>
        <v>OUTUBRO|19</v>
      </c>
      <c r="B113" s="918">
        <f>'[113]out-19'!$I$39</f>
        <v>611.05599999999993</v>
      </c>
      <c r="C113" s="1036">
        <f t="shared" ref="C113" si="230">100*B113/$B$8</f>
        <v>104.7386914862618</v>
      </c>
      <c r="D113" s="1036">
        <f t="shared" ref="D113" si="231">100*((B113/B112)-1)</f>
        <v>3.3107118825172366</v>
      </c>
      <c r="E113" s="1036">
        <f t="shared" ref="E113" si="232">100*((B113/$B$103)-1)</f>
        <v>0.29346691439562367</v>
      </c>
      <c r="F113" s="1037">
        <f t="shared" ref="F113" si="233">100*((B113/B101)-1)</f>
        <v>4.9574540445280757</v>
      </c>
      <c r="G113" s="1038">
        <f t="shared" ref="G113" si="234">100*(B113/B89-1)</f>
        <v>4.9960479741571806</v>
      </c>
      <c r="H113" s="861">
        <f t="shared" si="54"/>
        <v>1.0979681076693464</v>
      </c>
    </row>
    <row r="114" spans="1:8" ht="16.5" customHeight="1">
      <c r="A114" s="1032" t="str">
        <f>'Pn215'!A118</f>
        <v>NOVEMBRO|19</v>
      </c>
      <c r="B114" s="918">
        <f>'[113]nov-19'!$I$39</f>
        <v>606.14599999999996</v>
      </c>
      <c r="C114" s="1036">
        <f t="shared" ref="C114" si="235">100*B114/$B$8</f>
        <v>103.89708781131623</v>
      </c>
      <c r="D114" s="1036">
        <f t="shared" ref="D114" si="236">100*((B114/B113)-1)</f>
        <v>-0.80352700898116414</v>
      </c>
      <c r="E114" s="1036">
        <f t="shared" ref="E114" si="237">100*((B114/$B$103)-1)</f>
        <v>-0.51241818050514754</v>
      </c>
      <c r="F114" s="1037">
        <f t="shared" ref="F114" si="238">100*((B114/B102)-1)</f>
        <v>1.9586141005413005</v>
      </c>
      <c r="G114" s="1038">
        <f t="shared" ref="G114" si="239">100*(B114/B90-1)</f>
        <v>4.1523763703219974</v>
      </c>
      <c r="H114" s="861">
        <f t="shared" si="54"/>
        <v>1.106862043138122</v>
      </c>
    </row>
    <row r="115" spans="1:8" ht="16.5" customHeight="1">
      <c r="A115" s="1032" t="str">
        <f>'Pn215'!A119</f>
        <v>DEZEMBRO|19</v>
      </c>
      <c r="B115" s="918">
        <f>'[113]dez-19'!$I$39</f>
        <v>606.14599999999996</v>
      </c>
      <c r="C115" s="1036">
        <f t="shared" ref="C115" si="240">100*B115/$B$8</f>
        <v>103.89708781131623</v>
      </c>
      <c r="D115" s="1036">
        <f t="shared" ref="D115" si="241">100*((B115/B114)-1)</f>
        <v>0</v>
      </c>
      <c r="E115" s="1036">
        <f t="shared" ref="E115" si="242">100*((B115/$B$103)-1)</f>
        <v>-0.51241818050514754</v>
      </c>
      <c r="F115" s="1037">
        <f t="shared" ref="F115" si="243">100*((B115/B103)-1)</f>
        <v>-0.51241818050514754</v>
      </c>
      <c r="G115" s="1038">
        <f t="shared" ref="G115" si="244">100*(B115/B91-1)</f>
        <v>5.5033001002561921</v>
      </c>
      <c r="H115" s="861">
        <f t="shared" si="54"/>
        <v>1.106862043138122</v>
      </c>
    </row>
    <row r="116" spans="1:8" ht="16.5" customHeight="1">
      <c r="A116" s="1032" t="str">
        <f>'Pn215'!A120</f>
        <v>JANEIRO|20</v>
      </c>
      <c r="B116" s="918">
        <f>'[114]jan-20'!$I$39</f>
        <v>606.14599999999996</v>
      </c>
      <c r="C116" s="1036">
        <f t="shared" ref="C116" si="245">100*B116/$B$8</f>
        <v>103.89708781131623</v>
      </c>
      <c r="D116" s="1036">
        <f t="shared" ref="D116" si="246">100*((B116/B115)-1)</f>
        <v>0</v>
      </c>
      <c r="E116" s="1036">
        <f t="shared" ref="E116:E121" si="247">100*((B116/$B$115)-1)</f>
        <v>0</v>
      </c>
      <c r="F116" s="1037">
        <f t="shared" ref="F116" si="248">100*((B116/B104)-1)</f>
        <v>-1.7432322904846864</v>
      </c>
      <c r="G116" s="1038">
        <f t="shared" ref="G116" si="249">100*(B116/B92-1)</f>
        <v>5.7215414185599167</v>
      </c>
      <c r="H116" s="861">
        <f t="shared" si="54"/>
        <v>1.106862043138122</v>
      </c>
    </row>
    <row r="117" spans="1:8" ht="16.5" customHeight="1">
      <c r="A117" s="1032" t="str">
        <f>'Pn215'!A121</f>
        <v>FEVEREIRO|20</v>
      </c>
      <c r="B117" s="918">
        <f>'[114]fev-20'!$I$39</f>
        <v>606.03</v>
      </c>
      <c r="C117" s="1036">
        <f t="shared" ref="C117" si="250">100*B117/$B$8</f>
        <v>103.87720471023809</v>
      </c>
      <c r="D117" s="1036">
        <f t="shared" ref="D117" si="251">100*((B117/B116)-1)</f>
        <v>-1.9137303553928842E-2</v>
      </c>
      <c r="E117" s="1036">
        <f t="shared" si="247"/>
        <v>-1.9137303553928842E-2</v>
      </c>
      <c r="F117" s="1037">
        <f t="shared" ref="F117" si="252">100*((B117/B105)-1)</f>
        <v>-3.0643582410410763</v>
      </c>
      <c r="G117" s="1038">
        <f t="shared" ref="G117" si="253">100*(B117/B93-1)</f>
        <v>8.2699110301211132</v>
      </c>
      <c r="H117" s="861">
        <f t="shared" si="54"/>
        <v>1.1070739072323155</v>
      </c>
    </row>
    <row r="118" spans="1:8" ht="16.5" customHeight="1">
      <c r="A118" s="1032" t="str">
        <f>'Pn215'!A122</f>
        <v>MARÇO|20</v>
      </c>
      <c r="B118" s="918">
        <f>'[114]mar-20'!$I$39</f>
        <v>607.66599999999994</v>
      </c>
      <c r="C118" s="1036">
        <f t="shared" ref="C118" si="254">100*B118/$B$8</f>
        <v>104.15762499785741</v>
      </c>
      <c r="D118" s="1036">
        <f t="shared" ref="D118" si="255">100*((B118/B117)-1)</f>
        <v>0.26995363265844841</v>
      </c>
      <c r="E118" s="1036">
        <f t="shared" si="247"/>
        <v>0.2507646672583741</v>
      </c>
      <c r="F118" s="1037">
        <f t="shared" ref="F118" si="256">100*((B118/B106)-1)</f>
        <v>1.7644399042084702</v>
      </c>
      <c r="G118" s="1038">
        <f t="shared" ref="G118" si="257">100*(B118/B94-1)</f>
        <v>4.7032065751158703</v>
      </c>
      <c r="H118" s="861">
        <f t="shared" si="54"/>
        <v>1.1040933670799422</v>
      </c>
    </row>
    <row r="119" spans="1:8" ht="16.5" customHeight="1">
      <c r="A119" s="1032" t="str">
        <f>'Pn215'!A123</f>
        <v>ABRIL|20</v>
      </c>
      <c r="B119" s="918">
        <f>'[114]abr-20'!$I$39</f>
        <v>631.37200000000007</v>
      </c>
      <c r="C119" s="1036">
        <f t="shared" ref="C119" si="258">100*B119/$B$8</f>
        <v>108.22097667163746</v>
      </c>
      <c r="D119" s="1036">
        <f t="shared" ref="D119" si="259">100*((B119/B118)-1)</f>
        <v>3.9011562272696088</v>
      </c>
      <c r="E119" s="1036">
        <f t="shared" si="247"/>
        <v>4.1617036159605325</v>
      </c>
      <c r="F119" s="1037">
        <f t="shared" ref="F119" si="260">100*((B119/B107)-1)</f>
        <v>4.4719415698954323</v>
      </c>
      <c r="G119" s="1038">
        <f t="shared" ref="G119" si="261">100*(B119/B95-1)</f>
        <v>8.421685298713788</v>
      </c>
      <c r="H119" s="861">
        <f t="shared" si="54"/>
        <v>1.0626381911139551</v>
      </c>
    </row>
    <row r="120" spans="1:8" ht="16.5" customHeight="1">
      <c r="A120" s="1032" t="str">
        <f>'Pn215'!A124</f>
        <v>MAIO|20</v>
      </c>
      <c r="B120" s="918">
        <f>'[114]mai-20'!$I$39</f>
        <v>627.67200000000014</v>
      </c>
      <c r="C120" s="1036">
        <f t="shared" ref="C120" si="262">100*B120/$B$8</f>
        <v>107.58677430966219</v>
      </c>
      <c r="D120" s="1036">
        <f t="shared" ref="D120" si="263">100*((B120/B119)-1)</f>
        <v>-0.58602535430775093</v>
      </c>
      <c r="E120" s="1036">
        <f t="shared" si="247"/>
        <v>3.5512896232920976</v>
      </c>
      <c r="F120" s="1037">
        <f t="shared" ref="F120" si="264">100*((B120/B108)-1)</f>
        <v>3.8597095041582596</v>
      </c>
      <c r="G120" s="1038">
        <f t="shared" ref="G120" si="265">100*(B120/B96-1)</f>
        <v>9.1068380376928317</v>
      </c>
      <c r="H120" s="861">
        <f t="shared" si="54"/>
        <v>1.0689022291897678</v>
      </c>
    </row>
    <row r="121" spans="1:8" ht="16.5" customHeight="1">
      <c r="A121" s="1032" t="str">
        <f>'Pn215'!A125</f>
        <v>JUNHO|20</v>
      </c>
      <c r="B121" s="918">
        <f>'[114]jun-20'!$I$39</f>
        <v>647.71399999999994</v>
      </c>
      <c r="C121" s="1036">
        <f t="shared" ref="C121" si="266">100*B121/$B$8</f>
        <v>111.02209423904287</v>
      </c>
      <c r="D121" s="1036">
        <f t="shared" ref="D121" si="267">100*((B121/B120)-1)</f>
        <v>3.1930689914477339</v>
      </c>
      <c r="E121" s="1036">
        <f t="shared" si="247"/>
        <v>6.8577537424976853</v>
      </c>
      <c r="F121" s="1037">
        <f t="shared" ref="F121" si="268">100*((B121/B109)-1)</f>
        <v>8.2901987534440558</v>
      </c>
      <c r="G121" s="1038">
        <f t="shared" ref="G121" si="269">100*(B121/B97-1)</f>
        <v>9.2115424174060045</v>
      </c>
      <c r="H121" s="861">
        <f t="shared" si="54"/>
        <v>1.0358275411678612</v>
      </c>
    </row>
    <row r="122" spans="1:8" ht="16.5" customHeight="1">
      <c r="A122" s="1032" t="str">
        <f>'Pn215'!A126</f>
        <v>JULHO|20</v>
      </c>
      <c r="B122" s="918">
        <f>'[114]jul-20'!$I$39</f>
        <v>649.71399999999994</v>
      </c>
      <c r="C122" s="1036">
        <f t="shared" ref="C122" si="270">100*B122/$B$8</f>
        <v>111.36490632659707</v>
      </c>
      <c r="D122" s="1036">
        <f t="shared" ref="D122" si="271">100*((B122/B121)-1)</f>
        <v>0.30877825707025242</v>
      </c>
      <c r="E122" s="1036">
        <f t="shared" ref="E122" si="272">100*((B122/$B$115)-1)</f>
        <v>7.1877072520481811</v>
      </c>
      <c r="F122" s="1037">
        <f t="shared" ref="F122" si="273">100*((B122/B110)-1)</f>
        <v>8.6245753417328643</v>
      </c>
      <c r="G122" s="1038">
        <f t="shared" ref="G122" si="274">100*(B122/B98-1)</f>
        <v>10.184513109249371</v>
      </c>
      <c r="H122" s="861">
        <f t="shared" si="54"/>
        <v>1.0326389765342907</v>
      </c>
    </row>
    <row r="123" spans="1:8" ht="16.5" customHeight="1">
      <c r="A123" s="1032" t="str">
        <f>'Pn215'!A127</f>
        <v>AGOSTO|20</v>
      </c>
      <c r="B123" s="918">
        <f>'[114]ago-20'!$I$39</f>
        <v>662.63400000000001</v>
      </c>
      <c r="C123" s="1036">
        <f t="shared" ref="C123" si="275">100*B123/$B$8</f>
        <v>113.57947241219725</v>
      </c>
      <c r="D123" s="1036">
        <f t="shared" ref="D123" si="276">100*((B123/B122)-1)</f>
        <v>1.9885672772943286</v>
      </c>
      <c r="E123" s="1036">
        <f t="shared" ref="E123" si="277">100*((B123/$B$115)-1)</f>
        <v>9.3192069237444599</v>
      </c>
      <c r="F123" s="1037">
        <f t="shared" ref="F123" si="278">100*((B123/B111)-1)</f>
        <v>10.784648102078487</v>
      </c>
      <c r="G123" s="1038">
        <f t="shared" ref="G123" si="279">100*(B123/B99-1)</f>
        <v>13.031567383895259</v>
      </c>
      <c r="H123" s="926">
        <f t="shared" si="54"/>
        <v>1.0125046405708129</v>
      </c>
    </row>
    <row r="124" spans="1:8" ht="16.5" customHeight="1" thickBot="1">
      <c r="A124" s="1046" t="str">
        <f>'Pn215'!A128</f>
        <v>SETEMBRO|20</v>
      </c>
      <c r="B124" s="1047">
        <f>'[114]set-20'!$I$39</f>
        <v>670.92000000000007</v>
      </c>
      <c r="C124" s="1048">
        <f t="shared" ref="C124" si="280">100*B124/$B$8</f>
        <v>114.99974289093434</v>
      </c>
      <c r="D124" s="1048">
        <f t="shared" ref="D124" si="281">100*((B124/B123)-1)</f>
        <v>1.2504640570812908</v>
      </c>
      <c r="E124" s="1048">
        <f t="shared" ref="E124" si="282">100*((B124/$B$115)-1)</f>
        <v>10.686204313812198</v>
      </c>
      <c r="F124" s="1051">
        <f t="shared" ref="F124" si="283">100*((B124/B112)-1)</f>
        <v>13.431866827620521</v>
      </c>
      <c r="G124" s="1052">
        <f t="shared" ref="G124" si="284">100*(B124/B100-1)</f>
        <v>15.650339235479072</v>
      </c>
      <c r="H124" s="1053">
        <f t="shared" si="54"/>
        <v>1</v>
      </c>
    </row>
    <row r="125" spans="1:8">
      <c r="A125" s="758" t="s">
        <v>238</v>
      </c>
      <c r="B125" s="728"/>
      <c r="C125" s="728"/>
      <c r="D125" s="762"/>
      <c r="E125" s="762"/>
      <c r="F125" s="776"/>
      <c r="G125" s="763"/>
      <c r="H125" s="777"/>
    </row>
    <row r="126" spans="1:8">
      <c r="B126" s="728"/>
      <c r="C126" s="728"/>
      <c r="D126" s="762"/>
      <c r="E126" s="762"/>
      <c r="F126" s="776"/>
      <c r="G126" s="763"/>
      <c r="H126" s="777"/>
    </row>
    <row r="127" spans="1:8">
      <c r="A127" s="733"/>
      <c r="B127" s="728"/>
      <c r="C127" s="728"/>
      <c r="D127" s="762"/>
      <c r="E127" s="762"/>
      <c r="F127" s="776"/>
      <c r="G127" s="763"/>
      <c r="H127" s="777"/>
    </row>
    <row r="128" spans="1:8">
      <c r="A128" s="733"/>
    </row>
    <row r="130" spans="1:1">
      <c r="A130" s="758"/>
    </row>
  </sheetData>
  <mergeCells count="7">
    <mergeCell ref="C1:H3"/>
    <mergeCell ref="A7:B7"/>
    <mergeCell ref="A4:C4"/>
    <mergeCell ref="A5:C5"/>
    <mergeCell ref="D5:G5"/>
    <mergeCell ref="H5:H6"/>
    <mergeCell ref="D4:H4"/>
  </mergeCells>
  <printOptions horizontalCentered="1" verticalCentered="1"/>
  <pageMargins left="0.70866141732283472" right="0.70866141732283472" top="0.74803149606299213" bottom="0.74803149606299213" header="0.31496062992125984" footer="0.31496062992125984"/>
  <pageSetup paperSize="9" scale="37" orientation="portrait" r:id="rId1"/>
  <headerFooter>
    <oddFooter>&amp;L&amp;"Calibri,Regular"&amp;K184782&amp;F&amp;C&amp;"Calibri,Regular"&amp;K184782&amp;A&amp;R&amp;"Calibri,Regular"&amp;K184782&amp;P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32">
    <pageSetUpPr fitToPage="1"/>
  </sheetPr>
  <dimension ref="A1:J254"/>
  <sheetViews>
    <sheetView showGridLines="0" zoomScaleNormal="100" workbookViewId="0">
      <pane ySplit="2595" topLeftCell="A242" activePane="bottomLeft"/>
      <selection activeCell="A215" sqref="A215"/>
      <selection pane="bottomLeft" activeCell="J254" sqref="J254"/>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72" t="s">
        <v>371</v>
      </c>
      <c r="B4" s="1466"/>
      <c r="C4" s="1467"/>
      <c r="D4" s="1432" t="s">
        <v>365</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985" t="s">
        <v>341</v>
      </c>
      <c r="B6" s="986" t="s">
        <v>76</v>
      </c>
      <c r="C6" s="986" t="s">
        <v>68</v>
      </c>
      <c r="D6" s="986" t="s">
        <v>342</v>
      </c>
      <c r="E6" s="986" t="s">
        <v>343</v>
      </c>
      <c r="F6" s="986" t="s">
        <v>344</v>
      </c>
      <c r="G6" s="986" t="s">
        <v>345</v>
      </c>
      <c r="H6" s="1603"/>
    </row>
    <row r="7" spans="1:8" ht="15.75" customHeight="1" thickBot="1">
      <c r="A7" s="1419" t="s">
        <v>347</v>
      </c>
      <c r="B7" s="1604"/>
      <c r="C7" s="952" t="s">
        <v>393</v>
      </c>
      <c r="D7" s="952"/>
      <c r="E7" s="952"/>
      <c r="F7" s="952"/>
      <c r="G7" s="952"/>
      <c r="H7" s="953"/>
    </row>
    <row r="8" spans="1:8" ht="16.5" hidden="1" thickBot="1">
      <c r="A8" s="972" t="s">
        <v>557</v>
      </c>
      <c r="B8" s="987">
        <f>+geral!C811</f>
        <v>127.6</v>
      </c>
      <c r="C8" s="987">
        <v>100</v>
      </c>
      <c r="D8" s="988">
        <f>100*((B8/'Pn900'!B73)-1)</f>
        <v>-67.421553859116102</v>
      </c>
      <c r="E8" s="988"/>
      <c r="F8" s="989"/>
      <c r="G8" s="990"/>
      <c r="H8" s="991">
        <f>+$B$253/B8</f>
        <v>4.3489363636363629</v>
      </c>
    </row>
    <row r="9" spans="1:8" ht="16.5" hidden="1" thickBot="1">
      <c r="A9" s="973" t="s">
        <v>558</v>
      </c>
      <c r="B9" s="748">
        <f>+geral!C812</f>
        <v>141</v>
      </c>
      <c r="C9" s="748">
        <f>100*B9/$B$8</f>
        <v>110.50156739811912</v>
      </c>
      <c r="D9" s="750">
        <f t="shared" ref="D9:D17" si="0">100*((B9/B8)-1)</f>
        <v>10.501567398119139</v>
      </c>
      <c r="E9" s="750"/>
      <c r="F9" s="751"/>
      <c r="G9" s="840"/>
      <c r="H9" s="842">
        <f>+$B$253/B9</f>
        <v>3.9356331914893605</v>
      </c>
    </row>
    <row r="10" spans="1:8" ht="16.5" hidden="1" thickBot="1">
      <c r="A10" s="973" t="s">
        <v>559</v>
      </c>
      <c r="B10" s="748">
        <f>+geral!C813</f>
        <v>153.16999999999999</v>
      </c>
      <c r="C10" s="748">
        <f t="shared" ref="C10:C88" si="1">100*B10/$B$8</f>
        <v>120.03918495297805</v>
      </c>
      <c r="D10" s="750">
        <f t="shared" si="0"/>
        <v>8.6312056737588563</v>
      </c>
      <c r="E10" s="750"/>
      <c r="F10" s="751"/>
      <c r="G10" s="840"/>
      <c r="H10" s="842">
        <f>+$B$253/B10</f>
        <v>3.6229305999869417</v>
      </c>
    </row>
    <row r="11" spans="1:8" ht="16.5" hidden="1" thickBot="1">
      <c r="A11" s="973" t="s">
        <v>560</v>
      </c>
      <c r="B11" s="748">
        <f>+geral!C814</f>
        <v>138.29</v>
      </c>
      <c r="C11" s="748">
        <f t="shared" si="1"/>
        <v>108.37774294670847</v>
      </c>
      <c r="D11" s="750">
        <f t="shared" si="0"/>
        <v>-9.7146960893125254</v>
      </c>
      <c r="E11" s="750"/>
      <c r="F11" s="751"/>
      <c r="G11" s="840"/>
      <c r="H11" s="842">
        <f>+$B$253/B11</f>
        <v>4.0127578277532709</v>
      </c>
    </row>
    <row r="12" spans="1:8" ht="16.5" hidden="1" thickBot="1">
      <c r="A12" s="973" t="s">
        <v>561</v>
      </c>
      <c r="B12" s="748">
        <f>+geral!C815</f>
        <v>153.4</v>
      </c>
      <c r="C12" s="748">
        <f t="shared" si="1"/>
        <v>120.21943573667713</v>
      </c>
      <c r="D12" s="750">
        <f t="shared" si="0"/>
        <v>10.92631426711983</v>
      </c>
      <c r="E12" s="750"/>
      <c r="F12" s="751"/>
      <c r="G12" s="840"/>
      <c r="H12" s="842">
        <f>+$B$253/B12</f>
        <v>3.6174985658409375</v>
      </c>
    </row>
    <row r="13" spans="1:8" ht="16.5" hidden="1" thickBot="1">
      <c r="A13" s="973" t="s">
        <v>562</v>
      </c>
      <c r="B13" s="748">
        <f>+geral!C816</f>
        <v>151.66999999999999</v>
      </c>
      <c r="C13" s="748">
        <f t="shared" si="1"/>
        <v>118.86363636363636</v>
      </c>
      <c r="D13" s="750">
        <f t="shared" si="0"/>
        <v>-1.1277705345502098</v>
      </c>
      <c r="E13" s="750"/>
      <c r="F13" s="751"/>
      <c r="G13" s="840"/>
      <c r="H13" s="842">
        <f>+$B$253/B13</f>
        <v>3.6587609942638615</v>
      </c>
    </row>
    <row r="14" spans="1:8" ht="16.5" hidden="1" thickBot="1">
      <c r="A14" s="973" t="s">
        <v>534</v>
      </c>
      <c r="B14" s="748">
        <f>+geral!C817</f>
        <v>144.6</v>
      </c>
      <c r="C14" s="748">
        <f t="shared" si="1"/>
        <v>113.32288401253919</v>
      </c>
      <c r="D14" s="750">
        <f t="shared" si="0"/>
        <v>-4.6614360123953258</v>
      </c>
      <c r="E14" s="750"/>
      <c r="F14" s="751"/>
      <c r="G14" s="840"/>
      <c r="H14" s="842">
        <f>+$B$253/B14</f>
        <v>3.8376506224066382</v>
      </c>
    </row>
    <row r="15" spans="1:8" ht="16.5" hidden="1" thickBot="1">
      <c r="A15" s="973" t="s">
        <v>563</v>
      </c>
      <c r="B15" s="748">
        <f>+geral!C818</f>
        <v>156.4</v>
      </c>
      <c r="C15" s="748">
        <f t="shared" si="1"/>
        <v>122.5705329153605</v>
      </c>
      <c r="D15" s="750">
        <f t="shared" si="0"/>
        <v>8.1604426002766406</v>
      </c>
      <c r="E15" s="750"/>
      <c r="F15" s="751"/>
      <c r="G15" s="840"/>
      <c r="H15" s="842">
        <f>+$B$253/B15</f>
        <v>3.548109207161124</v>
      </c>
    </row>
    <row r="16" spans="1:8" ht="16.5" hidden="1" thickBot="1">
      <c r="A16" s="973" t="s">
        <v>564</v>
      </c>
      <c r="B16" s="748">
        <f>+geral!C819</f>
        <v>156.75</v>
      </c>
      <c r="C16" s="748">
        <f t="shared" si="1"/>
        <v>122.8448275862069</v>
      </c>
      <c r="D16" s="750">
        <f t="shared" si="0"/>
        <v>0.22378516624039779</v>
      </c>
      <c r="E16" s="750"/>
      <c r="F16" s="751"/>
      <c r="G16" s="840"/>
      <c r="H16" s="842">
        <f>+$B$253/B16</f>
        <v>3.5401867942583722</v>
      </c>
    </row>
    <row r="17" spans="1:8" ht="16.5" hidden="1" thickBot="1">
      <c r="A17" s="973" t="s">
        <v>546</v>
      </c>
      <c r="B17" s="748">
        <f>+geral!E808</f>
        <v>163</v>
      </c>
      <c r="C17" s="748">
        <f t="shared" si="1"/>
        <v>127.74294670846396</v>
      </c>
      <c r="D17" s="750">
        <f t="shared" si="0"/>
        <v>3.9872408293460948</v>
      </c>
      <c r="E17" s="750">
        <f t="shared" ref="E17:E22" si="2">100*((B17/$B$16)-1)</f>
        <v>3.9872408293460948</v>
      </c>
      <c r="F17" s="751"/>
      <c r="G17" s="840"/>
      <c r="H17" s="842">
        <f>+$B$253/B17</f>
        <v>3.404443435582821</v>
      </c>
    </row>
    <row r="18" spans="1:8" ht="16.5" hidden="1" thickBot="1">
      <c r="A18" s="973" t="s">
        <v>547</v>
      </c>
      <c r="B18" s="748">
        <f>+geral!E809</f>
        <v>162.5</v>
      </c>
      <c r="C18" s="748">
        <f t="shared" si="1"/>
        <v>127.35109717868339</v>
      </c>
      <c r="D18" s="750">
        <f t="shared" ref="D18:D23" si="3">100*((B18/B17)-1)</f>
        <v>-0.30674846625766694</v>
      </c>
      <c r="E18" s="750">
        <f t="shared" si="2"/>
        <v>3.6682615629983983</v>
      </c>
      <c r="F18" s="751"/>
      <c r="G18" s="840"/>
      <c r="H18" s="842">
        <f>+$B$253/B18</f>
        <v>3.4149186461538452</v>
      </c>
    </row>
    <row r="19" spans="1:8" ht="16.5" hidden="1" thickBot="1">
      <c r="A19" s="973" t="s">
        <v>548</v>
      </c>
      <c r="B19" s="748">
        <f>+geral!E810</f>
        <v>154.25</v>
      </c>
      <c r="C19" s="748">
        <f t="shared" si="1"/>
        <v>120.88557993730409</v>
      </c>
      <c r="D19" s="750">
        <f t="shared" si="3"/>
        <v>-5.0769230769230784</v>
      </c>
      <c r="E19" s="750">
        <f t="shared" si="2"/>
        <v>-1.5948963317384379</v>
      </c>
      <c r="F19" s="751"/>
      <c r="G19" s="840"/>
      <c r="H19" s="842">
        <f>+$B$253/B19</f>
        <v>3.5975642139384107</v>
      </c>
    </row>
    <row r="20" spans="1:8" ht="16.5" hidden="1" thickBot="1">
      <c r="A20" s="973" t="s">
        <v>549</v>
      </c>
      <c r="B20" s="748">
        <f>+geral!E811</f>
        <v>163.80000000000001</v>
      </c>
      <c r="C20" s="748">
        <f t="shared" si="1"/>
        <v>128.36990595611286</v>
      </c>
      <c r="D20" s="750">
        <f t="shared" si="3"/>
        <v>6.1912479740680704</v>
      </c>
      <c r="E20" s="750">
        <f t="shared" si="2"/>
        <v>4.4976076555024003</v>
      </c>
      <c r="F20" s="751">
        <f t="shared" ref="F20:F25" si="4">100*((B20/B8)-1)</f>
        <v>28.369905956112863</v>
      </c>
      <c r="G20" s="840"/>
      <c r="H20" s="842">
        <f>+$B$253/B20</f>
        <v>3.3878161172161159</v>
      </c>
    </row>
    <row r="21" spans="1:8" ht="16.5" hidden="1" thickBot="1">
      <c r="A21" s="973" t="s">
        <v>550</v>
      </c>
      <c r="B21" s="748">
        <f>+geral!E812</f>
        <v>159</v>
      </c>
      <c r="C21" s="748">
        <f t="shared" si="1"/>
        <v>124.60815047021944</v>
      </c>
      <c r="D21" s="750">
        <f t="shared" si="3"/>
        <v>-2.9304029304029422</v>
      </c>
      <c r="E21" s="750">
        <f t="shared" si="2"/>
        <v>1.4354066985645897</v>
      </c>
      <c r="F21" s="751">
        <f t="shared" si="4"/>
        <v>12.765957446808507</v>
      </c>
      <c r="G21" s="840"/>
      <c r="H21" s="842">
        <f>+$B$253/B21</f>
        <v>3.4900898113207539</v>
      </c>
    </row>
    <row r="22" spans="1:8" ht="16.5" hidden="1" thickBot="1">
      <c r="A22" s="973" t="s">
        <v>551</v>
      </c>
      <c r="B22" s="748">
        <f>+geral!E813</f>
        <v>166.4</v>
      </c>
      <c r="C22" s="748">
        <f t="shared" si="1"/>
        <v>130.4075235109718</v>
      </c>
      <c r="D22" s="750">
        <f t="shared" si="3"/>
        <v>4.6540880503144644</v>
      </c>
      <c r="E22" s="750">
        <f t="shared" si="2"/>
        <v>6.1562998405103597</v>
      </c>
      <c r="F22" s="751">
        <f t="shared" si="4"/>
        <v>8.6374616439250715</v>
      </c>
      <c r="G22" s="840"/>
      <c r="H22" s="842">
        <f>+$B$253/B22</f>
        <v>3.3348814903846145</v>
      </c>
    </row>
    <row r="23" spans="1:8" ht="16.5" hidden="1" thickBot="1">
      <c r="A23" s="973" t="s">
        <v>552</v>
      </c>
      <c r="B23" s="748">
        <f>+geral!E814</f>
        <v>163</v>
      </c>
      <c r="C23" s="748">
        <f t="shared" si="1"/>
        <v>127.74294670846396</v>
      </c>
      <c r="D23" s="750">
        <f t="shared" si="3"/>
        <v>-2.0432692307692291</v>
      </c>
      <c r="E23" s="750">
        <f t="shared" ref="E23:E28" si="5">100*((B23/$B$16)-1)</f>
        <v>3.9872408293460948</v>
      </c>
      <c r="F23" s="751">
        <f t="shared" si="4"/>
        <v>17.868247884879619</v>
      </c>
      <c r="G23" s="840"/>
      <c r="H23" s="842">
        <f>+$B$253/B23</f>
        <v>3.404443435582821</v>
      </c>
    </row>
    <row r="24" spans="1:8" ht="16.5" hidden="1" thickBot="1">
      <c r="A24" s="973" t="s">
        <v>553</v>
      </c>
      <c r="B24" s="748">
        <f>+geral!E815</f>
        <v>168</v>
      </c>
      <c r="C24" s="748">
        <f t="shared" si="1"/>
        <v>131.6614420062696</v>
      </c>
      <c r="D24" s="750">
        <f t="shared" ref="D24:D29" si="6">100*((B24/B23)-1)</f>
        <v>3.0674846625766916</v>
      </c>
      <c r="E24" s="750">
        <f t="shared" si="5"/>
        <v>7.1770334928229707</v>
      </c>
      <c r="F24" s="751">
        <f t="shared" si="4"/>
        <v>9.5176010430247704</v>
      </c>
      <c r="G24" s="840"/>
      <c r="H24" s="842">
        <f>+$B$253/B24</f>
        <v>3.3031207142857135</v>
      </c>
    </row>
    <row r="25" spans="1:8" ht="16.5" hidden="1" thickBot="1">
      <c r="A25" s="973" t="s">
        <v>554</v>
      </c>
      <c r="B25" s="748">
        <f>+geral!E816</f>
        <v>162.6</v>
      </c>
      <c r="C25" s="748">
        <f t="shared" si="1"/>
        <v>127.4294670846395</v>
      </c>
      <c r="D25" s="750">
        <f t="shared" si="6"/>
        <v>-3.214285714285714</v>
      </c>
      <c r="E25" s="750">
        <f t="shared" si="5"/>
        <v>3.7320574162679421</v>
      </c>
      <c r="F25" s="751">
        <f t="shared" si="4"/>
        <v>7.206435023406077</v>
      </c>
      <c r="G25" s="840"/>
      <c r="H25" s="842">
        <f>+$B$253/B25</f>
        <v>3.4128184501845009</v>
      </c>
    </row>
    <row r="26" spans="1:8" ht="16.5" hidden="1" thickBot="1">
      <c r="A26" s="973" t="s">
        <v>533</v>
      </c>
      <c r="B26" s="748">
        <f>+geral!E817</f>
        <v>170</v>
      </c>
      <c r="C26" s="748">
        <f t="shared" si="1"/>
        <v>133.22884012539186</v>
      </c>
      <c r="D26" s="750">
        <f t="shared" si="6"/>
        <v>4.5510455104551095</v>
      </c>
      <c r="E26" s="750">
        <f t="shared" si="5"/>
        <v>8.4529505582137112</v>
      </c>
      <c r="F26" s="751">
        <f t="shared" ref="F26:F31" si="7">100*((B26/B14)-1)</f>
        <v>17.565698478561554</v>
      </c>
      <c r="G26" s="840"/>
      <c r="H26" s="842">
        <f>+$B$253/B26</f>
        <v>3.2642604705882343</v>
      </c>
    </row>
    <row r="27" spans="1:8" ht="16.5" hidden="1" thickBot="1">
      <c r="A27" s="973" t="s">
        <v>555</v>
      </c>
      <c r="B27" s="748">
        <f>+geral!E818</f>
        <v>166.4</v>
      </c>
      <c r="C27" s="748">
        <f t="shared" si="1"/>
        <v>130.4075235109718</v>
      </c>
      <c r="D27" s="750">
        <f t="shared" si="6"/>
        <v>-2.1176470588235241</v>
      </c>
      <c r="E27" s="750">
        <f t="shared" si="5"/>
        <v>6.1562998405103597</v>
      </c>
      <c r="F27" s="751">
        <f t="shared" si="7"/>
        <v>6.3938618925831303</v>
      </c>
      <c r="G27" s="840"/>
      <c r="H27" s="842">
        <f>+$B$253/B27</f>
        <v>3.3348814903846145</v>
      </c>
    </row>
    <row r="28" spans="1:8" ht="16.5" hidden="1" thickBot="1">
      <c r="A28" s="973" t="s">
        <v>556</v>
      </c>
      <c r="B28" s="748">
        <f>+geral!E819</f>
        <v>159</v>
      </c>
      <c r="C28" s="748">
        <f t="shared" si="1"/>
        <v>124.60815047021944</v>
      </c>
      <c r="D28" s="750">
        <f t="shared" si="6"/>
        <v>-4.447115384615385</v>
      </c>
      <c r="E28" s="750">
        <f t="shared" si="5"/>
        <v>1.4354066985645897</v>
      </c>
      <c r="F28" s="751">
        <f t="shared" si="7"/>
        <v>1.4354066985645897</v>
      </c>
      <c r="G28" s="840"/>
      <c r="H28" s="842">
        <f>+$B$253/B28</f>
        <v>3.4900898113207539</v>
      </c>
    </row>
    <row r="29" spans="1:8" ht="16.5" hidden="1" thickBot="1">
      <c r="A29" s="973" t="s">
        <v>535</v>
      </c>
      <c r="B29" s="748">
        <f>+geral!G808</f>
        <v>170.2</v>
      </c>
      <c r="C29" s="748">
        <f t="shared" si="1"/>
        <v>133.38557993730407</v>
      </c>
      <c r="D29" s="750">
        <f t="shared" si="6"/>
        <v>7.0440251572327028</v>
      </c>
      <c r="E29" s="750">
        <f t="shared" ref="E29:E34" si="8">100*((B29/$B$28)-1)</f>
        <v>7.0440251572327028</v>
      </c>
      <c r="F29" s="751">
        <f t="shared" si="7"/>
        <v>4.4171779141104262</v>
      </c>
      <c r="G29" s="840"/>
      <c r="H29" s="842">
        <f>+$B$253/B29</f>
        <v>3.260424676850763</v>
      </c>
    </row>
    <row r="30" spans="1:8" ht="16.5" hidden="1" thickBot="1">
      <c r="A30" s="973" t="s">
        <v>536</v>
      </c>
      <c r="B30" s="748">
        <f>+geral!G809</f>
        <v>168.2</v>
      </c>
      <c r="C30" s="748">
        <f t="shared" si="1"/>
        <v>131.81818181818181</v>
      </c>
      <c r="D30" s="750">
        <f t="shared" ref="D30:D35" si="9">100*((B30/B29)-1)</f>
        <v>-1.1750881316098694</v>
      </c>
      <c r="E30" s="750">
        <f t="shared" si="8"/>
        <v>5.7861635220125773</v>
      </c>
      <c r="F30" s="751">
        <f t="shared" si="7"/>
        <v>3.5076923076923006</v>
      </c>
      <c r="G30" s="840"/>
      <c r="H30" s="842">
        <f>+$B$253/B30</f>
        <v>3.2991931034482751</v>
      </c>
    </row>
    <row r="31" spans="1:8" ht="16.5" hidden="1" thickBot="1">
      <c r="A31" s="973" t="s">
        <v>537</v>
      </c>
      <c r="B31" s="748">
        <f>+geral!G810</f>
        <v>167.2</v>
      </c>
      <c r="C31" s="748">
        <f t="shared" si="1"/>
        <v>131.0344827586207</v>
      </c>
      <c r="D31" s="750">
        <f t="shared" si="9"/>
        <v>-0.59453032104637149</v>
      </c>
      <c r="E31" s="750">
        <f t="shared" si="8"/>
        <v>5.1572327044025146</v>
      </c>
      <c r="F31" s="751">
        <f t="shared" si="7"/>
        <v>8.3954619124797283</v>
      </c>
      <c r="G31" s="840"/>
      <c r="H31" s="842">
        <f>+$B$253/B31</f>
        <v>3.3189251196172243</v>
      </c>
    </row>
    <row r="32" spans="1:8" ht="16.5" hidden="1" thickBot="1">
      <c r="A32" s="973" t="s">
        <v>538</v>
      </c>
      <c r="B32" s="748">
        <f>+geral!G811</f>
        <v>172.4</v>
      </c>
      <c r="C32" s="748">
        <f t="shared" si="1"/>
        <v>135.10971786833858</v>
      </c>
      <c r="D32" s="750">
        <f t="shared" si="9"/>
        <v>3.1100478468899517</v>
      </c>
      <c r="E32" s="750">
        <f t="shared" si="8"/>
        <v>8.4276729559748418</v>
      </c>
      <c r="F32" s="751">
        <f t="shared" ref="F32:F37" si="10">100*((B32/B20)-1)</f>
        <v>5.2503052503052539</v>
      </c>
      <c r="G32" s="840">
        <f>100*(B32/B8-1)</f>
        <v>35.109717868338564</v>
      </c>
      <c r="H32" s="842">
        <f>+$B$253/B32</f>
        <v>3.2188183294663562</v>
      </c>
    </row>
    <row r="33" spans="1:8" ht="16.5" hidden="1" thickBot="1">
      <c r="A33" s="973" t="s">
        <v>539</v>
      </c>
      <c r="B33" s="748">
        <f>+geral!G812</f>
        <v>175.8</v>
      </c>
      <c r="C33" s="748">
        <f t="shared" si="1"/>
        <v>137.77429467084639</v>
      </c>
      <c r="D33" s="750">
        <f t="shared" si="9"/>
        <v>1.9721577726218076</v>
      </c>
      <c r="E33" s="750">
        <f t="shared" si="8"/>
        <v>10.566037735849054</v>
      </c>
      <c r="F33" s="751">
        <f t="shared" si="10"/>
        <v>10.566037735849054</v>
      </c>
      <c r="G33" s="840">
        <f t="shared" ref="G33:G41" si="11">100*(B33/B9-1)</f>
        <v>24.680851063829799</v>
      </c>
      <c r="H33" s="842">
        <f>+$B$253/B33</f>
        <v>3.156565870307166</v>
      </c>
    </row>
    <row r="34" spans="1:8" ht="16.5" hidden="1" thickBot="1">
      <c r="A34" s="973" t="s">
        <v>540</v>
      </c>
      <c r="B34" s="748">
        <f>+geral!G813</f>
        <v>170.4</v>
      </c>
      <c r="C34" s="748">
        <f t="shared" si="1"/>
        <v>133.54231974921632</v>
      </c>
      <c r="D34" s="750">
        <f t="shared" si="9"/>
        <v>-3.0716723549488067</v>
      </c>
      <c r="E34" s="750">
        <f t="shared" si="8"/>
        <v>7.1698113207547154</v>
      </c>
      <c r="F34" s="751">
        <f t="shared" si="10"/>
        <v>2.4038461538461453</v>
      </c>
      <c r="G34" s="840">
        <f t="shared" si="11"/>
        <v>11.248939087288656</v>
      </c>
      <c r="H34" s="842">
        <f>+$B$253/B34</f>
        <v>3.2565978873239425</v>
      </c>
    </row>
    <row r="35" spans="1:8" ht="16.5" hidden="1" thickBot="1">
      <c r="A35" s="973" t="s">
        <v>541</v>
      </c>
      <c r="B35" s="748">
        <f>+geral!G814</f>
        <v>168.8</v>
      </c>
      <c r="C35" s="748">
        <f t="shared" si="1"/>
        <v>132.28840125391849</v>
      </c>
      <c r="D35" s="750">
        <f t="shared" si="9"/>
        <v>-0.93896713615022609</v>
      </c>
      <c r="E35" s="750">
        <f t="shared" ref="E35:E40" si="12">100*((B35/$B$28)-1)</f>
        <v>6.163522012578615</v>
      </c>
      <c r="F35" s="751">
        <f t="shared" si="10"/>
        <v>3.5582822085889587</v>
      </c>
      <c r="G35" s="840">
        <f t="shared" si="11"/>
        <v>22.062332778942807</v>
      </c>
      <c r="H35" s="842">
        <f>+$B$253/B35</f>
        <v>3.2874661137440748</v>
      </c>
    </row>
    <row r="36" spans="1:8" ht="16.5" hidden="1" thickBot="1">
      <c r="A36" s="973" t="s">
        <v>542</v>
      </c>
      <c r="B36" s="748">
        <f>+geral!G815</f>
        <v>178.2</v>
      </c>
      <c r="C36" s="748">
        <f t="shared" si="1"/>
        <v>139.65517241379311</v>
      </c>
      <c r="D36" s="750">
        <f t="shared" ref="D36:D41" si="13">100*((B36/B35)-1)</f>
        <v>5.5687203791469075</v>
      </c>
      <c r="E36" s="750">
        <f t="shared" si="12"/>
        <v>12.075471698113205</v>
      </c>
      <c r="F36" s="751">
        <f t="shared" si="10"/>
        <v>6.0714285714285721</v>
      </c>
      <c r="G36" s="840">
        <f t="shared" si="11"/>
        <v>16.166883963494129</v>
      </c>
      <c r="H36" s="842">
        <f>+$B$253/B36</f>
        <v>3.1140531986531981</v>
      </c>
    </row>
    <row r="37" spans="1:8" ht="16.5" hidden="1" thickBot="1">
      <c r="A37" s="973" t="s">
        <v>543</v>
      </c>
      <c r="B37" s="748">
        <f>+geral!G816</f>
        <v>198</v>
      </c>
      <c r="C37" s="748">
        <f t="shared" si="1"/>
        <v>155.17241379310346</v>
      </c>
      <c r="D37" s="750">
        <f t="shared" si="13"/>
        <v>11.111111111111116</v>
      </c>
      <c r="E37" s="750">
        <f t="shared" si="12"/>
        <v>24.528301886792448</v>
      </c>
      <c r="F37" s="751">
        <f t="shared" si="10"/>
        <v>21.771217712177116</v>
      </c>
      <c r="G37" s="840">
        <f t="shared" si="11"/>
        <v>30.546581393815543</v>
      </c>
      <c r="H37" s="842">
        <f>+$B$253/B37</f>
        <v>2.8026478787878779</v>
      </c>
    </row>
    <row r="38" spans="1:8" ht="16.5" hidden="1" thickBot="1">
      <c r="A38" s="973" t="s">
        <v>532</v>
      </c>
      <c r="B38" s="748">
        <f>+geral!G817</f>
        <v>190</v>
      </c>
      <c r="C38" s="748">
        <f t="shared" si="1"/>
        <v>148.90282131661442</v>
      </c>
      <c r="D38" s="750">
        <f t="shared" si="13"/>
        <v>-4.0404040404040442</v>
      </c>
      <c r="E38" s="750">
        <f t="shared" si="12"/>
        <v>19.496855345911946</v>
      </c>
      <c r="F38" s="751">
        <f t="shared" ref="F38:F43" si="14">100*((B38/B26)-1)</f>
        <v>11.764705882352944</v>
      </c>
      <c r="G38" s="840">
        <f t="shared" si="11"/>
        <v>31.396957123098201</v>
      </c>
      <c r="H38" s="842">
        <f>+$B$253/B38</f>
        <v>2.9206541052631572</v>
      </c>
    </row>
    <row r="39" spans="1:8" ht="16.5" hidden="1" thickBot="1">
      <c r="A39" s="973" t="s">
        <v>544</v>
      </c>
      <c r="B39" s="748">
        <f>+geral!G818</f>
        <v>194.6</v>
      </c>
      <c r="C39" s="748">
        <f t="shared" si="1"/>
        <v>152.50783699059562</v>
      </c>
      <c r="D39" s="750">
        <f t="shared" si="13"/>
        <v>2.421052631578946</v>
      </c>
      <c r="E39" s="750">
        <f t="shared" si="12"/>
        <v>22.389937106918232</v>
      </c>
      <c r="F39" s="751">
        <f t="shared" si="14"/>
        <v>16.947115384615373</v>
      </c>
      <c r="G39" s="840">
        <f t="shared" si="11"/>
        <v>24.4245524296675</v>
      </c>
      <c r="H39" s="842">
        <f>+$B$253/B39</f>
        <v>2.8516150051387452</v>
      </c>
    </row>
    <row r="40" spans="1:8" ht="16.5" hidden="1" thickBot="1">
      <c r="A40" s="973" t="s">
        <v>545</v>
      </c>
      <c r="B40" s="748">
        <f>+geral!G819</f>
        <v>205.57</v>
      </c>
      <c r="C40" s="748">
        <f t="shared" si="1"/>
        <v>161.1050156739812</v>
      </c>
      <c r="D40" s="750">
        <f t="shared" si="13"/>
        <v>5.6372045220966172</v>
      </c>
      <c r="E40" s="750">
        <f t="shared" si="12"/>
        <v>29.289308176100626</v>
      </c>
      <c r="F40" s="751">
        <f t="shared" si="14"/>
        <v>29.289308176100626</v>
      </c>
      <c r="G40" s="840">
        <f t="shared" si="11"/>
        <v>31.145135566188188</v>
      </c>
      <c r="H40" s="842">
        <f>+$B$253/B40</f>
        <v>2.6994419419175943</v>
      </c>
    </row>
    <row r="41" spans="1:8" ht="16.5" hidden="1" thickBot="1">
      <c r="A41" s="973" t="s">
        <v>565</v>
      </c>
      <c r="B41" s="748">
        <f>+geral!I808</f>
        <v>201.78</v>
      </c>
      <c r="C41" s="748">
        <f t="shared" si="1"/>
        <v>158.13479623824452</v>
      </c>
      <c r="D41" s="750">
        <f t="shared" si="13"/>
        <v>-1.8436542297027736</v>
      </c>
      <c r="E41" s="750">
        <f t="shared" ref="E41:E46" si="15">100*((B41/$B$40)-1)</f>
        <v>-1.8436542297027736</v>
      </c>
      <c r="F41" s="751">
        <f t="shared" si="14"/>
        <v>18.554641598119858</v>
      </c>
      <c r="G41" s="840">
        <f t="shared" si="11"/>
        <v>23.791411042944777</v>
      </c>
      <c r="H41" s="842">
        <f>+$B$253/B41</f>
        <v>2.750145108534046</v>
      </c>
    </row>
    <row r="42" spans="1:8" ht="16.5" hidden="1" thickBot="1">
      <c r="A42" s="973" t="s">
        <v>566</v>
      </c>
      <c r="B42" s="748">
        <f>+geral!I809</f>
        <v>248.52</v>
      </c>
      <c r="C42" s="748">
        <f t="shared" si="1"/>
        <v>194.76489028213166</v>
      </c>
      <c r="D42" s="750">
        <f t="shared" ref="D42:D47" si="16">100*((B42/B41)-1)</f>
        <v>23.163841807909602</v>
      </c>
      <c r="E42" s="750">
        <f t="shared" si="15"/>
        <v>20.893126428953646</v>
      </c>
      <c r="F42" s="751">
        <f t="shared" si="14"/>
        <v>47.752675386444722</v>
      </c>
      <c r="G42" s="840">
        <f t="shared" ref="G42:G47" si="17">100*(B42/B18-1)</f>
        <v>52.935384615384628</v>
      </c>
      <c r="H42" s="842">
        <f>+$B$253/B42</f>
        <v>2.2329159826170923</v>
      </c>
    </row>
    <row r="43" spans="1:8" ht="16.5" hidden="1" thickBot="1">
      <c r="A43" s="973" t="s">
        <v>567</v>
      </c>
      <c r="B43" s="748">
        <f>+geral!I810</f>
        <v>211.6</v>
      </c>
      <c r="C43" s="748">
        <f t="shared" si="1"/>
        <v>165.83072100313481</v>
      </c>
      <c r="D43" s="750">
        <f t="shared" si="16"/>
        <v>-14.855947207468223</v>
      </c>
      <c r="E43" s="750">
        <f t="shared" si="15"/>
        <v>2.9333073892104933</v>
      </c>
      <c r="F43" s="751">
        <f t="shared" si="14"/>
        <v>26.555023923444978</v>
      </c>
      <c r="G43" s="840">
        <f t="shared" si="17"/>
        <v>37.179902755267413</v>
      </c>
      <c r="H43" s="842">
        <f>+$B$253/B43</f>
        <v>2.622515500945179</v>
      </c>
    </row>
    <row r="44" spans="1:8" ht="16.5" hidden="1" thickBot="1">
      <c r="A44" s="973" t="s">
        <v>568</v>
      </c>
      <c r="B44" s="748">
        <f>+geral!I811</f>
        <v>204.75</v>
      </c>
      <c r="C44" s="748">
        <f t="shared" si="1"/>
        <v>160.46238244514106</v>
      </c>
      <c r="D44" s="750">
        <f t="shared" si="16"/>
        <v>-3.2372400756143671</v>
      </c>
      <c r="E44" s="750">
        <f t="shared" si="15"/>
        <v>-0.39889088874835998</v>
      </c>
      <c r="F44" s="751">
        <f t="shared" ref="F44:F49" si="18">100*((B44/B32)-1)</f>
        <v>18.764501160092806</v>
      </c>
      <c r="G44" s="840">
        <f t="shared" si="17"/>
        <v>25</v>
      </c>
      <c r="H44" s="842">
        <f>+$B$253/B44</f>
        <v>2.7102528937728931</v>
      </c>
    </row>
    <row r="45" spans="1:8" ht="16.5" hidden="1" thickBot="1">
      <c r="A45" s="973" t="s">
        <v>569</v>
      </c>
      <c r="B45" s="748">
        <f>+geral!I812</f>
        <v>237.92</v>
      </c>
      <c r="C45" s="748">
        <f t="shared" si="1"/>
        <v>186.45768025078371</v>
      </c>
      <c r="D45" s="750">
        <f t="shared" si="16"/>
        <v>16.200244200244196</v>
      </c>
      <c r="E45" s="750">
        <f t="shared" si="15"/>
        <v>15.736732013426092</v>
      </c>
      <c r="F45" s="751">
        <f t="shared" si="18"/>
        <v>35.335608646188831</v>
      </c>
      <c r="G45" s="840">
        <f t="shared" si="17"/>
        <v>49.635220125786162</v>
      </c>
      <c r="H45" s="842">
        <f>+$B$253/B45</f>
        <v>2.3323986213853392</v>
      </c>
    </row>
    <row r="46" spans="1:8" ht="16.5" hidden="1" thickBot="1">
      <c r="A46" s="973" t="s">
        <v>570</v>
      </c>
      <c r="B46" s="748">
        <f>+geral!I813</f>
        <v>234</v>
      </c>
      <c r="C46" s="748">
        <f t="shared" si="1"/>
        <v>183.38557993730407</v>
      </c>
      <c r="D46" s="750">
        <f t="shared" si="16"/>
        <v>-1.6476126429051718</v>
      </c>
      <c r="E46" s="750">
        <f t="shared" si="15"/>
        <v>13.829838984287601</v>
      </c>
      <c r="F46" s="751">
        <f t="shared" si="18"/>
        <v>37.323943661971825</v>
      </c>
      <c r="G46" s="840">
        <f t="shared" si="17"/>
        <v>40.625</v>
      </c>
      <c r="H46" s="842">
        <f>+$B$253/B46</f>
        <v>2.3714712820512815</v>
      </c>
    </row>
    <row r="47" spans="1:8" ht="16.5" hidden="1" thickBot="1">
      <c r="A47" s="973" t="s">
        <v>571</v>
      </c>
      <c r="B47" s="748">
        <f>+geral!I814</f>
        <v>231.82</v>
      </c>
      <c r="C47" s="748">
        <f t="shared" si="1"/>
        <v>181.67711598746084</v>
      </c>
      <c r="D47" s="750">
        <f t="shared" si="16"/>
        <v>-0.9316239316239372</v>
      </c>
      <c r="E47" s="750">
        <f t="shared" ref="E47:E52" si="19">100*((B47/$B$40)-1)</f>
        <v>12.769372962980974</v>
      </c>
      <c r="F47" s="751">
        <f t="shared" si="18"/>
        <v>37.334123222748808</v>
      </c>
      <c r="G47" s="840">
        <f t="shared" si="17"/>
        <v>42.220858895705526</v>
      </c>
      <c r="H47" s="842">
        <f>+$B$253/B47</f>
        <v>2.3937722370804928</v>
      </c>
    </row>
    <row r="48" spans="1:8" ht="16.5" hidden="1" thickBot="1">
      <c r="A48" s="973" t="s">
        <v>572</v>
      </c>
      <c r="B48" s="748">
        <f>+geral!I815</f>
        <v>235.4</v>
      </c>
      <c r="C48" s="748">
        <f t="shared" si="1"/>
        <v>184.48275862068965</v>
      </c>
      <c r="D48" s="750">
        <f t="shared" ref="D48:D53" si="20">100*((B48/B47)-1)</f>
        <v>1.5443016133206866</v>
      </c>
      <c r="E48" s="750">
        <f t="shared" si="19"/>
        <v>14.510872208979908</v>
      </c>
      <c r="F48" s="751">
        <f t="shared" si="18"/>
        <v>32.098765432098773</v>
      </c>
      <c r="G48" s="840">
        <f t="shared" ref="G48:G53" si="21">100*(B48/B24-1)</f>
        <v>40.119047619047635</v>
      </c>
      <c r="H48" s="842">
        <f>+$B$253/B48</f>
        <v>2.3573673746813926</v>
      </c>
    </row>
    <row r="49" spans="1:8" ht="16.5" hidden="1" thickBot="1">
      <c r="A49" s="973" t="s">
        <v>573</v>
      </c>
      <c r="B49" s="748">
        <f>+geral!I816</f>
        <v>240.78</v>
      </c>
      <c r="C49" s="748">
        <f t="shared" si="1"/>
        <v>188.69905956112854</v>
      </c>
      <c r="D49" s="750">
        <f t="shared" si="20"/>
        <v>2.2854715378079815</v>
      </c>
      <c r="E49" s="750">
        <f t="shared" si="19"/>
        <v>17.127985601011829</v>
      </c>
      <c r="F49" s="751">
        <f t="shared" si="18"/>
        <v>21.606060606060606</v>
      </c>
      <c r="G49" s="840">
        <f t="shared" si="21"/>
        <v>48.081180811808125</v>
      </c>
      <c r="H49" s="842">
        <f>+$B$253/B49</f>
        <v>2.3046942437079485</v>
      </c>
    </row>
    <row r="50" spans="1:8" ht="16.5" hidden="1" thickBot="1">
      <c r="A50" s="973" t="s">
        <v>396</v>
      </c>
      <c r="B50" s="748">
        <f>+geral!I817</f>
        <v>232.4</v>
      </c>
      <c r="C50" s="748">
        <f t="shared" si="1"/>
        <v>182.13166144200628</v>
      </c>
      <c r="D50" s="750">
        <f t="shared" si="20"/>
        <v>-3.4803555112550844</v>
      </c>
      <c r="E50" s="750">
        <f t="shared" si="19"/>
        <v>13.051515298924944</v>
      </c>
      <c r="F50" s="751">
        <f t="shared" ref="F50:F55" si="22">100*((B50/B38)-1)</f>
        <v>22.315789473684223</v>
      </c>
      <c r="G50" s="840">
        <f t="shared" si="21"/>
        <v>36.705882352941188</v>
      </c>
      <c r="H50" s="842">
        <f>+$B$253/B50</f>
        <v>2.3877981067125638</v>
      </c>
    </row>
    <row r="51" spans="1:8" ht="16.5" hidden="1" thickBot="1">
      <c r="A51" s="973" t="s">
        <v>397</v>
      </c>
      <c r="B51" s="748">
        <f>+geral!I818</f>
        <v>227.8</v>
      </c>
      <c r="C51" s="748">
        <f t="shared" si="1"/>
        <v>178.52664576802508</v>
      </c>
      <c r="D51" s="750">
        <f t="shared" si="20"/>
        <v>-1.9793459552495674</v>
      </c>
      <c r="E51" s="750">
        <f t="shared" si="19"/>
        <v>10.813834703507341</v>
      </c>
      <c r="F51" s="751">
        <f t="shared" si="22"/>
        <v>17.060637204522109</v>
      </c>
      <c r="G51" s="840">
        <f t="shared" si="21"/>
        <v>36.89903846153846</v>
      </c>
      <c r="H51" s="842">
        <f>+$B$253/B51</f>
        <v>2.4360152765583836</v>
      </c>
    </row>
    <row r="52" spans="1:8" ht="16.5" hidden="1" thickBot="1">
      <c r="A52" s="973" t="s">
        <v>398</v>
      </c>
      <c r="B52" s="748">
        <f>+geral!I819</f>
        <v>226.7</v>
      </c>
      <c r="C52" s="748">
        <f t="shared" si="1"/>
        <v>177.66457680250784</v>
      </c>
      <c r="D52" s="750">
        <f t="shared" si="20"/>
        <v>-0.48287971905180971</v>
      </c>
      <c r="E52" s="750">
        <f t="shared" si="19"/>
        <v>10.278737169820506</v>
      </c>
      <c r="F52" s="751">
        <f t="shared" si="22"/>
        <v>10.278737169820506</v>
      </c>
      <c r="G52" s="840">
        <f t="shared" si="21"/>
        <v>42.578616352201259</v>
      </c>
      <c r="H52" s="842">
        <f>+$B$253/B52</f>
        <v>2.4478353771504184</v>
      </c>
    </row>
    <row r="53" spans="1:8" ht="16.5" hidden="1" thickBot="1">
      <c r="A53" s="973" t="s">
        <v>399</v>
      </c>
      <c r="B53" s="748">
        <f>+geral!K808</f>
        <v>212.2</v>
      </c>
      <c r="C53" s="748">
        <f t="shared" si="1"/>
        <v>166.30094043887149</v>
      </c>
      <c r="D53" s="750">
        <f t="shared" si="20"/>
        <v>-6.3961182179091303</v>
      </c>
      <c r="E53" s="750">
        <f t="shared" ref="E53:E58" si="23">100*((B53/$B$52)-1)</f>
        <v>-6.3961182179091303</v>
      </c>
      <c r="F53" s="751">
        <f t="shared" si="22"/>
        <v>5.1640400436118394</v>
      </c>
      <c r="G53" s="840">
        <f t="shared" si="21"/>
        <v>24.67685076380728</v>
      </c>
      <c r="H53" s="842">
        <f>+$B$253/B53</f>
        <v>2.6151002827521199</v>
      </c>
    </row>
    <row r="54" spans="1:8" ht="16.5" hidden="1" thickBot="1">
      <c r="A54" s="973" t="s">
        <v>400</v>
      </c>
      <c r="B54" s="748">
        <f>+geral!K809</f>
        <v>239.5</v>
      </c>
      <c r="C54" s="748">
        <f t="shared" si="1"/>
        <v>187.69592476489029</v>
      </c>
      <c r="D54" s="750">
        <f t="shared" ref="D54:D59" si="24">100*((B54/B53)-1)</f>
        <v>12.865221489161183</v>
      </c>
      <c r="E54" s="750">
        <f t="shared" si="23"/>
        <v>5.6462284958094466</v>
      </c>
      <c r="F54" s="751">
        <f t="shared" si="22"/>
        <v>-3.6294865604378002</v>
      </c>
      <c r="G54" s="840">
        <f t="shared" ref="G54:G59" si="25">100*(B54/B30-1)</f>
        <v>42.390011890606431</v>
      </c>
      <c r="H54" s="842">
        <f>+$B$253/B54</f>
        <v>2.3170116075156568</v>
      </c>
    </row>
    <row r="55" spans="1:8" ht="16.5" hidden="1" thickBot="1">
      <c r="A55" s="973" t="s">
        <v>401</v>
      </c>
      <c r="B55" s="748">
        <f>+geral!K810</f>
        <v>248.25</v>
      </c>
      <c r="C55" s="748">
        <f t="shared" si="1"/>
        <v>194.55329153605015</v>
      </c>
      <c r="D55" s="750">
        <f t="shared" si="24"/>
        <v>3.6534446764091788</v>
      </c>
      <c r="E55" s="750">
        <f t="shared" si="23"/>
        <v>9.5059550066166842</v>
      </c>
      <c r="F55" s="751">
        <f t="shared" si="22"/>
        <v>17.320415879017027</v>
      </c>
      <c r="G55" s="840">
        <f t="shared" si="25"/>
        <v>48.474880382775119</v>
      </c>
      <c r="H55" s="842">
        <f>+$B$253/B55</f>
        <v>2.2353445317220539</v>
      </c>
    </row>
    <row r="56" spans="1:8" ht="16.5" hidden="1" thickBot="1">
      <c r="A56" s="973" t="s">
        <v>402</v>
      </c>
      <c r="B56" s="748">
        <f>+geral!K811</f>
        <v>242.5</v>
      </c>
      <c r="C56" s="748">
        <f t="shared" si="1"/>
        <v>190.04702194357367</v>
      </c>
      <c r="D56" s="750">
        <f t="shared" si="24"/>
        <v>-2.3162134944612278</v>
      </c>
      <c r="E56" s="750">
        <f t="shared" si="23"/>
        <v>6.9695632995147916</v>
      </c>
      <c r="F56" s="751">
        <f t="shared" ref="F56:F61" si="26">100*((B56/B44)-1)</f>
        <v>18.437118437118439</v>
      </c>
      <c r="G56" s="840">
        <f t="shared" si="25"/>
        <v>40.661252900232014</v>
      </c>
      <c r="H56" s="842">
        <f>+$B$253/B56</f>
        <v>2.2883475463917518</v>
      </c>
    </row>
    <row r="57" spans="1:8" ht="16.5" hidden="1" thickBot="1">
      <c r="A57" s="973" t="s">
        <v>403</v>
      </c>
      <c r="B57" s="748">
        <f>+geral!K812</f>
        <v>243.09</v>
      </c>
      <c r="C57" s="748">
        <f t="shared" si="1"/>
        <v>190.50940438871473</v>
      </c>
      <c r="D57" s="750">
        <f t="shared" si="24"/>
        <v>0.24329896907215876</v>
      </c>
      <c r="E57" s="750">
        <f t="shared" si="23"/>
        <v>7.2298191442434989</v>
      </c>
      <c r="F57" s="751">
        <f t="shared" si="26"/>
        <v>2.1729993275050541</v>
      </c>
      <c r="G57" s="840">
        <f t="shared" si="25"/>
        <v>38.276450511945391</v>
      </c>
      <c r="H57" s="842">
        <f>+$B$253/B57</f>
        <v>2.2827935332592859</v>
      </c>
    </row>
    <row r="58" spans="1:8" ht="16.5" hidden="1" thickBot="1">
      <c r="A58" s="973" t="s">
        <v>404</v>
      </c>
      <c r="B58" s="748">
        <f>+geral!K813</f>
        <v>243.6</v>
      </c>
      <c r="C58" s="748">
        <f t="shared" si="1"/>
        <v>190.90909090909091</v>
      </c>
      <c r="D58" s="750">
        <f t="shared" si="24"/>
        <v>0.20979883993581527</v>
      </c>
      <c r="E58" s="750">
        <f t="shared" si="23"/>
        <v>7.4547860608733973</v>
      </c>
      <c r="F58" s="751">
        <f t="shared" si="26"/>
        <v>4.1025641025641102</v>
      </c>
      <c r="G58" s="840">
        <f t="shared" si="25"/>
        <v>42.957746478873226</v>
      </c>
      <c r="H58" s="842">
        <f>+$B$253/B58</f>
        <v>2.2780142857142853</v>
      </c>
    </row>
    <row r="59" spans="1:8" ht="16.5" hidden="1" thickBot="1">
      <c r="A59" s="973" t="s">
        <v>405</v>
      </c>
      <c r="B59" s="748">
        <f>+geral!K814</f>
        <v>258.60000000000002</v>
      </c>
      <c r="C59" s="748">
        <f t="shared" si="1"/>
        <v>202.66457680250787</v>
      </c>
      <c r="D59" s="750">
        <f t="shared" si="24"/>
        <v>6.1576354679803158</v>
      </c>
      <c r="E59" s="750">
        <f t="shared" ref="E59:E64" si="27">100*((B59/$B$52)-1)</f>
        <v>14.071460079400101</v>
      </c>
      <c r="F59" s="751">
        <f t="shared" si="26"/>
        <v>11.552066258303872</v>
      </c>
      <c r="G59" s="840">
        <f t="shared" si="25"/>
        <v>53.199052132701418</v>
      </c>
      <c r="H59" s="842">
        <f>+$B$253/B59</f>
        <v>2.145878886310904</v>
      </c>
    </row>
    <row r="60" spans="1:8" ht="16.5" hidden="1" thickBot="1">
      <c r="A60" s="973" t="s">
        <v>406</v>
      </c>
      <c r="B60" s="748">
        <f>+geral!K815</f>
        <v>260.39999999999998</v>
      </c>
      <c r="C60" s="748">
        <f t="shared" si="1"/>
        <v>204.07523510971785</v>
      </c>
      <c r="D60" s="750">
        <f t="shared" ref="D60:D65" si="28">100*((B60/B59)-1)</f>
        <v>0.69605568445474386</v>
      </c>
      <c r="E60" s="750">
        <f t="shared" si="27"/>
        <v>14.865460961623288</v>
      </c>
      <c r="F60" s="751">
        <f t="shared" si="26"/>
        <v>10.620220900594713</v>
      </c>
      <c r="G60" s="840">
        <f t="shared" ref="G60:G65" si="29">100*(B60/B36-1)</f>
        <v>46.127946127946132</v>
      </c>
      <c r="H60" s="842">
        <f>+$B$253/B60</f>
        <v>2.1310456221198151</v>
      </c>
    </row>
    <row r="61" spans="1:8" ht="16.5" hidden="1" thickBot="1">
      <c r="A61" s="973" t="s">
        <v>407</v>
      </c>
      <c r="B61" s="748">
        <f>+geral!K816</f>
        <v>257.75</v>
      </c>
      <c r="C61" s="748">
        <f t="shared" si="1"/>
        <v>201.99843260188089</v>
      </c>
      <c r="D61" s="750">
        <f t="shared" si="28"/>
        <v>-1.017665130568346</v>
      </c>
      <c r="E61" s="750">
        <f t="shared" si="27"/>
        <v>13.696515218350246</v>
      </c>
      <c r="F61" s="751">
        <f t="shared" si="26"/>
        <v>7.0479275687349352</v>
      </c>
      <c r="G61" s="840">
        <f t="shared" si="29"/>
        <v>30.176767676767668</v>
      </c>
      <c r="H61" s="842">
        <f>+$B$253/B61</f>
        <v>2.1529554995150333</v>
      </c>
    </row>
    <row r="62" spans="1:8" ht="16.5" hidden="1" thickBot="1">
      <c r="A62" s="973" t="s">
        <v>408</v>
      </c>
      <c r="B62" s="748">
        <f>+geral!K817</f>
        <v>270.60000000000002</v>
      </c>
      <c r="C62" s="748">
        <f t="shared" si="1"/>
        <v>212.06896551724142</v>
      </c>
      <c r="D62" s="750">
        <f t="shared" si="28"/>
        <v>4.9854510184287104</v>
      </c>
      <c r="E62" s="750">
        <f t="shared" si="27"/>
        <v>19.364799294221456</v>
      </c>
      <c r="F62" s="751">
        <f t="shared" ref="F62:F67" si="30">100*((B62/B50)-1)</f>
        <v>16.437177280550785</v>
      </c>
      <c r="G62" s="840">
        <f t="shared" si="29"/>
        <v>42.421052631578959</v>
      </c>
      <c r="H62" s="842">
        <f>+$B$253/B62</f>
        <v>2.0507179600886909</v>
      </c>
    </row>
    <row r="63" spans="1:8" ht="16.5" hidden="1" thickBot="1">
      <c r="A63" s="973" t="s">
        <v>409</v>
      </c>
      <c r="B63" s="748">
        <f>+geral!K818</f>
        <v>279.39999999999998</v>
      </c>
      <c r="C63" s="748">
        <f t="shared" si="1"/>
        <v>218.9655172413793</v>
      </c>
      <c r="D63" s="750">
        <f t="shared" si="28"/>
        <v>3.2520325203251765</v>
      </c>
      <c r="E63" s="750">
        <f t="shared" si="27"/>
        <v>23.246581385090415</v>
      </c>
      <c r="F63" s="751">
        <f t="shared" si="30"/>
        <v>22.651448639157135</v>
      </c>
      <c r="G63" s="840">
        <f t="shared" si="29"/>
        <v>43.576567317574508</v>
      </c>
      <c r="H63" s="842">
        <f>+$B$253/B63</f>
        <v>1.9861284180386538</v>
      </c>
    </row>
    <row r="64" spans="1:8" ht="16.5" hidden="1" thickBot="1">
      <c r="A64" s="973" t="s">
        <v>410</v>
      </c>
      <c r="B64" s="748">
        <f>+geral!K819</f>
        <v>270</v>
      </c>
      <c r="C64" s="748">
        <f t="shared" si="1"/>
        <v>211.59874608150471</v>
      </c>
      <c r="D64" s="750">
        <f t="shared" si="28"/>
        <v>-3.364352183249808</v>
      </c>
      <c r="E64" s="750">
        <f t="shared" si="27"/>
        <v>19.100132333480381</v>
      </c>
      <c r="F64" s="751">
        <f t="shared" si="30"/>
        <v>19.100132333480381</v>
      </c>
      <c r="G64" s="840">
        <f t="shared" si="29"/>
        <v>31.342121904947227</v>
      </c>
      <c r="H64" s="842">
        <f>+$B$253/B64</f>
        <v>2.0552751111111105</v>
      </c>
    </row>
    <row r="65" spans="1:8" ht="16.5" hidden="1" thickBot="1">
      <c r="A65" s="973" t="s">
        <v>411</v>
      </c>
      <c r="B65" s="748">
        <f>+geral!M808</f>
        <v>273.74</v>
      </c>
      <c r="C65" s="748">
        <f t="shared" si="1"/>
        <v>214.52978056426332</v>
      </c>
      <c r="D65" s="750">
        <f t="shared" si="28"/>
        <v>1.3851851851851782</v>
      </c>
      <c r="E65" s="750">
        <f t="shared" ref="E65:E70" si="31">100*((B65/$B$64)-1)</f>
        <v>1.3851851851851782</v>
      </c>
      <c r="F65" s="751">
        <f t="shared" si="30"/>
        <v>29.000942507068817</v>
      </c>
      <c r="G65" s="840">
        <f t="shared" si="29"/>
        <v>35.662602834770539</v>
      </c>
      <c r="H65" s="842">
        <f>+$B$253/B65</f>
        <v>2.0271947103090517</v>
      </c>
    </row>
    <row r="66" spans="1:8" ht="16.5" hidden="1" thickBot="1">
      <c r="A66" s="973" t="s">
        <v>412</v>
      </c>
      <c r="B66" s="748">
        <f>+geral!M809</f>
        <v>279.67</v>
      </c>
      <c r="C66" s="748">
        <f t="shared" si="1"/>
        <v>219.17711598746084</v>
      </c>
      <c r="D66" s="750">
        <f t="shared" ref="D66:D71" si="32">100*((B66/B65)-1)</f>
        <v>2.1662891795134032</v>
      </c>
      <c r="E66" s="750">
        <f t="shared" si="31"/>
        <v>3.5814814814814966</v>
      </c>
      <c r="F66" s="751">
        <f t="shared" si="30"/>
        <v>16.77244258872652</v>
      </c>
      <c r="G66" s="840">
        <f t="shared" ref="G66:G71" si="33">100*(B66/B42-1)</f>
        <v>12.534202478673739</v>
      </c>
      <c r="H66" s="842">
        <f>+$B$253/B66</f>
        <v>1.9842109629205842</v>
      </c>
    </row>
    <row r="67" spans="1:8" ht="16.5" hidden="1" thickBot="1">
      <c r="A67" s="973" t="s">
        <v>413</v>
      </c>
      <c r="B67" s="748">
        <f>+geral!M810</f>
        <v>278.55</v>
      </c>
      <c r="C67" s="748">
        <f t="shared" si="1"/>
        <v>218.29937304075236</v>
      </c>
      <c r="D67" s="750">
        <f t="shared" si="32"/>
        <v>-0.40047198483927904</v>
      </c>
      <c r="E67" s="750">
        <f t="shared" si="31"/>
        <v>3.1666666666666732</v>
      </c>
      <c r="F67" s="751">
        <f t="shared" si="30"/>
        <v>12.205438066465257</v>
      </c>
      <c r="G67" s="840">
        <f t="shared" si="33"/>
        <v>31.639886578449918</v>
      </c>
      <c r="H67" s="842">
        <f>+$B$253/B67</f>
        <v>1.9921891222401718</v>
      </c>
    </row>
    <row r="68" spans="1:8" ht="16.5" hidden="1" thickBot="1">
      <c r="A68" s="973" t="s">
        <v>414</v>
      </c>
      <c r="B68" s="748">
        <f>+geral!M811</f>
        <v>287.22000000000003</v>
      </c>
      <c r="C68" s="748">
        <f t="shared" si="1"/>
        <v>225.09404388714736</v>
      </c>
      <c r="D68" s="750">
        <f t="shared" si="32"/>
        <v>3.112547119009168</v>
      </c>
      <c r="E68" s="750">
        <f t="shared" si="31"/>
        <v>6.3777777777777933</v>
      </c>
      <c r="F68" s="751">
        <f t="shared" ref="F68:F73" si="34">100*((B68/B56)-1)</f>
        <v>18.441237113402064</v>
      </c>
      <c r="G68" s="840">
        <f t="shared" si="33"/>
        <v>40.278388278388299</v>
      </c>
      <c r="H68" s="842">
        <f>+$B$253/B68</f>
        <v>1.9320530603718398</v>
      </c>
    </row>
    <row r="69" spans="1:8" ht="16.5" hidden="1" thickBot="1">
      <c r="A69" s="973" t="s">
        <v>415</v>
      </c>
      <c r="B69" s="748">
        <f>+geral!M812</f>
        <v>281.52999999999997</v>
      </c>
      <c r="C69" s="748">
        <f t="shared" si="1"/>
        <v>220.63479623824449</v>
      </c>
      <c r="D69" s="750">
        <f t="shared" si="32"/>
        <v>-1.9810598147761538</v>
      </c>
      <c r="E69" s="750">
        <f t="shared" si="31"/>
        <v>4.2703703703703688</v>
      </c>
      <c r="F69" s="751">
        <f t="shared" si="34"/>
        <v>15.813073347319918</v>
      </c>
      <c r="G69" s="840">
        <f t="shared" si="33"/>
        <v>18.329690652320107</v>
      </c>
      <c r="H69" s="842">
        <f>+$B$253/B69</f>
        <v>1.9711017653536032</v>
      </c>
    </row>
    <row r="70" spans="1:8" ht="16.5" hidden="1" thickBot="1">
      <c r="A70" s="973" t="s">
        <v>416</v>
      </c>
      <c r="B70" s="748">
        <f>+geral!M813</f>
        <v>286.14999999999998</v>
      </c>
      <c r="C70" s="748">
        <f t="shared" si="1"/>
        <v>224.2554858934169</v>
      </c>
      <c r="D70" s="750">
        <f t="shared" si="32"/>
        <v>1.6410329272191326</v>
      </c>
      <c r="E70" s="750">
        <f t="shared" si="31"/>
        <v>5.9814814814814765</v>
      </c>
      <c r="F70" s="751">
        <f t="shared" si="34"/>
        <v>17.467159277504109</v>
      </c>
      <c r="G70" s="840">
        <f t="shared" si="33"/>
        <v>22.286324786324773</v>
      </c>
      <c r="H70" s="842">
        <f>+$B$253/B70</f>
        <v>1.9392775816879255</v>
      </c>
    </row>
    <row r="71" spans="1:8" ht="16.5" hidden="1" thickBot="1">
      <c r="A71" s="973" t="s">
        <v>417</v>
      </c>
      <c r="B71" s="748">
        <f>+geral!M814</f>
        <v>277.25</v>
      </c>
      <c r="C71" s="748">
        <f t="shared" si="1"/>
        <v>217.2805642633229</v>
      </c>
      <c r="D71" s="750">
        <f t="shared" si="32"/>
        <v>-3.1102568582910939</v>
      </c>
      <c r="E71" s="750">
        <f t="shared" ref="E71:E76" si="35">100*((B71/$B$64)-1)</f>
        <v>2.6851851851851904</v>
      </c>
      <c r="F71" s="751">
        <f t="shared" si="34"/>
        <v>7.2119102861562201</v>
      </c>
      <c r="G71" s="840">
        <f t="shared" si="33"/>
        <v>19.597101199206278</v>
      </c>
      <c r="H71" s="842">
        <f>+$B$253/B71</f>
        <v>2.0015303155996387</v>
      </c>
    </row>
    <row r="72" spans="1:8" ht="16.5" hidden="1" thickBot="1">
      <c r="A72" s="973" t="s">
        <v>418</v>
      </c>
      <c r="B72" s="748">
        <f>+geral!M815</f>
        <v>286.08</v>
      </c>
      <c r="C72" s="748">
        <f t="shared" si="1"/>
        <v>224.20062695924767</v>
      </c>
      <c r="D72" s="750">
        <f t="shared" ref="D72:D77" si="36">100*((B72/B71)-1)</f>
        <v>3.1848512173128896</v>
      </c>
      <c r="E72" s="750">
        <f t="shared" si="35"/>
        <v>5.9555555555555584</v>
      </c>
      <c r="F72" s="751">
        <f t="shared" si="34"/>
        <v>9.8617511520737278</v>
      </c>
      <c r="G72" s="840">
        <f t="shared" ref="G72:G77" si="37">100*(B72/B48-1)</f>
        <v>21.529311809685623</v>
      </c>
      <c r="H72" s="842">
        <f>+$B$253/B72</f>
        <v>1.9397520973154359</v>
      </c>
    </row>
    <row r="73" spans="1:8" ht="16.5" hidden="1" thickBot="1">
      <c r="A73" s="973" t="s">
        <v>419</v>
      </c>
      <c r="B73" s="748">
        <f>+geral!M816</f>
        <v>285.11</v>
      </c>
      <c r="C73" s="748">
        <f t="shared" si="1"/>
        <v>223.44043887147336</v>
      </c>
      <c r="D73" s="750">
        <f t="shared" si="36"/>
        <v>-0.33906599552571137</v>
      </c>
      <c r="E73" s="750">
        <f t="shared" si="35"/>
        <v>5.5962962962962992</v>
      </c>
      <c r="F73" s="751">
        <f t="shared" si="34"/>
        <v>10.614936954413201</v>
      </c>
      <c r="G73" s="840">
        <f t="shared" si="37"/>
        <v>18.410997591162072</v>
      </c>
      <c r="H73" s="842">
        <f>+$B$253/B73</f>
        <v>1.9463515134509481</v>
      </c>
    </row>
    <row r="74" spans="1:8" ht="16.5" hidden="1" thickBot="1">
      <c r="A74" s="973" t="s">
        <v>420</v>
      </c>
      <c r="B74" s="748">
        <f>+geral!M817</f>
        <v>279.44</v>
      </c>
      <c r="C74" s="748">
        <f t="shared" si="1"/>
        <v>218.99686520376176</v>
      </c>
      <c r="D74" s="750">
        <f t="shared" si="36"/>
        <v>-1.9887061134299056</v>
      </c>
      <c r="E74" s="750">
        <f t="shared" si="35"/>
        <v>3.4962962962962862</v>
      </c>
      <c r="F74" s="751">
        <f t="shared" ref="F74:F79" si="38">100*((B74/B62)-1)</f>
        <v>3.2668144863266635</v>
      </c>
      <c r="G74" s="840">
        <f t="shared" si="37"/>
        <v>20.24096385542169</v>
      </c>
      <c r="H74" s="842">
        <f>+$B$253/B74</f>
        <v>1.985844116805038</v>
      </c>
    </row>
    <row r="75" spans="1:8" ht="16.5" hidden="1" thickBot="1">
      <c r="A75" s="973" t="s">
        <v>421</v>
      </c>
      <c r="B75" s="748">
        <f>+geral!M818</f>
        <v>286.25</v>
      </c>
      <c r="C75" s="748">
        <f t="shared" si="1"/>
        <v>224.33385579937305</v>
      </c>
      <c r="D75" s="750">
        <f t="shared" si="36"/>
        <v>2.4370168909247036</v>
      </c>
      <c r="E75" s="750">
        <f t="shared" si="35"/>
        <v>6.0185185185185119</v>
      </c>
      <c r="F75" s="751">
        <f t="shared" si="38"/>
        <v>2.4516821760916407</v>
      </c>
      <c r="G75" s="840">
        <f t="shared" si="37"/>
        <v>25.658472344161542</v>
      </c>
      <c r="H75" s="842">
        <f>+$B$253/B75</f>
        <v>1.9386001048034929</v>
      </c>
    </row>
    <row r="76" spans="1:8" ht="16.5" hidden="1" thickBot="1">
      <c r="A76" s="973" t="s">
        <v>422</v>
      </c>
      <c r="B76" s="748">
        <f>+geral!M819</f>
        <v>287.36</v>
      </c>
      <c r="C76" s="748">
        <f t="shared" si="1"/>
        <v>225.20376175548591</v>
      </c>
      <c r="D76" s="750">
        <f t="shared" si="36"/>
        <v>0.38777292576419597</v>
      </c>
      <c r="E76" s="750">
        <f t="shared" si="35"/>
        <v>6.4296296296296296</v>
      </c>
      <c r="F76" s="751">
        <f t="shared" si="38"/>
        <v>6.4296296296296296</v>
      </c>
      <c r="G76" s="840">
        <f t="shared" si="37"/>
        <v>26.757829730921934</v>
      </c>
      <c r="H76" s="842">
        <f>+$B$253/B76</f>
        <v>1.9311117761692644</v>
      </c>
    </row>
    <row r="77" spans="1:8" ht="16.5" hidden="1" thickBot="1">
      <c r="A77" s="973" t="s">
        <v>423</v>
      </c>
      <c r="B77" s="748">
        <f>geral!C823</f>
        <v>282.5</v>
      </c>
      <c r="C77" s="748">
        <f t="shared" si="1"/>
        <v>221.39498432601883</v>
      </c>
      <c r="D77" s="750">
        <f t="shared" si="36"/>
        <v>-1.691258351893099</v>
      </c>
      <c r="E77" s="750">
        <f t="shared" ref="E77:E82" si="39">100*((B77/$B$76)-1)</f>
        <v>-1.691258351893099</v>
      </c>
      <c r="F77" s="751">
        <f t="shared" si="38"/>
        <v>3.2001168992474627</v>
      </c>
      <c r="G77" s="840">
        <f t="shared" si="37"/>
        <v>33.129123468426023</v>
      </c>
      <c r="H77" s="842">
        <f>+$B$253/B77</f>
        <v>1.9643337345132739</v>
      </c>
    </row>
    <row r="78" spans="1:8" ht="16.5" hidden="1" thickBot="1">
      <c r="A78" s="973" t="s">
        <v>424</v>
      </c>
      <c r="B78" s="748">
        <f>geral!C824</f>
        <v>282.43</v>
      </c>
      <c r="C78" s="748">
        <f t="shared" si="1"/>
        <v>221.34012539184954</v>
      </c>
      <c r="D78" s="750">
        <f t="shared" ref="D78:D83" si="40">100*((B78/B77)-1)</f>
        <v>-2.4778761061949872E-2</v>
      </c>
      <c r="E78" s="750">
        <f t="shared" si="39"/>
        <v>-1.7156180400890841</v>
      </c>
      <c r="F78" s="751">
        <f t="shared" si="38"/>
        <v>0.98687739121106066</v>
      </c>
      <c r="G78" s="840">
        <f t="shared" ref="G78:G83" si="41">100*(B78/B54-1)</f>
        <v>17.924843423799587</v>
      </c>
      <c r="H78" s="842">
        <f>+$B$253/B78</f>
        <v>1.9648205927132381</v>
      </c>
    </row>
    <row r="79" spans="1:8" ht="16.5" hidden="1" thickBot="1">
      <c r="A79" s="973" t="s">
        <v>425</v>
      </c>
      <c r="B79" s="748">
        <f>geral!C825</f>
        <v>284.43</v>
      </c>
      <c r="C79" s="748">
        <f t="shared" si="1"/>
        <v>222.9075235109718</v>
      </c>
      <c r="D79" s="750">
        <f t="shared" si="40"/>
        <v>0.7081400701058671</v>
      </c>
      <c r="E79" s="750">
        <f t="shared" si="39"/>
        <v>-1.0196269487750542</v>
      </c>
      <c r="F79" s="751">
        <f t="shared" si="38"/>
        <v>2.1109316101238562</v>
      </c>
      <c r="G79" s="840">
        <f t="shared" si="41"/>
        <v>14.574018126888211</v>
      </c>
      <c r="H79" s="842">
        <f>+$B$253/B79</f>
        <v>1.9510047463347742</v>
      </c>
    </row>
    <row r="80" spans="1:8" ht="16.5" hidden="1" thickBot="1">
      <c r="A80" s="973" t="s">
        <v>426</v>
      </c>
      <c r="B80" s="748">
        <f>geral!C826</f>
        <v>287.43</v>
      </c>
      <c r="C80" s="748">
        <f t="shared" si="1"/>
        <v>225.25862068965517</v>
      </c>
      <c r="D80" s="750">
        <f t="shared" si="40"/>
        <v>1.0547410610695085</v>
      </c>
      <c r="E80" s="750">
        <f t="shared" si="39"/>
        <v>2.4359688195985107E-2</v>
      </c>
      <c r="F80" s="751">
        <f t="shared" ref="F80:F85" si="42">100*((B80/B68)-1)</f>
        <v>7.311468560684542E-2</v>
      </c>
      <c r="G80" s="840">
        <f t="shared" si="41"/>
        <v>18.527835051546404</v>
      </c>
      <c r="H80" s="842">
        <f>+$B$253/B80</f>
        <v>1.9306414779250594</v>
      </c>
    </row>
    <row r="81" spans="1:10" ht="16.5" hidden="1" thickBot="1">
      <c r="A81" s="973" t="s">
        <v>427</v>
      </c>
      <c r="B81" s="748">
        <f>geral!C827</f>
        <v>278.86</v>
      </c>
      <c r="C81" s="748">
        <f t="shared" si="1"/>
        <v>218.54231974921632</v>
      </c>
      <c r="D81" s="750">
        <f t="shared" si="40"/>
        <v>-2.9815955189089527</v>
      </c>
      <c r="E81" s="750">
        <f t="shared" si="39"/>
        <v>-2.9579621380846355</v>
      </c>
      <c r="F81" s="751">
        <f t="shared" si="42"/>
        <v>-0.9483891592370064</v>
      </c>
      <c r="G81" s="840">
        <f t="shared" si="41"/>
        <v>14.714714714714727</v>
      </c>
      <c r="H81" s="842">
        <f>+$B$253/B81</f>
        <v>1.9899744674747177</v>
      </c>
    </row>
    <row r="82" spans="1:10" ht="16.5" hidden="1" thickBot="1">
      <c r="A82" s="973" t="s">
        <v>428</v>
      </c>
      <c r="B82" s="748">
        <f>geral!C828</f>
        <v>291.33</v>
      </c>
      <c r="C82" s="748">
        <f t="shared" si="1"/>
        <v>228.31504702194357</v>
      </c>
      <c r="D82" s="750">
        <f t="shared" si="40"/>
        <v>4.4717779530947244</v>
      </c>
      <c r="E82" s="750">
        <f t="shared" si="39"/>
        <v>1.3815423162583329</v>
      </c>
      <c r="F82" s="751">
        <f t="shared" si="42"/>
        <v>1.8102393849379617</v>
      </c>
      <c r="G82" s="840">
        <f t="shared" si="41"/>
        <v>19.593596059113306</v>
      </c>
      <c r="H82" s="842">
        <f>+$B$253/B82</f>
        <v>1.904796210482957</v>
      </c>
    </row>
    <row r="83" spans="1:10" ht="16.5" hidden="1" thickBot="1">
      <c r="A83" s="973" t="s">
        <v>429</v>
      </c>
      <c r="B83" s="748">
        <f>geral!C829</f>
        <v>269.17</v>
      </c>
      <c r="C83" s="748">
        <f t="shared" si="1"/>
        <v>210.94827586206898</v>
      </c>
      <c r="D83" s="750">
        <f t="shared" si="40"/>
        <v>-7.6064943534822955</v>
      </c>
      <c r="E83" s="750">
        <f t="shared" ref="E83:E88" si="43">100*((B83/$B$76)-1)</f>
        <v>-6.3300389755011182</v>
      </c>
      <c r="F83" s="751">
        <f t="shared" si="42"/>
        <v>-2.9143372407574364</v>
      </c>
      <c r="G83" s="840">
        <f t="shared" si="41"/>
        <v>4.0873936581593107</v>
      </c>
      <c r="H83" s="842">
        <f>+$B$253/B83</f>
        <v>2.0616126611435144</v>
      </c>
    </row>
    <row r="84" spans="1:10" ht="16.5" hidden="1" thickBot="1">
      <c r="A84" s="973" t="s">
        <v>430</v>
      </c>
      <c r="B84" s="748">
        <f>geral!C830</f>
        <v>271.60000000000002</v>
      </c>
      <c r="C84" s="748">
        <f t="shared" si="1"/>
        <v>212.85266457680254</v>
      </c>
      <c r="D84" s="750">
        <f t="shared" ref="D84:D89" si="44">100*((B84/B83)-1)</f>
        <v>0.90277519783037441</v>
      </c>
      <c r="E84" s="750">
        <f t="shared" si="43"/>
        <v>-5.4844097995545571</v>
      </c>
      <c r="F84" s="751">
        <f t="shared" si="42"/>
        <v>-5.0615212527964086</v>
      </c>
      <c r="G84" s="840">
        <f t="shared" ref="G84:G89" si="45">100*(B84/B60-1)</f>
        <v>4.3010752688172227</v>
      </c>
      <c r="H84" s="842">
        <f>+$B$253/B84</f>
        <v>2.0431674521354926</v>
      </c>
    </row>
    <row r="85" spans="1:10" ht="16.5" hidden="1" thickBot="1">
      <c r="A85" s="973" t="s">
        <v>431</v>
      </c>
      <c r="B85" s="748">
        <f>geral!C831</f>
        <v>280.5</v>
      </c>
      <c r="C85" s="748">
        <f t="shared" si="1"/>
        <v>219.82758620689657</v>
      </c>
      <c r="D85" s="750">
        <f t="shared" si="44"/>
        <v>3.2768777614138322</v>
      </c>
      <c r="E85" s="750">
        <f t="shared" si="43"/>
        <v>-2.387249443207129</v>
      </c>
      <c r="F85" s="751">
        <f t="shared" si="42"/>
        <v>-1.616919785346016</v>
      </c>
      <c r="G85" s="840">
        <f t="shared" si="45"/>
        <v>8.8263821532492681</v>
      </c>
      <c r="H85" s="842">
        <f>+$B$253/B85</f>
        <v>1.9783396791443844</v>
      </c>
    </row>
    <row r="86" spans="1:10" ht="16.5" hidden="1" thickBot="1">
      <c r="A86" s="973" t="s">
        <v>432</v>
      </c>
      <c r="B86" s="748">
        <f>geral!C832</f>
        <v>276.8</v>
      </c>
      <c r="C86" s="748">
        <f t="shared" si="1"/>
        <v>216.92789968652039</v>
      </c>
      <c r="D86" s="750">
        <f t="shared" si="44"/>
        <v>-1.3190730837789655</v>
      </c>
      <c r="E86" s="750">
        <f t="shared" si="43"/>
        <v>-3.674832962138086</v>
      </c>
      <c r="F86" s="751">
        <f t="shared" ref="F86:F91" si="46">100*((B86/B74)-1)</f>
        <v>-0.94474663612940102</v>
      </c>
      <c r="G86" s="840">
        <f t="shared" si="45"/>
        <v>2.2912047302291239</v>
      </c>
      <c r="H86" s="842">
        <f>+$B$253/B86</f>
        <v>2.0047842485549126</v>
      </c>
    </row>
    <row r="87" spans="1:10" ht="16.5" hidden="1" thickBot="1">
      <c r="A87" s="973" t="s">
        <v>433</v>
      </c>
      <c r="B87" s="748">
        <f>geral!C833</f>
        <v>287</v>
      </c>
      <c r="C87" s="748">
        <f t="shared" si="1"/>
        <v>224.92163009404391</v>
      </c>
      <c r="D87" s="750">
        <f t="shared" si="44"/>
        <v>3.6849710982658879</v>
      </c>
      <c r="E87" s="750">
        <f t="shared" si="43"/>
        <v>-0.12527839643653449</v>
      </c>
      <c r="F87" s="751">
        <f t="shared" si="46"/>
        <v>0.26200873362445254</v>
      </c>
      <c r="G87" s="840">
        <f t="shared" si="45"/>
        <v>2.7201145311381625</v>
      </c>
      <c r="H87" s="842">
        <f>+$B$253/B87</f>
        <v>1.9335340766550517</v>
      </c>
    </row>
    <row r="88" spans="1:10" ht="16.5" hidden="1" thickBot="1">
      <c r="A88" s="973" t="s">
        <v>434</v>
      </c>
      <c r="B88" s="748">
        <f>geral!C834</f>
        <v>260</v>
      </c>
      <c r="C88" s="748">
        <f t="shared" si="1"/>
        <v>203.76175548589342</v>
      </c>
      <c r="D88" s="750">
        <f t="shared" si="44"/>
        <v>-9.4076655052264808</v>
      </c>
      <c r="E88" s="750">
        <f t="shared" si="43"/>
        <v>-9.5211581291759551</v>
      </c>
      <c r="F88" s="751">
        <f t="shared" si="46"/>
        <v>-9.5211581291759551</v>
      </c>
      <c r="G88" s="840">
        <f t="shared" si="45"/>
        <v>-3.703703703703709</v>
      </c>
      <c r="H88" s="842">
        <f>+$B$253/B88</f>
        <v>2.134324153846153</v>
      </c>
    </row>
    <row r="89" spans="1:10" ht="16.5" hidden="1" thickBot="1">
      <c r="A89" s="973" t="s">
        <v>435</v>
      </c>
      <c r="B89" s="748">
        <f>geral!E823</f>
        <v>278</v>
      </c>
      <c r="C89" s="748">
        <f t="shared" ref="C89:C148" si="47">100*B89/$B$8</f>
        <v>217.86833855799375</v>
      </c>
      <c r="D89" s="750">
        <f t="shared" si="44"/>
        <v>6.9230769230769207</v>
      </c>
      <c r="E89" s="750">
        <f t="shared" ref="E89:E94" si="48">100*((B89/$B$88)-1)</f>
        <v>6.9230769230769207</v>
      </c>
      <c r="F89" s="751">
        <f t="shared" si="46"/>
        <v>-1.5929203539822967</v>
      </c>
      <c r="G89" s="840">
        <f t="shared" si="45"/>
        <v>1.5562212318258162</v>
      </c>
      <c r="H89" s="842">
        <f>+$B$253/B89</f>
        <v>1.9961305035971217</v>
      </c>
    </row>
    <row r="90" spans="1:10" ht="16.5" hidden="1" thickBot="1">
      <c r="A90" s="973" t="s">
        <v>436</v>
      </c>
      <c r="B90" s="748">
        <f>geral!E824</f>
        <v>283</v>
      </c>
      <c r="C90" s="748">
        <f t="shared" si="47"/>
        <v>221.78683385579939</v>
      </c>
      <c r="D90" s="750">
        <f t="shared" ref="D90:D100" si="49">100*((B90/B89)-1)</f>
        <v>1.7985611510791477</v>
      </c>
      <c r="E90" s="750">
        <f t="shared" si="48"/>
        <v>8.846153846153836</v>
      </c>
      <c r="F90" s="751">
        <f t="shared" si="46"/>
        <v>0.2018199199801618</v>
      </c>
      <c r="G90" s="840">
        <f t="shared" ref="G90:G100" si="50">100*(B90/B66-1)</f>
        <v>1.1906890263524872</v>
      </c>
      <c r="H90" s="842">
        <f>+$B$253/B90</f>
        <v>1.9608631802120136</v>
      </c>
    </row>
    <row r="91" spans="1:10" ht="16.5" hidden="1" thickBot="1">
      <c r="A91" s="973" t="s">
        <v>437</v>
      </c>
      <c r="B91" s="748">
        <f>geral!E825</f>
        <v>287.5</v>
      </c>
      <c r="C91" s="748">
        <f t="shared" si="47"/>
        <v>225.31347962382446</v>
      </c>
      <c r="D91" s="750">
        <f t="shared" si="49"/>
        <v>1.5901060070671269</v>
      </c>
      <c r="E91" s="750">
        <f t="shared" si="48"/>
        <v>10.576923076923084</v>
      </c>
      <c r="F91" s="751">
        <f t="shared" si="46"/>
        <v>1.0793516858278007</v>
      </c>
      <c r="G91" s="840">
        <f t="shared" si="50"/>
        <v>3.213067671872194</v>
      </c>
      <c r="H91" s="842">
        <f>+$B$253/B91</f>
        <v>1.9301714086956516</v>
      </c>
    </row>
    <row r="92" spans="1:10" ht="16.5" hidden="1" thickBot="1">
      <c r="A92" s="973" t="s">
        <v>438</v>
      </c>
      <c r="B92" s="748">
        <f>geral!E826</f>
        <v>279.43</v>
      </c>
      <c r="C92" s="748">
        <f t="shared" si="47"/>
        <v>218.98902821316616</v>
      </c>
      <c r="D92" s="750">
        <f t="shared" si="49"/>
        <v>-2.8069565217391235</v>
      </c>
      <c r="E92" s="750">
        <f t="shared" si="48"/>
        <v>7.4730769230769267</v>
      </c>
      <c r="F92" s="751">
        <f t="shared" ref="F92:F100" si="51">100*((B92/B80)-1)</f>
        <v>-2.7832863653759143</v>
      </c>
      <c r="G92" s="840">
        <f t="shared" si="50"/>
        <v>-2.7122066708446524</v>
      </c>
      <c r="H92" s="842">
        <f>+$B$253/B92</f>
        <v>1.9859151844826963</v>
      </c>
    </row>
    <row r="93" spans="1:10" ht="16.5" hidden="1" thickBot="1">
      <c r="A93" s="973" t="s">
        <v>439</v>
      </c>
      <c r="B93" s="748">
        <f>geral!E827</f>
        <v>298.86</v>
      </c>
      <c r="C93" s="748">
        <f t="shared" si="47"/>
        <v>234.21630094043888</v>
      </c>
      <c r="D93" s="750">
        <f t="shared" si="49"/>
        <v>6.9534409333285696</v>
      </c>
      <c r="E93" s="750">
        <f t="shared" si="48"/>
        <v>14.946153846153853</v>
      </c>
      <c r="F93" s="751">
        <f t="shared" si="51"/>
        <v>7.1720576633436117</v>
      </c>
      <c r="G93" s="840">
        <f t="shared" si="50"/>
        <v>6.1556494867332168</v>
      </c>
      <c r="H93" s="842">
        <f>+$B$253/B93</f>
        <v>1.8568034531218625</v>
      </c>
    </row>
    <row r="94" spans="1:10" ht="16.5" hidden="1" thickBot="1">
      <c r="A94" s="973" t="s">
        <v>440</v>
      </c>
      <c r="B94" s="748">
        <f>geral!E828</f>
        <v>302.14285714285717</v>
      </c>
      <c r="C94" s="748">
        <f t="shared" si="47"/>
        <v>236.78907299596958</v>
      </c>
      <c r="D94" s="750">
        <f t="shared" si="49"/>
        <v>1.0984598617604036</v>
      </c>
      <c r="E94" s="750">
        <f t="shared" si="48"/>
        <v>16.208791208791219</v>
      </c>
      <c r="F94" s="751">
        <f t="shared" si="51"/>
        <v>3.7115494946820426</v>
      </c>
      <c r="G94" s="840">
        <f t="shared" si="50"/>
        <v>5.5889768103642101</v>
      </c>
      <c r="H94" s="842">
        <f>+$B$253/B94</f>
        <v>1.8366288226950347</v>
      </c>
    </row>
    <row r="95" spans="1:10" ht="16.5" hidden="1" thickBot="1">
      <c r="A95" s="973" t="s">
        <v>441</v>
      </c>
      <c r="B95" s="748">
        <f>geral!E829</f>
        <v>270.39999999999998</v>
      </c>
      <c r="C95" s="748">
        <f t="shared" si="47"/>
        <v>211.91222570532912</v>
      </c>
      <c r="D95" s="750">
        <f t="shared" si="49"/>
        <v>-10.505910165484645</v>
      </c>
      <c r="E95" s="750">
        <f t="shared" ref="E95:E100" si="52">100*((B95/$B$88)-1)</f>
        <v>3.9999999999999813</v>
      </c>
      <c r="F95" s="751">
        <f t="shared" si="51"/>
        <v>0.45696028532153932</v>
      </c>
      <c r="G95" s="840">
        <f t="shared" si="50"/>
        <v>-2.4706943192065012</v>
      </c>
      <c r="H95" s="842">
        <f>+$B$253/B95</f>
        <v>2.0522347633136091</v>
      </c>
      <c r="I95" s="820" t="s">
        <v>241</v>
      </c>
      <c r="J95" s="821"/>
    </row>
    <row r="96" spans="1:10" ht="16.5" hidden="1" thickBot="1">
      <c r="A96" s="973" t="s">
        <v>442</v>
      </c>
      <c r="B96" s="748">
        <f>geral!E830</f>
        <v>269.39999999999998</v>
      </c>
      <c r="C96" s="748">
        <f t="shared" si="47"/>
        <v>211.12852664576801</v>
      </c>
      <c r="D96" s="750">
        <f t="shared" si="49"/>
        <v>-0.36982248520710526</v>
      </c>
      <c r="E96" s="750">
        <f t="shared" si="52"/>
        <v>3.6153846153845981</v>
      </c>
      <c r="F96" s="751">
        <f t="shared" si="51"/>
        <v>-0.81001472754052006</v>
      </c>
      <c r="G96" s="840">
        <f t="shared" si="50"/>
        <v>-5.8305369127516826</v>
      </c>
      <c r="H96" s="842">
        <f>+$B$253/B96</f>
        <v>2.0598525612472156</v>
      </c>
    </row>
    <row r="97" spans="1:8" ht="16.5" hidden="1" thickBot="1">
      <c r="A97" s="973" t="s">
        <v>443</v>
      </c>
      <c r="B97" s="748">
        <f>geral!E831</f>
        <v>267.5</v>
      </c>
      <c r="C97" s="748">
        <f t="shared" si="47"/>
        <v>209.6394984326019</v>
      </c>
      <c r="D97" s="750">
        <f t="shared" si="49"/>
        <v>-0.70527097253154647</v>
      </c>
      <c r="E97" s="750">
        <f t="shared" si="52"/>
        <v>2.8846153846153744</v>
      </c>
      <c r="F97" s="751">
        <f t="shared" si="51"/>
        <v>-4.6345811051693442</v>
      </c>
      <c r="G97" s="840">
        <f t="shared" si="50"/>
        <v>-6.1765634316579661</v>
      </c>
      <c r="H97" s="842">
        <f>+$B$253/B97</f>
        <v>2.0744832897196255</v>
      </c>
    </row>
    <row r="98" spans="1:8" ht="16.5" hidden="1" thickBot="1">
      <c r="A98" s="973" t="s">
        <v>444</v>
      </c>
      <c r="B98" s="748">
        <f>geral!E832</f>
        <v>269</v>
      </c>
      <c r="C98" s="748">
        <f t="shared" si="47"/>
        <v>210.81504702194357</v>
      </c>
      <c r="D98" s="750">
        <f t="shared" si="49"/>
        <v>0.56074766355140859</v>
      </c>
      <c r="E98" s="750">
        <f t="shared" si="52"/>
        <v>3.4615384615384714</v>
      </c>
      <c r="F98" s="751">
        <f t="shared" si="51"/>
        <v>-2.8179190751445149</v>
      </c>
      <c r="G98" s="840">
        <f t="shared" si="50"/>
        <v>-3.7360435156026384</v>
      </c>
      <c r="H98" s="842">
        <f>+$B$253/B98</f>
        <v>2.0629155390334568</v>
      </c>
    </row>
    <row r="99" spans="1:8" ht="16.5" hidden="1" thickBot="1">
      <c r="A99" s="973" t="s">
        <v>445</v>
      </c>
      <c r="B99" s="748">
        <f>geral!E833</f>
        <v>275</v>
      </c>
      <c r="C99" s="748">
        <f t="shared" si="47"/>
        <v>215.51724137931035</v>
      </c>
      <c r="D99" s="750">
        <f t="shared" si="49"/>
        <v>2.2304832713754719</v>
      </c>
      <c r="E99" s="750">
        <f t="shared" si="52"/>
        <v>5.7692307692307709</v>
      </c>
      <c r="F99" s="751">
        <f t="shared" si="51"/>
        <v>-4.1811846689895464</v>
      </c>
      <c r="G99" s="840">
        <f t="shared" si="50"/>
        <v>-3.9301310043668103</v>
      </c>
      <c r="H99" s="842">
        <f>+$B$253/B99</f>
        <v>2.017906472727272</v>
      </c>
    </row>
    <row r="100" spans="1:8" ht="16.5" hidden="1" thickBot="1">
      <c r="A100" s="973" t="s">
        <v>446</v>
      </c>
      <c r="B100" s="748">
        <f>geral!E834</f>
        <v>274.5</v>
      </c>
      <c r="C100" s="748">
        <f t="shared" si="47"/>
        <v>215.12539184952979</v>
      </c>
      <c r="D100" s="750">
        <f t="shared" si="49"/>
        <v>-0.18181818181818299</v>
      </c>
      <c r="E100" s="750">
        <f t="shared" si="52"/>
        <v>5.5769230769230793</v>
      </c>
      <c r="F100" s="751">
        <f t="shared" si="51"/>
        <v>5.5769230769230793</v>
      </c>
      <c r="G100" s="840">
        <f t="shared" si="50"/>
        <v>-4.4752227171492294</v>
      </c>
      <c r="H100" s="842">
        <f>+$B$253/B100</f>
        <v>2.0215820765027317</v>
      </c>
    </row>
    <row r="101" spans="1:8" ht="16.5" hidden="1" thickBot="1">
      <c r="A101" s="973" t="s">
        <v>447</v>
      </c>
      <c r="B101" s="748">
        <f>geral!G823</f>
        <v>275</v>
      </c>
      <c r="C101" s="748">
        <f t="shared" si="47"/>
        <v>215.51724137931035</v>
      </c>
      <c r="D101" s="750">
        <f t="shared" ref="D101:D106" si="53">100*((B101/B100)-1)</f>
        <v>0.18214936247722413</v>
      </c>
      <c r="E101" s="750">
        <f t="shared" ref="E101:E106" si="54">100*((B101/$B$100)-1)</f>
        <v>0.18214936247722413</v>
      </c>
      <c r="F101" s="751">
        <f t="shared" ref="F101:F106" si="55">100*((B101/B89)-1)</f>
        <v>-1.0791366906474864</v>
      </c>
      <c r="G101" s="840">
        <f t="shared" ref="G101:G106" si="56">100*(B101/B77-1)</f>
        <v>-2.6548672566371723</v>
      </c>
      <c r="H101" s="842">
        <f>+$B$253/B101</f>
        <v>2.017906472727272</v>
      </c>
    </row>
    <row r="102" spans="1:8" ht="16.5" hidden="1" thickBot="1">
      <c r="A102" s="973" t="s">
        <v>448</v>
      </c>
      <c r="B102" s="748">
        <f>geral!G824</f>
        <v>274.60000000000002</v>
      </c>
      <c r="C102" s="748">
        <f t="shared" si="47"/>
        <v>215.20376175548594</v>
      </c>
      <c r="D102" s="750">
        <f t="shared" si="53"/>
        <v>-0.14545454545453751</v>
      </c>
      <c r="E102" s="750">
        <f t="shared" si="54"/>
        <v>3.6429872495458149E-2</v>
      </c>
      <c r="F102" s="751">
        <f t="shared" si="55"/>
        <v>-2.9681978798586472</v>
      </c>
      <c r="G102" s="840">
        <f t="shared" si="56"/>
        <v>-2.7723683744644623</v>
      </c>
      <c r="H102" s="842">
        <f>+$B$253/B102</f>
        <v>2.0208458849235242</v>
      </c>
    </row>
    <row r="103" spans="1:8" ht="16.5" hidden="1" thickBot="1">
      <c r="A103" s="973" t="s">
        <v>449</v>
      </c>
      <c r="B103" s="748">
        <f>geral!G825</f>
        <v>280.60000000000002</v>
      </c>
      <c r="C103" s="748">
        <f t="shared" si="47"/>
        <v>219.90595611285269</v>
      </c>
      <c r="D103" s="750">
        <f t="shared" si="53"/>
        <v>2.1849963583393972</v>
      </c>
      <c r="E103" s="750">
        <f t="shared" si="54"/>
        <v>2.2222222222222365</v>
      </c>
      <c r="F103" s="751">
        <f t="shared" si="55"/>
        <v>-2.399999999999991</v>
      </c>
      <c r="G103" s="840">
        <f t="shared" si="56"/>
        <v>-1.3465527546320688</v>
      </c>
      <c r="H103" s="842">
        <f>+$B$253/B103</f>
        <v>1.9776346400570199</v>
      </c>
    </row>
    <row r="104" spans="1:8" ht="16.5" hidden="1" thickBot="1">
      <c r="A104" s="973" t="s">
        <v>450</v>
      </c>
      <c r="B104" s="748">
        <f>geral!G826</f>
        <v>280</v>
      </c>
      <c r="C104" s="748">
        <f t="shared" si="47"/>
        <v>219.43573667711598</v>
      </c>
      <c r="D104" s="750">
        <f t="shared" si="53"/>
        <v>-0.21382751247327469</v>
      </c>
      <c r="E104" s="750">
        <f t="shared" si="54"/>
        <v>2.0036429872495543</v>
      </c>
      <c r="F104" s="751">
        <f t="shared" si="55"/>
        <v>0.20398668718462076</v>
      </c>
      <c r="G104" s="840">
        <f t="shared" si="56"/>
        <v>-2.5849772118428871</v>
      </c>
      <c r="H104" s="842">
        <f>+$B$253/B104</f>
        <v>1.981872428571428</v>
      </c>
    </row>
    <row r="105" spans="1:8" ht="16.5" hidden="1" thickBot="1">
      <c r="A105" s="973" t="s">
        <v>451</v>
      </c>
      <c r="B105" s="748">
        <f>geral!G827</f>
        <v>282</v>
      </c>
      <c r="C105" s="748">
        <f t="shared" si="47"/>
        <v>221.00313479623824</v>
      </c>
      <c r="D105" s="750">
        <f t="shared" si="53"/>
        <v>0.71428571428571175</v>
      </c>
      <c r="E105" s="750">
        <f t="shared" si="54"/>
        <v>2.732240437158473</v>
      </c>
      <c r="F105" s="751">
        <f t="shared" si="55"/>
        <v>-5.6414374623569579</v>
      </c>
      <c r="G105" s="840">
        <f t="shared" si="56"/>
        <v>1.1260130531449475</v>
      </c>
      <c r="H105" s="842">
        <f>+$B$253/B105</f>
        <v>1.9678165957446803</v>
      </c>
    </row>
    <row r="106" spans="1:8" ht="16.5" hidden="1" thickBot="1">
      <c r="A106" s="973" t="s">
        <v>452</v>
      </c>
      <c r="B106" s="748">
        <f>geral!G828</f>
        <v>282.2</v>
      </c>
      <c r="C106" s="748">
        <f t="shared" si="47"/>
        <v>221.15987460815049</v>
      </c>
      <c r="D106" s="750">
        <f t="shared" si="53"/>
        <v>7.0921985815597388E-2</v>
      </c>
      <c r="E106" s="750">
        <f t="shared" si="54"/>
        <v>2.8051001821493671</v>
      </c>
      <c r="F106" s="751">
        <f t="shared" si="55"/>
        <v>-6.6004728132387775</v>
      </c>
      <c r="G106" s="840">
        <f t="shared" si="56"/>
        <v>-3.1339031339031376</v>
      </c>
      <c r="H106" s="842">
        <f>+$B$253/B106</f>
        <v>1.9664219702338761</v>
      </c>
    </row>
    <row r="107" spans="1:8" ht="16.5" hidden="1" thickBot="1">
      <c r="A107" s="973" t="s">
        <v>453</v>
      </c>
      <c r="B107" s="748">
        <f>geral!G829</f>
        <v>290.8</v>
      </c>
      <c r="C107" s="748">
        <f t="shared" si="47"/>
        <v>227.89968652037618</v>
      </c>
      <c r="D107" s="750">
        <f t="shared" ref="D107:D112" si="57">100*((B107/B106)-1)</f>
        <v>3.0474840538625259</v>
      </c>
      <c r="E107" s="750">
        <f t="shared" ref="E107:E112" si="58">100*((B107/$B$100)-1)</f>
        <v>5.9380692167577465</v>
      </c>
      <c r="F107" s="751">
        <f t="shared" ref="F107:F112" si="59">100*((B107/B95)-1)</f>
        <v>7.5443786982248628</v>
      </c>
      <c r="G107" s="840">
        <f t="shared" ref="G107:G112" si="60">100*(B107/B83-1)</f>
        <v>8.0358137979715352</v>
      </c>
      <c r="H107" s="842">
        <f>+$B$253/B107</f>
        <v>1.908267812929848</v>
      </c>
    </row>
    <row r="108" spans="1:8" ht="16.5" hidden="1" thickBot="1">
      <c r="A108" s="973" t="s">
        <v>454</v>
      </c>
      <c r="B108" s="748">
        <f>geral!G830</f>
        <v>288.16666666666669</v>
      </c>
      <c r="C108" s="748">
        <f t="shared" si="47"/>
        <v>225.8359456635319</v>
      </c>
      <c r="D108" s="750">
        <f t="shared" si="57"/>
        <v>-0.90554791380100808</v>
      </c>
      <c r="E108" s="750">
        <f t="shared" si="58"/>
        <v>4.9787492410443335</v>
      </c>
      <c r="F108" s="751">
        <f t="shared" si="59"/>
        <v>6.9660975006186732</v>
      </c>
      <c r="G108" s="840">
        <f t="shared" si="60"/>
        <v>6.0996563573883167</v>
      </c>
      <c r="H108" s="842">
        <f>+$B$253/B108</f>
        <v>1.9257060034702134</v>
      </c>
    </row>
    <row r="109" spans="1:8" ht="16.5" hidden="1" thickBot="1">
      <c r="A109" s="973" t="s">
        <v>455</v>
      </c>
      <c r="B109" s="748">
        <f>geral!G831</f>
        <v>295.8</v>
      </c>
      <c r="C109" s="748">
        <f t="shared" si="47"/>
        <v>231.81818181818184</v>
      </c>
      <c r="D109" s="750">
        <f t="shared" si="57"/>
        <v>2.6489300173510699</v>
      </c>
      <c r="E109" s="750">
        <f t="shared" si="58"/>
        <v>7.7595628415300544</v>
      </c>
      <c r="F109" s="751">
        <f t="shared" si="59"/>
        <v>10.579439252336442</v>
      </c>
      <c r="G109" s="840">
        <f t="shared" si="60"/>
        <v>5.4545454545454675</v>
      </c>
      <c r="H109" s="842">
        <f>+$B$253/B109</f>
        <v>1.8760117647058818</v>
      </c>
    </row>
    <row r="110" spans="1:8" ht="16.5" hidden="1" thickBot="1">
      <c r="A110" s="973" t="s">
        <v>456</v>
      </c>
      <c r="B110" s="748">
        <f>geral!G832</f>
        <v>295</v>
      </c>
      <c r="C110" s="748">
        <f t="shared" si="47"/>
        <v>231.19122257053291</v>
      </c>
      <c r="D110" s="750">
        <f t="shared" si="57"/>
        <v>-0.27045300878972833</v>
      </c>
      <c r="E110" s="750">
        <f t="shared" si="58"/>
        <v>7.468123861566478</v>
      </c>
      <c r="F110" s="751">
        <f t="shared" si="59"/>
        <v>9.6654275092936892</v>
      </c>
      <c r="G110" s="840">
        <f t="shared" si="60"/>
        <v>6.5751445086705163</v>
      </c>
      <c r="H110" s="842">
        <f>+$B$253/B110</f>
        <v>1.8810992542372875</v>
      </c>
    </row>
    <row r="111" spans="1:8" ht="16.5" hidden="1" thickBot="1">
      <c r="A111" s="973" t="s">
        <v>457</v>
      </c>
      <c r="B111" s="748">
        <f>geral!G833</f>
        <v>300</v>
      </c>
      <c r="C111" s="748">
        <f t="shared" si="47"/>
        <v>235.10971786833858</v>
      </c>
      <c r="D111" s="750">
        <f t="shared" si="57"/>
        <v>1.6949152542372836</v>
      </c>
      <c r="E111" s="750">
        <f t="shared" si="58"/>
        <v>9.289617486338809</v>
      </c>
      <c r="F111" s="751">
        <f t="shared" si="59"/>
        <v>9.0909090909090828</v>
      </c>
      <c r="G111" s="840">
        <f t="shared" si="60"/>
        <v>4.5296167247386832</v>
      </c>
      <c r="H111" s="842">
        <f>+$B$253/B111</f>
        <v>1.8497475999999995</v>
      </c>
    </row>
    <row r="112" spans="1:8" ht="16.5" hidden="1" thickBot="1">
      <c r="A112" s="973" t="s">
        <v>458</v>
      </c>
      <c r="B112" s="748">
        <f>geral!G834</f>
        <v>302.5</v>
      </c>
      <c r="C112" s="748">
        <f t="shared" si="47"/>
        <v>237.06896551724139</v>
      </c>
      <c r="D112" s="750">
        <f t="shared" si="57"/>
        <v>0.83333333333333037</v>
      </c>
      <c r="E112" s="750">
        <f t="shared" si="58"/>
        <v>10.200364298724951</v>
      </c>
      <c r="F112" s="751">
        <f t="shared" si="59"/>
        <v>10.200364298724951</v>
      </c>
      <c r="G112" s="840">
        <f t="shared" si="60"/>
        <v>16.346153846153854</v>
      </c>
      <c r="H112" s="842">
        <f>+$B$253/B112</f>
        <v>1.8344604297520657</v>
      </c>
    </row>
    <row r="113" spans="1:8" ht="16.5" hidden="1" thickBot="1">
      <c r="A113" s="973" t="s">
        <v>459</v>
      </c>
      <c r="B113" s="748">
        <f>geral!I823</f>
        <v>302</v>
      </c>
      <c r="C113" s="748">
        <f t="shared" si="47"/>
        <v>236.67711598746084</v>
      </c>
      <c r="D113" s="750">
        <f t="shared" ref="D113:D118" si="61">100*((B113/B112)-1)</f>
        <v>-0.16528925619834212</v>
      </c>
      <c r="E113" s="750">
        <f t="shared" ref="E113:E118" si="62">100*((B113/$B$112)-1)</f>
        <v>-0.16528925619834212</v>
      </c>
      <c r="F113" s="751">
        <f t="shared" ref="F113:F118" si="63">100*((B113/B101)-1)</f>
        <v>9.8181818181818148</v>
      </c>
      <c r="G113" s="840">
        <f t="shared" ref="G113:G118" si="64">100*(B113/B89-1)</f>
        <v>8.6330935251798468</v>
      </c>
      <c r="H113" s="842">
        <f>+$B$253/B113</f>
        <v>1.8374976158940393</v>
      </c>
    </row>
    <row r="114" spans="1:8" ht="16.5" hidden="1" thickBot="1">
      <c r="A114" s="973" t="s">
        <v>460</v>
      </c>
      <c r="B114" s="748">
        <f>geral!I824</f>
        <v>305</v>
      </c>
      <c r="C114" s="748">
        <f t="shared" si="47"/>
        <v>239.02821316614421</v>
      </c>
      <c r="D114" s="750">
        <f t="shared" si="61"/>
        <v>0.99337748344370258</v>
      </c>
      <c r="E114" s="750">
        <f t="shared" si="62"/>
        <v>0.82644628099173278</v>
      </c>
      <c r="F114" s="751">
        <f t="shared" si="63"/>
        <v>11.070648215586299</v>
      </c>
      <c r="G114" s="840">
        <f t="shared" si="64"/>
        <v>7.7738515901060179</v>
      </c>
      <c r="H114" s="842">
        <f>+$B$253/B114</f>
        <v>1.8194238688524584</v>
      </c>
    </row>
    <row r="115" spans="1:8" ht="16.5" hidden="1" thickBot="1">
      <c r="A115" s="973" t="s">
        <v>461</v>
      </c>
      <c r="B115" s="748">
        <f>geral!I825</f>
        <v>309</v>
      </c>
      <c r="C115" s="748">
        <f t="shared" si="47"/>
        <v>242.16300940438873</v>
      </c>
      <c r="D115" s="750">
        <f t="shared" si="61"/>
        <v>1.3114754098360715</v>
      </c>
      <c r="E115" s="750">
        <f t="shared" si="62"/>
        <v>2.1487603305785141</v>
      </c>
      <c r="F115" s="751">
        <f t="shared" si="63"/>
        <v>10.121168923734846</v>
      </c>
      <c r="G115" s="840">
        <f t="shared" si="64"/>
        <v>7.4782608695652231</v>
      </c>
      <c r="H115" s="842">
        <f>+$B$253/B115</f>
        <v>1.795871456310679</v>
      </c>
    </row>
    <row r="116" spans="1:8" ht="16.5" hidden="1" thickBot="1">
      <c r="A116" s="973" t="s">
        <v>462</v>
      </c>
      <c r="B116" s="748">
        <f>geral!I826</f>
        <v>309</v>
      </c>
      <c r="C116" s="748">
        <f t="shared" si="47"/>
        <v>242.16300940438873</v>
      </c>
      <c r="D116" s="750">
        <f t="shared" si="61"/>
        <v>0</v>
      </c>
      <c r="E116" s="750">
        <f t="shared" si="62"/>
        <v>2.1487603305785141</v>
      </c>
      <c r="F116" s="751">
        <f t="shared" si="63"/>
        <v>10.357142857142865</v>
      </c>
      <c r="G116" s="840">
        <f t="shared" si="64"/>
        <v>10.582256736928741</v>
      </c>
      <c r="H116" s="842">
        <f>+$B$253/B116</f>
        <v>1.795871456310679</v>
      </c>
    </row>
    <row r="117" spans="1:8" ht="16.5" hidden="1" thickBot="1">
      <c r="A117" s="973" t="s">
        <v>463</v>
      </c>
      <c r="B117" s="748">
        <f>geral!I827</f>
        <v>311</v>
      </c>
      <c r="C117" s="748">
        <f t="shared" si="47"/>
        <v>243.73040752351099</v>
      </c>
      <c r="D117" s="750">
        <f t="shared" si="61"/>
        <v>0.64724919093850364</v>
      </c>
      <c r="E117" s="750">
        <f t="shared" si="62"/>
        <v>2.8099173553719048</v>
      </c>
      <c r="F117" s="751">
        <f t="shared" si="63"/>
        <v>10.283687943262422</v>
      </c>
      <c r="G117" s="840">
        <f t="shared" si="64"/>
        <v>4.0621026567623675</v>
      </c>
      <c r="H117" s="842">
        <f>+$B$253/B117</f>
        <v>1.784322443729903</v>
      </c>
    </row>
    <row r="118" spans="1:8" ht="16.5" hidden="1" thickBot="1">
      <c r="A118" s="973" t="s">
        <v>464</v>
      </c>
      <c r="B118" s="748">
        <f>geral!I828</f>
        <v>314</v>
      </c>
      <c r="C118" s="748">
        <f t="shared" si="47"/>
        <v>246.08150470219437</v>
      </c>
      <c r="D118" s="750">
        <f t="shared" si="61"/>
        <v>0.96463022508037621</v>
      </c>
      <c r="E118" s="750">
        <f t="shared" si="62"/>
        <v>3.8016528925619797</v>
      </c>
      <c r="F118" s="751">
        <f t="shared" si="63"/>
        <v>11.268603827072997</v>
      </c>
      <c r="G118" s="840">
        <f t="shared" si="64"/>
        <v>3.9243498817966849</v>
      </c>
      <c r="H118" s="842">
        <f>+$B$253/B118</f>
        <v>1.7672747770700632</v>
      </c>
    </row>
    <row r="119" spans="1:8" ht="16.5" hidden="1" thickBot="1">
      <c r="A119" s="973" t="s">
        <v>465</v>
      </c>
      <c r="B119" s="748">
        <f>geral!I829</f>
        <v>316.5</v>
      </c>
      <c r="C119" s="748">
        <f t="shared" si="47"/>
        <v>248.04075235109718</v>
      </c>
      <c r="D119" s="750">
        <f t="shared" ref="D119:D124" si="65">100*((B119/B118)-1)</f>
        <v>0.79617834394904996</v>
      </c>
      <c r="E119" s="750">
        <f t="shared" ref="E119:E124" si="66">100*((B119/$B$112)-1)</f>
        <v>4.6280991735537125</v>
      </c>
      <c r="F119" s="751">
        <f t="shared" ref="F119:F124" si="67">100*((B119/B107)-1)</f>
        <v>8.8376891334250196</v>
      </c>
      <c r="G119" s="840">
        <f t="shared" ref="G119:G124" si="68">100*(B119/B95-1)</f>
        <v>17.048816568047354</v>
      </c>
      <c r="H119" s="842">
        <f>+$B$253/B119</f>
        <v>1.7533152606635065</v>
      </c>
    </row>
    <row r="120" spans="1:8" ht="16.5" hidden="1" thickBot="1">
      <c r="A120" s="973" t="s">
        <v>466</v>
      </c>
      <c r="B120" s="748">
        <f>geral!I830</f>
        <v>320.67</v>
      </c>
      <c r="C120" s="748">
        <f t="shared" si="47"/>
        <v>251.30877742946709</v>
      </c>
      <c r="D120" s="750">
        <f t="shared" si="65"/>
        <v>1.3175355450236959</v>
      </c>
      <c r="E120" s="750">
        <f t="shared" si="66"/>
        <v>6.0066115702479328</v>
      </c>
      <c r="F120" s="751">
        <f t="shared" si="67"/>
        <v>11.279352226720651</v>
      </c>
      <c r="G120" s="840">
        <f t="shared" si="68"/>
        <v>19.031180400890889</v>
      </c>
      <c r="H120" s="842">
        <f>+$B$253/B120</f>
        <v>1.7305151089905504</v>
      </c>
    </row>
    <row r="121" spans="1:8" ht="16.5" hidden="1" thickBot="1">
      <c r="A121" s="973" t="s">
        <v>467</v>
      </c>
      <c r="B121" s="748">
        <f>geral!I831</f>
        <v>322.33</v>
      </c>
      <c r="C121" s="748">
        <f t="shared" si="47"/>
        <v>252.60971786833858</v>
      </c>
      <c r="D121" s="750">
        <f t="shared" si="65"/>
        <v>0.51766613652663995</v>
      </c>
      <c r="E121" s="750">
        <f t="shared" si="66"/>
        <v>6.5553719008264455</v>
      </c>
      <c r="F121" s="751">
        <f t="shared" si="67"/>
        <v>8.9688979039891805</v>
      </c>
      <c r="G121" s="840">
        <f t="shared" si="68"/>
        <v>20.497196261682227</v>
      </c>
      <c r="H121" s="842">
        <f>+$B$253/B121</f>
        <v>1.7216029534948651</v>
      </c>
    </row>
    <row r="122" spans="1:8" ht="16.5" hidden="1" thickBot="1">
      <c r="A122" s="973" t="s">
        <v>468</v>
      </c>
      <c r="B122" s="748">
        <f>geral!I832</f>
        <v>325</v>
      </c>
      <c r="C122" s="748">
        <f t="shared" si="47"/>
        <v>254.70219435736678</v>
      </c>
      <c r="D122" s="750">
        <f t="shared" si="65"/>
        <v>0.8283436229950647</v>
      </c>
      <c r="E122" s="750">
        <f t="shared" si="66"/>
        <v>7.4380165289256173</v>
      </c>
      <c r="F122" s="751">
        <f t="shared" si="67"/>
        <v>10.169491525423723</v>
      </c>
      <c r="G122" s="840">
        <f t="shared" si="68"/>
        <v>20.817843866171003</v>
      </c>
      <c r="H122" s="842">
        <f>+$B$253/B122</f>
        <v>1.7074593230769226</v>
      </c>
    </row>
    <row r="123" spans="1:8" ht="16.5" hidden="1" thickBot="1">
      <c r="A123" s="973" t="s">
        <v>469</v>
      </c>
      <c r="B123" s="748">
        <f>geral!I833</f>
        <v>322</v>
      </c>
      <c r="C123" s="748">
        <f t="shared" si="47"/>
        <v>252.3510971786834</v>
      </c>
      <c r="D123" s="750">
        <f t="shared" si="65"/>
        <v>-0.92307692307692646</v>
      </c>
      <c r="E123" s="750">
        <f t="shared" si="66"/>
        <v>6.4462809917355424</v>
      </c>
      <c r="F123" s="751">
        <f t="shared" si="67"/>
        <v>7.333333333333325</v>
      </c>
      <c r="G123" s="840">
        <f t="shared" si="68"/>
        <v>17.09090909090909</v>
      </c>
      <c r="H123" s="842">
        <f>+$B$253/B123</f>
        <v>1.723367329192546</v>
      </c>
    </row>
    <row r="124" spans="1:8" ht="16.5" hidden="1" thickBot="1">
      <c r="A124" s="973" t="s">
        <v>470</v>
      </c>
      <c r="B124" s="748">
        <f>geral!I834</f>
        <v>333.33333333333331</v>
      </c>
      <c r="C124" s="748">
        <f t="shared" si="47"/>
        <v>261.23301985370949</v>
      </c>
      <c r="D124" s="750">
        <f t="shared" si="65"/>
        <v>3.5196687370600444</v>
      </c>
      <c r="E124" s="750">
        <f t="shared" si="66"/>
        <v>10.192837465564741</v>
      </c>
      <c r="F124" s="751">
        <f t="shared" si="67"/>
        <v>10.192837465564741</v>
      </c>
      <c r="G124" s="840">
        <f t="shared" si="68"/>
        <v>21.432908318154208</v>
      </c>
      <c r="H124" s="842">
        <f>+$B$253/B124</f>
        <v>1.6647728399999997</v>
      </c>
    </row>
    <row r="125" spans="1:8" ht="16.5" hidden="1" thickBot="1">
      <c r="A125" s="973" t="s">
        <v>471</v>
      </c>
      <c r="B125" s="748">
        <f>geral!K823</f>
        <v>333.33333333333331</v>
      </c>
      <c r="C125" s="748">
        <f t="shared" si="47"/>
        <v>261.23301985370949</v>
      </c>
      <c r="D125" s="750">
        <f t="shared" ref="D125:D130" si="69">100*((B125/B124)-1)</f>
        <v>0</v>
      </c>
      <c r="E125" s="750">
        <f t="shared" ref="E125:E130" si="70">100*((B125/$B$124)-1)</f>
        <v>0</v>
      </c>
      <c r="F125" s="751">
        <f t="shared" ref="F125:F130" si="71">100*((B125/B113)-1)</f>
        <v>10.375275938189832</v>
      </c>
      <c r="G125" s="840">
        <f t="shared" ref="G125:G130" si="72">100*(B125/B101-1)</f>
        <v>21.212121212121215</v>
      </c>
      <c r="H125" s="842">
        <f>+$B$253/B125</f>
        <v>1.6647728399999997</v>
      </c>
    </row>
    <row r="126" spans="1:8" ht="16.5" hidden="1" thickBot="1">
      <c r="A126" s="973" t="s">
        <v>472</v>
      </c>
      <c r="B126" s="748">
        <f>geral!K824</f>
        <v>329.66666666666669</v>
      </c>
      <c r="C126" s="748">
        <f t="shared" si="47"/>
        <v>258.35945663531874</v>
      </c>
      <c r="D126" s="750">
        <f t="shared" si="69"/>
        <v>-1.0999999999999899</v>
      </c>
      <c r="E126" s="750">
        <f t="shared" si="70"/>
        <v>-1.0999999999999899</v>
      </c>
      <c r="F126" s="751">
        <f t="shared" si="71"/>
        <v>8.0874316939890676</v>
      </c>
      <c r="G126" s="840">
        <f t="shared" si="72"/>
        <v>20.05341102209275</v>
      </c>
      <c r="H126" s="842">
        <f>+$B$253/B126</f>
        <v>1.6832890192113239</v>
      </c>
    </row>
    <row r="127" spans="1:8" ht="16.5" hidden="1" thickBot="1">
      <c r="A127" s="973" t="s">
        <v>473</v>
      </c>
      <c r="B127" s="748">
        <f>geral!K825</f>
        <v>326.5</v>
      </c>
      <c r="C127" s="748">
        <f t="shared" si="47"/>
        <v>255.87774294670848</v>
      </c>
      <c r="D127" s="750">
        <f t="shared" si="69"/>
        <v>-0.96056622851365958</v>
      </c>
      <c r="E127" s="750">
        <f t="shared" si="70"/>
        <v>-2.0499999999999963</v>
      </c>
      <c r="F127" s="751">
        <f t="shared" si="71"/>
        <v>5.663430420711979</v>
      </c>
      <c r="G127" s="840">
        <f t="shared" si="72"/>
        <v>16.357804704205272</v>
      </c>
      <c r="H127" s="842">
        <f>+$B$253/B127</f>
        <v>1.6996149464012247</v>
      </c>
    </row>
    <row r="128" spans="1:8" ht="16.5" hidden="1" thickBot="1">
      <c r="A128" s="973" t="s">
        <v>474</v>
      </c>
      <c r="B128" s="748">
        <f>geral!K826</f>
        <v>316.37</v>
      </c>
      <c r="C128" s="748">
        <f t="shared" si="47"/>
        <v>247.93887147335425</v>
      </c>
      <c r="D128" s="750">
        <f t="shared" si="69"/>
        <v>-3.1026033690658483</v>
      </c>
      <c r="E128" s="750">
        <f t="shared" si="70"/>
        <v>-5.088999999999988</v>
      </c>
      <c r="F128" s="751">
        <f t="shared" si="71"/>
        <v>2.3851132686084187</v>
      </c>
      <c r="G128" s="840">
        <f t="shared" si="72"/>
        <v>12.989285714285725</v>
      </c>
      <c r="H128" s="842">
        <f>+$B$253/B128</f>
        <v>1.7540357176723451</v>
      </c>
    </row>
    <row r="129" spans="1:8" ht="16.5" hidden="1" thickBot="1">
      <c r="A129" s="973" t="s">
        <v>475</v>
      </c>
      <c r="B129" s="748">
        <f>geral!K827</f>
        <v>325.91166666666669</v>
      </c>
      <c r="C129" s="748">
        <f t="shared" si="47"/>
        <v>255.41666666666669</v>
      </c>
      <c r="D129" s="750">
        <f t="shared" si="69"/>
        <v>3.0159833949700232</v>
      </c>
      <c r="E129" s="750">
        <f t="shared" si="70"/>
        <v>-2.2264999999999868</v>
      </c>
      <c r="F129" s="751">
        <f t="shared" si="71"/>
        <v>4.7947481243301171</v>
      </c>
      <c r="G129" s="840">
        <f t="shared" si="72"/>
        <v>15.571513002364078</v>
      </c>
      <c r="H129" s="842">
        <f>+$B$253/B129</f>
        <v>1.7026830787483309</v>
      </c>
    </row>
    <row r="130" spans="1:8" ht="16.5" hidden="1" thickBot="1">
      <c r="A130" s="973" t="s">
        <v>476</v>
      </c>
      <c r="B130" s="748">
        <f>geral!K828</f>
        <v>342.56833333333333</v>
      </c>
      <c r="C130" s="748">
        <f t="shared" si="47"/>
        <v>268.47048066875658</v>
      </c>
      <c r="D130" s="750">
        <f t="shared" si="69"/>
        <v>5.1107917789585011</v>
      </c>
      <c r="E130" s="750">
        <f t="shared" si="70"/>
        <v>2.7705000000000091</v>
      </c>
      <c r="F130" s="751">
        <f t="shared" si="71"/>
        <v>9.0981953290870443</v>
      </c>
      <c r="G130" s="840">
        <f t="shared" si="72"/>
        <v>21.392038743208118</v>
      </c>
      <c r="H130" s="842">
        <f>+$B$253/B130</f>
        <v>1.6198936854447528</v>
      </c>
    </row>
    <row r="131" spans="1:8" ht="16.5" hidden="1" thickBot="1">
      <c r="A131" s="973" t="s">
        <v>477</v>
      </c>
      <c r="B131" s="748">
        <f>geral!K829</f>
        <v>342.56833333333333</v>
      </c>
      <c r="C131" s="748">
        <f t="shared" si="47"/>
        <v>268.47048066875658</v>
      </c>
      <c r="D131" s="750">
        <f t="shared" ref="D131:D136" si="73">100*((B131/B130)-1)</f>
        <v>0</v>
      </c>
      <c r="E131" s="750">
        <f t="shared" ref="E131:E136" si="74">100*((B131/$B$124)-1)</f>
        <v>2.7705000000000091</v>
      </c>
      <c r="F131" s="751">
        <f t="shared" ref="F131:F136" si="75">100*((B131/B119)-1)</f>
        <v>8.2364402317008931</v>
      </c>
      <c r="G131" s="840">
        <f t="shared" ref="G131:G136" si="76">100*(B131/B107-1)</f>
        <v>17.802040348463997</v>
      </c>
      <c r="H131" s="842">
        <f>+$B$253/B131</f>
        <v>1.6198936854447528</v>
      </c>
    </row>
    <row r="132" spans="1:8" ht="16.5" hidden="1" thickBot="1">
      <c r="A132" s="973" t="s">
        <v>478</v>
      </c>
      <c r="B132" s="748">
        <f>geral!K830</f>
        <v>344.12</v>
      </c>
      <c r="C132" s="748">
        <f t="shared" si="47"/>
        <v>269.68652037617557</v>
      </c>
      <c r="D132" s="750">
        <f t="shared" si="73"/>
        <v>0.45295099274598183</v>
      </c>
      <c r="E132" s="750">
        <f t="shared" si="74"/>
        <v>3.2360000000000166</v>
      </c>
      <c r="F132" s="751">
        <f t="shared" si="75"/>
        <v>7.3128137961143924</v>
      </c>
      <c r="G132" s="840">
        <f t="shared" si="76"/>
        <v>19.417004048582996</v>
      </c>
      <c r="H132" s="842">
        <f>+$B$253/B132</f>
        <v>1.6125894455422523</v>
      </c>
    </row>
    <row r="133" spans="1:8" ht="16.5" hidden="1" thickBot="1">
      <c r="A133" s="973" t="s">
        <v>479</v>
      </c>
      <c r="B133" s="748">
        <f>geral!K831</f>
        <v>344.12</v>
      </c>
      <c r="C133" s="748">
        <f t="shared" si="47"/>
        <v>269.68652037617557</v>
      </c>
      <c r="D133" s="750">
        <f t="shared" si="73"/>
        <v>0</v>
      </c>
      <c r="E133" s="750">
        <f t="shared" si="74"/>
        <v>3.2360000000000166</v>
      </c>
      <c r="F133" s="751">
        <f t="shared" si="75"/>
        <v>6.760152638600192</v>
      </c>
      <c r="G133" s="840">
        <f t="shared" si="76"/>
        <v>16.335361730899244</v>
      </c>
      <c r="H133" s="842">
        <f>+$B$253/B133</f>
        <v>1.6125894455422523</v>
      </c>
    </row>
    <row r="134" spans="1:8" ht="16.5" hidden="1" thickBot="1">
      <c r="A134" s="973" t="s">
        <v>480</v>
      </c>
      <c r="B134" s="748">
        <f>geral!K832</f>
        <v>344.12</v>
      </c>
      <c r="C134" s="748">
        <f t="shared" si="47"/>
        <v>269.68652037617557</v>
      </c>
      <c r="D134" s="750">
        <f t="shared" si="73"/>
        <v>0</v>
      </c>
      <c r="E134" s="750">
        <f t="shared" si="74"/>
        <v>3.2360000000000166</v>
      </c>
      <c r="F134" s="751">
        <f t="shared" si="75"/>
        <v>5.8830769230769242</v>
      </c>
      <c r="G134" s="840">
        <f t="shared" si="76"/>
        <v>16.650847457627126</v>
      </c>
      <c r="H134" s="842">
        <f>+$B$253/B134</f>
        <v>1.6125894455422523</v>
      </c>
    </row>
    <row r="135" spans="1:8" ht="16.5" hidden="1" thickBot="1">
      <c r="A135" s="973" t="s">
        <v>481</v>
      </c>
      <c r="B135" s="748">
        <f>geral!K833</f>
        <v>344.79</v>
      </c>
      <c r="C135" s="748">
        <f t="shared" si="47"/>
        <v>270.21159874608151</v>
      </c>
      <c r="D135" s="750">
        <f t="shared" si="73"/>
        <v>0.19469952342205943</v>
      </c>
      <c r="E135" s="750">
        <f t="shared" si="74"/>
        <v>3.4370000000000012</v>
      </c>
      <c r="F135" s="751">
        <f t="shared" si="75"/>
        <v>7.0776397515528</v>
      </c>
      <c r="G135" s="840">
        <f t="shared" si="76"/>
        <v>14.93</v>
      </c>
      <c r="H135" s="842">
        <f>+$B$253/B135</f>
        <v>1.6094558426868524</v>
      </c>
    </row>
    <row r="136" spans="1:8" ht="16.5" hidden="1" thickBot="1">
      <c r="A136" s="1015" t="s">
        <v>482</v>
      </c>
      <c r="B136" s="755">
        <f>geral!K834</f>
        <v>347.45833333333331</v>
      </c>
      <c r="C136" s="755">
        <f t="shared" si="47"/>
        <v>272.30276907001041</v>
      </c>
      <c r="D136" s="756">
        <f t="shared" si="73"/>
        <v>0.77390102187804288</v>
      </c>
      <c r="E136" s="756">
        <f t="shared" si="74"/>
        <v>4.2375000000000052</v>
      </c>
      <c r="F136" s="757">
        <f t="shared" si="75"/>
        <v>4.2375000000000052</v>
      </c>
      <c r="G136" s="841">
        <f t="shared" si="76"/>
        <v>14.862258953168039</v>
      </c>
      <c r="H136" s="922">
        <f>+$B$253/B136</f>
        <v>1.5970959011871924</v>
      </c>
    </row>
    <row r="137" spans="1:8" ht="16.5" customHeight="1">
      <c r="A137" s="1013" t="s">
        <v>483</v>
      </c>
      <c r="B137" s="852">
        <f>geral!M823</f>
        <v>350.75166666666672</v>
      </c>
      <c r="C137" s="852">
        <f t="shared" si="47"/>
        <v>274.88375130616515</v>
      </c>
      <c r="D137" s="967">
        <f t="shared" ref="D137:D142" si="77">100*((B137/B136)-1)</f>
        <v>0.94783547187913264</v>
      </c>
      <c r="E137" s="967">
        <f t="shared" ref="E137:E142" si="78">100*((B137/$B$135)-1)</f>
        <v>1.7290718021597762</v>
      </c>
      <c r="F137" s="968">
        <f t="shared" ref="F137:F142" si="79">100*((B137/B125)-1)</f>
        <v>5.2255000000000162</v>
      </c>
      <c r="G137" s="969">
        <f t="shared" ref="G137:G142" si="80">100*(B137/B113-1)</f>
        <v>16.142935982339978</v>
      </c>
      <c r="H137" s="856">
        <f>+$B$253/B137</f>
        <v>1.5821001943445261</v>
      </c>
    </row>
    <row r="138" spans="1:8" ht="16.5" customHeight="1">
      <c r="A138" s="1014" t="s">
        <v>484</v>
      </c>
      <c r="B138" s="857">
        <f>geral!M824</f>
        <v>350.75166666666672</v>
      </c>
      <c r="C138" s="857">
        <f t="shared" si="47"/>
        <v>274.88375130616515</v>
      </c>
      <c r="D138" s="961">
        <f t="shared" si="77"/>
        <v>0</v>
      </c>
      <c r="E138" s="961">
        <f t="shared" si="78"/>
        <v>1.7290718021597762</v>
      </c>
      <c r="F138" s="965">
        <f t="shared" si="79"/>
        <v>6.3958543983822169</v>
      </c>
      <c r="G138" s="966">
        <f t="shared" si="80"/>
        <v>15.000546448087459</v>
      </c>
      <c r="H138" s="861">
        <f>+$B$253/B138</f>
        <v>1.5821001943445261</v>
      </c>
    </row>
    <row r="139" spans="1:8" ht="16.5" customHeight="1">
      <c r="A139" s="1014" t="s">
        <v>485</v>
      </c>
      <c r="B139" s="857">
        <f>geral!M825</f>
        <v>350.75166666666672</v>
      </c>
      <c r="C139" s="857">
        <f t="shared" si="47"/>
        <v>274.88375130616515</v>
      </c>
      <c r="D139" s="961">
        <f t="shared" si="77"/>
        <v>0</v>
      </c>
      <c r="E139" s="961">
        <f t="shared" si="78"/>
        <v>1.7290718021597762</v>
      </c>
      <c r="F139" s="965">
        <f t="shared" si="79"/>
        <v>7.4277692700357445</v>
      </c>
      <c r="G139" s="966">
        <f t="shared" si="80"/>
        <v>13.511866235167226</v>
      </c>
      <c r="H139" s="861">
        <f t="shared" ref="H139:H202" si="81">+$B$253/B139</f>
        <v>1.5821001943445261</v>
      </c>
    </row>
    <row r="140" spans="1:8" ht="16.5" customHeight="1">
      <c r="A140" s="1014" t="s">
        <v>486</v>
      </c>
      <c r="B140" s="857">
        <f>geral!M826</f>
        <v>350.75166666666672</v>
      </c>
      <c r="C140" s="857">
        <f t="shared" si="47"/>
        <v>274.88375130616515</v>
      </c>
      <c r="D140" s="961">
        <f t="shared" si="77"/>
        <v>0</v>
      </c>
      <c r="E140" s="961">
        <f t="shared" si="78"/>
        <v>1.7290718021597762</v>
      </c>
      <c r="F140" s="965">
        <f t="shared" si="79"/>
        <v>10.867549599098126</v>
      </c>
      <c r="G140" s="966">
        <f t="shared" si="80"/>
        <v>13.511866235167226</v>
      </c>
      <c r="H140" s="861">
        <f t="shared" si="81"/>
        <v>1.5821001943445261</v>
      </c>
    </row>
    <row r="141" spans="1:8" ht="16.5" customHeight="1">
      <c r="A141" s="1014" t="s">
        <v>487</v>
      </c>
      <c r="B141" s="857">
        <f>geral!M827</f>
        <v>350.75166666666672</v>
      </c>
      <c r="C141" s="857">
        <f t="shared" si="47"/>
        <v>274.88375130616515</v>
      </c>
      <c r="D141" s="961">
        <f t="shared" si="77"/>
        <v>0</v>
      </c>
      <c r="E141" s="961">
        <f t="shared" si="78"/>
        <v>1.7290718021597762</v>
      </c>
      <c r="F141" s="965">
        <f t="shared" si="79"/>
        <v>7.6216970856111343</v>
      </c>
      <c r="G141" s="966">
        <f t="shared" si="80"/>
        <v>12.781886387995733</v>
      </c>
      <c r="H141" s="861">
        <f t="shared" si="81"/>
        <v>1.5821001943445261</v>
      </c>
    </row>
    <row r="142" spans="1:8" ht="16.5" customHeight="1">
      <c r="A142" s="1014" t="s">
        <v>488</v>
      </c>
      <c r="B142" s="857">
        <f>geral!M828</f>
        <v>350.75166666666672</v>
      </c>
      <c r="C142" s="857">
        <f t="shared" si="47"/>
        <v>274.88375130616515</v>
      </c>
      <c r="D142" s="961">
        <f t="shared" si="77"/>
        <v>0</v>
      </c>
      <c r="E142" s="961">
        <f t="shared" si="78"/>
        <v>1.7290718021597762</v>
      </c>
      <c r="F142" s="965">
        <f t="shared" si="79"/>
        <v>2.3888178027741569</v>
      </c>
      <c r="G142" s="966">
        <f t="shared" si="80"/>
        <v>11.704352441613608</v>
      </c>
      <c r="H142" s="861">
        <f t="shared" si="81"/>
        <v>1.5821001943445261</v>
      </c>
    </row>
    <row r="143" spans="1:8" ht="16.5" customHeight="1">
      <c r="A143" s="1014" t="s">
        <v>489</v>
      </c>
      <c r="B143" s="857">
        <f>geral!M829</f>
        <v>350.75166666666672</v>
      </c>
      <c r="C143" s="857">
        <f t="shared" si="47"/>
        <v>274.88375130616515</v>
      </c>
      <c r="D143" s="961">
        <f t="shared" ref="D143:D148" si="82">100*((B143/B142)-1)</f>
        <v>0</v>
      </c>
      <c r="E143" s="961">
        <f t="shared" ref="E143:E148" si="83">100*((B143/$B$135)-1)</f>
        <v>1.7290718021597762</v>
      </c>
      <c r="F143" s="965">
        <f t="shared" ref="F143:F148" si="84">100*((B143/B131)-1)</f>
        <v>2.3888178027741569</v>
      </c>
      <c r="G143" s="966">
        <f t="shared" ref="G143:G148" si="85">100*(B143/B119-1)</f>
        <v>10.822011585044788</v>
      </c>
      <c r="H143" s="861">
        <f t="shared" si="81"/>
        <v>1.5821001943445261</v>
      </c>
    </row>
    <row r="144" spans="1:8" ht="16.5" customHeight="1">
      <c r="A144" s="1014" t="s">
        <v>490</v>
      </c>
      <c r="B144" s="857">
        <f>geral!M830</f>
        <v>350.75166666666672</v>
      </c>
      <c r="C144" s="857">
        <f t="shared" si="47"/>
        <v>274.88375130616515</v>
      </c>
      <c r="D144" s="961">
        <f t="shared" si="82"/>
        <v>0</v>
      </c>
      <c r="E144" s="961">
        <f t="shared" si="83"/>
        <v>1.7290718021597762</v>
      </c>
      <c r="F144" s="965">
        <f t="shared" si="84"/>
        <v>1.9271378201402678</v>
      </c>
      <c r="G144" s="966">
        <f t="shared" si="85"/>
        <v>9.3808796166360064</v>
      </c>
      <c r="H144" s="861">
        <f t="shared" si="81"/>
        <v>1.5821001943445261</v>
      </c>
    </row>
    <row r="145" spans="1:8" ht="16.5" customHeight="1">
      <c r="A145" s="1014" t="s">
        <v>491</v>
      </c>
      <c r="B145" s="857">
        <f>geral!M831</f>
        <v>375.375</v>
      </c>
      <c r="C145" s="857">
        <f t="shared" si="47"/>
        <v>294.18103448275866</v>
      </c>
      <c r="D145" s="961">
        <f t="shared" si="82"/>
        <v>7.0201614627632969</v>
      </c>
      <c r="E145" s="961">
        <f t="shared" si="83"/>
        <v>8.8706168972418009</v>
      </c>
      <c r="F145" s="965">
        <f t="shared" si="84"/>
        <v>9.0825874694873789</v>
      </c>
      <c r="G145" s="966">
        <f t="shared" si="85"/>
        <v>16.456736884559309</v>
      </c>
      <c r="H145" s="861">
        <f t="shared" si="81"/>
        <v>1.4783197602397598</v>
      </c>
    </row>
    <row r="146" spans="1:8" ht="16.5" customHeight="1">
      <c r="A146" s="1014" t="s">
        <v>492</v>
      </c>
      <c r="B146" s="857">
        <f>geral!M832</f>
        <v>377.04166666666669</v>
      </c>
      <c r="C146" s="857">
        <f t="shared" si="47"/>
        <v>295.48719958202724</v>
      </c>
      <c r="D146" s="961">
        <f t="shared" si="82"/>
        <v>0.44400044400045857</v>
      </c>
      <c r="E146" s="961">
        <f t="shared" si="83"/>
        <v>9.3540029196515828</v>
      </c>
      <c r="F146" s="965">
        <f t="shared" si="84"/>
        <v>9.5669146421790927</v>
      </c>
      <c r="G146" s="966">
        <f t="shared" si="85"/>
        <v>16.012820512820515</v>
      </c>
      <c r="H146" s="861">
        <f t="shared" si="81"/>
        <v>1.471785028179909</v>
      </c>
    </row>
    <row r="147" spans="1:8" ht="16.5" customHeight="1">
      <c r="A147" s="1014" t="s">
        <v>493</v>
      </c>
      <c r="B147" s="857">
        <f>geral!M833</f>
        <v>385.5</v>
      </c>
      <c r="C147" s="857">
        <f t="shared" si="47"/>
        <v>302.11598746081506</v>
      </c>
      <c r="D147" s="961">
        <f t="shared" si="82"/>
        <v>2.2433418057243859</v>
      </c>
      <c r="E147" s="961">
        <f t="shared" si="83"/>
        <v>11.80718698338119</v>
      </c>
      <c r="F147" s="965">
        <f t="shared" si="84"/>
        <v>11.80718698338119</v>
      </c>
      <c r="G147" s="966">
        <f t="shared" si="85"/>
        <v>19.720496894409933</v>
      </c>
      <c r="H147" s="861">
        <f t="shared" si="81"/>
        <v>1.4394922957198439</v>
      </c>
    </row>
    <row r="148" spans="1:8" ht="16.5" customHeight="1">
      <c r="A148" s="1014" t="s">
        <v>494</v>
      </c>
      <c r="B148" s="857">
        <f>geral!M834</f>
        <v>385.5</v>
      </c>
      <c r="C148" s="857">
        <f t="shared" si="47"/>
        <v>302.11598746081506</v>
      </c>
      <c r="D148" s="961">
        <f t="shared" si="82"/>
        <v>0</v>
      </c>
      <c r="E148" s="961">
        <f t="shared" si="83"/>
        <v>11.80718698338119</v>
      </c>
      <c r="F148" s="965">
        <f t="shared" si="84"/>
        <v>10.948554982611824</v>
      </c>
      <c r="G148" s="966">
        <f t="shared" si="85"/>
        <v>15.650000000000009</v>
      </c>
      <c r="H148" s="861">
        <f t="shared" si="81"/>
        <v>1.4394922957198439</v>
      </c>
    </row>
    <row r="149" spans="1:8" ht="16.5" customHeight="1">
      <c r="A149" s="1014" t="s">
        <v>495</v>
      </c>
      <c r="B149" s="857">
        <f>geral!C838</f>
        <v>385.5</v>
      </c>
      <c r="C149" s="857">
        <f t="shared" ref="C149:C154" si="86">100*B149/$B$8</f>
        <v>302.11598746081506</v>
      </c>
      <c r="D149" s="961">
        <f t="shared" ref="D149:D154" si="87">100*((B149/B148)-1)</f>
        <v>0</v>
      </c>
      <c r="E149" s="961">
        <f t="shared" ref="E149:E154" si="88">100*((B149/$B$148)-1)</f>
        <v>0</v>
      </c>
      <c r="F149" s="965">
        <f t="shared" ref="F149:F154" si="89">100*((B149/B137)-1)</f>
        <v>9.9068191645561132</v>
      </c>
      <c r="G149" s="966">
        <f t="shared" ref="G149:G154" si="90">100*(B149/B125-1)</f>
        <v>15.650000000000009</v>
      </c>
      <c r="H149" s="861">
        <f t="shared" si="81"/>
        <v>1.4394922957198439</v>
      </c>
    </row>
    <row r="150" spans="1:8" ht="16.5" customHeight="1">
      <c r="A150" s="1014" t="s">
        <v>496</v>
      </c>
      <c r="B150" s="857">
        <f>geral!C839</f>
        <v>385.5</v>
      </c>
      <c r="C150" s="857">
        <f t="shared" si="86"/>
        <v>302.11598746081506</v>
      </c>
      <c r="D150" s="961">
        <f t="shared" si="87"/>
        <v>0</v>
      </c>
      <c r="E150" s="961">
        <f t="shared" si="88"/>
        <v>0</v>
      </c>
      <c r="F150" s="965">
        <f t="shared" si="89"/>
        <v>9.9068191645561132</v>
      </c>
      <c r="G150" s="966">
        <f t="shared" si="90"/>
        <v>16.93629929221434</v>
      </c>
      <c r="H150" s="861">
        <f t="shared" si="81"/>
        <v>1.4394922957198439</v>
      </c>
    </row>
    <row r="151" spans="1:8" ht="16.5" customHeight="1">
      <c r="A151" s="1014" t="s">
        <v>497</v>
      </c>
      <c r="B151" s="857">
        <f>geral!C840</f>
        <v>397</v>
      </c>
      <c r="C151" s="857">
        <f t="shared" si="86"/>
        <v>311.12852664576803</v>
      </c>
      <c r="D151" s="961">
        <f t="shared" si="87"/>
        <v>2.9831387808041399</v>
      </c>
      <c r="E151" s="961">
        <f t="shared" si="88"/>
        <v>2.9831387808041399</v>
      </c>
      <c r="F151" s="965">
        <f t="shared" si="89"/>
        <v>13.185492109802265</v>
      </c>
      <c r="G151" s="966">
        <f t="shared" si="90"/>
        <v>21.592649310872901</v>
      </c>
      <c r="H151" s="861">
        <f t="shared" si="81"/>
        <v>1.3977941561712843</v>
      </c>
    </row>
    <row r="152" spans="1:8" ht="16.5" customHeight="1">
      <c r="A152" s="1014" t="s">
        <v>498</v>
      </c>
      <c r="B152" s="857">
        <f>geral!C841</f>
        <v>397</v>
      </c>
      <c r="C152" s="857">
        <f t="shared" si="86"/>
        <v>311.12852664576803</v>
      </c>
      <c r="D152" s="961">
        <f t="shared" si="87"/>
        <v>0</v>
      </c>
      <c r="E152" s="961">
        <f t="shared" si="88"/>
        <v>2.9831387808041399</v>
      </c>
      <c r="F152" s="965">
        <f t="shared" si="89"/>
        <v>13.185492109802265</v>
      </c>
      <c r="G152" s="966">
        <f t="shared" si="90"/>
        <v>25.48598160381832</v>
      </c>
      <c r="H152" s="861">
        <f t="shared" si="81"/>
        <v>1.3977941561712843</v>
      </c>
    </row>
    <row r="153" spans="1:8" ht="16.5" customHeight="1">
      <c r="A153" s="1014" t="s">
        <v>499</v>
      </c>
      <c r="B153" s="857">
        <f>geral!C842</f>
        <v>397</v>
      </c>
      <c r="C153" s="857">
        <f t="shared" si="86"/>
        <v>311.12852664576803</v>
      </c>
      <c r="D153" s="961">
        <f t="shared" si="87"/>
        <v>0</v>
      </c>
      <c r="E153" s="961">
        <f t="shared" si="88"/>
        <v>2.9831387808041399</v>
      </c>
      <c r="F153" s="965">
        <f t="shared" si="89"/>
        <v>13.185492109802265</v>
      </c>
      <c r="G153" s="966">
        <f t="shared" si="90"/>
        <v>21.812147463269692</v>
      </c>
      <c r="H153" s="861">
        <f t="shared" si="81"/>
        <v>1.3977941561712843</v>
      </c>
    </row>
    <row r="154" spans="1:8" ht="16.5" customHeight="1">
      <c r="A154" s="1014" t="s">
        <v>500</v>
      </c>
      <c r="B154" s="857">
        <f>geral!C843</f>
        <v>397</v>
      </c>
      <c r="C154" s="857">
        <f t="shared" si="86"/>
        <v>311.12852664576803</v>
      </c>
      <c r="D154" s="961">
        <f t="shared" si="87"/>
        <v>0</v>
      </c>
      <c r="E154" s="961">
        <f t="shared" si="88"/>
        <v>2.9831387808041399</v>
      </c>
      <c r="F154" s="965">
        <f t="shared" si="89"/>
        <v>13.185492109802265</v>
      </c>
      <c r="G154" s="966">
        <f t="shared" si="90"/>
        <v>15.889287295478759</v>
      </c>
      <c r="H154" s="861">
        <f t="shared" si="81"/>
        <v>1.3977941561712843</v>
      </c>
    </row>
    <row r="155" spans="1:8" ht="16.5" customHeight="1">
      <c r="A155" s="1014" t="s">
        <v>501</v>
      </c>
      <c r="B155" s="857">
        <f>geral!C844</f>
        <v>485.47500000000002</v>
      </c>
      <c r="C155" s="857">
        <f t="shared" ref="C155:C160" si="91">100*B155/$B$8</f>
        <v>380.46630094043888</v>
      </c>
      <c r="D155" s="961">
        <f t="shared" ref="D155:D160" si="92">100*((B155/B154)-1)</f>
        <v>22.285894206549116</v>
      </c>
      <c r="E155" s="961">
        <f t="shared" ref="E155:E160" si="93">100*((B155/$B$148)-1)</f>
        <v>25.933852140077818</v>
      </c>
      <c r="F155" s="965">
        <f t="shared" ref="F155:F160" si="94">100*((B155/B143)-1)</f>
        <v>38.409891138554798</v>
      </c>
      <c r="G155" s="966">
        <f t="shared" ref="G155:G160" si="95">100*(B155/B131-1)</f>
        <v>41.71625125887293</v>
      </c>
      <c r="H155" s="861">
        <f t="shared" si="81"/>
        <v>1.143054287038467</v>
      </c>
    </row>
    <row r="156" spans="1:8" ht="16.5" customHeight="1">
      <c r="A156" s="1014" t="s">
        <v>502</v>
      </c>
      <c r="B156" s="857">
        <f>geral!C845</f>
        <v>485.47500000000002</v>
      </c>
      <c r="C156" s="857">
        <f t="shared" si="91"/>
        <v>380.46630094043888</v>
      </c>
      <c r="D156" s="961">
        <f t="shared" si="92"/>
        <v>0</v>
      </c>
      <c r="E156" s="961">
        <f t="shared" si="93"/>
        <v>25.933852140077818</v>
      </c>
      <c r="F156" s="965">
        <f t="shared" si="94"/>
        <v>38.409891138554798</v>
      </c>
      <c r="G156" s="966">
        <f t="shared" si="95"/>
        <v>41.077240497500881</v>
      </c>
      <c r="H156" s="861">
        <f t="shared" si="81"/>
        <v>1.143054287038467</v>
      </c>
    </row>
    <row r="157" spans="1:8" ht="16.5" customHeight="1">
      <c r="A157" s="1014" t="s">
        <v>503</v>
      </c>
      <c r="B157" s="857">
        <f>geral!C846</f>
        <v>485.47500000000002</v>
      </c>
      <c r="C157" s="857">
        <f t="shared" si="91"/>
        <v>380.46630094043888</v>
      </c>
      <c r="D157" s="961">
        <f t="shared" si="92"/>
        <v>0</v>
      </c>
      <c r="E157" s="961">
        <f t="shared" si="93"/>
        <v>25.933852140077818</v>
      </c>
      <c r="F157" s="965">
        <f t="shared" si="94"/>
        <v>29.330669330669345</v>
      </c>
      <c r="G157" s="966">
        <f t="shared" si="95"/>
        <v>41.077240497500881</v>
      </c>
      <c r="H157" s="861">
        <f t="shared" si="81"/>
        <v>1.143054287038467</v>
      </c>
    </row>
    <row r="158" spans="1:8" ht="16.5" customHeight="1">
      <c r="A158" s="1014" t="s">
        <v>504</v>
      </c>
      <c r="B158" s="857">
        <f>geral!C847</f>
        <v>485.47500000000002</v>
      </c>
      <c r="C158" s="857">
        <f t="shared" si="91"/>
        <v>380.46630094043888</v>
      </c>
      <c r="D158" s="961">
        <f t="shared" si="92"/>
        <v>0</v>
      </c>
      <c r="E158" s="961">
        <f t="shared" si="93"/>
        <v>25.933852140077818</v>
      </c>
      <c r="F158" s="965">
        <f t="shared" si="94"/>
        <v>28.758978892695318</v>
      </c>
      <c r="G158" s="966">
        <f t="shared" si="95"/>
        <v>41.077240497500881</v>
      </c>
      <c r="H158" s="861">
        <f t="shared" si="81"/>
        <v>1.143054287038467</v>
      </c>
    </row>
    <row r="159" spans="1:8" ht="16.5" customHeight="1">
      <c r="A159" s="1014" t="s">
        <v>505</v>
      </c>
      <c r="B159" s="857">
        <f>geral!C848</f>
        <v>485.47500000000002</v>
      </c>
      <c r="C159" s="857">
        <f t="shared" si="91"/>
        <v>380.46630094043888</v>
      </c>
      <c r="D159" s="961">
        <f t="shared" si="92"/>
        <v>0</v>
      </c>
      <c r="E159" s="961">
        <f t="shared" si="93"/>
        <v>25.933852140077818</v>
      </c>
      <c r="F159" s="965">
        <f t="shared" si="94"/>
        <v>25.933852140077818</v>
      </c>
      <c r="G159" s="966">
        <f t="shared" si="95"/>
        <v>40.803097537631608</v>
      </c>
      <c r="H159" s="861">
        <f t="shared" si="81"/>
        <v>1.143054287038467</v>
      </c>
    </row>
    <row r="160" spans="1:8" ht="16.5" customHeight="1">
      <c r="A160" s="1014" t="s">
        <v>506</v>
      </c>
      <c r="B160" s="857">
        <f>geral!C849</f>
        <v>485.47500000000002</v>
      </c>
      <c r="C160" s="857">
        <f t="shared" si="91"/>
        <v>380.46630094043888</v>
      </c>
      <c r="D160" s="961">
        <f t="shared" si="92"/>
        <v>0</v>
      </c>
      <c r="E160" s="961">
        <f t="shared" si="93"/>
        <v>25.933852140077818</v>
      </c>
      <c r="F160" s="965">
        <f t="shared" si="94"/>
        <v>25.933852140077818</v>
      </c>
      <c r="G160" s="966">
        <f t="shared" si="95"/>
        <v>39.721789183355341</v>
      </c>
      <c r="H160" s="861">
        <f t="shared" si="81"/>
        <v>1.143054287038467</v>
      </c>
    </row>
    <row r="161" spans="1:8" ht="16.5" customHeight="1">
      <c r="A161" s="1014" t="s">
        <v>507</v>
      </c>
      <c r="B161" s="857">
        <f>geral!E838</f>
        <v>484.98333333333335</v>
      </c>
      <c r="C161" s="857">
        <f t="shared" ref="C161:C166" si="96">100*B161/$B$8</f>
        <v>380.08098223615468</v>
      </c>
      <c r="D161" s="961">
        <f t="shared" ref="D161:D166" si="97">100*((B161/B160)-1)</f>
        <v>-0.10127538321574869</v>
      </c>
      <c r="E161" s="961">
        <f t="shared" ref="E161:E166" si="98">100*((B161/$B$160)-1)</f>
        <v>-0.10127538321574869</v>
      </c>
      <c r="F161" s="965">
        <f t="shared" ref="F161:F166" si="99">100*((B161/B149)-1)</f>
        <v>25.806312148724597</v>
      </c>
      <c r="G161" s="966">
        <f t="shared" ref="G161:G166" si="100">100*(B161/B137-1)</f>
        <v>38.269715990895726</v>
      </c>
      <c r="H161" s="861">
        <f t="shared" si="81"/>
        <v>1.144213093233444</v>
      </c>
    </row>
    <row r="162" spans="1:8" ht="16.5" customHeight="1">
      <c r="A162" s="1014" t="s">
        <v>508</v>
      </c>
      <c r="B162" s="857">
        <f>geral!E839</f>
        <v>484.98333333333335</v>
      </c>
      <c r="C162" s="857">
        <f t="shared" si="96"/>
        <v>380.08098223615468</v>
      </c>
      <c r="D162" s="961">
        <f t="shared" si="97"/>
        <v>0</v>
      </c>
      <c r="E162" s="961">
        <f t="shared" si="98"/>
        <v>-0.10127538321574869</v>
      </c>
      <c r="F162" s="965">
        <f t="shared" si="99"/>
        <v>25.806312148724597</v>
      </c>
      <c r="G162" s="966">
        <f t="shared" si="100"/>
        <v>38.269715990895726</v>
      </c>
      <c r="H162" s="861">
        <f t="shared" si="81"/>
        <v>1.144213093233444</v>
      </c>
    </row>
    <row r="163" spans="1:8" ht="16.5" customHeight="1">
      <c r="A163" s="1014" t="s">
        <v>509</v>
      </c>
      <c r="B163" s="857">
        <f>geral!E840</f>
        <v>484.98333333333335</v>
      </c>
      <c r="C163" s="857">
        <f t="shared" si="96"/>
        <v>380.08098223615468</v>
      </c>
      <c r="D163" s="961">
        <f t="shared" si="97"/>
        <v>0</v>
      </c>
      <c r="E163" s="961">
        <f t="shared" si="98"/>
        <v>-0.10127538321574869</v>
      </c>
      <c r="F163" s="965">
        <f t="shared" si="99"/>
        <v>22.162048698572633</v>
      </c>
      <c r="G163" s="966">
        <f t="shared" si="100"/>
        <v>38.269715990895726</v>
      </c>
      <c r="H163" s="861">
        <f t="shared" si="81"/>
        <v>1.144213093233444</v>
      </c>
    </row>
    <row r="164" spans="1:8" ht="16.5" customHeight="1">
      <c r="A164" s="1014" t="s">
        <v>510</v>
      </c>
      <c r="B164" s="857">
        <f>geral!E841</f>
        <v>484.98333333333335</v>
      </c>
      <c r="C164" s="857">
        <f t="shared" si="96"/>
        <v>380.08098223615468</v>
      </c>
      <c r="D164" s="961">
        <f t="shared" si="97"/>
        <v>0</v>
      </c>
      <c r="E164" s="961">
        <f t="shared" si="98"/>
        <v>-0.10127538321574869</v>
      </c>
      <c r="F164" s="965">
        <f t="shared" si="99"/>
        <v>22.162048698572633</v>
      </c>
      <c r="G164" s="966">
        <f t="shared" si="100"/>
        <v>38.269715990895726</v>
      </c>
      <c r="H164" s="861">
        <f t="shared" si="81"/>
        <v>1.144213093233444</v>
      </c>
    </row>
    <row r="165" spans="1:8" ht="16.5" customHeight="1">
      <c r="A165" s="1014" t="s">
        <v>511</v>
      </c>
      <c r="B165" s="857">
        <f>geral!E842</f>
        <v>486.66666666666669</v>
      </c>
      <c r="C165" s="857">
        <f t="shared" si="96"/>
        <v>381.40020898641592</v>
      </c>
      <c r="D165" s="961">
        <f t="shared" si="97"/>
        <v>0.34709096532528072</v>
      </c>
      <c r="E165" s="961">
        <f t="shared" si="98"/>
        <v>0.24546406440426605</v>
      </c>
      <c r="F165" s="965">
        <f t="shared" si="99"/>
        <v>22.586062132661631</v>
      </c>
      <c r="G165" s="966">
        <f t="shared" si="100"/>
        <v>38.749637682881044</v>
      </c>
      <c r="H165" s="861">
        <f t="shared" si="81"/>
        <v>1.1402553698630133</v>
      </c>
    </row>
    <row r="166" spans="1:8" ht="16.5" customHeight="1">
      <c r="A166" s="1014" t="s">
        <v>512</v>
      </c>
      <c r="B166" s="857">
        <f>geral!E843</f>
        <v>486.66666666666669</v>
      </c>
      <c r="C166" s="857">
        <f t="shared" si="96"/>
        <v>381.40020898641592</v>
      </c>
      <c r="D166" s="961">
        <f t="shared" si="97"/>
        <v>0</v>
      </c>
      <c r="E166" s="961">
        <f t="shared" si="98"/>
        <v>0.24546406440426605</v>
      </c>
      <c r="F166" s="965">
        <f t="shared" si="99"/>
        <v>22.586062132661631</v>
      </c>
      <c r="G166" s="966">
        <f t="shared" si="100"/>
        <v>38.749637682881044</v>
      </c>
      <c r="H166" s="861">
        <f t="shared" si="81"/>
        <v>1.1402553698630133</v>
      </c>
    </row>
    <row r="167" spans="1:8" ht="16.5" customHeight="1">
      <c r="A167" s="1014" t="s">
        <v>513</v>
      </c>
      <c r="B167" s="857">
        <f>geral!E844</f>
        <v>486.66666666666669</v>
      </c>
      <c r="C167" s="857">
        <f t="shared" ref="C167:C172" si="101">100*B167/$B$8</f>
        <v>381.40020898641592</v>
      </c>
      <c r="D167" s="961">
        <f t="shared" ref="D167:D172" si="102">100*((B167/B166)-1)</f>
        <v>0</v>
      </c>
      <c r="E167" s="961">
        <f t="shared" ref="E167:E172" si="103">100*((B167/$B$160)-1)</f>
        <v>0.24546406440426605</v>
      </c>
      <c r="F167" s="965">
        <f t="shared" ref="F167:F172" si="104">100*((B167/B155)-1)</f>
        <v>0.24546406440426605</v>
      </c>
      <c r="G167" s="966">
        <f t="shared" ref="G167:G172" si="105">100*(B167/B143-1)</f>
        <v>38.749637682881044</v>
      </c>
      <c r="H167" s="861">
        <f t="shared" si="81"/>
        <v>1.1402553698630133</v>
      </c>
    </row>
    <row r="168" spans="1:8" ht="16.5" customHeight="1">
      <c r="A168" s="1014" t="s">
        <v>514</v>
      </c>
      <c r="B168" s="857">
        <f>geral!E845</f>
        <v>486.66666666666669</v>
      </c>
      <c r="C168" s="857">
        <f t="shared" si="101"/>
        <v>381.40020898641592</v>
      </c>
      <c r="D168" s="961">
        <f t="shared" si="102"/>
        <v>0</v>
      </c>
      <c r="E168" s="961">
        <f t="shared" si="103"/>
        <v>0.24546406440426605</v>
      </c>
      <c r="F168" s="965">
        <f t="shared" si="104"/>
        <v>0.24546406440426605</v>
      </c>
      <c r="G168" s="966">
        <f t="shared" si="105"/>
        <v>38.749637682881044</v>
      </c>
      <c r="H168" s="861">
        <f t="shared" si="81"/>
        <v>1.1402553698630133</v>
      </c>
    </row>
    <row r="169" spans="1:8" ht="16.5" customHeight="1">
      <c r="A169" s="1014" t="s">
        <v>515</v>
      </c>
      <c r="B169" s="857">
        <f>geral!E846</f>
        <v>486.66666666666669</v>
      </c>
      <c r="C169" s="857">
        <f t="shared" si="101"/>
        <v>381.40020898641592</v>
      </c>
      <c r="D169" s="961">
        <f t="shared" si="102"/>
        <v>0</v>
      </c>
      <c r="E169" s="961">
        <f t="shared" si="103"/>
        <v>0.24546406440426605</v>
      </c>
      <c r="F169" s="965">
        <f t="shared" si="104"/>
        <v>0.24546406440426605</v>
      </c>
      <c r="G169" s="966">
        <f t="shared" si="105"/>
        <v>29.648129648129661</v>
      </c>
      <c r="H169" s="861">
        <f t="shared" si="81"/>
        <v>1.1402553698630133</v>
      </c>
    </row>
    <row r="170" spans="1:8" ht="16.5" customHeight="1">
      <c r="A170" s="1014" t="s">
        <v>516</v>
      </c>
      <c r="B170" s="857">
        <f>geral!E847</f>
        <v>486.66666666666669</v>
      </c>
      <c r="C170" s="857">
        <f t="shared" si="101"/>
        <v>381.40020898641592</v>
      </c>
      <c r="D170" s="961">
        <f t="shared" si="102"/>
        <v>0</v>
      </c>
      <c r="E170" s="961">
        <f t="shared" si="103"/>
        <v>0.24546406440426605</v>
      </c>
      <c r="F170" s="965">
        <f t="shared" si="104"/>
        <v>0.24546406440426605</v>
      </c>
      <c r="G170" s="966">
        <f t="shared" si="105"/>
        <v>29.07503591557079</v>
      </c>
      <c r="H170" s="861">
        <f t="shared" si="81"/>
        <v>1.1402553698630133</v>
      </c>
    </row>
    <row r="171" spans="1:8" ht="16.5" customHeight="1">
      <c r="A171" s="1014" t="s">
        <v>517</v>
      </c>
      <c r="B171" s="857">
        <f>geral!E848</f>
        <v>486.66666666666669</v>
      </c>
      <c r="C171" s="857">
        <f t="shared" si="101"/>
        <v>381.40020898641592</v>
      </c>
      <c r="D171" s="961">
        <f t="shared" si="102"/>
        <v>0</v>
      </c>
      <c r="E171" s="961">
        <f t="shared" si="103"/>
        <v>0.24546406440426605</v>
      </c>
      <c r="F171" s="965">
        <f t="shared" si="104"/>
        <v>0.24546406440426605</v>
      </c>
      <c r="G171" s="966">
        <f t="shared" si="105"/>
        <v>26.242974492001725</v>
      </c>
      <c r="H171" s="861">
        <f t="shared" si="81"/>
        <v>1.1402553698630133</v>
      </c>
    </row>
    <row r="172" spans="1:8" ht="16.5" customHeight="1">
      <c r="A172" s="1014" t="s">
        <v>518</v>
      </c>
      <c r="B172" s="857">
        <f>geral!E849</f>
        <v>493</v>
      </c>
      <c r="C172" s="857">
        <f t="shared" si="101"/>
        <v>386.36363636363637</v>
      </c>
      <c r="D172" s="961">
        <f t="shared" si="102"/>
        <v>1.3013698630137016</v>
      </c>
      <c r="E172" s="961">
        <f t="shared" si="103"/>
        <v>1.5500283227766642</v>
      </c>
      <c r="F172" s="965">
        <f t="shared" si="104"/>
        <v>1.5500283227766642</v>
      </c>
      <c r="G172" s="966">
        <f t="shared" si="105"/>
        <v>27.885862516212701</v>
      </c>
      <c r="H172" s="861">
        <f t="shared" si="81"/>
        <v>1.1256070588235292</v>
      </c>
    </row>
    <row r="173" spans="1:8" ht="16.5" customHeight="1">
      <c r="A173" s="1014" t="s">
        <v>519</v>
      </c>
      <c r="B173" s="857">
        <f>geral!G838</f>
        <v>493</v>
      </c>
      <c r="C173" s="857">
        <f t="shared" ref="C173:C178" si="106">100*B173/$B$8</f>
        <v>386.36363636363637</v>
      </c>
      <c r="D173" s="961">
        <f t="shared" ref="D173:D178" si="107">100*((B173/B172)-1)</f>
        <v>0</v>
      </c>
      <c r="E173" s="961">
        <f t="shared" ref="E173:E178" si="108">100*((B173/$B$172)-1)</f>
        <v>0</v>
      </c>
      <c r="F173" s="965">
        <f t="shared" ref="F173:F178" si="109">100*((B173/B161)-1)</f>
        <v>1.6529777655589495</v>
      </c>
      <c r="G173" s="966">
        <f t="shared" ref="G173:G178" si="110">100*(B173/B149-1)</f>
        <v>27.885862516212701</v>
      </c>
      <c r="H173" s="861">
        <f t="shared" si="81"/>
        <v>1.1256070588235292</v>
      </c>
    </row>
    <row r="174" spans="1:8" ht="16.5" customHeight="1">
      <c r="A174" s="1014" t="s">
        <v>520</v>
      </c>
      <c r="B174" s="857">
        <f>geral!G839</f>
        <v>493</v>
      </c>
      <c r="C174" s="857">
        <f t="shared" si="106"/>
        <v>386.36363636363637</v>
      </c>
      <c r="D174" s="961">
        <f t="shared" si="107"/>
        <v>0</v>
      </c>
      <c r="E174" s="961">
        <f t="shared" si="108"/>
        <v>0</v>
      </c>
      <c r="F174" s="965">
        <f t="shared" si="109"/>
        <v>1.6529777655589495</v>
      </c>
      <c r="G174" s="966">
        <f t="shared" si="110"/>
        <v>27.885862516212701</v>
      </c>
      <c r="H174" s="861">
        <f t="shared" si="81"/>
        <v>1.1256070588235292</v>
      </c>
    </row>
    <row r="175" spans="1:8" ht="16.5" customHeight="1">
      <c r="A175" s="1014" t="s">
        <v>521</v>
      </c>
      <c r="B175" s="857">
        <f>geral!G840</f>
        <v>493</v>
      </c>
      <c r="C175" s="857">
        <f t="shared" si="106"/>
        <v>386.36363636363637</v>
      </c>
      <c r="D175" s="961">
        <f t="shared" si="107"/>
        <v>0</v>
      </c>
      <c r="E175" s="961">
        <f t="shared" si="108"/>
        <v>0</v>
      </c>
      <c r="F175" s="965">
        <f t="shared" si="109"/>
        <v>1.6529777655589495</v>
      </c>
      <c r="G175" s="966">
        <f t="shared" si="110"/>
        <v>24.181360201511339</v>
      </c>
      <c r="H175" s="861">
        <f t="shared" si="81"/>
        <v>1.1256070588235292</v>
      </c>
    </row>
    <row r="176" spans="1:8" ht="16.5" customHeight="1">
      <c r="A176" s="1014" t="s">
        <v>522</v>
      </c>
      <c r="B176" s="857">
        <f>geral!G841</f>
        <v>493</v>
      </c>
      <c r="C176" s="857">
        <f t="shared" si="106"/>
        <v>386.36363636363637</v>
      </c>
      <c r="D176" s="961">
        <f t="shared" si="107"/>
        <v>0</v>
      </c>
      <c r="E176" s="961">
        <f t="shared" si="108"/>
        <v>0</v>
      </c>
      <c r="F176" s="965">
        <f t="shared" si="109"/>
        <v>1.6529777655589495</v>
      </c>
      <c r="G176" s="966">
        <f t="shared" si="110"/>
        <v>24.181360201511339</v>
      </c>
      <c r="H176" s="861">
        <f t="shared" si="81"/>
        <v>1.1256070588235292</v>
      </c>
    </row>
    <row r="177" spans="1:8" ht="16.5" customHeight="1">
      <c r="A177" s="1014" t="s">
        <v>523</v>
      </c>
      <c r="B177" s="857">
        <f>geral!G842</f>
        <v>493</v>
      </c>
      <c r="C177" s="857">
        <f t="shared" si="106"/>
        <v>386.36363636363637</v>
      </c>
      <c r="D177" s="961">
        <f t="shared" si="107"/>
        <v>0</v>
      </c>
      <c r="E177" s="961">
        <f t="shared" si="108"/>
        <v>0</v>
      </c>
      <c r="F177" s="965">
        <f t="shared" si="109"/>
        <v>1.3013698630137016</v>
      </c>
      <c r="G177" s="966">
        <f t="shared" si="110"/>
        <v>24.181360201511339</v>
      </c>
      <c r="H177" s="861">
        <f t="shared" si="81"/>
        <v>1.1256070588235292</v>
      </c>
    </row>
    <row r="178" spans="1:8" ht="16.5" customHeight="1">
      <c r="A178" s="1014" t="s">
        <v>524</v>
      </c>
      <c r="B178" s="857">
        <f>geral!G843</f>
        <v>494.66666666666669</v>
      </c>
      <c r="C178" s="857">
        <f t="shared" si="106"/>
        <v>387.66980146290496</v>
      </c>
      <c r="D178" s="961">
        <f t="shared" si="107"/>
        <v>0.33806626098715764</v>
      </c>
      <c r="E178" s="961">
        <f t="shared" si="108"/>
        <v>0.33806626098715764</v>
      </c>
      <c r="F178" s="965">
        <f t="shared" si="109"/>
        <v>1.6438356164383494</v>
      </c>
      <c r="G178" s="966">
        <f t="shared" si="110"/>
        <v>24.601175482787575</v>
      </c>
      <c r="H178" s="861">
        <f t="shared" si="81"/>
        <v>1.1218145822102423</v>
      </c>
    </row>
    <row r="179" spans="1:8" ht="16.5" customHeight="1">
      <c r="A179" s="1014" t="s">
        <v>525</v>
      </c>
      <c r="B179" s="857">
        <f>geral!G844</f>
        <v>489.66666666666669</v>
      </c>
      <c r="C179" s="857">
        <f t="shared" ref="C179:C184" si="111">100*B179/$B$8</f>
        <v>383.75130616509932</v>
      </c>
      <c r="D179" s="961">
        <f t="shared" ref="D179:D184" si="112">100*((B179/B178)-1)</f>
        <v>-1.0107816711590334</v>
      </c>
      <c r="E179" s="961">
        <f t="shared" ref="E179:E184" si="113">100*((B179/$B$172)-1)</f>
        <v>-0.67613252197430418</v>
      </c>
      <c r="F179" s="965">
        <f t="shared" ref="F179:F184" si="114">100*((B179/B167)-1)</f>
        <v>0.6164383561643838</v>
      </c>
      <c r="G179" s="966">
        <f t="shared" ref="G179:G184" si="115">100*(B179/B155-1)</f>
        <v>0.86341555521225466</v>
      </c>
      <c r="H179" s="861">
        <f t="shared" si="81"/>
        <v>1.1332694622191963</v>
      </c>
    </row>
    <row r="180" spans="1:8" ht="16.5" customHeight="1">
      <c r="A180" s="1014" t="s">
        <v>526</v>
      </c>
      <c r="B180" s="857">
        <f>geral!G845</f>
        <v>489.66666666666669</v>
      </c>
      <c r="C180" s="857">
        <f t="shared" si="111"/>
        <v>383.75130616509932</v>
      </c>
      <c r="D180" s="961">
        <f t="shared" si="112"/>
        <v>0</v>
      </c>
      <c r="E180" s="961">
        <f t="shared" si="113"/>
        <v>-0.67613252197430418</v>
      </c>
      <c r="F180" s="965">
        <f t="shared" si="114"/>
        <v>0.6164383561643838</v>
      </c>
      <c r="G180" s="966">
        <f t="shared" si="115"/>
        <v>0.86341555521225466</v>
      </c>
      <c r="H180" s="861">
        <f t="shared" si="81"/>
        <v>1.1332694622191963</v>
      </c>
    </row>
    <row r="181" spans="1:8" ht="16.5" customHeight="1">
      <c r="A181" s="1014" t="s">
        <v>527</v>
      </c>
      <c r="B181" s="857">
        <f>geral!G846</f>
        <v>489.66666666666669</v>
      </c>
      <c r="C181" s="857">
        <f t="shared" si="111"/>
        <v>383.75130616509932</v>
      </c>
      <c r="D181" s="961">
        <f t="shared" si="112"/>
        <v>0</v>
      </c>
      <c r="E181" s="961">
        <f t="shared" si="113"/>
        <v>-0.67613252197430418</v>
      </c>
      <c r="F181" s="965">
        <f t="shared" si="114"/>
        <v>0.6164383561643838</v>
      </c>
      <c r="G181" s="966">
        <f t="shared" si="115"/>
        <v>0.86341555521225466</v>
      </c>
      <c r="H181" s="861">
        <f t="shared" si="81"/>
        <v>1.1332694622191963</v>
      </c>
    </row>
    <row r="182" spans="1:8" ht="16.5" customHeight="1">
      <c r="A182" s="1014" t="s">
        <v>528</v>
      </c>
      <c r="B182" s="857">
        <f>geral!G847</f>
        <v>489.66666666666669</v>
      </c>
      <c r="C182" s="857">
        <f t="shared" si="111"/>
        <v>383.75130616509932</v>
      </c>
      <c r="D182" s="961">
        <f t="shared" si="112"/>
        <v>0</v>
      </c>
      <c r="E182" s="961">
        <f t="shared" si="113"/>
        <v>-0.67613252197430418</v>
      </c>
      <c r="F182" s="965">
        <f t="shared" si="114"/>
        <v>0.6164383561643838</v>
      </c>
      <c r="G182" s="966">
        <f t="shared" si="115"/>
        <v>0.86341555521225466</v>
      </c>
      <c r="H182" s="861">
        <f t="shared" si="81"/>
        <v>1.1332694622191963</v>
      </c>
    </row>
    <row r="183" spans="1:8" ht="16.5" customHeight="1">
      <c r="A183" s="1014" t="s">
        <v>529</v>
      </c>
      <c r="B183" s="857">
        <f>geral!G848</f>
        <v>489.66666666666669</v>
      </c>
      <c r="C183" s="857">
        <f t="shared" si="111"/>
        <v>383.75130616509932</v>
      </c>
      <c r="D183" s="961">
        <f t="shared" si="112"/>
        <v>0</v>
      </c>
      <c r="E183" s="961">
        <f t="shared" si="113"/>
        <v>-0.67613252197430418</v>
      </c>
      <c r="F183" s="965">
        <f t="shared" si="114"/>
        <v>0.6164383561643838</v>
      </c>
      <c r="G183" s="966">
        <f t="shared" si="115"/>
        <v>0.86341555521225466</v>
      </c>
      <c r="H183" s="861">
        <f t="shared" si="81"/>
        <v>1.1332694622191963</v>
      </c>
    </row>
    <row r="184" spans="1:8" ht="16.5" customHeight="1">
      <c r="A184" s="1014" t="s">
        <v>530</v>
      </c>
      <c r="B184" s="857">
        <f>geral!G849</f>
        <v>489.66666666666669</v>
      </c>
      <c r="C184" s="857">
        <f t="shared" si="111"/>
        <v>383.75130616509932</v>
      </c>
      <c r="D184" s="961">
        <f t="shared" si="112"/>
        <v>0</v>
      </c>
      <c r="E184" s="961">
        <f t="shared" si="113"/>
        <v>-0.67613252197430418</v>
      </c>
      <c r="F184" s="965">
        <f t="shared" si="114"/>
        <v>-0.67613252197430418</v>
      </c>
      <c r="G184" s="966">
        <f t="shared" si="115"/>
        <v>0.86341555521225466</v>
      </c>
      <c r="H184" s="861">
        <f t="shared" si="81"/>
        <v>1.1332694622191963</v>
      </c>
    </row>
    <row r="185" spans="1:8" ht="16.5" customHeight="1">
      <c r="A185" s="1014" t="s">
        <v>531</v>
      </c>
      <c r="B185" s="857">
        <f>geral!I838</f>
        <v>489.66666666666669</v>
      </c>
      <c r="C185" s="857">
        <f t="shared" ref="C185:C190" si="116">100*B185/$B$8</f>
        <v>383.75130616509932</v>
      </c>
      <c r="D185" s="961">
        <f t="shared" ref="D185:D190" si="117">100*((B185/B184)-1)</f>
        <v>0</v>
      </c>
      <c r="E185" s="961">
        <f t="shared" ref="E185:E190" si="118">100*((B185/$B$184)-1)</f>
        <v>0</v>
      </c>
      <c r="F185" s="965">
        <f t="shared" ref="F185:F190" si="119">100*((B185/B173)-1)</f>
        <v>-0.67613252197430418</v>
      </c>
      <c r="G185" s="966">
        <f t="shared" ref="G185:G190" si="120">100*(B185/B161-1)</f>
        <v>0.96566892333069809</v>
      </c>
      <c r="H185" s="861">
        <f t="shared" si="81"/>
        <v>1.1332694622191963</v>
      </c>
    </row>
    <row r="186" spans="1:8" ht="16.5" customHeight="1">
      <c r="A186" s="1014" t="s">
        <v>649</v>
      </c>
      <c r="B186" s="857">
        <f>geral!I839</f>
        <v>492.3</v>
      </c>
      <c r="C186" s="857">
        <f t="shared" si="116"/>
        <v>385.8150470219436</v>
      </c>
      <c r="D186" s="961">
        <f t="shared" si="117"/>
        <v>0.53778080326751798</v>
      </c>
      <c r="E186" s="961">
        <f t="shared" si="118"/>
        <v>0.53778080326751798</v>
      </c>
      <c r="F186" s="965">
        <f t="shared" si="119"/>
        <v>-0.14198782961459822</v>
      </c>
      <c r="G186" s="966">
        <f t="shared" si="120"/>
        <v>1.5086429086910158</v>
      </c>
      <c r="H186" s="861">
        <f t="shared" si="81"/>
        <v>1.1272075563680679</v>
      </c>
    </row>
    <row r="187" spans="1:8" ht="16.5" customHeight="1">
      <c r="A187" s="1014" t="s">
        <v>651</v>
      </c>
      <c r="B187" s="857">
        <f>geral!I840</f>
        <v>469.22500000000002</v>
      </c>
      <c r="C187" s="857">
        <f t="shared" si="116"/>
        <v>367.73119122257054</v>
      </c>
      <c r="D187" s="961">
        <f t="shared" si="117"/>
        <v>-4.6871826122283133</v>
      </c>
      <c r="E187" s="961">
        <f t="shared" si="118"/>
        <v>-4.1746085772634389</v>
      </c>
      <c r="F187" s="965">
        <f t="shared" si="119"/>
        <v>-4.8225152129817372</v>
      </c>
      <c r="G187" s="966">
        <f t="shared" si="120"/>
        <v>-3.2492525516340742</v>
      </c>
      <c r="H187" s="861">
        <f t="shared" si="81"/>
        <v>1.182640055410517</v>
      </c>
    </row>
    <row r="188" spans="1:8" ht="16.5" customHeight="1">
      <c r="A188" s="1014" t="s">
        <v>652</v>
      </c>
      <c r="B188" s="857">
        <f>geral!I841</f>
        <v>469.22500000000002</v>
      </c>
      <c r="C188" s="857">
        <f t="shared" si="116"/>
        <v>367.73119122257054</v>
      </c>
      <c r="D188" s="961">
        <f t="shared" si="117"/>
        <v>0</v>
      </c>
      <c r="E188" s="961">
        <f t="shared" si="118"/>
        <v>-4.1746085772634389</v>
      </c>
      <c r="F188" s="965">
        <f t="shared" si="119"/>
        <v>-4.8225152129817372</v>
      </c>
      <c r="G188" s="966">
        <f t="shared" si="120"/>
        <v>-3.2492525516340742</v>
      </c>
      <c r="H188" s="861">
        <f t="shared" si="81"/>
        <v>1.182640055410517</v>
      </c>
    </row>
    <row r="189" spans="1:8" ht="16.5" customHeight="1">
      <c r="A189" s="1014" t="s">
        <v>653</v>
      </c>
      <c r="B189" s="857">
        <f>geral!I842</f>
        <v>469.22500000000002</v>
      </c>
      <c r="C189" s="857">
        <f t="shared" si="116"/>
        <v>367.73119122257054</v>
      </c>
      <c r="D189" s="961">
        <f t="shared" si="117"/>
        <v>0</v>
      </c>
      <c r="E189" s="961">
        <f t="shared" si="118"/>
        <v>-4.1746085772634389</v>
      </c>
      <c r="F189" s="965">
        <f t="shared" si="119"/>
        <v>-4.8225152129817372</v>
      </c>
      <c r="G189" s="966">
        <f t="shared" si="120"/>
        <v>-3.5839041095890423</v>
      </c>
      <c r="H189" s="861">
        <f t="shared" si="81"/>
        <v>1.182640055410517</v>
      </c>
    </row>
    <row r="190" spans="1:8" ht="16.5" customHeight="1">
      <c r="A190" s="1014" t="s">
        <v>654</v>
      </c>
      <c r="B190" s="857">
        <f>geral!I843</f>
        <v>469.22500000000002</v>
      </c>
      <c r="C190" s="857">
        <f t="shared" si="116"/>
        <v>367.73119122257054</v>
      </c>
      <c r="D190" s="961">
        <f t="shared" si="117"/>
        <v>0</v>
      </c>
      <c r="E190" s="961">
        <f t="shared" si="118"/>
        <v>-4.1746085772634389</v>
      </c>
      <c r="F190" s="965">
        <f t="shared" si="119"/>
        <v>-5.1431940700808587</v>
      </c>
      <c r="G190" s="966">
        <f t="shared" si="120"/>
        <v>-3.5839041095890423</v>
      </c>
      <c r="H190" s="861">
        <f t="shared" si="81"/>
        <v>1.182640055410517</v>
      </c>
    </row>
    <row r="191" spans="1:8" ht="16.5" customHeight="1">
      <c r="A191" s="1014" t="s">
        <v>657</v>
      </c>
      <c r="B191" s="857">
        <f>geral!I844</f>
        <v>469.22500000000002</v>
      </c>
      <c r="C191" s="857">
        <f t="shared" ref="C191:C196" si="121">100*B191/$B$8</f>
        <v>367.73119122257054</v>
      </c>
      <c r="D191" s="961">
        <f t="shared" ref="D191:D196" si="122">100*((B191/B190)-1)</f>
        <v>0</v>
      </c>
      <c r="E191" s="961">
        <f t="shared" ref="E191:E196" si="123">100*((B191/$B$184)-1)</f>
        <v>-4.1746085772634389</v>
      </c>
      <c r="F191" s="965">
        <f t="shared" ref="F191:F196" si="124">100*((B191/B179)-1)</f>
        <v>-4.1746085772634389</v>
      </c>
      <c r="G191" s="966">
        <f t="shared" ref="G191:G196" si="125">100*(B191/B167-1)</f>
        <v>-3.5839041095890423</v>
      </c>
      <c r="H191" s="861">
        <f t="shared" si="81"/>
        <v>1.182640055410517</v>
      </c>
    </row>
    <row r="192" spans="1:8" ht="16.5" customHeight="1">
      <c r="A192" s="1032" t="str">
        <f>'Pn205'!A63</f>
        <v>AGOSTO|15</v>
      </c>
      <c r="B192" s="918">
        <f>geral!I845</f>
        <v>469.22500000000002</v>
      </c>
      <c r="C192" s="918">
        <f t="shared" si="121"/>
        <v>367.73119122257054</v>
      </c>
      <c r="D192" s="1036">
        <f t="shared" si="122"/>
        <v>0</v>
      </c>
      <c r="E192" s="1036">
        <f t="shared" si="123"/>
        <v>-4.1746085772634389</v>
      </c>
      <c r="F192" s="1037">
        <f t="shared" si="124"/>
        <v>-4.1746085772634389</v>
      </c>
      <c r="G192" s="1038">
        <f t="shared" si="125"/>
        <v>-3.5839041095890423</v>
      </c>
      <c r="H192" s="861">
        <f t="shared" si="81"/>
        <v>1.182640055410517</v>
      </c>
    </row>
    <row r="193" spans="1:8" ht="16.5" customHeight="1">
      <c r="A193" s="1032" t="str">
        <f>'Pn205'!A64</f>
        <v>SETEMBRO|15</v>
      </c>
      <c r="B193" s="918">
        <f>geral!I846</f>
        <v>469.22500000000002</v>
      </c>
      <c r="C193" s="918">
        <f t="shared" si="121"/>
        <v>367.73119122257054</v>
      </c>
      <c r="D193" s="1036">
        <f t="shared" si="122"/>
        <v>0</v>
      </c>
      <c r="E193" s="1036">
        <f t="shared" si="123"/>
        <v>-4.1746085772634389</v>
      </c>
      <c r="F193" s="1037">
        <f t="shared" si="124"/>
        <v>-4.1746085772634389</v>
      </c>
      <c r="G193" s="1038">
        <f t="shared" si="125"/>
        <v>-3.5839041095890423</v>
      </c>
      <c r="H193" s="861">
        <f t="shared" si="81"/>
        <v>1.182640055410517</v>
      </c>
    </row>
    <row r="194" spans="1:8" ht="16.5" customHeight="1">
      <c r="A194" s="1032" t="str">
        <f>'Pn205'!A65</f>
        <v>OUTUBRO|15</v>
      </c>
      <c r="B194" s="918">
        <f>geral!I847</f>
        <v>469.22500000000002</v>
      </c>
      <c r="C194" s="918">
        <f t="shared" si="121"/>
        <v>367.73119122257054</v>
      </c>
      <c r="D194" s="1036">
        <f t="shared" si="122"/>
        <v>0</v>
      </c>
      <c r="E194" s="1036">
        <f t="shared" si="123"/>
        <v>-4.1746085772634389</v>
      </c>
      <c r="F194" s="1037">
        <f t="shared" si="124"/>
        <v>-4.1746085772634389</v>
      </c>
      <c r="G194" s="1038">
        <f t="shared" si="125"/>
        <v>-3.5839041095890423</v>
      </c>
      <c r="H194" s="861">
        <f t="shared" si="81"/>
        <v>1.182640055410517</v>
      </c>
    </row>
    <row r="195" spans="1:8" ht="16.5" customHeight="1">
      <c r="A195" s="1032" t="str">
        <f>'Pn205'!A66</f>
        <v>NOVEMBRO|15</v>
      </c>
      <c r="B195" s="918">
        <f>geral!I848</f>
        <v>469.22500000000002</v>
      </c>
      <c r="C195" s="918">
        <f t="shared" si="121"/>
        <v>367.73119122257054</v>
      </c>
      <c r="D195" s="1036">
        <f t="shared" si="122"/>
        <v>0</v>
      </c>
      <c r="E195" s="1036">
        <f t="shared" si="123"/>
        <v>-4.1746085772634389</v>
      </c>
      <c r="F195" s="1037">
        <f t="shared" si="124"/>
        <v>-4.1746085772634389</v>
      </c>
      <c r="G195" s="1038">
        <f t="shared" si="125"/>
        <v>-3.5839041095890423</v>
      </c>
      <c r="H195" s="861">
        <f t="shared" si="81"/>
        <v>1.182640055410517</v>
      </c>
    </row>
    <row r="196" spans="1:8" ht="16.5" customHeight="1">
      <c r="A196" s="1032" t="str">
        <f>'Pn205'!A67</f>
        <v>DEZEMBRO|15</v>
      </c>
      <c r="B196" s="918">
        <f>geral!I849</f>
        <v>469.22500000000002</v>
      </c>
      <c r="C196" s="918">
        <f t="shared" si="121"/>
        <v>367.73119122257054</v>
      </c>
      <c r="D196" s="1036">
        <f t="shared" si="122"/>
        <v>0</v>
      </c>
      <c r="E196" s="1036">
        <f t="shared" si="123"/>
        <v>-4.1746085772634389</v>
      </c>
      <c r="F196" s="1037">
        <f t="shared" si="124"/>
        <v>-4.1746085772634389</v>
      </c>
      <c r="G196" s="1038">
        <f t="shared" si="125"/>
        <v>-4.8225152129817372</v>
      </c>
      <c r="H196" s="861">
        <f t="shared" si="81"/>
        <v>1.182640055410517</v>
      </c>
    </row>
    <row r="197" spans="1:8" ht="16.5" customHeight="1">
      <c r="A197" s="1032" t="str">
        <f>'Pn205'!A68</f>
        <v>JANEIRO|16</v>
      </c>
      <c r="B197" s="918">
        <f>geral!K838</f>
        <v>469.22500000000002</v>
      </c>
      <c r="C197" s="918">
        <f t="shared" ref="C197" si="126">100*B197/$B$8</f>
        <v>367.73119122257054</v>
      </c>
      <c r="D197" s="1036">
        <f t="shared" ref="D197" si="127">100*((B197/B196)-1)</f>
        <v>0</v>
      </c>
      <c r="E197" s="1036">
        <f t="shared" ref="E197:E202" si="128">100*((B197/$B$196)-1)</f>
        <v>0</v>
      </c>
      <c r="F197" s="1037">
        <f t="shared" ref="F197" si="129">100*((B197/B185)-1)</f>
        <v>-4.1746085772634389</v>
      </c>
      <c r="G197" s="1038">
        <f t="shared" ref="G197" si="130">100*(B197/B173-1)</f>
        <v>-4.8225152129817372</v>
      </c>
      <c r="H197" s="861">
        <f t="shared" si="81"/>
        <v>1.182640055410517</v>
      </c>
    </row>
    <row r="198" spans="1:8" ht="16.5" customHeight="1">
      <c r="A198" s="1032" t="str">
        <f>'Pn205'!A69</f>
        <v>FEVEREIRO|16</v>
      </c>
      <c r="B198" s="918">
        <f>geral!K839</f>
        <v>469.22500000000002</v>
      </c>
      <c r="C198" s="918">
        <f t="shared" ref="C198" si="131">100*B198/$B$8</f>
        <v>367.73119122257054</v>
      </c>
      <c r="D198" s="1036">
        <f t="shared" ref="D198" si="132">100*((B198/B197)-1)</f>
        <v>0</v>
      </c>
      <c r="E198" s="1036">
        <f t="shared" si="128"/>
        <v>0</v>
      </c>
      <c r="F198" s="1037">
        <f t="shared" ref="F198" si="133">100*((B198/B186)-1)</f>
        <v>-4.6871826122283133</v>
      </c>
      <c r="G198" s="1038">
        <f t="shared" ref="G198" si="134">100*(B198/B174-1)</f>
        <v>-4.8225152129817372</v>
      </c>
      <c r="H198" s="861">
        <f t="shared" si="81"/>
        <v>1.182640055410517</v>
      </c>
    </row>
    <row r="199" spans="1:8" ht="16.5" customHeight="1">
      <c r="A199" s="1032" t="str">
        <f>'Pn205'!A70</f>
        <v>MARÇO|16</v>
      </c>
      <c r="B199" s="918">
        <f>geral!K840</f>
        <v>469.22500000000002</v>
      </c>
      <c r="C199" s="918">
        <f t="shared" ref="C199" si="135">100*B199/$B$8</f>
        <v>367.73119122257054</v>
      </c>
      <c r="D199" s="1036">
        <f t="shared" ref="D199" si="136">100*((B199/B198)-1)</f>
        <v>0</v>
      </c>
      <c r="E199" s="1036">
        <f t="shared" si="128"/>
        <v>0</v>
      </c>
      <c r="F199" s="1037">
        <f t="shared" ref="F199" si="137">100*((B199/B187)-1)</f>
        <v>0</v>
      </c>
      <c r="G199" s="1038">
        <f t="shared" ref="G199" si="138">100*(B199/B175-1)</f>
        <v>-4.8225152129817372</v>
      </c>
      <c r="H199" s="861">
        <f t="shared" si="81"/>
        <v>1.182640055410517</v>
      </c>
    </row>
    <row r="200" spans="1:8" ht="16.5" customHeight="1">
      <c r="A200" s="1032" t="str">
        <f>'Pn205'!A71</f>
        <v>ABRIL|16</v>
      </c>
      <c r="B200" s="918">
        <f>geral!K841</f>
        <v>469.22500000000002</v>
      </c>
      <c r="C200" s="918">
        <f t="shared" ref="C200" si="139">100*B200/$B$8</f>
        <v>367.73119122257054</v>
      </c>
      <c r="D200" s="1036">
        <f t="shared" ref="D200" si="140">100*((B200/B199)-1)</f>
        <v>0</v>
      </c>
      <c r="E200" s="1036">
        <f t="shared" si="128"/>
        <v>0</v>
      </c>
      <c r="F200" s="1037">
        <f t="shared" ref="F200" si="141">100*((B200/B188)-1)</f>
        <v>0</v>
      </c>
      <c r="G200" s="1038">
        <f t="shared" ref="G200" si="142">100*(B200/B176-1)</f>
        <v>-4.8225152129817372</v>
      </c>
      <c r="H200" s="861">
        <f t="shared" si="81"/>
        <v>1.182640055410517</v>
      </c>
    </row>
    <row r="201" spans="1:8" ht="16.5" customHeight="1">
      <c r="A201" s="1032" t="str">
        <f>'Pn205'!A72</f>
        <v>MAIO|16</v>
      </c>
      <c r="B201" s="918">
        <f>geral!K842</f>
        <v>474.20000000000005</v>
      </c>
      <c r="C201" s="918">
        <f t="shared" ref="C201" si="143">100*B201/$B$8</f>
        <v>371.6300940438872</v>
      </c>
      <c r="D201" s="1036">
        <f t="shared" ref="D201" si="144">100*((B201/B200)-1)</f>
        <v>1.0602589376099036</v>
      </c>
      <c r="E201" s="1036">
        <f t="shared" si="128"/>
        <v>1.0602589376099036</v>
      </c>
      <c r="F201" s="1037">
        <f t="shared" ref="F201" si="145">100*((B201/B189)-1)</f>
        <v>1.0602589376099036</v>
      </c>
      <c r="G201" s="1038">
        <f t="shared" ref="G201" si="146">100*(B201/B177-1)</f>
        <v>-3.8133874239350773</v>
      </c>
      <c r="H201" s="861">
        <f t="shared" si="81"/>
        <v>1.1702325601012227</v>
      </c>
    </row>
    <row r="202" spans="1:8" ht="16.5" customHeight="1">
      <c r="A202" s="1032" t="str">
        <f>'Pn205'!A73</f>
        <v>JUNHO|16</v>
      </c>
      <c r="B202" s="918">
        <f>geral!K843</f>
        <v>474.20000000000005</v>
      </c>
      <c r="C202" s="918">
        <f t="shared" ref="C202" si="147">100*B202/$B$8</f>
        <v>371.6300940438872</v>
      </c>
      <c r="D202" s="1036">
        <f t="shared" ref="D202" si="148">100*((B202/B201)-1)</f>
        <v>0</v>
      </c>
      <c r="E202" s="1036">
        <f t="shared" si="128"/>
        <v>1.0602589376099036</v>
      </c>
      <c r="F202" s="1037">
        <f t="shared" ref="F202" si="149">100*((B202/B190)-1)</f>
        <v>1.0602589376099036</v>
      </c>
      <c r="G202" s="1038">
        <f t="shared" ref="G202" si="150">100*(B202/B178-1)</f>
        <v>-4.1374663072776263</v>
      </c>
      <c r="H202" s="861">
        <f t="shared" si="81"/>
        <v>1.1702325601012227</v>
      </c>
    </row>
    <row r="203" spans="1:8" ht="16.5" customHeight="1">
      <c r="A203" s="1032" t="str">
        <f>'Pn205'!A74</f>
        <v>JULHO|16</v>
      </c>
      <c r="B203" s="918">
        <f>geral!K844</f>
        <v>474.20000000000005</v>
      </c>
      <c r="C203" s="918">
        <f t="shared" ref="C203" si="151">100*B203/$B$8</f>
        <v>371.6300940438872</v>
      </c>
      <c r="D203" s="1036">
        <f t="shared" ref="D203" si="152">100*((B203/B202)-1)</f>
        <v>0</v>
      </c>
      <c r="E203" s="1036">
        <f t="shared" ref="E203" si="153">100*((B203/$B$196)-1)</f>
        <v>1.0602589376099036</v>
      </c>
      <c r="F203" s="1037">
        <f t="shared" ref="F203" si="154">100*((B203/B191)-1)</f>
        <v>1.0602589376099036</v>
      </c>
      <c r="G203" s="1038">
        <f t="shared" ref="G203" si="155">100*(B203/B179-1)</f>
        <v>-3.1586113002042171</v>
      </c>
      <c r="H203" s="861">
        <f t="shared" ref="H203:H253" si="156">+$B$253/B203</f>
        <v>1.1702325601012227</v>
      </c>
    </row>
    <row r="204" spans="1:8" ht="16.5" customHeight="1">
      <c r="A204" s="1032" t="str">
        <f>'Pn205'!A75</f>
        <v>AGOSTO|16</v>
      </c>
      <c r="B204" s="918">
        <f>geral!K845</f>
        <v>474.20000000000005</v>
      </c>
      <c r="C204" s="918">
        <f t="shared" ref="C204" si="157">100*B204/$B$8</f>
        <v>371.6300940438872</v>
      </c>
      <c r="D204" s="1036">
        <f t="shared" ref="D204" si="158">100*((B204/B203)-1)</f>
        <v>0</v>
      </c>
      <c r="E204" s="1036">
        <f t="shared" ref="E204" si="159">100*((B204/$B$196)-1)</f>
        <v>1.0602589376099036</v>
      </c>
      <c r="F204" s="1037">
        <f t="shared" ref="F204" si="160">100*((B204/B192)-1)</f>
        <v>1.0602589376099036</v>
      </c>
      <c r="G204" s="1038">
        <f t="shared" ref="G204" si="161">100*(B204/B180-1)</f>
        <v>-3.1586113002042171</v>
      </c>
      <c r="H204" s="861">
        <f t="shared" si="156"/>
        <v>1.1702325601012227</v>
      </c>
    </row>
    <row r="205" spans="1:8" ht="16.5" customHeight="1">
      <c r="A205" s="1032" t="str">
        <f>'Pn205'!A76</f>
        <v>SETEMBRO|16</v>
      </c>
      <c r="B205" s="918">
        <f>geral!K846</f>
        <v>474.20000000000005</v>
      </c>
      <c r="C205" s="918">
        <f t="shared" ref="C205" si="162">100*B205/$B$8</f>
        <v>371.6300940438872</v>
      </c>
      <c r="D205" s="1036">
        <f t="shared" ref="D205" si="163">100*((B205/B204)-1)</f>
        <v>0</v>
      </c>
      <c r="E205" s="1036">
        <f t="shared" ref="E205" si="164">100*((B205/$B$196)-1)</f>
        <v>1.0602589376099036</v>
      </c>
      <c r="F205" s="1037">
        <f t="shared" ref="F205" si="165">100*((B205/B193)-1)</f>
        <v>1.0602589376099036</v>
      </c>
      <c r="G205" s="1038">
        <f t="shared" ref="G205" si="166">100*(B205/B181-1)</f>
        <v>-3.1586113002042171</v>
      </c>
      <c r="H205" s="861">
        <f t="shared" si="156"/>
        <v>1.1702325601012227</v>
      </c>
    </row>
    <row r="206" spans="1:8" ht="16.5" customHeight="1">
      <c r="A206" s="1032" t="str">
        <f>'Pn205'!A77</f>
        <v>OUTUBRO|16</v>
      </c>
      <c r="B206" s="918">
        <f>geral!K847</f>
        <v>474.20000000000005</v>
      </c>
      <c r="C206" s="918">
        <f t="shared" ref="C206" si="167">100*B206/$B$8</f>
        <v>371.6300940438872</v>
      </c>
      <c r="D206" s="1036">
        <f t="shared" ref="D206" si="168">100*((B206/B205)-1)</f>
        <v>0</v>
      </c>
      <c r="E206" s="1036">
        <f t="shared" ref="E206" si="169">100*((B206/$B$196)-1)</f>
        <v>1.0602589376099036</v>
      </c>
      <c r="F206" s="1037">
        <f t="shared" ref="F206" si="170">100*((B206/B194)-1)</f>
        <v>1.0602589376099036</v>
      </c>
      <c r="G206" s="1038">
        <f t="shared" ref="G206" si="171">100*(B206/B182-1)</f>
        <v>-3.1586113002042171</v>
      </c>
      <c r="H206" s="861">
        <f t="shared" si="156"/>
        <v>1.1702325601012227</v>
      </c>
    </row>
    <row r="207" spans="1:8" ht="16.5" customHeight="1">
      <c r="A207" s="1032" t="str">
        <f>'Pn205'!A78</f>
        <v>NOVEMBRO|16</v>
      </c>
      <c r="B207" s="918">
        <f>geral!K848</f>
        <v>474.20000000000005</v>
      </c>
      <c r="C207" s="918">
        <f t="shared" ref="C207" si="172">100*B207/$B$8</f>
        <v>371.6300940438872</v>
      </c>
      <c r="D207" s="1036">
        <f t="shared" ref="D207" si="173">100*((B207/B206)-1)</f>
        <v>0</v>
      </c>
      <c r="E207" s="1036">
        <f t="shared" ref="E207" si="174">100*((B207/$B$196)-1)</f>
        <v>1.0602589376099036</v>
      </c>
      <c r="F207" s="1037">
        <f t="shared" ref="F207" si="175">100*((B207/B195)-1)</f>
        <v>1.0602589376099036</v>
      </c>
      <c r="G207" s="1038">
        <f t="shared" ref="G207" si="176">100*(B207/B183-1)</f>
        <v>-3.1586113002042171</v>
      </c>
      <c r="H207" s="861">
        <f t="shared" si="156"/>
        <v>1.1702325601012227</v>
      </c>
    </row>
    <row r="208" spans="1:8" ht="16.5" customHeight="1">
      <c r="A208" s="1032" t="str">
        <f>'Pn205'!A79</f>
        <v>DEZEMBRO|16</v>
      </c>
      <c r="B208" s="918">
        <f>geral!K849</f>
        <v>474.20000000000005</v>
      </c>
      <c r="C208" s="918">
        <f t="shared" ref="C208" si="177">100*B208/$B$8</f>
        <v>371.6300940438872</v>
      </c>
      <c r="D208" s="1036">
        <f t="shared" ref="D208" si="178">100*((B208/B207)-1)</f>
        <v>0</v>
      </c>
      <c r="E208" s="1036">
        <f t="shared" ref="E208" si="179">100*((B208/$B$196)-1)</f>
        <v>1.0602589376099036</v>
      </c>
      <c r="F208" s="1037">
        <f t="shared" ref="F208" si="180">100*((B208/B196)-1)</f>
        <v>1.0602589376099036</v>
      </c>
      <c r="G208" s="1038">
        <f t="shared" ref="G208" si="181">100*(B208/B184-1)</f>
        <v>-3.1586113002042171</v>
      </c>
      <c r="H208" s="861">
        <f t="shared" si="156"/>
        <v>1.1702325601012227</v>
      </c>
    </row>
    <row r="209" spans="1:8" ht="16.5" customHeight="1">
      <c r="A209" s="1032" t="str">
        <f>'Pn205'!A80</f>
        <v>JANEIRO|17</v>
      </c>
      <c r="B209" s="918">
        <f>geral!M838</f>
        <v>484.70000000000005</v>
      </c>
      <c r="C209" s="918">
        <f t="shared" ref="C209" si="182">100*B209/$B$8</f>
        <v>379.85893416927905</v>
      </c>
      <c r="D209" s="1036">
        <f t="shared" ref="D209" si="183">100*((B209/B208)-1)</f>
        <v>2.2142555883593484</v>
      </c>
      <c r="E209" s="1036">
        <f t="shared" ref="E209:E214" si="184">100*((B209/$B$208)-1)</f>
        <v>2.2142555883593484</v>
      </c>
      <c r="F209" s="1037">
        <f t="shared" ref="F209" si="185">100*((B209/B197)-1)</f>
        <v>3.2979913687463336</v>
      </c>
      <c r="G209" s="1038">
        <f t="shared" ref="G209" si="186">100*(B209/B185-1)</f>
        <v>-1.0142954390741976</v>
      </c>
      <c r="H209" s="861">
        <f t="shared" si="156"/>
        <v>1.1448819475964509</v>
      </c>
    </row>
    <row r="210" spans="1:8" ht="16.5" customHeight="1">
      <c r="A210" s="1032" t="str">
        <f>'Pn205'!A81</f>
        <v>FEVEREIRO|17</v>
      </c>
      <c r="B210" s="918">
        <f>geral!M839</f>
        <v>484.70000000000005</v>
      </c>
      <c r="C210" s="918">
        <f t="shared" ref="C210" si="187">100*B210/$B$8</f>
        <v>379.85893416927905</v>
      </c>
      <c r="D210" s="1036">
        <f t="shared" ref="D210" si="188">100*((B210/B209)-1)</f>
        <v>0</v>
      </c>
      <c r="E210" s="1036">
        <f t="shared" si="184"/>
        <v>2.2142555883593484</v>
      </c>
      <c r="F210" s="1037">
        <f t="shared" ref="F210" si="189">100*((B210/B198)-1)</f>
        <v>3.2979913687463336</v>
      </c>
      <c r="G210" s="1038">
        <f t="shared" ref="G210" si="190">100*(B210/B186-1)</f>
        <v>-1.5437741214706424</v>
      </c>
      <c r="H210" s="861">
        <f t="shared" si="156"/>
        <v>1.1448819475964509</v>
      </c>
    </row>
    <row r="211" spans="1:8" ht="16.5" customHeight="1">
      <c r="A211" s="1032" t="str">
        <f>'Pn205'!A82</f>
        <v>MARÇO|17</v>
      </c>
      <c r="B211" s="918">
        <f>geral!M840</f>
        <v>484.70000000000005</v>
      </c>
      <c r="C211" s="918">
        <f t="shared" ref="C211" si="191">100*B211/$B$8</f>
        <v>379.85893416927905</v>
      </c>
      <c r="D211" s="1036">
        <f t="shared" ref="D211" si="192">100*((B211/B210)-1)</f>
        <v>0</v>
      </c>
      <c r="E211" s="1036">
        <f t="shared" si="184"/>
        <v>2.2142555883593484</v>
      </c>
      <c r="F211" s="1037">
        <f t="shared" ref="F211" si="193">100*((B211/B199)-1)</f>
        <v>3.2979913687463336</v>
      </c>
      <c r="G211" s="1038">
        <f t="shared" ref="G211" si="194">100*(B211/B187-1)</f>
        <v>3.2979913687463336</v>
      </c>
      <c r="H211" s="861">
        <f t="shared" si="156"/>
        <v>1.1448819475964509</v>
      </c>
    </row>
    <row r="212" spans="1:8" ht="16.5" customHeight="1">
      <c r="A212" s="1032" t="str">
        <f>'Pn205'!A83</f>
        <v>ABRIL|17</v>
      </c>
      <c r="B212" s="918">
        <f>geral!M841</f>
        <v>484.70000000000005</v>
      </c>
      <c r="C212" s="918">
        <f t="shared" ref="C212" si="195">100*B212/$B$8</f>
        <v>379.85893416927905</v>
      </c>
      <c r="D212" s="1036">
        <f t="shared" ref="D212" si="196">100*((B212/B211)-1)</f>
        <v>0</v>
      </c>
      <c r="E212" s="1036">
        <f t="shared" si="184"/>
        <v>2.2142555883593484</v>
      </c>
      <c r="F212" s="1037">
        <f t="shared" ref="F212" si="197">100*((B212/B200)-1)</f>
        <v>3.2979913687463336</v>
      </c>
      <c r="G212" s="1038">
        <f t="shared" ref="G212" si="198">100*(B212/B188-1)</f>
        <v>3.2979913687463336</v>
      </c>
      <c r="H212" s="861">
        <f t="shared" si="156"/>
        <v>1.1448819475964509</v>
      </c>
    </row>
    <row r="213" spans="1:8" ht="16.5" customHeight="1">
      <c r="A213" s="1032" t="str">
        <f>'Pn205'!A84</f>
        <v>MAIO|17</v>
      </c>
      <c r="B213" s="918">
        <f>geral!M842</f>
        <v>484.70000000000005</v>
      </c>
      <c r="C213" s="918">
        <f t="shared" ref="C213" si="199">100*B213/$B$8</f>
        <v>379.85893416927905</v>
      </c>
      <c r="D213" s="1036">
        <f t="shared" ref="D213" si="200">100*((B213/B212)-1)</f>
        <v>0</v>
      </c>
      <c r="E213" s="1036">
        <f t="shared" si="184"/>
        <v>2.2142555883593484</v>
      </c>
      <c r="F213" s="1037">
        <f t="shared" ref="F213" si="201">100*((B213/B201)-1)</f>
        <v>2.2142555883593484</v>
      </c>
      <c r="G213" s="1038">
        <f t="shared" ref="G213" si="202">100*(B213/B189-1)</f>
        <v>3.2979913687463336</v>
      </c>
      <c r="H213" s="861">
        <f t="shared" si="156"/>
        <v>1.1448819475964509</v>
      </c>
    </row>
    <row r="214" spans="1:8" ht="16.5" customHeight="1">
      <c r="A214" s="1032" t="str">
        <f>'Pn205'!A85</f>
        <v>JUNHO|17</v>
      </c>
      <c r="B214" s="918">
        <f>geral!M843</f>
        <v>484.70000000000005</v>
      </c>
      <c r="C214" s="918">
        <f t="shared" ref="C214" si="203">100*B214/$B$8</f>
        <v>379.85893416927905</v>
      </c>
      <c r="D214" s="1036">
        <f t="shared" ref="D214" si="204">100*((B214/B213)-1)</f>
        <v>0</v>
      </c>
      <c r="E214" s="1036">
        <f t="shared" si="184"/>
        <v>2.2142555883593484</v>
      </c>
      <c r="F214" s="1037">
        <f t="shared" ref="F214" si="205">100*((B214/B202)-1)</f>
        <v>2.2142555883593484</v>
      </c>
      <c r="G214" s="1038">
        <f t="shared" ref="G214" si="206">100*(B214/B190-1)</f>
        <v>3.2979913687463336</v>
      </c>
      <c r="H214" s="861">
        <f t="shared" si="156"/>
        <v>1.1448819475964509</v>
      </c>
    </row>
    <row r="215" spans="1:8" ht="16.5" customHeight="1">
      <c r="A215" s="1032" t="str">
        <f>'Pn205'!A86</f>
        <v>JULHO|17</v>
      </c>
      <c r="B215" s="918">
        <f>geral!M844</f>
        <v>484.70000000000005</v>
      </c>
      <c r="C215" s="918">
        <f t="shared" ref="C215" si="207">100*B215/$B$8</f>
        <v>379.85893416927905</v>
      </c>
      <c r="D215" s="1036">
        <f t="shared" ref="D215" si="208">100*((B215/B214)-1)</f>
        <v>0</v>
      </c>
      <c r="E215" s="1036">
        <f t="shared" ref="E215" si="209">100*((B215/$B$208)-1)</f>
        <v>2.2142555883593484</v>
      </c>
      <c r="F215" s="1037">
        <f t="shared" ref="F215" si="210">100*((B215/B203)-1)</f>
        <v>2.2142555883593484</v>
      </c>
      <c r="G215" s="1038">
        <f t="shared" ref="G215" si="211">100*(B215/B191-1)</f>
        <v>3.2979913687463336</v>
      </c>
      <c r="H215" s="861">
        <f t="shared" si="156"/>
        <v>1.1448819475964509</v>
      </c>
    </row>
    <row r="216" spans="1:8" ht="16.5" customHeight="1">
      <c r="A216" s="1032" t="str">
        <f>'Pn205'!A87</f>
        <v>AGOSTO|17</v>
      </c>
      <c r="B216" s="918">
        <f>geral!M845</f>
        <v>501.15</v>
      </c>
      <c r="C216" s="918">
        <f t="shared" ref="C216" si="212">100*B216/$B$8</f>
        <v>392.75078369905958</v>
      </c>
      <c r="D216" s="1036">
        <f t="shared" ref="D216" si="213">100*((B216/B215)-1)</f>
        <v>3.393851867134301</v>
      </c>
      <c r="E216" s="1036">
        <f t="shared" ref="E216" si="214">100*((B216/$B$208)-1)</f>
        <v>5.6832560101222951</v>
      </c>
      <c r="F216" s="1037">
        <f t="shared" ref="F216" si="215">100*((B216/B204)-1)</f>
        <v>5.6832560101222951</v>
      </c>
      <c r="G216" s="1038">
        <f t="shared" ref="G216" si="216">100*(B216/B192-1)</f>
        <v>6.8037721775267679</v>
      </c>
      <c r="H216" s="861">
        <f t="shared" si="156"/>
        <v>1.1073017659383415</v>
      </c>
    </row>
    <row r="217" spans="1:8" ht="16.5" customHeight="1">
      <c r="A217" s="1032" t="str">
        <f>'Pn205'!A88</f>
        <v>SETEMBRO|17</v>
      </c>
      <c r="B217" s="918">
        <f>geral!M846</f>
        <v>501.15</v>
      </c>
      <c r="C217" s="918">
        <f t="shared" ref="C217" si="217">100*B217/$B$8</f>
        <v>392.75078369905958</v>
      </c>
      <c r="D217" s="1036">
        <f t="shared" ref="D217" si="218">100*((B217/B216)-1)</f>
        <v>0</v>
      </c>
      <c r="E217" s="1036">
        <f t="shared" ref="E217" si="219">100*((B217/$B$208)-1)</f>
        <v>5.6832560101222951</v>
      </c>
      <c r="F217" s="1037">
        <f t="shared" ref="F217" si="220">100*((B217/B205)-1)</f>
        <v>5.6832560101222951</v>
      </c>
      <c r="G217" s="1038">
        <f t="shared" ref="G217" si="221">100*(B217/B193-1)</f>
        <v>6.8037721775267679</v>
      </c>
      <c r="H217" s="861">
        <f t="shared" si="156"/>
        <v>1.1073017659383415</v>
      </c>
    </row>
    <row r="218" spans="1:8" ht="16.5" customHeight="1">
      <c r="A218" s="1032" t="str">
        <f>'Pn205'!A89</f>
        <v>OUTUBRO|17</v>
      </c>
      <c r="B218" s="918">
        <f>geral!M847</f>
        <v>501.15</v>
      </c>
      <c r="C218" s="918">
        <f t="shared" ref="C218" si="222">100*B218/$B$8</f>
        <v>392.75078369905958</v>
      </c>
      <c r="D218" s="1036">
        <f t="shared" ref="D218" si="223">100*((B218/B217)-1)</f>
        <v>0</v>
      </c>
      <c r="E218" s="1036">
        <f t="shared" ref="E218" si="224">100*((B218/$B$208)-1)</f>
        <v>5.6832560101222951</v>
      </c>
      <c r="F218" s="1037">
        <f t="shared" ref="F218" si="225">100*((B218/B206)-1)</f>
        <v>5.6832560101222951</v>
      </c>
      <c r="G218" s="1038">
        <f t="shared" ref="G218" si="226">100*(B218/B194-1)</f>
        <v>6.8037721775267679</v>
      </c>
      <c r="H218" s="861">
        <f t="shared" si="156"/>
        <v>1.1073017659383415</v>
      </c>
    </row>
    <row r="219" spans="1:8" ht="16.5" customHeight="1">
      <c r="A219" s="1032" t="str">
        <f>'Pn205'!A90</f>
        <v>NOVEMBRO|17</v>
      </c>
      <c r="B219" s="918">
        <f>geral!M848</f>
        <v>501.15</v>
      </c>
      <c r="C219" s="918">
        <f t="shared" ref="C219" si="227">100*B219/$B$8</f>
        <v>392.75078369905958</v>
      </c>
      <c r="D219" s="1036">
        <f t="shared" ref="D219" si="228">100*((B219/B218)-1)</f>
        <v>0</v>
      </c>
      <c r="E219" s="1036">
        <f t="shared" ref="E219" si="229">100*((B219/$B$208)-1)</f>
        <v>5.6832560101222951</v>
      </c>
      <c r="F219" s="1037">
        <f t="shared" ref="F219" si="230">100*((B219/B207)-1)</f>
        <v>5.6832560101222951</v>
      </c>
      <c r="G219" s="1038">
        <f t="shared" ref="G219" si="231">100*(B219/B195-1)</f>
        <v>6.8037721775267679</v>
      </c>
      <c r="H219" s="861">
        <f t="shared" si="156"/>
        <v>1.1073017659383415</v>
      </c>
    </row>
    <row r="220" spans="1:8" ht="16.5" customHeight="1">
      <c r="A220" s="1032" t="str">
        <f>'Pn205'!A91</f>
        <v>DEZEMBRO|17</v>
      </c>
      <c r="B220" s="918">
        <f>geral!M849</f>
        <v>501.15</v>
      </c>
      <c r="C220" s="918">
        <f t="shared" ref="C220" si="232">100*B220/$B$8</f>
        <v>392.75078369905958</v>
      </c>
      <c r="D220" s="1036">
        <f t="shared" ref="D220" si="233">100*((B220/B219)-1)</f>
        <v>0</v>
      </c>
      <c r="E220" s="1036">
        <f t="shared" ref="E220" si="234">100*((B220/$B$208)-1)</f>
        <v>5.6832560101222951</v>
      </c>
      <c r="F220" s="1037">
        <f t="shared" ref="F220" si="235">100*((B220/B208)-1)</f>
        <v>5.6832560101222951</v>
      </c>
      <c r="G220" s="1038">
        <f t="shared" ref="G220" si="236">100*(B220/B196-1)</f>
        <v>6.8037721775267679</v>
      </c>
      <c r="H220" s="861">
        <f t="shared" si="156"/>
        <v>1.1073017659383415</v>
      </c>
    </row>
    <row r="221" spans="1:8" ht="16.5" customHeight="1">
      <c r="A221" s="1032" t="str">
        <f>'Pn205'!A92</f>
        <v>JANEIRO|18</v>
      </c>
      <c r="B221" s="918">
        <f>geral!O838</f>
        <v>501.15</v>
      </c>
      <c r="C221" s="918">
        <f t="shared" ref="C221" si="237">100*B221/$B$8</f>
        <v>392.75078369905958</v>
      </c>
      <c r="D221" s="1036">
        <f t="shared" ref="D221" si="238">100*((B221/B220)-1)</f>
        <v>0</v>
      </c>
      <c r="E221" s="1036">
        <f t="shared" ref="E221:E226" si="239">100*((B221/$B$220)-1)</f>
        <v>0</v>
      </c>
      <c r="F221" s="1037">
        <f t="shared" ref="F221" si="240">100*((B221/B209)-1)</f>
        <v>3.393851867134301</v>
      </c>
      <c r="G221" s="1038">
        <f t="shared" ref="G221" si="241">100*(B221/B197-1)</f>
        <v>6.8037721775267679</v>
      </c>
      <c r="H221" s="861">
        <f t="shared" si="156"/>
        <v>1.1073017659383415</v>
      </c>
    </row>
    <row r="222" spans="1:8" ht="16.5" customHeight="1">
      <c r="A222" s="1032" t="str">
        <f>'Pn205'!A93</f>
        <v>FEVEREIRO|18</v>
      </c>
      <c r="B222" s="918">
        <f>geral!O839</f>
        <v>501.15</v>
      </c>
      <c r="C222" s="918">
        <f t="shared" ref="C222" si="242">100*B222/$B$8</f>
        <v>392.75078369905958</v>
      </c>
      <c r="D222" s="1036">
        <f t="shared" ref="D222" si="243">100*((B222/B221)-1)</f>
        <v>0</v>
      </c>
      <c r="E222" s="1036">
        <f t="shared" si="239"/>
        <v>0</v>
      </c>
      <c r="F222" s="1037">
        <f t="shared" ref="F222" si="244">100*((B222/B210)-1)</f>
        <v>3.393851867134301</v>
      </c>
      <c r="G222" s="1038">
        <f t="shared" ref="G222" si="245">100*(B222/B198-1)</f>
        <v>6.8037721775267679</v>
      </c>
      <c r="H222" s="861">
        <f t="shared" si="156"/>
        <v>1.1073017659383415</v>
      </c>
    </row>
    <row r="223" spans="1:8" ht="16.5" customHeight="1">
      <c r="A223" s="1032" t="str">
        <f>'Pn205'!A94</f>
        <v>MARÇO|18</v>
      </c>
      <c r="B223" s="918">
        <f>geral!O840</f>
        <v>501.15</v>
      </c>
      <c r="C223" s="918">
        <f t="shared" ref="C223" si="246">100*B223/$B$8</f>
        <v>392.75078369905958</v>
      </c>
      <c r="D223" s="1036">
        <f t="shared" ref="D223" si="247">100*((B223/B222)-1)</f>
        <v>0</v>
      </c>
      <c r="E223" s="1036">
        <f t="shared" si="239"/>
        <v>0</v>
      </c>
      <c r="F223" s="1037">
        <f t="shared" ref="F223" si="248">100*((B223/B211)-1)</f>
        <v>3.393851867134301</v>
      </c>
      <c r="G223" s="1038">
        <f t="shared" ref="G223" si="249">100*(B223/B199-1)</f>
        <v>6.8037721775267679</v>
      </c>
      <c r="H223" s="861">
        <f t="shared" si="156"/>
        <v>1.1073017659383415</v>
      </c>
    </row>
    <row r="224" spans="1:8" ht="16.5" customHeight="1">
      <c r="A224" s="1032" t="str">
        <f>'Pn205'!A95</f>
        <v>ABRIL|18</v>
      </c>
      <c r="B224" s="918">
        <f>geral!O841</f>
        <v>504.9</v>
      </c>
      <c r="C224" s="918">
        <f t="shared" ref="C224" si="250">100*B224/$B$8</f>
        <v>395.68965517241384</v>
      </c>
      <c r="D224" s="1036">
        <f t="shared" ref="D224" si="251">100*((B224/B223)-1)</f>
        <v>0.74827895839568725</v>
      </c>
      <c r="E224" s="1036">
        <f t="shared" si="239"/>
        <v>0.74827895839568725</v>
      </c>
      <c r="F224" s="1037">
        <f t="shared" ref="F224" si="252">100*((B224/B212)-1)</f>
        <v>4.1675263049308686</v>
      </c>
      <c r="G224" s="1038">
        <f t="shared" ref="G224" si="253">100*(B224/B200-1)</f>
        <v>7.6029623315040595</v>
      </c>
      <c r="H224" s="861">
        <f t="shared" si="156"/>
        <v>1.099077599524658</v>
      </c>
    </row>
    <row r="225" spans="1:8" ht="16.5" customHeight="1">
      <c r="A225" s="1032" t="str">
        <f>'Pn205'!A96</f>
        <v>MAIO|18</v>
      </c>
      <c r="B225" s="918">
        <f>geral!O842</f>
        <v>504.9</v>
      </c>
      <c r="C225" s="918">
        <f t="shared" ref="C225" si="254">100*B225/$B$8</f>
        <v>395.68965517241384</v>
      </c>
      <c r="D225" s="1036">
        <f t="shared" ref="D225" si="255">100*((B225/B224)-1)</f>
        <v>0</v>
      </c>
      <c r="E225" s="1036">
        <f t="shared" si="239"/>
        <v>0.74827895839568725</v>
      </c>
      <c r="F225" s="1037">
        <f t="shared" ref="F225" si="256">100*((B225/B213)-1)</f>
        <v>4.1675263049308686</v>
      </c>
      <c r="G225" s="1038">
        <f t="shared" ref="G225" si="257">100*(B225/B201-1)</f>
        <v>6.4740615773934973</v>
      </c>
      <c r="H225" s="861">
        <f t="shared" si="156"/>
        <v>1.099077599524658</v>
      </c>
    </row>
    <row r="226" spans="1:8" ht="16.5" customHeight="1">
      <c r="A226" s="1032" t="str">
        <f>'Pn205'!A97</f>
        <v>JUNHO|18</v>
      </c>
      <c r="B226" s="918">
        <f>geral!O843</f>
        <v>504.9</v>
      </c>
      <c r="C226" s="918">
        <f t="shared" ref="C226" si="258">100*B226/$B$8</f>
        <v>395.68965517241384</v>
      </c>
      <c r="D226" s="1036">
        <f t="shared" ref="D226" si="259">100*((B226/B225)-1)</f>
        <v>0</v>
      </c>
      <c r="E226" s="1036">
        <f t="shared" si="239"/>
        <v>0.74827895839568725</v>
      </c>
      <c r="F226" s="1037">
        <f t="shared" ref="F226" si="260">100*((B226/B214)-1)</f>
        <v>4.1675263049308686</v>
      </c>
      <c r="G226" s="1038">
        <f t="shared" ref="G226" si="261">100*(B226/B202-1)</f>
        <v>6.4740615773934973</v>
      </c>
      <c r="H226" s="861">
        <f t="shared" si="156"/>
        <v>1.099077599524658</v>
      </c>
    </row>
    <row r="227" spans="1:8" ht="16.5" customHeight="1">
      <c r="A227" s="1032" t="str">
        <f>'Pn205'!A98</f>
        <v>JULHO|18</v>
      </c>
      <c r="B227" s="918">
        <f>geral!O844</f>
        <v>504.9</v>
      </c>
      <c r="C227" s="918">
        <f t="shared" ref="C227" si="262">100*B227/$B$8</f>
        <v>395.68965517241384</v>
      </c>
      <c r="D227" s="1036">
        <f t="shared" ref="D227" si="263">100*((B227/B226)-1)</f>
        <v>0</v>
      </c>
      <c r="E227" s="1036">
        <f t="shared" ref="E227" si="264">100*((B227/$B$220)-1)</f>
        <v>0.74827895839568725</v>
      </c>
      <c r="F227" s="1037">
        <f t="shared" ref="F227" si="265">100*((B227/B215)-1)</f>
        <v>4.1675263049308686</v>
      </c>
      <c r="G227" s="1038">
        <f t="shared" ref="G227" si="266">100*(B227/B203-1)</f>
        <v>6.4740615773934973</v>
      </c>
      <c r="H227" s="861">
        <f t="shared" si="156"/>
        <v>1.099077599524658</v>
      </c>
    </row>
    <row r="228" spans="1:8" ht="16.5" customHeight="1">
      <c r="A228" s="1032" t="str">
        <f>'Pn205'!A99</f>
        <v>AGOSTO|18</v>
      </c>
      <c r="B228" s="918">
        <f>geral!O845</f>
        <v>504.9</v>
      </c>
      <c r="C228" s="918">
        <f t="shared" ref="C228" si="267">100*B228/$B$8</f>
        <v>395.68965517241384</v>
      </c>
      <c r="D228" s="1036">
        <f t="shared" ref="D228" si="268">100*((B228/B227)-1)</f>
        <v>0</v>
      </c>
      <c r="E228" s="1036">
        <f t="shared" ref="E228" si="269">100*((B228/$B$220)-1)</f>
        <v>0.74827895839568725</v>
      </c>
      <c r="F228" s="1037">
        <f t="shared" ref="F228" si="270">100*((B228/B216)-1)</f>
        <v>0.74827895839568725</v>
      </c>
      <c r="G228" s="1038">
        <f t="shared" ref="G228" si="271">100*(B228/B204-1)</f>
        <v>6.4740615773934973</v>
      </c>
      <c r="H228" s="861">
        <f t="shared" si="156"/>
        <v>1.099077599524658</v>
      </c>
    </row>
    <row r="229" spans="1:8" ht="16.5" customHeight="1">
      <c r="A229" s="1032" t="str">
        <f>'Pn205'!A100</f>
        <v>SETEMBRO|18</v>
      </c>
      <c r="B229" s="918">
        <f>geral!O846</f>
        <v>504.9</v>
      </c>
      <c r="C229" s="918">
        <f t="shared" ref="C229" si="272">100*B229/$B$8</f>
        <v>395.68965517241384</v>
      </c>
      <c r="D229" s="1036">
        <f t="shared" ref="D229" si="273">100*((B229/B228)-1)</f>
        <v>0</v>
      </c>
      <c r="E229" s="1036">
        <f t="shared" ref="E229" si="274">100*((B229/$B$220)-1)</f>
        <v>0.74827895839568725</v>
      </c>
      <c r="F229" s="1037">
        <f t="shared" ref="F229" si="275">100*((B229/B217)-1)</f>
        <v>0.74827895839568725</v>
      </c>
      <c r="G229" s="1038">
        <f t="shared" ref="G229" si="276">100*(B229/B205-1)</f>
        <v>6.4740615773934973</v>
      </c>
      <c r="H229" s="861">
        <f t="shared" si="156"/>
        <v>1.099077599524658</v>
      </c>
    </row>
    <row r="230" spans="1:8" ht="16.5" customHeight="1">
      <c r="A230" s="1032" t="str">
        <f>'Pn205'!A101</f>
        <v>OUTUBRO|18</v>
      </c>
      <c r="B230" s="918">
        <f>geral!O847</f>
        <v>512.4</v>
      </c>
      <c r="C230" s="918">
        <f t="shared" ref="C230" si="277">100*B230/$B$8</f>
        <v>401.56739811912229</v>
      </c>
      <c r="D230" s="1036">
        <f t="shared" ref="D230" si="278">100*((B230/B229)-1)</f>
        <v>1.485442661913261</v>
      </c>
      <c r="E230" s="1036">
        <f t="shared" ref="E230" si="279">100*((B230/$B$220)-1)</f>
        <v>2.2448368751870618</v>
      </c>
      <c r="F230" s="1037">
        <f t="shared" ref="F230" si="280">100*((B230/B218)-1)</f>
        <v>2.2448368751870618</v>
      </c>
      <c r="G230" s="1038">
        <f t="shared" ref="G230" si="281">100*(B230/B206-1)</f>
        <v>8.0556727119358804</v>
      </c>
      <c r="H230" s="861">
        <f t="shared" si="156"/>
        <v>1.0829903981264635</v>
      </c>
    </row>
    <row r="231" spans="1:8" ht="16.5" customHeight="1">
      <c r="A231" s="1032" t="str">
        <f>'Pn205'!A102</f>
        <v>NOVEMBRO|18</v>
      </c>
      <c r="B231" s="918">
        <f>geral!O848</f>
        <v>512.4</v>
      </c>
      <c r="C231" s="918">
        <f t="shared" ref="C231" si="282">100*B231/$B$8</f>
        <v>401.56739811912229</v>
      </c>
      <c r="D231" s="1036">
        <f t="shared" ref="D231" si="283">100*((B231/B230)-1)</f>
        <v>0</v>
      </c>
      <c r="E231" s="1036">
        <f t="shared" ref="E231" si="284">100*((B231/$B$220)-1)</f>
        <v>2.2448368751870618</v>
      </c>
      <c r="F231" s="1037">
        <f t="shared" ref="F231" si="285">100*((B231/B219)-1)</f>
        <v>2.2448368751870618</v>
      </c>
      <c r="G231" s="1038">
        <f t="shared" ref="G231" si="286">100*(B231/B207-1)</f>
        <v>8.0556727119358804</v>
      </c>
      <c r="H231" s="861">
        <f t="shared" si="156"/>
        <v>1.0829903981264635</v>
      </c>
    </row>
    <row r="232" spans="1:8" ht="16.5" customHeight="1">
      <c r="A232" s="1032" t="str">
        <f>'Pn205'!A103</f>
        <v>DEZEMBRO|18</v>
      </c>
      <c r="B232" s="918">
        <f>geral!O849</f>
        <v>512.4</v>
      </c>
      <c r="C232" s="918">
        <f t="shared" ref="C232" si="287">100*B232/$B$8</f>
        <v>401.56739811912229</v>
      </c>
      <c r="D232" s="1036">
        <f t="shared" ref="D232" si="288">100*((B232/B231)-1)</f>
        <v>0</v>
      </c>
      <c r="E232" s="1036">
        <f t="shared" ref="E232" si="289">100*((B232/$B$220)-1)</f>
        <v>2.2448368751870618</v>
      </c>
      <c r="F232" s="1037">
        <f t="shared" ref="F232" si="290">100*((B232/B220)-1)</f>
        <v>2.2448368751870618</v>
      </c>
      <c r="G232" s="1038">
        <f t="shared" ref="G232" si="291">100*(B232/B208-1)</f>
        <v>8.0556727119358804</v>
      </c>
      <c r="H232" s="861">
        <f t="shared" si="156"/>
        <v>1.0829903981264635</v>
      </c>
    </row>
    <row r="233" spans="1:8" ht="16.5" customHeight="1">
      <c r="A233" s="1032" t="str">
        <f>'Pn205'!A104</f>
        <v>JANEIRO|19</v>
      </c>
      <c r="B233" s="918">
        <f>geral!Q838</f>
        <v>512.4</v>
      </c>
      <c r="C233" s="918">
        <f t="shared" ref="C233" si="292">100*B233/$B$8</f>
        <v>401.56739811912229</v>
      </c>
      <c r="D233" s="1036">
        <f t="shared" ref="D233" si="293">100*((B233/B232)-1)</f>
        <v>0</v>
      </c>
      <c r="E233" s="1036">
        <f t="shared" ref="E233:E238" si="294">100*((B233/$B$232)-1)</f>
        <v>0</v>
      </c>
      <c r="F233" s="1037">
        <f t="shared" ref="F233" si="295">100*((B233/B221)-1)</f>
        <v>2.2448368751870618</v>
      </c>
      <c r="G233" s="1038">
        <f t="shared" ref="G233" si="296">100*(B233/B209-1)</f>
        <v>5.7148751805240261</v>
      </c>
      <c r="H233" s="861">
        <f t="shared" si="156"/>
        <v>1.0829903981264635</v>
      </c>
    </row>
    <row r="234" spans="1:8" ht="16.5" customHeight="1">
      <c r="A234" s="1032" t="str">
        <f>'Pn205'!A105</f>
        <v>FEVEREIRO|19</v>
      </c>
      <c r="B234" s="918">
        <f>geral!Q839</f>
        <v>524.9</v>
      </c>
      <c r="C234" s="918">
        <f t="shared" ref="C234" si="297">100*B234/$B$8</f>
        <v>411.36363636363637</v>
      </c>
      <c r="D234" s="1036">
        <f t="shared" ref="D234" si="298">100*((B234/B233)-1)</f>
        <v>2.4395003903200596</v>
      </c>
      <c r="E234" s="1036">
        <f t="shared" si="294"/>
        <v>2.4395003903200596</v>
      </c>
      <c r="F234" s="1037">
        <f t="shared" ref="F234" si="299">100*((B234/B222)-1)</f>
        <v>4.7391000698393748</v>
      </c>
      <c r="G234" s="1038">
        <f t="shared" ref="G234" si="300">100*(B234/B210-1)</f>
        <v>8.2937899731792655</v>
      </c>
      <c r="H234" s="861">
        <f t="shared" si="156"/>
        <v>1.0571999999999997</v>
      </c>
    </row>
    <row r="235" spans="1:8" ht="16.5" customHeight="1">
      <c r="A235" s="1032" t="str">
        <f>'Pn205'!A106</f>
        <v>MARÇO|19</v>
      </c>
      <c r="B235" s="918">
        <f>geral!Q840</f>
        <v>524.9</v>
      </c>
      <c r="C235" s="918">
        <f t="shared" ref="C235" si="301">100*B235/$B$8</f>
        <v>411.36363636363637</v>
      </c>
      <c r="D235" s="1036">
        <f t="shared" ref="D235" si="302">100*((B235/B234)-1)</f>
        <v>0</v>
      </c>
      <c r="E235" s="1036">
        <f t="shared" si="294"/>
        <v>2.4395003903200596</v>
      </c>
      <c r="F235" s="1037">
        <f t="shared" ref="F235" si="303">100*((B235/B223)-1)</f>
        <v>4.7391000698393748</v>
      </c>
      <c r="G235" s="1038">
        <f t="shared" ref="G235" si="304">100*(B235/B211-1)</f>
        <v>8.2937899731792655</v>
      </c>
      <c r="H235" s="861">
        <f t="shared" si="156"/>
        <v>1.0571999999999997</v>
      </c>
    </row>
    <row r="236" spans="1:8" ht="16.5" customHeight="1">
      <c r="A236" s="1032" t="str">
        <f>'Pn205'!A107</f>
        <v>ABRIL|19</v>
      </c>
      <c r="B236" s="918">
        <f>geral!Q841</f>
        <v>524.9</v>
      </c>
      <c r="C236" s="918">
        <f t="shared" ref="C236" si="305">100*B236/$B$8</f>
        <v>411.36363636363637</v>
      </c>
      <c r="D236" s="1036">
        <f t="shared" ref="D236" si="306">100*((B236/B235)-1)</f>
        <v>0</v>
      </c>
      <c r="E236" s="1036">
        <f t="shared" si="294"/>
        <v>2.4395003903200596</v>
      </c>
      <c r="F236" s="1037">
        <f t="shared" ref="F236" si="307">100*((B236/B224)-1)</f>
        <v>3.9611804317686738</v>
      </c>
      <c r="G236" s="1038">
        <f t="shared" ref="G236" si="308">100*(B236/B212-1)</f>
        <v>8.2937899731792655</v>
      </c>
      <c r="H236" s="861">
        <f t="shared" si="156"/>
        <v>1.0571999999999997</v>
      </c>
    </row>
    <row r="237" spans="1:8" ht="16.5" customHeight="1">
      <c r="A237" s="1032" t="str">
        <f>'Pn205'!A108</f>
        <v>MAIO|19</v>
      </c>
      <c r="B237" s="918">
        <f>geral!Q842</f>
        <v>524.9</v>
      </c>
      <c r="C237" s="918">
        <f t="shared" ref="C237" si="309">100*B237/$B$8</f>
        <v>411.36363636363637</v>
      </c>
      <c r="D237" s="1036">
        <f t="shared" ref="D237" si="310">100*((B237/B236)-1)</f>
        <v>0</v>
      </c>
      <c r="E237" s="1036">
        <f t="shared" si="294"/>
        <v>2.4395003903200596</v>
      </c>
      <c r="F237" s="1037">
        <f t="shared" ref="F237" si="311">100*((B237/B225)-1)</f>
        <v>3.9611804317686738</v>
      </c>
      <c r="G237" s="1038">
        <f t="shared" ref="G237" si="312">100*(B237/B213-1)</f>
        <v>8.2937899731792655</v>
      </c>
      <c r="H237" s="861">
        <f t="shared" si="156"/>
        <v>1.0571999999999997</v>
      </c>
    </row>
    <row r="238" spans="1:8" ht="16.5" customHeight="1">
      <c r="A238" s="1032" t="str">
        <f>'Pn205'!A109</f>
        <v>JUNHO|19</v>
      </c>
      <c r="B238" s="918">
        <f>geral!Q843</f>
        <v>524.9</v>
      </c>
      <c r="C238" s="918">
        <f t="shared" ref="C238" si="313">100*B238/$B$8</f>
        <v>411.36363636363637</v>
      </c>
      <c r="D238" s="1036">
        <f t="shared" ref="D238" si="314">100*((B238/B237)-1)</f>
        <v>0</v>
      </c>
      <c r="E238" s="1036">
        <f t="shared" si="294"/>
        <v>2.4395003903200596</v>
      </c>
      <c r="F238" s="1037">
        <f t="shared" ref="F238" si="315">100*((B238/B226)-1)</f>
        <v>3.9611804317686738</v>
      </c>
      <c r="G238" s="1038">
        <f t="shared" ref="G238" si="316">100*(B238/B214-1)</f>
        <v>8.2937899731792655</v>
      </c>
      <c r="H238" s="861">
        <f t="shared" si="156"/>
        <v>1.0571999999999997</v>
      </c>
    </row>
    <row r="239" spans="1:8" ht="16.5" customHeight="1">
      <c r="A239" s="1032" t="str">
        <f>'Pn205'!A110</f>
        <v>JULHO|19</v>
      </c>
      <c r="B239" s="918">
        <f>geral!Q844</f>
        <v>524.9</v>
      </c>
      <c r="C239" s="918">
        <f t="shared" ref="C239" si="317">100*B239/$B$8</f>
        <v>411.36363636363637</v>
      </c>
      <c r="D239" s="1036">
        <f t="shared" ref="D239" si="318">100*((B239/B238)-1)</f>
        <v>0</v>
      </c>
      <c r="E239" s="1036">
        <f t="shared" ref="E239" si="319">100*((B239/$B$232)-1)</f>
        <v>2.4395003903200596</v>
      </c>
      <c r="F239" s="1037">
        <f t="shared" ref="F239" si="320">100*((B239/B227)-1)</f>
        <v>3.9611804317686738</v>
      </c>
      <c r="G239" s="1038">
        <f t="shared" ref="G239" si="321">100*(B239/B215-1)</f>
        <v>8.2937899731792655</v>
      </c>
      <c r="H239" s="861">
        <f t="shared" si="156"/>
        <v>1.0571999999999997</v>
      </c>
    </row>
    <row r="240" spans="1:8" ht="16.5" customHeight="1">
      <c r="A240" s="1032" t="str">
        <f>'Pn205'!A111</f>
        <v>AGOSTO|19</v>
      </c>
      <c r="B240" s="918">
        <f>geral!Q845</f>
        <v>524.9</v>
      </c>
      <c r="C240" s="918">
        <f t="shared" ref="C240" si="322">100*B240/$B$8</f>
        <v>411.36363636363637</v>
      </c>
      <c r="D240" s="1036">
        <f t="shared" ref="D240" si="323">100*((B240/B239)-1)</f>
        <v>0</v>
      </c>
      <c r="E240" s="1036">
        <f t="shared" ref="E240" si="324">100*((B240/$B$232)-1)</f>
        <v>2.4395003903200596</v>
      </c>
      <c r="F240" s="1037">
        <f t="shared" ref="F240" si="325">100*((B240/B228)-1)</f>
        <v>3.9611804317686738</v>
      </c>
      <c r="G240" s="1038">
        <f t="shared" ref="G240" si="326">100*(B240/B216-1)</f>
        <v>4.7391000698393748</v>
      </c>
      <c r="H240" s="861">
        <f t="shared" si="156"/>
        <v>1.0571999999999997</v>
      </c>
    </row>
    <row r="241" spans="1:8" ht="16.5" customHeight="1">
      <c r="A241" s="1032" t="str">
        <f>'Pn205'!A112</f>
        <v>SETEMBRO|19</v>
      </c>
      <c r="B241" s="918">
        <f>geral!Q846</f>
        <v>524.9</v>
      </c>
      <c r="C241" s="918">
        <f t="shared" ref="C241" si="327">100*B241/$B$8</f>
        <v>411.36363636363637</v>
      </c>
      <c r="D241" s="1036">
        <f t="shared" ref="D241" si="328">100*((B241/B240)-1)</f>
        <v>0</v>
      </c>
      <c r="E241" s="1036">
        <f t="shared" ref="E241" si="329">100*((B241/$B$232)-1)</f>
        <v>2.4395003903200596</v>
      </c>
      <c r="F241" s="1037">
        <f t="shared" ref="F241" si="330">100*((B241/B229)-1)</f>
        <v>3.9611804317686738</v>
      </c>
      <c r="G241" s="1038">
        <f t="shared" ref="G241" si="331">100*(B241/B217-1)</f>
        <v>4.7391000698393748</v>
      </c>
      <c r="H241" s="861">
        <f t="shared" si="156"/>
        <v>1.0571999999999997</v>
      </c>
    </row>
    <row r="242" spans="1:8" ht="16.5" customHeight="1">
      <c r="A242" s="1032" t="str">
        <f>'Pn205'!A113</f>
        <v>OUTUBRO|19</v>
      </c>
      <c r="B242" s="918">
        <f>geral!Q847</f>
        <v>524.9</v>
      </c>
      <c r="C242" s="918">
        <f t="shared" ref="C242" si="332">100*B242/$B$8</f>
        <v>411.36363636363637</v>
      </c>
      <c r="D242" s="1036">
        <f t="shared" ref="D242" si="333">100*((B242/B241)-1)</f>
        <v>0</v>
      </c>
      <c r="E242" s="1036">
        <f t="shared" ref="E242" si="334">100*((B242/$B$232)-1)</f>
        <v>2.4395003903200596</v>
      </c>
      <c r="F242" s="1037">
        <f t="shared" ref="F242" si="335">100*((B242/B230)-1)</f>
        <v>2.4395003903200596</v>
      </c>
      <c r="G242" s="1038">
        <f t="shared" ref="G242" si="336">100*(B242/B218-1)</f>
        <v>4.7391000698393748</v>
      </c>
      <c r="H242" s="861">
        <f t="shared" si="156"/>
        <v>1.0571999999999997</v>
      </c>
    </row>
    <row r="243" spans="1:8" ht="16.5" customHeight="1">
      <c r="A243" s="1032" t="str">
        <f>'Pn205'!A114</f>
        <v>NOVEMBRO|19</v>
      </c>
      <c r="B243" s="918">
        <f>geral!Q848</f>
        <v>524.9</v>
      </c>
      <c r="C243" s="918">
        <f t="shared" ref="C243" si="337">100*B243/$B$8</f>
        <v>411.36363636363637</v>
      </c>
      <c r="D243" s="1036">
        <f t="shared" ref="D243" si="338">100*((B243/B242)-1)</f>
        <v>0</v>
      </c>
      <c r="E243" s="1036">
        <f t="shared" ref="E243" si="339">100*((B243/$B$232)-1)</f>
        <v>2.4395003903200596</v>
      </c>
      <c r="F243" s="1037">
        <f t="shared" ref="F243" si="340">100*((B243/B231)-1)</f>
        <v>2.4395003903200596</v>
      </c>
      <c r="G243" s="1038">
        <f t="shared" ref="G243" si="341">100*(B243/B219-1)</f>
        <v>4.7391000698393748</v>
      </c>
      <c r="H243" s="861">
        <f t="shared" si="156"/>
        <v>1.0571999999999997</v>
      </c>
    </row>
    <row r="244" spans="1:8" ht="16.5" customHeight="1">
      <c r="A244" s="1032" t="str">
        <f>'Pn205'!A115</f>
        <v>DEZEMBRO|19</v>
      </c>
      <c r="B244" s="918">
        <f>geral!Q849</f>
        <v>524.9</v>
      </c>
      <c r="C244" s="918">
        <f t="shared" ref="C244" si="342">100*B244/$B$8</f>
        <v>411.36363636363637</v>
      </c>
      <c r="D244" s="1036">
        <f t="shared" ref="D244" si="343">100*((B244/B243)-1)</f>
        <v>0</v>
      </c>
      <c r="E244" s="1036">
        <f t="shared" ref="E244" si="344">100*((B244/$B$232)-1)</f>
        <v>2.4395003903200596</v>
      </c>
      <c r="F244" s="1037">
        <f t="shared" ref="F244" si="345">100*((B244/B232)-1)</f>
        <v>2.4395003903200596</v>
      </c>
      <c r="G244" s="1038">
        <f t="shared" ref="G244" si="346">100*(B244/B220-1)</f>
        <v>4.7391000698393748</v>
      </c>
      <c r="H244" s="861">
        <f t="shared" si="156"/>
        <v>1.0571999999999997</v>
      </c>
    </row>
    <row r="245" spans="1:8" ht="16.5" customHeight="1">
      <c r="A245" s="1032" t="str">
        <f>'Pn205'!A116</f>
        <v>JANEIRO|20</v>
      </c>
      <c r="B245" s="918">
        <f>geral!S838</f>
        <v>524.9</v>
      </c>
      <c r="C245" s="918">
        <f t="shared" ref="C245" si="347">100*B245/$B$8</f>
        <v>411.36363636363637</v>
      </c>
      <c r="D245" s="1036">
        <f t="shared" ref="D245" si="348">100*((B245/B244)-1)</f>
        <v>0</v>
      </c>
      <c r="E245" s="1036">
        <f t="shared" ref="E245:E250" si="349">100*((B245/$B$244)-1)</f>
        <v>0</v>
      </c>
      <c r="F245" s="1037">
        <f t="shared" ref="F245" si="350">100*((B245/B233)-1)</f>
        <v>2.4395003903200596</v>
      </c>
      <c r="G245" s="1038">
        <f t="shared" ref="G245" si="351">100*(B245/B221-1)</f>
        <v>4.7391000698393748</v>
      </c>
      <c r="H245" s="861">
        <f t="shared" si="156"/>
        <v>1.0571999999999997</v>
      </c>
    </row>
    <row r="246" spans="1:8" ht="16.5" customHeight="1">
      <c r="A246" s="1032" t="str">
        <f>'Pn205'!A117</f>
        <v>FEVEREIRO|20</v>
      </c>
      <c r="B246" s="918">
        <f>geral!S839</f>
        <v>554.92427999999984</v>
      </c>
      <c r="C246" s="918">
        <f t="shared" ref="C246" si="352">100*B246/$B$8</f>
        <v>434.89363636363629</v>
      </c>
      <c r="D246" s="1036">
        <f t="shared" ref="D246" si="353">100*((B246/B245)-1)</f>
        <v>5.7199999999999696</v>
      </c>
      <c r="E246" s="1036">
        <f t="shared" si="349"/>
        <v>5.7199999999999696</v>
      </c>
      <c r="F246" s="1037">
        <f t="shared" ref="F246" si="354">100*((B246/B234)-1)</f>
        <v>5.7199999999999696</v>
      </c>
      <c r="G246" s="1038">
        <f t="shared" ref="G246" si="355">100*(B246/B222-1)</f>
        <v>10.730176593834152</v>
      </c>
      <c r="H246" s="861">
        <f t="shared" si="156"/>
        <v>1</v>
      </c>
    </row>
    <row r="247" spans="1:8" ht="16.5" customHeight="1">
      <c r="A247" s="1032" t="str">
        <f>'Pn205'!A118</f>
        <v>MARÇO|20</v>
      </c>
      <c r="B247" s="918">
        <f>geral!S840</f>
        <v>554.92427999999984</v>
      </c>
      <c r="C247" s="918">
        <f t="shared" ref="C247" si="356">100*B247/$B$8</f>
        <v>434.89363636363629</v>
      </c>
      <c r="D247" s="1036">
        <f t="shared" ref="D247" si="357">100*((B247/B246)-1)</f>
        <v>0</v>
      </c>
      <c r="E247" s="1036">
        <f t="shared" si="349"/>
        <v>5.7199999999999696</v>
      </c>
      <c r="F247" s="1037">
        <f t="shared" ref="F247" si="358">100*((B247/B235)-1)</f>
        <v>5.7199999999999696</v>
      </c>
      <c r="G247" s="1038">
        <f t="shared" ref="G247" si="359">100*(B247/B223-1)</f>
        <v>10.730176593834152</v>
      </c>
      <c r="H247" s="861">
        <f t="shared" si="156"/>
        <v>1</v>
      </c>
    </row>
    <row r="248" spans="1:8" ht="16.5" customHeight="1">
      <c r="A248" s="1032" t="str">
        <f>'Pn205'!A119</f>
        <v>ABRIL|20</v>
      </c>
      <c r="B248" s="918">
        <f>geral!S841</f>
        <v>554.92427999999984</v>
      </c>
      <c r="C248" s="918">
        <f t="shared" ref="C248" si="360">100*B248/$B$8</f>
        <v>434.89363636363629</v>
      </c>
      <c r="D248" s="1036">
        <f t="shared" ref="D248" si="361">100*((B248/B247)-1)</f>
        <v>0</v>
      </c>
      <c r="E248" s="1036">
        <f t="shared" si="349"/>
        <v>5.7199999999999696</v>
      </c>
      <c r="F248" s="1037">
        <f t="shared" ref="F248" si="362">100*((B248/B236)-1)</f>
        <v>5.7199999999999696</v>
      </c>
      <c r="G248" s="1038">
        <f t="shared" ref="G248" si="363">100*(B248/B224-1)</f>
        <v>9.9077599524657991</v>
      </c>
      <c r="H248" s="861">
        <f t="shared" si="156"/>
        <v>1</v>
      </c>
    </row>
    <row r="249" spans="1:8" ht="16.5" customHeight="1">
      <c r="A249" s="1032" t="str">
        <f>'Pn205'!A120</f>
        <v>MAIO|20</v>
      </c>
      <c r="B249" s="918">
        <f>geral!S842</f>
        <v>554.92427999999984</v>
      </c>
      <c r="C249" s="918">
        <f t="shared" ref="C249" si="364">100*B249/$B$8</f>
        <v>434.89363636363629</v>
      </c>
      <c r="D249" s="1036">
        <f t="shared" ref="D249" si="365">100*((B249/B248)-1)</f>
        <v>0</v>
      </c>
      <c r="E249" s="1036">
        <f t="shared" si="349"/>
        <v>5.7199999999999696</v>
      </c>
      <c r="F249" s="1037">
        <f t="shared" ref="F249" si="366">100*((B249/B237)-1)</f>
        <v>5.7199999999999696</v>
      </c>
      <c r="G249" s="1038">
        <f t="shared" ref="G249" si="367">100*(B249/B225-1)</f>
        <v>9.9077599524657991</v>
      </c>
      <c r="H249" s="861">
        <f t="shared" si="156"/>
        <v>1</v>
      </c>
    </row>
    <row r="250" spans="1:8" ht="16.5" customHeight="1">
      <c r="A250" s="1032" t="str">
        <f>'Pn205'!A121</f>
        <v>JUNHO|20</v>
      </c>
      <c r="B250" s="918">
        <f>geral!S843</f>
        <v>554.92427999999984</v>
      </c>
      <c r="C250" s="918">
        <f t="shared" ref="C250" si="368">100*B250/$B$8</f>
        <v>434.89363636363629</v>
      </c>
      <c r="D250" s="1036">
        <f t="shared" ref="D250" si="369">100*((B250/B249)-1)</f>
        <v>0</v>
      </c>
      <c r="E250" s="1036">
        <f t="shared" si="349"/>
        <v>5.7199999999999696</v>
      </c>
      <c r="F250" s="1037">
        <f t="shared" ref="F250" si="370">100*((B250/B238)-1)</f>
        <v>5.7199999999999696</v>
      </c>
      <c r="G250" s="1038">
        <f t="shared" ref="G250" si="371">100*(B250/B226-1)</f>
        <v>9.9077599524657991</v>
      </c>
      <c r="H250" s="861">
        <f t="shared" si="156"/>
        <v>1</v>
      </c>
    </row>
    <row r="251" spans="1:8" ht="16.5" customHeight="1">
      <c r="A251" s="1032" t="str">
        <f>'Pn205'!A122</f>
        <v>JULHO|20</v>
      </c>
      <c r="B251" s="918">
        <f>geral!S844</f>
        <v>554.92427999999984</v>
      </c>
      <c r="C251" s="918">
        <f t="shared" ref="C251" si="372">100*B251/$B$8</f>
        <v>434.89363636363629</v>
      </c>
      <c r="D251" s="1036">
        <f t="shared" ref="D251" si="373">100*((B251/B250)-1)</f>
        <v>0</v>
      </c>
      <c r="E251" s="1036">
        <f t="shared" ref="E251" si="374">100*((B251/$B$244)-1)</f>
        <v>5.7199999999999696</v>
      </c>
      <c r="F251" s="1037">
        <f t="shared" ref="F251" si="375">100*((B251/B239)-1)</f>
        <v>5.7199999999999696</v>
      </c>
      <c r="G251" s="1038">
        <f t="shared" ref="G251" si="376">100*(B251/B227-1)</f>
        <v>9.9077599524657991</v>
      </c>
      <c r="H251" s="861">
        <f t="shared" si="156"/>
        <v>1</v>
      </c>
    </row>
    <row r="252" spans="1:8" ht="16.5" customHeight="1">
      <c r="A252" s="1032" t="str">
        <f>'Pn205'!A123</f>
        <v>AGOSTO|20</v>
      </c>
      <c r="B252" s="918">
        <f>geral!S845</f>
        <v>554.92427999999984</v>
      </c>
      <c r="C252" s="918">
        <f t="shared" ref="C252" si="377">100*B252/$B$8</f>
        <v>434.89363636363629</v>
      </c>
      <c r="D252" s="1036">
        <f t="shared" ref="D252" si="378">100*((B252/B251)-1)</f>
        <v>0</v>
      </c>
      <c r="E252" s="1036">
        <f t="shared" ref="E252" si="379">100*((B252/$B$244)-1)</f>
        <v>5.7199999999999696</v>
      </c>
      <c r="F252" s="1037">
        <f t="shared" ref="F252" si="380">100*((B252/B240)-1)</f>
        <v>5.7199999999999696</v>
      </c>
      <c r="G252" s="1038">
        <f t="shared" ref="G252" si="381">100*(B252/B228-1)</f>
        <v>9.9077599524657991</v>
      </c>
      <c r="H252" s="926">
        <f t="shared" si="156"/>
        <v>1</v>
      </c>
    </row>
    <row r="253" spans="1:8" ht="16.5" customHeight="1" thickBot="1">
      <c r="A253" s="1046" t="str">
        <f>'Pn205'!A124</f>
        <v>SETEMBRO|20</v>
      </c>
      <c r="B253" s="1047">
        <f>geral!S846</f>
        <v>554.92427999999984</v>
      </c>
      <c r="C253" s="1047">
        <f t="shared" ref="C253" si="382">100*B253/$B$8</f>
        <v>434.89363636363629</v>
      </c>
      <c r="D253" s="1048">
        <f t="shared" ref="D253" si="383">100*((B253/B252)-1)</f>
        <v>0</v>
      </c>
      <c r="E253" s="1048">
        <f t="shared" ref="E253" si="384">100*((B253/$B$244)-1)</f>
        <v>5.7199999999999696</v>
      </c>
      <c r="F253" s="1051">
        <f t="shared" ref="F253" si="385">100*((B253/B241)-1)</f>
        <v>5.7199999999999696</v>
      </c>
      <c r="G253" s="1052">
        <f t="shared" ref="G253" si="386">100*(B253/B229-1)</f>
        <v>9.9077599524657991</v>
      </c>
      <c r="H253" s="1053">
        <f t="shared" si="156"/>
        <v>1</v>
      </c>
    </row>
    <row r="254" spans="1:8">
      <c r="A254" s="758" t="s">
        <v>238</v>
      </c>
    </row>
  </sheetData>
  <mergeCells count="7">
    <mergeCell ref="D5:G5"/>
    <mergeCell ref="H5:H6"/>
    <mergeCell ref="A7:B7"/>
    <mergeCell ref="D4:H4"/>
    <mergeCell ref="C1:H3"/>
    <mergeCell ref="A4:C4"/>
    <mergeCell ref="A5:C5"/>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7" orientation="portrait" r:id="rId1"/>
  <headerFooter>
    <oddFooter>&amp;L&amp;"Calibri,Regular"&amp;K184782&amp;F&amp;C&amp;"Calibri,Regular"&amp;K184782&amp;A&amp;R&amp;"Calibri,Regular"&amp;K184782&amp;P</oddFooter>
  </headerFooter>
  <rowBreaks count="1" manualBreakCount="1">
    <brk id="254" max="7"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33">
    <pageSetUpPr fitToPage="1"/>
  </sheetPr>
  <dimension ref="A1:J254"/>
  <sheetViews>
    <sheetView showGridLines="0" zoomScaleNormal="100" workbookViewId="0">
      <pane ySplit="2595" topLeftCell="A241" activePane="bottomLeft"/>
      <selection activeCell="I233" sqref="I233"/>
      <selection pane="bottomLeft" activeCell="J254" sqref="J254"/>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72" t="s">
        <v>371</v>
      </c>
      <c r="B4" s="1466"/>
      <c r="C4" s="1467"/>
      <c r="D4" s="1432" t="s">
        <v>365</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985" t="s">
        <v>341</v>
      </c>
      <c r="B6" s="986" t="s">
        <v>76</v>
      </c>
      <c r="C6" s="772" t="s">
        <v>68</v>
      </c>
      <c r="D6" s="772" t="s">
        <v>342</v>
      </c>
      <c r="E6" s="772" t="s">
        <v>343</v>
      </c>
      <c r="F6" s="772" t="s">
        <v>344</v>
      </c>
      <c r="G6" s="772" t="s">
        <v>345</v>
      </c>
      <c r="H6" s="1428"/>
    </row>
    <row r="7" spans="1:8" ht="15.75" customHeight="1" thickBot="1">
      <c r="A7" s="1419" t="s">
        <v>347</v>
      </c>
      <c r="B7" s="1604"/>
      <c r="C7" s="952" t="s">
        <v>394</v>
      </c>
      <c r="D7" s="952"/>
      <c r="E7" s="952"/>
      <c r="F7" s="952"/>
      <c r="G7" s="952"/>
      <c r="H7" s="953"/>
    </row>
    <row r="8" spans="1:8" ht="16.5" hidden="1" thickBot="1">
      <c r="A8" s="972" t="s">
        <v>557</v>
      </c>
      <c r="B8" s="987">
        <f>geral!C1361</f>
        <v>77.17</v>
      </c>
      <c r="C8" s="826">
        <v>100</v>
      </c>
      <c r="D8" s="827">
        <v>-79.851174934725847</v>
      </c>
      <c r="E8" s="827"/>
      <c r="F8" s="828"/>
      <c r="G8" s="850"/>
      <c r="H8" s="851">
        <f>$B$253/B8</f>
        <v>4.6633520798237651</v>
      </c>
    </row>
    <row r="9" spans="1:8" ht="16.5" hidden="1" thickBot="1">
      <c r="A9" s="973" t="s">
        <v>558</v>
      </c>
      <c r="B9" s="748">
        <f>geral!C1362</f>
        <v>74.83</v>
      </c>
      <c r="C9" s="748">
        <f>100*B9/$B$8</f>
        <v>96.967733575223534</v>
      </c>
      <c r="D9" s="750">
        <f t="shared" ref="D9:D72" si="0">100*((B9/B8)-1)</f>
        <v>-3.0322664247764752</v>
      </c>
      <c r="E9" s="750"/>
      <c r="F9" s="751"/>
      <c r="G9" s="840"/>
      <c r="H9" s="842">
        <f>$B$253/B9</f>
        <v>4.8091792062007208</v>
      </c>
    </row>
    <row r="10" spans="1:8" ht="16.5" hidden="1" thickBot="1">
      <c r="A10" s="973" t="s">
        <v>559</v>
      </c>
      <c r="B10" s="748">
        <f>geral!C1363</f>
        <v>74.5</v>
      </c>
      <c r="C10" s="748">
        <f t="shared" ref="C10:C73" si="1">100*B10/$B$8</f>
        <v>96.540106258908907</v>
      </c>
      <c r="D10" s="750">
        <f t="shared" si="0"/>
        <v>-0.44099959909127406</v>
      </c>
      <c r="E10" s="750"/>
      <c r="F10" s="751"/>
      <c r="G10" s="840"/>
      <c r="H10" s="842">
        <f>$B$253/B10</f>
        <v>4.8304816107382544</v>
      </c>
    </row>
    <row r="11" spans="1:8" ht="16.5" hidden="1" thickBot="1">
      <c r="A11" s="973" t="s">
        <v>560</v>
      </c>
      <c r="B11" s="748">
        <f>geral!C1364</f>
        <v>77.709999999999994</v>
      </c>
      <c r="C11" s="748">
        <f t="shared" si="1"/>
        <v>100.69975379033302</v>
      </c>
      <c r="D11" s="750">
        <f t="shared" si="0"/>
        <v>4.3087248322147609</v>
      </c>
      <c r="E11" s="750"/>
      <c r="F11" s="751"/>
      <c r="G11" s="840"/>
      <c r="H11" s="842">
        <f>$B$253/B11</f>
        <v>4.6309468536867842</v>
      </c>
    </row>
    <row r="12" spans="1:8" ht="16.5" hidden="1" thickBot="1">
      <c r="A12" s="973" t="s">
        <v>561</v>
      </c>
      <c r="B12" s="748">
        <f>geral!C1365</f>
        <v>89</v>
      </c>
      <c r="C12" s="748">
        <f t="shared" si="1"/>
        <v>115.32979136970324</v>
      </c>
      <c r="D12" s="750">
        <f t="shared" si="0"/>
        <v>14.528374726547423</v>
      </c>
      <c r="E12" s="750"/>
      <c r="F12" s="751"/>
      <c r="G12" s="840"/>
      <c r="H12" s="842">
        <f>$B$253/B12</f>
        <v>4.0434930337078647</v>
      </c>
    </row>
    <row r="13" spans="1:8" ht="16.5" hidden="1" thickBot="1">
      <c r="A13" s="973" t="s">
        <v>562</v>
      </c>
      <c r="B13" s="748">
        <f>geral!C1366</f>
        <v>80.83</v>
      </c>
      <c r="C13" s="748">
        <f t="shared" si="1"/>
        <v>104.74277569003499</v>
      </c>
      <c r="D13" s="750">
        <f t="shared" si="0"/>
        <v>-9.1797752808988839</v>
      </c>
      <c r="E13" s="750"/>
      <c r="F13" s="751"/>
      <c r="G13" s="840"/>
      <c r="H13" s="842">
        <f>$B$253/B13</f>
        <v>4.4521944822466901</v>
      </c>
    </row>
    <row r="14" spans="1:8" ht="16.5" hidden="1" thickBot="1">
      <c r="A14" s="973" t="s">
        <v>534</v>
      </c>
      <c r="B14" s="748">
        <f>geral!C1367</f>
        <v>83.6</v>
      </c>
      <c r="C14" s="748">
        <f t="shared" si="1"/>
        <v>108.33225346637295</v>
      </c>
      <c r="D14" s="750">
        <f t="shared" si="0"/>
        <v>3.4269454410491118</v>
      </c>
      <c r="E14" s="750"/>
      <c r="F14" s="751"/>
      <c r="G14" s="840"/>
      <c r="H14" s="842">
        <f>$B$253/B14</f>
        <v>4.3046755980861242</v>
      </c>
    </row>
    <row r="15" spans="1:8" ht="16.5" hidden="1" thickBot="1">
      <c r="A15" s="973" t="s">
        <v>563</v>
      </c>
      <c r="B15" s="748">
        <f>geral!C1368</f>
        <v>85.8</v>
      </c>
      <c r="C15" s="748">
        <f t="shared" si="1"/>
        <v>111.18310224180381</v>
      </c>
      <c r="D15" s="750">
        <f t="shared" si="0"/>
        <v>2.6315789473684292</v>
      </c>
      <c r="E15" s="750"/>
      <c r="F15" s="751"/>
      <c r="G15" s="840"/>
      <c r="H15" s="842">
        <f>$B$253/B15</f>
        <v>4.1942993006993001</v>
      </c>
    </row>
    <row r="16" spans="1:8" ht="16.5" hidden="1" thickBot="1">
      <c r="A16" s="973" t="s">
        <v>564</v>
      </c>
      <c r="B16" s="748">
        <f>geral!C1369</f>
        <v>83.25</v>
      </c>
      <c r="C16" s="748">
        <f t="shared" si="1"/>
        <v>107.87870934300894</v>
      </c>
      <c r="D16" s="750">
        <f t="shared" si="0"/>
        <v>-2.9720279720279685</v>
      </c>
      <c r="E16" s="750"/>
      <c r="F16" s="751"/>
      <c r="G16" s="840"/>
      <c r="H16" s="842">
        <f>$B$253/B16</f>
        <v>4.3227733333333322</v>
      </c>
    </row>
    <row r="17" spans="1:8" ht="16.5" hidden="1" thickBot="1">
      <c r="A17" s="973" t="s">
        <v>546</v>
      </c>
      <c r="B17" s="748">
        <f>geral!E1358</f>
        <v>88.6</v>
      </c>
      <c r="C17" s="748">
        <f t="shared" si="1"/>
        <v>114.81145522871581</v>
      </c>
      <c r="D17" s="750">
        <f t="shared" si="0"/>
        <v>6.4264264264264126</v>
      </c>
      <c r="E17" s="750">
        <f t="shared" ref="E17:E28" si="2">100*((B17/$B$16)-1)</f>
        <v>6.4264264264264126</v>
      </c>
      <c r="F17" s="751"/>
      <c r="G17" s="840"/>
      <c r="H17" s="842">
        <f>$B$253/B17</f>
        <v>4.061748081264108</v>
      </c>
    </row>
    <row r="18" spans="1:8" ht="16.5" hidden="1" thickBot="1">
      <c r="A18" s="973" t="s">
        <v>547</v>
      </c>
      <c r="B18" s="748">
        <f>geral!E1359</f>
        <v>92.5</v>
      </c>
      <c r="C18" s="748">
        <f t="shared" si="1"/>
        <v>119.86523260334326</v>
      </c>
      <c r="D18" s="750">
        <f t="shared" si="0"/>
        <v>4.4018058690745043</v>
      </c>
      <c r="E18" s="750">
        <f t="shared" si="2"/>
        <v>11.111111111111116</v>
      </c>
      <c r="F18" s="751"/>
      <c r="G18" s="840"/>
      <c r="H18" s="842">
        <f>$B$253/B18</f>
        <v>3.8904959999999993</v>
      </c>
    </row>
    <row r="19" spans="1:8" ht="16.5" hidden="1" thickBot="1">
      <c r="A19" s="973" t="s">
        <v>548</v>
      </c>
      <c r="B19" s="748">
        <f>geral!E1360</f>
        <v>82.75</v>
      </c>
      <c r="C19" s="748">
        <f t="shared" si="1"/>
        <v>107.23078916677466</v>
      </c>
      <c r="D19" s="750">
        <f t="shared" si="0"/>
        <v>-10.540540540540544</v>
      </c>
      <c r="E19" s="750">
        <f t="shared" si="2"/>
        <v>-0.60060060060059817</v>
      </c>
      <c r="F19" s="751"/>
      <c r="G19" s="840"/>
      <c r="H19" s="842">
        <f>$B$253/B19</f>
        <v>4.3488928096676727</v>
      </c>
    </row>
    <row r="20" spans="1:8" ht="16.5" hidden="1" thickBot="1">
      <c r="A20" s="973" t="s">
        <v>549</v>
      </c>
      <c r="B20" s="748">
        <f>geral!E1361</f>
        <v>82.8</v>
      </c>
      <c r="C20" s="748">
        <f t="shared" si="1"/>
        <v>107.29558118439807</v>
      </c>
      <c r="D20" s="750">
        <f t="shared" si="0"/>
        <v>6.0422960725081687E-2</v>
      </c>
      <c r="E20" s="750">
        <f t="shared" si="2"/>
        <v>-0.54054054054054612</v>
      </c>
      <c r="F20" s="751">
        <f t="shared" ref="F20:F83" si="3">100*((B20/B8)-1)</f>
        <v>7.2955811843980811</v>
      </c>
      <c r="G20" s="840"/>
      <c r="H20" s="842">
        <f>$B$253/B20</f>
        <v>4.3462666666666658</v>
      </c>
    </row>
    <row r="21" spans="1:8" ht="16.5" hidden="1" thickBot="1">
      <c r="A21" s="973" t="s">
        <v>550</v>
      </c>
      <c r="B21" s="748">
        <f>geral!E1362</f>
        <v>83.2</v>
      </c>
      <c r="C21" s="748">
        <f t="shared" si="1"/>
        <v>107.8139173253855</v>
      </c>
      <c r="D21" s="750">
        <f t="shared" si="0"/>
        <v>0.48309178743961567</v>
      </c>
      <c r="E21" s="750">
        <f t="shared" si="2"/>
        <v>-6.0060060060052045E-2</v>
      </c>
      <c r="F21" s="751">
        <f t="shared" si="3"/>
        <v>11.185353467860493</v>
      </c>
      <c r="G21" s="840"/>
      <c r="H21" s="842">
        <f>$B$253/B21</f>
        <v>4.3253711538461532</v>
      </c>
    </row>
    <row r="22" spans="1:8" ht="16.5" hidden="1" thickBot="1">
      <c r="A22" s="973" t="s">
        <v>551</v>
      </c>
      <c r="B22" s="748">
        <f>geral!E1363</f>
        <v>77.5</v>
      </c>
      <c r="C22" s="748">
        <f t="shared" si="1"/>
        <v>100.42762731631463</v>
      </c>
      <c r="D22" s="750">
        <f t="shared" si="0"/>
        <v>-6.8509615384615419</v>
      </c>
      <c r="E22" s="750">
        <f t="shared" si="2"/>
        <v>-6.9069069069069062</v>
      </c>
      <c r="F22" s="751">
        <f t="shared" si="3"/>
        <v>4.0268456375838868</v>
      </c>
      <c r="G22" s="840"/>
      <c r="H22" s="842">
        <f>$B$253/B22</f>
        <v>4.6434952258064506</v>
      </c>
    </row>
    <row r="23" spans="1:8" ht="16.5" hidden="1" thickBot="1">
      <c r="A23" s="973" t="s">
        <v>552</v>
      </c>
      <c r="B23" s="748">
        <f>geral!E1364</f>
        <v>87.6</v>
      </c>
      <c r="C23" s="748">
        <f t="shared" si="1"/>
        <v>113.51561487624724</v>
      </c>
      <c r="D23" s="750">
        <f t="shared" si="0"/>
        <v>13.03225806451611</v>
      </c>
      <c r="E23" s="750">
        <f t="shared" si="2"/>
        <v>5.2252252252252163</v>
      </c>
      <c r="F23" s="751">
        <f t="shared" si="3"/>
        <v>12.726804787028701</v>
      </c>
      <c r="G23" s="840"/>
      <c r="H23" s="842">
        <f>$B$253/B23</f>
        <v>4.1081150684931504</v>
      </c>
    </row>
    <row r="24" spans="1:8" ht="16.5" hidden="1" thickBot="1">
      <c r="A24" s="973" t="s">
        <v>553</v>
      </c>
      <c r="B24" s="748">
        <f>geral!E1365</f>
        <v>86.7</v>
      </c>
      <c r="C24" s="748">
        <f t="shared" si="1"/>
        <v>112.34935855902553</v>
      </c>
      <c r="D24" s="750">
        <f t="shared" si="0"/>
        <v>-1.0273972602739656</v>
      </c>
      <c r="E24" s="750">
        <f t="shared" si="2"/>
        <v>4.1441441441441462</v>
      </c>
      <c r="F24" s="751">
        <f t="shared" si="3"/>
        <v>-2.5842696629213457</v>
      </c>
      <c r="G24" s="840"/>
      <c r="H24" s="842">
        <f>$B$253/B24</f>
        <v>4.1507598615916947</v>
      </c>
    </row>
    <row r="25" spans="1:8" ht="16.5" hidden="1" thickBot="1">
      <c r="A25" s="973" t="s">
        <v>554</v>
      </c>
      <c r="B25" s="748">
        <f>geral!E1366</f>
        <v>78.400000000000006</v>
      </c>
      <c r="C25" s="748">
        <f t="shared" si="1"/>
        <v>101.59388363353636</v>
      </c>
      <c r="D25" s="750">
        <f t="shared" si="0"/>
        <v>-9.5732410611303322</v>
      </c>
      <c r="E25" s="750">
        <f t="shared" si="2"/>
        <v>-5.8258258258258149</v>
      </c>
      <c r="F25" s="751">
        <f t="shared" si="3"/>
        <v>-3.0063095385376659</v>
      </c>
      <c r="G25" s="840"/>
      <c r="H25" s="842">
        <f>$B$253/B25</f>
        <v>4.5901897959183664</v>
      </c>
    </row>
    <row r="26" spans="1:8" ht="16.5" hidden="1" thickBot="1">
      <c r="A26" s="973" t="s">
        <v>533</v>
      </c>
      <c r="B26" s="748">
        <f>geral!E1367</f>
        <v>84.6</v>
      </c>
      <c r="C26" s="748">
        <f t="shared" si="1"/>
        <v>109.62809381884152</v>
      </c>
      <c r="D26" s="750">
        <f t="shared" si="0"/>
        <v>7.9081632653061007</v>
      </c>
      <c r="E26" s="750">
        <f t="shared" si="2"/>
        <v>1.6216216216216051</v>
      </c>
      <c r="F26" s="751">
        <f t="shared" si="3"/>
        <v>1.1961722488038173</v>
      </c>
      <c r="G26" s="840"/>
      <c r="H26" s="842">
        <f>$B$253/B26</f>
        <v>4.2537929078014178</v>
      </c>
    </row>
    <row r="27" spans="1:8" ht="16.5" hidden="1" thickBot="1">
      <c r="A27" s="973" t="s">
        <v>555</v>
      </c>
      <c r="B27" s="748">
        <f>geral!E1368</f>
        <v>87.8</v>
      </c>
      <c r="C27" s="748">
        <f t="shared" si="1"/>
        <v>113.77478294674096</v>
      </c>
      <c r="D27" s="750">
        <f t="shared" si="0"/>
        <v>3.7825059101654901</v>
      </c>
      <c r="E27" s="750">
        <f t="shared" si="2"/>
        <v>5.4654654654654689</v>
      </c>
      <c r="F27" s="751">
        <f t="shared" si="3"/>
        <v>2.3310023310023409</v>
      </c>
      <c r="G27" s="840"/>
      <c r="H27" s="842">
        <f>$B$253/B27</f>
        <v>4.0987571753986325</v>
      </c>
    </row>
    <row r="28" spans="1:8" ht="16.5" hidden="1" thickBot="1">
      <c r="A28" s="973" t="s">
        <v>556</v>
      </c>
      <c r="B28" s="748">
        <f>geral!E1369</f>
        <v>87.4</v>
      </c>
      <c r="C28" s="748">
        <f t="shared" si="1"/>
        <v>113.25644680575353</v>
      </c>
      <c r="D28" s="750">
        <f t="shared" si="0"/>
        <v>-0.45558086560363309</v>
      </c>
      <c r="E28" s="750">
        <f t="shared" si="2"/>
        <v>4.9849849849849859</v>
      </c>
      <c r="F28" s="751">
        <f t="shared" si="3"/>
        <v>4.9849849849849859</v>
      </c>
      <c r="G28" s="840"/>
      <c r="H28" s="842">
        <f>$B$253/B28</f>
        <v>4.1175157894736829</v>
      </c>
    </row>
    <row r="29" spans="1:8" ht="16.5" hidden="1" thickBot="1">
      <c r="A29" s="973" t="s">
        <v>535</v>
      </c>
      <c r="B29" s="748">
        <f>geral!G1358</f>
        <v>88</v>
      </c>
      <c r="C29" s="748">
        <f t="shared" si="1"/>
        <v>114.03395101723467</v>
      </c>
      <c r="D29" s="750">
        <f t="shared" si="0"/>
        <v>0.68649885583522696</v>
      </c>
      <c r="E29" s="750">
        <f t="shared" ref="E29:E40" si="4">100*((B29/$B$28)-1)</f>
        <v>0.68649885583522696</v>
      </c>
      <c r="F29" s="751">
        <f t="shared" si="3"/>
        <v>-0.67720090293452717</v>
      </c>
      <c r="G29" s="840"/>
      <c r="H29" s="842">
        <f>$B$253/B29</f>
        <v>4.0894418181818173</v>
      </c>
    </row>
    <row r="30" spans="1:8" ht="16.5" hidden="1" thickBot="1">
      <c r="A30" s="973" t="s">
        <v>536</v>
      </c>
      <c r="B30" s="748">
        <f>geral!G1359</f>
        <v>93</v>
      </c>
      <c r="C30" s="748">
        <f t="shared" si="1"/>
        <v>120.51315277957755</v>
      </c>
      <c r="D30" s="750">
        <f t="shared" si="0"/>
        <v>5.6818181818181879</v>
      </c>
      <c r="E30" s="750">
        <f t="shared" si="4"/>
        <v>6.4073226544622441</v>
      </c>
      <c r="F30" s="751">
        <f t="shared" si="3"/>
        <v>0.54054054054053502</v>
      </c>
      <c r="G30" s="840"/>
      <c r="H30" s="842">
        <f>$B$253/B30</f>
        <v>3.869579354838709</v>
      </c>
    </row>
    <row r="31" spans="1:8" ht="16.5" hidden="1" thickBot="1">
      <c r="A31" s="973" t="s">
        <v>537</v>
      </c>
      <c r="B31" s="748">
        <f>geral!G1360</f>
        <v>92.75</v>
      </c>
      <c r="C31" s="748">
        <f t="shared" si="1"/>
        <v>120.18919269146041</v>
      </c>
      <c r="D31" s="750">
        <f t="shared" si="0"/>
        <v>-0.26881720430107503</v>
      </c>
      <c r="E31" s="750">
        <f t="shared" si="4"/>
        <v>6.1212814645308811</v>
      </c>
      <c r="F31" s="751">
        <f t="shared" si="3"/>
        <v>12.084592145015115</v>
      </c>
      <c r="G31" s="840"/>
      <c r="H31" s="842">
        <f>$B$253/B31</f>
        <v>3.8800094878706193</v>
      </c>
    </row>
    <row r="32" spans="1:8" ht="16.5" hidden="1" thickBot="1">
      <c r="A32" s="973" t="s">
        <v>538</v>
      </c>
      <c r="B32" s="748">
        <f>geral!G1361</f>
        <v>92.8</v>
      </c>
      <c r="C32" s="748">
        <f t="shared" si="1"/>
        <v>120.25398470908384</v>
      </c>
      <c r="D32" s="750">
        <f t="shared" si="0"/>
        <v>5.3908355795151408E-2</v>
      </c>
      <c r="E32" s="750">
        <f t="shared" si="4"/>
        <v>6.1784897025171537</v>
      </c>
      <c r="F32" s="751">
        <f t="shared" si="3"/>
        <v>12.077294685990347</v>
      </c>
      <c r="G32" s="840">
        <f>100*(B32/B8-1)</f>
        <v>20.253984709083838</v>
      </c>
      <c r="H32" s="842">
        <f>$B$253/B32</f>
        <v>3.877918965517241</v>
      </c>
    </row>
    <row r="33" spans="1:8" ht="16.5" hidden="1" thickBot="1">
      <c r="A33" s="973" t="s">
        <v>539</v>
      </c>
      <c r="B33" s="748">
        <f>geral!G1362</f>
        <v>93.6</v>
      </c>
      <c r="C33" s="748">
        <f t="shared" si="1"/>
        <v>121.2906569910587</v>
      </c>
      <c r="D33" s="750">
        <f t="shared" si="0"/>
        <v>0.86206896551723755</v>
      </c>
      <c r="E33" s="750">
        <f t="shared" si="4"/>
        <v>7.0938215102974711</v>
      </c>
      <c r="F33" s="751">
        <f t="shared" si="3"/>
        <v>12.5</v>
      </c>
      <c r="G33" s="840">
        <f t="shared" ref="G33:G89" si="5">100*(B33/B9-1)</f>
        <v>25.083522651343038</v>
      </c>
      <c r="H33" s="842">
        <f>$B$253/B33</f>
        <v>3.8447743589743588</v>
      </c>
    </row>
    <row r="34" spans="1:8" ht="16.5" hidden="1" thickBot="1">
      <c r="A34" s="973" t="s">
        <v>540</v>
      </c>
      <c r="B34" s="748">
        <f>geral!G1363</f>
        <v>90</v>
      </c>
      <c r="C34" s="748">
        <f t="shared" si="1"/>
        <v>116.62563172217183</v>
      </c>
      <c r="D34" s="750">
        <f t="shared" si="0"/>
        <v>-3.8461538461538436</v>
      </c>
      <c r="E34" s="750">
        <f t="shared" si="4"/>
        <v>2.9748283752860427</v>
      </c>
      <c r="F34" s="751">
        <f t="shared" si="3"/>
        <v>16.129032258064523</v>
      </c>
      <c r="G34" s="840">
        <f t="shared" si="5"/>
        <v>20.805369127516784</v>
      </c>
      <c r="H34" s="842">
        <f>$B$253/B34</f>
        <v>3.9985653333333326</v>
      </c>
    </row>
    <row r="35" spans="1:8" ht="16.5" hidden="1" thickBot="1">
      <c r="A35" s="973" t="s">
        <v>541</v>
      </c>
      <c r="B35" s="748">
        <f>geral!G1364</f>
        <v>87.6</v>
      </c>
      <c r="C35" s="748">
        <f t="shared" si="1"/>
        <v>113.51561487624724</v>
      </c>
      <c r="D35" s="750">
        <f t="shared" si="0"/>
        <v>-2.6666666666666727</v>
      </c>
      <c r="E35" s="750">
        <f t="shared" si="4"/>
        <v>0.22883295194506825</v>
      </c>
      <c r="F35" s="751">
        <f t="shared" si="3"/>
        <v>0</v>
      </c>
      <c r="G35" s="840">
        <f t="shared" si="5"/>
        <v>12.726804787028701</v>
      </c>
      <c r="H35" s="842">
        <f>$B$253/B35</f>
        <v>4.1081150684931504</v>
      </c>
    </row>
    <row r="36" spans="1:8" ht="16.5" hidden="1" thickBot="1">
      <c r="A36" s="973" t="s">
        <v>542</v>
      </c>
      <c r="B36" s="748">
        <f>geral!G1365</f>
        <v>106</v>
      </c>
      <c r="C36" s="748">
        <f t="shared" si="1"/>
        <v>137.35907736166905</v>
      </c>
      <c r="D36" s="750">
        <f t="shared" si="0"/>
        <v>21.004566210045674</v>
      </c>
      <c r="E36" s="750">
        <f t="shared" si="4"/>
        <v>21.281464530892436</v>
      </c>
      <c r="F36" s="751">
        <f t="shared" si="3"/>
        <v>22.260668973471741</v>
      </c>
      <c r="G36" s="840">
        <f t="shared" si="5"/>
        <v>19.101123595505619</v>
      </c>
      <c r="H36" s="842">
        <f>$B$253/B36</f>
        <v>3.3950083018867918</v>
      </c>
    </row>
    <row r="37" spans="1:8" ht="16.5" hidden="1" thickBot="1">
      <c r="A37" s="973" t="s">
        <v>543</v>
      </c>
      <c r="B37" s="748">
        <f>geral!G1366</f>
        <v>106.58</v>
      </c>
      <c r="C37" s="748">
        <f t="shared" si="1"/>
        <v>138.11066476610083</v>
      </c>
      <c r="D37" s="750">
        <f t="shared" si="0"/>
        <v>0.54716981132074682</v>
      </c>
      <c r="E37" s="750">
        <f t="shared" si="4"/>
        <v>21.945080091533175</v>
      </c>
      <c r="F37" s="751">
        <f t="shared" si="3"/>
        <v>35.9438775510204</v>
      </c>
      <c r="G37" s="840">
        <f t="shared" si="5"/>
        <v>31.856983793146121</v>
      </c>
      <c r="H37" s="842">
        <f>$B$253/B37</f>
        <v>3.3765329330080687</v>
      </c>
    </row>
    <row r="38" spans="1:8" ht="16.5" hidden="1" thickBot="1">
      <c r="A38" s="973" t="s">
        <v>532</v>
      </c>
      <c r="B38" s="748">
        <f>geral!G1367</f>
        <v>104.4</v>
      </c>
      <c r="C38" s="748">
        <f t="shared" si="1"/>
        <v>135.28573279771931</v>
      </c>
      <c r="D38" s="750">
        <f t="shared" si="0"/>
        <v>-2.0454118971664381</v>
      </c>
      <c r="E38" s="750">
        <f t="shared" si="4"/>
        <v>19.450800915331801</v>
      </c>
      <c r="F38" s="751">
        <f t="shared" si="3"/>
        <v>23.404255319148959</v>
      </c>
      <c r="G38" s="840">
        <f t="shared" si="5"/>
        <v>24.880382775119635</v>
      </c>
      <c r="H38" s="842">
        <f>$B$253/B38</f>
        <v>3.4470390804597693</v>
      </c>
    </row>
    <row r="39" spans="1:8" ht="16.5" hidden="1" thickBot="1">
      <c r="A39" s="973" t="s">
        <v>544</v>
      </c>
      <c r="B39" s="748">
        <f>geral!G1368</f>
        <v>109.2</v>
      </c>
      <c r="C39" s="748">
        <f t="shared" si="1"/>
        <v>141.50576648956849</v>
      </c>
      <c r="D39" s="750">
        <f t="shared" si="0"/>
        <v>4.5977011494252817</v>
      </c>
      <c r="E39" s="750">
        <f t="shared" si="4"/>
        <v>24.942791762013726</v>
      </c>
      <c r="F39" s="751">
        <f t="shared" si="3"/>
        <v>24.373576309794998</v>
      </c>
      <c r="G39" s="840">
        <f t="shared" si="5"/>
        <v>27.27272727272727</v>
      </c>
      <c r="H39" s="842">
        <f>$B$253/B39</f>
        <v>3.2955208791208785</v>
      </c>
    </row>
    <row r="40" spans="1:8" ht="16.5" hidden="1" thickBot="1">
      <c r="A40" s="973" t="s">
        <v>545</v>
      </c>
      <c r="B40" s="748">
        <f>geral!G1369</f>
        <v>111.44</v>
      </c>
      <c r="C40" s="748">
        <f t="shared" si="1"/>
        <v>144.4084488790981</v>
      </c>
      <c r="D40" s="750">
        <f t="shared" si="0"/>
        <v>2.051282051282044</v>
      </c>
      <c r="E40" s="750">
        <f t="shared" si="4"/>
        <v>27.505720823798608</v>
      </c>
      <c r="F40" s="751">
        <f t="shared" si="3"/>
        <v>27.505720823798608</v>
      </c>
      <c r="G40" s="840">
        <f t="shared" si="5"/>
        <v>33.861861861861861</v>
      </c>
      <c r="H40" s="842">
        <f>$B$253/B40</f>
        <v>3.2292792534099064</v>
      </c>
    </row>
    <row r="41" spans="1:8" ht="16.5" hidden="1" thickBot="1">
      <c r="A41" s="973" t="s">
        <v>565</v>
      </c>
      <c r="B41" s="748">
        <f>geral!I1358</f>
        <v>104.6</v>
      </c>
      <c r="C41" s="748">
        <f t="shared" si="1"/>
        <v>135.54490086821303</v>
      </c>
      <c r="D41" s="750">
        <f t="shared" si="0"/>
        <v>-6.1378320172290053</v>
      </c>
      <c r="E41" s="750">
        <f t="shared" ref="E41:E52" si="6">100*((B41/$B$40)-1)</f>
        <v>-6.1378320172290053</v>
      </c>
      <c r="F41" s="751">
        <f t="shared" si="3"/>
        <v>18.863636363636349</v>
      </c>
      <c r="G41" s="840">
        <f t="shared" si="5"/>
        <v>18.058690744920991</v>
      </c>
      <c r="H41" s="842">
        <f>$B$253/B41</f>
        <v>3.4404481835564051</v>
      </c>
    </row>
    <row r="42" spans="1:8" ht="16.5" hidden="1" thickBot="1">
      <c r="A42" s="973" t="s">
        <v>566</v>
      </c>
      <c r="B42" s="748">
        <f>geral!I1359</f>
        <v>123.25</v>
      </c>
      <c r="C42" s="748">
        <f t="shared" si="1"/>
        <v>159.71232344175198</v>
      </c>
      <c r="D42" s="750">
        <f t="shared" si="0"/>
        <v>17.829827915869977</v>
      </c>
      <c r="E42" s="750">
        <f t="shared" si="6"/>
        <v>10.597631012203879</v>
      </c>
      <c r="F42" s="751">
        <f t="shared" si="3"/>
        <v>32.526881720430097</v>
      </c>
      <c r="G42" s="840">
        <f t="shared" si="5"/>
        <v>33.243243243243235</v>
      </c>
      <c r="H42" s="842">
        <f>$B$253/B42</f>
        <v>2.9198448681541578</v>
      </c>
    </row>
    <row r="43" spans="1:8" ht="16.5" hidden="1" thickBot="1">
      <c r="A43" s="973" t="s">
        <v>567</v>
      </c>
      <c r="B43" s="748">
        <f>geral!I1360</f>
        <v>120</v>
      </c>
      <c r="C43" s="748">
        <f t="shared" si="1"/>
        <v>155.50084229622911</v>
      </c>
      <c r="D43" s="750">
        <f t="shared" si="0"/>
        <v>-2.6369168356997985</v>
      </c>
      <c r="E43" s="750">
        <f t="shared" si="6"/>
        <v>7.6812634601579388</v>
      </c>
      <c r="F43" s="751">
        <f t="shared" si="3"/>
        <v>29.380053908355784</v>
      </c>
      <c r="G43" s="840">
        <f t="shared" si="5"/>
        <v>45.015105740181262</v>
      </c>
      <c r="H43" s="842">
        <f>$B$253/B43</f>
        <v>2.9989239999999997</v>
      </c>
    </row>
    <row r="44" spans="1:8" ht="16.5" hidden="1" thickBot="1">
      <c r="A44" s="973" t="s">
        <v>568</v>
      </c>
      <c r="B44" s="748">
        <f>geral!I1361</f>
        <v>118.25</v>
      </c>
      <c r="C44" s="748">
        <f t="shared" si="1"/>
        <v>153.23312167940909</v>
      </c>
      <c r="D44" s="750">
        <f t="shared" si="0"/>
        <v>-1.4583333333333282</v>
      </c>
      <c r="E44" s="750">
        <f t="shared" si="6"/>
        <v>6.1109117013639747</v>
      </c>
      <c r="F44" s="751">
        <f t="shared" si="3"/>
        <v>27.424568965517238</v>
      </c>
      <c r="G44" s="840">
        <f t="shared" si="5"/>
        <v>42.814009661835748</v>
      </c>
      <c r="H44" s="842">
        <f>$B$253/B44</f>
        <v>3.0433055391120503</v>
      </c>
    </row>
    <row r="45" spans="1:8" ht="16.5" hidden="1" thickBot="1">
      <c r="A45" s="973" t="s">
        <v>569</v>
      </c>
      <c r="B45" s="748">
        <f>geral!I1362</f>
        <v>136.58000000000001</v>
      </c>
      <c r="C45" s="748">
        <f t="shared" si="1"/>
        <v>176.98587534015812</v>
      </c>
      <c r="D45" s="750">
        <f t="shared" si="0"/>
        <v>15.501057082452441</v>
      </c>
      <c r="E45" s="750">
        <f t="shared" si="6"/>
        <v>22.559224694903101</v>
      </c>
      <c r="F45" s="751">
        <f t="shared" si="3"/>
        <v>45.918803418803435</v>
      </c>
      <c r="G45" s="840">
        <f t="shared" si="5"/>
        <v>64.15865384615384</v>
      </c>
      <c r="H45" s="842">
        <f>$B$253/B45</f>
        <v>2.6348724557036163</v>
      </c>
    </row>
    <row r="46" spans="1:8" ht="16.5" hidden="1" thickBot="1">
      <c r="A46" s="973" t="s">
        <v>570</v>
      </c>
      <c r="B46" s="748">
        <f>geral!I1363</f>
        <v>140.16</v>
      </c>
      <c r="C46" s="748">
        <f t="shared" si="1"/>
        <v>181.6249838019956</v>
      </c>
      <c r="D46" s="750">
        <f t="shared" si="0"/>
        <v>2.6211744032801132</v>
      </c>
      <c r="E46" s="750">
        <f t="shared" si="6"/>
        <v>25.77171572146446</v>
      </c>
      <c r="F46" s="751">
        <f t="shared" si="3"/>
        <v>55.73333333333332</v>
      </c>
      <c r="G46" s="840">
        <f t="shared" si="5"/>
        <v>80.851612903225799</v>
      </c>
      <c r="H46" s="842">
        <f>$B$253/B46</f>
        <v>2.5675719178082188</v>
      </c>
    </row>
    <row r="47" spans="1:8" ht="16.5" hidden="1" thickBot="1">
      <c r="A47" s="973" t="s">
        <v>571</v>
      </c>
      <c r="B47" s="748">
        <f>geral!I1364</f>
        <v>119.4</v>
      </c>
      <c r="C47" s="748">
        <f t="shared" si="1"/>
        <v>154.72333808474795</v>
      </c>
      <c r="D47" s="750">
        <f t="shared" si="0"/>
        <v>-14.811643835616428</v>
      </c>
      <c r="E47" s="750">
        <f t="shared" si="6"/>
        <v>7.1428571428571397</v>
      </c>
      <c r="F47" s="751">
        <f t="shared" si="3"/>
        <v>36.301369863013711</v>
      </c>
      <c r="G47" s="840">
        <f t="shared" si="5"/>
        <v>36.301369863013711</v>
      </c>
      <c r="H47" s="842">
        <f>$B$253/B47</f>
        <v>3.0139939698492455</v>
      </c>
    </row>
    <row r="48" spans="1:8" ht="16.5" hidden="1" thickBot="1">
      <c r="A48" s="973" t="s">
        <v>572</v>
      </c>
      <c r="B48" s="748">
        <f>geral!I1365</f>
        <v>133.19999999999999</v>
      </c>
      <c r="C48" s="748">
        <f t="shared" si="1"/>
        <v>172.60593494881428</v>
      </c>
      <c r="D48" s="750">
        <f t="shared" si="0"/>
        <v>11.557788944723612</v>
      </c>
      <c r="E48" s="750">
        <f t="shared" si="6"/>
        <v>19.526202440775297</v>
      </c>
      <c r="F48" s="751">
        <f t="shared" si="3"/>
        <v>25.66037735849056</v>
      </c>
      <c r="G48" s="840">
        <f t="shared" si="5"/>
        <v>53.633217993079562</v>
      </c>
      <c r="H48" s="842">
        <f>$B$253/B48</f>
        <v>2.7017333333333333</v>
      </c>
    </row>
    <row r="49" spans="1:8" ht="16.5" hidden="1" thickBot="1">
      <c r="A49" s="973" t="s">
        <v>573</v>
      </c>
      <c r="B49" s="748">
        <f>geral!I1366</f>
        <v>126.2</v>
      </c>
      <c r="C49" s="748">
        <f t="shared" si="1"/>
        <v>163.53505248153428</v>
      </c>
      <c r="D49" s="750">
        <f t="shared" si="0"/>
        <v>-5.2552552552552427</v>
      </c>
      <c r="E49" s="750">
        <f t="shared" si="6"/>
        <v>13.24479540559944</v>
      </c>
      <c r="F49" s="751">
        <f t="shared" si="3"/>
        <v>18.408707074498043</v>
      </c>
      <c r="G49" s="840">
        <f t="shared" si="5"/>
        <v>60.969387755102034</v>
      </c>
      <c r="H49" s="842">
        <f>$B$253/B49</f>
        <v>2.8515917591125195</v>
      </c>
    </row>
    <row r="50" spans="1:8" ht="14.25" hidden="1" customHeight="1" thickBot="1">
      <c r="A50" s="973" t="s">
        <v>396</v>
      </c>
      <c r="B50" s="748">
        <f>geral!I1367</f>
        <v>123.2</v>
      </c>
      <c r="C50" s="748">
        <f t="shared" si="1"/>
        <v>159.64753142412854</v>
      </c>
      <c r="D50" s="750">
        <f t="shared" si="0"/>
        <v>-2.3771790808240878</v>
      </c>
      <c r="E50" s="750">
        <f t="shared" si="6"/>
        <v>10.552763819095489</v>
      </c>
      <c r="F50" s="751">
        <f t="shared" si="3"/>
        <v>18.00766283524904</v>
      </c>
      <c r="G50" s="840">
        <f t="shared" si="5"/>
        <v>45.626477541371166</v>
      </c>
      <c r="H50" s="842">
        <f>$B$253/B50</f>
        <v>2.9210298701298698</v>
      </c>
    </row>
    <row r="51" spans="1:8" ht="16.5" hidden="1" thickBot="1">
      <c r="A51" s="973" t="s">
        <v>397</v>
      </c>
      <c r="B51" s="748">
        <f>geral!I1368</f>
        <v>126.4</v>
      </c>
      <c r="C51" s="748">
        <f t="shared" si="1"/>
        <v>163.79422055202798</v>
      </c>
      <c r="D51" s="750">
        <f t="shared" si="0"/>
        <v>2.5974025974025983</v>
      </c>
      <c r="E51" s="750">
        <f t="shared" si="6"/>
        <v>13.424264178033042</v>
      </c>
      <c r="F51" s="751">
        <f t="shared" si="3"/>
        <v>15.750915750915762</v>
      </c>
      <c r="G51" s="840">
        <f t="shared" si="5"/>
        <v>43.963553530751717</v>
      </c>
      <c r="H51" s="842">
        <f>$B$253/B51</f>
        <v>2.8470797468354423</v>
      </c>
    </row>
    <row r="52" spans="1:8" ht="16.5" hidden="1" thickBot="1">
      <c r="A52" s="973" t="s">
        <v>398</v>
      </c>
      <c r="B52" s="748">
        <f>geral!I1369</f>
        <v>127.25</v>
      </c>
      <c r="C52" s="748">
        <f t="shared" si="1"/>
        <v>164.89568485162627</v>
      </c>
      <c r="D52" s="750">
        <f t="shared" si="0"/>
        <v>0.67246835443037778</v>
      </c>
      <c r="E52" s="750">
        <f t="shared" si="6"/>
        <v>14.187006460875807</v>
      </c>
      <c r="F52" s="751">
        <f t="shared" si="3"/>
        <v>14.187006460875807</v>
      </c>
      <c r="G52" s="840">
        <f t="shared" si="5"/>
        <v>45.59496567505721</v>
      </c>
      <c r="H52" s="842">
        <f>$B$253/B52</f>
        <v>2.8280619253438108</v>
      </c>
    </row>
    <row r="53" spans="1:8" ht="16.5" hidden="1" thickBot="1">
      <c r="A53" s="973" t="s">
        <v>399</v>
      </c>
      <c r="B53" s="748">
        <f>geral!K1358</f>
        <v>109</v>
      </c>
      <c r="C53" s="748">
        <f t="shared" si="1"/>
        <v>141.24659841907476</v>
      </c>
      <c r="D53" s="750">
        <f t="shared" si="0"/>
        <v>-14.341846758349707</v>
      </c>
      <c r="E53" s="750">
        <f t="shared" ref="E53:E64" si="7">100*((B53/$B$52)-1)</f>
        <v>-14.341846758349707</v>
      </c>
      <c r="F53" s="751">
        <f t="shared" si="3"/>
        <v>4.2065009560229516</v>
      </c>
      <c r="G53" s="840">
        <f t="shared" si="5"/>
        <v>23.863636363636353</v>
      </c>
      <c r="H53" s="842">
        <f>$B$253/B53</f>
        <v>3.3015677064220177</v>
      </c>
    </row>
    <row r="54" spans="1:8" ht="16.5" hidden="1" thickBot="1">
      <c r="A54" s="973" t="s">
        <v>400</v>
      </c>
      <c r="B54" s="748">
        <f>geral!K1359</f>
        <v>122.4</v>
      </c>
      <c r="C54" s="748">
        <f t="shared" si="1"/>
        <v>158.61085914215369</v>
      </c>
      <c r="D54" s="750">
        <f t="shared" si="0"/>
        <v>12.293577981651381</v>
      </c>
      <c r="E54" s="750">
        <f t="shared" si="7"/>
        <v>-3.8113948919449858</v>
      </c>
      <c r="F54" s="751">
        <f t="shared" si="3"/>
        <v>-0.68965517241378338</v>
      </c>
      <c r="G54" s="840">
        <f t="shared" si="5"/>
        <v>31.612903225806456</v>
      </c>
      <c r="H54" s="842">
        <f>$B$253/B54</f>
        <v>2.9401215686274504</v>
      </c>
    </row>
    <row r="55" spans="1:8" ht="16.5" hidden="1" thickBot="1">
      <c r="A55" s="973" t="s">
        <v>401</v>
      </c>
      <c r="B55" s="748">
        <f>geral!K1360</f>
        <v>134.19999999999999</v>
      </c>
      <c r="C55" s="748">
        <f t="shared" si="1"/>
        <v>173.90177530128287</v>
      </c>
      <c r="D55" s="750">
        <f t="shared" si="0"/>
        <v>9.6405228758169805</v>
      </c>
      <c r="E55" s="750">
        <f t="shared" si="7"/>
        <v>5.4616895874263216</v>
      </c>
      <c r="F55" s="751">
        <f t="shared" si="3"/>
        <v>11.833333333333318</v>
      </c>
      <c r="G55" s="840">
        <f t="shared" si="5"/>
        <v>44.690026954177874</v>
      </c>
      <c r="H55" s="842">
        <f>$B$253/B55</f>
        <v>2.6816011922503722</v>
      </c>
    </row>
    <row r="56" spans="1:8" ht="16.5" hidden="1" thickBot="1">
      <c r="A56" s="973" t="s">
        <v>402</v>
      </c>
      <c r="B56" s="748">
        <f>geral!K1361</f>
        <v>133.75</v>
      </c>
      <c r="C56" s="748">
        <f t="shared" si="1"/>
        <v>173.31864714267201</v>
      </c>
      <c r="D56" s="750">
        <f t="shared" si="0"/>
        <v>-0.33532041728762119</v>
      </c>
      <c r="E56" s="750">
        <f t="shared" si="7"/>
        <v>5.1080550098231869</v>
      </c>
      <c r="F56" s="751">
        <f t="shared" si="3"/>
        <v>13.107822410147985</v>
      </c>
      <c r="G56" s="840">
        <f t="shared" si="5"/>
        <v>44.127155172413794</v>
      </c>
      <c r="H56" s="842">
        <f>$B$253/B56</f>
        <v>2.6906234018691584</v>
      </c>
    </row>
    <row r="57" spans="1:8" ht="16.5" hidden="1" thickBot="1">
      <c r="A57" s="973" t="s">
        <v>403</v>
      </c>
      <c r="B57" s="748">
        <f>geral!K1362</f>
        <v>130.11000000000001</v>
      </c>
      <c r="C57" s="748">
        <f t="shared" si="1"/>
        <v>168.60178825968643</v>
      </c>
      <c r="D57" s="750">
        <f t="shared" si="0"/>
        <v>-2.7214953271027964</v>
      </c>
      <c r="E57" s="750">
        <f t="shared" si="7"/>
        <v>2.2475442043222049</v>
      </c>
      <c r="F57" s="751">
        <f t="shared" si="3"/>
        <v>-4.7371503880509591</v>
      </c>
      <c r="G57" s="840">
        <f t="shared" si="5"/>
        <v>39.006410256410277</v>
      </c>
      <c r="H57" s="842">
        <f>$B$253/B57</f>
        <v>2.7658971639382055</v>
      </c>
    </row>
    <row r="58" spans="1:8" ht="16.5" hidden="1" thickBot="1">
      <c r="A58" s="973" t="s">
        <v>404</v>
      </c>
      <c r="B58" s="748">
        <f>geral!K1363</f>
        <v>133.6</v>
      </c>
      <c r="C58" s="748">
        <f t="shared" si="1"/>
        <v>173.12427108980174</v>
      </c>
      <c r="D58" s="750">
        <f t="shared" si="0"/>
        <v>2.6823457074782731</v>
      </c>
      <c r="E58" s="750">
        <f t="shared" si="7"/>
        <v>4.9901768172887939</v>
      </c>
      <c r="F58" s="751">
        <f t="shared" si="3"/>
        <v>-4.6803652968036573</v>
      </c>
      <c r="G58" s="840">
        <f t="shared" si="5"/>
        <v>48.444444444444443</v>
      </c>
      <c r="H58" s="842">
        <f>$B$253/B58</f>
        <v>2.6936443113772452</v>
      </c>
    </row>
    <row r="59" spans="1:8" ht="16.5" hidden="1" thickBot="1">
      <c r="A59" s="973" t="s">
        <v>405</v>
      </c>
      <c r="B59" s="748">
        <f>geral!K1364</f>
        <v>135.6</v>
      </c>
      <c r="C59" s="748">
        <f t="shared" si="1"/>
        <v>175.71595179473888</v>
      </c>
      <c r="D59" s="750">
        <f t="shared" si="0"/>
        <v>1.4970059880239583</v>
      </c>
      <c r="E59" s="750">
        <f t="shared" si="7"/>
        <v>6.5618860510805455</v>
      </c>
      <c r="F59" s="751">
        <f t="shared" si="3"/>
        <v>13.567839195979881</v>
      </c>
      <c r="G59" s="840">
        <f t="shared" si="5"/>
        <v>54.794520547945204</v>
      </c>
      <c r="H59" s="842">
        <f>$B$253/B59</f>
        <v>2.6539150442477872</v>
      </c>
    </row>
    <row r="60" spans="1:8" ht="16.5" hidden="1" thickBot="1">
      <c r="A60" s="973" t="s">
        <v>406</v>
      </c>
      <c r="B60" s="748">
        <f>geral!K1365</f>
        <v>142.44999999999999</v>
      </c>
      <c r="C60" s="748">
        <f t="shared" si="1"/>
        <v>184.59245820914862</v>
      </c>
      <c r="D60" s="750">
        <f t="shared" si="0"/>
        <v>5.0516224188790426</v>
      </c>
      <c r="E60" s="750">
        <f t="shared" si="7"/>
        <v>11.944990176817271</v>
      </c>
      <c r="F60" s="751">
        <f t="shared" si="3"/>
        <v>6.944444444444442</v>
      </c>
      <c r="G60" s="840">
        <f t="shared" si="5"/>
        <v>34.386792452830186</v>
      </c>
      <c r="H60" s="842">
        <f>$B$253/B60</f>
        <v>2.5262961038961036</v>
      </c>
    </row>
    <row r="61" spans="1:8" ht="16.5" hidden="1" thickBot="1">
      <c r="A61" s="973" t="s">
        <v>407</v>
      </c>
      <c r="B61" s="748">
        <f>geral!K1366</f>
        <v>141.75</v>
      </c>
      <c r="C61" s="748">
        <f t="shared" si="1"/>
        <v>183.68536996242062</v>
      </c>
      <c r="D61" s="750">
        <f t="shared" si="0"/>
        <v>-0.49140049140048436</v>
      </c>
      <c r="E61" s="750">
        <f t="shared" si="7"/>
        <v>11.394891944990171</v>
      </c>
      <c r="F61" s="751">
        <f t="shared" si="3"/>
        <v>12.321711568938198</v>
      </c>
      <c r="G61" s="840">
        <f t="shared" si="5"/>
        <v>32.998686432726586</v>
      </c>
      <c r="H61" s="842">
        <f>$B$253/B61</f>
        <v>2.5387716402116398</v>
      </c>
    </row>
    <row r="62" spans="1:8" ht="16.5" hidden="1" thickBot="1">
      <c r="A62" s="973" t="s">
        <v>408</v>
      </c>
      <c r="B62" s="748">
        <f>geral!K1367</f>
        <v>145</v>
      </c>
      <c r="C62" s="748">
        <f t="shared" si="1"/>
        <v>187.89685110794349</v>
      </c>
      <c r="D62" s="750">
        <f t="shared" si="0"/>
        <v>2.2927689594356204</v>
      </c>
      <c r="E62" s="750">
        <f t="shared" si="7"/>
        <v>13.948919449901776</v>
      </c>
      <c r="F62" s="751">
        <f t="shared" si="3"/>
        <v>17.694805194805198</v>
      </c>
      <c r="G62" s="840">
        <f t="shared" si="5"/>
        <v>38.888888888888886</v>
      </c>
      <c r="H62" s="842">
        <f>$B$253/B62</f>
        <v>2.4818681379310341</v>
      </c>
    </row>
    <row r="63" spans="1:8" ht="16.5" hidden="1" thickBot="1">
      <c r="A63" s="973" t="s">
        <v>409</v>
      </c>
      <c r="B63" s="748">
        <f>geral!K1368</f>
        <v>153.75</v>
      </c>
      <c r="C63" s="748">
        <f t="shared" si="1"/>
        <v>199.23545419204353</v>
      </c>
      <c r="D63" s="750">
        <f t="shared" si="0"/>
        <v>6.0344827586206851</v>
      </c>
      <c r="E63" s="750">
        <f t="shared" si="7"/>
        <v>20.825147347740657</v>
      </c>
      <c r="F63" s="751">
        <f t="shared" si="3"/>
        <v>21.637658227848089</v>
      </c>
      <c r="G63" s="840">
        <f t="shared" si="5"/>
        <v>40.796703296703285</v>
      </c>
      <c r="H63" s="842">
        <f>$B$253/B63</f>
        <v>2.3406236097560971</v>
      </c>
    </row>
    <row r="64" spans="1:8" ht="16.5" hidden="1" thickBot="1">
      <c r="A64" s="973" t="s">
        <v>410</v>
      </c>
      <c r="B64" s="748">
        <f>geral!K1369</f>
        <v>149.80000000000001</v>
      </c>
      <c r="C64" s="748">
        <f t="shared" si="1"/>
        <v>194.11688479979267</v>
      </c>
      <c r="D64" s="750">
        <f t="shared" si="0"/>
        <v>-2.5691056910569054</v>
      </c>
      <c r="E64" s="750">
        <f t="shared" si="7"/>
        <v>17.721021611001973</v>
      </c>
      <c r="F64" s="751">
        <f t="shared" si="3"/>
        <v>17.721021611001973</v>
      </c>
      <c r="G64" s="840">
        <f t="shared" si="5"/>
        <v>34.422110552763826</v>
      </c>
      <c r="H64" s="842">
        <f>$B$253/B64</f>
        <v>2.4023423230974625</v>
      </c>
    </row>
    <row r="65" spans="1:8" ht="16.5" hidden="1" thickBot="1">
      <c r="A65" s="973" t="s">
        <v>411</v>
      </c>
      <c r="B65" s="748">
        <f>geral!M1358</f>
        <v>150.78</v>
      </c>
      <c r="C65" s="748">
        <f t="shared" si="1"/>
        <v>195.38680834521188</v>
      </c>
      <c r="D65" s="750">
        <f t="shared" si="0"/>
        <v>0.65420560747662115</v>
      </c>
      <c r="E65" s="750">
        <f t="shared" ref="E65:E76" si="8">100*((B65/$B$64)-1)</f>
        <v>0.65420560747662115</v>
      </c>
      <c r="F65" s="751">
        <f t="shared" si="3"/>
        <v>38.330275229357788</v>
      </c>
      <c r="G65" s="840">
        <f t="shared" si="5"/>
        <v>44.149139579349914</v>
      </c>
      <c r="H65" s="842">
        <f>$B$253/B65</f>
        <v>2.3867282132908869</v>
      </c>
    </row>
    <row r="66" spans="1:8" ht="16.5" hidden="1" thickBot="1">
      <c r="A66" s="973" t="s">
        <v>412</v>
      </c>
      <c r="B66" s="748">
        <f>geral!M1359</f>
        <v>153.72999999999999</v>
      </c>
      <c r="C66" s="748">
        <f t="shared" si="1"/>
        <v>199.20953738499415</v>
      </c>
      <c r="D66" s="750">
        <f t="shared" si="0"/>
        <v>1.9564929035680967</v>
      </c>
      <c r="E66" s="750">
        <f t="shared" si="8"/>
        <v>2.623497997329749</v>
      </c>
      <c r="F66" s="751">
        <f t="shared" si="3"/>
        <v>25.596405228758144</v>
      </c>
      <c r="G66" s="840">
        <f t="shared" si="5"/>
        <v>24.730223123732252</v>
      </c>
      <c r="H66" s="842">
        <f>$B$253/B66</f>
        <v>2.3409281207311516</v>
      </c>
    </row>
    <row r="67" spans="1:8" ht="16.5" hidden="1" thickBot="1">
      <c r="A67" s="973" t="s">
        <v>413</v>
      </c>
      <c r="B67" s="748">
        <f>geral!M1360</f>
        <v>151.54</v>
      </c>
      <c r="C67" s="748">
        <f t="shared" si="1"/>
        <v>196.37164701308799</v>
      </c>
      <c r="D67" s="750">
        <f t="shared" si="0"/>
        <v>-1.4245755545436833</v>
      </c>
      <c r="E67" s="750">
        <f t="shared" si="8"/>
        <v>1.1615487316421813</v>
      </c>
      <c r="F67" s="751">
        <f t="shared" si="3"/>
        <v>12.921013412816684</v>
      </c>
      <c r="G67" s="840">
        <f t="shared" si="5"/>
        <v>26.283333333333324</v>
      </c>
      <c r="H67" s="842">
        <f>$B$253/B67</f>
        <v>2.3747583476309884</v>
      </c>
    </row>
    <row r="68" spans="1:8" ht="16.5" hidden="1" thickBot="1">
      <c r="A68" s="973" t="s">
        <v>414</v>
      </c>
      <c r="B68" s="748">
        <f>geral!M1361</f>
        <v>156</v>
      </c>
      <c r="C68" s="748">
        <f t="shared" si="1"/>
        <v>202.15109498509784</v>
      </c>
      <c r="D68" s="750">
        <f t="shared" si="0"/>
        <v>2.9431173287580936</v>
      </c>
      <c r="E68" s="750">
        <f t="shared" si="8"/>
        <v>4.1388518024031873</v>
      </c>
      <c r="F68" s="751">
        <f t="shared" si="3"/>
        <v>16.635514018691588</v>
      </c>
      <c r="G68" s="840">
        <f t="shared" si="5"/>
        <v>31.923890063424953</v>
      </c>
      <c r="H68" s="842">
        <f>$B$253/B68</f>
        <v>2.3068646153846148</v>
      </c>
    </row>
    <row r="69" spans="1:8" ht="16.5" hidden="1" thickBot="1">
      <c r="A69" s="973" t="s">
        <v>415</v>
      </c>
      <c r="B69" s="748">
        <f>geral!M1362</f>
        <v>167</v>
      </c>
      <c r="C69" s="748">
        <f t="shared" si="1"/>
        <v>216.40533886225217</v>
      </c>
      <c r="D69" s="750">
        <f t="shared" si="0"/>
        <v>7.0512820512820484</v>
      </c>
      <c r="E69" s="750">
        <f t="shared" si="8"/>
        <v>11.481975967957258</v>
      </c>
      <c r="F69" s="751">
        <f t="shared" si="3"/>
        <v>28.352932134347842</v>
      </c>
      <c r="G69" s="840">
        <f t="shared" si="5"/>
        <v>22.272660711670799</v>
      </c>
      <c r="H69" s="842">
        <f>$B$253/B69</f>
        <v>2.1549154491017961</v>
      </c>
    </row>
    <row r="70" spans="1:8" ht="16.5" hidden="1" thickBot="1">
      <c r="A70" s="973" t="s">
        <v>416</v>
      </c>
      <c r="B70" s="748">
        <f>geral!M1363</f>
        <v>163</v>
      </c>
      <c r="C70" s="748">
        <f t="shared" si="1"/>
        <v>211.22197745237787</v>
      </c>
      <c r="D70" s="750">
        <f t="shared" si="0"/>
        <v>-2.39520958083832</v>
      </c>
      <c r="E70" s="750">
        <f t="shared" si="8"/>
        <v>8.811748998664882</v>
      </c>
      <c r="F70" s="751">
        <f t="shared" si="3"/>
        <v>22.005988023952106</v>
      </c>
      <c r="G70" s="840">
        <f t="shared" si="5"/>
        <v>16.295662100456632</v>
      </c>
      <c r="H70" s="842">
        <f>$B$253/B70</f>
        <v>2.2077968098159504</v>
      </c>
    </row>
    <row r="71" spans="1:8" ht="16.5" hidden="1" thickBot="1">
      <c r="A71" s="973" t="s">
        <v>417</v>
      </c>
      <c r="B71" s="748">
        <f>geral!M1364</f>
        <v>164</v>
      </c>
      <c r="C71" s="748">
        <f t="shared" si="1"/>
        <v>212.51781780484643</v>
      </c>
      <c r="D71" s="750">
        <f t="shared" si="0"/>
        <v>0.61349693251533388</v>
      </c>
      <c r="E71" s="750">
        <f t="shared" si="8"/>
        <v>9.4793057409879857</v>
      </c>
      <c r="F71" s="751">
        <f t="shared" si="3"/>
        <v>20.943952802359878</v>
      </c>
      <c r="G71" s="840">
        <f t="shared" si="5"/>
        <v>37.353433835845884</v>
      </c>
      <c r="H71" s="842">
        <f>$B$253/B71</f>
        <v>2.1943346341463412</v>
      </c>
    </row>
    <row r="72" spans="1:8" ht="16.5" hidden="1" thickBot="1">
      <c r="A72" s="973" t="s">
        <v>418</v>
      </c>
      <c r="B72" s="748">
        <f>geral!M1365</f>
        <v>153.71</v>
      </c>
      <c r="C72" s="748">
        <f t="shared" si="1"/>
        <v>199.18362057794479</v>
      </c>
      <c r="D72" s="750">
        <f t="shared" si="0"/>
        <v>-6.274390243902439</v>
      </c>
      <c r="E72" s="750">
        <f t="shared" si="8"/>
        <v>2.6101468624833091</v>
      </c>
      <c r="F72" s="751">
        <f t="shared" si="3"/>
        <v>7.9045279045279138</v>
      </c>
      <c r="G72" s="840">
        <f t="shared" si="5"/>
        <v>15.397897897897916</v>
      </c>
      <c r="H72" s="842">
        <f>$B$253/B72</f>
        <v>2.3412327109491895</v>
      </c>
    </row>
    <row r="73" spans="1:8" ht="16.5" hidden="1" thickBot="1">
      <c r="A73" s="973" t="s">
        <v>419</v>
      </c>
      <c r="B73" s="748">
        <f>geral!M1366</f>
        <v>153.78</v>
      </c>
      <c r="C73" s="748">
        <f t="shared" si="1"/>
        <v>199.27432940261758</v>
      </c>
      <c r="D73" s="750">
        <f t="shared" ref="D73:D89" si="9">100*((B73/B72)-1)</f>
        <v>4.5540303168301044E-2</v>
      </c>
      <c r="E73" s="750">
        <f t="shared" si="8"/>
        <v>2.6568758344459154</v>
      </c>
      <c r="F73" s="751">
        <f t="shared" si="3"/>
        <v>8.4867724867724981</v>
      </c>
      <c r="G73" s="840">
        <f t="shared" si="5"/>
        <v>21.854199683042786</v>
      </c>
      <c r="H73" s="842">
        <f>$B$253/B73</f>
        <v>2.3401669918064765</v>
      </c>
    </row>
    <row r="74" spans="1:8" ht="16.5" hidden="1" thickBot="1">
      <c r="A74" s="973" t="s">
        <v>420</v>
      </c>
      <c r="B74" s="748">
        <f>geral!M1367</f>
        <v>157.6</v>
      </c>
      <c r="C74" s="748">
        <f t="shared" ref="C74:C148" si="10">100*B74/$B$8</f>
        <v>204.22443954904756</v>
      </c>
      <c r="D74" s="750">
        <f t="shared" si="9"/>
        <v>2.4840681493041972</v>
      </c>
      <c r="E74" s="750">
        <f t="shared" si="8"/>
        <v>5.206942590120156</v>
      </c>
      <c r="F74" s="751">
        <f t="shared" si="3"/>
        <v>8.6896551724137794</v>
      </c>
      <c r="G74" s="840">
        <f t="shared" si="5"/>
        <v>27.922077922077904</v>
      </c>
      <c r="H74" s="842">
        <f>$B$253/B74</f>
        <v>2.2834446700507613</v>
      </c>
    </row>
    <row r="75" spans="1:8" ht="16.5" hidden="1" thickBot="1">
      <c r="A75" s="973" t="s">
        <v>421</v>
      </c>
      <c r="B75" s="748">
        <f>geral!M1368</f>
        <v>158.43</v>
      </c>
      <c r="C75" s="748">
        <f t="shared" si="10"/>
        <v>205.29998704159647</v>
      </c>
      <c r="D75" s="750">
        <f t="shared" si="9"/>
        <v>0.52664974619289762</v>
      </c>
      <c r="E75" s="750">
        <f t="shared" si="8"/>
        <v>5.7610146862483225</v>
      </c>
      <c r="F75" s="751">
        <f t="shared" si="3"/>
        <v>3.0439024390243929</v>
      </c>
      <c r="G75" s="840">
        <f t="shared" si="5"/>
        <v>25.340189873417728</v>
      </c>
      <c r="H75" s="842">
        <f>$B$253/B75</f>
        <v>2.2714819163037299</v>
      </c>
    </row>
    <row r="76" spans="1:8" ht="16.5" hidden="1" thickBot="1">
      <c r="A76" s="973" t="s">
        <v>422</v>
      </c>
      <c r="B76" s="748">
        <f>geral!M1369</f>
        <v>157.63999999999999</v>
      </c>
      <c r="C76" s="748">
        <f t="shared" si="10"/>
        <v>204.27627316314627</v>
      </c>
      <c r="D76" s="750">
        <f t="shared" si="9"/>
        <v>-0.49864293378780733</v>
      </c>
      <c r="E76" s="750">
        <f t="shared" si="8"/>
        <v>5.233644859813058</v>
      </c>
      <c r="F76" s="751">
        <f t="shared" si="3"/>
        <v>5.233644859813058</v>
      </c>
      <c r="G76" s="840">
        <f t="shared" si="5"/>
        <v>23.882121807465605</v>
      </c>
      <c r="H76" s="842">
        <f>$B$253/B76</f>
        <v>2.2828652626236994</v>
      </c>
    </row>
    <row r="77" spans="1:8" ht="16.5" hidden="1" thickBot="1">
      <c r="A77" s="973" t="s">
        <v>423</v>
      </c>
      <c r="B77" s="748">
        <f>geral!C1373</f>
        <v>151.5</v>
      </c>
      <c r="C77" s="748">
        <f t="shared" si="10"/>
        <v>196.31981339898925</v>
      </c>
      <c r="D77" s="750">
        <f t="shared" si="9"/>
        <v>-3.8949505201725354</v>
      </c>
      <c r="E77" s="750">
        <f t="shared" ref="E77:E88" si="11">100*((B77/$B$76)-1)</f>
        <v>-3.8949505201725354</v>
      </c>
      <c r="F77" s="751">
        <f t="shared" si="3"/>
        <v>0.47751691205730751</v>
      </c>
      <c r="G77" s="840">
        <f t="shared" si="5"/>
        <v>38.990825688073393</v>
      </c>
      <c r="H77" s="842">
        <f>$B$253/B77</f>
        <v>2.3753853465346531</v>
      </c>
    </row>
    <row r="78" spans="1:8" ht="16.5" hidden="1" thickBot="1">
      <c r="A78" s="973" t="s">
        <v>424</v>
      </c>
      <c r="B78" s="748">
        <f>geral!C1374</f>
        <v>155.57</v>
      </c>
      <c r="C78" s="748">
        <f t="shared" si="10"/>
        <v>201.59388363353634</v>
      </c>
      <c r="D78" s="750">
        <f t="shared" si="9"/>
        <v>2.6864686468646815</v>
      </c>
      <c r="E78" s="750">
        <f t="shared" si="11"/>
        <v>-1.3131184978431798</v>
      </c>
      <c r="F78" s="751">
        <f t="shared" si="3"/>
        <v>1.1969036622650142</v>
      </c>
      <c r="G78" s="840">
        <f t="shared" si="5"/>
        <v>27.099673202614373</v>
      </c>
      <c r="H78" s="842">
        <f>$B$253/B78</f>
        <v>2.313240856206209</v>
      </c>
    </row>
    <row r="79" spans="1:8" ht="16.5" hidden="1" thickBot="1">
      <c r="A79" s="973" t="s">
        <v>425</v>
      </c>
      <c r="B79" s="748">
        <f>geral!C1375</f>
        <v>157.38</v>
      </c>
      <c r="C79" s="748">
        <f t="shared" si="10"/>
        <v>203.93935467150447</v>
      </c>
      <c r="D79" s="750">
        <f t="shared" si="9"/>
        <v>1.1634633926849602</v>
      </c>
      <c r="E79" s="750">
        <f t="shared" si="11"/>
        <v>-0.16493275818320052</v>
      </c>
      <c r="F79" s="751">
        <f t="shared" si="3"/>
        <v>3.8537679820509485</v>
      </c>
      <c r="G79" s="840">
        <f t="shared" si="5"/>
        <v>17.272727272727284</v>
      </c>
      <c r="H79" s="842">
        <f>$B$253/B79</f>
        <v>2.2866366755623329</v>
      </c>
    </row>
    <row r="80" spans="1:8" ht="16.5" hidden="1" thickBot="1">
      <c r="A80" s="973" t="s">
        <v>426</v>
      </c>
      <c r="B80" s="748">
        <f>geral!C1376</f>
        <v>164.83</v>
      </c>
      <c r="C80" s="748">
        <f t="shared" si="10"/>
        <v>213.59336529739537</v>
      </c>
      <c r="D80" s="750">
        <f t="shared" si="9"/>
        <v>4.7337654085652714</v>
      </c>
      <c r="E80" s="750">
        <f t="shared" si="11"/>
        <v>4.5610251205278063</v>
      </c>
      <c r="F80" s="751">
        <f t="shared" si="3"/>
        <v>5.6602564102564257</v>
      </c>
      <c r="G80" s="840">
        <f t="shared" si="5"/>
        <v>23.237383177570091</v>
      </c>
      <c r="H80" s="842">
        <f>$B$253/B80</f>
        <v>2.1832850815992231</v>
      </c>
    </row>
    <row r="81" spans="1:10" ht="16.5" hidden="1" thickBot="1">
      <c r="A81" s="973" t="s">
        <v>427</v>
      </c>
      <c r="B81" s="748">
        <f>geral!C1377</f>
        <v>181.57</v>
      </c>
      <c r="C81" s="748">
        <f t="shared" si="10"/>
        <v>235.28573279771931</v>
      </c>
      <c r="D81" s="750">
        <f t="shared" si="9"/>
        <v>10.155918218770843</v>
      </c>
      <c r="E81" s="750">
        <f t="shared" si="11"/>
        <v>15.18015732047704</v>
      </c>
      <c r="F81" s="751">
        <f t="shared" si="3"/>
        <v>8.7245508982035869</v>
      </c>
      <c r="G81" s="840">
        <f t="shared" si="5"/>
        <v>39.551149027745723</v>
      </c>
      <c r="H81" s="842">
        <f>$B$253/B81</f>
        <v>1.9819952635347247</v>
      </c>
    </row>
    <row r="82" spans="1:10" ht="16.5" hidden="1" thickBot="1">
      <c r="A82" s="973" t="s">
        <v>428</v>
      </c>
      <c r="B82" s="748">
        <f>geral!C1378</f>
        <v>176.2</v>
      </c>
      <c r="C82" s="748">
        <f t="shared" si="10"/>
        <v>228.32707010496307</v>
      </c>
      <c r="D82" s="750">
        <f t="shared" si="9"/>
        <v>-2.9575370380569455</v>
      </c>
      <c r="E82" s="750">
        <f t="shared" si="11"/>
        <v>11.773661507231669</v>
      </c>
      <c r="F82" s="751">
        <f t="shared" si="3"/>
        <v>8.0981595092024516</v>
      </c>
      <c r="G82" s="840">
        <f t="shared" si="5"/>
        <v>31.886227544910174</v>
      </c>
      <c r="H82" s="842">
        <f>$B$253/B82</f>
        <v>2.0423999999999998</v>
      </c>
    </row>
    <row r="83" spans="1:10" ht="16.5" hidden="1" thickBot="1">
      <c r="A83" s="973" t="s">
        <v>429</v>
      </c>
      <c r="B83" s="748">
        <f>geral!C1379</f>
        <v>163</v>
      </c>
      <c r="C83" s="748">
        <f t="shared" si="10"/>
        <v>211.22197745237787</v>
      </c>
      <c r="D83" s="750">
        <f t="shared" si="9"/>
        <v>-7.491486946651527</v>
      </c>
      <c r="E83" s="750">
        <f t="shared" si="11"/>
        <v>3.400152245622956</v>
      </c>
      <c r="F83" s="751">
        <f t="shared" si="3"/>
        <v>-0.60975609756097615</v>
      </c>
      <c r="G83" s="840">
        <f t="shared" si="5"/>
        <v>20.206489675516238</v>
      </c>
      <c r="H83" s="842">
        <f>$B$253/B83</f>
        <v>2.2077968098159504</v>
      </c>
    </row>
    <row r="84" spans="1:10" ht="16.5" hidden="1" thickBot="1">
      <c r="A84" s="973" t="s">
        <v>430</v>
      </c>
      <c r="B84" s="748">
        <f>geral!C1380</f>
        <v>168.25</v>
      </c>
      <c r="C84" s="748">
        <f t="shared" si="10"/>
        <v>218.02513930283789</v>
      </c>
      <c r="D84" s="750">
        <f t="shared" si="9"/>
        <v>3.220858895705514</v>
      </c>
      <c r="E84" s="750">
        <f t="shared" si="11"/>
        <v>6.7305252473991439</v>
      </c>
      <c r="F84" s="751">
        <f t="shared" ref="F84:F91" si="12">100*((B84/B72)-1)</f>
        <v>9.459371543816264</v>
      </c>
      <c r="G84" s="840">
        <f t="shared" si="5"/>
        <v>18.111618111618121</v>
      </c>
      <c r="H84" s="842">
        <f>$B$253/B84</f>
        <v>2.1389056760772656</v>
      </c>
    </row>
    <row r="85" spans="1:10" ht="16.5" hidden="1" thickBot="1">
      <c r="A85" s="973" t="s">
        <v>431</v>
      </c>
      <c r="B85" s="748">
        <f>geral!C1381</f>
        <v>154.72</v>
      </c>
      <c r="C85" s="748">
        <f t="shared" si="10"/>
        <v>200.49241933393805</v>
      </c>
      <c r="D85" s="750">
        <f t="shared" si="9"/>
        <v>-8.0416047548291232</v>
      </c>
      <c r="E85" s="750">
        <f t="shared" si="11"/>
        <v>-1.8523217457497965</v>
      </c>
      <c r="F85" s="751">
        <f t="shared" si="12"/>
        <v>0.61126284302250866</v>
      </c>
      <c r="G85" s="840">
        <f t="shared" si="5"/>
        <v>9.1499118165784932</v>
      </c>
      <c r="H85" s="842">
        <f>$B$253/B85</f>
        <v>2.3259493278179932</v>
      </c>
    </row>
    <row r="86" spans="1:10" ht="16.5" hidden="1" thickBot="1">
      <c r="A86" s="973" t="s">
        <v>432</v>
      </c>
      <c r="B86" s="748">
        <f>geral!C1382</f>
        <v>157.19999999999999</v>
      </c>
      <c r="C86" s="748">
        <f t="shared" si="10"/>
        <v>203.7061034080601</v>
      </c>
      <c r="D86" s="750">
        <f t="shared" si="9"/>
        <v>1.6028955532574996</v>
      </c>
      <c r="E86" s="750">
        <f t="shared" si="11"/>
        <v>-0.27911697538696156</v>
      </c>
      <c r="F86" s="751">
        <f t="shared" si="12"/>
        <v>-0.25380710659899108</v>
      </c>
      <c r="G86" s="840">
        <f t="shared" si="5"/>
        <v>8.413793103448274</v>
      </c>
      <c r="H86" s="842">
        <f>$B$253/B86</f>
        <v>2.2892549618320608</v>
      </c>
    </row>
    <row r="87" spans="1:10" ht="16.5" hidden="1" thickBot="1">
      <c r="A87" s="973" t="s">
        <v>433</v>
      </c>
      <c r="B87" s="748">
        <f>geral!C1383</f>
        <v>168.33</v>
      </c>
      <c r="C87" s="748">
        <f t="shared" si="10"/>
        <v>218.12880653103537</v>
      </c>
      <c r="D87" s="750">
        <f t="shared" si="9"/>
        <v>7.0801526717557461</v>
      </c>
      <c r="E87" s="750">
        <f t="shared" si="11"/>
        <v>6.7812737883786056</v>
      </c>
      <c r="F87" s="751">
        <f t="shared" si="12"/>
        <v>6.2488165120242467</v>
      </c>
      <c r="G87" s="840">
        <f t="shared" si="5"/>
        <v>9.4829268292683011</v>
      </c>
      <c r="H87" s="842">
        <f>$B$253/B87</f>
        <v>2.1378891463197287</v>
      </c>
    </row>
    <row r="88" spans="1:10" ht="16.5" hidden="1" thickBot="1">
      <c r="A88" s="973" t="s">
        <v>434</v>
      </c>
      <c r="B88" s="748">
        <f>geral!C1384</f>
        <v>172.43</v>
      </c>
      <c r="C88" s="748">
        <f t="shared" si="10"/>
        <v>223.44175197615652</v>
      </c>
      <c r="D88" s="750">
        <f t="shared" si="9"/>
        <v>2.4356917958771485</v>
      </c>
      <c r="E88" s="750">
        <f t="shared" si="11"/>
        <v>9.3821365135752455</v>
      </c>
      <c r="F88" s="751">
        <f t="shared" si="12"/>
        <v>9.3821365135752455</v>
      </c>
      <c r="G88" s="840">
        <f t="shared" si="5"/>
        <v>15.106809078771688</v>
      </c>
      <c r="H88" s="842">
        <f>$B$253/B88</f>
        <v>2.0870549208374407</v>
      </c>
    </row>
    <row r="89" spans="1:10" ht="16.5" hidden="1" thickBot="1">
      <c r="A89" s="973" t="s">
        <v>435</v>
      </c>
      <c r="B89" s="748">
        <f>geral!E1373</f>
        <v>179.14</v>
      </c>
      <c r="C89" s="748">
        <f t="shared" si="10"/>
        <v>232.13684074122068</v>
      </c>
      <c r="D89" s="750">
        <f t="shared" si="9"/>
        <v>3.8914342051846962</v>
      </c>
      <c r="E89" s="750">
        <f t="shared" ref="E89:E94" si="13">100*((B89/$B$88)-1)</f>
        <v>3.8914342051846962</v>
      </c>
      <c r="F89" s="751">
        <f t="shared" si="12"/>
        <v>18.244224422442244</v>
      </c>
      <c r="G89" s="840">
        <f t="shared" si="5"/>
        <v>18.808860591590392</v>
      </c>
      <c r="H89" s="842">
        <f>$B$253/B89</f>
        <v>2.0088806520040192</v>
      </c>
    </row>
    <row r="90" spans="1:10" ht="15.75" hidden="1" customHeight="1" thickBot="1">
      <c r="A90" s="973" t="s">
        <v>436</v>
      </c>
      <c r="B90" s="748">
        <f>geral!E1374</f>
        <v>180.5</v>
      </c>
      <c r="C90" s="748">
        <f t="shared" si="10"/>
        <v>233.89918362057793</v>
      </c>
      <c r="D90" s="750">
        <f t="shared" ref="D90:D100" si="14">100*((B90/B89)-1)</f>
        <v>0.7591827620855307</v>
      </c>
      <c r="E90" s="750">
        <f t="shared" si="13"/>
        <v>4.6801600649538866</v>
      </c>
      <c r="F90" s="751">
        <f t="shared" si="12"/>
        <v>16.024940541235466</v>
      </c>
      <c r="G90" s="840">
        <f t="shared" ref="G90:G100" si="15">100*(B90/B66-1)</f>
        <v>17.413647303714306</v>
      </c>
      <c r="H90" s="842">
        <f>$B$253/B90</f>
        <v>1.9937444875346257</v>
      </c>
    </row>
    <row r="91" spans="1:10" ht="16.5" hidden="1" thickBot="1">
      <c r="A91" s="973" t="s">
        <v>437</v>
      </c>
      <c r="B91" s="748">
        <f>geral!E1375</f>
        <v>172</v>
      </c>
      <c r="C91" s="748">
        <f t="shared" si="10"/>
        <v>222.88454062459505</v>
      </c>
      <c r="D91" s="750">
        <f t="shared" si="14"/>
        <v>-4.7091412742382266</v>
      </c>
      <c r="E91" s="750">
        <f t="shared" si="13"/>
        <v>-0.24937655860349794</v>
      </c>
      <c r="F91" s="751">
        <f t="shared" si="12"/>
        <v>9.289617486338809</v>
      </c>
      <c r="G91" s="840">
        <f t="shared" si="15"/>
        <v>13.501385772733276</v>
      </c>
      <c r="H91" s="842">
        <f>$B$253/B91</f>
        <v>2.0922725581395345</v>
      </c>
    </row>
    <row r="92" spans="1:10" ht="16.5" hidden="1" thickBot="1">
      <c r="A92" s="973" t="s">
        <v>438</v>
      </c>
      <c r="B92" s="748">
        <f>geral!E1376</f>
        <v>169.86</v>
      </c>
      <c r="C92" s="748">
        <f t="shared" si="10"/>
        <v>220.1114422703123</v>
      </c>
      <c r="D92" s="750">
        <f t="shared" si="14"/>
        <v>-1.2441860465116195</v>
      </c>
      <c r="E92" s="750">
        <f t="shared" si="13"/>
        <v>-1.4904598967697025</v>
      </c>
      <c r="F92" s="751">
        <f t="shared" ref="F92:F100" si="16">100*((B92/B80)-1)</f>
        <v>3.0516289510404748</v>
      </c>
      <c r="G92" s="840">
        <f t="shared" si="15"/>
        <v>8.884615384615401</v>
      </c>
      <c r="H92" s="842">
        <f>$B$253/B92</f>
        <v>2.1186322854115147</v>
      </c>
    </row>
    <row r="93" spans="1:10" ht="16.5" hidden="1" thickBot="1">
      <c r="A93" s="973" t="s">
        <v>439</v>
      </c>
      <c r="B93" s="748">
        <f>geral!E1377</f>
        <v>171.71</v>
      </c>
      <c r="C93" s="748">
        <f t="shared" si="10"/>
        <v>222.50874692237915</v>
      </c>
      <c r="D93" s="750">
        <f t="shared" si="14"/>
        <v>1.089132226539502</v>
      </c>
      <c r="E93" s="750">
        <f t="shared" si="13"/>
        <v>-0.41756074928956943</v>
      </c>
      <c r="F93" s="751">
        <f t="shared" si="16"/>
        <v>-5.430412513080352</v>
      </c>
      <c r="G93" s="840">
        <f t="shared" si="15"/>
        <v>2.8203592814371348</v>
      </c>
      <c r="H93" s="842">
        <f>$B$253/B93</f>
        <v>2.095806184846543</v>
      </c>
    </row>
    <row r="94" spans="1:10" ht="16.5" hidden="1" thickBot="1">
      <c r="A94" s="973" t="s">
        <v>440</v>
      </c>
      <c r="B94" s="748">
        <f>geral!E1378</f>
        <v>176.33333333333334</v>
      </c>
      <c r="C94" s="748">
        <f t="shared" si="10"/>
        <v>228.49984881862557</v>
      </c>
      <c r="D94" s="750">
        <f t="shared" si="14"/>
        <v>2.692524217187886</v>
      </c>
      <c r="E94" s="750">
        <f t="shared" si="13"/>
        <v>2.2637205436022434</v>
      </c>
      <c r="F94" s="751">
        <f t="shared" si="16"/>
        <v>7.5671585319714296E-2</v>
      </c>
      <c r="G94" s="840">
        <f t="shared" si="15"/>
        <v>8.1799591002045027</v>
      </c>
      <c r="H94" s="842">
        <f>$B$253/B94</f>
        <v>2.0408556521739127</v>
      </c>
    </row>
    <row r="95" spans="1:10" ht="16.5" hidden="1" thickBot="1">
      <c r="A95" s="973" t="s">
        <v>441</v>
      </c>
      <c r="B95" s="748">
        <f>geral!E1379</f>
        <v>154.75</v>
      </c>
      <c r="C95" s="748">
        <f t="shared" si="10"/>
        <v>200.53129454451212</v>
      </c>
      <c r="D95" s="750">
        <f t="shared" si="14"/>
        <v>-12.240075614366731</v>
      </c>
      <c r="E95" s="750">
        <f t="shared" ref="E95:E100" si="17">100*((B95/$B$88)-1)</f>
        <v>-10.253436176999365</v>
      </c>
      <c r="F95" s="751">
        <f t="shared" si="16"/>
        <v>-5.0613496932515378</v>
      </c>
      <c r="G95" s="840">
        <f t="shared" si="15"/>
        <v>-5.6402439024390238</v>
      </c>
      <c r="H95" s="842">
        <f>$B$253/B95</f>
        <v>2.3254984168012922</v>
      </c>
      <c r="I95" s="820" t="s">
        <v>241</v>
      </c>
      <c r="J95" s="821"/>
    </row>
    <row r="96" spans="1:10" ht="16.5" hidden="1" thickBot="1">
      <c r="A96" s="973" t="s">
        <v>442</v>
      </c>
      <c r="B96" s="748">
        <f>geral!E1380</f>
        <v>158.6</v>
      </c>
      <c r="C96" s="748">
        <f t="shared" si="10"/>
        <v>205.52027990151612</v>
      </c>
      <c r="D96" s="750">
        <f t="shared" si="14"/>
        <v>2.4878836833602591</v>
      </c>
      <c r="E96" s="750">
        <f t="shared" si="17"/>
        <v>-8.0206460592704314</v>
      </c>
      <c r="F96" s="751">
        <f t="shared" si="16"/>
        <v>-5.7355126300148607</v>
      </c>
      <c r="G96" s="840">
        <f t="shared" si="15"/>
        <v>3.1813154641857855</v>
      </c>
      <c r="H96" s="842">
        <f>$B$253/B96</f>
        <v>2.2690471626733917</v>
      </c>
    </row>
    <row r="97" spans="1:8" ht="16.5" hidden="1" thickBot="1">
      <c r="A97" s="973" t="s">
        <v>443</v>
      </c>
      <c r="B97" s="748">
        <f>geral!E1381</f>
        <v>165</v>
      </c>
      <c r="C97" s="748">
        <f t="shared" si="10"/>
        <v>213.81365815731502</v>
      </c>
      <c r="D97" s="750">
        <f t="shared" si="14"/>
        <v>4.035308953341743</v>
      </c>
      <c r="E97" s="750">
        <f t="shared" si="17"/>
        <v>-4.3089949544742883</v>
      </c>
      <c r="F97" s="751">
        <f t="shared" si="16"/>
        <v>6.6442605997931725</v>
      </c>
      <c r="G97" s="840">
        <f t="shared" si="15"/>
        <v>7.296137339055786</v>
      </c>
      <c r="H97" s="842">
        <f>$B$253/B97</f>
        <v>2.1810356363636361</v>
      </c>
    </row>
    <row r="98" spans="1:8" ht="16.5" hidden="1" thickBot="1">
      <c r="A98" s="973" t="s">
        <v>444</v>
      </c>
      <c r="B98" s="748">
        <f>geral!E1382</f>
        <v>165.66666666666666</v>
      </c>
      <c r="C98" s="748">
        <f t="shared" si="10"/>
        <v>214.67755172562735</v>
      </c>
      <c r="D98" s="750">
        <f t="shared" si="14"/>
        <v>0.40404040404040664</v>
      </c>
      <c r="E98" s="750">
        <f t="shared" si="17"/>
        <v>-3.9223646310580285</v>
      </c>
      <c r="F98" s="751">
        <f t="shared" si="16"/>
        <v>5.3859202714164667</v>
      </c>
      <c r="G98" s="840">
        <f t="shared" si="15"/>
        <v>5.1184433164128684</v>
      </c>
      <c r="H98" s="842">
        <f>$B$253/B98</f>
        <v>2.1722588329979877</v>
      </c>
    </row>
    <row r="99" spans="1:8" ht="16.5" hidden="1" thickBot="1">
      <c r="A99" s="973" t="s">
        <v>445</v>
      </c>
      <c r="B99" s="748">
        <f>geral!E1383</f>
        <v>170</v>
      </c>
      <c r="C99" s="748">
        <f t="shared" si="10"/>
        <v>220.2928599196579</v>
      </c>
      <c r="D99" s="750">
        <f t="shared" si="14"/>
        <v>2.6156941649899457</v>
      </c>
      <c r="E99" s="750">
        <f t="shared" si="17"/>
        <v>-1.4092675288522871</v>
      </c>
      <c r="F99" s="751">
        <f t="shared" si="16"/>
        <v>0.9920988534426245</v>
      </c>
      <c r="G99" s="840">
        <f t="shared" si="15"/>
        <v>7.302909802436397</v>
      </c>
      <c r="H99" s="842">
        <f>$B$253/B99</f>
        <v>2.1168875294117644</v>
      </c>
    </row>
    <row r="100" spans="1:8" ht="16.5" hidden="1" thickBot="1">
      <c r="A100" s="973" t="s">
        <v>446</v>
      </c>
      <c r="B100" s="748">
        <f>geral!E1384</f>
        <v>170.5</v>
      </c>
      <c r="C100" s="748">
        <f t="shared" si="10"/>
        <v>220.94078009589219</v>
      </c>
      <c r="D100" s="750">
        <f t="shared" si="14"/>
        <v>0.29411764705882248</v>
      </c>
      <c r="E100" s="750">
        <f t="shared" si="17"/>
        <v>-1.1192947862900926</v>
      </c>
      <c r="F100" s="751">
        <f t="shared" si="16"/>
        <v>-1.1192947862900926</v>
      </c>
      <c r="G100" s="840">
        <f t="shared" si="15"/>
        <v>8.1578279624460848</v>
      </c>
      <c r="H100" s="842">
        <f>$B$253/B100</f>
        <v>2.1106796480938415</v>
      </c>
    </row>
    <row r="101" spans="1:8" ht="16.5" hidden="1" thickBot="1">
      <c r="A101" s="973" t="s">
        <v>447</v>
      </c>
      <c r="B101" s="748">
        <f>geral!G1373</f>
        <v>178.12</v>
      </c>
      <c r="C101" s="748">
        <f t="shared" si="10"/>
        <v>230.81508358170274</v>
      </c>
      <c r="D101" s="750">
        <f t="shared" ref="D101:D106" si="18">100*((B101/B100)-1)</f>
        <v>4.4692082111436937</v>
      </c>
      <c r="E101" s="750">
        <f t="shared" ref="E101:E106" si="19">100*((B101/$B$100)-1)</f>
        <v>4.4692082111436937</v>
      </c>
      <c r="F101" s="751">
        <f t="shared" ref="F101:F106" si="20">100*((B101/B89)-1)</f>
        <v>-0.56938707156413138</v>
      </c>
      <c r="G101" s="840">
        <f t="shared" ref="G101:G106" si="21">100*(B101/B77-1)</f>
        <v>17.570957095709574</v>
      </c>
      <c r="H101" s="842">
        <f>$B$253/B101</f>
        <v>2.0203844599146641</v>
      </c>
    </row>
    <row r="102" spans="1:8" ht="16.5" hidden="1" thickBot="1">
      <c r="A102" s="973" t="s">
        <v>448</v>
      </c>
      <c r="B102" s="748">
        <f>geral!G1374</f>
        <v>178</v>
      </c>
      <c r="C102" s="748">
        <f t="shared" si="10"/>
        <v>230.65958273940649</v>
      </c>
      <c r="D102" s="750">
        <f t="shared" si="18"/>
        <v>-6.7370312149117595E-2</v>
      </c>
      <c r="E102" s="750">
        <f t="shared" si="19"/>
        <v>4.3988269794721369</v>
      </c>
      <c r="F102" s="751">
        <f t="shared" si="20"/>
        <v>-1.3850415512465353</v>
      </c>
      <c r="G102" s="840">
        <f t="shared" si="21"/>
        <v>14.417946904930258</v>
      </c>
      <c r="H102" s="842">
        <f>$B$253/B102</f>
        <v>2.0217465168539324</v>
      </c>
    </row>
    <row r="103" spans="1:8" ht="16.5" hidden="1" thickBot="1">
      <c r="A103" s="973" t="s">
        <v>449</v>
      </c>
      <c r="B103" s="748">
        <f>geral!G1375</f>
        <v>185</v>
      </c>
      <c r="C103" s="748">
        <f t="shared" si="10"/>
        <v>239.73046520668652</v>
      </c>
      <c r="D103" s="750">
        <f t="shared" si="18"/>
        <v>3.9325842696629199</v>
      </c>
      <c r="E103" s="750">
        <f t="shared" si="19"/>
        <v>8.5043988269794646</v>
      </c>
      <c r="F103" s="751">
        <f t="shared" si="20"/>
        <v>7.5581395348837122</v>
      </c>
      <c r="G103" s="840">
        <f t="shared" si="21"/>
        <v>17.54987927309697</v>
      </c>
      <c r="H103" s="842">
        <f>$B$253/B103</f>
        <v>1.9452479999999996</v>
      </c>
    </row>
    <row r="104" spans="1:8" ht="16.5" hidden="1" thickBot="1">
      <c r="A104" s="973" t="s">
        <v>450</v>
      </c>
      <c r="B104" s="748">
        <f>geral!G1376</f>
        <v>183.33333333333334</v>
      </c>
      <c r="C104" s="748">
        <f t="shared" si="10"/>
        <v>237.57073128590559</v>
      </c>
      <c r="D104" s="750">
        <f t="shared" si="18"/>
        <v>-0.9009009009008917</v>
      </c>
      <c r="E104" s="750">
        <f t="shared" si="19"/>
        <v>7.526881720430123</v>
      </c>
      <c r="F104" s="751">
        <f t="shared" si="20"/>
        <v>7.9320224498606651</v>
      </c>
      <c r="G104" s="840">
        <f t="shared" si="21"/>
        <v>11.225707294384101</v>
      </c>
      <c r="H104" s="842">
        <f>$B$253/B104</f>
        <v>1.9629320727272723</v>
      </c>
    </row>
    <row r="105" spans="1:8" ht="16.5" hidden="1" thickBot="1">
      <c r="A105" s="973" t="s">
        <v>451</v>
      </c>
      <c r="B105" s="748">
        <f>geral!G1377</f>
        <v>188</v>
      </c>
      <c r="C105" s="748">
        <f t="shared" si="10"/>
        <v>243.61798626409225</v>
      </c>
      <c r="D105" s="750">
        <f t="shared" si="18"/>
        <v>2.5454545454545396</v>
      </c>
      <c r="E105" s="750">
        <f t="shared" si="19"/>
        <v>10.263929618768319</v>
      </c>
      <c r="F105" s="751">
        <f t="shared" si="20"/>
        <v>9.4869256304233929</v>
      </c>
      <c r="G105" s="840">
        <f t="shared" si="21"/>
        <v>3.5413339208018924</v>
      </c>
      <c r="H105" s="842">
        <f>$B$253/B105</f>
        <v>1.9142068085106381</v>
      </c>
    </row>
    <row r="106" spans="1:8" ht="16.5" hidden="1" thickBot="1">
      <c r="A106" s="973" t="s">
        <v>452</v>
      </c>
      <c r="B106" s="748">
        <f>geral!G1378</f>
        <v>189</v>
      </c>
      <c r="C106" s="748">
        <f t="shared" si="10"/>
        <v>244.91382661656084</v>
      </c>
      <c r="D106" s="750">
        <f t="shared" si="18"/>
        <v>0.53191489361701372</v>
      </c>
      <c r="E106" s="750">
        <f t="shared" si="19"/>
        <v>10.850439882697938</v>
      </c>
      <c r="F106" s="751">
        <f t="shared" si="20"/>
        <v>7.1833648393194727</v>
      </c>
      <c r="G106" s="840">
        <f t="shared" si="21"/>
        <v>7.2644721906923948</v>
      </c>
      <c r="H106" s="842">
        <f>$B$253/B106</f>
        <v>1.9040787301587299</v>
      </c>
    </row>
    <row r="107" spans="1:8" ht="16.5" hidden="1" thickBot="1">
      <c r="A107" s="973" t="s">
        <v>453</v>
      </c>
      <c r="B107" s="748">
        <f>geral!G1379</f>
        <v>195.6</v>
      </c>
      <c r="C107" s="748">
        <f t="shared" si="10"/>
        <v>253.46637294285344</v>
      </c>
      <c r="D107" s="750">
        <f t="shared" ref="D107:D112" si="22">100*((B107/B106)-1)</f>
        <v>3.4920634920634797</v>
      </c>
      <c r="E107" s="750">
        <f t="shared" ref="E107:E112" si="23">100*((B107/$B$100)-1)</f>
        <v>14.721407624633432</v>
      </c>
      <c r="F107" s="751">
        <f t="shared" ref="F107:F112" si="24">100*((B107/B95)-1)</f>
        <v>26.397415185783512</v>
      </c>
      <c r="G107" s="840">
        <f t="shared" ref="G107:G112" si="25">100*(B107/B83-1)</f>
        <v>19.999999999999996</v>
      </c>
      <c r="H107" s="842">
        <f>$B$253/B107</f>
        <v>1.8398306748466255</v>
      </c>
    </row>
    <row r="108" spans="1:8" ht="16.5" hidden="1" thickBot="1">
      <c r="A108" s="973" t="s">
        <v>454</v>
      </c>
      <c r="B108" s="748">
        <f>geral!G1380</f>
        <v>193.66666666666666</v>
      </c>
      <c r="C108" s="748">
        <f t="shared" si="10"/>
        <v>250.9610815947475</v>
      </c>
      <c r="D108" s="750">
        <f t="shared" si="22"/>
        <v>-0.98841172460804039</v>
      </c>
      <c r="E108" s="750">
        <f t="shared" si="23"/>
        <v>13.587487781036156</v>
      </c>
      <c r="F108" s="751">
        <f t="shared" si="24"/>
        <v>22.110130306851627</v>
      </c>
      <c r="G108" s="840">
        <f t="shared" si="25"/>
        <v>15.106488360574533</v>
      </c>
      <c r="H108" s="842">
        <f>$B$253/B108</f>
        <v>1.8581973149741822</v>
      </c>
    </row>
    <row r="109" spans="1:8" ht="16.5" hidden="1" thickBot="1">
      <c r="A109" s="973" t="s">
        <v>455</v>
      </c>
      <c r="B109" s="748">
        <f>geral!G1381</f>
        <v>200.6</v>
      </c>
      <c r="C109" s="748">
        <f t="shared" si="10"/>
        <v>259.94557470519629</v>
      </c>
      <c r="D109" s="750">
        <f t="shared" si="22"/>
        <v>3.5800344234079295</v>
      </c>
      <c r="E109" s="750">
        <f t="shared" si="23"/>
        <v>17.653958944281523</v>
      </c>
      <c r="F109" s="751">
        <f t="shared" si="24"/>
        <v>21.575757575757581</v>
      </c>
      <c r="G109" s="840">
        <f t="shared" si="25"/>
        <v>29.653567735263707</v>
      </c>
      <c r="H109" s="842">
        <f>$B$253/B109</f>
        <v>1.7939724825523427</v>
      </c>
    </row>
    <row r="110" spans="1:8" ht="16.5" hidden="1" thickBot="1">
      <c r="A110" s="973" t="s">
        <v>456</v>
      </c>
      <c r="B110" s="748">
        <f>geral!G1382</f>
        <v>200.5</v>
      </c>
      <c r="C110" s="748">
        <f t="shared" si="10"/>
        <v>259.81599066994943</v>
      </c>
      <c r="D110" s="750">
        <f t="shared" si="22"/>
        <v>-4.9850448654031876E-2</v>
      </c>
      <c r="E110" s="750">
        <f t="shared" si="23"/>
        <v>17.595307917888569</v>
      </c>
      <c r="F110" s="751">
        <f t="shared" si="24"/>
        <v>21.026156941649909</v>
      </c>
      <c r="G110" s="840">
        <f t="shared" si="25"/>
        <v>27.544529262086527</v>
      </c>
      <c r="H110" s="842">
        <f>$B$253/B110</f>
        <v>1.7948672319201993</v>
      </c>
    </row>
    <row r="111" spans="1:8" ht="16.5" hidden="1" thickBot="1">
      <c r="A111" s="973" t="s">
        <v>457</v>
      </c>
      <c r="B111" s="748">
        <f>geral!G1383</f>
        <v>205.6</v>
      </c>
      <c r="C111" s="748">
        <f t="shared" si="10"/>
        <v>266.42477646753917</v>
      </c>
      <c r="D111" s="750">
        <f t="shared" si="22"/>
        <v>2.5436408977556058</v>
      </c>
      <c r="E111" s="750">
        <f t="shared" si="23"/>
        <v>20.586510263929615</v>
      </c>
      <c r="F111" s="751">
        <f t="shared" si="24"/>
        <v>20.941176470588239</v>
      </c>
      <c r="G111" s="840">
        <f t="shared" si="25"/>
        <v>22.141032495692968</v>
      </c>
      <c r="H111" s="842">
        <f>$B$253/B111</f>
        <v>1.7503447470817117</v>
      </c>
    </row>
    <row r="112" spans="1:8" ht="16.5" hidden="1" thickBot="1">
      <c r="A112" s="973" t="s">
        <v>458</v>
      </c>
      <c r="B112" s="748">
        <f>geral!G1384</f>
        <v>207.5</v>
      </c>
      <c r="C112" s="748">
        <f t="shared" si="10"/>
        <v>268.88687313722949</v>
      </c>
      <c r="D112" s="750">
        <f t="shared" si="22"/>
        <v>0.92412451361867376</v>
      </c>
      <c r="E112" s="750">
        <f t="shared" si="23"/>
        <v>21.700879765395896</v>
      </c>
      <c r="F112" s="751">
        <f t="shared" si="24"/>
        <v>21.700879765395896</v>
      </c>
      <c r="G112" s="840">
        <f t="shared" si="25"/>
        <v>20.338688163312636</v>
      </c>
      <c r="H112" s="842">
        <f>$B$253/B112</f>
        <v>1.7343174939759034</v>
      </c>
    </row>
    <row r="113" spans="1:8" ht="16.5" hidden="1" thickBot="1">
      <c r="A113" s="973" t="s">
        <v>459</v>
      </c>
      <c r="B113" s="748">
        <f>geral!I1373</f>
        <v>205</v>
      </c>
      <c r="C113" s="748">
        <f t="shared" si="10"/>
        <v>265.64727225605805</v>
      </c>
      <c r="D113" s="750">
        <f t="shared" ref="D113:D118" si="26">100*((B113/B112)-1)</f>
        <v>-1.2048192771084376</v>
      </c>
      <c r="E113" s="750">
        <f t="shared" ref="E113:E118" si="27">100*((B113/$B$112)-1)</f>
        <v>-1.2048192771084376</v>
      </c>
      <c r="F113" s="751">
        <f t="shared" ref="F113:F118" si="28">100*((B113/B101)-1)</f>
        <v>15.090949921401297</v>
      </c>
      <c r="G113" s="840">
        <f t="shared" ref="G113:G118" si="29">100*(B113/B89-1)</f>
        <v>14.435636932008489</v>
      </c>
      <c r="H113" s="842">
        <f>$B$253/B113</f>
        <v>1.7554677073170728</v>
      </c>
    </row>
    <row r="114" spans="1:8" ht="16.5" hidden="1" thickBot="1">
      <c r="A114" s="973" t="s">
        <v>460</v>
      </c>
      <c r="B114" s="748">
        <f>geral!I1374</f>
        <v>207.5</v>
      </c>
      <c r="C114" s="748">
        <f t="shared" si="10"/>
        <v>268.88687313722949</v>
      </c>
      <c r="D114" s="750">
        <f t="shared" si="26"/>
        <v>1.2195121951219523</v>
      </c>
      <c r="E114" s="750">
        <f t="shared" si="27"/>
        <v>0</v>
      </c>
      <c r="F114" s="751">
        <f t="shared" si="28"/>
        <v>16.573033707865157</v>
      </c>
      <c r="G114" s="840">
        <f t="shared" si="29"/>
        <v>14.958448753462594</v>
      </c>
      <c r="H114" s="842">
        <f>$B$253/B114</f>
        <v>1.7343174939759034</v>
      </c>
    </row>
    <row r="115" spans="1:8" ht="16.5" hidden="1" thickBot="1">
      <c r="A115" s="973" t="s">
        <v>461</v>
      </c>
      <c r="B115" s="748">
        <f>geral!I1375</f>
        <v>210</v>
      </c>
      <c r="C115" s="748">
        <f t="shared" si="10"/>
        <v>272.12647401840093</v>
      </c>
      <c r="D115" s="750">
        <f t="shared" si="26"/>
        <v>1.2048192771084265</v>
      </c>
      <c r="E115" s="750">
        <f t="shared" si="27"/>
        <v>1.2048192771084265</v>
      </c>
      <c r="F115" s="751">
        <f t="shared" si="28"/>
        <v>13.513513513513509</v>
      </c>
      <c r="G115" s="840">
        <f t="shared" si="29"/>
        <v>22.093023255813947</v>
      </c>
      <c r="H115" s="842">
        <f>$B$253/B115</f>
        <v>1.7136708571428569</v>
      </c>
    </row>
    <row r="116" spans="1:8" ht="16.5" hidden="1" thickBot="1">
      <c r="A116" s="973" t="s">
        <v>462</v>
      </c>
      <c r="B116" s="748">
        <f>geral!I1376</f>
        <v>210</v>
      </c>
      <c r="C116" s="748">
        <f t="shared" si="10"/>
        <v>272.12647401840093</v>
      </c>
      <c r="D116" s="750">
        <f t="shared" si="26"/>
        <v>0</v>
      </c>
      <c r="E116" s="750">
        <f t="shared" si="27"/>
        <v>1.2048192771084265</v>
      </c>
      <c r="F116" s="751">
        <f t="shared" si="28"/>
        <v>14.54545454545455</v>
      </c>
      <c r="G116" s="840">
        <f t="shared" si="29"/>
        <v>23.631225715294946</v>
      </c>
      <c r="H116" s="842">
        <f>$B$253/B116</f>
        <v>1.7136708571428569</v>
      </c>
    </row>
    <row r="117" spans="1:8" ht="16.5" hidden="1" thickBot="1">
      <c r="A117" s="973" t="s">
        <v>463</v>
      </c>
      <c r="B117" s="748">
        <f>geral!I1377</f>
        <v>214</v>
      </c>
      <c r="C117" s="748">
        <f t="shared" si="10"/>
        <v>277.30983542827522</v>
      </c>
      <c r="D117" s="750">
        <f t="shared" si="26"/>
        <v>1.904761904761898</v>
      </c>
      <c r="E117" s="750">
        <f t="shared" si="27"/>
        <v>3.1325301204819356</v>
      </c>
      <c r="F117" s="751">
        <f t="shared" si="28"/>
        <v>13.829787234042556</v>
      </c>
      <c r="G117" s="840">
        <f t="shared" si="29"/>
        <v>24.62873449420535</v>
      </c>
      <c r="H117" s="842">
        <f>$B$253/B117</f>
        <v>1.681639626168224</v>
      </c>
    </row>
    <row r="118" spans="1:8" ht="16.5" hidden="1" thickBot="1">
      <c r="A118" s="973" t="s">
        <v>464</v>
      </c>
      <c r="B118" s="748">
        <f>geral!I1378</f>
        <v>216.5</v>
      </c>
      <c r="C118" s="748">
        <f t="shared" si="10"/>
        <v>280.54943630944666</v>
      </c>
      <c r="D118" s="750">
        <f t="shared" si="26"/>
        <v>1.1682242990654235</v>
      </c>
      <c r="E118" s="750">
        <f t="shared" si="27"/>
        <v>4.3373493975903621</v>
      </c>
      <c r="F118" s="751">
        <f t="shared" si="28"/>
        <v>14.550264550264558</v>
      </c>
      <c r="G118" s="840">
        <f t="shared" si="29"/>
        <v>22.778827977315675</v>
      </c>
      <c r="H118" s="842">
        <f>$B$253/B118</f>
        <v>1.6622211547344108</v>
      </c>
    </row>
    <row r="119" spans="1:8" ht="16.5" hidden="1" thickBot="1">
      <c r="A119" s="973" t="s">
        <v>465</v>
      </c>
      <c r="B119" s="748">
        <f>geral!I1379</f>
        <v>219</v>
      </c>
      <c r="C119" s="748">
        <f t="shared" si="10"/>
        <v>283.7890371906181</v>
      </c>
      <c r="D119" s="750">
        <f t="shared" ref="D119:D124" si="30">100*((B119/B118)-1)</f>
        <v>1.1547344110854452</v>
      </c>
      <c r="E119" s="750">
        <f t="shared" ref="E119:E124" si="31">100*((B119/$B$112)-1)</f>
        <v>5.5421686746987886</v>
      </c>
      <c r="F119" s="751">
        <f t="shared" ref="F119:F124" si="32">100*((B119/B107)-1)</f>
        <v>11.963190184049077</v>
      </c>
      <c r="G119" s="840">
        <f t="shared" ref="G119:G124" si="33">100*(B119/B95-1)</f>
        <v>41.518578352180938</v>
      </c>
      <c r="H119" s="842">
        <f>$B$253/B119</f>
        <v>1.64324602739726</v>
      </c>
    </row>
    <row r="120" spans="1:8" ht="16.5" hidden="1" thickBot="1">
      <c r="A120" s="973" t="s">
        <v>466</v>
      </c>
      <c r="B120" s="748">
        <f>geral!I1380</f>
        <v>224.83333333333334</v>
      </c>
      <c r="C120" s="748">
        <f t="shared" si="10"/>
        <v>291.3481059133515</v>
      </c>
      <c r="D120" s="750">
        <f t="shared" si="30"/>
        <v>2.6636225266362334</v>
      </c>
      <c r="E120" s="750">
        <f t="shared" si="31"/>
        <v>8.3534136546184801</v>
      </c>
      <c r="F120" s="751">
        <f t="shared" si="32"/>
        <v>16.092943201376954</v>
      </c>
      <c r="G120" s="840">
        <f t="shared" si="33"/>
        <v>41.761244220260622</v>
      </c>
      <c r="H120" s="842">
        <f>$B$253/B120</f>
        <v>1.6006117716827277</v>
      </c>
    </row>
    <row r="121" spans="1:8" ht="16.5" hidden="1" thickBot="1">
      <c r="A121" s="973" t="s">
        <v>467</v>
      </c>
      <c r="B121" s="748">
        <f>geral!I1381</f>
        <v>226.5</v>
      </c>
      <c r="C121" s="748">
        <f t="shared" si="10"/>
        <v>293.50783983413243</v>
      </c>
      <c r="D121" s="750">
        <f t="shared" si="30"/>
        <v>0.74128984432912937</v>
      </c>
      <c r="E121" s="750">
        <f t="shared" si="31"/>
        <v>9.1566265060240895</v>
      </c>
      <c r="F121" s="751">
        <f t="shared" si="32"/>
        <v>12.911266201395822</v>
      </c>
      <c r="G121" s="840">
        <f t="shared" si="33"/>
        <v>37.27272727272728</v>
      </c>
      <c r="H121" s="842">
        <f>$B$253/B121</f>
        <v>1.5888339072847679</v>
      </c>
    </row>
    <row r="122" spans="1:8" ht="16.5" hidden="1" thickBot="1">
      <c r="A122" s="973" t="s">
        <v>468</v>
      </c>
      <c r="B122" s="748">
        <f>geral!I1382</f>
        <v>232.5</v>
      </c>
      <c r="C122" s="748">
        <f t="shared" si="10"/>
        <v>301.2828819489439</v>
      </c>
      <c r="D122" s="750">
        <f t="shared" si="30"/>
        <v>2.6490066225165476</v>
      </c>
      <c r="E122" s="750">
        <f t="shared" si="31"/>
        <v>12.048192771084331</v>
      </c>
      <c r="F122" s="751">
        <f t="shared" si="32"/>
        <v>15.960099750623446</v>
      </c>
      <c r="G122" s="840">
        <f t="shared" si="33"/>
        <v>40.3420523138833</v>
      </c>
      <c r="H122" s="842">
        <f>$B$253/B122</f>
        <v>1.5478317419354837</v>
      </c>
    </row>
    <row r="123" spans="1:8" ht="16.5" hidden="1" thickBot="1">
      <c r="A123" s="973" t="s">
        <v>469</v>
      </c>
      <c r="B123" s="748">
        <f>geral!I1383</f>
        <v>229</v>
      </c>
      <c r="C123" s="748">
        <f t="shared" si="10"/>
        <v>296.74744071530387</v>
      </c>
      <c r="D123" s="750">
        <f t="shared" si="30"/>
        <v>-1.5053763440860179</v>
      </c>
      <c r="E123" s="750">
        <f t="shared" si="31"/>
        <v>10.361445783132538</v>
      </c>
      <c r="F123" s="751">
        <f t="shared" si="32"/>
        <v>11.381322957198448</v>
      </c>
      <c r="G123" s="840">
        <f t="shared" si="33"/>
        <v>34.705882352941188</v>
      </c>
      <c r="H123" s="842">
        <f>$B$253/B123</f>
        <v>1.5714885589519647</v>
      </c>
    </row>
    <row r="124" spans="1:8" ht="16.5" hidden="1" thickBot="1">
      <c r="A124" s="973" t="s">
        <v>470</v>
      </c>
      <c r="B124" s="748">
        <f>geral!I1384</f>
        <v>236.66666666666666</v>
      </c>
      <c r="C124" s="748">
        <f t="shared" si="10"/>
        <v>306.68221675089626</v>
      </c>
      <c r="D124" s="750">
        <f t="shared" si="30"/>
        <v>3.3478893740902516</v>
      </c>
      <c r="E124" s="750">
        <f t="shared" si="31"/>
        <v>14.056224899598391</v>
      </c>
      <c r="F124" s="751">
        <f t="shared" si="32"/>
        <v>14.056224899598391</v>
      </c>
      <c r="G124" s="840">
        <f t="shared" si="33"/>
        <v>38.807429130009766</v>
      </c>
      <c r="H124" s="842">
        <f>$B$253/B124</f>
        <v>1.5205811830985914</v>
      </c>
    </row>
    <row r="125" spans="1:8" ht="16.5" hidden="1" thickBot="1">
      <c r="A125" s="973" t="s">
        <v>471</v>
      </c>
      <c r="B125" s="748">
        <f>geral!K1373</f>
        <v>236.66666666666666</v>
      </c>
      <c r="C125" s="748">
        <f t="shared" si="10"/>
        <v>306.68221675089626</v>
      </c>
      <c r="D125" s="750">
        <f t="shared" ref="D125:D130" si="34">100*((B125/B124)-1)</f>
        <v>0</v>
      </c>
      <c r="E125" s="750">
        <f t="shared" ref="E125:E130" si="35">100*((B125/$B$124)-1)</f>
        <v>0</v>
      </c>
      <c r="F125" s="751">
        <f t="shared" ref="F125:F130" si="36">100*((B125/B113)-1)</f>
        <v>15.447154471544721</v>
      </c>
      <c r="G125" s="840">
        <f t="shared" ref="G125:G130" si="37">100*(B125/B101-1)</f>
        <v>32.869226738528326</v>
      </c>
      <c r="H125" s="842">
        <f>$B$253/B125</f>
        <v>1.5205811830985914</v>
      </c>
    </row>
    <row r="126" spans="1:8" ht="16.5" hidden="1" thickBot="1">
      <c r="A126" s="973" t="s">
        <v>472</v>
      </c>
      <c r="B126" s="748">
        <f>geral!K1374</f>
        <v>230</v>
      </c>
      <c r="C126" s="748">
        <f t="shared" si="10"/>
        <v>298.04328106777245</v>
      </c>
      <c r="D126" s="750">
        <f t="shared" si="34"/>
        <v>-2.8169014084507005</v>
      </c>
      <c r="E126" s="750">
        <f t="shared" si="35"/>
        <v>-2.8169014084507005</v>
      </c>
      <c r="F126" s="751">
        <f t="shared" si="36"/>
        <v>10.843373493975905</v>
      </c>
      <c r="G126" s="840">
        <f t="shared" si="37"/>
        <v>29.213483146067421</v>
      </c>
      <c r="H126" s="842">
        <f>$B$253/B126</f>
        <v>1.5646559999999998</v>
      </c>
    </row>
    <row r="127" spans="1:8" ht="16.5" hidden="1" thickBot="1">
      <c r="A127" s="973" t="s">
        <v>473</v>
      </c>
      <c r="B127" s="748">
        <f>geral!K1375</f>
        <v>217.66666666666666</v>
      </c>
      <c r="C127" s="748">
        <f t="shared" si="10"/>
        <v>282.06125005399332</v>
      </c>
      <c r="D127" s="750">
        <f t="shared" si="34"/>
        <v>-5.3623188405797162</v>
      </c>
      <c r="E127" s="750">
        <f t="shared" si="35"/>
        <v>-8.0281690140845079</v>
      </c>
      <c r="F127" s="751">
        <f t="shared" si="36"/>
        <v>3.6507936507936378</v>
      </c>
      <c r="G127" s="840">
        <f t="shared" si="37"/>
        <v>17.657657657657655</v>
      </c>
      <c r="H127" s="842">
        <f>$B$253/B127</f>
        <v>1.6533118529862172</v>
      </c>
    </row>
    <row r="128" spans="1:8" ht="16.5" hidden="1" thickBot="1">
      <c r="A128" s="973" t="s">
        <v>474</v>
      </c>
      <c r="B128" s="748">
        <f>geral!K1376</f>
        <v>200.27</v>
      </c>
      <c r="C128" s="748">
        <f t="shared" si="10"/>
        <v>259.51794738888168</v>
      </c>
      <c r="D128" s="750">
        <f t="shared" si="34"/>
        <v>-7.9923430321592548</v>
      </c>
      <c r="E128" s="750">
        <f t="shared" si="35"/>
        <v>-15.378873239436608</v>
      </c>
      <c r="F128" s="751">
        <f t="shared" si="36"/>
        <v>-4.6333333333333337</v>
      </c>
      <c r="G128" s="840">
        <f t="shared" si="37"/>
        <v>9.2381818181818112</v>
      </c>
      <c r="H128" s="842">
        <f>$B$253/B128</f>
        <v>1.7969285464622755</v>
      </c>
    </row>
    <row r="129" spans="1:8" ht="16.5" hidden="1" thickBot="1">
      <c r="A129" s="973" t="s">
        <v>475</v>
      </c>
      <c r="B129" s="748">
        <f>geral!K1377</f>
        <v>205.81833333333336</v>
      </c>
      <c r="C129" s="748">
        <f t="shared" si="10"/>
        <v>266.70770161116155</v>
      </c>
      <c r="D129" s="750">
        <f t="shared" si="34"/>
        <v>2.7704265907691372</v>
      </c>
      <c r="E129" s="750">
        <f t="shared" si="35"/>
        <v>-13.034507042253507</v>
      </c>
      <c r="F129" s="751">
        <f t="shared" si="36"/>
        <v>-3.8232087227414224</v>
      </c>
      <c r="G129" s="840">
        <f t="shared" si="37"/>
        <v>9.477836879432644</v>
      </c>
      <c r="H129" s="842">
        <f>$B$253/B129</f>
        <v>1.7484879707832954</v>
      </c>
    </row>
    <row r="130" spans="1:8" ht="16.5" hidden="1" thickBot="1">
      <c r="A130" s="973" t="s">
        <v>476</v>
      </c>
      <c r="B130" s="748">
        <f>geral!K1378</f>
        <v>207.42500000000001</v>
      </c>
      <c r="C130" s="748">
        <f t="shared" si="10"/>
        <v>268.78968511079432</v>
      </c>
      <c r="D130" s="750">
        <f t="shared" si="34"/>
        <v>0.78062368917573011</v>
      </c>
      <c r="E130" s="750">
        <f t="shared" si="35"/>
        <v>-12.355633802816889</v>
      </c>
      <c r="F130" s="751">
        <f t="shared" si="36"/>
        <v>-4.1916859122401835</v>
      </c>
      <c r="G130" s="840">
        <f t="shared" si="37"/>
        <v>9.7486772486772502</v>
      </c>
      <c r="H130" s="842">
        <f>$B$253/B130</f>
        <v>1.7349445823791729</v>
      </c>
    </row>
    <row r="131" spans="1:8" ht="16.5" hidden="1" thickBot="1">
      <c r="A131" s="973" t="s">
        <v>477</v>
      </c>
      <c r="B131" s="748">
        <f>geral!K1379</f>
        <v>207.42500000000001</v>
      </c>
      <c r="C131" s="748">
        <f t="shared" si="10"/>
        <v>268.78968511079432</v>
      </c>
      <c r="D131" s="750">
        <f t="shared" ref="D131:D136" si="38">100*((B131/B130)-1)</f>
        <v>0</v>
      </c>
      <c r="E131" s="750">
        <f t="shared" ref="E131:E136" si="39">100*((B131/$B$124)-1)</f>
        <v>-12.355633802816889</v>
      </c>
      <c r="F131" s="751">
        <f t="shared" ref="F131:F136" si="40">100*((B131/B119)-1)</f>
        <v>-5.2853881278538744</v>
      </c>
      <c r="G131" s="840">
        <f t="shared" ref="G131:G136" si="41">100*(B131/B107-1)</f>
        <v>6.0455010224949035</v>
      </c>
      <c r="H131" s="842">
        <f>$B$253/B131</f>
        <v>1.7349445823791729</v>
      </c>
    </row>
    <row r="132" spans="1:8" ht="16.5" hidden="1" thickBot="1">
      <c r="A132" s="973" t="s">
        <v>478</v>
      </c>
      <c r="B132" s="748">
        <f>geral!K1380</f>
        <v>211.48500000000001</v>
      </c>
      <c r="C132" s="748">
        <f t="shared" si="10"/>
        <v>274.05079694181677</v>
      </c>
      <c r="D132" s="750">
        <f t="shared" si="38"/>
        <v>1.9573339761359554</v>
      </c>
      <c r="E132" s="750">
        <f t="shared" si="39"/>
        <v>-10.640140845070412</v>
      </c>
      <c r="F132" s="751">
        <f t="shared" si="40"/>
        <v>-5.9369903632320202</v>
      </c>
      <c r="G132" s="840">
        <f t="shared" si="41"/>
        <v>9.2005163511187824</v>
      </c>
      <c r="H132" s="842">
        <f>$B$253/B132</f>
        <v>1.7016378466557909</v>
      </c>
    </row>
    <row r="133" spans="1:8" ht="16.5" hidden="1" thickBot="1">
      <c r="A133" s="973" t="s">
        <v>479</v>
      </c>
      <c r="B133" s="748">
        <f>geral!K1381</f>
        <v>211.48500000000001</v>
      </c>
      <c r="C133" s="748">
        <f t="shared" si="10"/>
        <v>274.05079694181677</v>
      </c>
      <c r="D133" s="750">
        <f t="shared" si="38"/>
        <v>0</v>
      </c>
      <c r="E133" s="750">
        <f t="shared" si="39"/>
        <v>-10.640140845070412</v>
      </c>
      <c r="F133" s="751">
        <f t="shared" si="40"/>
        <v>-6.6291390728476784</v>
      </c>
      <c r="G133" s="840">
        <f t="shared" si="41"/>
        <v>5.426221335992043</v>
      </c>
      <c r="H133" s="842">
        <f>$B$253/B133</f>
        <v>1.7016378466557909</v>
      </c>
    </row>
    <row r="134" spans="1:8" ht="16.5" hidden="1" thickBot="1">
      <c r="A134" s="973" t="s">
        <v>480</v>
      </c>
      <c r="B134" s="748">
        <f>geral!K1382</f>
        <v>211.48500000000001</v>
      </c>
      <c r="C134" s="748">
        <f t="shared" si="10"/>
        <v>274.05079694181677</v>
      </c>
      <c r="D134" s="750">
        <f t="shared" si="38"/>
        <v>0</v>
      </c>
      <c r="E134" s="750">
        <f t="shared" si="39"/>
        <v>-10.640140845070412</v>
      </c>
      <c r="F134" s="751">
        <f t="shared" si="40"/>
        <v>-9.0387096774193552</v>
      </c>
      <c r="G134" s="840">
        <f t="shared" si="41"/>
        <v>5.4788029925187054</v>
      </c>
      <c r="H134" s="842">
        <f>$B$253/B134</f>
        <v>1.7016378466557909</v>
      </c>
    </row>
    <row r="135" spans="1:8" ht="16.5" hidden="1" thickBot="1">
      <c r="A135" s="973" t="s">
        <v>481</v>
      </c>
      <c r="B135" s="748">
        <f>geral!K1383</f>
        <v>222.66666666666666</v>
      </c>
      <c r="C135" s="748">
        <f t="shared" si="10"/>
        <v>288.5404518163362</v>
      </c>
      <c r="D135" s="750">
        <f t="shared" si="38"/>
        <v>5.28721501130891</v>
      </c>
      <c r="E135" s="750">
        <f t="shared" si="39"/>
        <v>-5.9154929577464817</v>
      </c>
      <c r="F135" s="751">
        <f t="shared" si="40"/>
        <v>-2.7656477438136817</v>
      </c>
      <c r="G135" s="840">
        <f t="shared" si="41"/>
        <v>8.3009079118028453</v>
      </c>
      <c r="H135" s="842">
        <f>$B$253/B135</f>
        <v>1.6161865868263472</v>
      </c>
    </row>
    <row r="136" spans="1:8" ht="16.5" hidden="1" thickBot="1">
      <c r="A136" s="1015" t="s">
        <v>482</v>
      </c>
      <c r="B136" s="755">
        <f>geral!K1384</f>
        <v>235.1960894417808</v>
      </c>
      <c r="C136" s="755">
        <f t="shared" si="10"/>
        <v>304.77658344146789</v>
      </c>
      <c r="D136" s="756">
        <f t="shared" si="38"/>
        <v>5.6269862762488687</v>
      </c>
      <c r="E136" s="756">
        <f t="shared" si="39"/>
        <v>-0.62137065840247585</v>
      </c>
      <c r="F136" s="757">
        <f t="shared" si="40"/>
        <v>-0.62137065840247585</v>
      </c>
      <c r="G136" s="841">
        <f t="shared" si="41"/>
        <v>13.34751298399075</v>
      </c>
      <c r="H136" s="922">
        <f>$B$253/B136</f>
        <v>1.5300887053612364</v>
      </c>
    </row>
    <row r="137" spans="1:8">
      <c r="A137" s="1013" t="s">
        <v>483</v>
      </c>
      <c r="B137" s="852">
        <f>geral!M1373</f>
        <v>232.49166666666667</v>
      </c>
      <c r="C137" s="852">
        <f t="shared" si="10"/>
        <v>301.27208327933999</v>
      </c>
      <c r="D137" s="967">
        <f t="shared" ref="D137:D142" si="42">100*((B137/B136)-1)</f>
        <v>-1.1498587334223376</v>
      </c>
      <c r="E137" s="967">
        <f t="shared" ref="E137:E142" si="43">100*((B137/$B$136)-1)</f>
        <v>-1.1498587334223376</v>
      </c>
      <c r="F137" s="968">
        <f t="shared" ref="F137:F142" si="44">100*((B137/B125)-1)</f>
        <v>-1.7640845070422517</v>
      </c>
      <c r="G137" s="969">
        <f t="shared" ref="G137:G142" si="45">100*(B137/B113-1)</f>
        <v>13.410569105691049</v>
      </c>
      <c r="H137" s="856">
        <f>$B$253/B137</f>
        <v>1.5478872217642206</v>
      </c>
    </row>
    <row r="138" spans="1:8">
      <c r="A138" s="1014" t="s">
        <v>484</v>
      </c>
      <c r="B138" s="857">
        <f>geral!M1374</f>
        <v>232.49166666666667</v>
      </c>
      <c r="C138" s="857">
        <f t="shared" si="10"/>
        <v>301.27208327933999</v>
      </c>
      <c r="D138" s="961">
        <f t="shared" si="42"/>
        <v>0</v>
      </c>
      <c r="E138" s="961">
        <f t="shared" si="43"/>
        <v>-1.1498587334223376</v>
      </c>
      <c r="F138" s="965">
        <f t="shared" si="44"/>
        <v>1.0833333333333472</v>
      </c>
      <c r="G138" s="966">
        <f t="shared" si="45"/>
        <v>12.044176706827315</v>
      </c>
      <c r="H138" s="861">
        <f>$B$253/B138</f>
        <v>1.5478872217642206</v>
      </c>
    </row>
    <row r="139" spans="1:8">
      <c r="A139" s="1014" t="s">
        <v>485</v>
      </c>
      <c r="B139" s="857">
        <f>geral!M1375</f>
        <v>232.49166666666667</v>
      </c>
      <c r="C139" s="857">
        <f t="shared" si="10"/>
        <v>301.27208327933999</v>
      </c>
      <c r="D139" s="961">
        <f t="shared" si="42"/>
        <v>0</v>
      </c>
      <c r="E139" s="961">
        <f t="shared" si="43"/>
        <v>-1.1498587334223376</v>
      </c>
      <c r="F139" s="965">
        <f t="shared" si="44"/>
        <v>6.8108728943338415</v>
      </c>
      <c r="G139" s="966">
        <f t="shared" si="45"/>
        <v>10.710317460317453</v>
      </c>
      <c r="H139" s="861">
        <f t="shared" ref="H139:H202" si="46">$B$253/B139</f>
        <v>1.5478872217642206</v>
      </c>
    </row>
    <row r="140" spans="1:8">
      <c r="A140" s="1014" t="s">
        <v>486</v>
      </c>
      <c r="B140" s="857">
        <f>geral!M1376</f>
        <v>232.49166666666667</v>
      </c>
      <c r="C140" s="857">
        <f t="shared" si="10"/>
        <v>301.27208327933999</v>
      </c>
      <c r="D140" s="961">
        <f t="shared" si="42"/>
        <v>0</v>
      </c>
      <c r="E140" s="961">
        <f t="shared" si="43"/>
        <v>-1.1498587334223376</v>
      </c>
      <c r="F140" s="965">
        <f t="shared" si="44"/>
        <v>16.089113030741832</v>
      </c>
      <c r="G140" s="966">
        <f t="shared" si="45"/>
        <v>10.710317460317453</v>
      </c>
      <c r="H140" s="861">
        <f t="shared" si="46"/>
        <v>1.5478872217642206</v>
      </c>
    </row>
    <row r="141" spans="1:8">
      <c r="A141" s="1014" t="s">
        <v>487</v>
      </c>
      <c r="B141" s="857">
        <f>geral!M1377</f>
        <v>232.49166666666667</v>
      </c>
      <c r="C141" s="857">
        <f t="shared" si="10"/>
        <v>301.27208327933999</v>
      </c>
      <c r="D141" s="961">
        <f t="shared" si="42"/>
        <v>0</v>
      </c>
      <c r="E141" s="961">
        <f t="shared" si="43"/>
        <v>-1.1498587334223376</v>
      </c>
      <c r="F141" s="965">
        <f t="shared" si="44"/>
        <v>12.959648881294994</v>
      </c>
      <c r="G141" s="966">
        <f t="shared" si="45"/>
        <v>8.6409657320872348</v>
      </c>
      <c r="H141" s="861">
        <f t="shared" si="46"/>
        <v>1.5478872217642206</v>
      </c>
    </row>
    <row r="142" spans="1:8">
      <c r="A142" s="1014" t="s">
        <v>488</v>
      </c>
      <c r="B142" s="857">
        <f>geral!M1378</f>
        <v>232.49166666666667</v>
      </c>
      <c r="C142" s="857">
        <f t="shared" si="10"/>
        <v>301.27208327933999</v>
      </c>
      <c r="D142" s="961">
        <f t="shared" si="42"/>
        <v>0</v>
      </c>
      <c r="E142" s="961">
        <f t="shared" si="43"/>
        <v>-1.1498587334223376</v>
      </c>
      <c r="F142" s="965">
        <f t="shared" si="44"/>
        <v>12.084689245108681</v>
      </c>
      <c r="G142" s="966">
        <f t="shared" si="45"/>
        <v>7.3864511162432755</v>
      </c>
      <c r="H142" s="861">
        <f t="shared" si="46"/>
        <v>1.5478872217642206</v>
      </c>
    </row>
    <row r="143" spans="1:8">
      <c r="A143" s="1014" t="s">
        <v>489</v>
      </c>
      <c r="B143" s="857">
        <f>geral!M1379</f>
        <v>233.33</v>
      </c>
      <c r="C143" s="857">
        <f t="shared" si="10"/>
        <v>302.35842944149277</v>
      </c>
      <c r="D143" s="961">
        <f t="shared" ref="D143:D148" si="47">100*((B143/B142)-1)</f>
        <v>0.36058640094627226</v>
      </c>
      <c r="E143" s="961">
        <f t="shared" ref="E143:E148" si="48">100*((B143/$B$136)-1)</f>
        <v>-0.793418566698878</v>
      </c>
      <c r="F143" s="965">
        <f t="shared" ref="F143:F148" si="49">100*((B143/B131)-1)</f>
        <v>12.488851392069433</v>
      </c>
      <c r="G143" s="966">
        <f t="shared" ref="G143:G148" si="50">100*(B143/B119-1)</f>
        <v>6.5433789954338017</v>
      </c>
      <c r="H143" s="861">
        <f t="shared" si="46"/>
        <v>1.542325804654352</v>
      </c>
    </row>
    <row r="144" spans="1:8">
      <c r="A144" s="1014" t="s">
        <v>490</v>
      </c>
      <c r="B144" s="857">
        <f>geral!M1380</f>
        <v>233.33</v>
      </c>
      <c r="C144" s="857">
        <f t="shared" si="10"/>
        <v>302.35842944149277</v>
      </c>
      <c r="D144" s="961">
        <f t="shared" si="47"/>
        <v>0</v>
      </c>
      <c r="E144" s="961">
        <f t="shared" si="48"/>
        <v>-0.793418566698878</v>
      </c>
      <c r="F144" s="965">
        <f t="shared" si="49"/>
        <v>10.329337778093016</v>
      </c>
      <c r="G144" s="966">
        <f t="shared" si="50"/>
        <v>3.7790956263899167</v>
      </c>
      <c r="H144" s="861">
        <f t="shared" si="46"/>
        <v>1.542325804654352</v>
      </c>
    </row>
    <row r="145" spans="1:8">
      <c r="A145" s="1014" t="s">
        <v>491</v>
      </c>
      <c r="B145" s="857">
        <f>geral!M1381</f>
        <v>231.70833333333334</v>
      </c>
      <c r="C145" s="857">
        <f t="shared" si="10"/>
        <v>300.25700833657294</v>
      </c>
      <c r="D145" s="961">
        <f t="shared" si="47"/>
        <v>-0.69500992871326384</v>
      </c>
      <c r="E145" s="961">
        <f t="shared" si="48"/>
        <v>-1.482914157597337</v>
      </c>
      <c r="F145" s="965">
        <f t="shared" si="49"/>
        <v>9.5625379262516574</v>
      </c>
      <c r="G145" s="966">
        <f t="shared" si="50"/>
        <v>2.2994849153789687</v>
      </c>
      <c r="H145" s="861">
        <f t="shared" si="46"/>
        <v>1.5531201438590179</v>
      </c>
    </row>
    <row r="146" spans="1:8">
      <c r="A146" s="1014" t="s">
        <v>492</v>
      </c>
      <c r="B146" s="857">
        <f>geral!M1382</f>
        <v>234.20833333333334</v>
      </c>
      <c r="C146" s="857">
        <f t="shared" si="10"/>
        <v>303.49660921774438</v>
      </c>
      <c r="D146" s="961">
        <f t="shared" si="47"/>
        <v>1.0789426362165067</v>
      </c>
      <c r="E146" s="961">
        <f t="shared" si="48"/>
        <v>-0.4199713144856343</v>
      </c>
      <c r="F146" s="965">
        <f t="shared" si="49"/>
        <v>10.744654861258862</v>
      </c>
      <c r="G146" s="966">
        <f t="shared" si="50"/>
        <v>0.734767025089611</v>
      </c>
      <c r="H146" s="861">
        <f t="shared" si="46"/>
        <v>1.5365417399039314</v>
      </c>
    </row>
    <row r="147" spans="1:8">
      <c r="A147" s="1014" t="s">
        <v>493</v>
      </c>
      <c r="B147" s="857">
        <f>geral!M1383</f>
        <v>233.54166666666666</v>
      </c>
      <c r="C147" s="857">
        <f t="shared" si="10"/>
        <v>302.63271564943193</v>
      </c>
      <c r="D147" s="961">
        <f t="shared" si="47"/>
        <v>-0.28464685998933481</v>
      </c>
      <c r="E147" s="961">
        <f t="shared" si="48"/>
        <v>-0.70342273931542909</v>
      </c>
      <c r="F147" s="965">
        <f t="shared" si="49"/>
        <v>4.8839820359281472</v>
      </c>
      <c r="G147" s="966">
        <f t="shared" si="50"/>
        <v>1.98326055312954</v>
      </c>
      <c r="H147" s="861">
        <f t="shared" si="46"/>
        <v>1.5409279429081175</v>
      </c>
    </row>
    <row r="148" spans="1:8">
      <c r="A148" s="1014" t="s">
        <v>494</v>
      </c>
      <c r="B148" s="857">
        <f>geral!M1384</f>
        <v>233.54166666666666</v>
      </c>
      <c r="C148" s="857">
        <f t="shared" si="10"/>
        <v>302.63271564943193</v>
      </c>
      <c r="D148" s="961">
        <f t="shared" si="47"/>
        <v>0</v>
      </c>
      <c r="E148" s="961">
        <f t="shared" si="48"/>
        <v>-0.70342273931542909</v>
      </c>
      <c r="F148" s="965">
        <f t="shared" si="49"/>
        <v>-0.70342273931542909</v>
      </c>
      <c r="G148" s="966">
        <f t="shared" si="50"/>
        <v>-1.3204225352112631</v>
      </c>
      <c r="H148" s="861">
        <f t="shared" si="46"/>
        <v>1.5409279429081175</v>
      </c>
    </row>
    <row r="149" spans="1:8">
      <c r="A149" s="1014" t="s">
        <v>495</v>
      </c>
      <c r="B149" s="857">
        <f>geral!C1388</f>
        <v>233.54166666666666</v>
      </c>
      <c r="C149" s="857">
        <f t="shared" ref="C149:C154" si="51">100*B149/$B$8</f>
        <v>302.63271564943193</v>
      </c>
      <c r="D149" s="961">
        <f t="shared" ref="D149:D154" si="52">100*((B149/B148)-1)</f>
        <v>0</v>
      </c>
      <c r="E149" s="961">
        <f t="shared" ref="E149:E154" si="53">100*((B149/$B$148)-1)</f>
        <v>0</v>
      </c>
      <c r="F149" s="965">
        <f t="shared" ref="F149:F154" si="54">100*((B149/B137)-1)</f>
        <v>0.45162909064839774</v>
      </c>
      <c r="G149" s="966">
        <f t="shared" ref="G149:G154" si="55">100*(B149/B125-1)</f>
        <v>-1.3204225352112631</v>
      </c>
      <c r="H149" s="861">
        <f t="shared" si="46"/>
        <v>1.5409279429081175</v>
      </c>
    </row>
    <row r="150" spans="1:8">
      <c r="A150" s="1014" t="s">
        <v>496</v>
      </c>
      <c r="B150" s="857">
        <f>geral!C1389</f>
        <v>233.541666666667</v>
      </c>
      <c r="C150" s="857">
        <f t="shared" si="51"/>
        <v>302.63271564943244</v>
      </c>
      <c r="D150" s="961">
        <f t="shared" si="52"/>
        <v>1.5543122344752192E-13</v>
      </c>
      <c r="E150" s="961">
        <f t="shared" si="53"/>
        <v>1.5543122344752192E-13</v>
      </c>
      <c r="F150" s="965">
        <f t="shared" si="54"/>
        <v>0.45162909064855317</v>
      </c>
      <c r="G150" s="966">
        <f t="shared" si="55"/>
        <v>1.5398550724639026</v>
      </c>
      <c r="H150" s="861">
        <f t="shared" si="46"/>
        <v>1.5409279429081153</v>
      </c>
    </row>
    <row r="151" spans="1:8">
      <c r="A151" s="1014" t="s">
        <v>497</v>
      </c>
      <c r="B151" s="857">
        <f>geral!C1390</f>
        <v>235.125</v>
      </c>
      <c r="C151" s="857">
        <f t="shared" si="51"/>
        <v>304.6844628741739</v>
      </c>
      <c r="D151" s="961">
        <f t="shared" si="52"/>
        <v>0.67796610169477134</v>
      </c>
      <c r="E151" s="961">
        <f t="shared" si="53"/>
        <v>0.67796610169492677</v>
      </c>
      <c r="F151" s="965">
        <f t="shared" si="54"/>
        <v>1.1326570844833128</v>
      </c>
      <c r="G151" s="966">
        <f t="shared" si="55"/>
        <v>8.0206738131699993</v>
      </c>
      <c r="H151" s="861">
        <f t="shared" si="46"/>
        <v>1.5305513237639552</v>
      </c>
    </row>
    <row r="152" spans="1:8">
      <c r="A152" s="1014" t="s">
        <v>498</v>
      </c>
      <c r="B152" s="857">
        <f>geral!C1391</f>
        <v>235.125</v>
      </c>
      <c r="C152" s="857">
        <f t="shared" si="51"/>
        <v>304.6844628741739</v>
      </c>
      <c r="D152" s="961">
        <f t="shared" si="52"/>
        <v>0</v>
      </c>
      <c r="E152" s="961">
        <f t="shared" si="53"/>
        <v>0.67796610169492677</v>
      </c>
      <c r="F152" s="965">
        <f t="shared" si="54"/>
        <v>1.1326570844833128</v>
      </c>
      <c r="G152" s="966">
        <f t="shared" si="55"/>
        <v>17.404004593798362</v>
      </c>
      <c r="H152" s="861">
        <f t="shared" si="46"/>
        <v>1.5305513237639552</v>
      </c>
    </row>
    <row r="153" spans="1:8">
      <c r="A153" s="1014" t="s">
        <v>499</v>
      </c>
      <c r="B153" s="857">
        <f>geral!C1392</f>
        <v>235.125</v>
      </c>
      <c r="C153" s="857">
        <f t="shared" si="51"/>
        <v>304.6844628741739</v>
      </c>
      <c r="D153" s="961">
        <f t="shared" si="52"/>
        <v>0</v>
      </c>
      <c r="E153" s="961">
        <f t="shared" si="53"/>
        <v>0.67796610169492677</v>
      </c>
      <c r="F153" s="965">
        <f t="shared" si="54"/>
        <v>1.1326570844833128</v>
      </c>
      <c r="G153" s="966">
        <f t="shared" si="55"/>
        <v>14.239094346956449</v>
      </c>
      <c r="H153" s="861">
        <f t="shared" si="46"/>
        <v>1.5305513237639552</v>
      </c>
    </row>
    <row r="154" spans="1:8">
      <c r="A154" s="1014" t="s">
        <v>500</v>
      </c>
      <c r="B154" s="857">
        <f>geral!C1393</f>
        <v>235.125</v>
      </c>
      <c r="C154" s="857">
        <f t="shared" si="51"/>
        <v>304.6844628741739</v>
      </c>
      <c r="D154" s="961">
        <f t="shared" si="52"/>
        <v>0</v>
      </c>
      <c r="E154" s="961">
        <f t="shared" si="53"/>
        <v>0.67796610169492677</v>
      </c>
      <c r="F154" s="965">
        <f t="shared" si="54"/>
        <v>1.1326570844833128</v>
      </c>
      <c r="G154" s="966">
        <f t="shared" si="55"/>
        <v>13.354224418464501</v>
      </c>
      <c r="H154" s="861">
        <f t="shared" si="46"/>
        <v>1.5305513237639552</v>
      </c>
    </row>
    <row r="155" spans="1:8">
      <c r="A155" s="1014" t="s">
        <v>501</v>
      </c>
      <c r="B155" s="857">
        <f>geral!C1394</f>
        <v>304.47500000000002</v>
      </c>
      <c r="C155" s="857">
        <f t="shared" ref="C155:C160" si="56">100*B155/$B$8</f>
        <v>394.55099131786966</v>
      </c>
      <c r="D155" s="961">
        <f t="shared" ref="D155:D160" si="57">100*((B155/B154)-1)</f>
        <v>29.494949494949509</v>
      </c>
      <c r="E155" s="961">
        <f t="shared" ref="E155:E160" si="58">100*((B155/$B$148)-1)</f>
        <v>30.372881355932215</v>
      </c>
      <c r="F155" s="965">
        <f t="shared" ref="F155:F160" si="59">100*((B155/B143)-1)</f>
        <v>30.491149873569622</v>
      </c>
      <c r="G155" s="966">
        <f t="shared" ref="G155:G160" si="60">100*(B155/B131-1)</f>
        <v>46.787995661082313</v>
      </c>
      <c r="H155" s="861">
        <f t="shared" si="46"/>
        <v>1.1819390097709168</v>
      </c>
    </row>
    <row r="156" spans="1:8">
      <c r="A156" s="1014" t="s">
        <v>502</v>
      </c>
      <c r="B156" s="857">
        <f>geral!C1395</f>
        <v>304.47500000000002</v>
      </c>
      <c r="C156" s="857">
        <f t="shared" si="56"/>
        <v>394.55099131786966</v>
      </c>
      <c r="D156" s="961">
        <f t="shared" si="57"/>
        <v>0</v>
      </c>
      <c r="E156" s="961">
        <f t="shared" si="58"/>
        <v>30.372881355932215</v>
      </c>
      <c r="F156" s="965">
        <f t="shared" si="59"/>
        <v>30.491149873569622</v>
      </c>
      <c r="G156" s="966">
        <f t="shared" si="60"/>
        <v>43.970021514528227</v>
      </c>
      <c r="H156" s="861">
        <f t="shared" si="46"/>
        <v>1.1819390097709168</v>
      </c>
    </row>
    <row r="157" spans="1:8">
      <c r="A157" s="1014" t="s">
        <v>503</v>
      </c>
      <c r="B157" s="857">
        <f>geral!C1396</f>
        <v>304.47500000000002</v>
      </c>
      <c r="C157" s="857">
        <f t="shared" si="56"/>
        <v>394.55099131786966</v>
      </c>
      <c r="D157" s="961">
        <f t="shared" si="57"/>
        <v>0</v>
      </c>
      <c r="E157" s="961">
        <f t="shared" si="58"/>
        <v>30.372881355932215</v>
      </c>
      <c r="F157" s="965">
        <f t="shared" si="59"/>
        <v>31.40442366480849</v>
      </c>
      <c r="G157" s="966">
        <f t="shared" si="60"/>
        <v>43.970021514528227</v>
      </c>
      <c r="H157" s="861">
        <f t="shared" si="46"/>
        <v>1.1819390097709168</v>
      </c>
    </row>
    <row r="158" spans="1:8">
      <c r="A158" s="1014" t="s">
        <v>504</v>
      </c>
      <c r="B158" s="857">
        <f>geral!C1397</f>
        <v>304.47500000000002</v>
      </c>
      <c r="C158" s="857">
        <f t="shared" si="56"/>
        <v>394.55099131786966</v>
      </c>
      <c r="D158" s="961">
        <f t="shared" si="57"/>
        <v>0</v>
      </c>
      <c r="E158" s="961">
        <f t="shared" si="58"/>
        <v>30.372881355932215</v>
      </c>
      <c r="F158" s="965">
        <f t="shared" si="59"/>
        <v>30.001779042874933</v>
      </c>
      <c r="G158" s="966">
        <f t="shared" si="60"/>
        <v>43.970021514528227</v>
      </c>
      <c r="H158" s="861">
        <f t="shared" si="46"/>
        <v>1.1819390097709168</v>
      </c>
    </row>
    <row r="159" spans="1:8">
      <c r="A159" s="1014" t="s">
        <v>505</v>
      </c>
      <c r="B159" s="857">
        <f>geral!C1398</f>
        <v>304.47500000000002</v>
      </c>
      <c r="C159" s="857">
        <f t="shared" si="56"/>
        <v>394.55099131786966</v>
      </c>
      <c r="D159" s="961">
        <f t="shared" si="57"/>
        <v>0</v>
      </c>
      <c r="E159" s="961">
        <f t="shared" si="58"/>
        <v>30.372881355932215</v>
      </c>
      <c r="F159" s="965">
        <f t="shared" si="59"/>
        <v>30.372881355932215</v>
      </c>
      <c r="G159" s="966">
        <f t="shared" si="60"/>
        <v>36.740269461077865</v>
      </c>
      <c r="H159" s="861">
        <f t="shared" si="46"/>
        <v>1.1819390097709168</v>
      </c>
    </row>
    <row r="160" spans="1:8">
      <c r="A160" s="1014" t="s">
        <v>506</v>
      </c>
      <c r="B160" s="857">
        <f>geral!C1399</f>
        <v>304.47500000000002</v>
      </c>
      <c r="C160" s="857">
        <f t="shared" si="56"/>
        <v>394.55099131786966</v>
      </c>
      <c r="D160" s="961">
        <f t="shared" si="57"/>
        <v>0</v>
      </c>
      <c r="E160" s="961">
        <f t="shared" si="58"/>
        <v>30.372881355932215</v>
      </c>
      <c r="F160" s="965">
        <f t="shared" si="59"/>
        <v>30.372881355932215</v>
      </c>
      <c r="G160" s="966">
        <f t="shared" si="60"/>
        <v>29.455808862573861</v>
      </c>
      <c r="H160" s="861">
        <f t="shared" si="46"/>
        <v>1.1819390097709168</v>
      </c>
    </row>
    <row r="161" spans="1:8">
      <c r="A161" s="1014" t="s">
        <v>507</v>
      </c>
      <c r="B161" s="857">
        <f>geral!E1388</f>
        <v>308.31666666666666</v>
      </c>
      <c r="C161" s="857">
        <f t="shared" ref="C161:C166" si="61">100*B161/$B$8</f>
        <v>399.52917800526978</v>
      </c>
      <c r="D161" s="961">
        <f t="shared" ref="D161:D166" si="62">100*((B161/B160)-1)</f>
        <v>1.2617346799135065</v>
      </c>
      <c r="E161" s="961">
        <f t="shared" ref="E161:E166" si="63">100*((B161/$B$160)-1)</f>
        <v>1.2617346799135065</v>
      </c>
      <c r="F161" s="965">
        <f t="shared" ref="F161:F166" si="64">100*((B161/B149)-1)</f>
        <v>32.017841213202502</v>
      </c>
      <c r="G161" s="966">
        <f t="shared" ref="G161:G166" si="65">100*(B161/B137-1)</f>
        <v>32.614072188967349</v>
      </c>
      <c r="H161" s="861">
        <f t="shared" si="46"/>
        <v>1.1672118925347315</v>
      </c>
    </row>
    <row r="162" spans="1:8">
      <c r="A162" s="1014" t="s">
        <v>508</v>
      </c>
      <c r="B162" s="857">
        <f>geral!E1389</f>
        <v>308.31666666666666</v>
      </c>
      <c r="C162" s="857">
        <f t="shared" si="61"/>
        <v>399.52917800526978</v>
      </c>
      <c r="D162" s="961">
        <f t="shared" si="62"/>
        <v>0</v>
      </c>
      <c r="E162" s="961">
        <f t="shared" si="63"/>
        <v>1.2617346799135065</v>
      </c>
      <c r="F162" s="965">
        <f t="shared" si="64"/>
        <v>32.017841213202303</v>
      </c>
      <c r="G162" s="966">
        <f t="shared" si="65"/>
        <v>32.614072188967349</v>
      </c>
      <c r="H162" s="861">
        <f t="shared" si="46"/>
        <v>1.1672118925347315</v>
      </c>
    </row>
    <row r="163" spans="1:8">
      <c r="A163" s="1014" t="s">
        <v>509</v>
      </c>
      <c r="B163" s="857">
        <f>geral!E1390</f>
        <v>308.31666666666666</v>
      </c>
      <c r="C163" s="857">
        <f t="shared" si="61"/>
        <v>399.52917800526978</v>
      </c>
      <c r="D163" s="961">
        <f t="shared" si="62"/>
        <v>0</v>
      </c>
      <c r="E163" s="961">
        <f t="shared" si="63"/>
        <v>1.2617346799135065</v>
      </c>
      <c r="F163" s="965">
        <f t="shared" si="64"/>
        <v>31.128832181463761</v>
      </c>
      <c r="G163" s="966">
        <f t="shared" si="65"/>
        <v>32.614072188967349</v>
      </c>
      <c r="H163" s="861">
        <f t="shared" si="46"/>
        <v>1.1672118925347315</v>
      </c>
    </row>
    <row r="164" spans="1:8">
      <c r="A164" s="1014" t="s">
        <v>510</v>
      </c>
      <c r="B164" s="857">
        <f>geral!E1391</f>
        <v>308.31666666666666</v>
      </c>
      <c r="C164" s="857">
        <f t="shared" si="61"/>
        <v>399.52917800526978</v>
      </c>
      <c r="D164" s="961">
        <f t="shared" si="62"/>
        <v>0</v>
      </c>
      <c r="E164" s="961">
        <f t="shared" si="63"/>
        <v>1.2617346799135065</v>
      </c>
      <c r="F164" s="965">
        <f t="shared" si="64"/>
        <v>31.128832181463761</v>
      </c>
      <c r="G164" s="966">
        <f t="shared" si="65"/>
        <v>32.614072188967349</v>
      </c>
      <c r="H164" s="861">
        <f t="shared" si="46"/>
        <v>1.1672118925347315</v>
      </c>
    </row>
    <row r="165" spans="1:8">
      <c r="A165" s="1014" t="s">
        <v>511</v>
      </c>
      <c r="B165" s="857">
        <f>geral!E1392</f>
        <v>312.2833333333333</v>
      </c>
      <c r="C165" s="857">
        <f t="shared" si="61"/>
        <v>404.66934473672836</v>
      </c>
      <c r="D165" s="961">
        <f t="shared" si="62"/>
        <v>1.2865560300556744</v>
      </c>
      <c r="E165" s="961">
        <f t="shared" si="63"/>
        <v>2.5645236335769095</v>
      </c>
      <c r="F165" s="965">
        <f t="shared" si="64"/>
        <v>32.815878079035969</v>
      </c>
      <c r="G165" s="966">
        <f t="shared" si="65"/>
        <v>34.320226531416886</v>
      </c>
      <c r="H165" s="861">
        <f t="shared" si="46"/>
        <v>1.15238580349042</v>
      </c>
    </row>
    <row r="166" spans="1:8">
      <c r="A166" s="1014" t="s">
        <v>512</v>
      </c>
      <c r="B166" s="857">
        <f>geral!E1393</f>
        <v>312.2833333333333</v>
      </c>
      <c r="C166" s="857">
        <f t="shared" si="61"/>
        <v>404.66934473672836</v>
      </c>
      <c r="D166" s="961">
        <f t="shared" si="62"/>
        <v>0</v>
      </c>
      <c r="E166" s="961">
        <f t="shared" si="63"/>
        <v>2.5645236335769095</v>
      </c>
      <c r="F166" s="965">
        <f t="shared" si="64"/>
        <v>32.815878079035969</v>
      </c>
      <c r="G166" s="966">
        <f t="shared" si="65"/>
        <v>34.320226531416886</v>
      </c>
      <c r="H166" s="861">
        <f t="shared" si="46"/>
        <v>1.15238580349042</v>
      </c>
    </row>
    <row r="167" spans="1:8">
      <c r="A167" s="1014" t="s">
        <v>513</v>
      </c>
      <c r="B167" s="857">
        <f>geral!E1394</f>
        <v>312.2833333333333</v>
      </c>
      <c r="C167" s="857">
        <f t="shared" ref="C167:C172" si="66">100*B167/$B$8</f>
        <v>404.66934473672836</v>
      </c>
      <c r="D167" s="961">
        <f t="shared" ref="D167:D172" si="67">100*((B167/B166)-1)</f>
        <v>0</v>
      </c>
      <c r="E167" s="961">
        <f t="shared" ref="E167:E172" si="68">100*((B167/$B$160)-1)</f>
        <v>2.5645236335769095</v>
      </c>
      <c r="F167" s="965">
        <f t="shared" ref="F167:F172" si="69">100*((B167/B155)-1)</f>
        <v>2.5645236335769095</v>
      </c>
      <c r="G167" s="966">
        <f t="shared" ref="G167:G172" si="70">100*(B167/B143-1)</f>
        <v>33.837626251803577</v>
      </c>
      <c r="H167" s="861">
        <f t="shared" si="46"/>
        <v>1.15238580349042</v>
      </c>
    </row>
    <row r="168" spans="1:8">
      <c r="A168" s="1014" t="s">
        <v>514</v>
      </c>
      <c r="B168" s="857">
        <f>geral!E1395</f>
        <v>312.2833333333333</v>
      </c>
      <c r="C168" s="857">
        <f t="shared" si="66"/>
        <v>404.66934473672836</v>
      </c>
      <c r="D168" s="961">
        <f t="shared" si="67"/>
        <v>0</v>
      </c>
      <c r="E168" s="961">
        <f t="shared" si="68"/>
        <v>2.5645236335769095</v>
      </c>
      <c r="F168" s="965">
        <f t="shared" si="69"/>
        <v>2.5645236335769095</v>
      </c>
      <c r="G168" s="966">
        <f t="shared" si="70"/>
        <v>33.837626251803577</v>
      </c>
      <c r="H168" s="861">
        <f t="shared" si="46"/>
        <v>1.15238580349042</v>
      </c>
    </row>
    <row r="169" spans="1:8">
      <c r="A169" s="1014" t="s">
        <v>515</v>
      </c>
      <c r="B169" s="857">
        <f>geral!E1396</f>
        <v>312.2833333333333</v>
      </c>
      <c r="C169" s="857">
        <f t="shared" si="66"/>
        <v>404.66934473672836</v>
      </c>
      <c r="D169" s="961">
        <f t="shared" si="67"/>
        <v>0</v>
      </c>
      <c r="E169" s="961">
        <f t="shared" si="68"/>
        <v>2.5645236335769095</v>
      </c>
      <c r="F169" s="965">
        <f t="shared" si="69"/>
        <v>2.5645236335769095</v>
      </c>
      <c r="G169" s="966">
        <f t="shared" si="70"/>
        <v>34.77432116525803</v>
      </c>
      <c r="H169" s="861">
        <f t="shared" si="46"/>
        <v>1.15238580349042</v>
      </c>
    </row>
    <row r="170" spans="1:8">
      <c r="A170" s="1014" t="s">
        <v>516</v>
      </c>
      <c r="B170" s="857">
        <f>geral!E1397</f>
        <v>312.2833333333333</v>
      </c>
      <c r="C170" s="857">
        <f t="shared" si="66"/>
        <v>404.66934473672836</v>
      </c>
      <c r="D170" s="961">
        <f t="shared" si="67"/>
        <v>0</v>
      </c>
      <c r="E170" s="961">
        <f t="shared" si="68"/>
        <v>2.5645236335769095</v>
      </c>
      <c r="F170" s="965">
        <f t="shared" si="69"/>
        <v>2.5645236335769095</v>
      </c>
      <c r="G170" s="966">
        <f t="shared" si="70"/>
        <v>33.335705390499903</v>
      </c>
      <c r="H170" s="861">
        <f t="shared" si="46"/>
        <v>1.15238580349042</v>
      </c>
    </row>
    <row r="171" spans="1:8">
      <c r="A171" s="1014" t="s">
        <v>517</v>
      </c>
      <c r="B171" s="857">
        <f>geral!E1398</f>
        <v>312.2833333333333</v>
      </c>
      <c r="C171" s="857">
        <f t="shared" si="66"/>
        <v>404.66934473672836</v>
      </c>
      <c r="D171" s="961">
        <f t="shared" si="67"/>
        <v>0</v>
      </c>
      <c r="E171" s="961">
        <f t="shared" si="68"/>
        <v>2.5645236335769095</v>
      </c>
      <c r="F171" s="965">
        <f t="shared" si="69"/>
        <v>2.5645236335769095</v>
      </c>
      <c r="G171" s="966">
        <f t="shared" si="70"/>
        <v>33.716324710080279</v>
      </c>
      <c r="H171" s="861">
        <f t="shared" si="46"/>
        <v>1.15238580349042</v>
      </c>
    </row>
    <row r="172" spans="1:8">
      <c r="A172" s="1014" t="s">
        <v>518</v>
      </c>
      <c r="B172" s="857">
        <f>geral!E1399</f>
        <v>315.96666666666664</v>
      </c>
      <c r="C172" s="857">
        <f t="shared" si="66"/>
        <v>409.44235670165432</v>
      </c>
      <c r="D172" s="961">
        <f t="shared" si="67"/>
        <v>1.1794844425468298</v>
      </c>
      <c r="E172" s="961">
        <f t="shared" si="68"/>
        <v>3.7742562334072138</v>
      </c>
      <c r="F172" s="965">
        <f t="shared" si="69"/>
        <v>3.7742562334072138</v>
      </c>
      <c r="G172" s="966">
        <f t="shared" si="70"/>
        <v>35.293487957181078</v>
      </c>
      <c r="H172" s="861">
        <f t="shared" si="46"/>
        <v>1.1389520413545733</v>
      </c>
    </row>
    <row r="173" spans="1:8">
      <c r="A173" s="1014" t="s">
        <v>519</v>
      </c>
      <c r="B173" s="857">
        <f>geral!G1388</f>
        <v>315.96666666666664</v>
      </c>
      <c r="C173" s="857">
        <f t="shared" ref="C173:C178" si="71">100*B173/$B$8</f>
        <v>409.44235670165432</v>
      </c>
      <c r="D173" s="961">
        <f t="shared" ref="D173:D178" si="72">100*((B173/B172)-1)</f>
        <v>0</v>
      </c>
      <c r="E173" s="961">
        <f t="shared" ref="E173:E178" si="73">100*((B173/$B$172)-1)</f>
        <v>0</v>
      </c>
      <c r="F173" s="965">
        <f t="shared" ref="F173:F178" si="74">100*((B173/B161)-1)</f>
        <v>2.4812152008216515</v>
      </c>
      <c r="G173" s="966">
        <f t="shared" ref="G173:G178" si="75">100*(B173/B149-1)</f>
        <v>35.293487957181078</v>
      </c>
      <c r="H173" s="861">
        <f t="shared" si="46"/>
        <v>1.1389520413545733</v>
      </c>
    </row>
    <row r="174" spans="1:8">
      <c r="A174" s="1014" t="s">
        <v>520</v>
      </c>
      <c r="B174" s="857">
        <f>geral!G1389</f>
        <v>315.96666666666664</v>
      </c>
      <c r="C174" s="857">
        <f t="shared" si="71"/>
        <v>409.44235670165432</v>
      </c>
      <c r="D174" s="961">
        <f t="shared" si="72"/>
        <v>0</v>
      </c>
      <c r="E174" s="961">
        <f t="shared" si="73"/>
        <v>0</v>
      </c>
      <c r="F174" s="965">
        <f t="shared" si="74"/>
        <v>2.4812152008216515</v>
      </c>
      <c r="G174" s="966">
        <f t="shared" si="75"/>
        <v>35.293487957180879</v>
      </c>
      <c r="H174" s="861">
        <f t="shared" si="46"/>
        <v>1.1389520413545733</v>
      </c>
    </row>
    <row r="175" spans="1:8">
      <c r="A175" s="1014" t="s">
        <v>521</v>
      </c>
      <c r="B175" s="857">
        <f>geral!G1390</f>
        <v>315.96666666666664</v>
      </c>
      <c r="C175" s="857">
        <f t="shared" si="71"/>
        <v>409.44235670165432</v>
      </c>
      <c r="D175" s="961">
        <f t="shared" si="72"/>
        <v>0</v>
      </c>
      <c r="E175" s="961">
        <f t="shared" si="73"/>
        <v>0</v>
      </c>
      <c r="F175" s="965">
        <f t="shared" si="74"/>
        <v>2.4812152008216515</v>
      </c>
      <c r="G175" s="966">
        <f t="shared" si="75"/>
        <v>34.382420698210161</v>
      </c>
      <c r="H175" s="861">
        <f t="shared" si="46"/>
        <v>1.1389520413545733</v>
      </c>
    </row>
    <row r="176" spans="1:8">
      <c r="A176" s="1014" t="s">
        <v>522</v>
      </c>
      <c r="B176" s="857">
        <f>geral!G1391</f>
        <v>315.96666666666664</v>
      </c>
      <c r="C176" s="857">
        <f t="shared" si="71"/>
        <v>409.44235670165432</v>
      </c>
      <c r="D176" s="961">
        <f t="shared" si="72"/>
        <v>0</v>
      </c>
      <c r="E176" s="961">
        <f t="shared" si="73"/>
        <v>0</v>
      </c>
      <c r="F176" s="965">
        <f t="shared" si="74"/>
        <v>2.4812152008216515</v>
      </c>
      <c r="G176" s="966">
        <f t="shared" si="75"/>
        <v>34.382420698210161</v>
      </c>
      <c r="H176" s="861">
        <f t="shared" si="46"/>
        <v>1.1389520413545733</v>
      </c>
    </row>
    <row r="177" spans="1:8">
      <c r="A177" s="1014" t="s">
        <v>523</v>
      </c>
      <c r="B177" s="857">
        <f>geral!G1392</f>
        <v>315.96666666666664</v>
      </c>
      <c r="C177" s="857">
        <f t="shared" si="71"/>
        <v>409.44235670165432</v>
      </c>
      <c r="D177" s="961">
        <f t="shared" si="72"/>
        <v>0</v>
      </c>
      <c r="E177" s="961">
        <f t="shared" si="73"/>
        <v>0</v>
      </c>
      <c r="F177" s="965">
        <f t="shared" si="74"/>
        <v>1.1794844425468298</v>
      </c>
      <c r="G177" s="966">
        <f t="shared" si="75"/>
        <v>34.382420698210161</v>
      </c>
      <c r="H177" s="861">
        <f t="shared" si="46"/>
        <v>1.1389520413545733</v>
      </c>
    </row>
    <row r="178" spans="1:8">
      <c r="A178" s="1014" t="s">
        <v>524</v>
      </c>
      <c r="B178" s="857">
        <f>geral!G1393</f>
        <v>317.93333333333334</v>
      </c>
      <c r="C178" s="857">
        <f t="shared" si="71"/>
        <v>411.99084272817589</v>
      </c>
      <c r="D178" s="961">
        <f t="shared" si="72"/>
        <v>0.62242852621585687</v>
      </c>
      <c r="E178" s="961">
        <f t="shared" si="73"/>
        <v>0.62242852621585687</v>
      </c>
      <c r="F178" s="965">
        <f t="shared" si="74"/>
        <v>1.8092544163953894</v>
      </c>
      <c r="G178" s="966">
        <f t="shared" si="75"/>
        <v>35.218855218855218</v>
      </c>
      <c r="H178" s="861">
        <f t="shared" si="46"/>
        <v>1.1319067309708533</v>
      </c>
    </row>
    <row r="179" spans="1:8">
      <c r="A179" s="1014" t="s">
        <v>525</v>
      </c>
      <c r="B179" s="857">
        <f>geral!G1394</f>
        <v>297.96666666666664</v>
      </c>
      <c r="C179" s="857">
        <f t="shared" ref="C179:C184" si="76">100*B179/$B$8</f>
        <v>386.11723035721997</v>
      </c>
      <c r="D179" s="961">
        <f t="shared" ref="D179:D184" si="77">100*((B179/B178)-1)</f>
        <v>-6.2801425875445682</v>
      </c>
      <c r="E179" s="961">
        <f t="shared" ref="E179:E184" si="78">100*((B179/$B$172)-1)</f>
        <v>-5.6968034602806199</v>
      </c>
      <c r="F179" s="965">
        <f t="shared" ref="F179:F184" si="79">100*((B179/B167)-1)</f>
        <v>-4.5845119282702633</v>
      </c>
      <c r="G179" s="966">
        <f t="shared" ref="G179:G184" si="80">100*(B179/B155-1)</f>
        <v>-2.1375591865780086</v>
      </c>
      <c r="H179" s="861">
        <f t="shared" si="46"/>
        <v>1.2077554983778946</v>
      </c>
    </row>
    <row r="180" spans="1:8">
      <c r="A180" s="1014" t="s">
        <v>526</v>
      </c>
      <c r="B180" s="857">
        <f>geral!G1395</f>
        <v>297.96666666666664</v>
      </c>
      <c r="C180" s="857">
        <f t="shared" si="76"/>
        <v>386.11723035721997</v>
      </c>
      <c r="D180" s="961">
        <f t="shared" si="77"/>
        <v>0</v>
      </c>
      <c r="E180" s="961">
        <f t="shared" si="78"/>
        <v>-5.6968034602806199</v>
      </c>
      <c r="F180" s="965">
        <f t="shared" si="79"/>
        <v>-4.5845119282702633</v>
      </c>
      <c r="G180" s="966">
        <f t="shared" si="80"/>
        <v>-2.1375591865780086</v>
      </c>
      <c r="H180" s="861">
        <f t="shared" si="46"/>
        <v>1.2077554983778946</v>
      </c>
    </row>
    <row r="181" spans="1:8">
      <c r="A181" s="1014" t="s">
        <v>527</v>
      </c>
      <c r="B181" s="857">
        <f>geral!G1396</f>
        <v>297.96666666666664</v>
      </c>
      <c r="C181" s="857">
        <f t="shared" si="76"/>
        <v>386.11723035721997</v>
      </c>
      <c r="D181" s="961">
        <f t="shared" si="77"/>
        <v>0</v>
      </c>
      <c r="E181" s="961">
        <f t="shared" si="78"/>
        <v>-5.6968034602806199</v>
      </c>
      <c r="F181" s="965">
        <f t="shared" si="79"/>
        <v>-4.5845119282702633</v>
      </c>
      <c r="G181" s="966">
        <f t="shared" si="80"/>
        <v>-2.1375591865780086</v>
      </c>
      <c r="H181" s="861">
        <f t="shared" si="46"/>
        <v>1.2077554983778946</v>
      </c>
    </row>
    <row r="182" spans="1:8">
      <c r="A182" s="1014" t="s">
        <v>528</v>
      </c>
      <c r="B182" s="857">
        <f>geral!G1397</f>
        <v>297.96666666666664</v>
      </c>
      <c r="C182" s="857">
        <f t="shared" si="76"/>
        <v>386.11723035721997</v>
      </c>
      <c r="D182" s="961">
        <f t="shared" si="77"/>
        <v>0</v>
      </c>
      <c r="E182" s="961">
        <f t="shared" si="78"/>
        <v>-5.6968034602806199</v>
      </c>
      <c r="F182" s="965">
        <f t="shared" si="79"/>
        <v>-4.5845119282702633</v>
      </c>
      <c r="G182" s="966">
        <f t="shared" si="80"/>
        <v>-2.1375591865780086</v>
      </c>
      <c r="H182" s="861">
        <f t="shared" si="46"/>
        <v>1.2077554983778946</v>
      </c>
    </row>
    <row r="183" spans="1:8">
      <c r="A183" s="1014" t="s">
        <v>529</v>
      </c>
      <c r="B183" s="857">
        <f>geral!G1398</f>
        <v>297.96666666666664</v>
      </c>
      <c r="C183" s="857">
        <f t="shared" si="76"/>
        <v>386.11723035721997</v>
      </c>
      <c r="D183" s="961">
        <f t="shared" si="77"/>
        <v>0</v>
      </c>
      <c r="E183" s="961">
        <f t="shared" si="78"/>
        <v>-5.6968034602806199</v>
      </c>
      <c r="F183" s="965">
        <f t="shared" si="79"/>
        <v>-4.5845119282702633</v>
      </c>
      <c r="G183" s="966">
        <f t="shared" si="80"/>
        <v>-2.1375591865780086</v>
      </c>
      <c r="H183" s="861">
        <f t="shared" si="46"/>
        <v>1.2077554983778946</v>
      </c>
    </row>
    <row r="184" spans="1:8">
      <c r="A184" s="1014" t="s">
        <v>530</v>
      </c>
      <c r="B184" s="857">
        <f>geral!G1399</f>
        <v>297.96666666666664</v>
      </c>
      <c r="C184" s="857">
        <f t="shared" si="76"/>
        <v>386.11723035721997</v>
      </c>
      <c r="D184" s="961">
        <f t="shared" si="77"/>
        <v>0</v>
      </c>
      <c r="E184" s="961">
        <f t="shared" si="78"/>
        <v>-5.6968034602806199</v>
      </c>
      <c r="F184" s="965">
        <f t="shared" si="79"/>
        <v>-5.6968034602806199</v>
      </c>
      <c r="G184" s="966">
        <f t="shared" si="80"/>
        <v>-2.1375591865780086</v>
      </c>
      <c r="H184" s="861">
        <f t="shared" si="46"/>
        <v>1.2077554983778946</v>
      </c>
    </row>
    <row r="185" spans="1:8">
      <c r="A185" s="1014" t="s">
        <v>531</v>
      </c>
      <c r="B185" s="857">
        <f>geral!I1388</f>
        <v>297.96666666666664</v>
      </c>
      <c r="C185" s="857">
        <f t="shared" ref="C185:C190" si="81">100*B185/$B$8</f>
        <v>386.11723035721997</v>
      </c>
      <c r="D185" s="961">
        <f t="shared" ref="D185:D190" si="82">100*((B185/B184)-1)</f>
        <v>0</v>
      </c>
      <c r="E185" s="961">
        <f t="shared" ref="E185:E190" si="83">100*((B185/$B$184)-1)</f>
        <v>0</v>
      </c>
      <c r="F185" s="965">
        <f t="shared" ref="F185:F190" si="84">100*((B185/B173)-1)</f>
        <v>-5.6968034602806199</v>
      </c>
      <c r="G185" s="966">
        <f t="shared" ref="G185:G190" si="85">100*(B185/B161-1)</f>
        <v>-3.3569382128763814</v>
      </c>
      <c r="H185" s="861">
        <f t="shared" si="46"/>
        <v>1.2077554983778946</v>
      </c>
    </row>
    <row r="186" spans="1:8">
      <c r="A186" s="1014" t="s">
        <v>649</v>
      </c>
      <c r="B186" s="857">
        <f>geral!I1389</f>
        <v>311.26666666666665</v>
      </c>
      <c r="C186" s="857">
        <f t="shared" si="81"/>
        <v>403.35190704505203</v>
      </c>
      <c r="D186" s="961">
        <f t="shared" si="82"/>
        <v>4.4635865309318845</v>
      </c>
      <c r="E186" s="961">
        <f t="shared" si="83"/>
        <v>4.4635865309318845</v>
      </c>
      <c r="F186" s="965">
        <f t="shared" si="84"/>
        <v>-1.487498681295496</v>
      </c>
      <c r="G186" s="966">
        <f t="shared" si="85"/>
        <v>0.95680847613384135</v>
      </c>
      <c r="H186" s="861">
        <f t="shared" si="46"/>
        <v>1.1561497536945811</v>
      </c>
    </row>
    <row r="187" spans="1:8">
      <c r="A187" s="1014" t="s">
        <v>650</v>
      </c>
      <c r="B187" s="857">
        <f>geral!I1390</f>
        <v>293.45</v>
      </c>
      <c r="C187" s="857">
        <f t="shared" si="81"/>
        <v>380.26435143190361</v>
      </c>
      <c r="D187" s="961">
        <f t="shared" si="82"/>
        <v>-5.7239237524095099</v>
      </c>
      <c r="E187" s="961">
        <f t="shared" si="83"/>
        <v>-1.515829511130995</v>
      </c>
      <c r="F187" s="965">
        <f t="shared" si="84"/>
        <v>-7.1262791433695512</v>
      </c>
      <c r="G187" s="966">
        <f t="shared" si="85"/>
        <v>-4.8218822639061631</v>
      </c>
      <c r="H187" s="861">
        <f t="shared" si="46"/>
        <v>1.2263447946839323</v>
      </c>
    </row>
    <row r="188" spans="1:8">
      <c r="A188" s="1014" t="s">
        <v>652</v>
      </c>
      <c r="B188" s="857">
        <f>geral!I1391</f>
        <v>293.45</v>
      </c>
      <c r="C188" s="857">
        <f t="shared" si="81"/>
        <v>380.26435143190361</v>
      </c>
      <c r="D188" s="961">
        <f t="shared" si="82"/>
        <v>0</v>
      </c>
      <c r="E188" s="961">
        <f t="shared" si="83"/>
        <v>-1.515829511130995</v>
      </c>
      <c r="F188" s="965">
        <f t="shared" si="84"/>
        <v>-7.1262791433695512</v>
      </c>
      <c r="G188" s="966">
        <f t="shared" si="85"/>
        <v>-4.8218822639061631</v>
      </c>
      <c r="H188" s="861">
        <f t="shared" si="46"/>
        <v>1.2263447946839323</v>
      </c>
    </row>
    <row r="189" spans="1:8">
      <c r="A189" s="1014" t="s">
        <v>653</v>
      </c>
      <c r="B189" s="857">
        <f>geral!I1392</f>
        <v>293.45</v>
      </c>
      <c r="C189" s="857">
        <f t="shared" si="81"/>
        <v>380.26435143190361</v>
      </c>
      <c r="D189" s="961">
        <f t="shared" si="82"/>
        <v>0</v>
      </c>
      <c r="E189" s="961">
        <f t="shared" si="83"/>
        <v>-1.515829511130995</v>
      </c>
      <c r="F189" s="965">
        <f t="shared" si="84"/>
        <v>-7.1262791433695512</v>
      </c>
      <c r="G189" s="966">
        <f t="shared" si="85"/>
        <v>-6.0308480546512166</v>
      </c>
      <c r="H189" s="861">
        <f t="shared" si="46"/>
        <v>1.2263447946839323</v>
      </c>
    </row>
    <row r="190" spans="1:8">
      <c r="A190" s="1014" t="s">
        <v>654</v>
      </c>
      <c r="B190" s="857">
        <f>geral!I1393</f>
        <v>293.45</v>
      </c>
      <c r="C190" s="857">
        <f t="shared" si="81"/>
        <v>380.26435143190361</v>
      </c>
      <c r="D190" s="961">
        <f t="shared" si="82"/>
        <v>0</v>
      </c>
      <c r="E190" s="961">
        <f t="shared" si="83"/>
        <v>-1.515829511130995</v>
      </c>
      <c r="F190" s="965">
        <f t="shared" si="84"/>
        <v>-7.7007758439924583</v>
      </c>
      <c r="G190" s="966">
        <f t="shared" si="85"/>
        <v>-6.0308480546512166</v>
      </c>
      <c r="H190" s="861">
        <f t="shared" si="46"/>
        <v>1.2263447946839323</v>
      </c>
    </row>
    <row r="191" spans="1:8">
      <c r="A191" s="1014" t="s">
        <v>657</v>
      </c>
      <c r="B191" s="857">
        <f>geral!I1394</f>
        <v>293.45</v>
      </c>
      <c r="C191" s="857">
        <f t="shared" ref="C191:C196" si="86">100*B191/$B$8</f>
        <v>380.26435143190361</v>
      </c>
      <c r="D191" s="961">
        <f t="shared" ref="D191:D196" si="87">100*((B191/B190)-1)</f>
        <v>0</v>
      </c>
      <c r="E191" s="961">
        <f t="shared" ref="E191:E196" si="88">100*((B191/$B$184)-1)</f>
        <v>-1.515829511130995</v>
      </c>
      <c r="F191" s="965">
        <f t="shared" ref="F191:F196" si="89">100*((B191/B179)-1)</f>
        <v>-1.515829511130995</v>
      </c>
      <c r="G191" s="966">
        <f t="shared" ref="G191:G196" si="90">100*(B191/B167-1)</f>
        <v>-6.0308480546512166</v>
      </c>
      <c r="H191" s="861">
        <f t="shared" si="46"/>
        <v>1.2263447946839323</v>
      </c>
    </row>
    <row r="192" spans="1:8">
      <c r="A192" s="1032" t="str">
        <f>'Rec1000'!A192</f>
        <v>AGOSTO|15</v>
      </c>
      <c r="B192" s="918">
        <f>geral!I1395</f>
        <v>293.45</v>
      </c>
      <c r="C192" s="918">
        <f t="shared" si="86"/>
        <v>380.26435143190361</v>
      </c>
      <c r="D192" s="1036">
        <f t="shared" si="87"/>
        <v>0</v>
      </c>
      <c r="E192" s="1036">
        <f t="shared" si="88"/>
        <v>-1.515829511130995</v>
      </c>
      <c r="F192" s="1037">
        <f t="shared" si="89"/>
        <v>-1.515829511130995</v>
      </c>
      <c r="G192" s="1038">
        <f t="shared" si="90"/>
        <v>-6.0308480546512166</v>
      </c>
      <c r="H192" s="861">
        <f t="shared" si="46"/>
        <v>1.2263447946839323</v>
      </c>
    </row>
    <row r="193" spans="1:8">
      <c r="A193" s="1032" t="str">
        <f>'Rec1000'!A193</f>
        <v>SETEMBRO|15</v>
      </c>
      <c r="B193" s="918">
        <f>geral!I1396</f>
        <v>293.45</v>
      </c>
      <c r="C193" s="918">
        <f t="shared" si="86"/>
        <v>380.26435143190361</v>
      </c>
      <c r="D193" s="1036">
        <f t="shared" si="87"/>
        <v>0</v>
      </c>
      <c r="E193" s="1036">
        <f t="shared" si="88"/>
        <v>-1.515829511130995</v>
      </c>
      <c r="F193" s="1037">
        <f t="shared" si="89"/>
        <v>-1.515829511130995</v>
      </c>
      <c r="G193" s="1038">
        <f t="shared" si="90"/>
        <v>-6.0308480546512166</v>
      </c>
      <c r="H193" s="861">
        <f t="shared" si="46"/>
        <v>1.2263447946839323</v>
      </c>
    </row>
    <row r="194" spans="1:8">
      <c r="A194" s="1032" t="str">
        <f>'Rec1000'!A194</f>
        <v>OUTUBRO|15</v>
      </c>
      <c r="B194" s="918">
        <f>geral!I1397</f>
        <v>293.45</v>
      </c>
      <c r="C194" s="918">
        <f t="shared" si="86"/>
        <v>380.26435143190361</v>
      </c>
      <c r="D194" s="1036">
        <f t="shared" si="87"/>
        <v>0</v>
      </c>
      <c r="E194" s="1036">
        <f t="shared" si="88"/>
        <v>-1.515829511130995</v>
      </c>
      <c r="F194" s="1037">
        <f t="shared" si="89"/>
        <v>-1.515829511130995</v>
      </c>
      <c r="G194" s="1038">
        <f t="shared" si="90"/>
        <v>-6.0308480546512166</v>
      </c>
      <c r="H194" s="861">
        <f t="shared" si="46"/>
        <v>1.2263447946839323</v>
      </c>
    </row>
    <row r="195" spans="1:8">
      <c r="A195" s="1032" t="str">
        <f>'Rec1000'!A195</f>
        <v>NOVEMBRO|15</v>
      </c>
      <c r="B195" s="918">
        <f>geral!I1398</f>
        <v>293.45</v>
      </c>
      <c r="C195" s="918">
        <f t="shared" si="86"/>
        <v>380.26435143190361</v>
      </c>
      <c r="D195" s="1036">
        <f t="shared" si="87"/>
        <v>0</v>
      </c>
      <c r="E195" s="1036">
        <f t="shared" si="88"/>
        <v>-1.515829511130995</v>
      </c>
      <c r="F195" s="1037">
        <f t="shared" si="89"/>
        <v>-1.515829511130995</v>
      </c>
      <c r="G195" s="1038">
        <f t="shared" si="90"/>
        <v>-6.0308480546512166</v>
      </c>
      <c r="H195" s="861">
        <f t="shared" si="46"/>
        <v>1.2263447946839323</v>
      </c>
    </row>
    <row r="196" spans="1:8">
      <c r="A196" s="1032" t="str">
        <f>'Rec1000'!A196</f>
        <v>DEZEMBRO|15</v>
      </c>
      <c r="B196" s="918">
        <f>geral!I1399</f>
        <v>293.45</v>
      </c>
      <c r="C196" s="918">
        <f t="shared" si="86"/>
        <v>380.26435143190361</v>
      </c>
      <c r="D196" s="1036">
        <f t="shared" si="87"/>
        <v>0</v>
      </c>
      <c r="E196" s="1036">
        <f t="shared" si="88"/>
        <v>-1.515829511130995</v>
      </c>
      <c r="F196" s="1037">
        <f t="shared" si="89"/>
        <v>-1.515829511130995</v>
      </c>
      <c r="G196" s="1038">
        <f t="shared" si="90"/>
        <v>-7.1262791433695512</v>
      </c>
      <c r="H196" s="861">
        <f t="shared" si="46"/>
        <v>1.2263447946839323</v>
      </c>
    </row>
    <row r="197" spans="1:8">
      <c r="A197" s="1032" t="str">
        <f>'Rec1000'!A197</f>
        <v>JANEIRO|16</v>
      </c>
      <c r="B197" s="918">
        <f>geral!K1388</f>
        <v>293.45</v>
      </c>
      <c r="C197" s="918">
        <f t="shared" ref="C197" si="91">100*B197/$B$8</f>
        <v>380.26435143190361</v>
      </c>
      <c r="D197" s="1036">
        <f t="shared" ref="D197" si="92">100*((B197/B196)-1)</f>
        <v>0</v>
      </c>
      <c r="E197" s="1036">
        <f t="shared" ref="E197:E202" si="93">100*((B197/$B$196)-1)</f>
        <v>0</v>
      </c>
      <c r="F197" s="1037">
        <f t="shared" ref="F197" si="94">100*((B197/B185)-1)</f>
        <v>-1.515829511130995</v>
      </c>
      <c r="G197" s="1038">
        <f t="shared" ref="G197" si="95">100*(B197/B173-1)</f>
        <v>-7.1262791433695512</v>
      </c>
      <c r="H197" s="861">
        <f t="shared" si="46"/>
        <v>1.2263447946839323</v>
      </c>
    </row>
    <row r="198" spans="1:8">
      <c r="A198" s="1032" t="str">
        <f>'Rec1000'!A198</f>
        <v>FEVEREIRO|16</v>
      </c>
      <c r="B198" s="918">
        <f>geral!K1389</f>
        <v>293.45</v>
      </c>
      <c r="C198" s="918">
        <f t="shared" ref="C198" si="96">100*B198/$B$8</f>
        <v>380.26435143190361</v>
      </c>
      <c r="D198" s="1036">
        <f t="shared" ref="D198" si="97">100*((B198/B197)-1)</f>
        <v>0</v>
      </c>
      <c r="E198" s="1036">
        <f t="shared" si="93"/>
        <v>0</v>
      </c>
      <c r="F198" s="1037">
        <f t="shared" ref="F198" si="98">100*((B198/B186)-1)</f>
        <v>-5.7239237524095099</v>
      </c>
      <c r="G198" s="1038">
        <f t="shared" ref="G198" si="99">100*(B198/B174-1)</f>
        <v>-7.1262791433695512</v>
      </c>
      <c r="H198" s="861">
        <f t="shared" si="46"/>
        <v>1.2263447946839323</v>
      </c>
    </row>
    <row r="199" spans="1:8">
      <c r="A199" s="1032" t="str">
        <f>'Rec1000'!A199</f>
        <v>MARÇO|16</v>
      </c>
      <c r="B199" s="918">
        <f>geral!K1390</f>
        <v>293.45</v>
      </c>
      <c r="C199" s="918">
        <f t="shared" ref="C199" si="100">100*B199/$B$8</f>
        <v>380.26435143190361</v>
      </c>
      <c r="D199" s="1036">
        <f t="shared" ref="D199" si="101">100*((B199/B198)-1)</f>
        <v>0</v>
      </c>
      <c r="E199" s="1036">
        <f t="shared" si="93"/>
        <v>0</v>
      </c>
      <c r="F199" s="1037">
        <f t="shared" ref="F199" si="102">100*((B199/B187)-1)</f>
        <v>0</v>
      </c>
      <c r="G199" s="1038">
        <f t="shared" ref="G199" si="103">100*(B199/B175-1)</f>
        <v>-7.1262791433695512</v>
      </c>
      <c r="H199" s="861">
        <f t="shared" si="46"/>
        <v>1.2263447946839323</v>
      </c>
    </row>
    <row r="200" spans="1:8">
      <c r="A200" s="1032" t="str">
        <f>'Rec1000'!A200</f>
        <v>ABRIL|16</v>
      </c>
      <c r="B200" s="918">
        <f>geral!K1391</f>
        <v>293.45</v>
      </c>
      <c r="C200" s="918">
        <f t="shared" ref="C200" si="104">100*B200/$B$8</f>
        <v>380.26435143190361</v>
      </c>
      <c r="D200" s="1036">
        <f t="shared" ref="D200" si="105">100*((B200/B199)-1)</f>
        <v>0</v>
      </c>
      <c r="E200" s="1036">
        <f t="shared" si="93"/>
        <v>0</v>
      </c>
      <c r="F200" s="1037">
        <f t="shared" ref="F200" si="106">100*((B200/B188)-1)</f>
        <v>0</v>
      </c>
      <c r="G200" s="1038">
        <f t="shared" ref="G200" si="107">100*(B200/B176-1)</f>
        <v>-7.1262791433695512</v>
      </c>
      <c r="H200" s="861">
        <f t="shared" si="46"/>
        <v>1.2263447946839323</v>
      </c>
    </row>
    <row r="201" spans="1:8">
      <c r="A201" s="1032" t="str">
        <f>'Rec1000'!A201</f>
        <v>MAIO|16</v>
      </c>
      <c r="B201" s="918">
        <f>geral!K1392</f>
        <v>303.42499999999995</v>
      </c>
      <c r="C201" s="918">
        <f t="shared" ref="C201" si="108">100*B201/$B$8</f>
        <v>393.19035894777755</v>
      </c>
      <c r="D201" s="1036">
        <f t="shared" ref="D201" si="109">100*((B201/B200)-1)</f>
        <v>3.399216220821244</v>
      </c>
      <c r="E201" s="1036">
        <f t="shared" si="93"/>
        <v>3.399216220821244</v>
      </c>
      <c r="F201" s="1037">
        <f t="shared" ref="F201" si="110">100*((B201/B189)-1)</f>
        <v>3.399216220821244</v>
      </c>
      <c r="G201" s="1038">
        <f t="shared" ref="G201" si="111">100*(B201/B177-1)</f>
        <v>-3.9693005591307173</v>
      </c>
      <c r="H201" s="861">
        <f t="shared" si="46"/>
        <v>1.1860291010958226</v>
      </c>
    </row>
    <row r="202" spans="1:8">
      <c r="A202" s="1032" t="str">
        <f>'Rec1000'!A202</f>
        <v>JUNHO|16</v>
      </c>
      <c r="B202" s="918">
        <f>geral!K1393</f>
        <v>303.42499999999995</v>
      </c>
      <c r="C202" s="918">
        <f t="shared" ref="C202" si="112">100*B202/$B$8</f>
        <v>393.19035894777755</v>
      </c>
      <c r="D202" s="1036">
        <f t="shared" ref="D202" si="113">100*((B202/B201)-1)</f>
        <v>0</v>
      </c>
      <c r="E202" s="1036">
        <f t="shared" si="93"/>
        <v>3.399216220821244</v>
      </c>
      <c r="F202" s="1037">
        <f t="shared" ref="F202" si="114">100*((B202/B190)-1)</f>
        <v>3.399216220821244</v>
      </c>
      <c r="G202" s="1038">
        <f t="shared" ref="G202" si="115">100*(B202/B178-1)</f>
        <v>-4.563325644789284</v>
      </c>
      <c r="H202" s="861">
        <f t="shared" si="46"/>
        <v>1.1860291010958226</v>
      </c>
    </row>
    <row r="203" spans="1:8">
      <c r="A203" s="1032" t="str">
        <f>'Rec1000'!A203</f>
        <v>JULHO|16</v>
      </c>
      <c r="B203" s="918">
        <f>geral!K1394</f>
        <v>303.42499999999995</v>
      </c>
      <c r="C203" s="918">
        <f t="shared" ref="C203" si="116">100*B203/$B$8</f>
        <v>393.19035894777755</v>
      </c>
      <c r="D203" s="1036">
        <f t="shared" ref="D203" si="117">100*((B203/B202)-1)</f>
        <v>0</v>
      </c>
      <c r="E203" s="1036">
        <f t="shared" ref="E203" si="118">100*((B203/$B$196)-1)</f>
        <v>3.399216220821244</v>
      </c>
      <c r="F203" s="1037">
        <f t="shared" ref="F203" si="119">100*((B203/B191)-1)</f>
        <v>3.399216220821244</v>
      </c>
      <c r="G203" s="1038">
        <f t="shared" ref="G203" si="120">100*(B203/B179-1)</f>
        <v>1.8318603870679073</v>
      </c>
      <c r="H203" s="861">
        <f t="shared" ref="H203:H253" si="121">$B$253/B203</f>
        <v>1.1860291010958226</v>
      </c>
    </row>
    <row r="204" spans="1:8">
      <c r="A204" s="1032" t="str">
        <f>'Rec1000'!A204</f>
        <v>AGOSTO|16</v>
      </c>
      <c r="B204" s="918">
        <f>geral!K1395</f>
        <v>303.42499999999995</v>
      </c>
      <c r="C204" s="918">
        <f t="shared" ref="C204" si="122">100*B204/$B$8</f>
        <v>393.19035894777755</v>
      </c>
      <c r="D204" s="1036">
        <f t="shared" ref="D204" si="123">100*((B204/B203)-1)</f>
        <v>0</v>
      </c>
      <c r="E204" s="1036">
        <f t="shared" ref="E204" si="124">100*((B204/$B$196)-1)</f>
        <v>3.399216220821244</v>
      </c>
      <c r="F204" s="1037">
        <f t="shared" ref="F204" si="125">100*((B204/B192)-1)</f>
        <v>3.399216220821244</v>
      </c>
      <c r="G204" s="1038">
        <f t="shared" ref="G204" si="126">100*(B204/B180-1)</f>
        <v>1.8318603870679073</v>
      </c>
      <c r="H204" s="861">
        <f t="shared" si="121"/>
        <v>1.1860291010958226</v>
      </c>
    </row>
    <row r="205" spans="1:8">
      <c r="A205" s="1032" t="str">
        <f>'Rec1000'!A205</f>
        <v>SETEMBRO|16</v>
      </c>
      <c r="B205" s="918">
        <f>geral!K1396</f>
        <v>303.42499999999995</v>
      </c>
      <c r="C205" s="918">
        <f t="shared" ref="C205" si="127">100*B205/$B$8</f>
        <v>393.19035894777755</v>
      </c>
      <c r="D205" s="1036">
        <f t="shared" ref="D205" si="128">100*((B205/B204)-1)</f>
        <v>0</v>
      </c>
      <c r="E205" s="1036">
        <f t="shared" ref="E205" si="129">100*((B205/$B$196)-1)</f>
        <v>3.399216220821244</v>
      </c>
      <c r="F205" s="1037">
        <f t="shared" ref="F205" si="130">100*((B205/B193)-1)</f>
        <v>3.399216220821244</v>
      </c>
      <c r="G205" s="1038">
        <f t="shared" ref="G205" si="131">100*(B205/B181-1)</f>
        <v>1.8318603870679073</v>
      </c>
      <c r="H205" s="861">
        <f t="shared" si="121"/>
        <v>1.1860291010958226</v>
      </c>
    </row>
    <row r="206" spans="1:8">
      <c r="A206" s="1032" t="str">
        <f>'Rec1000'!A206</f>
        <v>OUTUBRO|16</v>
      </c>
      <c r="B206" s="918">
        <f>geral!K1397</f>
        <v>303.42499999999995</v>
      </c>
      <c r="C206" s="918">
        <f t="shared" ref="C206" si="132">100*B206/$B$8</f>
        <v>393.19035894777755</v>
      </c>
      <c r="D206" s="1036">
        <f t="shared" ref="D206" si="133">100*((B206/B205)-1)</f>
        <v>0</v>
      </c>
      <c r="E206" s="1036">
        <f t="shared" ref="E206" si="134">100*((B206/$B$196)-1)</f>
        <v>3.399216220821244</v>
      </c>
      <c r="F206" s="1037">
        <f t="shared" ref="F206" si="135">100*((B206/B194)-1)</f>
        <v>3.399216220821244</v>
      </c>
      <c r="G206" s="1038">
        <f t="shared" ref="G206" si="136">100*(B206/B182-1)</f>
        <v>1.8318603870679073</v>
      </c>
      <c r="H206" s="861">
        <f t="shared" si="121"/>
        <v>1.1860291010958226</v>
      </c>
    </row>
    <row r="207" spans="1:8">
      <c r="A207" s="1032" t="str">
        <f>'Rec1000'!A207</f>
        <v>NOVEMBRO|16</v>
      </c>
      <c r="B207" s="918">
        <f>geral!K1398</f>
        <v>303.42499999999995</v>
      </c>
      <c r="C207" s="918">
        <f t="shared" ref="C207" si="137">100*B207/$B$8</f>
        <v>393.19035894777755</v>
      </c>
      <c r="D207" s="1036">
        <f t="shared" ref="D207" si="138">100*((B207/B206)-1)</f>
        <v>0</v>
      </c>
      <c r="E207" s="1036">
        <f t="shared" ref="E207" si="139">100*((B207/$B$196)-1)</f>
        <v>3.399216220821244</v>
      </c>
      <c r="F207" s="1037">
        <f t="shared" ref="F207" si="140">100*((B207/B195)-1)</f>
        <v>3.399216220821244</v>
      </c>
      <c r="G207" s="1038">
        <f t="shared" ref="G207" si="141">100*(B207/B183-1)</f>
        <v>1.8318603870679073</v>
      </c>
      <c r="H207" s="861">
        <f t="shared" si="121"/>
        <v>1.1860291010958226</v>
      </c>
    </row>
    <row r="208" spans="1:8">
      <c r="A208" s="1032" t="str">
        <f>'Rec1000'!A208</f>
        <v>DEZEMBRO|16</v>
      </c>
      <c r="B208" s="918">
        <f>geral!K1399</f>
        <v>303.42499999999995</v>
      </c>
      <c r="C208" s="918">
        <f t="shared" ref="C208" si="142">100*B208/$B$8</f>
        <v>393.19035894777755</v>
      </c>
      <c r="D208" s="1036">
        <f t="shared" ref="D208" si="143">100*((B208/B207)-1)</f>
        <v>0</v>
      </c>
      <c r="E208" s="1036">
        <f t="shared" ref="E208" si="144">100*((B208/$B$196)-1)</f>
        <v>3.399216220821244</v>
      </c>
      <c r="F208" s="1037">
        <f t="shared" ref="F208" si="145">100*((B208/B196)-1)</f>
        <v>3.399216220821244</v>
      </c>
      <c r="G208" s="1038">
        <f t="shared" ref="G208" si="146">100*(B208/B184-1)</f>
        <v>1.8318603870679073</v>
      </c>
      <c r="H208" s="861">
        <f t="shared" si="121"/>
        <v>1.1860291010958226</v>
      </c>
    </row>
    <row r="209" spans="1:8">
      <c r="A209" s="1032" t="str">
        <f>'Rec1000'!A209</f>
        <v>JANEIRO|17</v>
      </c>
      <c r="B209" s="918">
        <f>geral!M1388</f>
        <v>309.39999999999998</v>
      </c>
      <c r="C209" s="918">
        <f t="shared" ref="C209" si="147">100*B209/$B$8</f>
        <v>400.93300505377732</v>
      </c>
      <c r="D209" s="1036">
        <f t="shared" ref="D209" si="148">100*((B209/B208)-1)</f>
        <v>1.9691851363599078</v>
      </c>
      <c r="E209" s="1036">
        <f t="shared" ref="E209:E214" si="149">100*((B209/$B$208)-1)</f>
        <v>1.9691851363599078</v>
      </c>
      <c r="F209" s="1037">
        <f t="shared" ref="F209" si="150">100*((B209/B197)-1)</f>
        <v>5.4353382177543041</v>
      </c>
      <c r="G209" s="1038">
        <f t="shared" ref="G209" si="151">100*(B209/B185-1)</f>
        <v>3.8371182458887931</v>
      </c>
      <c r="H209" s="861">
        <f t="shared" si="121"/>
        <v>1.1631250161603102</v>
      </c>
    </row>
    <row r="210" spans="1:8">
      <c r="A210" s="1032" t="str">
        <f>'Rec1000'!A210</f>
        <v>FEVEREIRO|17</v>
      </c>
      <c r="B210" s="918">
        <f>geral!M1389</f>
        <v>309.39999999999998</v>
      </c>
      <c r="C210" s="918">
        <f t="shared" ref="C210" si="152">100*B210/$B$8</f>
        <v>400.93300505377732</v>
      </c>
      <c r="D210" s="1036">
        <f t="shared" ref="D210" si="153">100*((B210/B209)-1)</f>
        <v>0</v>
      </c>
      <c r="E210" s="1036">
        <f t="shared" si="149"/>
        <v>1.9691851363599078</v>
      </c>
      <c r="F210" s="1037">
        <f t="shared" ref="F210" si="154">100*((B210/B198)-1)</f>
        <v>5.4353382177543041</v>
      </c>
      <c r="G210" s="1038">
        <f t="shared" ref="G210" si="155">100*(B210/B186-1)</f>
        <v>-0.59970014992504206</v>
      </c>
      <c r="H210" s="861">
        <f t="shared" si="121"/>
        <v>1.1631250161603102</v>
      </c>
    </row>
    <row r="211" spans="1:8">
      <c r="A211" s="1032" t="str">
        <f>'Rec1000'!A211</f>
        <v>MARÇO|17</v>
      </c>
      <c r="B211" s="918">
        <f>geral!M1390</f>
        <v>309.39999999999998</v>
      </c>
      <c r="C211" s="918">
        <f t="shared" ref="C211" si="156">100*B211/$B$8</f>
        <v>400.93300505377732</v>
      </c>
      <c r="D211" s="1036">
        <f t="shared" ref="D211" si="157">100*((B211/B210)-1)</f>
        <v>0</v>
      </c>
      <c r="E211" s="1036">
        <f t="shared" si="149"/>
        <v>1.9691851363599078</v>
      </c>
      <c r="F211" s="1037">
        <f t="shared" ref="F211" si="158">100*((B211/B199)-1)</f>
        <v>5.4353382177543041</v>
      </c>
      <c r="G211" s="1038">
        <f t="shared" ref="G211" si="159">100*(B211/B187-1)</f>
        <v>5.4353382177543041</v>
      </c>
      <c r="H211" s="861">
        <f t="shared" si="121"/>
        <v>1.1631250161603102</v>
      </c>
    </row>
    <row r="212" spans="1:8">
      <c r="A212" s="1032" t="str">
        <f>'Rec1000'!A212</f>
        <v>ABRIL|17</v>
      </c>
      <c r="B212" s="918">
        <f>geral!M1391</f>
        <v>309.39999999999998</v>
      </c>
      <c r="C212" s="918">
        <f t="shared" ref="C212" si="160">100*B212/$B$8</f>
        <v>400.93300505377732</v>
      </c>
      <c r="D212" s="1036">
        <f t="shared" ref="D212" si="161">100*((B212/B211)-1)</f>
        <v>0</v>
      </c>
      <c r="E212" s="1036">
        <f t="shared" si="149"/>
        <v>1.9691851363599078</v>
      </c>
      <c r="F212" s="1037">
        <f t="shared" ref="F212" si="162">100*((B212/B200)-1)</f>
        <v>5.4353382177543041</v>
      </c>
      <c r="G212" s="1038">
        <f t="shared" ref="G212" si="163">100*(B212/B188-1)</f>
        <v>5.4353382177543041</v>
      </c>
      <c r="H212" s="861">
        <f t="shared" si="121"/>
        <v>1.1631250161603102</v>
      </c>
    </row>
    <row r="213" spans="1:8">
      <c r="A213" s="1032" t="str">
        <f>'Rec1000'!A213</f>
        <v>MAIO|17</v>
      </c>
      <c r="B213" s="918">
        <f>geral!M1392</f>
        <v>309.39999999999998</v>
      </c>
      <c r="C213" s="918">
        <f t="shared" ref="C213" si="164">100*B213/$B$8</f>
        <v>400.93300505377732</v>
      </c>
      <c r="D213" s="1036">
        <f t="shared" ref="D213" si="165">100*((B213/B212)-1)</f>
        <v>0</v>
      </c>
      <c r="E213" s="1036">
        <f t="shared" si="149"/>
        <v>1.9691851363599078</v>
      </c>
      <c r="F213" s="1037">
        <f t="shared" ref="F213" si="166">100*((B213/B201)-1)</f>
        <v>1.9691851363599078</v>
      </c>
      <c r="G213" s="1038">
        <f t="shared" ref="G213" si="167">100*(B213/B189-1)</f>
        <v>5.4353382177543041</v>
      </c>
      <c r="H213" s="861">
        <f t="shared" si="121"/>
        <v>1.1631250161603102</v>
      </c>
    </row>
    <row r="214" spans="1:8">
      <c r="A214" s="1032" t="str">
        <f>'Rec1000'!A214</f>
        <v>JUNHO|17</v>
      </c>
      <c r="B214" s="918">
        <f>geral!M1393</f>
        <v>309.39999999999998</v>
      </c>
      <c r="C214" s="918">
        <f t="shared" ref="C214" si="168">100*B214/$B$8</f>
        <v>400.93300505377732</v>
      </c>
      <c r="D214" s="1036">
        <f t="shared" ref="D214" si="169">100*((B214/B213)-1)</f>
        <v>0</v>
      </c>
      <c r="E214" s="1036">
        <f t="shared" si="149"/>
        <v>1.9691851363599078</v>
      </c>
      <c r="F214" s="1037">
        <f t="shared" ref="F214" si="170">100*((B214/B202)-1)</f>
        <v>1.9691851363599078</v>
      </c>
      <c r="G214" s="1038">
        <f t="shared" ref="G214" si="171">100*(B214/B190-1)</f>
        <v>5.4353382177543041</v>
      </c>
      <c r="H214" s="861">
        <f t="shared" si="121"/>
        <v>1.1631250161603102</v>
      </c>
    </row>
    <row r="215" spans="1:8">
      <c r="A215" s="1032" t="str">
        <f>'Rec1000'!A215</f>
        <v>JULHO|17</v>
      </c>
      <c r="B215" s="918">
        <f>geral!M1394</f>
        <v>309.39999999999998</v>
      </c>
      <c r="C215" s="918">
        <f t="shared" ref="C215" si="172">100*B215/$B$8</f>
        <v>400.93300505377732</v>
      </c>
      <c r="D215" s="1036">
        <f t="shared" ref="D215" si="173">100*((B215/B214)-1)</f>
        <v>0</v>
      </c>
      <c r="E215" s="1036">
        <f t="shared" ref="E215" si="174">100*((B215/$B$208)-1)</f>
        <v>1.9691851363599078</v>
      </c>
      <c r="F215" s="1037">
        <f t="shared" ref="F215" si="175">100*((B215/B203)-1)</f>
        <v>1.9691851363599078</v>
      </c>
      <c r="G215" s="1038">
        <f t="shared" ref="G215" si="176">100*(B215/B191-1)</f>
        <v>5.4353382177543041</v>
      </c>
      <c r="H215" s="861">
        <f t="shared" si="121"/>
        <v>1.1631250161603102</v>
      </c>
    </row>
    <row r="216" spans="1:8">
      <c r="A216" s="1032" t="str">
        <f>'Rec1000'!A216</f>
        <v>AGOSTO|17</v>
      </c>
      <c r="B216" s="918">
        <f>geral!M1395</f>
        <v>313.39999999999998</v>
      </c>
      <c r="C216" s="918">
        <f t="shared" ref="C216" si="177">100*B216/$B$8</f>
        <v>406.11636646365162</v>
      </c>
      <c r="D216" s="1036">
        <f t="shared" ref="D216" si="178">100*((B216/B215)-1)</f>
        <v>1.2928248222365823</v>
      </c>
      <c r="E216" s="1036">
        <f t="shared" ref="E216" si="179">100*((B216/$B$208)-1)</f>
        <v>3.2874680728351313</v>
      </c>
      <c r="F216" s="1037">
        <f t="shared" ref="F216" si="180">100*((B216/B204)-1)</f>
        <v>3.2874680728351313</v>
      </c>
      <c r="G216" s="1038">
        <f t="shared" ref="G216" si="181">100*(B216/B192-1)</f>
        <v>6.7984324416425324</v>
      </c>
      <c r="H216" s="861">
        <f t="shared" si="121"/>
        <v>1.1482797702616463</v>
      </c>
    </row>
    <row r="217" spans="1:8">
      <c r="A217" s="1032" t="str">
        <f>'Rec1000'!A217</f>
        <v>SETEMBRO|17</v>
      </c>
      <c r="B217" s="918">
        <f>geral!M1396</f>
        <v>313.39999999999998</v>
      </c>
      <c r="C217" s="918">
        <f t="shared" ref="C217" si="182">100*B217/$B$8</f>
        <v>406.11636646365162</v>
      </c>
      <c r="D217" s="1036">
        <f t="shared" ref="D217" si="183">100*((B217/B216)-1)</f>
        <v>0</v>
      </c>
      <c r="E217" s="1036">
        <f t="shared" ref="E217" si="184">100*((B217/$B$208)-1)</f>
        <v>3.2874680728351313</v>
      </c>
      <c r="F217" s="1037">
        <f t="shared" ref="F217" si="185">100*((B217/B205)-1)</f>
        <v>3.2874680728351313</v>
      </c>
      <c r="G217" s="1038">
        <f t="shared" ref="G217" si="186">100*(B217/B193-1)</f>
        <v>6.7984324416425324</v>
      </c>
      <c r="H217" s="861">
        <f t="shared" si="121"/>
        <v>1.1482797702616463</v>
      </c>
    </row>
    <row r="218" spans="1:8">
      <c r="A218" s="1014" t="str">
        <f>'Rec1000'!A218</f>
        <v>OUTUBRO|17</v>
      </c>
      <c r="B218" s="857">
        <f>geral!M1397</f>
        <v>313.39999999999998</v>
      </c>
      <c r="C218" s="857">
        <f t="shared" ref="C218" si="187">100*B218/$B$8</f>
        <v>406.11636646365162</v>
      </c>
      <c r="D218" s="961">
        <f t="shared" ref="D218" si="188">100*((B218/B217)-1)</f>
        <v>0</v>
      </c>
      <c r="E218" s="961">
        <f t="shared" ref="E218" si="189">100*((B218/$B$208)-1)</f>
        <v>3.2874680728351313</v>
      </c>
      <c r="F218" s="965">
        <f t="shared" ref="F218" si="190">100*((B218/B206)-1)</f>
        <v>3.2874680728351313</v>
      </c>
      <c r="G218" s="1215">
        <f t="shared" ref="G218" si="191">100*(B218/B194-1)</f>
        <v>6.7984324416425324</v>
      </c>
      <c r="H218" s="861">
        <f t="shared" si="121"/>
        <v>1.1482797702616463</v>
      </c>
    </row>
    <row r="219" spans="1:8">
      <c r="A219" s="1032" t="str">
        <f>'Rec1000'!A219</f>
        <v>NOVEMBRO|17</v>
      </c>
      <c r="B219" s="918">
        <f>geral!M1398</f>
        <v>313.39999999999998</v>
      </c>
      <c r="C219" s="918">
        <f t="shared" ref="C219" si="192">100*B219/$B$8</f>
        <v>406.11636646365162</v>
      </c>
      <c r="D219" s="1036">
        <f t="shared" ref="D219" si="193">100*((B219/B218)-1)</f>
        <v>0</v>
      </c>
      <c r="E219" s="1036">
        <f t="shared" ref="E219" si="194">100*((B219/$B$208)-1)</f>
        <v>3.2874680728351313</v>
      </c>
      <c r="F219" s="1037">
        <f t="shared" ref="F219" si="195">100*((B219/B207)-1)</f>
        <v>3.2874680728351313</v>
      </c>
      <c r="G219" s="1038">
        <f t="shared" ref="G219" si="196">100*(B219/B195-1)</f>
        <v>6.7984324416425324</v>
      </c>
      <c r="H219" s="861">
        <f t="shared" si="121"/>
        <v>1.1482797702616463</v>
      </c>
    </row>
    <row r="220" spans="1:8">
      <c r="A220" s="1032" t="str">
        <f>'Rec1000'!A220</f>
        <v>DEZEMBRO|17</v>
      </c>
      <c r="B220" s="918">
        <f>geral!M1399</f>
        <v>313.39999999999998</v>
      </c>
      <c r="C220" s="918">
        <f t="shared" ref="C220" si="197">100*B220/$B$8</f>
        <v>406.11636646365162</v>
      </c>
      <c r="D220" s="1036">
        <f t="shared" ref="D220" si="198">100*((B220/B219)-1)</f>
        <v>0</v>
      </c>
      <c r="E220" s="1036">
        <f t="shared" ref="E220" si="199">100*((B220/$B$208)-1)</f>
        <v>3.2874680728351313</v>
      </c>
      <c r="F220" s="1037">
        <f t="shared" ref="F220" si="200">100*((B220/B208)-1)</f>
        <v>3.2874680728351313</v>
      </c>
      <c r="G220" s="1038">
        <f t="shared" ref="G220" si="201">100*(B220/B196-1)</f>
        <v>6.7984324416425324</v>
      </c>
      <c r="H220" s="861">
        <f t="shared" si="121"/>
        <v>1.1482797702616463</v>
      </c>
    </row>
    <row r="221" spans="1:8">
      <c r="A221" s="1032" t="str">
        <f>'Rec1000'!A221</f>
        <v>JANEIRO|18</v>
      </c>
      <c r="B221" s="918">
        <f>geral!O1388</f>
        <v>313.39999999999998</v>
      </c>
      <c r="C221" s="918">
        <f t="shared" ref="C221" si="202">100*B221/$B$8</f>
        <v>406.11636646365162</v>
      </c>
      <c r="D221" s="1036">
        <f t="shared" ref="D221" si="203">100*((B221/B220)-1)</f>
        <v>0</v>
      </c>
      <c r="E221" s="1036">
        <f t="shared" ref="E221:E226" si="204">100*((B221/$B$220)-1)</f>
        <v>0</v>
      </c>
      <c r="F221" s="1037">
        <f t="shared" ref="F221" si="205">100*((B221/B209)-1)</f>
        <v>1.2928248222365823</v>
      </c>
      <c r="G221" s="1038">
        <f t="shared" ref="G221" si="206">100*(B221/B197-1)</f>
        <v>6.7984324416425324</v>
      </c>
      <c r="H221" s="861">
        <f t="shared" si="121"/>
        <v>1.1482797702616463</v>
      </c>
    </row>
    <row r="222" spans="1:8">
      <c r="A222" s="1032" t="str">
        <f>'Rec1000'!A222</f>
        <v>FEVEREIRO|18</v>
      </c>
      <c r="B222" s="918">
        <f>geral!O1389</f>
        <v>313.39999999999998</v>
      </c>
      <c r="C222" s="918">
        <f t="shared" ref="C222" si="207">100*B222/$B$8</f>
        <v>406.11636646365162</v>
      </c>
      <c r="D222" s="1036">
        <f t="shared" ref="D222" si="208">100*((B222/B221)-1)</f>
        <v>0</v>
      </c>
      <c r="E222" s="1036">
        <f t="shared" si="204"/>
        <v>0</v>
      </c>
      <c r="F222" s="1037">
        <f t="shared" ref="F222" si="209">100*((B222/B210)-1)</f>
        <v>1.2928248222365823</v>
      </c>
      <c r="G222" s="1038">
        <f t="shared" ref="G222" si="210">100*(B222/B198-1)</f>
        <v>6.7984324416425324</v>
      </c>
      <c r="H222" s="861">
        <f t="shared" si="121"/>
        <v>1.1482797702616463</v>
      </c>
    </row>
    <row r="223" spans="1:8">
      <c r="A223" s="1032" t="str">
        <f>'Rec1000'!A223</f>
        <v>MARÇO|18</v>
      </c>
      <c r="B223" s="918">
        <f>geral!O1390</f>
        <v>313.39999999999998</v>
      </c>
      <c r="C223" s="918">
        <f t="shared" ref="C223" si="211">100*B223/$B$8</f>
        <v>406.11636646365162</v>
      </c>
      <c r="D223" s="1036">
        <f t="shared" ref="D223" si="212">100*((B223/B222)-1)</f>
        <v>0</v>
      </c>
      <c r="E223" s="1036">
        <f t="shared" si="204"/>
        <v>0</v>
      </c>
      <c r="F223" s="1037">
        <f t="shared" ref="F223" si="213">100*((B223/B211)-1)</f>
        <v>1.2928248222365823</v>
      </c>
      <c r="G223" s="1038">
        <f t="shared" ref="G223" si="214">100*(B223/B199-1)</f>
        <v>6.7984324416425324</v>
      </c>
      <c r="H223" s="861">
        <f t="shared" si="121"/>
        <v>1.1482797702616463</v>
      </c>
    </row>
    <row r="224" spans="1:8">
      <c r="A224" s="1032" t="str">
        <f>'Rec1000'!A224</f>
        <v>ABRIL|18</v>
      </c>
      <c r="B224" s="918">
        <f>geral!O1391</f>
        <v>318.14999999999998</v>
      </c>
      <c r="C224" s="918">
        <f t="shared" ref="C224" si="215">100*B224/$B$8</f>
        <v>412.27160813787737</v>
      </c>
      <c r="D224" s="1036">
        <f t="shared" ref="D224" si="216">100*((B224/B223)-1)</f>
        <v>1.5156349712827089</v>
      </c>
      <c r="E224" s="1036">
        <f t="shared" si="204"/>
        <v>1.5156349712827089</v>
      </c>
      <c r="F224" s="1037">
        <f t="shared" ref="F224" si="217">100*((B224/B212)-1)</f>
        <v>2.8280542986425239</v>
      </c>
      <c r="G224" s="1038">
        <f t="shared" ref="G224" si="218">100*(B224/B200-1)</f>
        <v>8.417106832509802</v>
      </c>
      <c r="H224" s="861">
        <f t="shared" si="121"/>
        <v>1.1311358793022159</v>
      </c>
    </row>
    <row r="225" spans="1:8">
      <c r="A225" s="1032" t="str">
        <f>'Rec1000'!A225</f>
        <v>MAIO|18</v>
      </c>
      <c r="B225" s="918">
        <f>geral!O1392</f>
        <v>318.14999999999998</v>
      </c>
      <c r="C225" s="918">
        <f t="shared" ref="C225" si="219">100*B225/$B$8</f>
        <v>412.27160813787737</v>
      </c>
      <c r="D225" s="1036">
        <f t="shared" ref="D225" si="220">100*((B225/B224)-1)</f>
        <v>0</v>
      </c>
      <c r="E225" s="1036">
        <f t="shared" si="204"/>
        <v>1.5156349712827089</v>
      </c>
      <c r="F225" s="1037">
        <f t="shared" ref="F225" si="221">100*((B225/B213)-1)</f>
        <v>2.8280542986425239</v>
      </c>
      <c r="G225" s="1038">
        <f t="shared" ref="G225" si="222">100*(B225/B201-1)</f>
        <v>4.8529290598994912</v>
      </c>
      <c r="H225" s="861">
        <f t="shared" si="121"/>
        <v>1.1311358793022159</v>
      </c>
    </row>
    <row r="226" spans="1:8">
      <c r="A226" s="1032" t="str">
        <f>'Rec1000'!A226</f>
        <v>JUNHO|18</v>
      </c>
      <c r="B226" s="918">
        <f>geral!O1393</f>
        <v>322.89999999999998</v>
      </c>
      <c r="C226" s="918">
        <f t="shared" ref="C226" si="223">100*B226/$B$8</f>
        <v>418.42684981210311</v>
      </c>
      <c r="D226" s="1036">
        <f t="shared" ref="D226" si="224">100*((B226/B225)-1)</f>
        <v>1.4930064435014989</v>
      </c>
      <c r="E226" s="1036">
        <f t="shared" si="204"/>
        <v>3.0312699425654177</v>
      </c>
      <c r="F226" s="1037">
        <f t="shared" ref="F226" si="225">100*((B226/B214)-1)</f>
        <v>4.3632837750484876</v>
      </c>
      <c r="G226" s="1038">
        <f t="shared" ref="G226" si="226">100*(B226/B202-1)</f>
        <v>6.4183900469638289</v>
      </c>
      <c r="H226" s="861">
        <f t="shared" si="121"/>
        <v>1.1144963765871787</v>
      </c>
    </row>
    <row r="227" spans="1:8">
      <c r="A227" s="1032" t="str">
        <f>'Rec1000'!A227</f>
        <v>JULHO|18</v>
      </c>
      <c r="B227" s="918">
        <f>geral!O1394</f>
        <v>322.89999999999998</v>
      </c>
      <c r="C227" s="918">
        <f t="shared" ref="C227" si="227">100*B227/$B$8</f>
        <v>418.42684981210311</v>
      </c>
      <c r="D227" s="1036">
        <f t="shared" ref="D227" si="228">100*((B227/B226)-1)</f>
        <v>0</v>
      </c>
      <c r="E227" s="1036">
        <f t="shared" ref="E227" si="229">100*((B227/$B$220)-1)</f>
        <v>3.0312699425654177</v>
      </c>
      <c r="F227" s="1037">
        <f t="shared" ref="F227" si="230">100*((B227/B215)-1)</f>
        <v>4.3632837750484876</v>
      </c>
      <c r="G227" s="1038">
        <f t="shared" ref="G227" si="231">100*(B227/B203-1)</f>
        <v>6.4183900469638289</v>
      </c>
      <c r="H227" s="861">
        <f t="shared" si="121"/>
        <v>1.1144963765871787</v>
      </c>
    </row>
    <row r="228" spans="1:8">
      <c r="A228" s="1032" t="str">
        <f>'Rec1000'!A228</f>
        <v>AGOSTO|18</v>
      </c>
      <c r="B228" s="918">
        <f>geral!O1395</f>
        <v>322.89999999999998</v>
      </c>
      <c r="C228" s="918">
        <f t="shared" ref="C228" si="232">100*B228/$B$8</f>
        <v>418.42684981210311</v>
      </c>
      <c r="D228" s="1036">
        <f t="shared" ref="D228" si="233">100*((B228/B227)-1)</f>
        <v>0</v>
      </c>
      <c r="E228" s="1036">
        <f t="shared" ref="E228" si="234">100*((B228/$B$220)-1)</f>
        <v>3.0312699425654177</v>
      </c>
      <c r="F228" s="1037">
        <f t="shared" ref="F228" si="235">100*((B228/B216)-1)</f>
        <v>3.0312699425654177</v>
      </c>
      <c r="G228" s="1038">
        <f t="shared" ref="G228" si="236">100*(B228/B204-1)</f>
        <v>6.4183900469638289</v>
      </c>
      <c r="H228" s="861">
        <f t="shared" si="121"/>
        <v>1.1144963765871787</v>
      </c>
    </row>
    <row r="229" spans="1:8">
      <c r="A229" s="1032" t="str">
        <f>'Rec1000'!A229</f>
        <v>SETEMBRO|18</v>
      </c>
      <c r="B229" s="918">
        <f>geral!O1396</f>
        <v>322.89999999999998</v>
      </c>
      <c r="C229" s="918">
        <f t="shared" ref="C229" si="237">100*B229/$B$8</f>
        <v>418.42684981210311</v>
      </c>
      <c r="D229" s="1036">
        <f t="shared" ref="D229" si="238">100*((B229/B228)-1)</f>
        <v>0</v>
      </c>
      <c r="E229" s="1036">
        <f t="shared" ref="E229" si="239">100*((B229/$B$220)-1)</f>
        <v>3.0312699425654177</v>
      </c>
      <c r="F229" s="1037">
        <f t="shared" ref="F229" si="240">100*((B229/B217)-1)</f>
        <v>3.0312699425654177</v>
      </c>
      <c r="G229" s="1038">
        <f t="shared" ref="G229" si="241">100*(B229/B205-1)</f>
        <v>6.4183900469638289</v>
      </c>
      <c r="H229" s="861">
        <f t="shared" si="121"/>
        <v>1.1144963765871787</v>
      </c>
    </row>
    <row r="230" spans="1:8">
      <c r="A230" s="1032" t="str">
        <f>'Rec1000'!A230</f>
        <v>OUTUBRO|18</v>
      </c>
      <c r="B230" s="918">
        <f>geral!O1397</f>
        <v>330.4</v>
      </c>
      <c r="C230" s="918">
        <f t="shared" ref="C230" si="242">100*B230/$B$8</f>
        <v>428.14565245561744</v>
      </c>
      <c r="D230" s="1036">
        <f t="shared" ref="D230" si="243">100*((B230/B229)-1)</f>
        <v>2.3227005264787826</v>
      </c>
      <c r="E230" s="1036">
        <f t="shared" ref="E230" si="244">100*((B230/$B$220)-1)</f>
        <v>5.4243777919591674</v>
      </c>
      <c r="F230" s="1037">
        <f t="shared" ref="F230" si="245">100*((B230/B218)-1)</f>
        <v>5.4243777919591674</v>
      </c>
      <c r="G230" s="1038">
        <f t="shared" ref="G230" si="246">100*(B230/B206-1)</f>
        <v>8.8901705528549257</v>
      </c>
      <c r="H230" s="861">
        <f t="shared" si="121"/>
        <v>1.0891975786924939</v>
      </c>
    </row>
    <row r="231" spans="1:8">
      <c r="A231" s="1032" t="str">
        <f>'Rec1000'!A231</f>
        <v>NOVEMBRO|18</v>
      </c>
      <c r="B231" s="918">
        <f>geral!O1398</f>
        <v>330.4</v>
      </c>
      <c r="C231" s="918">
        <f t="shared" ref="C231" si="247">100*B231/$B$8</f>
        <v>428.14565245561744</v>
      </c>
      <c r="D231" s="1036">
        <f t="shared" ref="D231" si="248">100*((B231/B230)-1)</f>
        <v>0</v>
      </c>
      <c r="E231" s="1036">
        <f t="shared" ref="E231" si="249">100*((B231/$B$220)-1)</f>
        <v>5.4243777919591674</v>
      </c>
      <c r="F231" s="1037">
        <f t="shared" ref="F231" si="250">100*((B231/B219)-1)</f>
        <v>5.4243777919591674</v>
      </c>
      <c r="G231" s="1038">
        <f t="shared" ref="G231" si="251">100*(B231/B207-1)</f>
        <v>8.8901705528549257</v>
      </c>
      <c r="H231" s="861">
        <f t="shared" si="121"/>
        <v>1.0891975786924939</v>
      </c>
    </row>
    <row r="232" spans="1:8">
      <c r="A232" s="1032" t="str">
        <f>'Rec1000'!A232</f>
        <v>DEZEMBRO|18</v>
      </c>
      <c r="B232" s="918">
        <f>geral!O1399</f>
        <v>330.4</v>
      </c>
      <c r="C232" s="918">
        <f t="shared" ref="C232" si="252">100*B232/$B$8</f>
        <v>428.14565245561744</v>
      </c>
      <c r="D232" s="1036">
        <f t="shared" ref="D232" si="253">100*((B232/B231)-1)</f>
        <v>0</v>
      </c>
      <c r="E232" s="1036">
        <f t="shared" ref="E232" si="254">100*((B232/$B$220)-1)</f>
        <v>5.4243777919591674</v>
      </c>
      <c r="F232" s="1037">
        <f t="shared" ref="F232" si="255">100*((B232/B220)-1)</f>
        <v>5.4243777919591674</v>
      </c>
      <c r="G232" s="1038">
        <f t="shared" ref="G232" si="256">100*(B232/B208-1)</f>
        <v>8.8901705528549257</v>
      </c>
      <c r="H232" s="861">
        <f t="shared" si="121"/>
        <v>1.0891975786924939</v>
      </c>
    </row>
    <row r="233" spans="1:8">
      <c r="A233" s="1032" t="str">
        <f>'Rec1000'!A233</f>
        <v>JANEIRO|19</v>
      </c>
      <c r="B233" s="918">
        <f>geral!Q1388</f>
        <v>330.4</v>
      </c>
      <c r="C233" s="918">
        <f t="shared" ref="C233" si="257">100*B233/$B$8</f>
        <v>428.14565245561744</v>
      </c>
      <c r="D233" s="1036">
        <f t="shared" ref="D233" si="258">100*((B233/B232)-1)</f>
        <v>0</v>
      </c>
      <c r="E233" s="1036">
        <f t="shared" ref="E233:E238" si="259">100*((B233/$B$232)-1)</f>
        <v>0</v>
      </c>
      <c r="F233" s="1037">
        <f t="shared" ref="F233" si="260">100*((B233/B221)-1)</f>
        <v>5.4243777919591674</v>
      </c>
      <c r="G233" s="1038">
        <f t="shared" ref="G233" si="261">100*(B233/B209-1)</f>
        <v>6.7873303167420795</v>
      </c>
      <c r="H233" s="861">
        <f t="shared" si="121"/>
        <v>1.0891975786924939</v>
      </c>
    </row>
    <row r="234" spans="1:8">
      <c r="A234" s="1032" t="str">
        <f>'Rec1000'!A234</f>
        <v>FEVEREIRO|19</v>
      </c>
      <c r="B234" s="918">
        <f>geral!Q1389</f>
        <v>340.4</v>
      </c>
      <c r="C234" s="918">
        <f t="shared" ref="C234" si="262">100*B234/$B$8</f>
        <v>441.1040559803032</v>
      </c>
      <c r="D234" s="1036">
        <f t="shared" ref="D234" si="263">100*((B234/B233)-1)</f>
        <v>3.0266343825665842</v>
      </c>
      <c r="E234" s="1036">
        <f t="shared" si="259"/>
        <v>3.0266343825665842</v>
      </c>
      <c r="F234" s="1037">
        <f t="shared" ref="F234" si="264">100*((B234/B222)-1)</f>
        <v>8.6151882578174863</v>
      </c>
      <c r="G234" s="1038">
        <f t="shared" ref="G234" si="265">100*(B234/B210-1)</f>
        <v>10.019392372333558</v>
      </c>
      <c r="H234" s="861">
        <f t="shared" si="121"/>
        <v>1.0571999999999999</v>
      </c>
    </row>
    <row r="235" spans="1:8">
      <c r="A235" s="1032" t="str">
        <f>'Rec1000'!A235</f>
        <v>MARÇO|19</v>
      </c>
      <c r="B235" s="918">
        <f>geral!Q1390</f>
        <v>340.4</v>
      </c>
      <c r="C235" s="918">
        <f t="shared" ref="C235" si="266">100*B235/$B$8</f>
        <v>441.1040559803032</v>
      </c>
      <c r="D235" s="1036">
        <f t="shared" ref="D235" si="267">100*((B235/B234)-1)</f>
        <v>0</v>
      </c>
      <c r="E235" s="1036">
        <f t="shared" si="259"/>
        <v>3.0266343825665842</v>
      </c>
      <c r="F235" s="1037">
        <f t="shared" ref="F235" si="268">100*((B235/B223)-1)</f>
        <v>8.6151882578174863</v>
      </c>
      <c r="G235" s="1038">
        <f t="shared" ref="G235" si="269">100*(B235/B211-1)</f>
        <v>10.019392372333558</v>
      </c>
      <c r="H235" s="861">
        <f t="shared" si="121"/>
        <v>1.0571999999999999</v>
      </c>
    </row>
    <row r="236" spans="1:8">
      <c r="A236" s="1032" t="str">
        <f>'Rec1000'!A236</f>
        <v>ABRIL|19</v>
      </c>
      <c r="B236" s="918">
        <f>geral!Q1391</f>
        <v>340.4</v>
      </c>
      <c r="C236" s="918">
        <f t="shared" ref="C236" si="270">100*B236/$B$8</f>
        <v>441.1040559803032</v>
      </c>
      <c r="D236" s="1036">
        <f t="shared" ref="D236" si="271">100*((B236/B235)-1)</f>
        <v>0</v>
      </c>
      <c r="E236" s="1036">
        <f t="shared" si="259"/>
        <v>3.0266343825665842</v>
      </c>
      <c r="F236" s="1037">
        <f t="shared" ref="F236" si="272">100*((B236/B224)-1)</f>
        <v>6.993556498506992</v>
      </c>
      <c r="G236" s="1038">
        <f t="shared" ref="G236" si="273">100*(B236/B212-1)</f>
        <v>10.019392372333558</v>
      </c>
      <c r="H236" s="861">
        <f t="shared" si="121"/>
        <v>1.0571999999999999</v>
      </c>
    </row>
    <row r="237" spans="1:8">
      <c r="A237" s="1032" t="str">
        <f>'Rec1000'!A237</f>
        <v>MAIO|19</v>
      </c>
      <c r="B237" s="918">
        <f>geral!Q1392</f>
        <v>340.4</v>
      </c>
      <c r="C237" s="918">
        <f t="shared" ref="C237" si="274">100*B237/$B$8</f>
        <v>441.1040559803032</v>
      </c>
      <c r="D237" s="1036">
        <f t="shared" ref="D237" si="275">100*((B237/B236)-1)</f>
        <v>0</v>
      </c>
      <c r="E237" s="1036">
        <f t="shared" si="259"/>
        <v>3.0266343825665842</v>
      </c>
      <c r="F237" s="1037">
        <f t="shared" ref="F237" si="276">100*((B237/B225)-1)</f>
        <v>6.993556498506992</v>
      </c>
      <c r="G237" s="1038">
        <f t="shared" ref="G237" si="277">100*(B237/B213-1)</f>
        <v>10.019392372333558</v>
      </c>
      <c r="H237" s="861">
        <f t="shared" si="121"/>
        <v>1.0571999999999999</v>
      </c>
    </row>
    <row r="238" spans="1:8">
      <c r="A238" s="1032" t="str">
        <f>'Rec1000'!A238</f>
        <v>JUNHO|19</v>
      </c>
      <c r="B238" s="918">
        <f>geral!Q1393</f>
        <v>340.4</v>
      </c>
      <c r="C238" s="918">
        <f t="shared" ref="C238" si="278">100*B238/$B$8</f>
        <v>441.1040559803032</v>
      </c>
      <c r="D238" s="1036">
        <f t="shared" ref="D238" si="279">100*((B238/B237)-1)</f>
        <v>0</v>
      </c>
      <c r="E238" s="1036">
        <f t="shared" si="259"/>
        <v>3.0266343825665842</v>
      </c>
      <c r="F238" s="1037">
        <f t="shared" ref="F238" si="280">100*((B238/B226)-1)</f>
        <v>5.419634561783826</v>
      </c>
      <c r="G238" s="1038">
        <f t="shared" ref="G238" si="281">100*(B238/B214-1)</f>
        <v>10.019392372333558</v>
      </c>
      <c r="H238" s="861">
        <f t="shared" si="121"/>
        <v>1.0571999999999999</v>
      </c>
    </row>
    <row r="239" spans="1:8">
      <c r="A239" s="1032" t="str">
        <f>'Rec1000'!A239</f>
        <v>JULHO|19</v>
      </c>
      <c r="B239" s="918">
        <f>geral!Q1394</f>
        <v>340.4</v>
      </c>
      <c r="C239" s="918">
        <f t="shared" ref="C239" si="282">100*B239/$B$8</f>
        <v>441.1040559803032</v>
      </c>
      <c r="D239" s="1036">
        <f t="shared" ref="D239" si="283">100*((B239/B238)-1)</f>
        <v>0</v>
      </c>
      <c r="E239" s="1036">
        <f t="shared" ref="E239" si="284">100*((B239/$B$232)-1)</f>
        <v>3.0266343825665842</v>
      </c>
      <c r="F239" s="1037">
        <f t="shared" ref="F239" si="285">100*((B239/B227)-1)</f>
        <v>5.419634561783826</v>
      </c>
      <c r="G239" s="1038">
        <f t="shared" ref="G239" si="286">100*(B239/B215-1)</f>
        <v>10.019392372333558</v>
      </c>
      <c r="H239" s="861">
        <f t="shared" si="121"/>
        <v>1.0571999999999999</v>
      </c>
    </row>
    <row r="240" spans="1:8">
      <c r="A240" s="1032" t="str">
        <f>'Rec1000'!A240</f>
        <v>AGOSTO|19</v>
      </c>
      <c r="B240" s="918">
        <f>geral!Q1395</f>
        <v>340.4</v>
      </c>
      <c r="C240" s="918">
        <f t="shared" ref="C240" si="287">100*B240/$B$8</f>
        <v>441.1040559803032</v>
      </c>
      <c r="D240" s="1036">
        <f t="shared" ref="D240" si="288">100*((B240/B239)-1)</f>
        <v>0</v>
      </c>
      <c r="E240" s="1036">
        <f t="shared" ref="E240" si="289">100*((B240/$B$232)-1)</f>
        <v>3.0266343825665842</v>
      </c>
      <c r="F240" s="1037">
        <f t="shared" ref="F240" si="290">100*((B240/B228)-1)</f>
        <v>5.419634561783826</v>
      </c>
      <c r="G240" s="1038">
        <f t="shared" ref="G240" si="291">100*(B240/B216-1)</f>
        <v>8.6151882578174863</v>
      </c>
      <c r="H240" s="861">
        <f t="shared" si="121"/>
        <v>1.0571999999999999</v>
      </c>
    </row>
    <row r="241" spans="1:8">
      <c r="A241" s="1032" t="str">
        <f>'Rec1000'!A241</f>
        <v>SETEMBRO|19</v>
      </c>
      <c r="B241" s="918">
        <f>geral!Q1396</f>
        <v>340.4</v>
      </c>
      <c r="C241" s="918">
        <f t="shared" ref="C241" si="292">100*B241/$B$8</f>
        <v>441.1040559803032</v>
      </c>
      <c r="D241" s="1036">
        <f t="shared" ref="D241" si="293">100*((B241/B240)-1)</f>
        <v>0</v>
      </c>
      <c r="E241" s="1036">
        <f t="shared" ref="E241" si="294">100*((B241/$B$232)-1)</f>
        <v>3.0266343825665842</v>
      </c>
      <c r="F241" s="1037">
        <f t="shared" ref="F241" si="295">100*((B241/B229)-1)</f>
        <v>5.419634561783826</v>
      </c>
      <c r="G241" s="1038">
        <f t="shared" ref="G241" si="296">100*(B241/B217-1)</f>
        <v>8.6151882578174863</v>
      </c>
      <c r="H241" s="861">
        <f t="shared" si="121"/>
        <v>1.0571999999999999</v>
      </c>
    </row>
    <row r="242" spans="1:8">
      <c r="A242" s="1032" t="str">
        <f>'Rec1000'!A242</f>
        <v>OUTUBRO|19</v>
      </c>
      <c r="B242" s="918">
        <f>geral!Q1397</f>
        <v>340.4</v>
      </c>
      <c r="C242" s="918">
        <f t="shared" ref="C242" si="297">100*B242/$B$8</f>
        <v>441.1040559803032</v>
      </c>
      <c r="D242" s="1036">
        <f t="shared" ref="D242" si="298">100*((B242/B241)-1)</f>
        <v>0</v>
      </c>
      <c r="E242" s="1036">
        <f t="shared" ref="E242" si="299">100*((B242/$B$232)-1)</f>
        <v>3.0266343825665842</v>
      </c>
      <c r="F242" s="1037">
        <f t="shared" ref="F242" si="300">100*((B242/B230)-1)</f>
        <v>3.0266343825665842</v>
      </c>
      <c r="G242" s="1038">
        <f t="shared" ref="G242" si="301">100*(B242/B218-1)</f>
        <v>8.6151882578174863</v>
      </c>
      <c r="H242" s="861">
        <f t="shared" si="121"/>
        <v>1.0571999999999999</v>
      </c>
    </row>
    <row r="243" spans="1:8">
      <c r="A243" s="1032" t="str">
        <f>'Rec1000'!A243</f>
        <v>NOVEMBRO|19</v>
      </c>
      <c r="B243" s="918">
        <f>geral!Q1398</f>
        <v>340.4</v>
      </c>
      <c r="C243" s="918">
        <f t="shared" ref="C243" si="302">100*B243/$B$8</f>
        <v>441.1040559803032</v>
      </c>
      <c r="D243" s="1036">
        <f t="shared" ref="D243" si="303">100*((B243/B242)-1)</f>
        <v>0</v>
      </c>
      <c r="E243" s="1036">
        <f t="shared" ref="E243" si="304">100*((B243/$B$232)-1)</f>
        <v>3.0266343825665842</v>
      </c>
      <c r="F243" s="1037">
        <f t="shared" ref="F243" si="305">100*((B243/B231)-1)</f>
        <v>3.0266343825665842</v>
      </c>
      <c r="G243" s="1038">
        <f t="shared" ref="G243" si="306">100*(B243/B219-1)</f>
        <v>8.6151882578174863</v>
      </c>
      <c r="H243" s="861">
        <f t="shared" si="121"/>
        <v>1.0571999999999999</v>
      </c>
    </row>
    <row r="244" spans="1:8">
      <c r="A244" s="1032" t="str">
        <f>'Rec1000'!A244</f>
        <v>DEZEMBRO|19</v>
      </c>
      <c r="B244" s="918">
        <f>geral!Q1399</f>
        <v>340.4</v>
      </c>
      <c r="C244" s="918">
        <f t="shared" ref="C244" si="307">100*B244/$B$8</f>
        <v>441.1040559803032</v>
      </c>
      <c r="D244" s="1036">
        <f t="shared" ref="D244" si="308">100*((B244/B243)-1)</f>
        <v>0</v>
      </c>
      <c r="E244" s="1036">
        <f t="shared" ref="E244" si="309">100*((B244/$B$232)-1)</f>
        <v>3.0266343825665842</v>
      </c>
      <c r="F244" s="1037">
        <f t="shared" ref="F244" si="310">100*((B244/B232)-1)</f>
        <v>3.0266343825665842</v>
      </c>
      <c r="G244" s="1038">
        <f t="shared" ref="G244" si="311">100*(B244/B220-1)</f>
        <v>8.6151882578174863</v>
      </c>
      <c r="H244" s="861">
        <f t="shared" si="121"/>
        <v>1.0571999999999999</v>
      </c>
    </row>
    <row r="245" spans="1:8">
      <c r="A245" s="1032" t="str">
        <f>'Rec1000'!A245</f>
        <v>JANEIRO|20</v>
      </c>
      <c r="B245" s="918">
        <f>geral!S1388</f>
        <v>340.4</v>
      </c>
      <c r="C245" s="918">
        <f t="shared" ref="C245" si="312">100*B245/$B$8</f>
        <v>441.1040559803032</v>
      </c>
      <c r="D245" s="1036">
        <f t="shared" ref="D245" si="313">100*((B245/B244)-1)</f>
        <v>0</v>
      </c>
      <c r="E245" s="1036">
        <f t="shared" ref="E245:E250" si="314">100*((B245/$B$244)-1)</f>
        <v>0</v>
      </c>
      <c r="F245" s="1037">
        <f t="shared" ref="F245" si="315">100*((B245/B233)-1)</f>
        <v>3.0266343825665842</v>
      </c>
      <c r="G245" s="1038">
        <f t="shared" ref="G245" si="316">100*(B245/B221-1)</f>
        <v>8.6151882578174863</v>
      </c>
      <c r="H245" s="861">
        <f t="shared" si="121"/>
        <v>1.0571999999999999</v>
      </c>
    </row>
    <row r="246" spans="1:8">
      <c r="A246" s="1032" t="str">
        <f>'Rec1000'!A246</f>
        <v>FEVEREIRO|20</v>
      </c>
      <c r="B246" s="918">
        <f>geral!S1389</f>
        <v>359.87087999999994</v>
      </c>
      <c r="C246" s="918">
        <f t="shared" ref="C246" si="317">100*B246/$B$8</f>
        <v>466.33520798237652</v>
      </c>
      <c r="D246" s="1036">
        <f t="shared" ref="D246" si="318">100*((B246/B245)-1)</f>
        <v>5.7199999999999918</v>
      </c>
      <c r="E246" s="1036">
        <f t="shared" si="314"/>
        <v>5.7199999999999918</v>
      </c>
      <c r="F246" s="1037">
        <f t="shared" ref="F246" si="319">100*((B246/B234)-1)</f>
        <v>5.7199999999999918</v>
      </c>
      <c r="G246" s="1038">
        <f t="shared" ref="G246" si="320">100*(B246/B222-1)</f>
        <v>14.827977026164628</v>
      </c>
      <c r="H246" s="861">
        <f t="shared" si="121"/>
        <v>1</v>
      </c>
    </row>
    <row r="247" spans="1:8">
      <c r="A247" s="1032" t="str">
        <f>'Rec1000'!A247</f>
        <v>MARÇO|20</v>
      </c>
      <c r="B247" s="918">
        <f>geral!S1390</f>
        <v>359.87087999999994</v>
      </c>
      <c r="C247" s="918">
        <f t="shared" ref="C247" si="321">100*B247/$B$8</f>
        <v>466.33520798237652</v>
      </c>
      <c r="D247" s="1036">
        <f t="shared" ref="D247" si="322">100*((B247/B246)-1)</f>
        <v>0</v>
      </c>
      <c r="E247" s="1036">
        <f t="shared" si="314"/>
        <v>5.7199999999999918</v>
      </c>
      <c r="F247" s="1037">
        <f t="shared" ref="F247" si="323">100*((B247/B235)-1)</f>
        <v>5.7199999999999918</v>
      </c>
      <c r="G247" s="1038">
        <f t="shared" ref="G247" si="324">100*(B247/B223-1)</f>
        <v>14.827977026164628</v>
      </c>
      <c r="H247" s="861">
        <f t="shared" si="121"/>
        <v>1</v>
      </c>
    </row>
    <row r="248" spans="1:8">
      <c r="A248" s="1032" t="str">
        <f>'Rec1000'!A248</f>
        <v>ABRIL|20</v>
      </c>
      <c r="B248" s="918">
        <f>geral!S1391</f>
        <v>359.87087999999994</v>
      </c>
      <c r="C248" s="918">
        <f t="shared" ref="C248" si="325">100*B248/$B$8</f>
        <v>466.33520798237652</v>
      </c>
      <c r="D248" s="1036">
        <f t="shared" ref="D248" si="326">100*((B248/B247)-1)</f>
        <v>0</v>
      </c>
      <c r="E248" s="1036">
        <f t="shared" si="314"/>
        <v>5.7199999999999918</v>
      </c>
      <c r="F248" s="1037">
        <f t="shared" ref="F248" si="327">100*((B248/B236)-1)</f>
        <v>5.7199999999999918</v>
      </c>
      <c r="G248" s="1038">
        <f t="shared" ref="G248" si="328">100*(B248/B224-1)</f>
        <v>13.113587930221593</v>
      </c>
      <c r="H248" s="861">
        <f t="shared" si="121"/>
        <v>1</v>
      </c>
    </row>
    <row r="249" spans="1:8">
      <c r="A249" s="1032" t="str">
        <f>'Rec1000'!A249</f>
        <v>MAIO|20</v>
      </c>
      <c r="B249" s="918">
        <f>geral!S1392</f>
        <v>359.87087999999994</v>
      </c>
      <c r="C249" s="918">
        <f t="shared" ref="C249" si="329">100*B249/$B$8</f>
        <v>466.33520798237652</v>
      </c>
      <c r="D249" s="1036">
        <f t="shared" ref="D249" si="330">100*((B249/B248)-1)</f>
        <v>0</v>
      </c>
      <c r="E249" s="1036">
        <f t="shared" si="314"/>
        <v>5.7199999999999918</v>
      </c>
      <c r="F249" s="1037">
        <f t="shared" ref="F249" si="331">100*((B249/B237)-1)</f>
        <v>5.7199999999999918</v>
      </c>
      <c r="G249" s="1038">
        <f t="shared" ref="G249" si="332">100*(B249/B225-1)</f>
        <v>13.113587930221593</v>
      </c>
      <c r="H249" s="861">
        <f t="shared" si="121"/>
        <v>1</v>
      </c>
    </row>
    <row r="250" spans="1:8">
      <c r="A250" s="1032" t="str">
        <f>'Rec1000'!A250</f>
        <v>JUNHO|20</v>
      </c>
      <c r="B250" s="918">
        <f>geral!S1393</f>
        <v>359.87087999999994</v>
      </c>
      <c r="C250" s="918">
        <f t="shared" ref="C250" si="333">100*B250/$B$8</f>
        <v>466.33520798237652</v>
      </c>
      <c r="D250" s="1036">
        <f t="shared" ref="D250" si="334">100*((B250/B249)-1)</f>
        <v>0</v>
      </c>
      <c r="E250" s="1036">
        <f t="shared" si="314"/>
        <v>5.7199999999999918</v>
      </c>
      <c r="F250" s="1037">
        <f t="shared" ref="F250" si="335">100*((B250/B238)-1)</f>
        <v>5.7199999999999918</v>
      </c>
      <c r="G250" s="1038">
        <f t="shared" ref="G250" si="336">100*(B250/B226-1)</f>
        <v>11.449637658717871</v>
      </c>
      <c r="H250" s="861">
        <f t="shared" si="121"/>
        <v>1</v>
      </c>
    </row>
    <row r="251" spans="1:8">
      <c r="A251" s="1032" t="str">
        <f>'Rec1000'!A251</f>
        <v>JULHO|20</v>
      </c>
      <c r="B251" s="918">
        <f>geral!S1394</f>
        <v>359.87087999999994</v>
      </c>
      <c r="C251" s="918">
        <f t="shared" ref="C251" si="337">100*B251/$B$8</f>
        <v>466.33520798237652</v>
      </c>
      <c r="D251" s="1036">
        <f t="shared" ref="D251" si="338">100*((B251/B250)-1)</f>
        <v>0</v>
      </c>
      <c r="E251" s="1036">
        <f t="shared" ref="E251" si="339">100*((B251/$B$244)-1)</f>
        <v>5.7199999999999918</v>
      </c>
      <c r="F251" s="1037">
        <f t="shared" ref="F251" si="340">100*((B251/B239)-1)</f>
        <v>5.7199999999999918</v>
      </c>
      <c r="G251" s="1038">
        <f t="shared" ref="G251" si="341">100*(B251/B227-1)</f>
        <v>11.449637658717871</v>
      </c>
      <c r="H251" s="861">
        <f t="shared" si="121"/>
        <v>1</v>
      </c>
    </row>
    <row r="252" spans="1:8">
      <c r="A252" s="1032" t="str">
        <f>'Rec1000'!A252</f>
        <v>AGOSTO|20</v>
      </c>
      <c r="B252" s="918">
        <f>geral!S1395</f>
        <v>359.87087999999994</v>
      </c>
      <c r="C252" s="918">
        <f t="shared" ref="C252" si="342">100*B252/$B$8</f>
        <v>466.33520798237652</v>
      </c>
      <c r="D252" s="1036">
        <f t="shared" ref="D252" si="343">100*((B252/B251)-1)</f>
        <v>0</v>
      </c>
      <c r="E252" s="1036">
        <f t="shared" ref="E252" si="344">100*((B252/$B$244)-1)</f>
        <v>5.7199999999999918</v>
      </c>
      <c r="F252" s="1037">
        <f t="shared" ref="F252" si="345">100*((B252/B240)-1)</f>
        <v>5.7199999999999918</v>
      </c>
      <c r="G252" s="1038">
        <f t="shared" ref="G252" si="346">100*(B252/B228-1)</f>
        <v>11.449637658717871</v>
      </c>
      <c r="H252" s="926">
        <f t="shared" si="121"/>
        <v>1</v>
      </c>
    </row>
    <row r="253" spans="1:8" ht="16.5" thickBot="1">
      <c r="A253" s="1046" t="str">
        <f>'Rec1000'!A253</f>
        <v>SETEMBRO|20</v>
      </c>
      <c r="B253" s="1047">
        <f>geral!S1396</f>
        <v>359.87087999999994</v>
      </c>
      <c r="C253" s="1047">
        <f t="shared" ref="C253" si="347">100*B253/$B$8</f>
        <v>466.33520798237652</v>
      </c>
      <c r="D253" s="1048">
        <f t="shared" ref="D253" si="348">100*((B253/B252)-1)</f>
        <v>0</v>
      </c>
      <c r="E253" s="1048">
        <f t="shared" ref="E253" si="349">100*((B253/$B$244)-1)</f>
        <v>5.7199999999999918</v>
      </c>
      <c r="F253" s="1051">
        <f t="shared" ref="F253" si="350">100*((B253/B241)-1)</f>
        <v>5.7199999999999918</v>
      </c>
      <c r="G253" s="1052">
        <f t="shared" ref="G253" si="351">100*(B253/B229-1)</f>
        <v>11.449637658717871</v>
      </c>
      <c r="H253" s="1053">
        <f t="shared" si="121"/>
        <v>1</v>
      </c>
    </row>
    <row r="254" spans="1:8" ht="15" customHeight="1">
      <c r="A254" s="758" t="s">
        <v>238</v>
      </c>
    </row>
  </sheetData>
  <mergeCells count="7">
    <mergeCell ref="D5:G5"/>
    <mergeCell ref="H5:H6"/>
    <mergeCell ref="A7:B7"/>
    <mergeCell ref="D4:H4"/>
    <mergeCell ref="C1:H3"/>
    <mergeCell ref="A4:C4"/>
    <mergeCell ref="A5:C5"/>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rowBreaks count="1" manualBreakCount="1">
    <brk id="254" max="7"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34">
    <pageSetUpPr fitToPage="1"/>
  </sheetPr>
  <dimension ref="A1:J323"/>
  <sheetViews>
    <sheetView showGridLines="0" zoomScaleNormal="100" workbookViewId="0">
      <pane ySplit="2595" topLeftCell="A310" activePane="bottomLeft"/>
      <selection activeCell="H301" sqref="H7:H301"/>
      <selection pane="bottomLeft" activeCell="B322" sqref="B322"/>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72" t="s">
        <v>372</v>
      </c>
      <c r="B4" s="1466"/>
      <c r="C4" s="1467"/>
      <c r="D4" s="1432" t="s">
        <v>359</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771" t="s">
        <v>341</v>
      </c>
      <c r="B6" s="772" t="s">
        <v>76</v>
      </c>
      <c r="C6" s="772" t="s">
        <v>68</v>
      </c>
      <c r="D6" s="772" t="s">
        <v>342</v>
      </c>
      <c r="E6" s="772" t="s">
        <v>343</v>
      </c>
      <c r="F6" s="772" t="s">
        <v>344</v>
      </c>
      <c r="G6" s="772" t="s">
        <v>345</v>
      </c>
      <c r="H6" s="1428"/>
    </row>
    <row r="7" spans="1:8" ht="15.75" customHeight="1" thickBot="1">
      <c r="A7" s="1419" t="s">
        <v>347</v>
      </c>
      <c r="B7" s="1420"/>
      <c r="C7" s="952"/>
      <c r="D7" s="952"/>
      <c r="E7" s="952"/>
      <c r="F7" s="952"/>
      <c r="G7" s="952"/>
      <c r="H7" s="953" t="s">
        <v>360</v>
      </c>
    </row>
    <row r="8" spans="1:8" ht="16.5" hidden="1" thickBot="1">
      <c r="A8" s="972" t="s">
        <v>637</v>
      </c>
      <c r="B8" s="987">
        <f>+geral!C861</f>
        <v>55</v>
      </c>
      <c r="C8" s="826">
        <v>100</v>
      </c>
      <c r="D8" s="827"/>
      <c r="E8" s="827"/>
      <c r="F8" s="828"/>
      <c r="G8" s="850"/>
      <c r="H8" s="851">
        <f>$B$322/B8</f>
        <v>6.1094123413480794</v>
      </c>
    </row>
    <row r="9" spans="1:8" ht="16.5" hidden="1" thickBot="1">
      <c r="A9" s="973" t="s">
        <v>638</v>
      </c>
      <c r="B9" s="748">
        <f>+geral!C862</f>
        <v>62.97</v>
      </c>
      <c r="C9" s="748">
        <f>100*B9/$B$8</f>
        <v>114.49090909090908</v>
      </c>
      <c r="D9" s="750">
        <f>100*((B9/B8)-1)</f>
        <v>14.490909090909089</v>
      </c>
      <c r="E9" s="750"/>
      <c r="F9" s="751"/>
      <c r="G9" s="840"/>
      <c r="H9" s="842">
        <f>$B$322/B9</f>
        <v>5.3361549749745016</v>
      </c>
    </row>
    <row r="10" spans="1:8" ht="16.5" hidden="1" thickBot="1">
      <c r="A10" s="973" t="s">
        <v>639</v>
      </c>
      <c r="B10" s="748">
        <f>+geral!C863</f>
        <v>58.02</v>
      </c>
      <c r="C10" s="748">
        <f t="shared" ref="C10:C73" si="0">100*B10/$B$8</f>
        <v>105.49090909090908</v>
      </c>
      <c r="D10" s="750">
        <f t="shared" ref="D10:D73" si="1">100*((B10/B9)-1)</f>
        <v>-7.8608861362553517</v>
      </c>
      <c r="E10" s="750"/>
      <c r="F10" s="751"/>
      <c r="G10" s="840"/>
      <c r="H10" s="842">
        <f>$B$322/B10</f>
        <v>5.7914112163761526</v>
      </c>
    </row>
    <row r="11" spans="1:8" ht="16.5" hidden="1" thickBot="1">
      <c r="A11" s="973" t="s">
        <v>640</v>
      </c>
      <c r="B11" s="748">
        <f>+geral!C864</f>
        <v>67.819999999999993</v>
      </c>
      <c r="C11" s="748">
        <f t="shared" si="0"/>
        <v>123.3090909090909</v>
      </c>
      <c r="D11" s="750">
        <f t="shared" si="1"/>
        <v>16.890727335401579</v>
      </c>
      <c r="E11" s="750"/>
      <c r="F11" s="751"/>
      <c r="G11" s="840"/>
      <c r="H11" s="842">
        <f>$B$322/B11</f>
        <v>4.9545514416712537</v>
      </c>
    </row>
    <row r="12" spans="1:8" ht="16.5" hidden="1" thickBot="1">
      <c r="A12" s="973" t="s">
        <v>641</v>
      </c>
      <c r="B12" s="748">
        <f>+geral!C865</f>
        <v>73.45</v>
      </c>
      <c r="C12" s="748">
        <f t="shared" si="0"/>
        <v>133.54545454545453</v>
      </c>
      <c r="D12" s="750">
        <f t="shared" si="1"/>
        <v>8.3013860218224877</v>
      </c>
      <c r="E12" s="750"/>
      <c r="F12" s="751"/>
      <c r="G12" s="840"/>
      <c r="H12" s="842">
        <f>$B$322/B12</f>
        <v>4.5747811950189838</v>
      </c>
    </row>
    <row r="13" spans="1:8" ht="16.5" hidden="1" thickBot="1">
      <c r="A13" s="973" t="s">
        <v>642</v>
      </c>
      <c r="B13" s="748">
        <f>+geral!C866</f>
        <v>82.73</v>
      </c>
      <c r="C13" s="748">
        <f t="shared" si="0"/>
        <v>150.41818181818181</v>
      </c>
      <c r="D13" s="750">
        <f t="shared" si="1"/>
        <v>12.634445200816891</v>
      </c>
      <c r="E13" s="750"/>
      <c r="F13" s="751"/>
      <c r="G13" s="840"/>
      <c r="H13" s="842">
        <f>$B$322/B13</f>
        <v>4.0616182615030141</v>
      </c>
    </row>
    <row r="14" spans="1:8" ht="16.5" hidden="1" thickBot="1">
      <c r="A14" s="973" t="s">
        <v>625</v>
      </c>
      <c r="B14" s="748">
        <f>+geral!E855</f>
        <v>71.599999999999994</v>
      </c>
      <c r="C14" s="748">
        <f t="shared" si="0"/>
        <v>130.18181818181816</v>
      </c>
      <c r="D14" s="750">
        <f t="shared" si="1"/>
        <v>-13.453402635077971</v>
      </c>
      <c r="E14" s="750">
        <f t="shared" ref="E14:E25" si="2">100*((B14/$B$13)-1)</f>
        <v>-13.453402635077971</v>
      </c>
      <c r="F14" s="751"/>
      <c r="G14" s="840"/>
      <c r="H14" s="842">
        <f>$B$322/B14</f>
        <v>4.6929843404210114</v>
      </c>
    </row>
    <row r="15" spans="1:8" ht="16.5" hidden="1" thickBot="1">
      <c r="A15" s="973" t="s">
        <v>626</v>
      </c>
      <c r="B15" s="748">
        <f>+geral!E856</f>
        <v>77.23</v>
      </c>
      <c r="C15" s="748">
        <f t="shared" si="0"/>
        <v>140.41818181818181</v>
      </c>
      <c r="D15" s="750">
        <f t="shared" si="1"/>
        <v>7.8631284916201194</v>
      </c>
      <c r="E15" s="750">
        <f t="shared" si="2"/>
        <v>-6.6481324791490382</v>
      </c>
      <c r="F15" s="751"/>
      <c r="G15" s="840"/>
      <c r="H15" s="842">
        <f>$B$322/B15</f>
        <v>4.350869853349014</v>
      </c>
    </row>
    <row r="16" spans="1:8" ht="16.5" hidden="1" thickBot="1">
      <c r="A16" s="973" t="s">
        <v>627</v>
      </c>
      <c r="B16" s="748">
        <f>+geral!E857</f>
        <v>79.599999999999994</v>
      </c>
      <c r="C16" s="748">
        <f t="shared" si="0"/>
        <v>144.72727272727272</v>
      </c>
      <c r="D16" s="750">
        <f t="shared" si="1"/>
        <v>3.0687556648970382</v>
      </c>
      <c r="E16" s="750">
        <f t="shared" si="2"/>
        <v>-3.7833917563157349</v>
      </c>
      <c r="F16" s="751"/>
      <c r="G16" s="840"/>
      <c r="H16" s="842">
        <f>$B$322/B16</f>
        <v>4.221327622790759</v>
      </c>
    </row>
    <row r="17" spans="1:8" ht="16.5" hidden="1" thickBot="1">
      <c r="A17" s="973" t="s">
        <v>628</v>
      </c>
      <c r="B17" s="748">
        <f>+geral!E858</f>
        <v>94.7</v>
      </c>
      <c r="C17" s="748">
        <f t="shared" si="0"/>
        <v>172.18181818181819</v>
      </c>
      <c r="D17" s="750">
        <f t="shared" si="1"/>
        <v>18.969849246231174</v>
      </c>
      <c r="E17" s="750">
        <f t="shared" si="2"/>
        <v>14.468753777347999</v>
      </c>
      <c r="F17" s="751"/>
      <c r="G17" s="840"/>
      <c r="H17" s="842">
        <f>$B$322/B17</f>
        <v>3.5482331443943438</v>
      </c>
    </row>
    <row r="18" spans="1:8" ht="16.5" hidden="1" thickBot="1">
      <c r="A18" s="973" t="s">
        <v>629</v>
      </c>
      <c r="B18" s="748">
        <f>+geral!E859</f>
        <v>77.5</v>
      </c>
      <c r="C18" s="748">
        <f t="shared" si="0"/>
        <v>140.90909090909091</v>
      </c>
      <c r="D18" s="750">
        <f t="shared" si="1"/>
        <v>-18.162618796198526</v>
      </c>
      <c r="E18" s="750">
        <f t="shared" si="2"/>
        <v>-6.3217696119908133</v>
      </c>
      <c r="F18" s="751"/>
      <c r="G18" s="840"/>
      <c r="H18" s="842">
        <f>$B$322/B18</f>
        <v>4.3357119841825078</v>
      </c>
    </row>
    <row r="19" spans="1:8" ht="16.5" hidden="1" thickBot="1">
      <c r="A19" s="973" t="s">
        <v>630</v>
      </c>
      <c r="B19" s="748">
        <f>+geral!E860</f>
        <v>72</v>
      </c>
      <c r="C19" s="748">
        <f t="shared" si="0"/>
        <v>130.90909090909091</v>
      </c>
      <c r="D19" s="750">
        <f t="shared" si="1"/>
        <v>-7.0967741935483826</v>
      </c>
      <c r="E19" s="750">
        <f t="shared" si="2"/>
        <v>-12.969902091139861</v>
      </c>
      <c r="F19" s="751"/>
      <c r="G19" s="840"/>
      <c r="H19" s="842">
        <f>$B$322/B19</f>
        <v>4.66691220519645</v>
      </c>
    </row>
    <row r="20" spans="1:8" ht="16.5" hidden="1" thickBot="1">
      <c r="A20" s="973" t="s">
        <v>631</v>
      </c>
      <c r="B20" s="748">
        <f>+geral!E861</f>
        <v>74.75</v>
      </c>
      <c r="C20" s="748">
        <f t="shared" si="0"/>
        <v>135.90909090909091</v>
      </c>
      <c r="D20" s="750">
        <f t="shared" si="1"/>
        <v>3.819444444444442</v>
      </c>
      <c r="E20" s="750">
        <f t="shared" si="2"/>
        <v>-9.645835851565332</v>
      </c>
      <c r="F20" s="751">
        <f>100*((B20/B8)-1)</f>
        <v>35.909090909090914</v>
      </c>
      <c r="G20" s="840"/>
      <c r="H20" s="842">
        <f>$B$322/B20</f>
        <v>4.4952197829316969</v>
      </c>
    </row>
    <row r="21" spans="1:8" ht="16.5" hidden="1" thickBot="1">
      <c r="A21" s="973" t="s">
        <v>632</v>
      </c>
      <c r="B21" s="748">
        <f>+geral!E862</f>
        <v>100.2</v>
      </c>
      <c r="C21" s="748">
        <f t="shared" si="0"/>
        <v>182.18181818181819</v>
      </c>
      <c r="D21" s="750">
        <f t="shared" si="1"/>
        <v>34.046822742474923</v>
      </c>
      <c r="E21" s="750">
        <f t="shared" si="2"/>
        <v>21.116886256497036</v>
      </c>
      <c r="F21" s="751">
        <f t="shared" ref="F21:F84" si="3">100*((B21/B9)-1)</f>
        <v>59.123392091472127</v>
      </c>
      <c r="G21" s="840"/>
      <c r="H21" s="842">
        <f>$B$322/B21</f>
        <v>3.3534698480453531</v>
      </c>
    </row>
    <row r="22" spans="1:8" ht="16.5" hidden="1" thickBot="1">
      <c r="A22" s="973" t="s">
        <v>633</v>
      </c>
      <c r="B22" s="748">
        <f>+geral!E863</f>
        <v>80.08</v>
      </c>
      <c r="C22" s="748">
        <f t="shared" si="0"/>
        <v>145.6</v>
      </c>
      <c r="D22" s="750">
        <f t="shared" si="1"/>
        <v>-20.079840319361285</v>
      </c>
      <c r="E22" s="750">
        <f t="shared" si="2"/>
        <v>-3.2031911035899974</v>
      </c>
      <c r="F22" s="751">
        <f t="shared" si="3"/>
        <v>38.02137194071009</v>
      </c>
      <c r="G22" s="840"/>
      <c r="H22" s="842">
        <f>$B$322/B22</f>
        <v>4.1960249597170876</v>
      </c>
    </row>
    <row r="23" spans="1:8" ht="16.5" hidden="1" thickBot="1">
      <c r="A23" s="973" t="s">
        <v>634</v>
      </c>
      <c r="B23" s="748">
        <f>+geral!E864</f>
        <v>105</v>
      </c>
      <c r="C23" s="748">
        <f t="shared" si="0"/>
        <v>190.90909090909091</v>
      </c>
      <c r="D23" s="750">
        <f t="shared" si="1"/>
        <v>31.118881118881127</v>
      </c>
      <c r="E23" s="750">
        <f t="shared" si="2"/>
        <v>26.918892783754366</v>
      </c>
      <c r="F23" s="751">
        <f t="shared" si="3"/>
        <v>54.82158655263936</v>
      </c>
      <c r="G23" s="840"/>
      <c r="H23" s="842">
        <f>$B$322/B23</f>
        <v>3.2001683692775655</v>
      </c>
    </row>
    <row r="24" spans="1:8" ht="16.5" hidden="1" thickBot="1">
      <c r="A24" s="973" t="s">
        <v>635</v>
      </c>
      <c r="B24" s="748">
        <f>+geral!E865</f>
        <v>84.58</v>
      </c>
      <c r="C24" s="748">
        <f t="shared" si="0"/>
        <v>153.78181818181818</v>
      </c>
      <c r="D24" s="750">
        <f t="shared" si="1"/>
        <v>-19.447619047619046</v>
      </c>
      <c r="E24" s="750">
        <f t="shared" si="2"/>
        <v>2.2361900157137571</v>
      </c>
      <c r="F24" s="751">
        <f t="shared" si="3"/>
        <v>15.153165418652147</v>
      </c>
      <c r="G24" s="840"/>
      <c r="H24" s="842">
        <f>$B$322/B24</f>
        <v>3.9727793659747501</v>
      </c>
    </row>
    <row r="25" spans="1:8" ht="16.5" hidden="1" thickBot="1">
      <c r="A25" s="973" t="s">
        <v>636</v>
      </c>
      <c r="B25" s="748">
        <f>+geral!E866</f>
        <v>102.83</v>
      </c>
      <c r="C25" s="748">
        <f t="shared" si="0"/>
        <v>186.96363636363637</v>
      </c>
      <c r="D25" s="750">
        <f t="shared" si="1"/>
        <v>21.57720501300544</v>
      </c>
      <c r="E25" s="750">
        <f t="shared" si="2"/>
        <v>24.295902332890119</v>
      </c>
      <c r="F25" s="751">
        <f t="shared" si="3"/>
        <v>24.295902332890119</v>
      </c>
      <c r="G25" s="840"/>
      <c r="H25" s="842">
        <f>$B$322/B25</f>
        <v>3.2677008535849885</v>
      </c>
    </row>
    <row r="26" spans="1:8" ht="16.5" hidden="1" thickBot="1">
      <c r="A26" s="973" t="s">
        <v>613</v>
      </c>
      <c r="B26" s="748">
        <f>+geral!G855</f>
        <v>95.7</v>
      </c>
      <c r="C26" s="748">
        <f t="shared" si="0"/>
        <v>174</v>
      </c>
      <c r="D26" s="750">
        <f t="shared" si="1"/>
        <v>-6.9337741904113575</v>
      </c>
      <c r="E26" s="750">
        <f>100*((B26/$B$25)-1)</f>
        <v>-6.9337741904113575</v>
      </c>
      <c r="F26" s="751">
        <f t="shared" si="3"/>
        <v>33.659217877094981</v>
      </c>
      <c r="G26" s="840"/>
      <c r="H26" s="842">
        <f>$B$322/B26</f>
        <v>3.5111565180161377</v>
      </c>
    </row>
    <row r="27" spans="1:8" ht="16.5" hidden="1" thickBot="1">
      <c r="A27" s="973" t="s">
        <v>614</v>
      </c>
      <c r="B27" s="748">
        <f>+geral!G856</f>
        <v>79.33</v>
      </c>
      <c r="C27" s="748">
        <f t="shared" si="0"/>
        <v>144.23636363636365</v>
      </c>
      <c r="D27" s="750">
        <f t="shared" si="1"/>
        <v>-17.105538140020904</v>
      </c>
      <c r="E27" s="750">
        <f t="shared" ref="E27:E37" si="4">100*((B27/$B$25)-1)</f>
        <v>-22.853252941748515</v>
      </c>
      <c r="F27" s="751">
        <f t="shared" si="3"/>
        <v>2.7191505891492884</v>
      </c>
      <c r="G27" s="840"/>
      <c r="H27" s="842">
        <f>$B$322/B27</f>
        <v>4.2356949297131523</v>
      </c>
    </row>
    <row r="28" spans="1:8" ht="16.5" hidden="1" thickBot="1">
      <c r="A28" s="973" t="s">
        <v>615</v>
      </c>
      <c r="B28" s="748">
        <f>+geral!G857</f>
        <v>90.8</v>
      </c>
      <c r="C28" s="748">
        <f t="shared" si="0"/>
        <v>165.09090909090909</v>
      </c>
      <c r="D28" s="750">
        <f t="shared" si="1"/>
        <v>14.458590697088102</v>
      </c>
      <c r="E28" s="750">
        <f t="shared" si="4"/>
        <v>-11.698920548478075</v>
      </c>
      <c r="F28" s="751">
        <f t="shared" si="3"/>
        <v>14.070351758793965</v>
      </c>
      <c r="G28" s="840"/>
      <c r="H28" s="842">
        <f>$B$322/B28</f>
        <v>3.7006352287901363</v>
      </c>
    </row>
    <row r="29" spans="1:8" ht="16.5" hidden="1" thickBot="1">
      <c r="A29" s="973" t="s">
        <v>616</v>
      </c>
      <c r="B29" s="748">
        <f>+geral!G858</f>
        <v>90.13</v>
      </c>
      <c r="C29" s="748">
        <f t="shared" si="0"/>
        <v>163.87272727272727</v>
      </c>
      <c r="D29" s="750">
        <f t="shared" si="1"/>
        <v>-0.73788546255506571</v>
      </c>
      <c r="E29" s="750">
        <f t="shared" si="4"/>
        <v>-12.350481377030054</v>
      </c>
      <c r="F29" s="751">
        <f t="shared" si="3"/>
        <v>-4.8257655755015954</v>
      </c>
      <c r="G29" s="840"/>
      <c r="H29" s="842">
        <f>$B$322/B29</f>
        <v>3.7281446663058291</v>
      </c>
    </row>
    <row r="30" spans="1:8" ht="16.5" hidden="1" thickBot="1">
      <c r="A30" s="973" t="s">
        <v>617</v>
      </c>
      <c r="B30" s="748">
        <f>+geral!G859</f>
        <v>94.8</v>
      </c>
      <c r="C30" s="748">
        <f t="shared" si="0"/>
        <v>172.36363636363637</v>
      </c>
      <c r="D30" s="750">
        <f t="shared" si="1"/>
        <v>5.1814046377454792</v>
      </c>
      <c r="E30" s="750">
        <f t="shared" si="4"/>
        <v>-7.8090051541378935</v>
      </c>
      <c r="F30" s="751">
        <f t="shared" si="3"/>
        <v>22.322580645161281</v>
      </c>
      <c r="G30" s="840"/>
      <c r="H30" s="842">
        <f>$B$322/B30</f>
        <v>3.5444902824276832</v>
      </c>
    </row>
    <row r="31" spans="1:8" ht="16.5" hidden="1" thickBot="1">
      <c r="A31" s="973" t="s">
        <v>618</v>
      </c>
      <c r="B31" s="748">
        <f>+geral!G860</f>
        <v>86.83</v>
      </c>
      <c r="C31" s="748">
        <f t="shared" si="0"/>
        <v>157.87272727272727</v>
      </c>
      <c r="D31" s="750">
        <f t="shared" si="1"/>
        <v>-8.4071729957805879</v>
      </c>
      <c r="E31" s="750">
        <f t="shared" si="4"/>
        <v>-15.559661577360695</v>
      </c>
      <c r="F31" s="751">
        <f t="shared" si="3"/>
        <v>20.597222222222221</v>
      </c>
      <c r="G31" s="840"/>
      <c r="H31" s="842">
        <f>$B$322/B31</f>
        <v>3.869833914247891</v>
      </c>
    </row>
    <row r="32" spans="1:8" ht="16.5" hidden="1" thickBot="1">
      <c r="A32" s="973" t="s">
        <v>619</v>
      </c>
      <c r="B32" s="748">
        <f>+geral!G861</f>
        <v>95.92</v>
      </c>
      <c r="C32" s="748">
        <f t="shared" si="0"/>
        <v>174.4</v>
      </c>
      <c r="D32" s="750">
        <f t="shared" si="1"/>
        <v>10.468732005067372</v>
      </c>
      <c r="E32" s="750">
        <f t="shared" si="4"/>
        <v>-6.7198288437226417</v>
      </c>
      <c r="F32" s="751">
        <f t="shared" si="3"/>
        <v>28.321070234113719</v>
      </c>
      <c r="G32" s="840">
        <f>100*(B32/B8-1)</f>
        <v>74.400000000000006</v>
      </c>
      <c r="H32" s="842">
        <f>$B$322/B32</f>
        <v>3.5031034067362841</v>
      </c>
    </row>
    <row r="33" spans="1:8" ht="16.5" hidden="1" thickBot="1">
      <c r="A33" s="973" t="s">
        <v>620</v>
      </c>
      <c r="B33" s="748">
        <f>+geral!G862</f>
        <v>106</v>
      </c>
      <c r="C33" s="748">
        <f t="shared" si="0"/>
        <v>192.72727272727272</v>
      </c>
      <c r="D33" s="750">
        <f t="shared" si="1"/>
        <v>10.508757297748117</v>
      </c>
      <c r="E33" s="750">
        <f t="shared" si="4"/>
        <v>3.0827579500145808</v>
      </c>
      <c r="F33" s="751">
        <f t="shared" si="3"/>
        <v>5.7884231536926123</v>
      </c>
      <c r="G33" s="840">
        <f t="shared" ref="G33:G96" si="5">100*(B33/B9-1)</f>
        <v>68.334127362235989</v>
      </c>
      <c r="H33" s="842">
        <f>$B$322/B33</f>
        <v>3.1699781016428714</v>
      </c>
    </row>
    <row r="34" spans="1:8" ht="16.5" hidden="1" thickBot="1">
      <c r="A34" s="973" t="s">
        <v>621</v>
      </c>
      <c r="B34" s="748">
        <f>+geral!G863</f>
        <v>96.67</v>
      </c>
      <c r="C34" s="748">
        <f t="shared" si="0"/>
        <v>175.76363636363635</v>
      </c>
      <c r="D34" s="750">
        <f t="shared" si="1"/>
        <v>-8.8018867924528283</v>
      </c>
      <c r="E34" s="750">
        <f t="shared" si="4"/>
        <v>-5.9904697072838626</v>
      </c>
      <c r="F34" s="751">
        <f t="shared" si="3"/>
        <v>20.716783216783231</v>
      </c>
      <c r="G34" s="840">
        <f t="shared" si="5"/>
        <v>66.614960358497058</v>
      </c>
      <c r="H34" s="842">
        <f>$B$322/B34</f>
        <v>3.4759250933499986</v>
      </c>
    </row>
    <row r="35" spans="1:8" ht="16.5" hidden="1" thickBot="1">
      <c r="A35" s="973" t="s">
        <v>622</v>
      </c>
      <c r="B35" s="748">
        <f>+geral!G864</f>
        <v>101.83</v>
      </c>
      <c r="C35" s="748">
        <f t="shared" si="0"/>
        <v>185.14545454545456</v>
      </c>
      <c r="D35" s="750">
        <f t="shared" si="1"/>
        <v>5.3377469742422745</v>
      </c>
      <c r="E35" s="750">
        <f t="shared" si="4"/>
        <v>-0.97247884858504552</v>
      </c>
      <c r="F35" s="751">
        <f t="shared" si="3"/>
        <v>-3.0190476190476212</v>
      </c>
      <c r="G35" s="840">
        <f t="shared" si="5"/>
        <v>50.147449130050134</v>
      </c>
      <c r="H35" s="842">
        <f>$B$322/B35</f>
        <v>3.2997906194063082</v>
      </c>
    </row>
    <row r="36" spans="1:8" ht="16.5" hidden="1" thickBot="1">
      <c r="A36" s="973" t="s">
        <v>623</v>
      </c>
      <c r="B36" s="748">
        <f>+geral!G865</f>
        <v>112.2</v>
      </c>
      <c r="C36" s="748">
        <f t="shared" si="0"/>
        <v>204</v>
      </c>
      <c r="D36" s="750">
        <f t="shared" si="1"/>
        <v>10.183639398998334</v>
      </c>
      <c r="E36" s="750">
        <f t="shared" si="4"/>
        <v>9.1121268112418505</v>
      </c>
      <c r="F36" s="751">
        <f t="shared" si="3"/>
        <v>32.655474107353989</v>
      </c>
      <c r="G36" s="840">
        <f t="shared" si="5"/>
        <v>52.756977535738599</v>
      </c>
      <c r="H36" s="842">
        <f>$B$322/B36</f>
        <v>2.9948099712490586</v>
      </c>
    </row>
    <row r="37" spans="1:8" ht="16.5" hidden="1" thickBot="1">
      <c r="A37" s="973" t="s">
        <v>624</v>
      </c>
      <c r="B37" s="748">
        <f>+geral!G866</f>
        <v>80.25</v>
      </c>
      <c r="C37" s="748">
        <f t="shared" si="0"/>
        <v>145.90909090909091</v>
      </c>
      <c r="D37" s="750">
        <f t="shared" si="1"/>
        <v>-28.475935828877009</v>
      </c>
      <c r="E37" s="750">
        <f t="shared" si="4"/>
        <v>-21.958572401050279</v>
      </c>
      <c r="F37" s="751">
        <f t="shared" si="3"/>
        <v>-21.958572401050279</v>
      </c>
      <c r="G37" s="840">
        <f t="shared" si="5"/>
        <v>-2.9977033724162938</v>
      </c>
      <c r="H37" s="842">
        <f>$B$322/B37</f>
        <v>4.1871361841014876</v>
      </c>
    </row>
    <row r="38" spans="1:8" ht="16.5" hidden="1" thickBot="1">
      <c r="A38" s="973" t="s">
        <v>601</v>
      </c>
      <c r="B38" s="748">
        <f>+geral!I855</f>
        <v>105.83</v>
      </c>
      <c r="C38" s="748">
        <f t="shared" si="0"/>
        <v>192.41818181818181</v>
      </c>
      <c r="D38" s="750">
        <f t="shared" si="1"/>
        <v>31.875389408099686</v>
      </c>
      <c r="E38" s="750">
        <f>100*((B38/$B$37)-1)</f>
        <v>31.875389408099686</v>
      </c>
      <c r="F38" s="751">
        <f t="shared" si="3"/>
        <v>10.585161964472301</v>
      </c>
      <c r="G38" s="840">
        <f t="shared" si="5"/>
        <v>47.80726256983241</v>
      </c>
      <c r="H38" s="842">
        <f>$B$322/B38</f>
        <v>3.175070195352399</v>
      </c>
    </row>
    <row r="39" spans="1:8" ht="16.5" hidden="1" thickBot="1">
      <c r="A39" s="973" t="s">
        <v>602</v>
      </c>
      <c r="B39" s="748">
        <f>+geral!I856</f>
        <v>97.13</v>
      </c>
      <c r="C39" s="748">
        <f t="shared" si="0"/>
        <v>176.6</v>
      </c>
      <c r="D39" s="750">
        <f t="shared" si="1"/>
        <v>-8.2207313616176947</v>
      </c>
      <c r="E39" s="750">
        <f>100*((B39/$B$37)-1)</f>
        <v>21.034267912772584</v>
      </c>
      <c r="F39" s="751">
        <f t="shared" si="3"/>
        <v>22.437917559561328</v>
      </c>
      <c r="G39" s="840">
        <f t="shared" si="5"/>
        <v>25.767188916224249</v>
      </c>
      <c r="H39" s="842">
        <f>$B$322/B39</f>
        <v>3.4594633869468177</v>
      </c>
    </row>
    <row r="40" spans="1:8" ht="16.5" hidden="1" thickBot="1">
      <c r="A40" s="973" t="s">
        <v>603</v>
      </c>
      <c r="B40" s="748">
        <f>+geral!I857</f>
        <v>100.33</v>
      </c>
      <c r="C40" s="748">
        <f t="shared" si="0"/>
        <v>182.41818181818181</v>
      </c>
      <c r="D40" s="750">
        <f t="shared" si="1"/>
        <v>3.2945536909296802</v>
      </c>
      <c r="E40" s="750">
        <f>100*((B40/$B$37)-1)</f>
        <v>25.02180685358255</v>
      </c>
      <c r="F40" s="751">
        <f t="shared" si="3"/>
        <v>10.495594713656399</v>
      </c>
      <c r="G40" s="840">
        <f t="shared" si="5"/>
        <v>26.042713567839204</v>
      </c>
      <c r="H40" s="842">
        <f>$B$322/B40</f>
        <v>3.3491246763096219</v>
      </c>
    </row>
    <row r="41" spans="1:8" ht="16.5" hidden="1" thickBot="1">
      <c r="A41" s="973" t="s">
        <v>604</v>
      </c>
      <c r="B41" s="748">
        <f>+geral!I858</f>
        <v>103.25</v>
      </c>
      <c r="C41" s="748">
        <f t="shared" si="0"/>
        <v>187.72727272727272</v>
      </c>
      <c r="D41" s="750">
        <f t="shared" si="1"/>
        <v>2.9103956942091225</v>
      </c>
      <c r="E41" s="750">
        <f t="shared" ref="E41:E49" si="6">100*((B41/$B$37)-1)</f>
        <v>28.660436137071656</v>
      </c>
      <c r="F41" s="751">
        <f t="shared" si="3"/>
        <v>14.556751359147913</v>
      </c>
      <c r="G41" s="840">
        <f t="shared" si="5"/>
        <v>9.0285110876451959</v>
      </c>
      <c r="H41" s="842">
        <f>$B$322/B41</f>
        <v>3.2544085111297276</v>
      </c>
    </row>
    <row r="42" spans="1:8" ht="16.5" hidden="1" thickBot="1">
      <c r="A42" s="973" t="s">
        <v>605</v>
      </c>
      <c r="B42" s="748">
        <f>+geral!I859</f>
        <v>93</v>
      </c>
      <c r="C42" s="748">
        <f t="shared" si="0"/>
        <v>169.09090909090909</v>
      </c>
      <c r="D42" s="750">
        <f t="shared" si="1"/>
        <v>-9.9273607748184052</v>
      </c>
      <c r="E42" s="750">
        <f t="shared" si="6"/>
        <v>15.887850467289709</v>
      </c>
      <c r="F42" s="751">
        <f t="shared" si="3"/>
        <v>-1.8987341772151889</v>
      </c>
      <c r="G42" s="840">
        <f t="shared" si="5"/>
        <v>19.999999999999996</v>
      </c>
      <c r="H42" s="842">
        <f>$B$322/B42</f>
        <v>3.6130933201520898</v>
      </c>
    </row>
    <row r="43" spans="1:8" ht="16.5" hidden="1" thickBot="1">
      <c r="A43" s="973" t="s">
        <v>606</v>
      </c>
      <c r="B43" s="748">
        <f>+geral!I860</f>
        <v>105</v>
      </c>
      <c r="C43" s="748">
        <f t="shared" si="0"/>
        <v>190.90909090909091</v>
      </c>
      <c r="D43" s="750">
        <f t="shared" si="1"/>
        <v>12.903225806451623</v>
      </c>
      <c r="E43" s="750">
        <f t="shared" si="6"/>
        <v>30.841121495327094</v>
      </c>
      <c r="F43" s="751">
        <f t="shared" si="3"/>
        <v>20.925947253253497</v>
      </c>
      <c r="G43" s="840">
        <f t="shared" si="5"/>
        <v>45.833333333333329</v>
      </c>
      <c r="H43" s="842">
        <f>$B$322/B43</f>
        <v>3.2001683692775655</v>
      </c>
    </row>
    <row r="44" spans="1:8" ht="16.5" hidden="1" thickBot="1">
      <c r="A44" s="973" t="s">
        <v>607</v>
      </c>
      <c r="B44" s="748">
        <f>+geral!I861</f>
        <v>100.8</v>
      </c>
      <c r="C44" s="748">
        <f t="shared" si="0"/>
        <v>183.27272727272728</v>
      </c>
      <c r="D44" s="750">
        <f t="shared" si="1"/>
        <v>-4.0000000000000036</v>
      </c>
      <c r="E44" s="750">
        <f t="shared" si="6"/>
        <v>25.607476635514015</v>
      </c>
      <c r="F44" s="751">
        <f t="shared" si="3"/>
        <v>5.0875729774812362</v>
      </c>
      <c r="G44" s="840">
        <f t="shared" si="5"/>
        <v>34.849498327759186</v>
      </c>
      <c r="H44" s="842">
        <f>$B$322/B44</f>
        <v>3.3335087179974643</v>
      </c>
    </row>
    <row r="45" spans="1:8" ht="16.5" hidden="1" thickBot="1">
      <c r="A45" s="973" t="s">
        <v>608</v>
      </c>
      <c r="B45" s="748">
        <f>+geral!I862</f>
        <v>96.8</v>
      </c>
      <c r="C45" s="748">
        <f t="shared" si="0"/>
        <v>176</v>
      </c>
      <c r="D45" s="750">
        <f t="shared" si="1"/>
        <v>-3.9682539682539653</v>
      </c>
      <c r="E45" s="750">
        <f t="shared" si="6"/>
        <v>20.623052959501553</v>
      </c>
      <c r="F45" s="751">
        <f t="shared" si="3"/>
        <v>-8.6792452830188651</v>
      </c>
      <c r="G45" s="840">
        <f t="shared" si="5"/>
        <v>-3.3932135728542923</v>
      </c>
      <c r="H45" s="842">
        <f>$B$322/B45</f>
        <v>3.4712570121295907</v>
      </c>
    </row>
    <row r="46" spans="1:8" ht="16.5" hidden="1" thickBot="1">
      <c r="A46" s="973" t="s">
        <v>609</v>
      </c>
      <c r="B46" s="748">
        <f>+geral!I863</f>
        <v>88.4</v>
      </c>
      <c r="C46" s="748">
        <f t="shared" si="0"/>
        <v>160.72727272727272</v>
      </c>
      <c r="D46" s="750">
        <f t="shared" si="1"/>
        <v>-8.6776859504132169</v>
      </c>
      <c r="E46" s="750">
        <f t="shared" si="6"/>
        <v>10.155763239875393</v>
      </c>
      <c r="F46" s="751">
        <f t="shared" si="3"/>
        <v>-8.5548774180200677</v>
      </c>
      <c r="G46" s="840">
        <f t="shared" si="5"/>
        <v>10.389610389610393</v>
      </c>
      <c r="H46" s="842">
        <f>$B$322/B46</f>
        <v>3.8011049635084202</v>
      </c>
    </row>
    <row r="47" spans="1:8" ht="16.5" hidden="1" thickBot="1">
      <c r="A47" s="973" t="s">
        <v>610</v>
      </c>
      <c r="B47" s="748">
        <f>+geral!I864</f>
        <v>93.8</v>
      </c>
      <c r="C47" s="748">
        <f t="shared" si="0"/>
        <v>170.54545454545453</v>
      </c>
      <c r="D47" s="750">
        <f t="shared" si="1"/>
        <v>6.1085972850678738</v>
      </c>
      <c r="E47" s="750">
        <f t="shared" si="6"/>
        <v>16.884735202492209</v>
      </c>
      <c r="F47" s="751">
        <f t="shared" si="3"/>
        <v>-7.8856918393400814</v>
      </c>
      <c r="G47" s="840">
        <f t="shared" si="5"/>
        <v>-10.666666666666668</v>
      </c>
      <c r="H47" s="842">
        <f>$B$322/B47</f>
        <v>3.5822780253107078</v>
      </c>
    </row>
    <row r="48" spans="1:8" ht="16.5" hidden="1" thickBot="1">
      <c r="A48" s="973" t="s">
        <v>611</v>
      </c>
      <c r="B48" s="748">
        <f>+geral!I865</f>
        <v>85.6</v>
      </c>
      <c r="C48" s="748">
        <f t="shared" si="0"/>
        <v>155.63636363636363</v>
      </c>
      <c r="D48" s="750">
        <f t="shared" si="1"/>
        <v>-8.7420042643923228</v>
      </c>
      <c r="E48" s="750">
        <f t="shared" si="6"/>
        <v>6.6666666666666652</v>
      </c>
      <c r="F48" s="751">
        <f t="shared" si="3"/>
        <v>-23.707664884135482</v>
      </c>
      <c r="G48" s="840">
        <f t="shared" si="5"/>
        <v>1.205958855521394</v>
      </c>
      <c r="H48" s="842">
        <f>$B$322/B48</f>
        <v>3.9254401725951449</v>
      </c>
    </row>
    <row r="49" spans="1:8" ht="16.5" hidden="1" thickBot="1">
      <c r="A49" s="973" t="s">
        <v>612</v>
      </c>
      <c r="B49" s="748">
        <f>+geral!I866</f>
        <v>107.25</v>
      </c>
      <c r="C49" s="748">
        <f t="shared" si="0"/>
        <v>195</v>
      </c>
      <c r="D49" s="750">
        <f t="shared" si="1"/>
        <v>25.292056074766368</v>
      </c>
      <c r="E49" s="750">
        <f t="shared" si="6"/>
        <v>33.644859813084118</v>
      </c>
      <c r="F49" s="751">
        <f t="shared" si="3"/>
        <v>33.644859813084118</v>
      </c>
      <c r="G49" s="840">
        <f t="shared" si="5"/>
        <v>4.2983565107458821</v>
      </c>
      <c r="H49" s="842">
        <f>$B$322/B49</f>
        <v>3.1330319699220919</v>
      </c>
    </row>
    <row r="50" spans="1:8" ht="16.5" hidden="1" thickBot="1">
      <c r="A50" s="973" t="s">
        <v>589</v>
      </c>
      <c r="B50" s="748">
        <f>+geral!K855</f>
        <v>96.6</v>
      </c>
      <c r="C50" s="748">
        <f t="shared" si="0"/>
        <v>175.63636363636363</v>
      </c>
      <c r="D50" s="750">
        <f t="shared" si="1"/>
        <v>-9.9300699300699407</v>
      </c>
      <c r="E50" s="750">
        <f>100*((B50/$B$49)-1)</f>
        <v>-9.9300699300699407</v>
      </c>
      <c r="F50" s="751">
        <f t="shared" si="3"/>
        <v>-8.7215345365208368</v>
      </c>
      <c r="G50" s="840">
        <f t="shared" si="5"/>
        <v>0.94043887147334804</v>
      </c>
      <c r="H50" s="842">
        <f>$B$322/B50</f>
        <v>3.4784438796495278</v>
      </c>
    </row>
    <row r="51" spans="1:8" ht="16.5" hidden="1" thickBot="1">
      <c r="A51" s="973" t="s">
        <v>590</v>
      </c>
      <c r="B51" s="748">
        <f>+geral!K856</f>
        <v>78.75</v>
      </c>
      <c r="C51" s="748">
        <f t="shared" si="0"/>
        <v>143.18181818181819</v>
      </c>
      <c r="D51" s="750">
        <f t="shared" si="1"/>
        <v>-18.478260869565212</v>
      </c>
      <c r="E51" s="750">
        <f t="shared" ref="E51:E61" si="7">100*((B51/$B$49)-1)</f>
        <v>-26.573426573426573</v>
      </c>
      <c r="F51" s="751">
        <f t="shared" si="3"/>
        <v>-18.92309276227736</v>
      </c>
      <c r="G51" s="840">
        <f t="shared" si="5"/>
        <v>-0.73112315643514281</v>
      </c>
      <c r="H51" s="842">
        <f>$B$322/B51</f>
        <v>4.2668911590367538</v>
      </c>
    </row>
    <row r="52" spans="1:8" ht="16.5" hidden="1" thickBot="1">
      <c r="A52" s="973" t="s">
        <v>591</v>
      </c>
      <c r="B52" s="748">
        <f>+geral!K857</f>
        <v>85.5</v>
      </c>
      <c r="C52" s="748">
        <f t="shared" si="0"/>
        <v>155.45454545454547</v>
      </c>
      <c r="D52" s="750">
        <f t="shared" si="1"/>
        <v>8.5714285714285623</v>
      </c>
      <c r="E52" s="750">
        <f t="shared" si="7"/>
        <v>-20.27972027972028</v>
      </c>
      <c r="F52" s="751">
        <f t="shared" si="3"/>
        <v>-14.78122196750723</v>
      </c>
      <c r="G52" s="840">
        <f t="shared" si="5"/>
        <v>-5.837004405286339</v>
      </c>
      <c r="H52" s="842">
        <f>$B$322/B52</f>
        <v>3.9300313306917469</v>
      </c>
    </row>
    <row r="53" spans="1:8" ht="16.5" hidden="1" thickBot="1">
      <c r="A53" s="973" t="s">
        <v>592</v>
      </c>
      <c r="B53" s="748">
        <f>+geral!K858</f>
        <v>79.290000000000006</v>
      </c>
      <c r="C53" s="748">
        <f t="shared" si="0"/>
        <v>144.16363636363639</v>
      </c>
      <c r="D53" s="750">
        <f t="shared" si="1"/>
        <v>-7.263157894736838</v>
      </c>
      <c r="E53" s="750">
        <f t="shared" si="7"/>
        <v>-26.06993006993007</v>
      </c>
      <c r="F53" s="751">
        <f t="shared" si="3"/>
        <v>-23.205811138014521</v>
      </c>
      <c r="G53" s="840">
        <f t="shared" si="5"/>
        <v>-12.027072007100848</v>
      </c>
      <c r="H53" s="842">
        <f>$B$322/B53</f>
        <v>4.2378317413815658</v>
      </c>
    </row>
    <row r="54" spans="1:8" ht="16.5" hidden="1" thickBot="1">
      <c r="A54" s="973" t="s">
        <v>593</v>
      </c>
      <c r="B54" s="748">
        <f>+geral!K859</f>
        <v>82.5</v>
      </c>
      <c r="C54" s="748">
        <f t="shared" si="0"/>
        <v>150</v>
      </c>
      <c r="D54" s="750">
        <f t="shared" si="1"/>
        <v>4.0484298146046038</v>
      </c>
      <c r="E54" s="750">
        <f t="shared" si="7"/>
        <v>-23.076923076923073</v>
      </c>
      <c r="F54" s="751">
        <f t="shared" si="3"/>
        <v>-11.290322580645162</v>
      </c>
      <c r="G54" s="840">
        <f t="shared" si="5"/>
        <v>-12.974683544303801</v>
      </c>
      <c r="H54" s="842">
        <f>$B$322/B54</f>
        <v>4.0729415608987196</v>
      </c>
    </row>
    <row r="55" spans="1:8" ht="16.5" hidden="1" thickBot="1">
      <c r="A55" s="973" t="s">
        <v>594</v>
      </c>
      <c r="B55" s="748">
        <f>+geral!K860</f>
        <v>82.5</v>
      </c>
      <c r="C55" s="748">
        <f t="shared" si="0"/>
        <v>150</v>
      </c>
      <c r="D55" s="750">
        <f t="shared" si="1"/>
        <v>0</v>
      </c>
      <c r="E55" s="750">
        <f t="shared" si="7"/>
        <v>-23.076923076923073</v>
      </c>
      <c r="F55" s="751">
        <f t="shared" si="3"/>
        <v>-21.428571428571431</v>
      </c>
      <c r="G55" s="840">
        <f t="shared" si="5"/>
        <v>-4.9867557295865446</v>
      </c>
      <c r="H55" s="842">
        <f>$B$322/B55</f>
        <v>4.0729415608987196</v>
      </c>
    </row>
    <row r="56" spans="1:8" ht="16.5" hidden="1" thickBot="1">
      <c r="A56" s="973" t="s">
        <v>595</v>
      </c>
      <c r="B56" s="748">
        <f>+geral!K861</f>
        <v>88.33</v>
      </c>
      <c r="C56" s="748">
        <f t="shared" si="0"/>
        <v>160.6</v>
      </c>
      <c r="D56" s="750">
        <f t="shared" si="1"/>
        <v>7.0666666666666655</v>
      </c>
      <c r="E56" s="750">
        <f t="shared" si="7"/>
        <v>-17.641025641025642</v>
      </c>
      <c r="F56" s="751">
        <f t="shared" si="3"/>
        <v>-12.371031746031747</v>
      </c>
      <c r="G56" s="840">
        <f t="shared" si="5"/>
        <v>-7.912844036697253</v>
      </c>
      <c r="H56" s="842">
        <f>$B$322/B56</f>
        <v>3.8041172735666748</v>
      </c>
    </row>
    <row r="57" spans="1:8" ht="16.5" hidden="1" thickBot="1">
      <c r="A57" s="973" t="s">
        <v>596</v>
      </c>
      <c r="B57" s="748">
        <f>+geral!K862</f>
        <v>83.3</v>
      </c>
      <c r="C57" s="748">
        <f t="shared" si="0"/>
        <v>151.45454545454547</v>
      </c>
      <c r="D57" s="750">
        <f t="shared" si="1"/>
        <v>-5.6945545114910008</v>
      </c>
      <c r="E57" s="750">
        <f t="shared" si="7"/>
        <v>-22.331002331002338</v>
      </c>
      <c r="F57" s="751">
        <f t="shared" si="3"/>
        <v>-13.946280991735538</v>
      </c>
      <c r="G57" s="840">
        <f t="shared" si="5"/>
        <v>-21.415094339622641</v>
      </c>
      <c r="H57" s="842">
        <f>$B$322/B57</f>
        <v>4.0338256755599566</v>
      </c>
    </row>
    <row r="58" spans="1:8" ht="16.5" hidden="1" thickBot="1">
      <c r="A58" s="973" t="s">
        <v>597</v>
      </c>
      <c r="B58" s="748">
        <f>+geral!K863</f>
        <v>89.6</v>
      </c>
      <c r="C58" s="748">
        <f t="shared" si="0"/>
        <v>162.90909090909091</v>
      </c>
      <c r="D58" s="750">
        <f t="shared" si="1"/>
        <v>7.5630252100840289</v>
      </c>
      <c r="E58" s="750">
        <f t="shared" si="7"/>
        <v>-16.456876456876458</v>
      </c>
      <c r="F58" s="751">
        <f t="shared" si="3"/>
        <v>1.3574660633484115</v>
      </c>
      <c r="G58" s="840">
        <f t="shared" si="5"/>
        <v>-7.3135409123823436</v>
      </c>
      <c r="H58" s="842">
        <f>$B$322/B58</f>
        <v>3.7501973077471473</v>
      </c>
    </row>
    <row r="59" spans="1:8" ht="16.5" hidden="1" thickBot="1">
      <c r="A59" s="973" t="s">
        <v>598</v>
      </c>
      <c r="B59" s="748">
        <f>+geral!K864</f>
        <v>80.400000000000006</v>
      </c>
      <c r="C59" s="748">
        <f t="shared" si="0"/>
        <v>146.18181818181819</v>
      </c>
      <c r="D59" s="750">
        <f t="shared" si="1"/>
        <v>-10.267857142857128</v>
      </c>
      <c r="E59" s="750">
        <f t="shared" si="7"/>
        <v>-25.03496503496503</v>
      </c>
      <c r="F59" s="751">
        <f t="shared" si="3"/>
        <v>-14.285714285714279</v>
      </c>
      <c r="G59" s="840">
        <f t="shared" si="5"/>
        <v>-21.044878719434344</v>
      </c>
      <c r="H59" s="842">
        <f>$B$322/B59</f>
        <v>4.1793243628624923</v>
      </c>
    </row>
    <row r="60" spans="1:8" ht="16.5" hidden="1" thickBot="1">
      <c r="A60" s="973" t="s">
        <v>599</v>
      </c>
      <c r="B60" s="748">
        <f>+geral!K865</f>
        <v>81.25</v>
      </c>
      <c r="C60" s="748">
        <f t="shared" si="0"/>
        <v>147.72727272727272</v>
      </c>
      <c r="D60" s="750">
        <f t="shared" si="1"/>
        <v>1.0572139303482553</v>
      </c>
      <c r="E60" s="750">
        <f t="shared" si="7"/>
        <v>-24.242424242424242</v>
      </c>
      <c r="F60" s="751">
        <f t="shared" si="3"/>
        <v>-5.0817757009345765</v>
      </c>
      <c r="G60" s="840">
        <f t="shared" si="5"/>
        <v>-27.584670231729056</v>
      </c>
      <c r="H60" s="842">
        <f>$B$322/B60</f>
        <v>4.1356022002971615</v>
      </c>
    </row>
    <row r="61" spans="1:8" ht="16.5" hidden="1" thickBot="1">
      <c r="A61" s="973" t="s">
        <v>600</v>
      </c>
      <c r="B61" s="748">
        <f>+geral!K866</f>
        <v>81.25</v>
      </c>
      <c r="C61" s="748">
        <f t="shared" si="0"/>
        <v>147.72727272727272</v>
      </c>
      <c r="D61" s="750">
        <f t="shared" si="1"/>
        <v>0</v>
      </c>
      <c r="E61" s="750">
        <f t="shared" si="7"/>
        <v>-24.242424242424242</v>
      </c>
      <c r="F61" s="751">
        <f t="shared" si="3"/>
        <v>-24.242424242424242</v>
      </c>
      <c r="G61" s="840">
        <f t="shared" si="5"/>
        <v>1.2461059190031154</v>
      </c>
      <c r="H61" s="842">
        <f>$B$322/B61</f>
        <v>4.1356022002971615</v>
      </c>
    </row>
    <row r="62" spans="1:8" ht="16.5" hidden="1" thickBot="1">
      <c r="A62" s="973" t="s">
        <v>577</v>
      </c>
      <c r="B62" s="748">
        <f>+geral!M855</f>
        <v>81.25</v>
      </c>
      <c r="C62" s="748">
        <f t="shared" si="0"/>
        <v>147.72727272727272</v>
      </c>
      <c r="D62" s="750">
        <f t="shared" si="1"/>
        <v>0</v>
      </c>
      <c r="E62" s="750">
        <f>100*((B62/$B$61)-1)</f>
        <v>0</v>
      </c>
      <c r="F62" s="751">
        <f t="shared" si="3"/>
        <v>-15.890269151138714</v>
      </c>
      <c r="G62" s="840">
        <f t="shared" si="5"/>
        <v>-23.225928375696871</v>
      </c>
      <c r="H62" s="842">
        <f>$B$322/B62</f>
        <v>4.1356022002971615</v>
      </c>
    </row>
    <row r="63" spans="1:8" ht="16.5" hidden="1" thickBot="1">
      <c r="A63" s="973" t="s">
        <v>578</v>
      </c>
      <c r="B63" s="748">
        <f>+geral!M856</f>
        <v>83.25</v>
      </c>
      <c r="C63" s="748">
        <f t="shared" si="0"/>
        <v>151.36363636363637</v>
      </c>
      <c r="D63" s="750">
        <f t="shared" si="1"/>
        <v>2.4615384615384706</v>
      </c>
      <c r="E63" s="750">
        <f t="shared" ref="E63:E73" si="8">100*((B63/$B$61)-1)</f>
        <v>2.4615384615384706</v>
      </c>
      <c r="F63" s="751">
        <f t="shared" si="3"/>
        <v>5.7142857142857162</v>
      </c>
      <c r="G63" s="840">
        <f t="shared" si="5"/>
        <v>-14.290126634407496</v>
      </c>
      <c r="H63" s="842">
        <f>$B$322/B63</f>
        <v>4.0362483936834161</v>
      </c>
    </row>
    <row r="64" spans="1:8" ht="16.5" hidden="1" thickBot="1">
      <c r="A64" s="973" t="s">
        <v>579</v>
      </c>
      <c r="B64" s="748">
        <f>+geral!M857</f>
        <v>89.67</v>
      </c>
      <c r="C64" s="748">
        <f t="shared" si="0"/>
        <v>163.03636363636363</v>
      </c>
      <c r="D64" s="750">
        <f t="shared" si="1"/>
        <v>7.7117117117117218</v>
      </c>
      <c r="E64" s="750">
        <f t="shared" si="8"/>
        <v>10.363076923076919</v>
      </c>
      <c r="F64" s="751">
        <f t="shared" si="3"/>
        <v>4.8771929824561466</v>
      </c>
      <c r="G64" s="840">
        <f t="shared" si="5"/>
        <v>-10.624937705571613</v>
      </c>
      <c r="H64" s="842">
        <f>$B$322/B64</f>
        <v>3.7472697532524184</v>
      </c>
    </row>
    <row r="65" spans="1:8" ht="16.5" hidden="1" thickBot="1">
      <c r="A65" s="973" t="s">
        <v>580</v>
      </c>
      <c r="B65" s="748">
        <f>+geral!M858</f>
        <v>80.64</v>
      </c>
      <c r="C65" s="748">
        <f t="shared" si="0"/>
        <v>146.61818181818182</v>
      </c>
      <c r="D65" s="750">
        <f t="shared" si="1"/>
        <v>-10.070257611241217</v>
      </c>
      <c r="E65" s="750">
        <f t="shared" si="8"/>
        <v>-0.75076923076923263</v>
      </c>
      <c r="F65" s="751">
        <f t="shared" si="3"/>
        <v>1.7026106696935273</v>
      </c>
      <c r="G65" s="840">
        <f t="shared" si="5"/>
        <v>-21.898305084745761</v>
      </c>
      <c r="H65" s="842">
        <f>$B$322/B65</f>
        <v>4.1668858974968304</v>
      </c>
    </row>
    <row r="66" spans="1:8" ht="16.5" hidden="1" thickBot="1">
      <c r="A66" s="973" t="s">
        <v>581</v>
      </c>
      <c r="B66" s="748">
        <f>+geral!M859</f>
        <v>78.75</v>
      </c>
      <c r="C66" s="748">
        <f t="shared" si="0"/>
        <v>143.18181818181819</v>
      </c>
      <c r="D66" s="750">
        <f t="shared" si="1"/>
        <v>-2.34375</v>
      </c>
      <c r="E66" s="750">
        <f t="shared" si="8"/>
        <v>-3.0769230769230771</v>
      </c>
      <c r="F66" s="751">
        <f t="shared" si="3"/>
        <v>-4.5454545454545414</v>
      </c>
      <c r="G66" s="840">
        <f t="shared" si="5"/>
        <v>-15.322580645161288</v>
      </c>
      <c r="H66" s="842">
        <f>$B$322/B66</f>
        <v>4.2668911590367538</v>
      </c>
    </row>
    <row r="67" spans="1:8" ht="16.5" hidden="1" thickBot="1">
      <c r="A67" s="973" t="s">
        <v>582</v>
      </c>
      <c r="B67" s="748">
        <f>+geral!M860</f>
        <v>88.57</v>
      </c>
      <c r="C67" s="748">
        <f t="shared" si="0"/>
        <v>161.03636363636363</v>
      </c>
      <c r="D67" s="750">
        <f t="shared" si="1"/>
        <v>12.469841269841254</v>
      </c>
      <c r="E67" s="750">
        <f t="shared" si="8"/>
        <v>9.0092307692307685</v>
      </c>
      <c r="F67" s="751">
        <f t="shared" si="3"/>
        <v>7.3575757575757406</v>
      </c>
      <c r="G67" s="840">
        <f t="shared" si="5"/>
        <v>-15.647619047619054</v>
      </c>
      <c r="H67" s="842">
        <f>$B$322/B67</f>
        <v>3.7938091766302855</v>
      </c>
    </row>
    <row r="68" spans="1:8" ht="16.5" hidden="1" thickBot="1">
      <c r="A68" s="973" t="s">
        <v>583</v>
      </c>
      <c r="B68" s="748">
        <f>+geral!M861</f>
        <v>80.33</v>
      </c>
      <c r="C68" s="748">
        <f t="shared" si="0"/>
        <v>146.05454545454546</v>
      </c>
      <c r="D68" s="750">
        <f t="shared" si="1"/>
        <v>-9.3033758609009745</v>
      </c>
      <c r="E68" s="750">
        <f t="shared" si="8"/>
        <v>-1.1323076923076991</v>
      </c>
      <c r="F68" s="751">
        <f t="shared" si="3"/>
        <v>-9.0569455451149139</v>
      </c>
      <c r="G68" s="840">
        <f t="shared" si="5"/>
        <v>-20.307539682539677</v>
      </c>
      <c r="H68" s="842">
        <f>$B$322/B68</f>
        <v>4.1829662489000921</v>
      </c>
    </row>
    <row r="69" spans="1:8" ht="16.5" hidden="1" thickBot="1">
      <c r="A69" s="973" t="s">
        <v>584</v>
      </c>
      <c r="B69" s="748">
        <f>+geral!M862</f>
        <v>85.71</v>
      </c>
      <c r="C69" s="748">
        <f t="shared" si="0"/>
        <v>155.83636363636364</v>
      </c>
      <c r="D69" s="750">
        <f t="shared" si="1"/>
        <v>6.6973733349931397</v>
      </c>
      <c r="E69" s="750">
        <f t="shared" si="8"/>
        <v>5.4892307692307574</v>
      </c>
      <c r="F69" s="751">
        <f t="shared" si="3"/>
        <v>2.893157262905155</v>
      </c>
      <c r="G69" s="840">
        <f t="shared" si="5"/>
        <v>-11.456611570247944</v>
      </c>
      <c r="H69" s="842">
        <f>$B$322/B69</f>
        <v>3.920402272478642</v>
      </c>
    </row>
    <row r="70" spans="1:8" ht="16.5" hidden="1" thickBot="1">
      <c r="A70" s="973" t="s">
        <v>585</v>
      </c>
      <c r="B70" s="748">
        <f>+geral!M863</f>
        <v>88</v>
      </c>
      <c r="C70" s="748">
        <f t="shared" si="0"/>
        <v>160</v>
      </c>
      <c r="D70" s="750">
        <f t="shared" si="1"/>
        <v>2.6718002566795018</v>
      </c>
      <c r="E70" s="750">
        <f t="shared" si="8"/>
        <v>8.3076923076923048</v>
      </c>
      <c r="F70" s="751">
        <f t="shared" si="3"/>
        <v>-1.7857142857142794</v>
      </c>
      <c r="G70" s="840">
        <f t="shared" si="5"/>
        <v>-0.45248868778281492</v>
      </c>
      <c r="H70" s="842">
        <f>$B$322/B70</f>
        <v>3.8183827133425496</v>
      </c>
    </row>
    <row r="71" spans="1:8" ht="16.5" hidden="1" thickBot="1">
      <c r="A71" s="973" t="s">
        <v>586</v>
      </c>
      <c r="B71" s="748">
        <f>+geral!M864</f>
        <v>76.25</v>
      </c>
      <c r="C71" s="748">
        <f t="shared" si="0"/>
        <v>138.63636363636363</v>
      </c>
      <c r="D71" s="750">
        <f t="shared" si="1"/>
        <v>-13.35227272727273</v>
      </c>
      <c r="E71" s="750">
        <f t="shared" si="8"/>
        <v>-6.1538461538461542</v>
      </c>
      <c r="F71" s="751">
        <f t="shared" si="3"/>
        <v>-5.1616915422885601</v>
      </c>
      <c r="G71" s="840">
        <f t="shared" si="5"/>
        <v>-18.710021321961623</v>
      </c>
      <c r="H71" s="842">
        <f>$B$322/B71</f>
        <v>4.4067892298248443</v>
      </c>
    </row>
    <row r="72" spans="1:8" ht="16.5" hidden="1" thickBot="1">
      <c r="A72" s="973" t="s">
        <v>587</v>
      </c>
      <c r="B72" s="748">
        <f>+geral!M865</f>
        <v>82.57</v>
      </c>
      <c r="C72" s="748">
        <f t="shared" si="0"/>
        <v>150.12727272727273</v>
      </c>
      <c r="D72" s="750">
        <f t="shared" si="1"/>
        <v>8.2885245901639149</v>
      </c>
      <c r="E72" s="750">
        <f t="shared" si="8"/>
        <v>1.6246153846153799</v>
      </c>
      <c r="F72" s="751">
        <f t="shared" si="3"/>
        <v>1.6246153846153799</v>
      </c>
      <c r="G72" s="840">
        <f t="shared" si="5"/>
        <v>-3.5397196261682251</v>
      </c>
      <c r="H72" s="842">
        <f>$B$322/B72</f>
        <v>4.0694886614284167</v>
      </c>
    </row>
    <row r="73" spans="1:8" ht="16.5" hidden="1" thickBot="1">
      <c r="A73" s="973" t="s">
        <v>588</v>
      </c>
      <c r="B73" s="748">
        <f>+geral!M866</f>
        <v>85.4</v>
      </c>
      <c r="C73" s="748">
        <f t="shared" si="0"/>
        <v>155.27272727272728</v>
      </c>
      <c r="D73" s="750">
        <f t="shared" si="1"/>
        <v>3.4273949376286916</v>
      </c>
      <c r="E73" s="750">
        <f t="shared" si="8"/>
        <v>5.1076923076923242</v>
      </c>
      <c r="F73" s="751">
        <f t="shared" si="3"/>
        <v>5.1076923076923242</v>
      </c>
      <c r="G73" s="840">
        <f t="shared" si="5"/>
        <v>-20.372960372960371</v>
      </c>
      <c r="H73" s="842">
        <f>$B$322/B73</f>
        <v>3.9346332409150393</v>
      </c>
    </row>
    <row r="74" spans="1:8" ht="16.5" hidden="1" thickBot="1">
      <c r="A74" s="973" t="s">
        <v>574</v>
      </c>
      <c r="B74" s="748">
        <f>+geral!C870</f>
        <v>73.67</v>
      </c>
      <c r="C74" s="748">
        <f t="shared" ref="C74:C157" si="9">100*B74/$B$8</f>
        <v>133.94545454545454</v>
      </c>
      <c r="D74" s="750">
        <f t="shared" ref="D74:D86" si="10">100*((B74/B73)-1)</f>
        <v>-13.735362997658084</v>
      </c>
      <c r="E74" s="750">
        <f>100*((B74/$B$73)-1)</f>
        <v>-13.735362997658084</v>
      </c>
      <c r="F74" s="751">
        <f t="shared" si="3"/>
        <v>-9.329230769230767</v>
      </c>
      <c r="G74" s="840">
        <f t="shared" si="5"/>
        <v>-23.737060041407865</v>
      </c>
      <c r="H74" s="842">
        <f>$B$322/B74</f>
        <v>4.5611195707091676</v>
      </c>
    </row>
    <row r="75" spans="1:8" ht="16.5" hidden="1" thickBot="1">
      <c r="A75" s="973" t="s">
        <v>575</v>
      </c>
      <c r="B75" s="748">
        <f>+geral!C871</f>
        <v>79.19</v>
      </c>
      <c r="C75" s="748">
        <f t="shared" si="9"/>
        <v>143.98181818181817</v>
      </c>
      <c r="D75" s="750">
        <f t="shared" si="10"/>
        <v>7.492873625627805</v>
      </c>
      <c r="E75" s="750">
        <f t="shared" ref="E75:E85" si="11">100*((B75/$B$73)-1)</f>
        <v>-7.2716627634660469</v>
      </c>
      <c r="F75" s="751">
        <f t="shared" si="3"/>
        <v>-4.8768768768768789</v>
      </c>
      <c r="G75" s="840">
        <f t="shared" si="5"/>
        <v>0.55873015873015852</v>
      </c>
      <c r="H75" s="842">
        <f>$B$322/B75</f>
        <v>4.2431832147259048</v>
      </c>
    </row>
    <row r="76" spans="1:8" ht="16.5" hidden="1" thickBot="1">
      <c r="A76" s="973" t="s">
        <v>576</v>
      </c>
      <c r="B76" s="748">
        <f>+geral!C872</f>
        <v>72.5</v>
      </c>
      <c r="C76" s="748">
        <f t="shared" si="9"/>
        <v>131.81818181818181</v>
      </c>
      <c r="D76" s="750">
        <f t="shared" si="10"/>
        <v>-8.4480363682283066</v>
      </c>
      <c r="E76" s="750">
        <f t="shared" si="11"/>
        <v>-15.105386416861833</v>
      </c>
      <c r="F76" s="751">
        <f t="shared" si="3"/>
        <v>-19.147987063677931</v>
      </c>
      <c r="G76" s="840">
        <f t="shared" si="5"/>
        <v>-15.204678362573098</v>
      </c>
      <c r="H76" s="842">
        <f>$B$322/B76</f>
        <v>4.634726603781302</v>
      </c>
    </row>
    <row r="77" spans="1:8" ht="16.5" hidden="1" thickBot="1">
      <c r="A77" s="973" t="s">
        <v>557</v>
      </c>
      <c r="B77" s="748">
        <f>+geral!C873</f>
        <v>82.67</v>
      </c>
      <c r="C77" s="748">
        <f t="shared" si="9"/>
        <v>150.30909090909091</v>
      </c>
      <c r="D77" s="750">
        <f t="shared" si="10"/>
        <v>14.027586206896547</v>
      </c>
      <c r="E77" s="750">
        <f t="shared" si="11"/>
        <v>-3.1967213114754145</v>
      </c>
      <c r="F77" s="751">
        <f t="shared" si="3"/>
        <v>2.517361111111116</v>
      </c>
      <c r="G77" s="840">
        <f t="shared" si="5"/>
        <v>4.2628326396771277</v>
      </c>
      <c r="H77" s="842">
        <f>$B$322/B77</f>
        <v>4.0645660913770945</v>
      </c>
    </row>
    <row r="78" spans="1:8" ht="16.5" hidden="1" thickBot="1">
      <c r="A78" s="973" t="s">
        <v>558</v>
      </c>
      <c r="B78" s="748">
        <f>+geral!C874</f>
        <v>81.5</v>
      </c>
      <c r="C78" s="748">
        <f t="shared" si="9"/>
        <v>148.18181818181819</v>
      </c>
      <c r="D78" s="750">
        <f t="shared" si="10"/>
        <v>-1.4152655134873626</v>
      </c>
      <c r="E78" s="750">
        <f t="shared" si="11"/>
        <v>-4.5667447306791615</v>
      </c>
      <c r="F78" s="751">
        <f t="shared" si="3"/>
        <v>3.4920634920635019</v>
      </c>
      <c r="G78" s="840">
        <f t="shared" si="5"/>
        <v>-1.2121212121212088</v>
      </c>
      <c r="H78" s="842">
        <f>$B$322/B78</f>
        <v>4.1229163039772319</v>
      </c>
    </row>
    <row r="79" spans="1:8" ht="16.5" hidden="1" thickBot="1">
      <c r="A79" s="973" t="s">
        <v>559</v>
      </c>
      <c r="B79" s="748">
        <f>+geral!C875</f>
        <v>85.83</v>
      </c>
      <c r="C79" s="748">
        <f t="shared" si="9"/>
        <v>156.05454545454546</v>
      </c>
      <c r="D79" s="750">
        <f t="shared" si="10"/>
        <v>5.3128834355828269</v>
      </c>
      <c r="E79" s="750">
        <f t="shared" si="11"/>
        <v>0.50351288056205146</v>
      </c>
      <c r="F79" s="751">
        <f t="shared" si="3"/>
        <v>-3.0935982838432796</v>
      </c>
      <c r="G79" s="840">
        <f t="shared" si="5"/>
        <v>4.0363636363636379</v>
      </c>
      <c r="H79" s="842">
        <f>$B$322/B79</f>
        <v>3.9149211088680458</v>
      </c>
    </row>
    <row r="80" spans="1:8" ht="16.5" hidden="1" thickBot="1">
      <c r="A80" s="973" t="s">
        <v>560</v>
      </c>
      <c r="B80" s="748">
        <f>+geral!C876</f>
        <v>78.98</v>
      </c>
      <c r="C80" s="748">
        <f t="shared" si="9"/>
        <v>143.6</v>
      </c>
      <c r="D80" s="750">
        <f t="shared" si="10"/>
        <v>-7.9808924618431698</v>
      </c>
      <c r="E80" s="750">
        <f t="shared" si="11"/>
        <v>-7.5175644028103061</v>
      </c>
      <c r="F80" s="751">
        <f t="shared" si="3"/>
        <v>-1.6805676584090601</v>
      </c>
      <c r="G80" s="840">
        <f t="shared" si="5"/>
        <v>-10.585305105853049</v>
      </c>
      <c r="H80" s="842">
        <f>$B$322/B80</f>
        <v>4.2544654187660722</v>
      </c>
    </row>
    <row r="81" spans="1:8" ht="16.5" hidden="1" thickBot="1">
      <c r="A81" s="973" t="s">
        <v>561</v>
      </c>
      <c r="B81" s="748">
        <f>+geral!C877</f>
        <v>85.98</v>
      </c>
      <c r="C81" s="748">
        <f t="shared" si="9"/>
        <v>156.32727272727271</v>
      </c>
      <c r="D81" s="750">
        <f t="shared" si="10"/>
        <v>8.8630032919726496</v>
      </c>
      <c r="E81" s="750">
        <f t="shared" si="11"/>
        <v>0.6791569086651128</v>
      </c>
      <c r="F81" s="751">
        <f t="shared" si="3"/>
        <v>0.31501575078756172</v>
      </c>
      <c r="G81" s="840">
        <f t="shared" si="5"/>
        <v>3.2172869147659044</v>
      </c>
      <c r="H81" s="842">
        <f>$B$322/B81</f>
        <v>3.9080911697388272</v>
      </c>
    </row>
    <row r="82" spans="1:8" ht="16.5" hidden="1" thickBot="1">
      <c r="A82" s="973" t="s">
        <v>562</v>
      </c>
      <c r="B82" s="748">
        <f>+geral!C878</f>
        <v>83</v>
      </c>
      <c r="C82" s="748">
        <f t="shared" si="9"/>
        <v>150.90909090909091</v>
      </c>
      <c r="D82" s="750">
        <f t="shared" si="10"/>
        <v>-3.4659223075133805</v>
      </c>
      <c r="E82" s="750">
        <f t="shared" si="11"/>
        <v>-2.8103044496487151</v>
      </c>
      <c r="F82" s="751">
        <f t="shared" si="3"/>
        <v>-5.6818181818181763</v>
      </c>
      <c r="G82" s="840">
        <f t="shared" si="5"/>
        <v>-7.3660714285714191</v>
      </c>
      <c r="H82" s="842">
        <f>$B$322/B82</f>
        <v>4.0484057683631853</v>
      </c>
    </row>
    <row r="83" spans="1:8" ht="16.5" hidden="1" thickBot="1">
      <c r="A83" s="973" t="s">
        <v>534</v>
      </c>
      <c r="B83" s="748">
        <f>+geral!C879</f>
        <v>78.8</v>
      </c>
      <c r="C83" s="748">
        <f t="shared" si="9"/>
        <v>143.27272727272728</v>
      </c>
      <c r="D83" s="750">
        <f t="shared" si="10"/>
        <v>-5.0602409638554224</v>
      </c>
      <c r="E83" s="750">
        <f t="shared" si="11"/>
        <v>-7.7283372365339664</v>
      </c>
      <c r="F83" s="751">
        <f t="shared" si="3"/>
        <v>3.3442622950819567</v>
      </c>
      <c r="G83" s="840">
        <f t="shared" si="5"/>
        <v>-1.9900497512437942</v>
      </c>
      <c r="H83" s="842">
        <f>$B$322/B83</f>
        <v>4.264183740788634</v>
      </c>
    </row>
    <row r="84" spans="1:8" ht="16.5" hidden="1" thickBot="1">
      <c r="A84" s="973" t="s">
        <v>563</v>
      </c>
      <c r="B84" s="748">
        <f>+geral!C880</f>
        <v>89.6</v>
      </c>
      <c r="C84" s="748">
        <f t="shared" si="9"/>
        <v>162.90909090909091</v>
      </c>
      <c r="D84" s="750">
        <f t="shared" si="10"/>
        <v>13.705583756345185</v>
      </c>
      <c r="E84" s="750">
        <f t="shared" si="11"/>
        <v>4.9180327868852292</v>
      </c>
      <c r="F84" s="751">
        <f t="shared" si="3"/>
        <v>8.5139881312825452</v>
      </c>
      <c r="G84" s="840">
        <f t="shared" si="5"/>
        <v>10.276923076923072</v>
      </c>
      <c r="H84" s="842">
        <f>$B$322/B84</f>
        <v>3.7501973077471473</v>
      </c>
    </row>
    <row r="85" spans="1:8" ht="16.5" hidden="1" thickBot="1">
      <c r="A85" s="973" t="s">
        <v>564</v>
      </c>
      <c r="B85" s="748">
        <f>+geral!C881</f>
        <v>83.75</v>
      </c>
      <c r="C85" s="748">
        <f t="shared" si="9"/>
        <v>152.27272727272728</v>
      </c>
      <c r="D85" s="750">
        <f t="shared" si="10"/>
        <v>-6.5290178571428488</v>
      </c>
      <c r="E85" s="750">
        <f t="shared" si="11"/>
        <v>-1.9320843091334972</v>
      </c>
      <c r="F85" s="751">
        <f t="shared" ref="F85:F142" si="12">100*((B85/B73)-1)</f>
        <v>-1.9320843091334972</v>
      </c>
      <c r="G85" s="840">
        <f t="shared" si="5"/>
        <v>3.076923076923066</v>
      </c>
      <c r="H85" s="842">
        <f>$B$322/B85</f>
        <v>4.0121513883479922</v>
      </c>
    </row>
    <row r="86" spans="1:8" ht="16.5" hidden="1" thickBot="1">
      <c r="A86" s="973" t="s">
        <v>546</v>
      </c>
      <c r="B86" s="748">
        <f>+geral!E870</f>
        <v>89</v>
      </c>
      <c r="C86" s="748">
        <f t="shared" si="9"/>
        <v>161.81818181818181</v>
      </c>
      <c r="D86" s="750">
        <f t="shared" si="10"/>
        <v>6.2686567164179197</v>
      </c>
      <c r="E86" s="750">
        <f t="shared" ref="E86:E91" si="13">100*((B86/$B$85)-1)</f>
        <v>6.2686567164179197</v>
      </c>
      <c r="F86" s="751">
        <f t="shared" si="12"/>
        <v>20.809013166825018</v>
      </c>
      <c r="G86" s="840">
        <f t="shared" si="5"/>
        <v>9.5384615384615401</v>
      </c>
      <c r="H86" s="842">
        <f>$B$322/B86</f>
        <v>3.7754795367881391</v>
      </c>
    </row>
    <row r="87" spans="1:8" ht="16.5" hidden="1" thickBot="1">
      <c r="A87" s="973" t="s">
        <v>547</v>
      </c>
      <c r="B87" s="748">
        <f>+geral!E871</f>
        <v>77.5</v>
      </c>
      <c r="C87" s="748">
        <f t="shared" si="9"/>
        <v>140.90909090909091</v>
      </c>
      <c r="D87" s="750">
        <f t="shared" ref="D87:D92" si="14">100*((B87/B86)-1)</f>
        <v>-12.921348314606739</v>
      </c>
      <c r="E87" s="750">
        <f t="shared" si="13"/>
        <v>-7.4626865671641784</v>
      </c>
      <c r="F87" s="751">
        <f t="shared" si="12"/>
        <v>-2.1341078418992243</v>
      </c>
      <c r="G87" s="840">
        <f t="shared" si="5"/>
        <v>-6.9069069069069062</v>
      </c>
      <c r="H87" s="842">
        <f>$B$322/B87</f>
        <v>4.3357119841825078</v>
      </c>
    </row>
    <row r="88" spans="1:8" ht="16.5" hidden="1" thickBot="1">
      <c r="A88" s="973" t="s">
        <v>548</v>
      </c>
      <c r="B88" s="748">
        <f>+geral!E872</f>
        <v>78.75</v>
      </c>
      <c r="C88" s="748">
        <f t="shared" si="9"/>
        <v>143.18181818181819</v>
      </c>
      <c r="D88" s="750">
        <f t="shared" si="14"/>
        <v>1.6129032258064502</v>
      </c>
      <c r="E88" s="750">
        <f t="shared" si="13"/>
        <v>-5.9701492537313383</v>
      </c>
      <c r="F88" s="751">
        <f t="shared" si="12"/>
        <v>8.6206896551724199</v>
      </c>
      <c r="G88" s="840">
        <f t="shared" si="5"/>
        <v>-12.177985948477755</v>
      </c>
      <c r="H88" s="842">
        <f>$B$322/B88</f>
        <v>4.2668911590367538</v>
      </c>
    </row>
    <row r="89" spans="1:8" ht="16.5" hidden="1" thickBot="1">
      <c r="A89" s="973" t="s">
        <v>549</v>
      </c>
      <c r="B89" s="748">
        <f>+geral!E873</f>
        <v>72.5</v>
      </c>
      <c r="C89" s="748">
        <f t="shared" si="9"/>
        <v>131.81818181818181</v>
      </c>
      <c r="D89" s="750">
        <f t="shared" si="14"/>
        <v>-7.9365079365079421</v>
      </c>
      <c r="E89" s="750">
        <f t="shared" si="13"/>
        <v>-13.432835820895528</v>
      </c>
      <c r="F89" s="751">
        <f t="shared" si="12"/>
        <v>-12.301923309543971</v>
      </c>
      <c r="G89" s="840">
        <f t="shared" si="5"/>
        <v>-10.094246031746035</v>
      </c>
      <c r="H89" s="842">
        <f>$B$322/B89</f>
        <v>4.634726603781302</v>
      </c>
    </row>
    <row r="90" spans="1:8" ht="16.5" hidden="1" thickBot="1">
      <c r="A90" s="973" t="s">
        <v>550</v>
      </c>
      <c r="B90" s="748">
        <f>+geral!E874</f>
        <v>83.75</v>
      </c>
      <c r="C90" s="748">
        <f t="shared" si="9"/>
        <v>152.27272727272728</v>
      </c>
      <c r="D90" s="750">
        <f t="shared" si="14"/>
        <v>15.517241379310342</v>
      </c>
      <c r="E90" s="750">
        <f t="shared" si="13"/>
        <v>0</v>
      </c>
      <c r="F90" s="751">
        <f t="shared" si="12"/>
        <v>2.7607361963190247</v>
      </c>
      <c r="G90" s="840">
        <f t="shared" si="5"/>
        <v>6.3492063492063489</v>
      </c>
      <c r="H90" s="842">
        <f>$B$322/B90</f>
        <v>4.0121513883479922</v>
      </c>
    </row>
    <row r="91" spans="1:8" ht="16.5" hidden="1" thickBot="1">
      <c r="A91" s="973" t="s">
        <v>551</v>
      </c>
      <c r="B91" s="748">
        <f>+geral!E875</f>
        <v>86</v>
      </c>
      <c r="C91" s="748">
        <f t="shared" si="9"/>
        <v>156.36363636363637</v>
      </c>
      <c r="D91" s="750">
        <f t="shared" si="14"/>
        <v>2.6865671641790989</v>
      </c>
      <c r="E91" s="750">
        <f t="shared" si="13"/>
        <v>2.6865671641790989</v>
      </c>
      <c r="F91" s="751">
        <f t="shared" si="12"/>
        <v>0.19806594430851199</v>
      </c>
      <c r="G91" s="840">
        <f t="shared" si="5"/>
        <v>-2.9016597041887748</v>
      </c>
      <c r="H91" s="842">
        <f>$B$322/B91</f>
        <v>3.9071823113272601</v>
      </c>
    </row>
    <row r="92" spans="1:8" ht="16.5" hidden="1" thickBot="1">
      <c r="A92" s="973" t="s">
        <v>552</v>
      </c>
      <c r="B92" s="748">
        <f>+geral!E876</f>
        <v>80.400000000000006</v>
      </c>
      <c r="C92" s="748">
        <f t="shared" si="9"/>
        <v>146.18181818181819</v>
      </c>
      <c r="D92" s="750">
        <f t="shared" si="14"/>
        <v>-6.5116279069767362</v>
      </c>
      <c r="E92" s="750">
        <f t="shared" ref="E92:E97" si="15">100*((B92/$B$85)-1)</f>
        <v>-3.9999999999999925</v>
      </c>
      <c r="F92" s="751">
        <f t="shared" si="12"/>
        <v>1.7979235249430348</v>
      </c>
      <c r="G92" s="840">
        <f t="shared" si="5"/>
        <v>8.7140545250852242E-2</v>
      </c>
      <c r="H92" s="842">
        <f>$B$322/B92</f>
        <v>4.1793243628624923</v>
      </c>
    </row>
    <row r="93" spans="1:8" ht="16.5" hidden="1" thickBot="1">
      <c r="A93" s="973" t="s">
        <v>553</v>
      </c>
      <c r="B93" s="748">
        <f>+geral!E877</f>
        <v>88.75</v>
      </c>
      <c r="C93" s="748">
        <f t="shared" si="9"/>
        <v>161.36363636363637</v>
      </c>
      <c r="D93" s="750">
        <f t="shared" ref="D93:D98" si="16">100*((B93/B92)-1)</f>
        <v>10.385572139303466</v>
      </c>
      <c r="E93" s="750">
        <f t="shared" si="15"/>
        <v>5.9701492537313383</v>
      </c>
      <c r="F93" s="751">
        <f t="shared" si="12"/>
        <v>3.2216794603395993</v>
      </c>
      <c r="G93" s="840">
        <f t="shared" si="5"/>
        <v>3.5468440088671116</v>
      </c>
      <c r="H93" s="842">
        <f>$B$322/B93</f>
        <v>3.7861146904128944</v>
      </c>
    </row>
    <row r="94" spans="1:8" ht="16.5" hidden="1" thickBot="1">
      <c r="A94" s="973" t="s">
        <v>554</v>
      </c>
      <c r="B94" s="748">
        <f>+geral!E878</f>
        <v>85</v>
      </c>
      <c r="C94" s="748">
        <f t="shared" si="9"/>
        <v>154.54545454545453</v>
      </c>
      <c r="D94" s="750">
        <f t="shared" si="16"/>
        <v>-4.2253521126760614</v>
      </c>
      <c r="E94" s="750">
        <f t="shared" si="15"/>
        <v>1.4925373134328401</v>
      </c>
      <c r="F94" s="751">
        <f t="shared" si="12"/>
        <v>2.4096385542168752</v>
      </c>
      <c r="G94" s="840">
        <f t="shared" si="5"/>
        <v>-3.4090909090909061</v>
      </c>
      <c r="H94" s="842">
        <f>$B$322/B94</f>
        <v>3.9531491620487573</v>
      </c>
    </row>
    <row r="95" spans="1:8" ht="16.5" hidden="1" thickBot="1">
      <c r="A95" s="973" t="s">
        <v>533</v>
      </c>
      <c r="B95" s="748">
        <f>+geral!E879</f>
        <v>81</v>
      </c>
      <c r="C95" s="748">
        <f t="shared" si="9"/>
        <v>147.27272727272728</v>
      </c>
      <c r="D95" s="750">
        <f t="shared" si="16"/>
        <v>-4.705882352941182</v>
      </c>
      <c r="E95" s="750">
        <f t="shared" si="15"/>
        <v>-3.2835820895522394</v>
      </c>
      <c r="F95" s="751">
        <f t="shared" si="12"/>
        <v>2.7918781725888353</v>
      </c>
      <c r="G95" s="840">
        <f t="shared" si="5"/>
        <v>6.2295081967213006</v>
      </c>
      <c r="H95" s="842">
        <f>$B$322/B95</f>
        <v>4.1483664046190665</v>
      </c>
    </row>
    <row r="96" spans="1:8" ht="16.5" hidden="1" thickBot="1">
      <c r="A96" s="973" t="s">
        <v>555</v>
      </c>
      <c r="B96" s="748">
        <f>+geral!E880</f>
        <v>90</v>
      </c>
      <c r="C96" s="748">
        <f t="shared" si="9"/>
        <v>163.63636363636363</v>
      </c>
      <c r="D96" s="750">
        <f t="shared" si="16"/>
        <v>11.111111111111116</v>
      </c>
      <c r="E96" s="750">
        <f t="shared" si="15"/>
        <v>7.4626865671641784</v>
      </c>
      <c r="F96" s="751">
        <f t="shared" si="12"/>
        <v>0.44642857142858094</v>
      </c>
      <c r="G96" s="840">
        <f t="shared" si="5"/>
        <v>8.9984255782972191</v>
      </c>
      <c r="H96" s="842">
        <f>$B$322/B96</f>
        <v>3.7335297641571596</v>
      </c>
    </row>
    <row r="97" spans="1:8" ht="16.5" hidden="1" thickBot="1">
      <c r="A97" s="973" t="s">
        <v>556</v>
      </c>
      <c r="B97" s="748">
        <f>+geral!E881</f>
        <v>87.5</v>
      </c>
      <c r="C97" s="748">
        <f t="shared" si="9"/>
        <v>159.09090909090909</v>
      </c>
      <c r="D97" s="750">
        <f t="shared" si="16"/>
        <v>-2.777777777777779</v>
      </c>
      <c r="E97" s="750">
        <f t="shared" si="15"/>
        <v>4.4776119402984982</v>
      </c>
      <c r="F97" s="751">
        <f t="shared" si="12"/>
        <v>4.4776119402984982</v>
      </c>
      <c r="G97" s="840">
        <f t="shared" ref="G97:G111" si="17">100*(B97/B73-1)</f>
        <v>2.4590163934426146</v>
      </c>
      <c r="H97" s="842">
        <f>$B$322/B97</f>
        <v>3.8402020431330786</v>
      </c>
    </row>
    <row r="98" spans="1:8" ht="16.5" hidden="1" thickBot="1">
      <c r="A98" s="973" t="s">
        <v>535</v>
      </c>
      <c r="B98" s="748">
        <f>+geral!G870</f>
        <v>83.8</v>
      </c>
      <c r="C98" s="748">
        <f t="shared" si="9"/>
        <v>152.36363636363637</v>
      </c>
      <c r="D98" s="750">
        <f t="shared" si="16"/>
        <v>-4.2285714285714366</v>
      </c>
      <c r="E98" s="750">
        <f t="shared" ref="E98:E103" si="18">100*((B98/$B$97)-1)</f>
        <v>-4.2285714285714366</v>
      </c>
      <c r="F98" s="751">
        <f t="shared" si="12"/>
        <v>-5.8426966292134841</v>
      </c>
      <c r="G98" s="840">
        <f t="shared" si="17"/>
        <v>13.750509026740865</v>
      </c>
      <c r="H98" s="842">
        <f>$B$322/B98</f>
        <v>4.0097575032714126</v>
      </c>
    </row>
    <row r="99" spans="1:8" ht="16.5" hidden="1" thickBot="1">
      <c r="A99" s="973" t="s">
        <v>536</v>
      </c>
      <c r="B99" s="748">
        <f>+geral!G871</f>
        <v>84</v>
      </c>
      <c r="C99" s="748">
        <f t="shared" si="9"/>
        <v>152.72727272727272</v>
      </c>
      <c r="D99" s="750">
        <f t="shared" ref="D99:D104" si="19">100*((B99/B98)-1)</f>
        <v>0.23866348448686736</v>
      </c>
      <c r="E99" s="750">
        <f t="shared" si="18"/>
        <v>-4.0000000000000036</v>
      </c>
      <c r="F99" s="751">
        <f t="shared" si="12"/>
        <v>8.3870967741935587</v>
      </c>
      <c r="G99" s="840">
        <f t="shared" si="17"/>
        <v>6.0739992423285871</v>
      </c>
      <c r="H99" s="842">
        <f>$B$322/B99</f>
        <v>4.0002104615969571</v>
      </c>
    </row>
    <row r="100" spans="1:8" ht="16.5" hidden="1" thickBot="1">
      <c r="A100" s="973" t="s">
        <v>537</v>
      </c>
      <c r="B100" s="748">
        <f>+geral!G872</f>
        <v>87.5</v>
      </c>
      <c r="C100" s="748">
        <f t="shared" si="9"/>
        <v>159.09090909090909</v>
      </c>
      <c r="D100" s="750">
        <f t="shared" si="19"/>
        <v>4.1666666666666741</v>
      </c>
      <c r="E100" s="750">
        <f t="shared" si="18"/>
        <v>0</v>
      </c>
      <c r="F100" s="751">
        <f t="shared" si="12"/>
        <v>11.111111111111116</v>
      </c>
      <c r="G100" s="840">
        <f t="shared" si="17"/>
        <v>20.68965517241379</v>
      </c>
      <c r="H100" s="842">
        <f>$B$322/B100</f>
        <v>3.8402020431330786</v>
      </c>
    </row>
    <row r="101" spans="1:8" ht="16.5" hidden="1" thickBot="1">
      <c r="A101" s="973" t="s">
        <v>538</v>
      </c>
      <c r="B101" s="748">
        <f>+geral!G873</f>
        <v>86.25</v>
      </c>
      <c r="C101" s="748">
        <f t="shared" si="9"/>
        <v>156.81818181818181</v>
      </c>
      <c r="D101" s="750">
        <f t="shared" si="19"/>
        <v>-1.4285714285714235</v>
      </c>
      <c r="E101" s="750">
        <f t="shared" si="18"/>
        <v>-1.4285714285714235</v>
      </c>
      <c r="F101" s="751">
        <f t="shared" si="12"/>
        <v>18.965517241379317</v>
      </c>
      <c r="G101" s="840">
        <f t="shared" si="17"/>
        <v>4.3304705455425196</v>
      </c>
      <c r="H101" s="842">
        <f>$B$322/B101</f>
        <v>3.8958571452074708</v>
      </c>
    </row>
    <row r="102" spans="1:8" ht="16.5" hidden="1" thickBot="1">
      <c r="A102" s="973" t="s">
        <v>539</v>
      </c>
      <c r="B102" s="748">
        <f>+geral!G874</f>
        <v>88.8</v>
      </c>
      <c r="C102" s="748">
        <f t="shared" si="9"/>
        <v>161.45454545454547</v>
      </c>
      <c r="D102" s="750">
        <f t="shared" si="19"/>
        <v>2.9565217391304355</v>
      </c>
      <c r="E102" s="750">
        <f t="shared" si="18"/>
        <v>1.4857142857142902</v>
      </c>
      <c r="F102" s="751">
        <f t="shared" si="12"/>
        <v>6.0298507462686501</v>
      </c>
      <c r="G102" s="840">
        <f t="shared" si="17"/>
        <v>8.9570552147239191</v>
      </c>
      <c r="H102" s="842">
        <f>$B$322/B102</f>
        <v>3.7839828690782027</v>
      </c>
    </row>
    <row r="103" spans="1:8" ht="16.5" hidden="1" thickBot="1">
      <c r="A103" s="973" t="s">
        <v>540</v>
      </c>
      <c r="B103" s="748">
        <f>+geral!G875</f>
        <v>86.8</v>
      </c>
      <c r="C103" s="748">
        <f t="shared" si="9"/>
        <v>157.81818181818181</v>
      </c>
      <c r="D103" s="750">
        <f t="shared" si="19"/>
        <v>-2.2522522522522515</v>
      </c>
      <c r="E103" s="750">
        <f t="shared" si="18"/>
        <v>-0.80000000000000071</v>
      </c>
      <c r="F103" s="751">
        <f t="shared" si="12"/>
        <v>0.9302325581395321</v>
      </c>
      <c r="G103" s="840">
        <f t="shared" si="17"/>
        <v>1.1301409763486037</v>
      </c>
      <c r="H103" s="842">
        <f>$B$322/B103</f>
        <v>3.8711714144486682</v>
      </c>
    </row>
    <row r="104" spans="1:8" ht="16.5" hidden="1" thickBot="1">
      <c r="A104" s="973" t="s">
        <v>541</v>
      </c>
      <c r="B104" s="748">
        <f>+geral!G876</f>
        <v>89</v>
      </c>
      <c r="C104" s="748">
        <f t="shared" si="9"/>
        <v>161.81818181818181</v>
      </c>
      <c r="D104" s="750">
        <f t="shared" si="19"/>
        <v>2.5345622119815614</v>
      </c>
      <c r="E104" s="750">
        <f t="shared" ref="E104:E109" si="20">100*((B104/$B$97)-1)</f>
        <v>1.7142857142857126</v>
      </c>
      <c r="F104" s="751">
        <f t="shared" si="12"/>
        <v>10.696517412935314</v>
      </c>
      <c r="G104" s="840">
        <f t="shared" si="17"/>
        <v>12.686756140795129</v>
      </c>
      <c r="H104" s="842">
        <f>$B$322/B104</f>
        <v>3.7754795367881391</v>
      </c>
    </row>
    <row r="105" spans="1:8" ht="16.5" hidden="1" thickBot="1">
      <c r="A105" s="973" t="s">
        <v>542</v>
      </c>
      <c r="B105" s="748">
        <f>+geral!G877</f>
        <v>88.8</v>
      </c>
      <c r="C105" s="748">
        <f t="shared" si="9"/>
        <v>161.45454545454547</v>
      </c>
      <c r="D105" s="750">
        <f t="shared" ref="D105:D110" si="21">100*((B105/B104)-1)</f>
        <v>-0.22471910112359383</v>
      </c>
      <c r="E105" s="750">
        <f t="shared" si="20"/>
        <v>1.4857142857142902</v>
      </c>
      <c r="F105" s="751">
        <f t="shared" si="12"/>
        <v>5.6338028169000687E-2</v>
      </c>
      <c r="G105" s="840">
        <f t="shared" si="17"/>
        <v>3.2798325191905064</v>
      </c>
      <c r="H105" s="842">
        <f>$B$322/B105</f>
        <v>3.7839828690782027</v>
      </c>
    </row>
    <row r="106" spans="1:8" ht="16.5" hidden="1" thickBot="1">
      <c r="A106" s="973" t="s">
        <v>543</v>
      </c>
      <c r="B106" s="748">
        <f>+geral!G878</f>
        <v>87.8</v>
      </c>
      <c r="C106" s="748">
        <f t="shared" si="9"/>
        <v>159.63636363636363</v>
      </c>
      <c r="D106" s="750">
        <f t="shared" si="21"/>
        <v>-1.1261261261261257</v>
      </c>
      <c r="E106" s="750">
        <f t="shared" si="20"/>
        <v>0.34285714285713365</v>
      </c>
      <c r="F106" s="751">
        <f t="shared" si="12"/>
        <v>3.2941176470588251</v>
      </c>
      <c r="G106" s="840">
        <f t="shared" si="17"/>
        <v>5.7831325301204828</v>
      </c>
      <c r="H106" s="842">
        <f>$B$322/B106</f>
        <v>3.8270806238513027</v>
      </c>
    </row>
    <row r="107" spans="1:8" ht="16.5" hidden="1" thickBot="1">
      <c r="A107" s="973" t="s">
        <v>532</v>
      </c>
      <c r="B107" s="748">
        <f>+geral!G879</f>
        <v>84.2</v>
      </c>
      <c r="C107" s="748">
        <f t="shared" si="9"/>
        <v>153.09090909090909</v>
      </c>
      <c r="D107" s="750">
        <f t="shared" si="21"/>
        <v>-4.1002277904327977</v>
      </c>
      <c r="E107" s="750">
        <f t="shared" si="20"/>
        <v>-3.77142857142857</v>
      </c>
      <c r="F107" s="751">
        <f t="shared" si="12"/>
        <v>3.9506172839506304</v>
      </c>
      <c r="G107" s="840">
        <f t="shared" si="17"/>
        <v>6.8527918781726038</v>
      </c>
      <c r="H107" s="842">
        <f>$B$322/B107</f>
        <v>3.9907087740397191</v>
      </c>
    </row>
    <row r="108" spans="1:8" ht="16.5" hidden="1" thickBot="1">
      <c r="A108" s="973" t="s">
        <v>544</v>
      </c>
      <c r="B108" s="748">
        <f>+geral!G880</f>
        <v>83.5</v>
      </c>
      <c r="C108" s="748">
        <f t="shared" si="9"/>
        <v>151.81818181818181</v>
      </c>
      <c r="D108" s="750">
        <f t="shared" si="21"/>
        <v>-0.83135391923990776</v>
      </c>
      <c r="E108" s="750">
        <f t="shared" si="20"/>
        <v>-4.5714285714285712</v>
      </c>
      <c r="F108" s="751">
        <f t="shared" si="12"/>
        <v>-7.2222222222222188</v>
      </c>
      <c r="G108" s="840">
        <f t="shared" si="17"/>
        <v>-6.80803571428571</v>
      </c>
      <c r="H108" s="842">
        <f>$B$322/B108</f>
        <v>4.0241638176544239</v>
      </c>
    </row>
    <row r="109" spans="1:8" ht="16.5" hidden="1" thickBot="1">
      <c r="A109" s="973" t="s">
        <v>545</v>
      </c>
      <c r="B109" s="748">
        <f>+geral!G881</f>
        <v>86</v>
      </c>
      <c r="C109" s="748">
        <f t="shared" si="9"/>
        <v>156.36363636363637</v>
      </c>
      <c r="D109" s="750">
        <f t="shared" si="21"/>
        <v>2.9940119760478945</v>
      </c>
      <c r="E109" s="750">
        <f t="shared" si="20"/>
        <v>-1.7142857142857126</v>
      </c>
      <c r="F109" s="751">
        <f t="shared" si="12"/>
        <v>-1.7142857142857126</v>
      </c>
      <c r="G109" s="840">
        <f t="shared" si="17"/>
        <v>2.6865671641790989</v>
      </c>
      <c r="H109" s="842">
        <f>$B$322/B109</f>
        <v>3.9071823113272601</v>
      </c>
    </row>
    <row r="110" spans="1:8" ht="16.5" hidden="1" thickBot="1">
      <c r="A110" s="973" t="s">
        <v>565</v>
      </c>
      <c r="B110" s="748">
        <f>+geral!I870</f>
        <v>85.8</v>
      </c>
      <c r="C110" s="748">
        <f t="shared" si="9"/>
        <v>156</v>
      </c>
      <c r="D110" s="750">
        <f t="shared" si="21"/>
        <v>-0.23255813953488857</v>
      </c>
      <c r="E110" s="750">
        <f t="shared" ref="E110:E115" si="22">100*((B110/$B$109)-1)</f>
        <v>-0.23255813953488857</v>
      </c>
      <c r="F110" s="751">
        <f t="shared" si="12"/>
        <v>2.3866348448687402</v>
      </c>
      <c r="G110" s="840">
        <f t="shared" si="17"/>
        <v>-3.5955056179775347</v>
      </c>
      <c r="H110" s="842">
        <f>$B$322/B110</f>
        <v>3.9162899624026153</v>
      </c>
    </row>
    <row r="111" spans="1:8" ht="16.5" hidden="1" thickBot="1">
      <c r="A111" s="973" t="s">
        <v>566</v>
      </c>
      <c r="B111" s="748">
        <f>+geral!I871</f>
        <v>85</v>
      </c>
      <c r="C111" s="748">
        <f t="shared" si="9"/>
        <v>154.54545454545453</v>
      </c>
      <c r="D111" s="750">
        <f t="shared" ref="D111:D116" si="23">100*((B111/B110)-1)</f>
        <v>-0.93240093240093413</v>
      </c>
      <c r="E111" s="750">
        <f t="shared" si="22"/>
        <v>-1.1627906976744207</v>
      </c>
      <c r="F111" s="751">
        <f t="shared" si="12"/>
        <v>1.1904761904761862</v>
      </c>
      <c r="G111" s="840">
        <f t="shared" si="17"/>
        <v>9.6774193548387011</v>
      </c>
      <c r="H111" s="842">
        <f>$B$322/B111</f>
        <v>3.9531491620487573</v>
      </c>
    </row>
    <row r="112" spans="1:8" ht="16.5" hidden="1" thickBot="1">
      <c r="A112" s="973" t="s">
        <v>567</v>
      </c>
      <c r="B112" s="748">
        <f>+geral!I872</f>
        <v>85</v>
      </c>
      <c r="C112" s="748">
        <f t="shared" si="9"/>
        <v>154.54545454545453</v>
      </c>
      <c r="D112" s="750">
        <f t="shared" si="23"/>
        <v>0</v>
      </c>
      <c r="E112" s="750">
        <f t="shared" si="22"/>
        <v>-1.1627906976744207</v>
      </c>
      <c r="F112" s="751">
        <f t="shared" si="12"/>
        <v>-2.8571428571428581</v>
      </c>
      <c r="G112" s="840">
        <f t="shared" ref="G112:G117" si="24">100*(B112/B88-1)</f>
        <v>7.9365079365079305</v>
      </c>
      <c r="H112" s="842">
        <f>$B$322/B112</f>
        <v>3.9531491620487573</v>
      </c>
    </row>
    <row r="113" spans="1:8" ht="16.5" hidden="1" thickBot="1">
      <c r="A113" s="973" t="s">
        <v>568</v>
      </c>
      <c r="B113" s="748">
        <f>+geral!I873</f>
        <v>85</v>
      </c>
      <c r="C113" s="748">
        <f t="shared" si="9"/>
        <v>154.54545454545453</v>
      </c>
      <c r="D113" s="750">
        <f t="shared" si="23"/>
        <v>0</v>
      </c>
      <c r="E113" s="750">
        <f t="shared" si="22"/>
        <v>-1.1627906976744207</v>
      </c>
      <c r="F113" s="751">
        <f t="shared" si="12"/>
        <v>-1.4492753623188359</v>
      </c>
      <c r="G113" s="840">
        <f t="shared" si="24"/>
        <v>17.241379310344819</v>
      </c>
      <c r="H113" s="842">
        <f>$B$322/B113</f>
        <v>3.9531491620487573</v>
      </c>
    </row>
    <row r="114" spans="1:8" ht="16.5" hidden="1" thickBot="1">
      <c r="A114" s="973" t="s">
        <v>569</v>
      </c>
      <c r="B114" s="748">
        <f>+geral!I874</f>
        <v>85</v>
      </c>
      <c r="C114" s="748">
        <f t="shared" si="9"/>
        <v>154.54545454545453</v>
      </c>
      <c r="D114" s="750">
        <f t="shared" si="23"/>
        <v>0</v>
      </c>
      <c r="E114" s="750">
        <f t="shared" si="22"/>
        <v>-1.1627906976744207</v>
      </c>
      <c r="F114" s="751">
        <f t="shared" si="12"/>
        <v>-4.2792792792792795</v>
      </c>
      <c r="G114" s="840">
        <f t="shared" si="24"/>
        <v>1.4925373134328401</v>
      </c>
      <c r="H114" s="842">
        <f>$B$322/B114</f>
        <v>3.9531491620487573</v>
      </c>
    </row>
    <row r="115" spans="1:8" ht="16.5" hidden="1" thickBot="1">
      <c r="A115" s="973" t="s">
        <v>570</v>
      </c>
      <c r="B115" s="748">
        <f>+geral!I875</f>
        <v>86</v>
      </c>
      <c r="C115" s="748">
        <f t="shared" si="9"/>
        <v>156.36363636363637</v>
      </c>
      <c r="D115" s="750">
        <f t="shared" si="23"/>
        <v>1.1764705882352899</v>
      </c>
      <c r="E115" s="750">
        <f t="shared" si="22"/>
        <v>0</v>
      </c>
      <c r="F115" s="751">
        <f t="shared" si="12"/>
        <v>-0.92165898617511122</v>
      </c>
      <c r="G115" s="840">
        <f t="shared" si="24"/>
        <v>0</v>
      </c>
      <c r="H115" s="842">
        <f>$B$322/B115</f>
        <v>3.9071823113272601</v>
      </c>
    </row>
    <row r="116" spans="1:8" ht="16.5" hidden="1" thickBot="1">
      <c r="A116" s="973" t="s">
        <v>571</v>
      </c>
      <c r="B116" s="748">
        <f>+geral!I876</f>
        <v>87.5</v>
      </c>
      <c r="C116" s="748">
        <f t="shared" si="9"/>
        <v>159.09090909090909</v>
      </c>
      <c r="D116" s="750">
        <f t="shared" si="23"/>
        <v>1.744186046511631</v>
      </c>
      <c r="E116" s="750">
        <f t="shared" ref="E116:E121" si="25">100*((B116/$B$109)-1)</f>
        <v>1.744186046511631</v>
      </c>
      <c r="F116" s="751">
        <f t="shared" si="12"/>
        <v>-1.6853932584269704</v>
      </c>
      <c r="G116" s="840">
        <f t="shared" si="24"/>
        <v>8.8308457711442792</v>
      </c>
      <c r="H116" s="842">
        <f>$B$322/B116</f>
        <v>3.8402020431330786</v>
      </c>
    </row>
    <row r="117" spans="1:8" ht="16.5" hidden="1" thickBot="1">
      <c r="A117" s="973" t="s">
        <v>572</v>
      </c>
      <c r="B117" s="748">
        <f>+geral!I877</f>
        <v>87.4</v>
      </c>
      <c r="C117" s="748">
        <f t="shared" si="9"/>
        <v>158.90909090909091</v>
      </c>
      <c r="D117" s="750">
        <f t="shared" ref="D117:D122" si="26">100*((B117/B116)-1)</f>
        <v>-0.11428571428571122</v>
      </c>
      <c r="E117" s="750">
        <f t="shared" si="25"/>
        <v>1.6279069767441978</v>
      </c>
      <c r="F117" s="751">
        <f t="shared" si="12"/>
        <v>-1.5765765765765716</v>
      </c>
      <c r="G117" s="840">
        <f t="shared" si="24"/>
        <v>-1.5211267605633738</v>
      </c>
      <c r="H117" s="842">
        <f>$B$322/B117</f>
        <v>3.8445958669810567</v>
      </c>
    </row>
    <row r="118" spans="1:8" ht="16.5" hidden="1" thickBot="1">
      <c r="A118" s="973" t="s">
        <v>573</v>
      </c>
      <c r="B118" s="748">
        <f>+geral!I878</f>
        <v>84.2</v>
      </c>
      <c r="C118" s="748">
        <f t="shared" si="9"/>
        <v>153.09090909090909</v>
      </c>
      <c r="D118" s="750">
        <f t="shared" si="26"/>
        <v>-3.6613272311212808</v>
      </c>
      <c r="E118" s="750">
        <f t="shared" si="25"/>
        <v>-2.0930232558139528</v>
      </c>
      <c r="F118" s="751">
        <f t="shared" si="12"/>
        <v>-4.1002277904327977</v>
      </c>
      <c r="G118" s="840">
        <f t="shared" ref="G118:G123" si="27">100*(B118/B94-1)</f>
        <v>-0.94117647058823417</v>
      </c>
      <c r="H118" s="842">
        <f>$B$322/B118</f>
        <v>3.9907087740397191</v>
      </c>
    </row>
    <row r="119" spans="1:8" ht="16.5" hidden="1" thickBot="1">
      <c r="A119" s="973" t="s">
        <v>396</v>
      </c>
      <c r="B119" s="748">
        <f>+geral!I879</f>
        <v>89.48</v>
      </c>
      <c r="C119" s="748">
        <f t="shared" si="9"/>
        <v>162.69090909090909</v>
      </c>
      <c r="D119" s="750">
        <f t="shared" si="26"/>
        <v>6.2707838479810096</v>
      </c>
      <c r="E119" s="750">
        <f t="shared" si="25"/>
        <v>4.0465116279069901</v>
      </c>
      <c r="F119" s="751">
        <f t="shared" si="12"/>
        <v>6.2707838479810096</v>
      </c>
      <c r="G119" s="840">
        <f t="shared" si="27"/>
        <v>10.469135802469133</v>
      </c>
      <c r="H119" s="842">
        <f>$B$322/B119</f>
        <v>3.7552266291254397</v>
      </c>
    </row>
    <row r="120" spans="1:8" ht="16.5" hidden="1" thickBot="1">
      <c r="A120" s="973" t="s">
        <v>397</v>
      </c>
      <c r="B120" s="748">
        <f>+geral!I880</f>
        <v>88</v>
      </c>
      <c r="C120" s="748">
        <f t="shared" si="9"/>
        <v>160</v>
      </c>
      <c r="D120" s="750">
        <f t="shared" si="26"/>
        <v>-1.6540008940545414</v>
      </c>
      <c r="E120" s="750">
        <f t="shared" si="25"/>
        <v>2.3255813953488413</v>
      </c>
      <c r="F120" s="751">
        <f t="shared" si="12"/>
        <v>5.3892215568862367</v>
      </c>
      <c r="G120" s="840">
        <f t="shared" si="27"/>
        <v>-2.2222222222222254</v>
      </c>
      <c r="H120" s="842">
        <f>$B$322/B120</f>
        <v>3.8183827133425496</v>
      </c>
    </row>
    <row r="121" spans="1:8" ht="16.5" hidden="1" thickBot="1">
      <c r="A121" s="973" t="s">
        <v>398</v>
      </c>
      <c r="B121" s="748">
        <f>+geral!I881</f>
        <v>88.4</v>
      </c>
      <c r="C121" s="748">
        <f t="shared" si="9"/>
        <v>160.72727272727272</v>
      </c>
      <c r="D121" s="750">
        <f t="shared" si="26"/>
        <v>0.45454545454546302</v>
      </c>
      <c r="E121" s="750">
        <f t="shared" si="25"/>
        <v>2.7906976744186185</v>
      </c>
      <c r="F121" s="751">
        <f t="shared" si="12"/>
        <v>2.7906976744186185</v>
      </c>
      <c r="G121" s="840">
        <f t="shared" si="27"/>
        <v>1.0285714285714453</v>
      </c>
      <c r="H121" s="842">
        <f>$B$322/B121</f>
        <v>3.8011049635084202</v>
      </c>
    </row>
    <row r="122" spans="1:8" ht="16.5" hidden="1" thickBot="1">
      <c r="A122" s="973" t="s">
        <v>399</v>
      </c>
      <c r="B122" s="748">
        <f>+geral!K870</f>
        <v>91.4</v>
      </c>
      <c r="C122" s="748">
        <f t="shared" si="9"/>
        <v>166.18181818181819</v>
      </c>
      <c r="D122" s="750">
        <f t="shared" si="26"/>
        <v>3.3936651583710509</v>
      </c>
      <c r="E122" s="750">
        <f t="shared" ref="E122:E127" si="28">100*((B122/$B$121)-1)</f>
        <v>3.3936651583710509</v>
      </c>
      <c r="F122" s="751">
        <f t="shared" si="12"/>
        <v>6.5268065268065278</v>
      </c>
      <c r="G122" s="840">
        <f t="shared" si="27"/>
        <v>9.0692124105012049</v>
      </c>
      <c r="H122" s="842">
        <f>$B$322/B122</f>
        <v>3.6763422185354964</v>
      </c>
    </row>
    <row r="123" spans="1:8" ht="16.5" hidden="1" thickBot="1">
      <c r="A123" s="973" t="s">
        <v>400</v>
      </c>
      <c r="B123" s="748">
        <f>+geral!K871</f>
        <v>91.4</v>
      </c>
      <c r="C123" s="748">
        <f t="shared" si="9"/>
        <v>166.18181818181819</v>
      </c>
      <c r="D123" s="750">
        <f t="shared" ref="D123:D128" si="29">100*((B123/B122)-1)</f>
        <v>0</v>
      </c>
      <c r="E123" s="750">
        <f t="shared" si="28"/>
        <v>3.3936651583710509</v>
      </c>
      <c r="F123" s="751">
        <f t="shared" si="12"/>
        <v>7.5294117647058956</v>
      </c>
      <c r="G123" s="840">
        <f t="shared" si="27"/>
        <v>8.8095238095238226</v>
      </c>
      <c r="H123" s="842">
        <f>$B$322/B123</f>
        <v>3.6763422185354964</v>
      </c>
    </row>
    <row r="124" spans="1:8" ht="16.5" hidden="1" thickBot="1">
      <c r="A124" s="973" t="s">
        <v>401</v>
      </c>
      <c r="B124" s="748">
        <f>+geral!K872</f>
        <v>93</v>
      </c>
      <c r="C124" s="748">
        <f t="shared" si="9"/>
        <v>169.09090909090909</v>
      </c>
      <c r="D124" s="750">
        <f t="shared" si="29"/>
        <v>1.7505470459518557</v>
      </c>
      <c r="E124" s="750">
        <f t="shared" si="28"/>
        <v>5.2036199095022662</v>
      </c>
      <c r="F124" s="751">
        <f t="shared" si="12"/>
        <v>9.4117647058823639</v>
      </c>
      <c r="G124" s="840">
        <f t="shared" ref="G124:G130" si="30">100*(B124/B100-1)</f>
        <v>6.2857142857142945</v>
      </c>
      <c r="H124" s="842">
        <f>$B$322/B124</f>
        <v>3.6130933201520898</v>
      </c>
    </row>
    <row r="125" spans="1:8" ht="16.5" hidden="1" thickBot="1">
      <c r="A125" s="973" t="s">
        <v>402</v>
      </c>
      <c r="B125" s="748">
        <f>+geral!K873</f>
        <v>93</v>
      </c>
      <c r="C125" s="748">
        <f t="shared" si="9"/>
        <v>169.09090909090909</v>
      </c>
      <c r="D125" s="750">
        <f t="shared" si="29"/>
        <v>0</v>
      </c>
      <c r="E125" s="750">
        <f t="shared" si="28"/>
        <v>5.2036199095022662</v>
      </c>
      <c r="F125" s="751">
        <f t="shared" si="12"/>
        <v>9.4117647058823639</v>
      </c>
      <c r="G125" s="840">
        <f t="shared" si="30"/>
        <v>7.8260869565217384</v>
      </c>
      <c r="H125" s="842">
        <f>$B$322/B125</f>
        <v>3.6130933201520898</v>
      </c>
    </row>
    <row r="126" spans="1:8" ht="16.5" hidden="1" thickBot="1">
      <c r="A126" s="973" t="s">
        <v>403</v>
      </c>
      <c r="B126" s="748">
        <f>+geral!K874</f>
        <v>93</v>
      </c>
      <c r="C126" s="748">
        <f t="shared" si="9"/>
        <v>169.09090909090909</v>
      </c>
      <c r="D126" s="750">
        <f t="shared" si="29"/>
        <v>0</v>
      </c>
      <c r="E126" s="750">
        <f t="shared" si="28"/>
        <v>5.2036199095022662</v>
      </c>
      <c r="F126" s="751">
        <f t="shared" si="12"/>
        <v>9.4117647058823639</v>
      </c>
      <c r="G126" s="840">
        <f t="shared" si="30"/>
        <v>4.7297297297297369</v>
      </c>
      <c r="H126" s="842">
        <f>$B$322/B126</f>
        <v>3.6130933201520898</v>
      </c>
    </row>
    <row r="127" spans="1:8" ht="16.5" hidden="1" thickBot="1">
      <c r="A127" s="973" t="s">
        <v>404</v>
      </c>
      <c r="B127" s="748">
        <f>+geral!K875</f>
        <v>93</v>
      </c>
      <c r="C127" s="748">
        <f t="shared" si="9"/>
        <v>169.09090909090909</v>
      </c>
      <c r="D127" s="750">
        <f t="shared" si="29"/>
        <v>0</v>
      </c>
      <c r="E127" s="750">
        <f t="shared" si="28"/>
        <v>5.2036199095022662</v>
      </c>
      <c r="F127" s="751">
        <f t="shared" si="12"/>
        <v>8.1395348837209234</v>
      </c>
      <c r="G127" s="840">
        <f t="shared" si="30"/>
        <v>7.1428571428571397</v>
      </c>
      <c r="H127" s="842">
        <f>$B$322/B127</f>
        <v>3.6130933201520898</v>
      </c>
    </row>
    <row r="128" spans="1:8" ht="16.5" hidden="1" thickBot="1">
      <c r="A128" s="973" t="s">
        <v>405</v>
      </c>
      <c r="B128" s="748">
        <f>+geral!K876</f>
        <v>93</v>
      </c>
      <c r="C128" s="748">
        <f t="shared" si="9"/>
        <v>169.09090909090909</v>
      </c>
      <c r="D128" s="750">
        <f t="shared" si="29"/>
        <v>0</v>
      </c>
      <c r="E128" s="750">
        <f t="shared" ref="E128:E133" si="31">100*((B128/$B$121)-1)</f>
        <v>5.2036199095022662</v>
      </c>
      <c r="F128" s="751">
        <f t="shared" si="12"/>
        <v>6.2857142857142945</v>
      </c>
      <c r="G128" s="840">
        <f t="shared" si="30"/>
        <v>4.4943820224719211</v>
      </c>
      <c r="H128" s="842">
        <f>$B$322/B128</f>
        <v>3.6130933201520898</v>
      </c>
    </row>
    <row r="129" spans="1:8" ht="16.5" hidden="1" thickBot="1">
      <c r="A129" s="973" t="s">
        <v>406</v>
      </c>
      <c r="B129" s="748">
        <f>+geral!K877</f>
        <v>89</v>
      </c>
      <c r="C129" s="748">
        <f t="shared" si="9"/>
        <v>161.81818181818181</v>
      </c>
      <c r="D129" s="750">
        <f t="shared" ref="D129:D134" si="32">100*((B129/B128)-1)</f>
        <v>-4.3010752688172005</v>
      </c>
      <c r="E129" s="750">
        <f t="shared" si="31"/>
        <v>0.67873303167420573</v>
      </c>
      <c r="F129" s="751">
        <f t="shared" si="12"/>
        <v>1.8306636155606348</v>
      </c>
      <c r="G129" s="840">
        <f t="shared" si="30"/>
        <v>0.22522522522523403</v>
      </c>
      <c r="H129" s="842">
        <f>$B$322/B129</f>
        <v>3.7754795367881391</v>
      </c>
    </row>
    <row r="130" spans="1:8" ht="16.5" hidden="1" thickBot="1">
      <c r="A130" s="973" t="s">
        <v>407</v>
      </c>
      <c r="B130" s="748">
        <f>+geral!K878</f>
        <v>94</v>
      </c>
      <c r="C130" s="748">
        <f t="shared" si="9"/>
        <v>170.90909090909091</v>
      </c>
      <c r="D130" s="750">
        <f t="shared" si="32"/>
        <v>5.6179775280898792</v>
      </c>
      <c r="E130" s="750">
        <f t="shared" si="31"/>
        <v>6.3348416289592757</v>
      </c>
      <c r="F130" s="751">
        <f t="shared" si="12"/>
        <v>11.638954869358663</v>
      </c>
      <c r="G130" s="840">
        <f t="shared" si="30"/>
        <v>7.0615034168564961</v>
      </c>
      <c r="H130" s="842">
        <f>$B$322/B130</f>
        <v>3.5746561571717486</v>
      </c>
    </row>
    <row r="131" spans="1:8" ht="16.5" hidden="1" thickBot="1">
      <c r="A131" s="973" t="s">
        <v>408</v>
      </c>
      <c r="B131" s="748">
        <f>+geral!K879</f>
        <v>91.25</v>
      </c>
      <c r="C131" s="748">
        <f t="shared" si="9"/>
        <v>165.90909090909091</v>
      </c>
      <c r="D131" s="750">
        <f t="shared" si="32"/>
        <v>-2.9255319148936199</v>
      </c>
      <c r="E131" s="750">
        <f t="shared" si="31"/>
        <v>3.2239819004524772</v>
      </c>
      <c r="F131" s="751">
        <f t="shared" si="12"/>
        <v>1.9780956638354885</v>
      </c>
      <c r="G131" s="840">
        <f t="shared" ref="G131:G136" si="33">100*(B131/B107-1)</f>
        <v>8.3729216152018893</v>
      </c>
      <c r="H131" s="842">
        <f>$B$322/B131</f>
        <v>3.6823855208125411</v>
      </c>
    </row>
    <row r="132" spans="1:8" ht="16.5" hidden="1" thickBot="1">
      <c r="A132" s="973" t="s">
        <v>409</v>
      </c>
      <c r="B132" s="748">
        <f>+geral!K880</f>
        <v>91.25</v>
      </c>
      <c r="C132" s="748">
        <f t="shared" si="9"/>
        <v>165.90909090909091</v>
      </c>
      <c r="D132" s="750">
        <f t="shared" si="32"/>
        <v>0</v>
      </c>
      <c r="E132" s="750">
        <f t="shared" si="31"/>
        <v>3.2239819004524772</v>
      </c>
      <c r="F132" s="751">
        <f t="shared" si="12"/>
        <v>3.6931818181818121</v>
      </c>
      <c r="G132" s="840">
        <f t="shared" si="33"/>
        <v>9.2814371257484929</v>
      </c>
      <c r="H132" s="842">
        <f>$B$322/B132</f>
        <v>3.6823855208125411</v>
      </c>
    </row>
    <row r="133" spans="1:8" ht="16.5" hidden="1" thickBot="1">
      <c r="A133" s="973" t="s">
        <v>410</v>
      </c>
      <c r="B133" s="748">
        <f>+geral!K881</f>
        <v>91.25</v>
      </c>
      <c r="C133" s="748">
        <f t="shared" si="9"/>
        <v>165.90909090909091</v>
      </c>
      <c r="D133" s="750">
        <f t="shared" si="32"/>
        <v>0</v>
      </c>
      <c r="E133" s="750">
        <f t="shared" si="31"/>
        <v>3.2239819004524772</v>
      </c>
      <c r="F133" s="751">
        <f t="shared" si="12"/>
        <v>3.2239819004524772</v>
      </c>
      <c r="G133" s="840">
        <f t="shared" si="33"/>
        <v>6.1046511627907085</v>
      </c>
      <c r="H133" s="842">
        <f>$B$322/B133</f>
        <v>3.6823855208125411</v>
      </c>
    </row>
    <row r="134" spans="1:8" ht="16.5" hidden="1" thickBot="1">
      <c r="A134" s="973" t="s">
        <v>411</v>
      </c>
      <c r="B134" s="748">
        <f>+geral!M870</f>
        <v>95.4</v>
      </c>
      <c r="C134" s="748">
        <f t="shared" si="9"/>
        <v>173.45454545454547</v>
      </c>
      <c r="D134" s="750">
        <f t="shared" si="32"/>
        <v>4.5479452054794534</v>
      </c>
      <c r="E134" s="750">
        <f>100*((B134/$B$133)-1)</f>
        <v>4.5479452054794534</v>
      </c>
      <c r="F134" s="751">
        <f t="shared" si="12"/>
        <v>4.3763676148796504</v>
      </c>
      <c r="G134" s="840">
        <f t="shared" si="33"/>
        <v>11.18881118881121</v>
      </c>
      <c r="H134" s="842">
        <f>$B$322/B134</f>
        <v>3.5221978907143012</v>
      </c>
    </row>
    <row r="135" spans="1:8" ht="16.5" hidden="1" thickBot="1">
      <c r="A135" s="973" t="s">
        <v>412</v>
      </c>
      <c r="B135" s="748">
        <f>+geral!M871</f>
        <v>96.4</v>
      </c>
      <c r="C135" s="748">
        <f t="shared" si="9"/>
        <v>175.27272727272728</v>
      </c>
      <c r="D135" s="750">
        <f t="shared" ref="D135:D140" si="34">100*((B135/B134)-1)</f>
        <v>1.048218029350112</v>
      </c>
      <c r="E135" s="750">
        <f t="shared" ref="E135:E145" si="35">100*((B135/$B$133)-1)</f>
        <v>5.643835616438353</v>
      </c>
      <c r="F135" s="751">
        <f t="shared" si="12"/>
        <v>5.4704595185995686</v>
      </c>
      <c r="G135" s="840">
        <f t="shared" si="33"/>
        <v>13.411764705882367</v>
      </c>
      <c r="H135" s="842">
        <f>$B$322/B135</f>
        <v>3.485660568196518</v>
      </c>
    </row>
    <row r="136" spans="1:8" ht="16.5" hidden="1" thickBot="1">
      <c r="A136" s="973" t="s">
        <v>413</v>
      </c>
      <c r="B136" s="748">
        <f>+geral!M872</f>
        <v>95.4</v>
      </c>
      <c r="C136" s="748">
        <f t="shared" si="9"/>
        <v>173.45454545454547</v>
      </c>
      <c r="D136" s="750">
        <f t="shared" si="34"/>
        <v>-1.0373443983402453</v>
      </c>
      <c r="E136" s="750">
        <f t="shared" si="35"/>
        <v>4.5479452054794534</v>
      </c>
      <c r="F136" s="751">
        <f t="shared" si="12"/>
        <v>2.5806451612903292</v>
      </c>
      <c r="G136" s="840">
        <f t="shared" si="33"/>
        <v>12.235294117647054</v>
      </c>
      <c r="H136" s="842">
        <f>$B$322/B136</f>
        <v>3.5221978907143012</v>
      </c>
    </row>
    <row r="137" spans="1:8" ht="16.5" hidden="1" thickBot="1">
      <c r="A137" s="973" t="s">
        <v>414</v>
      </c>
      <c r="B137" s="748">
        <f>+geral!M873</f>
        <v>98.4</v>
      </c>
      <c r="C137" s="748">
        <f t="shared" si="9"/>
        <v>178.90909090909091</v>
      </c>
      <c r="D137" s="750">
        <f t="shared" si="34"/>
        <v>3.1446540880503138</v>
      </c>
      <c r="E137" s="750">
        <f t="shared" si="35"/>
        <v>7.8356164383561744</v>
      </c>
      <c r="F137" s="751">
        <f t="shared" si="12"/>
        <v>5.8064516129032295</v>
      </c>
      <c r="G137" s="840">
        <f t="shared" ref="G137:G142" si="36">100*(B137/B113-1)</f>
        <v>15.764705882352947</v>
      </c>
      <c r="H137" s="842">
        <f>$B$322/B137</f>
        <v>3.4148138086803286</v>
      </c>
    </row>
    <row r="138" spans="1:8" ht="16.5" hidden="1" thickBot="1">
      <c r="A138" s="973" t="s">
        <v>415</v>
      </c>
      <c r="B138" s="748">
        <f>+geral!M874</f>
        <v>92.5</v>
      </c>
      <c r="C138" s="748">
        <f t="shared" si="9"/>
        <v>168.18181818181819</v>
      </c>
      <c r="D138" s="750">
        <f t="shared" si="34"/>
        <v>-5.9959349593496025</v>
      </c>
      <c r="E138" s="750">
        <f t="shared" si="35"/>
        <v>1.3698630136986356</v>
      </c>
      <c r="F138" s="751">
        <f t="shared" si="12"/>
        <v>-0.53763440860215006</v>
      </c>
      <c r="G138" s="840">
        <f t="shared" si="36"/>
        <v>8.8235294117646959</v>
      </c>
      <c r="H138" s="842">
        <f>$B$322/B138</f>
        <v>3.6326235543150744</v>
      </c>
    </row>
    <row r="139" spans="1:8" ht="16.5" hidden="1" thickBot="1">
      <c r="A139" s="973" t="s">
        <v>416</v>
      </c>
      <c r="B139" s="748">
        <f>+geral!M875</f>
        <v>101</v>
      </c>
      <c r="C139" s="748">
        <f t="shared" si="9"/>
        <v>183.63636363636363</v>
      </c>
      <c r="D139" s="750">
        <f t="shared" si="34"/>
        <v>9.1891891891891841</v>
      </c>
      <c r="E139" s="750">
        <f t="shared" si="35"/>
        <v>10.684931506849304</v>
      </c>
      <c r="F139" s="751">
        <f t="shared" si="12"/>
        <v>8.602150537634401</v>
      </c>
      <c r="G139" s="840">
        <f t="shared" si="36"/>
        <v>17.441860465116289</v>
      </c>
      <c r="H139" s="842">
        <f>$B$322/B139</f>
        <v>3.3269077106350928</v>
      </c>
    </row>
    <row r="140" spans="1:8" ht="16.5" hidden="1" thickBot="1">
      <c r="A140" s="973" t="s">
        <v>417</v>
      </c>
      <c r="B140" s="748">
        <f>+geral!M876</f>
        <v>98.2</v>
      </c>
      <c r="C140" s="748">
        <f t="shared" si="9"/>
        <v>178.54545454545453</v>
      </c>
      <c r="D140" s="750">
        <f t="shared" si="34"/>
        <v>-2.7722772277227747</v>
      </c>
      <c r="E140" s="750">
        <f t="shared" si="35"/>
        <v>7.61643835616439</v>
      </c>
      <c r="F140" s="751">
        <f t="shared" si="12"/>
        <v>5.5913978494623651</v>
      </c>
      <c r="G140" s="840">
        <f t="shared" si="36"/>
        <v>12.228571428571433</v>
      </c>
      <c r="H140" s="842">
        <f>$B$322/B140</f>
        <v>3.4217686229546267</v>
      </c>
    </row>
    <row r="141" spans="1:8" ht="16.5" hidden="1" thickBot="1">
      <c r="A141" s="973" t="s">
        <v>418</v>
      </c>
      <c r="B141" s="748">
        <f>+geral!M877</f>
        <v>98.33</v>
      </c>
      <c r="C141" s="748">
        <f t="shared" si="9"/>
        <v>178.78181818181818</v>
      </c>
      <c r="D141" s="750">
        <f t="shared" ref="D141:D146" si="37">100*((B141/B140)-1)</f>
        <v>0.1323828920570147</v>
      </c>
      <c r="E141" s="750">
        <f t="shared" si="35"/>
        <v>7.7589041095890376</v>
      </c>
      <c r="F141" s="751">
        <f t="shared" si="12"/>
        <v>10.483146067415738</v>
      </c>
      <c r="G141" s="840">
        <f t="shared" si="36"/>
        <v>12.505720823798615</v>
      </c>
      <c r="H141" s="842">
        <f>$B$322/B141</f>
        <v>3.4172447754921631</v>
      </c>
    </row>
    <row r="142" spans="1:8" ht="16.5" hidden="1" thickBot="1">
      <c r="A142" s="973" t="s">
        <v>419</v>
      </c>
      <c r="B142" s="748">
        <f>+geral!M878</f>
        <v>98</v>
      </c>
      <c r="C142" s="748">
        <f t="shared" si="9"/>
        <v>178.18181818181819</v>
      </c>
      <c r="D142" s="750">
        <f t="shared" si="37"/>
        <v>-0.33560459676599264</v>
      </c>
      <c r="E142" s="750">
        <f t="shared" si="35"/>
        <v>7.3972602739726057</v>
      </c>
      <c r="F142" s="751">
        <f t="shared" si="12"/>
        <v>4.2553191489361764</v>
      </c>
      <c r="G142" s="840">
        <f t="shared" si="36"/>
        <v>16.389548693586686</v>
      </c>
      <c r="H142" s="842">
        <f>$B$322/B142</f>
        <v>3.4287518242259631</v>
      </c>
    </row>
    <row r="143" spans="1:8" ht="16.5" hidden="1" thickBot="1">
      <c r="A143" s="973" t="s">
        <v>420</v>
      </c>
      <c r="B143" s="748">
        <f>+geral!M879</f>
        <v>105</v>
      </c>
      <c r="C143" s="748">
        <f t="shared" si="9"/>
        <v>190.90909090909091</v>
      </c>
      <c r="D143" s="750">
        <f t="shared" si="37"/>
        <v>7.1428571428571397</v>
      </c>
      <c r="E143" s="750">
        <f t="shared" si="35"/>
        <v>15.068493150684926</v>
      </c>
      <c r="F143" s="751">
        <f t="shared" ref="F143:F148" si="38">100*((B143/B131)-1)</f>
        <v>15.068493150684926</v>
      </c>
      <c r="G143" s="840">
        <f t="shared" ref="G143:G148" si="39">100*(B143/B119-1)</f>
        <v>17.34465802413947</v>
      </c>
      <c r="H143" s="842">
        <f>$B$322/B143</f>
        <v>3.2001683692775655</v>
      </c>
    </row>
    <row r="144" spans="1:8" ht="16.5" hidden="1" thickBot="1">
      <c r="A144" s="973" t="s">
        <v>421</v>
      </c>
      <c r="B144" s="748">
        <f>+geral!M880</f>
        <v>105</v>
      </c>
      <c r="C144" s="748">
        <f t="shared" si="9"/>
        <v>190.90909090909091</v>
      </c>
      <c r="D144" s="750">
        <f t="shared" si="37"/>
        <v>0</v>
      </c>
      <c r="E144" s="750">
        <f t="shared" si="35"/>
        <v>15.068493150684926</v>
      </c>
      <c r="F144" s="751">
        <f t="shared" si="38"/>
        <v>15.068493150684926</v>
      </c>
      <c r="G144" s="840">
        <f t="shared" si="39"/>
        <v>19.318181818181813</v>
      </c>
      <c r="H144" s="842">
        <f>$B$322/B144</f>
        <v>3.2001683692775655</v>
      </c>
    </row>
    <row r="145" spans="1:9" ht="16.5" hidden="1" thickBot="1">
      <c r="A145" s="973" t="s">
        <v>422</v>
      </c>
      <c r="B145" s="748">
        <f>+geral!M881</f>
        <v>99.17</v>
      </c>
      <c r="C145" s="748">
        <f t="shared" si="9"/>
        <v>180.30909090909091</v>
      </c>
      <c r="D145" s="750">
        <f t="shared" si="37"/>
        <v>-5.5523809523809531</v>
      </c>
      <c r="E145" s="750">
        <f t="shared" si="35"/>
        <v>8.679452054794524</v>
      </c>
      <c r="F145" s="751">
        <f t="shared" si="38"/>
        <v>8.679452054794524</v>
      </c>
      <c r="G145" s="840">
        <f t="shared" si="39"/>
        <v>12.183257918552037</v>
      </c>
      <c r="H145" s="842">
        <f>$B$322/B145</f>
        <v>3.3882996750443115</v>
      </c>
    </row>
    <row r="146" spans="1:9" ht="16.5" hidden="1" thickBot="1">
      <c r="A146" s="973" t="s">
        <v>423</v>
      </c>
      <c r="B146" s="748">
        <f>geral!C885</f>
        <v>102.5</v>
      </c>
      <c r="C146" s="748">
        <f t="shared" si="9"/>
        <v>186.36363636363637</v>
      </c>
      <c r="D146" s="750">
        <f t="shared" si="37"/>
        <v>3.3578703236865959</v>
      </c>
      <c r="E146" s="750">
        <f t="shared" ref="E146:E151" si="40">100*((B146/$B$145)-1)</f>
        <v>3.3578703236865959</v>
      </c>
      <c r="F146" s="751">
        <f t="shared" si="38"/>
        <v>7.4423480083857463</v>
      </c>
      <c r="G146" s="840">
        <f t="shared" si="39"/>
        <v>12.144420131291023</v>
      </c>
      <c r="H146" s="842">
        <f>$B$322/B146</f>
        <v>3.2782212563331159</v>
      </c>
    </row>
    <row r="147" spans="1:9" ht="16.5" hidden="1" thickBot="1">
      <c r="A147" s="973" t="s">
        <v>424</v>
      </c>
      <c r="B147" s="748">
        <f>geral!C886</f>
        <v>105.83</v>
      </c>
      <c r="C147" s="748">
        <f t="shared" si="9"/>
        <v>192.41818181818181</v>
      </c>
      <c r="D147" s="750">
        <f t="shared" ref="D147:D152" si="41">100*((B147/B146)-1)</f>
        <v>3.2487804878048809</v>
      </c>
      <c r="E147" s="750">
        <f t="shared" si="40"/>
        <v>6.7157406473731918</v>
      </c>
      <c r="F147" s="751">
        <f t="shared" si="38"/>
        <v>9.7821576763485361</v>
      </c>
      <c r="G147" s="840">
        <f t="shared" si="39"/>
        <v>15.787746170678329</v>
      </c>
      <c r="H147" s="842">
        <f>$B$322/B147</f>
        <v>3.175070195352399</v>
      </c>
    </row>
    <row r="148" spans="1:9" ht="16.5" hidden="1" thickBot="1">
      <c r="A148" s="973" t="s">
        <v>425</v>
      </c>
      <c r="B148" s="748">
        <f>geral!C887</f>
        <v>104</v>
      </c>
      <c r="C148" s="748">
        <f t="shared" si="9"/>
        <v>189.09090909090909</v>
      </c>
      <c r="D148" s="750">
        <f t="shared" si="41"/>
        <v>-1.7291883208919945</v>
      </c>
      <c r="E148" s="750">
        <f t="shared" si="40"/>
        <v>4.8704245235454247</v>
      </c>
      <c r="F148" s="751">
        <f t="shared" si="38"/>
        <v>9.0146750524108921</v>
      </c>
      <c r="G148" s="840">
        <f t="shared" si="39"/>
        <v>11.827956989247301</v>
      </c>
      <c r="H148" s="842">
        <f>$B$322/B148</f>
        <v>3.2309392189821575</v>
      </c>
    </row>
    <row r="149" spans="1:9" ht="16.5" hidden="1" thickBot="1">
      <c r="A149" s="973" t="s">
        <v>426</v>
      </c>
      <c r="B149" s="748">
        <f>geral!C888</f>
        <v>106</v>
      </c>
      <c r="C149" s="748">
        <f t="shared" si="9"/>
        <v>192.72727272727272</v>
      </c>
      <c r="D149" s="750">
        <f t="shared" si="41"/>
        <v>1.9230769230769162</v>
      </c>
      <c r="E149" s="750">
        <f t="shared" si="40"/>
        <v>6.8871634566905371</v>
      </c>
      <c r="F149" s="751">
        <f t="shared" ref="F149:F154" si="42">100*((B149/B137)-1)</f>
        <v>7.7235772357723498</v>
      </c>
      <c r="G149" s="840">
        <f t="shared" ref="G149:G154" si="43">100*(B149/B125-1)</f>
        <v>13.978494623655923</v>
      </c>
      <c r="H149" s="842">
        <f>$B$322/B149</f>
        <v>3.1699781016428714</v>
      </c>
    </row>
    <row r="150" spans="1:9" ht="16.5" hidden="1" thickBot="1">
      <c r="A150" s="973" t="s">
        <v>427</v>
      </c>
      <c r="B150" s="748">
        <f>geral!C889</f>
        <v>111.25</v>
      </c>
      <c r="C150" s="748">
        <f t="shared" si="9"/>
        <v>202.27272727272728</v>
      </c>
      <c r="D150" s="750">
        <f t="shared" si="41"/>
        <v>4.952830188679247</v>
      </c>
      <c r="E150" s="750">
        <f t="shared" si="40"/>
        <v>12.181103156196427</v>
      </c>
      <c r="F150" s="751">
        <f t="shared" si="42"/>
        <v>20.270270270270263</v>
      </c>
      <c r="G150" s="840">
        <f t="shared" si="43"/>
        <v>19.623655913978499</v>
      </c>
      <c r="H150" s="842">
        <f>$B$322/B150</f>
        <v>3.0203836294305111</v>
      </c>
    </row>
    <row r="151" spans="1:9" ht="16.5" hidden="1" thickBot="1">
      <c r="A151" s="973" t="s">
        <v>428</v>
      </c>
      <c r="B151" s="748">
        <f>geral!C890</f>
        <v>107</v>
      </c>
      <c r="C151" s="748">
        <f t="shared" si="9"/>
        <v>194.54545454545453</v>
      </c>
      <c r="D151" s="750">
        <f t="shared" si="41"/>
        <v>-3.8202247191011285</v>
      </c>
      <c r="E151" s="750">
        <f t="shared" si="40"/>
        <v>7.8955329232630822</v>
      </c>
      <c r="F151" s="751">
        <f t="shared" si="42"/>
        <v>5.9405940594059459</v>
      </c>
      <c r="G151" s="840">
        <f t="shared" si="43"/>
        <v>15.053763440860223</v>
      </c>
      <c r="H151" s="842">
        <f>$B$322/B151</f>
        <v>3.1403521380761155</v>
      </c>
    </row>
    <row r="152" spans="1:9" ht="16.5" hidden="1" thickBot="1">
      <c r="A152" s="973" t="s">
        <v>429</v>
      </c>
      <c r="B152" s="748">
        <f>geral!C891</f>
        <v>103.33</v>
      </c>
      <c r="C152" s="748">
        <f t="shared" si="9"/>
        <v>187.87272727272727</v>
      </c>
      <c r="D152" s="750">
        <f t="shared" si="41"/>
        <v>-3.4299065420560715</v>
      </c>
      <c r="E152" s="750">
        <f t="shared" ref="E152:E157" si="44">100*((B152/$B$145)-1)</f>
        <v>4.1948169809418179</v>
      </c>
      <c r="F152" s="751">
        <f t="shared" si="42"/>
        <v>5.2240325865580362</v>
      </c>
      <c r="G152" s="840">
        <f t="shared" si="43"/>
        <v>11.107526881720432</v>
      </c>
      <c r="H152" s="842">
        <f>$B$322/B152</f>
        <v>3.2518888877784224</v>
      </c>
    </row>
    <row r="153" spans="1:9" ht="16.5" hidden="1" thickBot="1">
      <c r="A153" s="973" t="s">
        <v>430</v>
      </c>
      <c r="B153" s="748">
        <f>geral!C892</f>
        <v>110</v>
      </c>
      <c r="C153" s="748">
        <f t="shared" si="9"/>
        <v>200</v>
      </c>
      <c r="D153" s="750">
        <f t="shared" ref="D153:D158" si="45">100*((B153/B152)-1)</f>
        <v>6.4550469369979657</v>
      </c>
      <c r="E153" s="750">
        <f t="shared" si="44"/>
        <v>10.920641322980739</v>
      </c>
      <c r="F153" s="751">
        <f t="shared" si="42"/>
        <v>11.868198921997353</v>
      </c>
      <c r="G153" s="840">
        <f t="shared" si="43"/>
        <v>23.595505617977519</v>
      </c>
      <c r="H153" s="842">
        <f>$B$322/B153</f>
        <v>3.0547061706740397</v>
      </c>
    </row>
    <row r="154" spans="1:9" ht="16.5" hidden="1" thickBot="1">
      <c r="A154" s="973" t="s">
        <v>431</v>
      </c>
      <c r="B154" s="748">
        <f>geral!C893</f>
        <v>102</v>
      </c>
      <c r="C154" s="748">
        <f t="shared" si="9"/>
        <v>185.45454545454547</v>
      </c>
      <c r="D154" s="750">
        <f t="shared" si="45"/>
        <v>-7.2727272727272751</v>
      </c>
      <c r="E154" s="750">
        <f t="shared" si="44"/>
        <v>2.8536855904003122</v>
      </c>
      <c r="F154" s="751">
        <f t="shared" si="42"/>
        <v>4.081632653061229</v>
      </c>
      <c r="G154" s="840">
        <f t="shared" si="43"/>
        <v>8.5106382978723296</v>
      </c>
      <c r="H154" s="842">
        <f>$B$322/B154</f>
        <v>3.2942909683739643</v>
      </c>
    </row>
    <row r="155" spans="1:9" ht="16.5" hidden="1" thickBot="1">
      <c r="A155" s="973" t="s">
        <v>432</v>
      </c>
      <c r="B155" s="748">
        <f>geral!C894</f>
        <v>107</v>
      </c>
      <c r="C155" s="748">
        <f t="shared" si="9"/>
        <v>194.54545454545453</v>
      </c>
      <c r="D155" s="750">
        <f t="shared" si="45"/>
        <v>4.9019607843137303</v>
      </c>
      <c r="E155" s="750">
        <f t="shared" si="44"/>
        <v>7.8955329232630822</v>
      </c>
      <c r="F155" s="751">
        <f t="shared" ref="F155:F160" si="46">100*((B155/B143)-1)</f>
        <v>1.904761904761898</v>
      </c>
      <c r="G155" s="840">
        <f t="shared" ref="G155:G160" si="47">100*(B155/B131-1)</f>
        <v>17.260273972602747</v>
      </c>
      <c r="H155" s="842">
        <f>$B$322/B155</f>
        <v>3.1403521380761155</v>
      </c>
    </row>
    <row r="156" spans="1:9" ht="16.5" hidden="1" thickBot="1">
      <c r="A156" s="973" t="s">
        <v>433</v>
      </c>
      <c r="B156" s="748">
        <f>geral!C895</f>
        <v>101</v>
      </c>
      <c r="C156" s="748">
        <f t="shared" si="9"/>
        <v>183.63636363636363</v>
      </c>
      <c r="D156" s="750">
        <f t="shared" si="45"/>
        <v>-5.6074766355140193</v>
      </c>
      <c r="E156" s="750">
        <f t="shared" si="44"/>
        <v>1.8453161238277671</v>
      </c>
      <c r="F156" s="751">
        <f t="shared" si="46"/>
        <v>-3.8095238095238071</v>
      </c>
      <c r="G156" s="840">
        <f t="shared" si="47"/>
        <v>10.684931506849304</v>
      </c>
      <c r="H156" s="842">
        <f>$B$322/B156</f>
        <v>3.3269077106350928</v>
      </c>
    </row>
    <row r="157" spans="1:9" ht="16.5" hidden="1" thickBot="1">
      <c r="A157" s="973" t="s">
        <v>434</v>
      </c>
      <c r="B157" s="748">
        <f>geral!C896</f>
        <v>103</v>
      </c>
      <c r="C157" s="748">
        <f t="shared" si="9"/>
        <v>187.27272727272728</v>
      </c>
      <c r="D157" s="750">
        <f t="shared" si="45"/>
        <v>1.980198019801982</v>
      </c>
      <c r="E157" s="750">
        <f t="shared" si="44"/>
        <v>3.8620550569728795</v>
      </c>
      <c r="F157" s="751">
        <f t="shared" si="46"/>
        <v>3.8620550569728795</v>
      </c>
      <c r="G157" s="840">
        <f t="shared" si="47"/>
        <v>12.876712328767127</v>
      </c>
      <c r="H157" s="842">
        <f>$B$322/B157</f>
        <v>3.2623075609140231</v>
      </c>
    </row>
    <row r="158" spans="1:9" ht="16.5" hidden="1" thickBot="1">
      <c r="A158" s="973" t="s">
        <v>435</v>
      </c>
      <c r="B158" s="748">
        <f>geral!E885</f>
        <v>109.17</v>
      </c>
      <c r="C158" s="748">
        <f t="shared" ref="C158:C217" si="48">100*B158/$B$8</f>
        <v>198.4909090909091</v>
      </c>
      <c r="D158" s="750">
        <f t="shared" si="45"/>
        <v>5.9902912621359272</v>
      </c>
      <c r="E158" s="750">
        <f t="shared" ref="E158:E163" si="49">100*((B158/$B$157)-1)</f>
        <v>5.9902912621359272</v>
      </c>
      <c r="F158" s="751">
        <f t="shared" si="46"/>
        <v>6.5073170731707375</v>
      </c>
      <c r="G158" s="840">
        <f t="shared" si="47"/>
        <v>14.433962264150946</v>
      </c>
      <c r="H158" s="842">
        <f>$B$322/B158</f>
        <v>3.0779305557767187</v>
      </c>
    </row>
    <row r="159" spans="1:9" ht="16.5" hidden="1" thickBot="1">
      <c r="A159" s="973" t="s">
        <v>436</v>
      </c>
      <c r="B159" s="748">
        <f>geral!E886</f>
        <v>105.83</v>
      </c>
      <c r="C159" s="748">
        <f t="shared" si="48"/>
        <v>192.41818181818181</v>
      </c>
      <c r="D159" s="750">
        <f t="shared" ref="D159:D169" si="50">100*((B159/B158)-1)</f>
        <v>-3.0594485664559912</v>
      </c>
      <c r="E159" s="750">
        <f t="shared" si="49"/>
        <v>2.7475728155339718</v>
      </c>
      <c r="F159" s="751">
        <f t="shared" si="46"/>
        <v>0</v>
      </c>
      <c r="G159" s="840">
        <f t="shared" si="47"/>
        <v>9.7821576763485361</v>
      </c>
      <c r="H159" s="842">
        <f>$B$322/B159</f>
        <v>3.175070195352399</v>
      </c>
      <c r="I159" s="829"/>
    </row>
    <row r="160" spans="1:9" ht="16.5" hidden="1" thickBot="1">
      <c r="A160" s="973" t="s">
        <v>437</v>
      </c>
      <c r="B160" s="748">
        <f>geral!E887</f>
        <v>110</v>
      </c>
      <c r="C160" s="748">
        <f t="shared" si="48"/>
        <v>200</v>
      </c>
      <c r="D160" s="750">
        <f t="shared" si="50"/>
        <v>3.9402815836719229</v>
      </c>
      <c r="E160" s="750">
        <f t="shared" si="49"/>
        <v>6.7961165048543659</v>
      </c>
      <c r="F160" s="751">
        <f t="shared" si="46"/>
        <v>5.7692307692307709</v>
      </c>
      <c r="G160" s="840">
        <f t="shared" si="47"/>
        <v>15.30398322851152</v>
      </c>
      <c r="H160" s="842">
        <f>$B$322/B160</f>
        <v>3.0547061706740397</v>
      </c>
      <c r="I160" s="829"/>
    </row>
    <row r="161" spans="1:10" ht="16.5" hidden="1" thickBot="1">
      <c r="A161" s="973" t="s">
        <v>438</v>
      </c>
      <c r="B161" s="748">
        <f>geral!E888</f>
        <v>114</v>
      </c>
      <c r="C161" s="748">
        <f t="shared" si="48"/>
        <v>207.27272727272728</v>
      </c>
      <c r="D161" s="750">
        <f t="shared" si="50"/>
        <v>3.6363636363636376</v>
      </c>
      <c r="E161" s="750">
        <f t="shared" si="49"/>
        <v>10.679611650485432</v>
      </c>
      <c r="F161" s="751">
        <f t="shared" ref="F161:F169" si="51">100*((B161/B149)-1)</f>
        <v>7.547169811320753</v>
      </c>
      <c r="G161" s="840">
        <f t="shared" ref="G161:G169" si="52">100*(B161/B137-1)</f>
        <v>15.853658536585357</v>
      </c>
      <c r="H161" s="842">
        <f>$B$322/B161</f>
        <v>2.9475234980188101</v>
      </c>
    </row>
    <row r="162" spans="1:10" ht="16.5" hidden="1" thickBot="1">
      <c r="A162" s="973" t="s">
        <v>439</v>
      </c>
      <c r="B162" s="748">
        <f>geral!E889</f>
        <v>110</v>
      </c>
      <c r="C162" s="748">
        <f t="shared" si="48"/>
        <v>200</v>
      </c>
      <c r="D162" s="750">
        <f t="shared" si="50"/>
        <v>-3.5087719298245612</v>
      </c>
      <c r="E162" s="750">
        <f t="shared" si="49"/>
        <v>6.7961165048543659</v>
      </c>
      <c r="F162" s="751">
        <f t="shared" si="51"/>
        <v>-1.1235955056179803</v>
      </c>
      <c r="G162" s="840">
        <f t="shared" si="52"/>
        <v>18.918918918918926</v>
      </c>
      <c r="H162" s="842">
        <f>$B$322/B162</f>
        <v>3.0547061706740397</v>
      </c>
    </row>
    <row r="163" spans="1:10" ht="16.5" hidden="1" thickBot="1">
      <c r="A163" s="973" t="s">
        <v>440</v>
      </c>
      <c r="B163" s="748">
        <f>geral!E890</f>
        <v>111.5</v>
      </c>
      <c r="C163" s="748">
        <f t="shared" si="48"/>
        <v>202.72727272727272</v>
      </c>
      <c r="D163" s="750">
        <f t="shared" si="50"/>
        <v>1.3636363636363669</v>
      </c>
      <c r="E163" s="750">
        <f t="shared" si="49"/>
        <v>8.2524271844660149</v>
      </c>
      <c r="F163" s="751">
        <f t="shared" si="51"/>
        <v>4.20560747663552</v>
      </c>
      <c r="G163" s="840">
        <f t="shared" si="52"/>
        <v>10.396039603960405</v>
      </c>
      <c r="H163" s="842">
        <f>$B$322/B163</f>
        <v>3.0136114688264071</v>
      </c>
    </row>
    <row r="164" spans="1:10" ht="16.5" hidden="1" thickBot="1">
      <c r="A164" s="973" t="s">
        <v>441</v>
      </c>
      <c r="B164" s="748">
        <f>geral!E891</f>
        <v>97.5</v>
      </c>
      <c r="C164" s="748">
        <f t="shared" si="48"/>
        <v>177.27272727272728</v>
      </c>
      <c r="D164" s="750">
        <f t="shared" si="50"/>
        <v>-12.556053811659195</v>
      </c>
      <c r="E164" s="750">
        <f t="shared" ref="E164:E169" si="53">100*((B164/$B$157)-1)</f>
        <v>-5.3398058252427161</v>
      </c>
      <c r="F164" s="751">
        <f t="shared" si="51"/>
        <v>-5.6421174876608919</v>
      </c>
      <c r="G164" s="840">
        <f t="shared" si="52"/>
        <v>-0.71283095723014833</v>
      </c>
      <c r="H164" s="842">
        <f>$B$322/B164</f>
        <v>3.4463351669143014</v>
      </c>
      <c r="I164" s="758" t="s">
        <v>241</v>
      </c>
      <c r="J164" s="780"/>
    </row>
    <row r="165" spans="1:10" ht="16.5" hidden="1" thickBot="1">
      <c r="A165" s="973" t="s">
        <v>442</v>
      </c>
      <c r="B165" s="748">
        <f>geral!E892</f>
        <v>97</v>
      </c>
      <c r="C165" s="748">
        <f t="shared" si="48"/>
        <v>176.36363636363637</v>
      </c>
      <c r="D165" s="750">
        <f t="shared" si="50"/>
        <v>-0.512820512820511</v>
      </c>
      <c r="E165" s="750">
        <f t="shared" si="53"/>
        <v>-5.8252427184465994</v>
      </c>
      <c r="F165" s="751">
        <f t="shared" si="51"/>
        <v>-11.818181818181817</v>
      </c>
      <c r="G165" s="840">
        <f t="shared" si="52"/>
        <v>-1.3525882233295983</v>
      </c>
      <c r="H165" s="842">
        <f>$B$322/B165</f>
        <v>3.464099781176746</v>
      </c>
    </row>
    <row r="166" spans="1:10" ht="16.5" hidden="1" thickBot="1">
      <c r="A166" s="973" t="s">
        <v>443</v>
      </c>
      <c r="B166" s="748">
        <f>geral!E893</f>
        <v>98</v>
      </c>
      <c r="C166" s="748">
        <f t="shared" si="48"/>
        <v>178.18181818181819</v>
      </c>
      <c r="D166" s="750">
        <f t="shared" si="50"/>
        <v>1.0309278350515427</v>
      </c>
      <c r="E166" s="750">
        <f t="shared" si="53"/>
        <v>-4.8543689320388328</v>
      </c>
      <c r="F166" s="751">
        <f t="shared" si="51"/>
        <v>-3.9215686274509776</v>
      </c>
      <c r="G166" s="840">
        <f t="shared" si="52"/>
        <v>0</v>
      </c>
      <c r="H166" s="842">
        <f>$B$322/B166</f>
        <v>3.4287518242259631</v>
      </c>
    </row>
    <row r="167" spans="1:10" ht="16.5" hidden="1" thickBot="1">
      <c r="A167" s="973" t="s">
        <v>444</v>
      </c>
      <c r="B167" s="748">
        <f>geral!E894</f>
        <v>97.5</v>
      </c>
      <c r="C167" s="748">
        <f t="shared" si="48"/>
        <v>177.27272727272728</v>
      </c>
      <c r="D167" s="750">
        <f t="shared" si="50"/>
        <v>-0.51020408163264808</v>
      </c>
      <c r="E167" s="750">
        <f t="shared" si="53"/>
        <v>-5.3398058252427161</v>
      </c>
      <c r="F167" s="751">
        <f t="shared" si="51"/>
        <v>-8.8785046728971917</v>
      </c>
      <c r="G167" s="840">
        <f t="shared" si="52"/>
        <v>-7.1428571428571397</v>
      </c>
      <c r="H167" s="842">
        <f>$B$322/B167</f>
        <v>3.4463351669143014</v>
      </c>
    </row>
    <row r="168" spans="1:10" ht="16.5" hidden="1" thickBot="1">
      <c r="A168" s="973" t="s">
        <v>445</v>
      </c>
      <c r="B168" s="748">
        <f>geral!E895</f>
        <v>97</v>
      </c>
      <c r="C168" s="748">
        <f t="shared" si="48"/>
        <v>176.36363636363637</v>
      </c>
      <c r="D168" s="750">
        <f t="shared" si="50"/>
        <v>-0.512820512820511</v>
      </c>
      <c r="E168" s="750">
        <f t="shared" si="53"/>
        <v>-5.8252427184465994</v>
      </c>
      <c r="F168" s="751">
        <f t="shared" si="51"/>
        <v>-3.9603960396039639</v>
      </c>
      <c r="G168" s="840">
        <f t="shared" si="52"/>
        <v>-7.6190476190476142</v>
      </c>
      <c r="H168" s="842">
        <f>$B$322/B168</f>
        <v>3.464099781176746</v>
      </c>
    </row>
    <row r="169" spans="1:10" ht="16.5" hidden="1" thickBot="1">
      <c r="A169" s="973" t="s">
        <v>446</v>
      </c>
      <c r="B169" s="748">
        <f>geral!E896</f>
        <v>97.5</v>
      </c>
      <c r="C169" s="748">
        <f t="shared" si="48"/>
        <v>177.27272727272728</v>
      </c>
      <c r="D169" s="750">
        <f t="shared" si="50"/>
        <v>0.51546391752577136</v>
      </c>
      <c r="E169" s="750">
        <f t="shared" si="53"/>
        <v>-5.3398058252427161</v>
      </c>
      <c r="F169" s="751">
        <f t="shared" si="51"/>
        <v>-5.3398058252427161</v>
      </c>
      <c r="G169" s="840">
        <f t="shared" si="52"/>
        <v>-1.683977009176163</v>
      </c>
      <c r="H169" s="842">
        <f>$B$322/B169</f>
        <v>3.4463351669143014</v>
      </c>
    </row>
    <row r="170" spans="1:10" ht="16.5" hidden="1" thickBot="1">
      <c r="A170" s="973" t="s">
        <v>447</v>
      </c>
      <c r="B170" s="748">
        <f>geral!G885</f>
        <v>97.5</v>
      </c>
      <c r="C170" s="748">
        <f t="shared" si="48"/>
        <v>177.27272727272728</v>
      </c>
      <c r="D170" s="750">
        <f t="shared" ref="D170:D175" si="54">100*((B170/B169)-1)</f>
        <v>0</v>
      </c>
      <c r="E170" s="750">
        <f t="shared" ref="E170:E175" si="55">100*((B170/$B$169)-1)</f>
        <v>0</v>
      </c>
      <c r="F170" s="751">
        <f t="shared" ref="F170:F175" si="56">100*((B170/B158)-1)</f>
        <v>-10.689749931299808</v>
      </c>
      <c r="G170" s="840">
        <f t="shared" ref="G170:G175" si="57">100*(B170/B146-1)</f>
        <v>-4.8780487804878092</v>
      </c>
      <c r="H170" s="842">
        <f>$B$322/B170</f>
        <v>3.4463351669143014</v>
      </c>
    </row>
    <row r="171" spans="1:10" ht="16.5" hidden="1" thickBot="1">
      <c r="A171" s="973" t="s">
        <v>448</v>
      </c>
      <c r="B171" s="748">
        <f>geral!G886</f>
        <v>99.166666666666671</v>
      </c>
      <c r="C171" s="748">
        <f t="shared" si="48"/>
        <v>180.30303030303031</v>
      </c>
      <c r="D171" s="750">
        <f t="shared" si="54"/>
        <v>1.7094017094017033</v>
      </c>
      <c r="E171" s="750">
        <f t="shared" si="55"/>
        <v>1.7094017094017033</v>
      </c>
      <c r="F171" s="751">
        <f t="shared" si="56"/>
        <v>-6.2962612995684841</v>
      </c>
      <c r="G171" s="840">
        <f t="shared" si="57"/>
        <v>-6.2962612995684841</v>
      </c>
      <c r="H171" s="842">
        <f>$B$322/B171</f>
        <v>3.388413567470363</v>
      </c>
    </row>
    <row r="172" spans="1:10" ht="16.5" hidden="1" thickBot="1">
      <c r="A172" s="973" t="s">
        <v>449</v>
      </c>
      <c r="B172" s="748">
        <f>geral!G887</f>
        <v>103</v>
      </c>
      <c r="C172" s="748">
        <f t="shared" si="48"/>
        <v>187.27272727272728</v>
      </c>
      <c r="D172" s="750">
        <f t="shared" si="54"/>
        <v>3.8655462184873812</v>
      </c>
      <c r="E172" s="750">
        <f t="shared" si="55"/>
        <v>5.6410256410256432</v>
      </c>
      <c r="F172" s="751">
        <f t="shared" si="56"/>
        <v>-6.3636363636363598</v>
      </c>
      <c r="G172" s="840">
        <f t="shared" si="57"/>
        <v>-0.96153846153845812</v>
      </c>
      <c r="H172" s="842">
        <f>$B$322/B172</f>
        <v>3.2623075609140231</v>
      </c>
    </row>
    <row r="173" spans="1:10" ht="16.5" hidden="1" thickBot="1">
      <c r="A173" s="973" t="s">
        <v>450</v>
      </c>
      <c r="B173" s="748">
        <f>geral!G888</f>
        <v>106.66666666666667</v>
      </c>
      <c r="C173" s="748">
        <f t="shared" si="48"/>
        <v>193.93939393939397</v>
      </c>
      <c r="D173" s="750">
        <f t="shared" si="54"/>
        <v>3.5598705501618255</v>
      </c>
      <c r="E173" s="750">
        <f t="shared" si="55"/>
        <v>9.4017094017094127</v>
      </c>
      <c r="F173" s="751">
        <f t="shared" si="56"/>
        <v>-6.4327485380116904</v>
      </c>
      <c r="G173" s="840">
        <f t="shared" si="57"/>
        <v>0.62893081761006275</v>
      </c>
      <c r="H173" s="842">
        <f>$B$322/B173</f>
        <v>3.1501657385076034</v>
      </c>
    </row>
    <row r="174" spans="1:10" ht="16.5" hidden="1" thickBot="1">
      <c r="A174" s="973" t="s">
        <v>451</v>
      </c>
      <c r="B174" s="748">
        <f>geral!G889</f>
        <v>107.5</v>
      </c>
      <c r="C174" s="748">
        <f t="shared" si="48"/>
        <v>195.45454545454547</v>
      </c>
      <c r="D174" s="750">
        <f t="shared" si="54"/>
        <v>0.78125</v>
      </c>
      <c r="E174" s="750">
        <f t="shared" si="55"/>
        <v>10.256410256410264</v>
      </c>
      <c r="F174" s="751">
        <f t="shared" si="56"/>
        <v>-2.2727272727272707</v>
      </c>
      <c r="G174" s="840">
        <f t="shared" si="57"/>
        <v>-3.3707865168539297</v>
      </c>
      <c r="H174" s="842">
        <f>$B$322/B174</f>
        <v>3.1257458490618082</v>
      </c>
    </row>
    <row r="175" spans="1:10" ht="15.75" hidden="1" customHeight="1" thickBot="1">
      <c r="A175" s="973" t="s">
        <v>452</v>
      </c>
      <c r="B175" s="748">
        <f>geral!G890</f>
        <v>107.5</v>
      </c>
      <c r="C175" s="748">
        <f t="shared" si="48"/>
        <v>195.45454545454547</v>
      </c>
      <c r="D175" s="750">
        <f t="shared" si="54"/>
        <v>0</v>
      </c>
      <c r="E175" s="750">
        <f t="shared" si="55"/>
        <v>10.256410256410264</v>
      </c>
      <c r="F175" s="751">
        <f t="shared" si="56"/>
        <v>-3.5874439461883401</v>
      </c>
      <c r="G175" s="840">
        <f t="shared" si="57"/>
        <v>0.46728971962617383</v>
      </c>
      <c r="H175" s="842">
        <f>$B$322/B175</f>
        <v>3.1257458490618082</v>
      </c>
    </row>
    <row r="176" spans="1:10" ht="16.5" hidden="1" thickBot="1">
      <c r="A176" s="973" t="s">
        <v>453</v>
      </c>
      <c r="B176" s="748">
        <f>geral!G891</f>
        <v>107.5</v>
      </c>
      <c r="C176" s="748">
        <f t="shared" si="48"/>
        <v>195.45454545454547</v>
      </c>
      <c r="D176" s="750">
        <f t="shared" ref="D176:D181" si="58">100*((B176/B175)-1)</f>
        <v>0</v>
      </c>
      <c r="E176" s="750">
        <f t="shared" ref="E176:E181" si="59">100*((B176/$B$169)-1)</f>
        <v>10.256410256410264</v>
      </c>
      <c r="F176" s="751">
        <f t="shared" ref="F176:F181" si="60">100*((B176/B164)-1)</f>
        <v>10.256410256410264</v>
      </c>
      <c r="G176" s="840">
        <f t="shared" ref="G176:G181" si="61">100*(B176/B152-1)</f>
        <v>4.0356140520662054</v>
      </c>
      <c r="H176" s="842">
        <f>$B$322/B176</f>
        <v>3.1257458490618082</v>
      </c>
    </row>
    <row r="177" spans="1:8" ht="16.5" hidden="1" thickBot="1">
      <c r="A177" s="973" t="s">
        <v>454</v>
      </c>
      <c r="B177" s="748">
        <f>geral!G892</f>
        <v>105</v>
      </c>
      <c r="C177" s="748">
        <f t="shared" si="48"/>
        <v>190.90909090909091</v>
      </c>
      <c r="D177" s="750">
        <f t="shared" si="58"/>
        <v>-2.3255813953488413</v>
      </c>
      <c r="E177" s="750">
        <f t="shared" si="59"/>
        <v>7.6923076923076872</v>
      </c>
      <c r="F177" s="751">
        <f t="shared" si="60"/>
        <v>8.2474226804123631</v>
      </c>
      <c r="G177" s="840">
        <f t="shared" si="61"/>
        <v>-4.5454545454545414</v>
      </c>
      <c r="H177" s="842">
        <f>$B$322/B177</f>
        <v>3.2001683692775655</v>
      </c>
    </row>
    <row r="178" spans="1:8" ht="16.5" hidden="1" thickBot="1">
      <c r="A178" s="973" t="s">
        <v>455</v>
      </c>
      <c r="B178" s="748">
        <f>geral!G893</f>
        <v>108.33333333333333</v>
      </c>
      <c r="C178" s="748">
        <f t="shared" si="48"/>
        <v>196.96969696969694</v>
      </c>
      <c r="D178" s="750">
        <f t="shared" si="58"/>
        <v>3.1746031746031633</v>
      </c>
      <c r="E178" s="750">
        <f t="shared" si="59"/>
        <v>11.111111111111116</v>
      </c>
      <c r="F178" s="751">
        <f t="shared" si="60"/>
        <v>10.544217687074831</v>
      </c>
      <c r="G178" s="840">
        <f t="shared" si="61"/>
        <v>6.2091503267973858</v>
      </c>
      <c r="H178" s="842">
        <f>$B$322/B178</f>
        <v>3.1017016502228714</v>
      </c>
    </row>
    <row r="179" spans="1:8" ht="16.5" hidden="1" thickBot="1">
      <c r="A179" s="973" t="s">
        <v>456</v>
      </c>
      <c r="B179" s="748">
        <f>geral!G894</f>
        <v>112</v>
      </c>
      <c r="C179" s="748">
        <f t="shared" si="48"/>
        <v>203.63636363636363</v>
      </c>
      <c r="D179" s="750">
        <f t="shared" si="58"/>
        <v>3.3846153846153859</v>
      </c>
      <c r="E179" s="750">
        <f t="shared" si="59"/>
        <v>14.871794871794863</v>
      </c>
      <c r="F179" s="751">
        <f t="shared" si="60"/>
        <v>14.871794871794863</v>
      </c>
      <c r="G179" s="840">
        <f t="shared" si="61"/>
        <v>4.6728971962616717</v>
      </c>
      <c r="H179" s="842">
        <f>$B$322/B179</f>
        <v>3.0001578461977174</v>
      </c>
    </row>
    <row r="180" spans="1:8" ht="16.5" hidden="1" thickBot="1">
      <c r="A180" s="973" t="s">
        <v>457</v>
      </c>
      <c r="B180" s="748">
        <f>geral!G895</f>
        <v>112</v>
      </c>
      <c r="C180" s="748">
        <f t="shared" si="48"/>
        <v>203.63636363636363</v>
      </c>
      <c r="D180" s="750">
        <f t="shared" si="58"/>
        <v>0</v>
      </c>
      <c r="E180" s="750">
        <f t="shared" si="59"/>
        <v>14.871794871794863</v>
      </c>
      <c r="F180" s="751">
        <f t="shared" si="60"/>
        <v>15.463917525773185</v>
      </c>
      <c r="G180" s="840">
        <f t="shared" si="61"/>
        <v>10.891089108910901</v>
      </c>
      <c r="H180" s="842">
        <f>$B$322/B180</f>
        <v>3.0001578461977174</v>
      </c>
    </row>
    <row r="181" spans="1:8" ht="16.5" hidden="1" thickBot="1">
      <c r="A181" s="973" t="s">
        <v>458</v>
      </c>
      <c r="B181" s="748">
        <f>geral!G896</f>
        <v>101</v>
      </c>
      <c r="C181" s="748">
        <f t="shared" si="48"/>
        <v>183.63636363636363</v>
      </c>
      <c r="D181" s="750">
        <f t="shared" si="58"/>
        <v>-9.8214285714285694</v>
      </c>
      <c r="E181" s="750">
        <f t="shared" si="59"/>
        <v>3.5897435897435992</v>
      </c>
      <c r="F181" s="751">
        <f t="shared" si="60"/>
        <v>3.5897435897435992</v>
      </c>
      <c r="G181" s="840">
        <f t="shared" si="61"/>
        <v>-1.9417475728155331</v>
      </c>
      <c r="H181" s="842">
        <f>$B$322/B181</f>
        <v>3.3269077106350928</v>
      </c>
    </row>
    <row r="182" spans="1:8" ht="16.5" hidden="1" thickBot="1">
      <c r="A182" s="973" t="s">
        <v>459</v>
      </c>
      <c r="B182" s="748">
        <f>geral!I885</f>
        <v>114.2</v>
      </c>
      <c r="C182" s="748">
        <f t="shared" si="48"/>
        <v>207.63636363636363</v>
      </c>
      <c r="D182" s="750">
        <f t="shared" ref="D182:D187" si="62">100*((B182/B181)-1)</f>
        <v>13.069306930693081</v>
      </c>
      <c r="E182" s="750">
        <f t="shared" ref="E182:E187" si="63">100*((B182/$B$181)-1)</f>
        <v>13.069306930693081</v>
      </c>
      <c r="F182" s="751">
        <f t="shared" ref="F182:F187" si="64">100*((B182/B170)-1)</f>
        <v>17.128205128205121</v>
      </c>
      <c r="G182" s="840">
        <f t="shared" ref="G182:G187" si="65">100*(B182/B158-1)</f>
        <v>4.6074929009801258</v>
      </c>
      <c r="H182" s="842">
        <f>$B$322/B182</f>
        <v>2.9423614603690398</v>
      </c>
    </row>
    <row r="183" spans="1:8" ht="16.5" hidden="1" thickBot="1">
      <c r="A183" s="973" t="s">
        <v>460</v>
      </c>
      <c r="B183" s="748">
        <f>geral!I886</f>
        <v>114.2</v>
      </c>
      <c r="C183" s="748">
        <f t="shared" si="48"/>
        <v>207.63636363636363</v>
      </c>
      <c r="D183" s="750">
        <f t="shared" si="62"/>
        <v>0</v>
      </c>
      <c r="E183" s="750">
        <f t="shared" si="63"/>
        <v>13.069306930693081</v>
      </c>
      <c r="F183" s="751">
        <f t="shared" si="64"/>
        <v>15.159663865546214</v>
      </c>
      <c r="G183" s="840">
        <f t="shared" si="65"/>
        <v>7.9089105168666851</v>
      </c>
      <c r="H183" s="842">
        <f>$B$322/B183</f>
        <v>2.9423614603690398</v>
      </c>
    </row>
    <row r="184" spans="1:8" ht="16.5" hidden="1" thickBot="1">
      <c r="A184" s="973" t="s">
        <v>461</v>
      </c>
      <c r="B184" s="748">
        <f>geral!I887</f>
        <v>114.2</v>
      </c>
      <c r="C184" s="748">
        <f t="shared" si="48"/>
        <v>207.63636363636363</v>
      </c>
      <c r="D184" s="750">
        <f t="shared" si="62"/>
        <v>0</v>
      </c>
      <c r="E184" s="750">
        <f t="shared" si="63"/>
        <v>13.069306930693081</v>
      </c>
      <c r="F184" s="751">
        <f t="shared" si="64"/>
        <v>10.873786407766994</v>
      </c>
      <c r="G184" s="840">
        <f t="shared" si="65"/>
        <v>3.8181818181818317</v>
      </c>
      <c r="H184" s="842">
        <f>$B$322/B184</f>
        <v>2.9423614603690398</v>
      </c>
    </row>
    <row r="185" spans="1:8" ht="16.5" hidden="1" thickBot="1">
      <c r="A185" s="973" t="s">
        <v>462</v>
      </c>
      <c r="B185" s="748">
        <f>geral!I888</f>
        <v>113.5</v>
      </c>
      <c r="C185" s="748">
        <f t="shared" si="48"/>
        <v>206.36363636363637</v>
      </c>
      <c r="D185" s="750">
        <f t="shared" si="62"/>
        <v>-0.61295971978984065</v>
      </c>
      <c r="E185" s="750">
        <f t="shared" si="63"/>
        <v>12.376237623762387</v>
      </c>
      <c r="F185" s="751">
        <f t="shared" si="64"/>
        <v>6.4062499999999911</v>
      </c>
      <c r="G185" s="840">
        <f t="shared" si="65"/>
        <v>-0.43859649122807154</v>
      </c>
      <c r="H185" s="842">
        <f>$B$322/B185</f>
        <v>2.9605081830321089</v>
      </c>
    </row>
    <row r="186" spans="1:8" ht="16.5" hidden="1" thickBot="1">
      <c r="A186" s="973" t="s">
        <v>463</v>
      </c>
      <c r="B186" s="748">
        <f>geral!I889</f>
        <v>116</v>
      </c>
      <c r="C186" s="748">
        <f t="shared" si="48"/>
        <v>210.90909090909091</v>
      </c>
      <c r="D186" s="750">
        <f t="shared" si="62"/>
        <v>2.2026431718061623</v>
      </c>
      <c r="E186" s="750">
        <f t="shared" si="63"/>
        <v>14.851485148514843</v>
      </c>
      <c r="F186" s="751">
        <f t="shared" si="64"/>
        <v>7.9069767441860561</v>
      </c>
      <c r="G186" s="840">
        <f t="shared" si="65"/>
        <v>5.4545454545454453</v>
      </c>
      <c r="H186" s="842">
        <f>$B$322/B186</f>
        <v>2.8967041273633134</v>
      </c>
    </row>
    <row r="187" spans="1:8" ht="16.5" hidden="1" thickBot="1">
      <c r="A187" s="973" t="s">
        <v>464</v>
      </c>
      <c r="B187" s="748">
        <f>geral!I890</f>
        <v>119</v>
      </c>
      <c r="C187" s="748">
        <f t="shared" si="48"/>
        <v>216.36363636363637</v>
      </c>
      <c r="D187" s="750">
        <f t="shared" si="62"/>
        <v>2.5862068965517349</v>
      </c>
      <c r="E187" s="750">
        <f t="shared" si="63"/>
        <v>17.821782178217816</v>
      </c>
      <c r="F187" s="751">
        <f t="shared" si="64"/>
        <v>10.697674418604652</v>
      </c>
      <c r="G187" s="840">
        <f t="shared" si="65"/>
        <v>6.7264573991031362</v>
      </c>
      <c r="H187" s="842">
        <f>$B$322/B187</f>
        <v>2.8236779728919696</v>
      </c>
    </row>
    <row r="188" spans="1:8" ht="16.5" hidden="1" thickBot="1">
      <c r="A188" s="973" t="s">
        <v>465</v>
      </c>
      <c r="B188" s="748">
        <f>geral!I891</f>
        <v>120</v>
      </c>
      <c r="C188" s="748">
        <f t="shared" si="48"/>
        <v>218.18181818181819</v>
      </c>
      <c r="D188" s="750">
        <f t="shared" ref="D188:D193" si="66">100*((B188/B187)-1)</f>
        <v>0.84033613445377853</v>
      </c>
      <c r="E188" s="750">
        <f t="shared" ref="E188:E193" si="67">100*((B188/$B$181)-1)</f>
        <v>18.811881188118807</v>
      </c>
      <c r="F188" s="751">
        <f t="shared" ref="F188:F193" si="68">100*((B188/B176)-1)</f>
        <v>11.627906976744185</v>
      </c>
      <c r="G188" s="840">
        <f t="shared" ref="G188:G193" si="69">100*(B188/B164-1)</f>
        <v>23.076923076923084</v>
      </c>
      <c r="H188" s="842">
        <f>$B$322/B188</f>
        <v>2.8001473231178697</v>
      </c>
    </row>
    <row r="189" spans="1:8" ht="16.5" hidden="1" thickBot="1">
      <c r="A189" s="973" t="s">
        <v>466</v>
      </c>
      <c r="B189" s="748">
        <f>geral!I892</f>
        <v>121.5</v>
      </c>
      <c r="C189" s="748">
        <f t="shared" si="48"/>
        <v>220.90909090909091</v>
      </c>
      <c r="D189" s="750">
        <f t="shared" si="66"/>
        <v>1.2499999999999956</v>
      </c>
      <c r="E189" s="750">
        <f t="shared" si="67"/>
        <v>20.297029702970292</v>
      </c>
      <c r="F189" s="751">
        <f t="shared" si="68"/>
        <v>15.714285714285726</v>
      </c>
      <c r="G189" s="840">
        <f t="shared" si="69"/>
        <v>25.257731958762886</v>
      </c>
      <c r="H189" s="842">
        <f>$B$322/B189</f>
        <v>2.7655776030793775</v>
      </c>
    </row>
    <row r="190" spans="1:8" ht="16.5" hidden="1" thickBot="1">
      <c r="A190" s="973" t="s">
        <v>467</v>
      </c>
      <c r="B190" s="748">
        <f>geral!I893</f>
        <v>121.67</v>
      </c>
      <c r="C190" s="748">
        <f t="shared" si="48"/>
        <v>221.21818181818182</v>
      </c>
      <c r="D190" s="750">
        <f t="shared" si="66"/>
        <v>0.13991769547325728</v>
      </c>
      <c r="E190" s="750">
        <f t="shared" si="67"/>
        <v>20.465346534653463</v>
      </c>
      <c r="F190" s="751">
        <f t="shared" si="68"/>
        <v>12.310769230769235</v>
      </c>
      <c r="G190" s="840">
        <f t="shared" si="69"/>
        <v>24.15306122448979</v>
      </c>
      <c r="H190" s="842">
        <f>$B$322/B190</f>
        <v>2.761713477226468</v>
      </c>
    </row>
    <row r="191" spans="1:8" ht="16.5" hidden="1" thickBot="1">
      <c r="A191" s="973" t="s">
        <v>468</v>
      </c>
      <c r="B191" s="748">
        <f>geral!I894</f>
        <v>122.5</v>
      </c>
      <c r="C191" s="748">
        <f t="shared" si="48"/>
        <v>222.72727272727272</v>
      </c>
      <c r="D191" s="750">
        <f t="shared" si="66"/>
        <v>0.68217309114819713</v>
      </c>
      <c r="E191" s="750">
        <f t="shared" si="67"/>
        <v>21.287128712871283</v>
      </c>
      <c r="F191" s="751">
        <f t="shared" si="68"/>
        <v>9.375</v>
      </c>
      <c r="G191" s="840">
        <f t="shared" si="69"/>
        <v>25.641025641025639</v>
      </c>
      <c r="H191" s="842">
        <f>$B$322/B191</f>
        <v>2.7430014593807703</v>
      </c>
    </row>
    <row r="192" spans="1:8" ht="16.5" hidden="1" thickBot="1">
      <c r="A192" s="973" t="s">
        <v>469</v>
      </c>
      <c r="B192" s="748">
        <f>geral!I895</f>
        <v>126.25</v>
      </c>
      <c r="C192" s="748">
        <f t="shared" si="48"/>
        <v>229.54545454545453</v>
      </c>
      <c r="D192" s="750">
        <f t="shared" si="66"/>
        <v>3.0612244897959107</v>
      </c>
      <c r="E192" s="750">
        <f t="shared" si="67"/>
        <v>25</v>
      </c>
      <c r="F192" s="751">
        <f t="shared" si="68"/>
        <v>12.723214285714279</v>
      </c>
      <c r="G192" s="840">
        <f t="shared" si="69"/>
        <v>30.154639175257735</v>
      </c>
      <c r="H192" s="842">
        <f>$B$322/B192</f>
        <v>2.6615261685080744</v>
      </c>
    </row>
    <row r="193" spans="1:8" ht="16.5" hidden="1" thickBot="1">
      <c r="A193" s="973" t="s">
        <v>470</v>
      </c>
      <c r="B193" s="748">
        <f>geral!I896</f>
        <v>125</v>
      </c>
      <c r="C193" s="748">
        <f t="shared" si="48"/>
        <v>227.27272727272728</v>
      </c>
      <c r="D193" s="750">
        <f t="shared" si="66"/>
        <v>-0.99009900990099098</v>
      </c>
      <c r="E193" s="750">
        <f t="shared" si="67"/>
        <v>23.762376237623762</v>
      </c>
      <c r="F193" s="751">
        <f t="shared" si="68"/>
        <v>23.762376237623762</v>
      </c>
      <c r="G193" s="840">
        <f t="shared" si="69"/>
        <v>28.205128205128215</v>
      </c>
      <c r="H193" s="842">
        <f>$B$322/B193</f>
        <v>2.6881414301931548</v>
      </c>
    </row>
    <row r="194" spans="1:8" ht="16.5" hidden="1" thickBot="1">
      <c r="A194" s="973" t="s">
        <v>471</v>
      </c>
      <c r="B194" s="748">
        <f>geral!K885</f>
        <v>114.2</v>
      </c>
      <c r="C194" s="748">
        <f t="shared" si="48"/>
        <v>207.63636363636363</v>
      </c>
      <c r="D194" s="750">
        <f t="shared" ref="D194:D199" si="70">100*((B194/B193)-1)</f>
        <v>-8.6400000000000041</v>
      </c>
      <c r="E194" s="750">
        <f t="shared" ref="E194:E199" si="71">100*((B194/$B$193)-1)</f>
        <v>-8.6400000000000041</v>
      </c>
      <c r="F194" s="751">
        <f t="shared" ref="F194:F199" si="72">100*((B194/B182)-1)</f>
        <v>0</v>
      </c>
      <c r="G194" s="840">
        <f t="shared" ref="G194:G199" si="73">100*(B194/B170-1)</f>
        <v>17.128205128205121</v>
      </c>
      <c r="H194" s="842">
        <f>$B$322/B194</f>
        <v>2.9423614603690398</v>
      </c>
    </row>
    <row r="195" spans="1:8" ht="16.5" hidden="1" thickBot="1">
      <c r="A195" s="973" t="s">
        <v>472</v>
      </c>
      <c r="B195" s="748">
        <f>geral!K886</f>
        <v>144.99833333333333</v>
      </c>
      <c r="C195" s="748">
        <f t="shared" si="48"/>
        <v>263.63333333333333</v>
      </c>
      <c r="D195" s="750">
        <f t="shared" si="70"/>
        <v>26.968768242848796</v>
      </c>
      <c r="E195" s="750">
        <f t="shared" si="71"/>
        <v>15.998666666666672</v>
      </c>
      <c r="F195" s="751">
        <f t="shared" si="72"/>
        <v>26.968768242848796</v>
      </c>
      <c r="G195" s="840">
        <f t="shared" si="73"/>
        <v>46.216806722689064</v>
      </c>
      <c r="H195" s="842">
        <f>$B$322/B195</f>
        <v>2.317389938556611</v>
      </c>
    </row>
    <row r="196" spans="1:8" ht="16.5" hidden="1" thickBot="1">
      <c r="A196" s="973" t="s">
        <v>473</v>
      </c>
      <c r="B196" s="748">
        <f>geral!K887</f>
        <v>173.33</v>
      </c>
      <c r="C196" s="748">
        <f t="shared" si="48"/>
        <v>315.14545454545453</v>
      </c>
      <c r="D196" s="750">
        <f t="shared" si="70"/>
        <v>19.539305049483335</v>
      </c>
      <c r="E196" s="750">
        <f t="shared" si="71"/>
        <v>38.664000000000009</v>
      </c>
      <c r="F196" s="751">
        <f t="shared" si="72"/>
        <v>51.77758318739054</v>
      </c>
      <c r="G196" s="840">
        <f t="shared" si="73"/>
        <v>68.281553398058264</v>
      </c>
      <c r="H196" s="842">
        <f>$B$322/B196</f>
        <v>1.9386008121741438</v>
      </c>
    </row>
    <row r="197" spans="1:8" ht="16.5" hidden="1" thickBot="1">
      <c r="A197" s="973" t="s">
        <v>474</v>
      </c>
      <c r="B197" s="748">
        <f>geral!K888</f>
        <v>173.33</v>
      </c>
      <c r="C197" s="748">
        <f t="shared" si="48"/>
        <v>315.14545454545453</v>
      </c>
      <c r="D197" s="750">
        <f t="shared" si="70"/>
        <v>0</v>
      </c>
      <c r="E197" s="750">
        <f t="shared" si="71"/>
        <v>38.664000000000009</v>
      </c>
      <c r="F197" s="751">
        <f t="shared" si="72"/>
        <v>52.71365638766521</v>
      </c>
      <c r="G197" s="840">
        <f t="shared" si="73"/>
        <v>62.49687500000001</v>
      </c>
      <c r="H197" s="842">
        <f>$B$322/B197</f>
        <v>1.9386008121741438</v>
      </c>
    </row>
    <row r="198" spans="1:8" ht="16.5" hidden="1" thickBot="1">
      <c r="A198" s="973" t="s">
        <v>475</v>
      </c>
      <c r="B198" s="748">
        <f>geral!K889</f>
        <v>173.33333333333334</v>
      </c>
      <c r="C198" s="748">
        <f t="shared" si="48"/>
        <v>315.15151515151518</v>
      </c>
      <c r="D198" s="750">
        <f t="shared" si="70"/>
        <v>1.9231139060327251E-3</v>
      </c>
      <c r="E198" s="750">
        <f t="shared" si="71"/>
        <v>38.666666666666671</v>
      </c>
      <c r="F198" s="751">
        <f t="shared" si="72"/>
        <v>49.42528735632186</v>
      </c>
      <c r="G198" s="840">
        <f t="shared" si="73"/>
        <v>61.240310077519375</v>
      </c>
      <c r="H198" s="842">
        <f>$B$322/B198</f>
        <v>1.9385635313892944</v>
      </c>
    </row>
    <row r="199" spans="1:8" ht="16.5" hidden="1" thickBot="1">
      <c r="A199" s="973" t="s">
        <v>476</v>
      </c>
      <c r="B199" s="748">
        <f>geral!K890</f>
        <v>173.33333333333334</v>
      </c>
      <c r="C199" s="748">
        <f t="shared" si="48"/>
        <v>315.15151515151518</v>
      </c>
      <c r="D199" s="750">
        <f t="shared" si="70"/>
        <v>0</v>
      </c>
      <c r="E199" s="750">
        <f t="shared" si="71"/>
        <v>38.666666666666671</v>
      </c>
      <c r="F199" s="751">
        <f t="shared" si="72"/>
        <v>45.658263305322144</v>
      </c>
      <c r="G199" s="840">
        <f t="shared" si="73"/>
        <v>61.240310077519375</v>
      </c>
      <c r="H199" s="842">
        <f>$B$322/B199</f>
        <v>1.9385635313892944</v>
      </c>
    </row>
    <row r="200" spans="1:8" ht="16.5" hidden="1" thickBot="1">
      <c r="A200" s="973" t="s">
        <v>477</v>
      </c>
      <c r="B200" s="748">
        <f>geral!K891</f>
        <v>182</v>
      </c>
      <c r="C200" s="748">
        <f t="shared" si="48"/>
        <v>330.90909090909093</v>
      </c>
      <c r="D200" s="750">
        <f t="shared" ref="D200:D205" si="74">100*((B200/B199)-1)</f>
        <v>5.0000000000000044</v>
      </c>
      <c r="E200" s="750">
        <f t="shared" ref="E200:E205" si="75">100*((B200/$B$193)-1)</f>
        <v>45.599999999999994</v>
      </c>
      <c r="F200" s="751">
        <f t="shared" ref="F200:F205" si="76">100*((B200/B188)-1)</f>
        <v>51.666666666666657</v>
      </c>
      <c r="G200" s="840">
        <f t="shared" ref="G200:G205" si="77">100*(B200/B176-1)</f>
        <v>69.302325581395351</v>
      </c>
      <c r="H200" s="842">
        <f>$B$322/B200</f>
        <v>1.8462509822755184</v>
      </c>
    </row>
    <row r="201" spans="1:8" ht="16.5" hidden="1" thickBot="1">
      <c r="A201" s="973" t="s">
        <v>478</v>
      </c>
      <c r="B201" s="748">
        <f>geral!K892</f>
        <v>182</v>
      </c>
      <c r="C201" s="748">
        <f t="shared" si="48"/>
        <v>330.90909090909093</v>
      </c>
      <c r="D201" s="750">
        <f t="shared" si="74"/>
        <v>0</v>
      </c>
      <c r="E201" s="750">
        <f t="shared" si="75"/>
        <v>45.599999999999994</v>
      </c>
      <c r="F201" s="751">
        <f t="shared" si="76"/>
        <v>49.794238683127581</v>
      </c>
      <c r="G201" s="840">
        <f t="shared" si="77"/>
        <v>73.333333333333343</v>
      </c>
      <c r="H201" s="842">
        <f>$B$322/B201</f>
        <v>1.8462509822755184</v>
      </c>
    </row>
    <row r="202" spans="1:8" ht="16.5" hidden="1" thickBot="1">
      <c r="A202" s="973" t="s">
        <v>479</v>
      </c>
      <c r="B202" s="748">
        <f>geral!K893</f>
        <v>182</v>
      </c>
      <c r="C202" s="748">
        <f t="shared" si="48"/>
        <v>330.90909090909093</v>
      </c>
      <c r="D202" s="750">
        <f t="shared" si="74"/>
        <v>0</v>
      </c>
      <c r="E202" s="750">
        <f t="shared" si="75"/>
        <v>45.599999999999994</v>
      </c>
      <c r="F202" s="751">
        <f t="shared" si="76"/>
        <v>49.584942878277303</v>
      </c>
      <c r="G202" s="840">
        <f t="shared" si="77"/>
        <v>68.000000000000014</v>
      </c>
      <c r="H202" s="842">
        <f>$B$322/B202</f>
        <v>1.8462509822755184</v>
      </c>
    </row>
    <row r="203" spans="1:8" ht="16.5" hidden="1" thickBot="1">
      <c r="A203" s="973" t="s">
        <v>480</v>
      </c>
      <c r="B203" s="748">
        <f>geral!K894</f>
        <v>182</v>
      </c>
      <c r="C203" s="748">
        <f t="shared" si="48"/>
        <v>330.90909090909093</v>
      </c>
      <c r="D203" s="750">
        <f t="shared" si="74"/>
        <v>0</v>
      </c>
      <c r="E203" s="750">
        <f t="shared" si="75"/>
        <v>45.599999999999994</v>
      </c>
      <c r="F203" s="751">
        <f t="shared" si="76"/>
        <v>48.571428571428577</v>
      </c>
      <c r="G203" s="840">
        <f t="shared" si="77"/>
        <v>62.5</v>
      </c>
      <c r="H203" s="842">
        <f>$B$322/B203</f>
        <v>1.8462509822755184</v>
      </c>
    </row>
    <row r="204" spans="1:8" ht="16.5" hidden="1" thickBot="1">
      <c r="A204" s="973" t="s">
        <v>481</v>
      </c>
      <c r="B204" s="748">
        <f>geral!K895</f>
        <v>182</v>
      </c>
      <c r="C204" s="748">
        <f t="shared" si="48"/>
        <v>330.90909090909093</v>
      </c>
      <c r="D204" s="750">
        <f t="shared" si="74"/>
        <v>0</v>
      </c>
      <c r="E204" s="750">
        <f t="shared" si="75"/>
        <v>45.599999999999994</v>
      </c>
      <c r="F204" s="751">
        <f t="shared" si="76"/>
        <v>44.158415841584151</v>
      </c>
      <c r="G204" s="840">
        <f t="shared" si="77"/>
        <v>62.5</v>
      </c>
      <c r="H204" s="842">
        <f>$B$322/B204</f>
        <v>1.8462509822755184</v>
      </c>
    </row>
    <row r="205" spans="1:8" ht="16.5" hidden="1" thickBot="1">
      <c r="A205" s="1015" t="s">
        <v>482</v>
      </c>
      <c r="B205" s="755">
        <f>geral!K896</f>
        <v>182</v>
      </c>
      <c r="C205" s="755">
        <f t="shared" si="48"/>
        <v>330.90909090909093</v>
      </c>
      <c r="D205" s="756">
        <f t="shared" si="74"/>
        <v>0</v>
      </c>
      <c r="E205" s="756">
        <f t="shared" si="75"/>
        <v>45.599999999999994</v>
      </c>
      <c r="F205" s="757">
        <f t="shared" si="76"/>
        <v>45.599999999999994</v>
      </c>
      <c r="G205" s="841">
        <f t="shared" si="77"/>
        <v>80.198019801980209</v>
      </c>
      <c r="H205" s="922">
        <f>$B$322/B205</f>
        <v>1.8462509822755184</v>
      </c>
    </row>
    <row r="206" spans="1:8">
      <c r="A206" s="1013" t="s">
        <v>483</v>
      </c>
      <c r="B206" s="852">
        <f>geral!M885</f>
        <v>182</v>
      </c>
      <c r="C206" s="852">
        <f t="shared" si="48"/>
        <v>330.90909090909093</v>
      </c>
      <c r="D206" s="967">
        <f t="shared" ref="D206:D211" si="78">100*((B206/B205)-1)</f>
        <v>0</v>
      </c>
      <c r="E206" s="967">
        <f t="shared" ref="E206:E211" si="79">100*((B206/$B$205)-1)</f>
        <v>0</v>
      </c>
      <c r="F206" s="968">
        <f t="shared" ref="F206:F211" si="80">100*((B206/B194)-1)</f>
        <v>59.369527145359015</v>
      </c>
      <c r="G206" s="969">
        <f t="shared" ref="G206:G211" si="81">100*(B206/B182-1)</f>
        <v>59.369527145359015</v>
      </c>
      <c r="H206" s="856">
        <f>$B$322/B206</f>
        <v>1.8462509822755184</v>
      </c>
    </row>
    <row r="207" spans="1:8">
      <c r="A207" s="1014" t="s">
        <v>484</v>
      </c>
      <c r="B207" s="857">
        <f>geral!M886</f>
        <v>182</v>
      </c>
      <c r="C207" s="857">
        <f t="shared" si="48"/>
        <v>330.90909090909093</v>
      </c>
      <c r="D207" s="961">
        <f t="shared" si="78"/>
        <v>0</v>
      </c>
      <c r="E207" s="961">
        <f t="shared" si="79"/>
        <v>0</v>
      </c>
      <c r="F207" s="965">
        <f t="shared" si="80"/>
        <v>25.518684122806</v>
      </c>
      <c r="G207" s="966">
        <f t="shared" si="81"/>
        <v>59.369527145359015</v>
      </c>
      <c r="H207" s="861">
        <f>$B$322/B207</f>
        <v>1.8462509822755184</v>
      </c>
    </row>
    <row r="208" spans="1:8">
      <c r="A208" s="1014" t="s">
        <v>485</v>
      </c>
      <c r="B208" s="857">
        <f>geral!M887</f>
        <v>182</v>
      </c>
      <c r="C208" s="857">
        <f t="shared" si="48"/>
        <v>330.90909090909093</v>
      </c>
      <c r="D208" s="961">
        <f t="shared" si="78"/>
        <v>0</v>
      </c>
      <c r="E208" s="961">
        <f t="shared" si="79"/>
        <v>0</v>
      </c>
      <c r="F208" s="965">
        <f t="shared" si="80"/>
        <v>5.0020192696013321</v>
      </c>
      <c r="G208" s="966">
        <f t="shared" si="81"/>
        <v>59.369527145359015</v>
      </c>
      <c r="H208" s="861">
        <f>$B$322/B208</f>
        <v>1.8462509822755184</v>
      </c>
    </row>
    <row r="209" spans="1:8">
      <c r="A209" s="1014" t="s">
        <v>486</v>
      </c>
      <c r="B209" s="857">
        <f>geral!M888</f>
        <v>182</v>
      </c>
      <c r="C209" s="857">
        <f t="shared" si="48"/>
        <v>330.90909090909093</v>
      </c>
      <c r="D209" s="961">
        <f t="shared" si="78"/>
        <v>0</v>
      </c>
      <c r="E209" s="961">
        <f t="shared" si="79"/>
        <v>0</v>
      </c>
      <c r="F209" s="965">
        <f t="shared" si="80"/>
        <v>5.0020192696013321</v>
      </c>
      <c r="G209" s="966">
        <f t="shared" si="81"/>
        <v>60.352422907488986</v>
      </c>
      <c r="H209" s="861">
        <f t="shared" ref="H209:H272" si="82">$B$322/B209</f>
        <v>1.8462509822755184</v>
      </c>
    </row>
    <row r="210" spans="1:8">
      <c r="A210" s="1014" t="s">
        <v>487</v>
      </c>
      <c r="B210" s="857">
        <f>geral!M889</f>
        <v>182</v>
      </c>
      <c r="C210" s="857">
        <f t="shared" si="48"/>
        <v>330.90909090909093</v>
      </c>
      <c r="D210" s="961">
        <f t="shared" si="78"/>
        <v>0</v>
      </c>
      <c r="E210" s="961">
        <f t="shared" si="79"/>
        <v>0</v>
      </c>
      <c r="F210" s="965">
        <f t="shared" si="80"/>
        <v>5.0000000000000044</v>
      </c>
      <c r="G210" s="966">
        <f t="shared" si="81"/>
        <v>56.896551724137922</v>
      </c>
      <c r="H210" s="861">
        <f t="shared" si="82"/>
        <v>1.8462509822755184</v>
      </c>
    </row>
    <row r="211" spans="1:8">
      <c r="A211" s="1014" t="s">
        <v>488</v>
      </c>
      <c r="B211" s="857">
        <f>geral!M890</f>
        <v>182</v>
      </c>
      <c r="C211" s="857">
        <f t="shared" si="48"/>
        <v>330.90909090909093</v>
      </c>
      <c r="D211" s="961">
        <f t="shared" si="78"/>
        <v>0</v>
      </c>
      <c r="E211" s="961">
        <f t="shared" si="79"/>
        <v>0</v>
      </c>
      <c r="F211" s="965">
        <f t="shared" si="80"/>
        <v>5.0000000000000044</v>
      </c>
      <c r="G211" s="966">
        <f t="shared" si="81"/>
        <v>52.941176470588225</v>
      </c>
      <c r="H211" s="861">
        <f t="shared" si="82"/>
        <v>1.8462509822755184</v>
      </c>
    </row>
    <row r="212" spans="1:8">
      <c r="A212" s="1014" t="s">
        <v>489</v>
      </c>
      <c r="B212" s="857">
        <f>geral!M891</f>
        <v>182</v>
      </c>
      <c r="C212" s="857">
        <f t="shared" si="48"/>
        <v>330.90909090909093</v>
      </c>
      <c r="D212" s="961">
        <f t="shared" ref="D212:D217" si="83">100*((B212/B211)-1)</f>
        <v>0</v>
      </c>
      <c r="E212" s="961">
        <f t="shared" ref="E212:E217" si="84">100*((B212/$B$205)-1)</f>
        <v>0</v>
      </c>
      <c r="F212" s="965">
        <f t="shared" ref="F212:F217" si="85">100*((B212/B200)-1)</f>
        <v>0</v>
      </c>
      <c r="G212" s="966">
        <f t="shared" ref="G212:G217" si="86">100*(B212/B188-1)</f>
        <v>51.666666666666657</v>
      </c>
      <c r="H212" s="861">
        <f t="shared" si="82"/>
        <v>1.8462509822755184</v>
      </c>
    </row>
    <row r="213" spans="1:8">
      <c r="A213" s="1014" t="s">
        <v>490</v>
      </c>
      <c r="B213" s="857">
        <f>geral!M892</f>
        <v>186</v>
      </c>
      <c r="C213" s="857">
        <f t="shared" si="48"/>
        <v>338.18181818181819</v>
      </c>
      <c r="D213" s="961">
        <f t="shared" si="83"/>
        <v>2.19780219780219</v>
      </c>
      <c r="E213" s="961">
        <f t="shared" si="84"/>
        <v>2.19780219780219</v>
      </c>
      <c r="F213" s="965">
        <f t="shared" si="85"/>
        <v>2.19780219780219</v>
      </c>
      <c r="G213" s="966">
        <f t="shared" si="86"/>
        <v>53.08641975308641</v>
      </c>
      <c r="H213" s="861">
        <f t="shared" si="82"/>
        <v>1.8065466600760449</v>
      </c>
    </row>
    <row r="214" spans="1:8">
      <c r="A214" s="1014" t="s">
        <v>491</v>
      </c>
      <c r="B214" s="857">
        <f>geral!M893</f>
        <v>186</v>
      </c>
      <c r="C214" s="857">
        <f t="shared" si="48"/>
        <v>338.18181818181819</v>
      </c>
      <c r="D214" s="961">
        <f t="shared" si="83"/>
        <v>0</v>
      </c>
      <c r="E214" s="961">
        <f t="shared" si="84"/>
        <v>2.19780219780219</v>
      </c>
      <c r="F214" s="965">
        <f t="shared" si="85"/>
        <v>2.19780219780219</v>
      </c>
      <c r="G214" s="966">
        <f t="shared" si="86"/>
        <v>52.872524040437256</v>
      </c>
      <c r="H214" s="861">
        <f t="shared" si="82"/>
        <v>1.8065466600760449</v>
      </c>
    </row>
    <row r="215" spans="1:8">
      <c r="A215" s="1014" t="s">
        <v>492</v>
      </c>
      <c r="B215" s="857">
        <f>geral!M894</f>
        <v>186</v>
      </c>
      <c r="C215" s="857">
        <f t="shared" si="48"/>
        <v>338.18181818181819</v>
      </c>
      <c r="D215" s="961">
        <f t="shared" si="83"/>
        <v>0</v>
      </c>
      <c r="E215" s="961">
        <f t="shared" si="84"/>
        <v>2.19780219780219</v>
      </c>
      <c r="F215" s="965">
        <f t="shared" si="85"/>
        <v>2.19780219780219</v>
      </c>
      <c r="G215" s="966">
        <f t="shared" si="86"/>
        <v>51.836734693877553</v>
      </c>
      <c r="H215" s="861">
        <f t="shared" si="82"/>
        <v>1.8065466600760449</v>
      </c>
    </row>
    <row r="216" spans="1:8">
      <c r="A216" s="1014" t="s">
        <v>493</v>
      </c>
      <c r="B216" s="857">
        <f>geral!M895</f>
        <v>186</v>
      </c>
      <c r="C216" s="857">
        <f t="shared" si="48"/>
        <v>338.18181818181819</v>
      </c>
      <c r="D216" s="961">
        <f t="shared" si="83"/>
        <v>0</v>
      </c>
      <c r="E216" s="961">
        <f t="shared" si="84"/>
        <v>2.19780219780219</v>
      </c>
      <c r="F216" s="965">
        <f t="shared" si="85"/>
        <v>2.19780219780219</v>
      </c>
      <c r="G216" s="966">
        <f t="shared" si="86"/>
        <v>47.326732673267323</v>
      </c>
      <c r="H216" s="861">
        <f t="shared" si="82"/>
        <v>1.8065466600760449</v>
      </c>
    </row>
    <row r="217" spans="1:8">
      <c r="A217" s="1014" t="s">
        <v>494</v>
      </c>
      <c r="B217" s="857">
        <f>geral!M896</f>
        <v>186</v>
      </c>
      <c r="C217" s="857">
        <f t="shared" si="48"/>
        <v>338.18181818181819</v>
      </c>
      <c r="D217" s="961">
        <f t="shared" si="83"/>
        <v>0</v>
      </c>
      <c r="E217" s="961">
        <f t="shared" si="84"/>
        <v>2.19780219780219</v>
      </c>
      <c r="F217" s="965">
        <f t="shared" si="85"/>
        <v>2.19780219780219</v>
      </c>
      <c r="G217" s="966">
        <f t="shared" si="86"/>
        <v>48.8</v>
      </c>
      <c r="H217" s="861">
        <f t="shared" si="82"/>
        <v>1.8065466600760449</v>
      </c>
    </row>
    <row r="218" spans="1:8">
      <c r="A218" s="1014" t="s">
        <v>495</v>
      </c>
      <c r="B218" s="857">
        <f>geral!C900</f>
        <v>220</v>
      </c>
      <c r="C218" s="857">
        <f t="shared" ref="C218:C223" si="87">100*B218/$B$8</f>
        <v>400</v>
      </c>
      <c r="D218" s="961">
        <f t="shared" ref="D218:D223" si="88">100*((B218/B217)-1)</f>
        <v>18.279569892473123</v>
      </c>
      <c r="E218" s="961">
        <f t="shared" ref="E218:E223" si="89">100*((B218/$B$217)-1)</f>
        <v>18.279569892473123</v>
      </c>
      <c r="F218" s="965">
        <f t="shared" ref="F218:F223" si="90">100*((B218/B206)-1)</f>
        <v>20.879120879120872</v>
      </c>
      <c r="G218" s="966">
        <f t="shared" ref="G218:G223" si="91">100*(B218/B194-1)</f>
        <v>92.644483362521896</v>
      </c>
      <c r="H218" s="861">
        <f t="shared" si="82"/>
        <v>1.5273530853370199</v>
      </c>
    </row>
    <row r="219" spans="1:8">
      <c r="A219" s="1014" t="s">
        <v>496</v>
      </c>
      <c r="B219" s="857">
        <f>geral!C901</f>
        <v>220</v>
      </c>
      <c r="C219" s="857">
        <f t="shared" si="87"/>
        <v>400</v>
      </c>
      <c r="D219" s="961">
        <f t="shared" si="88"/>
        <v>0</v>
      </c>
      <c r="E219" s="961">
        <f t="shared" si="89"/>
        <v>18.279569892473123</v>
      </c>
      <c r="F219" s="965">
        <f t="shared" si="90"/>
        <v>20.879120879120872</v>
      </c>
      <c r="G219" s="966">
        <f t="shared" si="91"/>
        <v>51.725881906688585</v>
      </c>
      <c r="H219" s="861">
        <f t="shared" si="82"/>
        <v>1.5273530853370199</v>
      </c>
    </row>
    <row r="220" spans="1:8">
      <c r="A220" s="1014" t="s">
        <v>497</v>
      </c>
      <c r="B220" s="857">
        <f>geral!C902</f>
        <v>220</v>
      </c>
      <c r="C220" s="857">
        <f t="shared" si="87"/>
        <v>400</v>
      </c>
      <c r="D220" s="961">
        <f t="shared" si="88"/>
        <v>0</v>
      </c>
      <c r="E220" s="961">
        <f t="shared" si="89"/>
        <v>18.279569892473123</v>
      </c>
      <c r="F220" s="965">
        <f t="shared" si="90"/>
        <v>20.879120879120872</v>
      </c>
      <c r="G220" s="966">
        <f t="shared" si="91"/>
        <v>26.925517798419186</v>
      </c>
      <c r="H220" s="861">
        <f t="shared" si="82"/>
        <v>1.5273530853370199</v>
      </c>
    </row>
    <row r="221" spans="1:8">
      <c r="A221" s="1014" t="s">
        <v>498</v>
      </c>
      <c r="B221" s="857">
        <f>geral!C903</f>
        <v>220</v>
      </c>
      <c r="C221" s="857">
        <f t="shared" si="87"/>
        <v>400</v>
      </c>
      <c r="D221" s="961">
        <f t="shared" si="88"/>
        <v>0</v>
      </c>
      <c r="E221" s="961">
        <f t="shared" si="89"/>
        <v>18.279569892473123</v>
      </c>
      <c r="F221" s="965">
        <f t="shared" si="90"/>
        <v>20.879120879120872</v>
      </c>
      <c r="G221" s="966">
        <f t="shared" si="91"/>
        <v>26.925517798419186</v>
      </c>
      <c r="H221" s="861">
        <f t="shared" si="82"/>
        <v>1.5273530853370199</v>
      </c>
    </row>
    <row r="222" spans="1:8">
      <c r="A222" s="1014" t="s">
        <v>499</v>
      </c>
      <c r="B222" s="857">
        <f>geral!C904</f>
        <v>220</v>
      </c>
      <c r="C222" s="857">
        <f t="shared" si="87"/>
        <v>400</v>
      </c>
      <c r="D222" s="961">
        <f t="shared" si="88"/>
        <v>0</v>
      </c>
      <c r="E222" s="961">
        <f t="shared" si="89"/>
        <v>18.279569892473123</v>
      </c>
      <c r="F222" s="965">
        <f t="shared" si="90"/>
        <v>20.879120879120872</v>
      </c>
      <c r="G222" s="966">
        <f t="shared" si="91"/>
        <v>26.923076923076916</v>
      </c>
      <c r="H222" s="861">
        <f t="shared" si="82"/>
        <v>1.5273530853370199</v>
      </c>
    </row>
    <row r="223" spans="1:8">
      <c r="A223" s="1014" t="s">
        <v>500</v>
      </c>
      <c r="B223" s="857">
        <f>geral!C905</f>
        <v>220</v>
      </c>
      <c r="C223" s="857">
        <f t="shared" si="87"/>
        <v>400</v>
      </c>
      <c r="D223" s="961">
        <f t="shared" si="88"/>
        <v>0</v>
      </c>
      <c r="E223" s="961">
        <f t="shared" si="89"/>
        <v>18.279569892473123</v>
      </c>
      <c r="F223" s="965">
        <f t="shared" si="90"/>
        <v>20.879120879120872</v>
      </c>
      <c r="G223" s="966">
        <f t="shared" si="91"/>
        <v>26.923076923076916</v>
      </c>
      <c r="H223" s="861">
        <f t="shared" si="82"/>
        <v>1.5273530853370199</v>
      </c>
    </row>
    <row r="224" spans="1:8">
      <c r="A224" s="1014" t="s">
        <v>501</v>
      </c>
      <c r="B224" s="857">
        <f>geral!C906</f>
        <v>224</v>
      </c>
      <c r="C224" s="857">
        <f t="shared" ref="C224:C229" si="92">100*B224/$B$8</f>
        <v>407.27272727272725</v>
      </c>
      <c r="D224" s="961">
        <f t="shared" ref="D224:D229" si="93">100*((B224/B223)-1)</f>
        <v>1.8181818181818077</v>
      </c>
      <c r="E224" s="961">
        <f t="shared" ref="E224:E229" si="94">100*((B224/$B$217)-1)</f>
        <v>20.430107526881724</v>
      </c>
      <c r="F224" s="965">
        <f t="shared" ref="F224:F229" si="95">100*((B224/B212)-1)</f>
        <v>23.076923076923084</v>
      </c>
      <c r="G224" s="966">
        <f t="shared" ref="G224:G229" si="96">100*(B224/B200-1)</f>
        <v>23.076923076923084</v>
      </c>
      <c r="H224" s="861">
        <f t="shared" si="82"/>
        <v>1.5000789230988587</v>
      </c>
    </row>
    <row r="225" spans="1:8">
      <c r="A225" s="1014" t="s">
        <v>502</v>
      </c>
      <c r="B225" s="857">
        <f>geral!C907</f>
        <v>224</v>
      </c>
      <c r="C225" s="857">
        <f t="shared" si="92"/>
        <v>407.27272727272725</v>
      </c>
      <c r="D225" s="961">
        <f t="shared" si="93"/>
        <v>0</v>
      </c>
      <c r="E225" s="961">
        <f t="shared" si="94"/>
        <v>20.430107526881724</v>
      </c>
      <c r="F225" s="965">
        <f t="shared" si="95"/>
        <v>20.430107526881724</v>
      </c>
      <c r="G225" s="966">
        <f t="shared" si="96"/>
        <v>23.076923076923084</v>
      </c>
      <c r="H225" s="861">
        <f t="shared" si="82"/>
        <v>1.5000789230988587</v>
      </c>
    </row>
    <row r="226" spans="1:8">
      <c r="A226" s="1014" t="s">
        <v>503</v>
      </c>
      <c r="B226" s="857">
        <f>geral!C908</f>
        <v>224</v>
      </c>
      <c r="C226" s="857">
        <f t="shared" si="92"/>
        <v>407.27272727272725</v>
      </c>
      <c r="D226" s="961">
        <f t="shared" si="93"/>
        <v>0</v>
      </c>
      <c r="E226" s="961">
        <f t="shared" si="94"/>
        <v>20.430107526881724</v>
      </c>
      <c r="F226" s="965">
        <f t="shared" si="95"/>
        <v>20.430107526881724</v>
      </c>
      <c r="G226" s="966">
        <f t="shared" si="96"/>
        <v>23.076923076923084</v>
      </c>
      <c r="H226" s="861">
        <f t="shared" si="82"/>
        <v>1.5000789230988587</v>
      </c>
    </row>
    <row r="227" spans="1:8">
      <c r="A227" s="1014" t="s">
        <v>504</v>
      </c>
      <c r="B227" s="857">
        <f>geral!C909</f>
        <v>224</v>
      </c>
      <c r="C227" s="857">
        <f t="shared" si="92"/>
        <v>407.27272727272725</v>
      </c>
      <c r="D227" s="961">
        <f t="shared" si="93"/>
        <v>0</v>
      </c>
      <c r="E227" s="961">
        <f t="shared" si="94"/>
        <v>20.430107526881724</v>
      </c>
      <c r="F227" s="965">
        <f t="shared" si="95"/>
        <v>20.430107526881724</v>
      </c>
      <c r="G227" s="966">
        <f t="shared" si="96"/>
        <v>23.076923076923084</v>
      </c>
      <c r="H227" s="861">
        <f t="shared" si="82"/>
        <v>1.5000789230988587</v>
      </c>
    </row>
    <row r="228" spans="1:8">
      <c r="A228" s="1014" t="s">
        <v>505</v>
      </c>
      <c r="B228" s="857">
        <f>geral!C910</f>
        <v>224</v>
      </c>
      <c r="C228" s="857">
        <f t="shared" si="92"/>
        <v>407.27272727272725</v>
      </c>
      <c r="D228" s="961">
        <f t="shared" si="93"/>
        <v>0</v>
      </c>
      <c r="E228" s="961">
        <f t="shared" si="94"/>
        <v>20.430107526881724</v>
      </c>
      <c r="F228" s="965">
        <f t="shared" si="95"/>
        <v>20.430107526881724</v>
      </c>
      <c r="G228" s="966">
        <f t="shared" si="96"/>
        <v>23.076923076923084</v>
      </c>
      <c r="H228" s="861">
        <f t="shared" si="82"/>
        <v>1.5000789230988587</v>
      </c>
    </row>
    <row r="229" spans="1:8">
      <c r="A229" s="1014" t="s">
        <v>506</v>
      </c>
      <c r="B229" s="857">
        <f>geral!C911</f>
        <v>224</v>
      </c>
      <c r="C229" s="857">
        <f t="shared" si="92"/>
        <v>407.27272727272725</v>
      </c>
      <c r="D229" s="961">
        <f t="shared" si="93"/>
        <v>0</v>
      </c>
      <c r="E229" s="961">
        <f t="shared" si="94"/>
        <v>20.430107526881724</v>
      </c>
      <c r="F229" s="965">
        <f t="shared" si="95"/>
        <v>20.430107526881724</v>
      </c>
      <c r="G229" s="966">
        <f t="shared" si="96"/>
        <v>23.076923076923084</v>
      </c>
      <c r="H229" s="861">
        <f t="shared" si="82"/>
        <v>1.5000789230988587</v>
      </c>
    </row>
    <row r="230" spans="1:8">
      <c r="A230" s="1014" t="s">
        <v>507</v>
      </c>
      <c r="B230" s="857">
        <f>geral!E900</f>
        <v>230</v>
      </c>
      <c r="C230" s="857">
        <f t="shared" ref="C230:C235" si="97">100*B230/$B$8</f>
        <v>418.18181818181819</v>
      </c>
      <c r="D230" s="961">
        <f t="shared" ref="D230:D235" si="98">100*((B230/B229)-1)</f>
        <v>2.6785714285714191</v>
      </c>
      <c r="E230" s="961">
        <f t="shared" ref="E230:E235" si="99">100*((B230/$B$229)-1)</f>
        <v>2.6785714285714191</v>
      </c>
      <c r="F230" s="965">
        <f t="shared" ref="F230:F235" si="100">100*((B230/B218)-1)</f>
        <v>4.5454545454545414</v>
      </c>
      <c r="G230" s="966">
        <f t="shared" ref="G230:G235" si="101">100*(B230/B206-1)</f>
        <v>26.373626373626369</v>
      </c>
      <c r="H230" s="861">
        <f t="shared" si="82"/>
        <v>1.4609464294528016</v>
      </c>
    </row>
    <row r="231" spans="1:8">
      <c r="A231" s="1014" t="s">
        <v>508</v>
      </c>
      <c r="B231" s="857">
        <f>geral!E901</f>
        <v>230</v>
      </c>
      <c r="C231" s="857">
        <f t="shared" si="97"/>
        <v>418.18181818181819</v>
      </c>
      <c r="D231" s="961">
        <f t="shared" si="98"/>
        <v>0</v>
      </c>
      <c r="E231" s="961">
        <f t="shared" si="99"/>
        <v>2.6785714285714191</v>
      </c>
      <c r="F231" s="965">
        <f t="shared" si="100"/>
        <v>4.5454545454545414</v>
      </c>
      <c r="G231" s="966">
        <f t="shared" si="101"/>
        <v>26.373626373626369</v>
      </c>
      <c r="H231" s="861">
        <f t="shared" si="82"/>
        <v>1.4609464294528016</v>
      </c>
    </row>
    <row r="232" spans="1:8">
      <c r="A232" s="1014" t="s">
        <v>509</v>
      </c>
      <c r="B232" s="857">
        <f>geral!E902</f>
        <v>230</v>
      </c>
      <c r="C232" s="857">
        <f t="shared" si="97"/>
        <v>418.18181818181819</v>
      </c>
      <c r="D232" s="961">
        <f t="shared" si="98"/>
        <v>0</v>
      </c>
      <c r="E232" s="961">
        <f t="shared" si="99"/>
        <v>2.6785714285714191</v>
      </c>
      <c r="F232" s="965">
        <f t="shared" si="100"/>
        <v>4.5454545454545414</v>
      </c>
      <c r="G232" s="966">
        <f t="shared" si="101"/>
        <v>26.373626373626369</v>
      </c>
      <c r="H232" s="861">
        <f t="shared" si="82"/>
        <v>1.4609464294528016</v>
      </c>
    </row>
    <row r="233" spans="1:8">
      <c r="A233" s="1014" t="s">
        <v>510</v>
      </c>
      <c r="B233" s="857">
        <f>geral!E903</f>
        <v>238</v>
      </c>
      <c r="C233" s="857">
        <f t="shared" si="97"/>
        <v>432.72727272727275</v>
      </c>
      <c r="D233" s="961">
        <f t="shared" si="98"/>
        <v>3.4782608695652195</v>
      </c>
      <c r="E233" s="961">
        <f t="shared" si="99"/>
        <v>6.25</v>
      </c>
      <c r="F233" s="965">
        <f t="shared" si="100"/>
        <v>8.1818181818181799</v>
      </c>
      <c r="G233" s="966">
        <f t="shared" si="101"/>
        <v>30.76923076923077</v>
      </c>
      <c r="H233" s="861">
        <f t="shared" si="82"/>
        <v>1.4118389864459848</v>
      </c>
    </row>
    <row r="234" spans="1:8">
      <c r="A234" s="1014" t="s">
        <v>511</v>
      </c>
      <c r="B234" s="857">
        <f>geral!E904</f>
        <v>238</v>
      </c>
      <c r="C234" s="857">
        <f t="shared" si="97"/>
        <v>432.72727272727275</v>
      </c>
      <c r="D234" s="961">
        <f t="shared" si="98"/>
        <v>0</v>
      </c>
      <c r="E234" s="961">
        <f t="shared" si="99"/>
        <v>6.25</v>
      </c>
      <c r="F234" s="965">
        <f t="shared" si="100"/>
        <v>8.1818181818181799</v>
      </c>
      <c r="G234" s="966">
        <f t="shared" si="101"/>
        <v>30.76923076923077</v>
      </c>
      <c r="H234" s="861">
        <f t="shared" si="82"/>
        <v>1.4118389864459848</v>
      </c>
    </row>
    <row r="235" spans="1:8">
      <c r="A235" s="1014" t="s">
        <v>512</v>
      </c>
      <c r="B235" s="857">
        <f>geral!E905</f>
        <v>238</v>
      </c>
      <c r="C235" s="857">
        <f t="shared" si="97"/>
        <v>432.72727272727275</v>
      </c>
      <c r="D235" s="961">
        <f t="shared" si="98"/>
        <v>0</v>
      </c>
      <c r="E235" s="961">
        <f t="shared" si="99"/>
        <v>6.25</v>
      </c>
      <c r="F235" s="965">
        <f t="shared" si="100"/>
        <v>8.1818181818181799</v>
      </c>
      <c r="G235" s="966">
        <f t="shared" si="101"/>
        <v>30.76923076923077</v>
      </c>
      <c r="H235" s="861">
        <f t="shared" si="82"/>
        <v>1.4118389864459848</v>
      </c>
    </row>
    <row r="236" spans="1:8">
      <c r="A236" s="1014" t="s">
        <v>513</v>
      </c>
      <c r="B236" s="857">
        <f>geral!E906</f>
        <v>238</v>
      </c>
      <c r="C236" s="857">
        <f t="shared" ref="C236:C241" si="102">100*B236/$B$8</f>
        <v>432.72727272727275</v>
      </c>
      <c r="D236" s="961">
        <f t="shared" ref="D236:D241" si="103">100*((B236/B235)-1)</f>
        <v>0</v>
      </c>
      <c r="E236" s="961">
        <f t="shared" ref="E236:E241" si="104">100*((B236/$B$229)-1)</f>
        <v>6.25</v>
      </c>
      <c r="F236" s="965">
        <f t="shared" ref="F236:F241" si="105">100*((B236/B224)-1)</f>
        <v>6.25</v>
      </c>
      <c r="G236" s="966">
        <f t="shared" ref="G236:G241" si="106">100*(B236/B212-1)</f>
        <v>30.76923076923077</v>
      </c>
      <c r="H236" s="861">
        <f t="shared" si="82"/>
        <v>1.4118389864459848</v>
      </c>
    </row>
    <row r="237" spans="1:8">
      <c r="A237" s="1014" t="s">
        <v>514</v>
      </c>
      <c r="B237" s="857">
        <f>geral!E907</f>
        <v>238</v>
      </c>
      <c r="C237" s="857">
        <f t="shared" si="102"/>
        <v>432.72727272727275</v>
      </c>
      <c r="D237" s="961">
        <f t="shared" si="103"/>
        <v>0</v>
      </c>
      <c r="E237" s="961">
        <f t="shared" si="104"/>
        <v>6.25</v>
      </c>
      <c r="F237" s="965">
        <f t="shared" si="105"/>
        <v>6.25</v>
      </c>
      <c r="G237" s="966">
        <f t="shared" si="106"/>
        <v>27.956989247311824</v>
      </c>
      <c r="H237" s="861">
        <f t="shared" si="82"/>
        <v>1.4118389864459848</v>
      </c>
    </row>
    <row r="238" spans="1:8">
      <c r="A238" s="1014" t="s">
        <v>515</v>
      </c>
      <c r="B238" s="857">
        <f>geral!E908</f>
        <v>238</v>
      </c>
      <c r="C238" s="857">
        <f t="shared" si="102"/>
        <v>432.72727272727275</v>
      </c>
      <c r="D238" s="961">
        <f t="shared" si="103"/>
        <v>0</v>
      </c>
      <c r="E238" s="961">
        <f t="shared" si="104"/>
        <v>6.25</v>
      </c>
      <c r="F238" s="965">
        <f t="shared" si="105"/>
        <v>6.25</v>
      </c>
      <c r="G238" s="966">
        <f t="shared" si="106"/>
        <v>27.956989247311824</v>
      </c>
      <c r="H238" s="861">
        <f t="shared" si="82"/>
        <v>1.4118389864459848</v>
      </c>
    </row>
    <row r="239" spans="1:8">
      <c r="A239" s="1014" t="s">
        <v>516</v>
      </c>
      <c r="B239" s="857">
        <f>geral!E909</f>
        <v>238</v>
      </c>
      <c r="C239" s="857">
        <f t="shared" si="102"/>
        <v>432.72727272727275</v>
      </c>
      <c r="D239" s="961">
        <f t="shared" si="103"/>
        <v>0</v>
      </c>
      <c r="E239" s="961">
        <f t="shared" si="104"/>
        <v>6.25</v>
      </c>
      <c r="F239" s="965">
        <f t="shared" si="105"/>
        <v>6.25</v>
      </c>
      <c r="G239" s="966">
        <f t="shared" si="106"/>
        <v>27.956989247311824</v>
      </c>
      <c r="H239" s="861">
        <f t="shared" si="82"/>
        <v>1.4118389864459848</v>
      </c>
    </row>
    <row r="240" spans="1:8">
      <c r="A240" s="1014" t="s">
        <v>517</v>
      </c>
      <c r="B240" s="857">
        <f>geral!E910</f>
        <v>238</v>
      </c>
      <c r="C240" s="857">
        <f t="shared" si="102"/>
        <v>432.72727272727275</v>
      </c>
      <c r="D240" s="961">
        <f t="shared" si="103"/>
        <v>0</v>
      </c>
      <c r="E240" s="961">
        <f t="shared" si="104"/>
        <v>6.25</v>
      </c>
      <c r="F240" s="965">
        <f t="shared" si="105"/>
        <v>6.25</v>
      </c>
      <c r="G240" s="966">
        <f t="shared" si="106"/>
        <v>27.956989247311824</v>
      </c>
      <c r="H240" s="861">
        <f t="shared" si="82"/>
        <v>1.4118389864459848</v>
      </c>
    </row>
    <row r="241" spans="1:8">
      <c r="A241" s="1014" t="s">
        <v>518</v>
      </c>
      <c r="B241" s="857">
        <f>geral!E911</f>
        <v>238</v>
      </c>
      <c r="C241" s="857">
        <f t="shared" si="102"/>
        <v>432.72727272727275</v>
      </c>
      <c r="D241" s="961">
        <f t="shared" si="103"/>
        <v>0</v>
      </c>
      <c r="E241" s="961">
        <f t="shared" si="104"/>
        <v>6.25</v>
      </c>
      <c r="F241" s="965">
        <f t="shared" si="105"/>
        <v>6.25</v>
      </c>
      <c r="G241" s="966">
        <f t="shared" si="106"/>
        <v>27.956989247311824</v>
      </c>
      <c r="H241" s="861">
        <f t="shared" si="82"/>
        <v>1.4118389864459848</v>
      </c>
    </row>
    <row r="242" spans="1:8">
      <c r="A242" s="1014" t="s">
        <v>519</v>
      </c>
      <c r="B242" s="857">
        <f>geral!G900</f>
        <v>238</v>
      </c>
      <c r="C242" s="857">
        <f t="shared" ref="C242:C247" si="107">100*B242/$B$8</f>
        <v>432.72727272727275</v>
      </c>
      <c r="D242" s="961">
        <f t="shared" ref="D242:D247" si="108">100*((B242/B241)-1)</f>
        <v>0</v>
      </c>
      <c r="E242" s="961">
        <f t="shared" ref="E242:E247" si="109">100*((B242/$B$241)-1)</f>
        <v>0</v>
      </c>
      <c r="F242" s="965">
        <f t="shared" ref="F242:F247" si="110">100*((B242/B230)-1)</f>
        <v>3.4782608695652195</v>
      </c>
      <c r="G242" s="966">
        <f t="shared" ref="G242:G247" si="111">100*(B242/B218-1)</f>
        <v>8.1818181818181799</v>
      </c>
      <c r="H242" s="861">
        <f t="shared" si="82"/>
        <v>1.4118389864459848</v>
      </c>
    </row>
    <row r="243" spans="1:8">
      <c r="A243" s="1014" t="s">
        <v>520</v>
      </c>
      <c r="B243" s="857">
        <f>geral!G901</f>
        <v>233.8</v>
      </c>
      <c r="C243" s="857">
        <f t="shared" si="107"/>
        <v>425.09090909090907</v>
      </c>
      <c r="D243" s="961">
        <f t="shared" si="108"/>
        <v>-1.7647058823529349</v>
      </c>
      <c r="E243" s="961">
        <f t="shared" si="109"/>
        <v>-1.7647058823529349</v>
      </c>
      <c r="F243" s="965">
        <f t="shared" si="110"/>
        <v>1.6521739130434865</v>
      </c>
      <c r="G243" s="966">
        <f t="shared" si="111"/>
        <v>6.2727272727272743</v>
      </c>
      <c r="H243" s="861">
        <f t="shared" si="82"/>
        <v>1.4372013634480083</v>
      </c>
    </row>
    <row r="244" spans="1:8">
      <c r="A244" s="1014" t="s">
        <v>521</v>
      </c>
      <c r="B244" s="857">
        <f>geral!G902</f>
        <v>233.8</v>
      </c>
      <c r="C244" s="857">
        <f t="shared" si="107"/>
        <v>425.09090909090907</v>
      </c>
      <c r="D244" s="961">
        <f t="shared" si="108"/>
        <v>0</v>
      </c>
      <c r="E244" s="961">
        <f t="shared" si="109"/>
        <v>-1.7647058823529349</v>
      </c>
      <c r="F244" s="965">
        <f t="shared" si="110"/>
        <v>1.6521739130434865</v>
      </c>
      <c r="G244" s="966">
        <f t="shared" si="111"/>
        <v>6.2727272727272743</v>
      </c>
      <c r="H244" s="861">
        <f t="shared" si="82"/>
        <v>1.4372013634480083</v>
      </c>
    </row>
    <row r="245" spans="1:8">
      <c r="A245" s="1014" t="s">
        <v>522</v>
      </c>
      <c r="B245" s="857">
        <f>geral!G903</f>
        <v>233.99799999999999</v>
      </c>
      <c r="C245" s="857">
        <f t="shared" si="107"/>
        <v>425.45090909090908</v>
      </c>
      <c r="D245" s="961">
        <f t="shared" si="108"/>
        <v>8.4687767322488838E-2</v>
      </c>
      <c r="E245" s="961">
        <f t="shared" si="109"/>
        <v>-1.6815126050420237</v>
      </c>
      <c r="F245" s="965">
        <f t="shared" si="110"/>
        <v>-1.6815126050420237</v>
      </c>
      <c r="G245" s="966">
        <f t="shared" si="111"/>
        <v>6.3627272727272643</v>
      </c>
      <c r="H245" s="861">
        <f t="shared" si="82"/>
        <v>1.4359852595925793</v>
      </c>
    </row>
    <row r="246" spans="1:8">
      <c r="A246" s="1014" t="s">
        <v>523</v>
      </c>
      <c r="B246" s="857">
        <f>geral!G904</f>
        <v>241.97799999999998</v>
      </c>
      <c r="C246" s="857">
        <f t="shared" si="107"/>
        <v>439.96</v>
      </c>
      <c r="D246" s="961">
        <f t="shared" si="108"/>
        <v>3.4102855579962288</v>
      </c>
      <c r="E246" s="961">
        <f t="shared" si="109"/>
        <v>1.6714285714285682</v>
      </c>
      <c r="F246" s="965">
        <f t="shared" si="110"/>
        <v>1.6714285714285682</v>
      </c>
      <c r="G246" s="966">
        <f t="shared" si="111"/>
        <v>9.9899999999999878</v>
      </c>
      <c r="H246" s="861">
        <f t="shared" si="82"/>
        <v>1.3886290438558233</v>
      </c>
    </row>
    <row r="247" spans="1:8">
      <c r="A247" s="1014" t="s">
        <v>524</v>
      </c>
      <c r="B247" s="857">
        <f>geral!G905</f>
        <v>241.97799999999998</v>
      </c>
      <c r="C247" s="857">
        <f t="shared" si="107"/>
        <v>439.96</v>
      </c>
      <c r="D247" s="961">
        <f t="shared" si="108"/>
        <v>0</v>
      </c>
      <c r="E247" s="961">
        <f t="shared" si="109"/>
        <v>1.6714285714285682</v>
      </c>
      <c r="F247" s="965">
        <f t="shared" si="110"/>
        <v>1.6714285714285682</v>
      </c>
      <c r="G247" s="966">
        <f t="shared" si="111"/>
        <v>9.9899999999999878</v>
      </c>
      <c r="H247" s="861">
        <f t="shared" si="82"/>
        <v>1.3886290438558233</v>
      </c>
    </row>
    <row r="248" spans="1:8">
      <c r="A248" s="1014" t="s">
        <v>525</v>
      </c>
      <c r="B248" s="857">
        <f>geral!G906</f>
        <v>241.97799999999998</v>
      </c>
      <c r="C248" s="857">
        <f t="shared" ref="C248:C253" si="112">100*B248/$B$8</f>
        <v>439.96</v>
      </c>
      <c r="D248" s="961">
        <f t="shared" ref="D248:D253" si="113">100*((B248/B247)-1)</f>
        <v>0</v>
      </c>
      <c r="E248" s="961">
        <f t="shared" ref="E248:E253" si="114">100*((B248/$B$241)-1)</f>
        <v>1.6714285714285682</v>
      </c>
      <c r="F248" s="965">
        <f t="shared" ref="F248:F253" si="115">100*((B248/B236)-1)</f>
        <v>1.6714285714285682</v>
      </c>
      <c r="G248" s="966">
        <f t="shared" ref="G248:G253" si="116">100*(B248/B224-1)</f>
        <v>8.0258928571428569</v>
      </c>
      <c r="H248" s="861">
        <f t="shared" si="82"/>
        <v>1.3886290438558233</v>
      </c>
    </row>
    <row r="249" spans="1:8">
      <c r="A249" s="1014" t="s">
        <v>526</v>
      </c>
      <c r="B249" s="857">
        <f>geral!G907</f>
        <v>241.97799999999998</v>
      </c>
      <c r="C249" s="857">
        <f t="shared" si="112"/>
        <v>439.96</v>
      </c>
      <c r="D249" s="961">
        <f t="shared" si="113"/>
        <v>0</v>
      </c>
      <c r="E249" s="961">
        <f t="shared" si="114"/>
        <v>1.6714285714285682</v>
      </c>
      <c r="F249" s="965">
        <f t="shared" si="115"/>
        <v>1.6714285714285682</v>
      </c>
      <c r="G249" s="966">
        <f t="shared" si="116"/>
        <v>8.0258928571428569</v>
      </c>
      <c r="H249" s="861">
        <f t="shared" si="82"/>
        <v>1.3886290438558233</v>
      </c>
    </row>
    <row r="250" spans="1:8">
      <c r="A250" s="1014" t="s">
        <v>527</v>
      </c>
      <c r="B250" s="857">
        <f>geral!G908</f>
        <v>241.97799999999998</v>
      </c>
      <c r="C250" s="857">
        <f t="shared" si="112"/>
        <v>439.96</v>
      </c>
      <c r="D250" s="961">
        <f t="shared" si="113"/>
        <v>0</v>
      </c>
      <c r="E250" s="961">
        <f t="shared" si="114"/>
        <v>1.6714285714285682</v>
      </c>
      <c r="F250" s="965">
        <f t="shared" si="115"/>
        <v>1.6714285714285682</v>
      </c>
      <c r="G250" s="966">
        <f t="shared" si="116"/>
        <v>8.0258928571428569</v>
      </c>
      <c r="H250" s="861">
        <f t="shared" si="82"/>
        <v>1.3886290438558233</v>
      </c>
    </row>
    <row r="251" spans="1:8">
      <c r="A251" s="1014" t="s">
        <v>528</v>
      </c>
      <c r="B251" s="857">
        <f>geral!G909</f>
        <v>241.97799999999998</v>
      </c>
      <c r="C251" s="857">
        <f t="shared" si="112"/>
        <v>439.96</v>
      </c>
      <c r="D251" s="961">
        <f t="shared" si="113"/>
        <v>0</v>
      </c>
      <c r="E251" s="961">
        <f t="shared" si="114"/>
        <v>1.6714285714285682</v>
      </c>
      <c r="F251" s="965">
        <f t="shared" si="115"/>
        <v>1.6714285714285682</v>
      </c>
      <c r="G251" s="966">
        <f t="shared" si="116"/>
        <v>8.0258928571428569</v>
      </c>
      <c r="H251" s="861">
        <f t="shared" si="82"/>
        <v>1.3886290438558233</v>
      </c>
    </row>
    <row r="252" spans="1:8">
      <c r="A252" s="1014" t="s">
        <v>529</v>
      </c>
      <c r="B252" s="857">
        <f>geral!G910</f>
        <v>247.958</v>
      </c>
      <c r="C252" s="857">
        <f t="shared" si="112"/>
        <v>450.83272727272725</v>
      </c>
      <c r="D252" s="961">
        <f t="shared" si="113"/>
        <v>2.4712990437147253</v>
      </c>
      <c r="E252" s="961">
        <f t="shared" si="114"/>
        <v>4.1840336134453704</v>
      </c>
      <c r="F252" s="965">
        <f t="shared" si="115"/>
        <v>4.1840336134453704</v>
      </c>
      <c r="G252" s="966">
        <f t="shared" si="116"/>
        <v>10.69553571428572</v>
      </c>
      <c r="H252" s="861">
        <f t="shared" si="82"/>
        <v>1.3551394944875519</v>
      </c>
    </row>
    <row r="253" spans="1:8">
      <c r="A253" s="1014" t="s">
        <v>530</v>
      </c>
      <c r="B253" s="857">
        <f>geral!G911</f>
        <v>247.958</v>
      </c>
      <c r="C253" s="857">
        <f t="shared" si="112"/>
        <v>450.83272727272725</v>
      </c>
      <c r="D253" s="961">
        <f t="shared" si="113"/>
        <v>0</v>
      </c>
      <c r="E253" s="961">
        <f t="shared" si="114"/>
        <v>4.1840336134453704</v>
      </c>
      <c r="F253" s="965">
        <f t="shared" si="115"/>
        <v>4.1840336134453704</v>
      </c>
      <c r="G253" s="966">
        <f t="shared" si="116"/>
        <v>10.69553571428572</v>
      </c>
      <c r="H253" s="861">
        <f t="shared" si="82"/>
        <v>1.3551394944875519</v>
      </c>
    </row>
    <row r="254" spans="1:8">
      <c r="A254" s="1014" t="s">
        <v>531</v>
      </c>
      <c r="B254" s="857">
        <f>geral!I900</f>
        <v>247.958</v>
      </c>
      <c r="C254" s="857">
        <f t="shared" ref="C254:C259" si="117">100*B254/$B$8</f>
        <v>450.83272727272725</v>
      </c>
      <c r="D254" s="961">
        <f t="shared" ref="D254:D259" si="118">100*((B254/B253)-1)</f>
        <v>0</v>
      </c>
      <c r="E254" s="961">
        <f t="shared" ref="E254:E259" si="119">100*((B254/$B$253)-1)</f>
        <v>0</v>
      </c>
      <c r="F254" s="965">
        <f t="shared" ref="F254:F259" si="120">100*((B254/B242)-1)</f>
        <v>4.1840336134453704</v>
      </c>
      <c r="G254" s="966">
        <f t="shared" ref="G254:G259" si="121">100*(B254/B230-1)</f>
        <v>7.8078260869565153</v>
      </c>
      <c r="H254" s="861">
        <f t="shared" si="82"/>
        <v>1.3551394944875519</v>
      </c>
    </row>
    <row r="255" spans="1:8">
      <c r="A255" s="1014" t="s">
        <v>649</v>
      </c>
      <c r="B255" s="857">
        <f>geral!I901</f>
        <v>247.958</v>
      </c>
      <c r="C255" s="857">
        <f t="shared" si="117"/>
        <v>450.83272727272725</v>
      </c>
      <c r="D255" s="961">
        <f t="shared" si="118"/>
        <v>0</v>
      </c>
      <c r="E255" s="961">
        <f t="shared" si="119"/>
        <v>0</v>
      </c>
      <c r="F255" s="965">
        <f t="shared" si="120"/>
        <v>6.0556030795551719</v>
      </c>
      <c r="G255" s="966">
        <f t="shared" si="121"/>
        <v>7.8078260869565153</v>
      </c>
      <c r="H255" s="861">
        <f t="shared" si="82"/>
        <v>1.3551394944875519</v>
      </c>
    </row>
    <row r="256" spans="1:8">
      <c r="A256" s="1014" t="s">
        <v>650</v>
      </c>
      <c r="B256" s="857">
        <f>geral!I902</f>
        <v>247.958</v>
      </c>
      <c r="C256" s="857">
        <f t="shared" si="117"/>
        <v>450.83272727272725</v>
      </c>
      <c r="D256" s="961">
        <f t="shared" si="118"/>
        <v>0</v>
      </c>
      <c r="E256" s="961">
        <f t="shared" si="119"/>
        <v>0</v>
      </c>
      <c r="F256" s="965">
        <f t="shared" si="120"/>
        <v>6.0556030795551719</v>
      </c>
      <c r="G256" s="966">
        <f t="shared" si="121"/>
        <v>7.8078260869565153</v>
      </c>
      <c r="H256" s="861">
        <f t="shared" si="82"/>
        <v>1.3551394944875519</v>
      </c>
    </row>
    <row r="257" spans="1:8">
      <c r="A257" s="1014" t="s">
        <v>652</v>
      </c>
      <c r="B257" s="857">
        <f>geral!I903</f>
        <v>247.958</v>
      </c>
      <c r="C257" s="857">
        <f t="shared" si="117"/>
        <v>450.83272727272725</v>
      </c>
      <c r="D257" s="961">
        <f t="shared" si="118"/>
        <v>0</v>
      </c>
      <c r="E257" s="961">
        <f t="shared" si="119"/>
        <v>0</v>
      </c>
      <c r="F257" s="965">
        <f t="shared" si="120"/>
        <v>5.9658629560936483</v>
      </c>
      <c r="G257" s="966">
        <f t="shared" si="121"/>
        <v>4.1840336134453704</v>
      </c>
      <c r="H257" s="861">
        <f t="shared" si="82"/>
        <v>1.3551394944875519</v>
      </c>
    </row>
    <row r="258" spans="1:8">
      <c r="A258" s="1014" t="s">
        <v>653</v>
      </c>
      <c r="B258" s="857">
        <f>geral!I904</f>
        <v>247.958</v>
      </c>
      <c r="C258" s="857">
        <f t="shared" si="117"/>
        <v>450.83272727272725</v>
      </c>
      <c r="D258" s="961">
        <f t="shared" si="118"/>
        <v>0</v>
      </c>
      <c r="E258" s="961">
        <f t="shared" si="119"/>
        <v>0</v>
      </c>
      <c r="F258" s="965">
        <f t="shared" si="120"/>
        <v>2.4712990437147253</v>
      </c>
      <c r="G258" s="966">
        <f t="shared" si="121"/>
        <v>4.1840336134453704</v>
      </c>
      <c r="H258" s="861">
        <f t="shared" si="82"/>
        <v>1.3551394944875519</v>
      </c>
    </row>
    <row r="259" spans="1:8">
      <c r="A259" s="1014" t="s">
        <v>654</v>
      </c>
      <c r="B259" s="857">
        <f>geral!I905</f>
        <v>262.93799999999999</v>
      </c>
      <c r="C259" s="857">
        <f t="shared" si="117"/>
        <v>478.0690909090909</v>
      </c>
      <c r="D259" s="961">
        <f t="shared" si="118"/>
        <v>6.0413457117737712</v>
      </c>
      <c r="E259" s="961">
        <f t="shared" si="119"/>
        <v>6.0413457117737712</v>
      </c>
      <c r="F259" s="965">
        <f t="shared" si="120"/>
        <v>8.661944474291051</v>
      </c>
      <c r="G259" s="966">
        <f t="shared" si="121"/>
        <v>10.478151260504198</v>
      </c>
      <c r="H259" s="861">
        <f t="shared" si="82"/>
        <v>1.2779350218460033</v>
      </c>
    </row>
    <row r="260" spans="1:8">
      <c r="A260" s="1014" t="s">
        <v>657</v>
      </c>
      <c r="B260" s="857">
        <f>geral!I906</f>
        <v>262.93799999999999</v>
      </c>
      <c r="C260" s="857">
        <f t="shared" ref="C260:C265" si="122">100*B260/$B$8</f>
        <v>478.0690909090909</v>
      </c>
      <c r="D260" s="961">
        <f t="shared" ref="D260:D265" si="123">100*((B260/B259)-1)</f>
        <v>0</v>
      </c>
      <c r="E260" s="961">
        <f t="shared" ref="E260:E265" si="124">100*((B260/$B$253)-1)</f>
        <v>6.0413457117737712</v>
      </c>
      <c r="F260" s="965">
        <f t="shared" ref="F260:F265" si="125">100*((B260/B248)-1)</f>
        <v>8.661944474291051</v>
      </c>
      <c r="G260" s="966">
        <f t="shared" ref="G260:G265" si="126">100*(B260/B236-1)</f>
        <v>10.478151260504198</v>
      </c>
      <c r="H260" s="861">
        <f t="shared" si="82"/>
        <v>1.2779350218460033</v>
      </c>
    </row>
    <row r="261" spans="1:8">
      <c r="A261" s="1032" t="str">
        <f>'Rec750'!A192</f>
        <v>AGOSTO|15</v>
      </c>
      <c r="B261" s="918">
        <f>geral!I907</f>
        <v>262.93799999999999</v>
      </c>
      <c r="C261" s="918">
        <f t="shared" si="122"/>
        <v>478.0690909090909</v>
      </c>
      <c r="D261" s="1036">
        <f t="shared" si="123"/>
        <v>0</v>
      </c>
      <c r="E261" s="1036">
        <f t="shared" si="124"/>
        <v>6.0413457117737712</v>
      </c>
      <c r="F261" s="1037">
        <f t="shared" si="125"/>
        <v>8.661944474291051</v>
      </c>
      <c r="G261" s="1038">
        <f t="shared" si="126"/>
        <v>10.478151260504198</v>
      </c>
      <c r="H261" s="861">
        <f t="shared" si="82"/>
        <v>1.2779350218460033</v>
      </c>
    </row>
    <row r="262" spans="1:8">
      <c r="A262" s="1032" t="str">
        <f>'Rec750'!A193</f>
        <v>SETEMBRO|15</v>
      </c>
      <c r="B262" s="918">
        <f>geral!I908</f>
        <v>262.93799999999999</v>
      </c>
      <c r="C262" s="918">
        <f t="shared" si="122"/>
        <v>478.0690909090909</v>
      </c>
      <c r="D262" s="1036">
        <f t="shared" si="123"/>
        <v>0</v>
      </c>
      <c r="E262" s="1036">
        <f t="shared" si="124"/>
        <v>6.0413457117737712</v>
      </c>
      <c r="F262" s="1037">
        <f t="shared" si="125"/>
        <v>8.661944474291051</v>
      </c>
      <c r="G262" s="1038">
        <f t="shared" si="126"/>
        <v>10.478151260504198</v>
      </c>
      <c r="H262" s="861">
        <f t="shared" si="82"/>
        <v>1.2779350218460033</v>
      </c>
    </row>
    <row r="263" spans="1:8">
      <c r="A263" s="1032" t="str">
        <f>'Rec750'!A194</f>
        <v>OUTUBRO|15</v>
      </c>
      <c r="B263" s="918">
        <f>geral!I909</f>
        <v>262.93799999999999</v>
      </c>
      <c r="C263" s="918">
        <f t="shared" si="122"/>
        <v>478.0690909090909</v>
      </c>
      <c r="D263" s="1036">
        <f t="shared" si="123"/>
        <v>0</v>
      </c>
      <c r="E263" s="1036">
        <f t="shared" si="124"/>
        <v>6.0413457117737712</v>
      </c>
      <c r="F263" s="1037">
        <f t="shared" si="125"/>
        <v>8.661944474291051</v>
      </c>
      <c r="G263" s="1038">
        <f t="shared" si="126"/>
        <v>10.478151260504198</v>
      </c>
      <c r="H263" s="861">
        <f t="shared" si="82"/>
        <v>1.2779350218460033</v>
      </c>
    </row>
    <row r="264" spans="1:8">
      <c r="A264" s="1014" t="str">
        <f>'Rec750'!A195</f>
        <v>NOVEMBRO|15</v>
      </c>
      <c r="B264" s="857">
        <f>geral!I910</f>
        <v>262.93799999999999</v>
      </c>
      <c r="C264" s="857">
        <f t="shared" si="122"/>
        <v>478.0690909090909</v>
      </c>
      <c r="D264" s="961">
        <f t="shared" si="123"/>
        <v>0</v>
      </c>
      <c r="E264" s="961">
        <f t="shared" si="124"/>
        <v>6.0413457117737712</v>
      </c>
      <c r="F264" s="965">
        <f t="shared" si="125"/>
        <v>6.0413457117737712</v>
      </c>
      <c r="G264" s="966">
        <f t="shared" si="126"/>
        <v>10.478151260504198</v>
      </c>
      <c r="H264" s="861">
        <f t="shared" si="82"/>
        <v>1.2779350218460033</v>
      </c>
    </row>
    <row r="265" spans="1:8">
      <c r="A265" s="1032" t="str">
        <f>'Rec750'!A196</f>
        <v>DEZEMBRO|15</v>
      </c>
      <c r="B265" s="918">
        <f>geral!I911</f>
        <v>262.93799999999999</v>
      </c>
      <c r="C265" s="918">
        <f t="shared" si="122"/>
        <v>478.0690909090909</v>
      </c>
      <c r="D265" s="1036">
        <f t="shared" si="123"/>
        <v>0</v>
      </c>
      <c r="E265" s="1036">
        <f t="shared" si="124"/>
        <v>6.0413457117737712</v>
      </c>
      <c r="F265" s="1037">
        <f t="shared" si="125"/>
        <v>6.0413457117737712</v>
      </c>
      <c r="G265" s="1038">
        <f t="shared" si="126"/>
        <v>10.478151260504198</v>
      </c>
      <c r="H265" s="861">
        <f t="shared" si="82"/>
        <v>1.2779350218460033</v>
      </c>
    </row>
    <row r="266" spans="1:8">
      <c r="A266" s="1032" t="str">
        <f>'Rec750'!A197</f>
        <v>JANEIRO|16</v>
      </c>
      <c r="B266" s="918">
        <f>geral!K900</f>
        <v>262.93799999999999</v>
      </c>
      <c r="C266" s="918">
        <f t="shared" ref="C266" si="127">100*B266/$B$8</f>
        <v>478.0690909090909</v>
      </c>
      <c r="D266" s="1036">
        <f t="shared" ref="D266" si="128">100*((B266/B265)-1)</f>
        <v>0</v>
      </c>
      <c r="E266" s="1036">
        <f t="shared" ref="E266:E271" si="129">100*((B266/$B$265)-1)</f>
        <v>0</v>
      </c>
      <c r="F266" s="1037">
        <f t="shared" ref="F266" si="130">100*((B266/B254)-1)</f>
        <v>6.0413457117737712</v>
      </c>
      <c r="G266" s="1038">
        <f t="shared" ref="G266" si="131">100*(B266/B242-1)</f>
        <v>10.478151260504198</v>
      </c>
      <c r="H266" s="861">
        <f t="shared" si="82"/>
        <v>1.2779350218460033</v>
      </c>
    </row>
    <row r="267" spans="1:8">
      <c r="A267" s="1032" t="str">
        <f>'Rec750'!A198</f>
        <v>FEVEREIRO|16</v>
      </c>
      <c r="B267" s="918">
        <f>geral!K901</f>
        <v>262.93799999999999</v>
      </c>
      <c r="C267" s="918">
        <f t="shared" ref="C267" si="132">100*B267/$B$8</f>
        <v>478.0690909090909</v>
      </c>
      <c r="D267" s="1036">
        <f t="shared" ref="D267" si="133">100*((B267/B266)-1)</f>
        <v>0</v>
      </c>
      <c r="E267" s="1036">
        <f t="shared" si="129"/>
        <v>0</v>
      </c>
      <c r="F267" s="1037">
        <f t="shared" ref="F267" si="134">100*((B267/B255)-1)</f>
        <v>6.0413457117737712</v>
      </c>
      <c r="G267" s="1038">
        <f t="shared" ref="G267" si="135">100*(B267/B243-1)</f>
        <v>12.46278870829769</v>
      </c>
      <c r="H267" s="861">
        <f t="shared" si="82"/>
        <v>1.2779350218460033</v>
      </c>
    </row>
    <row r="268" spans="1:8">
      <c r="A268" s="1032" t="str">
        <f>'Rec750'!A199</f>
        <v>MARÇO|16</v>
      </c>
      <c r="B268" s="918">
        <f>geral!K902</f>
        <v>262.93799999999999</v>
      </c>
      <c r="C268" s="918">
        <f t="shared" ref="C268" si="136">100*B268/$B$8</f>
        <v>478.0690909090909</v>
      </c>
      <c r="D268" s="1036">
        <f t="shared" ref="D268" si="137">100*((B268/B267)-1)</f>
        <v>0</v>
      </c>
      <c r="E268" s="1036">
        <f t="shared" si="129"/>
        <v>0</v>
      </c>
      <c r="F268" s="1037">
        <f t="shared" ref="F268" si="138">100*((B268/B256)-1)</f>
        <v>6.0413457117737712</v>
      </c>
      <c r="G268" s="1038">
        <f t="shared" ref="G268" si="139">100*(B268/B244-1)</f>
        <v>12.46278870829769</v>
      </c>
      <c r="H268" s="861">
        <f t="shared" si="82"/>
        <v>1.2779350218460033</v>
      </c>
    </row>
    <row r="269" spans="1:8">
      <c r="A269" s="1032" t="str">
        <f>'Rec750'!A200</f>
        <v>ABRIL|16</v>
      </c>
      <c r="B269" s="918">
        <f>geral!K903</f>
        <v>262.93799999999999</v>
      </c>
      <c r="C269" s="918">
        <f t="shared" ref="C269" si="140">100*B269/$B$8</f>
        <v>478.0690909090909</v>
      </c>
      <c r="D269" s="1036">
        <f t="shared" ref="D269" si="141">100*((B269/B268)-1)</f>
        <v>0</v>
      </c>
      <c r="E269" s="1036">
        <f t="shared" si="129"/>
        <v>0</v>
      </c>
      <c r="F269" s="1037">
        <f t="shared" ref="F269" si="142">100*((B269/B257)-1)</f>
        <v>6.0413457117737712</v>
      </c>
      <c r="G269" s="1038">
        <f t="shared" ref="G269" si="143">100*(B269/B245-1)</f>
        <v>12.367627073735665</v>
      </c>
      <c r="H269" s="861">
        <f t="shared" si="82"/>
        <v>1.2779350218460033</v>
      </c>
    </row>
    <row r="270" spans="1:8">
      <c r="A270" s="1032" t="str">
        <f>'Rec750'!A201</f>
        <v>MAIO|16</v>
      </c>
      <c r="B270" s="918">
        <f>geral!K904</f>
        <v>285.02479199999999</v>
      </c>
      <c r="C270" s="918">
        <f t="shared" ref="C270" si="144">100*B270/$B$8</f>
        <v>518.22689454545446</v>
      </c>
      <c r="D270" s="1036">
        <f t="shared" ref="D270" si="145">100*((B270/B269)-1)</f>
        <v>8.4000000000000075</v>
      </c>
      <c r="E270" s="1036">
        <f t="shared" si="129"/>
        <v>8.4000000000000075</v>
      </c>
      <c r="F270" s="1037">
        <f t="shared" ref="F270" si="146">100*((B270/B258)-1)</f>
        <v>14.948818751562754</v>
      </c>
      <c r="G270" s="1038">
        <f t="shared" ref="G270" si="147">100*(B270/B246-1)</f>
        <v>17.789547810131513</v>
      </c>
      <c r="H270" s="861">
        <f t="shared" si="82"/>
        <v>1.1789068467214052</v>
      </c>
    </row>
    <row r="271" spans="1:8">
      <c r="A271" s="1032" t="str">
        <f>'Rec750'!A202</f>
        <v>JUNHO|16</v>
      </c>
      <c r="B271" s="918">
        <f>geral!K905</f>
        <v>285.02479199999999</v>
      </c>
      <c r="C271" s="918">
        <f t="shared" ref="C271" si="148">100*B271/$B$8</f>
        <v>518.22689454545446</v>
      </c>
      <c r="D271" s="1036">
        <f t="shared" ref="D271" si="149">100*((B271/B270)-1)</f>
        <v>0</v>
      </c>
      <c r="E271" s="1036">
        <f t="shared" si="129"/>
        <v>8.4000000000000075</v>
      </c>
      <c r="F271" s="1037">
        <f t="shared" ref="F271" si="150">100*((B271/B259)-1)</f>
        <v>8.4000000000000075</v>
      </c>
      <c r="G271" s="1038">
        <f t="shared" ref="G271" si="151">100*(B271/B247-1)</f>
        <v>17.789547810131513</v>
      </c>
      <c r="H271" s="861">
        <f t="shared" si="82"/>
        <v>1.1789068467214052</v>
      </c>
    </row>
    <row r="272" spans="1:8">
      <c r="A272" s="1032" t="str">
        <f>'Rec750'!A203</f>
        <v>JULHO|16</v>
      </c>
      <c r="B272" s="918">
        <f>geral!K906</f>
        <v>285.02479199999999</v>
      </c>
      <c r="C272" s="918">
        <f t="shared" ref="C272" si="152">100*B272/$B$8</f>
        <v>518.22689454545446</v>
      </c>
      <c r="D272" s="1036">
        <f t="shared" ref="D272" si="153">100*((B272/B271)-1)</f>
        <v>0</v>
      </c>
      <c r="E272" s="1036">
        <f t="shared" ref="E272" si="154">100*((B272/$B$265)-1)</f>
        <v>8.4000000000000075</v>
      </c>
      <c r="F272" s="1037">
        <f t="shared" ref="F272" si="155">100*((B272/B260)-1)</f>
        <v>8.4000000000000075</v>
      </c>
      <c r="G272" s="1038">
        <f t="shared" ref="G272" si="156">100*(B272/B248-1)</f>
        <v>17.789547810131513</v>
      </c>
      <c r="H272" s="861">
        <f t="shared" si="82"/>
        <v>1.1789068467214052</v>
      </c>
    </row>
    <row r="273" spans="1:8">
      <c r="A273" s="1032" t="str">
        <f>'Rec750'!A204</f>
        <v>AGOSTO|16</v>
      </c>
      <c r="B273" s="918">
        <f>geral!K907</f>
        <v>285.02479199999999</v>
      </c>
      <c r="C273" s="918">
        <f t="shared" ref="C273" si="157">100*B273/$B$8</f>
        <v>518.22689454545446</v>
      </c>
      <c r="D273" s="1036">
        <f t="shared" ref="D273" si="158">100*((B273/B272)-1)</f>
        <v>0</v>
      </c>
      <c r="E273" s="1036">
        <f t="shared" ref="E273" si="159">100*((B273/$B$265)-1)</f>
        <v>8.4000000000000075</v>
      </c>
      <c r="F273" s="1037">
        <f t="shared" ref="F273" si="160">100*((B273/B261)-1)</f>
        <v>8.4000000000000075</v>
      </c>
      <c r="G273" s="1038">
        <f t="shared" ref="G273" si="161">100*(B273/B249-1)</f>
        <v>17.789547810131513</v>
      </c>
      <c r="H273" s="861">
        <f t="shared" ref="H273:H322" si="162">$B$322/B273</f>
        <v>1.1789068467214052</v>
      </c>
    </row>
    <row r="274" spans="1:8">
      <c r="A274" s="1032" t="str">
        <f>'Rec750'!A205</f>
        <v>SETEMBRO|16</v>
      </c>
      <c r="B274" s="918">
        <f>geral!K908</f>
        <v>285.02479199999999</v>
      </c>
      <c r="C274" s="918">
        <f t="shared" ref="C274" si="163">100*B274/$B$8</f>
        <v>518.22689454545446</v>
      </c>
      <c r="D274" s="1036">
        <f t="shared" ref="D274" si="164">100*((B274/B273)-1)</f>
        <v>0</v>
      </c>
      <c r="E274" s="1036">
        <f t="shared" ref="E274" si="165">100*((B274/$B$265)-1)</f>
        <v>8.4000000000000075</v>
      </c>
      <c r="F274" s="1037">
        <f t="shared" ref="F274" si="166">100*((B274/B262)-1)</f>
        <v>8.4000000000000075</v>
      </c>
      <c r="G274" s="1038">
        <f t="shared" ref="G274" si="167">100*(B274/B250-1)</f>
        <v>17.789547810131513</v>
      </c>
      <c r="H274" s="861">
        <f t="shared" si="162"/>
        <v>1.1789068467214052</v>
      </c>
    </row>
    <row r="275" spans="1:8">
      <c r="A275" s="1032" t="str">
        <f>'Rec750'!A206</f>
        <v>OUTUBRO|16</v>
      </c>
      <c r="B275" s="918">
        <f>geral!K909</f>
        <v>285.02479199999999</v>
      </c>
      <c r="C275" s="918">
        <f t="shared" ref="C275" si="168">100*B275/$B$8</f>
        <v>518.22689454545446</v>
      </c>
      <c r="D275" s="1036">
        <f t="shared" ref="D275" si="169">100*((B275/B274)-1)</f>
        <v>0</v>
      </c>
      <c r="E275" s="1036">
        <f t="shared" ref="E275" si="170">100*((B275/$B$265)-1)</f>
        <v>8.4000000000000075</v>
      </c>
      <c r="F275" s="1037">
        <f t="shared" ref="F275" si="171">100*((B275/B263)-1)</f>
        <v>8.4000000000000075</v>
      </c>
      <c r="G275" s="1038">
        <f t="shared" ref="G275" si="172">100*(B275/B251-1)</f>
        <v>17.789547810131513</v>
      </c>
      <c r="H275" s="861">
        <f t="shared" si="162"/>
        <v>1.1789068467214052</v>
      </c>
    </row>
    <row r="276" spans="1:8">
      <c r="A276" s="1032" t="str">
        <f>'Rec750'!A207</f>
        <v>NOVEMBRO|16</v>
      </c>
      <c r="B276" s="918">
        <f>geral!K910</f>
        <v>285.02479199999999</v>
      </c>
      <c r="C276" s="918">
        <f t="shared" ref="C276" si="173">100*B276/$B$8</f>
        <v>518.22689454545446</v>
      </c>
      <c r="D276" s="1036">
        <f t="shared" ref="D276" si="174">100*((B276/B275)-1)</f>
        <v>0</v>
      </c>
      <c r="E276" s="1036">
        <f t="shared" ref="E276" si="175">100*((B276/$B$265)-1)</f>
        <v>8.4000000000000075</v>
      </c>
      <c r="F276" s="1037">
        <f t="shared" ref="F276" si="176">100*((B276/B264)-1)</f>
        <v>8.4000000000000075</v>
      </c>
      <c r="G276" s="1038">
        <f t="shared" ref="G276" si="177">100*(B276/B252-1)</f>
        <v>14.948818751562754</v>
      </c>
      <c r="H276" s="861">
        <f t="shared" si="162"/>
        <v>1.1789068467214052</v>
      </c>
    </row>
    <row r="277" spans="1:8">
      <c r="A277" s="1032" t="str">
        <f>'Rec750'!A208</f>
        <v>DEZEMBRO|16</v>
      </c>
      <c r="B277" s="918">
        <f>geral!K911</f>
        <v>285.02479199999999</v>
      </c>
      <c r="C277" s="918">
        <f t="shared" ref="C277" si="178">100*B277/$B$8</f>
        <v>518.22689454545446</v>
      </c>
      <c r="D277" s="1036">
        <f t="shared" ref="D277" si="179">100*((B277/B276)-1)</f>
        <v>0</v>
      </c>
      <c r="E277" s="1036">
        <f t="shared" ref="E277" si="180">100*((B277/$B$265)-1)</f>
        <v>8.4000000000000075</v>
      </c>
      <c r="F277" s="1037">
        <f t="shared" ref="F277" si="181">100*((B277/B265)-1)</f>
        <v>8.4000000000000075</v>
      </c>
      <c r="G277" s="1038">
        <f t="shared" ref="G277" si="182">100*(B277/B253-1)</f>
        <v>14.948818751562754</v>
      </c>
      <c r="H277" s="861">
        <f t="shared" si="162"/>
        <v>1.1789068467214052</v>
      </c>
    </row>
    <row r="278" spans="1:8">
      <c r="A278" s="1032" t="str">
        <f>'Rec750'!A209</f>
        <v>JANEIRO|17</v>
      </c>
      <c r="B278" s="918">
        <f>geral!M900</f>
        <v>285.02479199999999</v>
      </c>
      <c r="C278" s="918">
        <f t="shared" ref="C278" si="183">100*B278/$B$8</f>
        <v>518.22689454545446</v>
      </c>
      <c r="D278" s="1036">
        <f t="shared" ref="D278" si="184">100*((B278/B277)-1)</f>
        <v>0</v>
      </c>
      <c r="E278" s="1036">
        <f t="shared" ref="E278:E283" si="185">100*((B278/$B$277)-1)</f>
        <v>0</v>
      </c>
      <c r="F278" s="1037">
        <f t="shared" ref="F278" si="186">100*((B278/B266)-1)</f>
        <v>8.4000000000000075</v>
      </c>
      <c r="G278" s="1038">
        <f t="shared" ref="G278" si="187">100*(B278/B254-1)</f>
        <v>14.948818751562754</v>
      </c>
      <c r="H278" s="861">
        <f t="shared" si="162"/>
        <v>1.1789068467214052</v>
      </c>
    </row>
    <row r="279" spans="1:8">
      <c r="A279" s="1032" t="str">
        <f>'Rec750'!A210</f>
        <v>FEVEREIRO|17</v>
      </c>
      <c r="B279" s="918">
        <f>geral!M901</f>
        <v>285.02479199999999</v>
      </c>
      <c r="C279" s="918">
        <f t="shared" ref="C279" si="188">100*B279/$B$8</f>
        <v>518.22689454545446</v>
      </c>
      <c r="D279" s="1036">
        <f t="shared" ref="D279" si="189">100*((B279/B278)-1)</f>
        <v>0</v>
      </c>
      <c r="E279" s="1036">
        <f t="shared" si="185"/>
        <v>0</v>
      </c>
      <c r="F279" s="1037">
        <f t="shared" ref="F279" si="190">100*((B279/B267)-1)</f>
        <v>8.4000000000000075</v>
      </c>
      <c r="G279" s="1038">
        <f t="shared" ref="G279" si="191">100*(B279/B255-1)</f>
        <v>14.948818751562754</v>
      </c>
      <c r="H279" s="861">
        <f t="shared" si="162"/>
        <v>1.1789068467214052</v>
      </c>
    </row>
    <row r="280" spans="1:8">
      <c r="A280" s="1032" t="str">
        <f>'Rec750'!A211</f>
        <v>MARÇO|17</v>
      </c>
      <c r="B280" s="918">
        <f>geral!M902</f>
        <v>285.02479199999999</v>
      </c>
      <c r="C280" s="918">
        <f t="shared" ref="C280" si="192">100*B280/$B$8</f>
        <v>518.22689454545446</v>
      </c>
      <c r="D280" s="1036">
        <f t="shared" ref="D280" si="193">100*((B280/B279)-1)</f>
        <v>0</v>
      </c>
      <c r="E280" s="1036">
        <f t="shared" si="185"/>
        <v>0</v>
      </c>
      <c r="F280" s="1037">
        <f t="shared" ref="F280" si="194">100*((B280/B268)-1)</f>
        <v>8.4000000000000075</v>
      </c>
      <c r="G280" s="1038">
        <f t="shared" ref="G280" si="195">100*(B280/B256-1)</f>
        <v>14.948818751562754</v>
      </c>
      <c r="H280" s="861">
        <f t="shared" si="162"/>
        <v>1.1789068467214052</v>
      </c>
    </row>
    <row r="281" spans="1:8">
      <c r="A281" s="1032" t="str">
        <f>'Rec750'!A212</f>
        <v>ABRIL|17</v>
      </c>
      <c r="B281" s="918">
        <f>geral!M903</f>
        <v>285.02479199999999</v>
      </c>
      <c r="C281" s="918">
        <f t="shared" ref="C281" si="196">100*B281/$B$8</f>
        <v>518.22689454545446</v>
      </c>
      <c r="D281" s="1036">
        <f t="shared" ref="D281" si="197">100*((B281/B280)-1)</f>
        <v>0</v>
      </c>
      <c r="E281" s="1036">
        <f t="shared" si="185"/>
        <v>0</v>
      </c>
      <c r="F281" s="1037">
        <f t="shared" ref="F281" si="198">100*((B281/B269)-1)</f>
        <v>8.4000000000000075</v>
      </c>
      <c r="G281" s="1038">
        <f t="shared" ref="G281" si="199">100*(B281/B257-1)</f>
        <v>14.948818751562754</v>
      </c>
      <c r="H281" s="861">
        <f t="shared" si="162"/>
        <v>1.1789068467214052</v>
      </c>
    </row>
    <row r="282" spans="1:8">
      <c r="A282" s="1032" t="str">
        <f>'Rec750'!A213</f>
        <v>MAIO|17</v>
      </c>
      <c r="B282" s="918">
        <f>geral!M904</f>
        <v>285.02479199999999</v>
      </c>
      <c r="C282" s="918">
        <f t="shared" ref="C282" si="200">100*B282/$B$8</f>
        <v>518.22689454545446</v>
      </c>
      <c r="D282" s="1036">
        <f t="shared" ref="D282" si="201">100*((B282/B281)-1)</f>
        <v>0</v>
      </c>
      <c r="E282" s="1036">
        <f t="shared" si="185"/>
        <v>0</v>
      </c>
      <c r="F282" s="1037">
        <f t="shared" ref="F282" si="202">100*((B282/B270)-1)</f>
        <v>0</v>
      </c>
      <c r="G282" s="1038">
        <f t="shared" ref="G282" si="203">100*(B282/B258-1)</f>
        <v>14.948818751562754</v>
      </c>
      <c r="H282" s="861">
        <f t="shared" si="162"/>
        <v>1.1789068467214052</v>
      </c>
    </row>
    <row r="283" spans="1:8">
      <c r="A283" s="1032" t="str">
        <f>'Rec750'!A214</f>
        <v>JUNHO|17</v>
      </c>
      <c r="B283" s="918">
        <f>geral!M905</f>
        <v>285.02479199999999</v>
      </c>
      <c r="C283" s="918">
        <f t="shared" ref="C283" si="204">100*B283/$B$8</f>
        <v>518.22689454545446</v>
      </c>
      <c r="D283" s="1036">
        <f t="shared" ref="D283" si="205">100*((B283/B282)-1)</f>
        <v>0</v>
      </c>
      <c r="E283" s="1036">
        <f t="shared" si="185"/>
        <v>0</v>
      </c>
      <c r="F283" s="1037">
        <f t="shared" ref="F283" si="206">100*((B283/B271)-1)</f>
        <v>0</v>
      </c>
      <c r="G283" s="1038">
        <f t="shared" ref="G283" si="207">100*(B283/B259-1)</f>
        <v>8.4000000000000075</v>
      </c>
      <c r="H283" s="861">
        <f t="shared" si="162"/>
        <v>1.1789068467214052</v>
      </c>
    </row>
    <row r="284" spans="1:8">
      <c r="A284" s="1032" t="str">
        <f>'Rec750'!A215</f>
        <v>JULHO|17</v>
      </c>
      <c r="B284" s="918">
        <f>geral!M906</f>
        <v>285.02479199999999</v>
      </c>
      <c r="C284" s="918">
        <f t="shared" ref="C284" si="208">100*B284/$B$8</f>
        <v>518.22689454545446</v>
      </c>
      <c r="D284" s="1036">
        <f t="shared" ref="D284" si="209">100*((B284/B283)-1)</f>
        <v>0</v>
      </c>
      <c r="E284" s="1036">
        <f t="shared" ref="E284" si="210">100*((B284/$B$277)-1)</f>
        <v>0</v>
      </c>
      <c r="F284" s="1037">
        <f t="shared" ref="F284" si="211">100*((B284/B272)-1)</f>
        <v>0</v>
      </c>
      <c r="G284" s="1038">
        <f t="shared" ref="G284" si="212">100*(B284/B260-1)</f>
        <v>8.4000000000000075</v>
      </c>
      <c r="H284" s="861">
        <f t="shared" si="162"/>
        <v>1.1789068467214052</v>
      </c>
    </row>
    <row r="285" spans="1:8">
      <c r="A285" s="1032" t="str">
        <f>'Rec750'!A216</f>
        <v>AGOSTO|17</v>
      </c>
      <c r="B285" s="918">
        <f>geral!M907</f>
        <v>296.9388283056</v>
      </c>
      <c r="C285" s="918">
        <f t="shared" ref="C285" si="213">100*B285/$B$8</f>
        <v>539.88877873745457</v>
      </c>
      <c r="D285" s="1036">
        <f t="shared" ref="D285" si="214">100*((B285/B284)-1)</f>
        <v>4.1800000000000059</v>
      </c>
      <c r="E285" s="1036">
        <f t="shared" ref="E285" si="215">100*((B285/$B$277)-1)</f>
        <v>4.1800000000000059</v>
      </c>
      <c r="F285" s="1037">
        <f t="shared" ref="F285" si="216">100*((B285/B273)-1)</f>
        <v>4.1800000000000059</v>
      </c>
      <c r="G285" s="1038">
        <f t="shared" ref="G285" si="217">100*(B285/B261-1)</f>
        <v>12.931120000000007</v>
      </c>
      <c r="H285" s="861">
        <f t="shared" si="162"/>
        <v>1.131605727319452</v>
      </c>
    </row>
    <row r="286" spans="1:8">
      <c r="A286" s="1032" t="str">
        <f>'Rec750'!A217</f>
        <v>SETEMBRO|17</v>
      </c>
      <c r="B286" s="918">
        <f>geral!M908</f>
        <v>296.9388283056</v>
      </c>
      <c r="C286" s="918">
        <f t="shared" ref="C286" si="218">100*B286/$B$8</f>
        <v>539.88877873745457</v>
      </c>
      <c r="D286" s="1036">
        <f t="shared" ref="D286" si="219">100*((B286/B285)-1)</f>
        <v>0</v>
      </c>
      <c r="E286" s="1036">
        <f t="shared" ref="E286" si="220">100*((B286/$B$277)-1)</f>
        <v>4.1800000000000059</v>
      </c>
      <c r="F286" s="1037">
        <f t="shared" ref="F286" si="221">100*((B286/B274)-1)</f>
        <v>4.1800000000000059</v>
      </c>
      <c r="G286" s="1038">
        <f t="shared" ref="G286" si="222">100*(B286/B262-1)</f>
        <v>12.931120000000007</v>
      </c>
      <c r="H286" s="861">
        <f t="shared" si="162"/>
        <v>1.131605727319452</v>
      </c>
    </row>
    <row r="287" spans="1:8">
      <c r="A287" s="1032" t="str">
        <f>'Rec750'!A218</f>
        <v>OUTUBRO|17</v>
      </c>
      <c r="B287" s="918">
        <f>geral!M909</f>
        <v>296.9388283056</v>
      </c>
      <c r="C287" s="918">
        <f t="shared" ref="C287" si="223">100*B287/$B$8</f>
        <v>539.88877873745457</v>
      </c>
      <c r="D287" s="1036">
        <f t="shared" ref="D287" si="224">100*((B287/B286)-1)</f>
        <v>0</v>
      </c>
      <c r="E287" s="1036">
        <f t="shared" ref="E287" si="225">100*((B287/$B$277)-1)</f>
        <v>4.1800000000000059</v>
      </c>
      <c r="F287" s="1037">
        <f t="shared" ref="F287" si="226">100*((B287/B275)-1)</f>
        <v>4.1800000000000059</v>
      </c>
      <c r="G287" s="1038">
        <f t="shared" ref="G287" si="227">100*(B287/B263-1)</f>
        <v>12.931120000000007</v>
      </c>
      <c r="H287" s="861">
        <f t="shared" si="162"/>
        <v>1.131605727319452</v>
      </c>
    </row>
    <row r="288" spans="1:8">
      <c r="A288" s="1032" t="str">
        <f>'Rec750'!A219</f>
        <v>NOVEMBRO|17</v>
      </c>
      <c r="B288" s="918">
        <f>geral!M910</f>
        <v>296.9388283056</v>
      </c>
      <c r="C288" s="918">
        <f t="shared" ref="C288" si="228">100*B288/$B$8</f>
        <v>539.88877873745457</v>
      </c>
      <c r="D288" s="1036">
        <f t="shared" ref="D288" si="229">100*((B288/B287)-1)</f>
        <v>0</v>
      </c>
      <c r="E288" s="1036">
        <f t="shared" ref="E288" si="230">100*((B288/$B$277)-1)</f>
        <v>4.1800000000000059</v>
      </c>
      <c r="F288" s="1037">
        <f t="shared" ref="F288" si="231">100*((B288/B276)-1)</f>
        <v>4.1800000000000059</v>
      </c>
      <c r="G288" s="1038">
        <f t="shared" ref="G288" si="232">100*(B288/B264-1)</f>
        <v>12.931120000000007</v>
      </c>
      <c r="H288" s="861">
        <f t="shared" si="162"/>
        <v>1.131605727319452</v>
      </c>
    </row>
    <row r="289" spans="1:8">
      <c r="A289" s="1032" t="str">
        <f>'Rec750'!A220</f>
        <v>DEZEMBRO|17</v>
      </c>
      <c r="B289" s="918">
        <f>geral!M911</f>
        <v>296.9388283056</v>
      </c>
      <c r="C289" s="918">
        <f t="shared" ref="C289" si="233">100*B289/$B$8</f>
        <v>539.88877873745457</v>
      </c>
      <c r="D289" s="1036">
        <f t="shared" ref="D289" si="234">100*((B289/B288)-1)</f>
        <v>0</v>
      </c>
      <c r="E289" s="1036">
        <f t="shared" ref="E289" si="235">100*((B289/$B$277)-1)</f>
        <v>4.1800000000000059</v>
      </c>
      <c r="F289" s="1037">
        <f t="shared" ref="F289" si="236">100*((B289/B277)-1)</f>
        <v>4.1800000000000059</v>
      </c>
      <c r="G289" s="1038">
        <f t="shared" ref="G289" si="237">100*(B289/B265-1)</f>
        <v>12.931120000000007</v>
      </c>
      <c r="H289" s="861">
        <f t="shared" si="162"/>
        <v>1.131605727319452</v>
      </c>
    </row>
    <row r="290" spans="1:8">
      <c r="A290" s="1032" t="str">
        <f>'Rec750'!A221</f>
        <v>JANEIRO|18</v>
      </c>
      <c r="B290" s="918">
        <f>geral!O900</f>
        <v>296.9388283056</v>
      </c>
      <c r="C290" s="918">
        <f t="shared" ref="C290" si="238">100*B290/$B$8</f>
        <v>539.88877873745457</v>
      </c>
      <c r="D290" s="1036">
        <f t="shared" ref="D290" si="239">100*((B290/B289)-1)</f>
        <v>0</v>
      </c>
      <c r="E290" s="1036">
        <f t="shared" ref="E290:E295" si="240">100*((B290/$B$289)-1)</f>
        <v>0</v>
      </c>
      <c r="F290" s="1037">
        <f t="shared" ref="F290" si="241">100*((B290/B278)-1)</f>
        <v>4.1800000000000059</v>
      </c>
      <c r="G290" s="1038">
        <f t="shared" ref="G290" si="242">100*(B290/B266-1)</f>
        <v>12.931120000000007</v>
      </c>
      <c r="H290" s="861">
        <f t="shared" si="162"/>
        <v>1.131605727319452</v>
      </c>
    </row>
    <row r="291" spans="1:8">
      <c r="A291" s="1032" t="str">
        <f>'Rec750'!A222</f>
        <v>FEVEREIRO|18</v>
      </c>
      <c r="B291" s="918">
        <f>geral!O901</f>
        <v>296.9388283056</v>
      </c>
      <c r="C291" s="918">
        <f t="shared" ref="C291" si="243">100*B291/$B$8</f>
        <v>539.88877873745457</v>
      </c>
      <c r="D291" s="1036">
        <f t="shared" ref="D291" si="244">100*((B291/B290)-1)</f>
        <v>0</v>
      </c>
      <c r="E291" s="1036">
        <f t="shared" si="240"/>
        <v>0</v>
      </c>
      <c r="F291" s="1037">
        <f t="shared" ref="F291" si="245">100*((B291/B279)-1)</f>
        <v>4.1800000000000059</v>
      </c>
      <c r="G291" s="1038">
        <f t="shared" ref="G291" si="246">100*(B291/B267-1)</f>
        <v>12.931120000000007</v>
      </c>
      <c r="H291" s="861">
        <f t="shared" si="162"/>
        <v>1.131605727319452</v>
      </c>
    </row>
    <row r="292" spans="1:8">
      <c r="A292" s="1032" t="str">
        <f>'Rec750'!A223</f>
        <v>MARÇO|18</v>
      </c>
      <c r="B292" s="918">
        <f>geral!O902</f>
        <v>296.9388283056</v>
      </c>
      <c r="C292" s="918">
        <f t="shared" ref="C292" si="247">100*B292/$B$8</f>
        <v>539.88877873745457</v>
      </c>
      <c r="D292" s="1036">
        <f t="shared" ref="D292" si="248">100*((B292/B291)-1)</f>
        <v>0</v>
      </c>
      <c r="E292" s="1036">
        <f t="shared" si="240"/>
        <v>0</v>
      </c>
      <c r="F292" s="1037">
        <f t="shared" ref="F292" si="249">100*((B292/B280)-1)</f>
        <v>4.1800000000000059</v>
      </c>
      <c r="G292" s="1038">
        <f t="shared" ref="G292" si="250">100*(B292/B268-1)</f>
        <v>12.931120000000007</v>
      </c>
      <c r="H292" s="861">
        <f t="shared" si="162"/>
        <v>1.131605727319452</v>
      </c>
    </row>
    <row r="293" spans="1:8">
      <c r="A293" s="1032" t="str">
        <f>'Rec750'!A224</f>
        <v>ABRIL|18</v>
      </c>
      <c r="B293" s="918">
        <f>geral!O903</f>
        <v>296.9388283056</v>
      </c>
      <c r="C293" s="918">
        <f t="shared" ref="C293" si="251">100*B293/$B$8</f>
        <v>539.88877873745457</v>
      </c>
      <c r="D293" s="1036">
        <f t="shared" ref="D293" si="252">100*((B293/B292)-1)</f>
        <v>0</v>
      </c>
      <c r="E293" s="1036">
        <f t="shared" si="240"/>
        <v>0</v>
      </c>
      <c r="F293" s="1037">
        <f t="shared" ref="F293" si="253">100*((B293/B281)-1)</f>
        <v>4.1800000000000059</v>
      </c>
      <c r="G293" s="1038">
        <f t="shared" ref="G293" si="254">100*(B293/B269-1)</f>
        <v>12.931120000000007</v>
      </c>
      <c r="H293" s="861">
        <f t="shared" si="162"/>
        <v>1.131605727319452</v>
      </c>
    </row>
    <row r="294" spans="1:8">
      <c r="A294" s="1032" t="str">
        <f>'Rec750'!A225</f>
        <v>MAIO|18</v>
      </c>
      <c r="B294" s="918">
        <f>geral!O904</f>
        <v>296.9388283056</v>
      </c>
      <c r="C294" s="918">
        <f t="shared" ref="C294" si="255">100*B294/$B$8</f>
        <v>539.88877873745457</v>
      </c>
      <c r="D294" s="1036">
        <f t="shared" ref="D294" si="256">100*((B294/B293)-1)</f>
        <v>0</v>
      </c>
      <c r="E294" s="1036">
        <f t="shared" si="240"/>
        <v>0</v>
      </c>
      <c r="F294" s="1037">
        <f t="shared" ref="F294" si="257">100*((B294/B282)-1)</f>
        <v>4.1800000000000059</v>
      </c>
      <c r="G294" s="1038">
        <f t="shared" ref="G294" si="258">100*(B294/B270-1)</f>
        <v>4.1800000000000059</v>
      </c>
      <c r="H294" s="861">
        <f t="shared" si="162"/>
        <v>1.131605727319452</v>
      </c>
    </row>
    <row r="295" spans="1:8">
      <c r="A295" s="1032" t="str">
        <f>'Rec750'!A226</f>
        <v>JUNHO|18</v>
      </c>
      <c r="B295" s="918">
        <f>geral!O905</f>
        <v>310.30107557935202</v>
      </c>
      <c r="C295" s="918">
        <f t="shared" ref="C295" si="259">100*B295/$B$8</f>
        <v>564.18377378063997</v>
      </c>
      <c r="D295" s="1036">
        <f t="shared" ref="D295" si="260">100*((B295/B294)-1)</f>
        <v>4.5000000000000151</v>
      </c>
      <c r="E295" s="1036">
        <f t="shared" si="240"/>
        <v>4.5000000000000151</v>
      </c>
      <c r="F295" s="1037">
        <f t="shared" ref="F295" si="261">100*((B295/B283)-1)</f>
        <v>8.8681000000000019</v>
      </c>
      <c r="G295" s="1038">
        <f t="shared" ref="G295" si="262">100*(B295/B271-1)</f>
        <v>8.8681000000000019</v>
      </c>
      <c r="H295" s="861">
        <f t="shared" si="162"/>
        <v>1.0828762940856</v>
      </c>
    </row>
    <row r="296" spans="1:8">
      <c r="A296" s="1032" t="str">
        <f>'Rec750'!A227</f>
        <v>JULHO|18</v>
      </c>
      <c r="B296" s="918">
        <f>geral!O906</f>
        <v>310.30107557935202</v>
      </c>
      <c r="C296" s="918">
        <f t="shared" ref="C296" si="263">100*B296/$B$8</f>
        <v>564.18377378063997</v>
      </c>
      <c r="D296" s="1036">
        <f t="shared" ref="D296" si="264">100*((B296/B295)-1)</f>
        <v>0</v>
      </c>
      <c r="E296" s="1036">
        <f t="shared" ref="E296" si="265">100*((B296/$B$289)-1)</f>
        <v>4.5000000000000151</v>
      </c>
      <c r="F296" s="1037">
        <f t="shared" ref="F296" si="266">100*((B296/B284)-1)</f>
        <v>8.8681000000000019</v>
      </c>
      <c r="G296" s="1038">
        <f t="shared" ref="G296" si="267">100*(B296/B272-1)</f>
        <v>8.8681000000000019</v>
      </c>
      <c r="H296" s="861">
        <f t="shared" si="162"/>
        <v>1.0828762940856</v>
      </c>
    </row>
    <row r="297" spans="1:8">
      <c r="A297" s="1032" t="str">
        <f>'Rec750'!A228</f>
        <v>AGOSTO|18</v>
      </c>
      <c r="B297" s="918">
        <f>geral!O907</f>
        <v>310.30107557935202</v>
      </c>
      <c r="C297" s="918">
        <f t="shared" ref="C297" si="268">100*B297/$B$8</f>
        <v>564.18377378063997</v>
      </c>
      <c r="D297" s="1036">
        <f t="shared" ref="D297" si="269">100*((B297/B296)-1)</f>
        <v>0</v>
      </c>
      <c r="E297" s="1036">
        <f t="shared" ref="E297" si="270">100*((B297/$B$289)-1)</f>
        <v>4.5000000000000151</v>
      </c>
      <c r="F297" s="1037">
        <f t="shared" ref="F297" si="271">100*((B297/B285)-1)</f>
        <v>4.5000000000000151</v>
      </c>
      <c r="G297" s="1038">
        <f t="shared" ref="G297" si="272">100*(B297/B273-1)</f>
        <v>8.8681000000000019</v>
      </c>
      <c r="H297" s="861">
        <f t="shared" si="162"/>
        <v>1.0828762940856</v>
      </c>
    </row>
    <row r="298" spans="1:8">
      <c r="A298" s="1032" t="str">
        <f>'Rec750'!A229</f>
        <v>SETEMBRO|18</v>
      </c>
      <c r="B298" s="918">
        <f>geral!O908</f>
        <v>310.30107557935202</v>
      </c>
      <c r="C298" s="918">
        <f t="shared" ref="C298" si="273">100*B298/$B$8</f>
        <v>564.18377378063997</v>
      </c>
      <c r="D298" s="1036">
        <f t="shared" ref="D298" si="274">100*((B298/B297)-1)</f>
        <v>0</v>
      </c>
      <c r="E298" s="1036">
        <f t="shared" ref="E298" si="275">100*((B298/$B$289)-1)</f>
        <v>4.5000000000000151</v>
      </c>
      <c r="F298" s="1037">
        <f t="shared" ref="F298" si="276">100*((B298/B286)-1)</f>
        <v>4.5000000000000151</v>
      </c>
      <c r="G298" s="1038">
        <f t="shared" ref="G298" si="277">100*(B298/B274-1)</f>
        <v>8.8681000000000019</v>
      </c>
      <c r="H298" s="861">
        <f t="shared" si="162"/>
        <v>1.0828762940856</v>
      </c>
    </row>
    <row r="299" spans="1:8">
      <c r="A299" s="1032" t="str">
        <f>'Rec750'!A230</f>
        <v>OUTUBRO|18</v>
      </c>
      <c r="B299" s="918">
        <f>geral!O909</f>
        <v>310.30107557935202</v>
      </c>
      <c r="C299" s="918">
        <f t="shared" ref="C299" si="278">100*B299/$B$8</f>
        <v>564.18377378063997</v>
      </c>
      <c r="D299" s="1036">
        <f t="shared" ref="D299" si="279">100*((B299/B298)-1)</f>
        <v>0</v>
      </c>
      <c r="E299" s="1036">
        <f t="shared" ref="E299" si="280">100*((B299/$B$289)-1)</f>
        <v>4.5000000000000151</v>
      </c>
      <c r="F299" s="1037">
        <f t="shared" ref="F299" si="281">100*((B299/B287)-1)</f>
        <v>4.5000000000000151</v>
      </c>
      <c r="G299" s="1038">
        <f t="shared" ref="G299" si="282">100*(B299/B275-1)</f>
        <v>8.8681000000000019</v>
      </c>
      <c r="H299" s="861">
        <f t="shared" si="162"/>
        <v>1.0828762940856</v>
      </c>
    </row>
    <row r="300" spans="1:8">
      <c r="A300" s="1032" t="str">
        <f>'Rec750'!A231</f>
        <v>NOVEMBRO|18</v>
      </c>
      <c r="B300" s="918">
        <f>geral!O910</f>
        <v>310.30107557935202</v>
      </c>
      <c r="C300" s="918">
        <f t="shared" ref="C300" si="283">100*B300/$B$8</f>
        <v>564.18377378063997</v>
      </c>
      <c r="D300" s="1036">
        <f t="shared" ref="D300" si="284">100*((B300/B299)-1)</f>
        <v>0</v>
      </c>
      <c r="E300" s="1036">
        <f t="shared" ref="E300" si="285">100*((B300/$B$289)-1)</f>
        <v>4.5000000000000151</v>
      </c>
      <c r="F300" s="1037">
        <f t="shared" ref="F300" si="286">100*((B300/B288)-1)</f>
        <v>4.5000000000000151</v>
      </c>
      <c r="G300" s="1038">
        <f t="shared" ref="G300" si="287">100*(B300/B276-1)</f>
        <v>8.8681000000000019</v>
      </c>
      <c r="H300" s="861">
        <f t="shared" si="162"/>
        <v>1.0828762940856</v>
      </c>
    </row>
    <row r="301" spans="1:8">
      <c r="A301" s="1032" t="str">
        <f>'Rec750'!A232</f>
        <v>DEZEMBRO|18</v>
      </c>
      <c r="B301" s="918">
        <f>geral!O911</f>
        <v>310.30107557935202</v>
      </c>
      <c r="C301" s="918">
        <f t="shared" ref="C301" si="288">100*B301/$B$8</f>
        <v>564.18377378063997</v>
      </c>
      <c r="D301" s="1036">
        <f t="shared" ref="D301" si="289">100*((B301/B300)-1)</f>
        <v>0</v>
      </c>
      <c r="E301" s="1036">
        <f t="shared" ref="E301" si="290">100*((B301/$B$289)-1)</f>
        <v>4.5000000000000151</v>
      </c>
      <c r="F301" s="1037">
        <f t="shared" ref="F301" si="291">100*((B301/B289)-1)</f>
        <v>4.5000000000000151</v>
      </c>
      <c r="G301" s="1038">
        <f t="shared" ref="G301" si="292">100*(B301/B277-1)</f>
        <v>8.8681000000000019</v>
      </c>
      <c r="H301" s="861">
        <f t="shared" si="162"/>
        <v>1.0828762940856</v>
      </c>
    </row>
    <row r="302" spans="1:8">
      <c r="A302" s="1032" t="str">
        <f>'Rec750'!A233</f>
        <v>JANEIRO|19</v>
      </c>
      <c r="B302" s="918">
        <f>geral!Q900</f>
        <v>310.30107557935202</v>
      </c>
      <c r="C302" s="918">
        <f t="shared" ref="C302" si="293">100*B302/$B$8</f>
        <v>564.18377378063997</v>
      </c>
      <c r="D302" s="1036">
        <f t="shared" ref="D302" si="294">100*((B302/B301)-1)</f>
        <v>0</v>
      </c>
      <c r="E302" s="1036">
        <f t="shared" ref="E302:E307" si="295">100*((B302/$B$301)-1)</f>
        <v>0</v>
      </c>
      <c r="F302" s="1037">
        <f t="shared" ref="F302" si="296">100*((B302/B290)-1)</f>
        <v>4.5000000000000151</v>
      </c>
      <c r="G302" s="1038">
        <f t="shared" ref="G302" si="297">100*(B302/B278-1)</f>
        <v>8.8681000000000019</v>
      </c>
      <c r="H302" s="861">
        <f t="shared" si="162"/>
        <v>1.0828762940856</v>
      </c>
    </row>
    <row r="303" spans="1:8">
      <c r="A303" s="1032" t="str">
        <f>'Rec750'!A234</f>
        <v>FEVEREIRO|19</v>
      </c>
      <c r="B303" s="918">
        <f>geral!Q901</f>
        <v>310.30107557935202</v>
      </c>
      <c r="C303" s="918">
        <f t="shared" ref="C303" si="298">100*B303/$B$8</f>
        <v>564.18377378063997</v>
      </c>
      <c r="D303" s="1036">
        <f t="shared" ref="D303" si="299">100*((B303/B302)-1)</f>
        <v>0</v>
      </c>
      <c r="E303" s="1036">
        <f t="shared" si="295"/>
        <v>0</v>
      </c>
      <c r="F303" s="1037">
        <f t="shared" ref="F303" si="300">100*((B303/B291)-1)</f>
        <v>4.5000000000000151</v>
      </c>
      <c r="G303" s="1038">
        <f t="shared" ref="G303" si="301">100*(B303/B279-1)</f>
        <v>8.8681000000000019</v>
      </c>
      <c r="H303" s="861">
        <f t="shared" si="162"/>
        <v>1.0828762940856</v>
      </c>
    </row>
    <row r="304" spans="1:8">
      <c r="A304" s="1032" t="str">
        <f>'Rec750'!A235</f>
        <v>MARÇO|19</v>
      </c>
      <c r="B304" s="918">
        <f>geral!Q902</f>
        <v>310.30107557935202</v>
      </c>
      <c r="C304" s="918">
        <f t="shared" ref="C304" si="302">100*B304/$B$8</f>
        <v>564.18377378063997</v>
      </c>
      <c r="D304" s="1036">
        <f t="shared" ref="D304" si="303">100*((B304/B303)-1)</f>
        <v>0</v>
      </c>
      <c r="E304" s="1036">
        <f t="shared" si="295"/>
        <v>0</v>
      </c>
      <c r="F304" s="1037">
        <f t="shared" ref="F304" si="304">100*((B304/B292)-1)</f>
        <v>4.5000000000000151</v>
      </c>
      <c r="G304" s="1038">
        <f t="shared" ref="G304" si="305">100*(B304/B280-1)</f>
        <v>8.8681000000000019</v>
      </c>
      <c r="H304" s="861">
        <f t="shared" si="162"/>
        <v>1.0828762940856</v>
      </c>
    </row>
    <row r="305" spans="1:8">
      <c r="A305" s="1032" t="str">
        <f>'Rec750'!A236</f>
        <v>ABRIL|19</v>
      </c>
      <c r="B305" s="918">
        <f>geral!Q903</f>
        <v>310.30107557935202</v>
      </c>
      <c r="C305" s="918">
        <f t="shared" ref="C305" si="306">100*B305/$B$8</f>
        <v>564.18377378063997</v>
      </c>
      <c r="D305" s="1036">
        <f t="shared" ref="D305" si="307">100*((B305/B304)-1)</f>
        <v>0</v>
      </c>
      <c r="E305" s="1036">
        <f t="shared" si="295"/>
        <v>0</v>
      </c>
      <c r="F305" s="1037">
        <f t="shared" ref="F305" si="308">100*((B305/B293)-1)</f>
        <v>4.5000000000000151</v>
      </c>
      <c r="G305" s="1038">
        <f t="shared" ref="G305" si="309">100*(B305/B281-1)</f>
        <v>8.8681000000000019</v>
      </c>
      <c r="H305" s="861">
        <f t="shared" si="162"/>
        <v>1.0828762940856</v>
      </c>
    </row>
    <row r="306" spans="1:8">
      <c r="A306" s="1032" t="str">
        <f>'Rec750'!A237</f>
        <v>MAIO|19</v>
      </c>
      <c r="B306" s="918">
        <f>geral!Q904</f>
        <v>310.30107557935202</v>
      </c>
      <c r="C306" s="918">
        <f t="shared" ref="C306" si="310">100*B306/$B$8</f>
        <v>564.18377378063997</v>
      </c>
      <c r="D306" s="1036">
        <f t="shared" ref="D306" si="311">100*((B306/B305)-1)</f>
        <v>0</v>
      </c>
      <c r="E306" s="1036">
        <f t="shared" si="295"/>
        <v>0</v>
      </c>
      <c r="F306" s="1037">
        <f t="shared" ref="F306" si="312">100*((B306/B294)-1)</f>
        <v>4.5000000000000151</v>
      </c>
      <c r="G306" s="1038">
        <f t="shared" ref="G306" si="313">100*(B306/B282-1)</f>
        <v>8.8681000000000019</v>
      </c>
      <c r="H306" s="861">
        <f t="shared" si="162"/>
        <v>1.0828762940856</v>
      </c>
    </row>
    <row r="307" spans="1:8">
      <c r="A307" s="1032" t="str">
        <f>'Rec750'!A238</f>
        <v>JUNHO|19</v>
      </c>
      <c r="B307" s="918">
        <f>geral!Q905</f>
        <v>310.30107557935202</v>
      </c>
      <c r="C307" s="918">
        <f t="shared" ref="C307" si="314">100*B307/$B$8</f>
        <v>564.18377378063997</v>
      </c>
      <c r="D307" s="1036">
        <f t="shared" ref="D307" si="315">100*((B307/B306)-1)</f>
        <v>0</v>
      </c>
      <c r="E307" s="1036">
        <f t="shared" si="295"/>
        <v>0</v>
      </c>
      <c r="F307" s="1037">
        <f t="shared" ref="F307" si="316">100*((B307/B295)-1)</f>
        <v>0</v>
      </c>
      <c r="G307" s="1038">
        <f t="shared" ref="G307" si="317">100*(B307/B283-1)</f>
        <v>8.8681000000000019</v>
      </c>
      <c r="H307" s="861">
        <f t="shared" si="162"/>
        <v>1.0828762940856</v>
      </c>
    </row>
    <row r="308" spans="1:8">
      <c r="A308" s="1032" t="str">
        <f>'Rec750'!A239</f>
        <v>JULHO|19</v>
      </c>
      <c r="B308" s="918">
        <f>geral!Q906</f>
        <v>324.96031899187176</v>
      </c>
      <c r="C308" s="918">
        <f t="shared" ref="C308" si="318">100*B308/$B$8</f>
        <v>590.83694362158496</v>
      </c>
      <c r="D308" s="1036">
        <f t="shared" ref="D308" si="319">100*((B308/B307)-1)</f>
        <v>4.7242000000000006</v>
      </c>
      <c r="E308" s="1036">
        <f t="shared" ref="E308" si="320">100*((B308/$B$301)-1)</f>
        <v>4.7242000000000006</v>
      </c>
      <c r="F308" s="1037">
        <f t="shared" ref="F308" si="321">100*((B308/B296)-1)</f>
        <v>4.7242000000000006</v>
      </c>
      <c r="G308" s="1038">
        <f t="shared" ref="G308" si="322">100*(B308/B284-1)</f>
        <v>14.011246780200004</v>
      </c>
      <c r="H308" s="861">
        <f t="shared" si="162"/>
        <v>1.0340267999999999</v>
      </c>
    </row>
    <row r="309" spans="1:8">
      <c r="A309" s="1032" t="str">
        <f>'Rec750'!A240</f>
        <v>AGOSTO|19</v>
      </c>
      <c r="B309" s="918">
        <f>geral!Q907</f>
        <v>324.96031899187176</v>
      </c>
      <c r="C309" s="918">
        <f t="shared" ref="C309" si="323">100*B309/$B$8</f>
        <v>590.83694362158496</v>
      </c>
      <c r="D309" s="1036">
        <f t="shared" ref="D309" si="324">100*((B309/B308)-1)</f>
        <v>0</v>
      </c>
      <c r="E309" s="1036">
        <f t="shared" ref="E309" si="325">100*((B309/$B$301)-1)</f>
        <v>4.7242000000000006</v>
      </c>
      <c r="F309" s="1037">
        <f t="shared" ref="F309" si="326">100*((B309/B297)-1)</f>
        <v>4.7242000000000006</v>
      </c>
      <c r="G309" s="1038">
        <f t="shared" ref="G309" si="327">100*(B309/B285-1)</f>
        <v>9.436789000000001</v>
      </c>
      <c r="H309" s="861">
        <f t="shared" si="162"/>
        <v>1.0340267999999999</v>
      </c>
    </row>
    <row r="310" spans="1:8">
      <c r="A310" s="1032" t="str">
        <f>'Rec750'!A241</f>
        <v>SETEMBRO|19</v>
      </c>
      <c r="B310" s="918">
        <f>geral!Q908</f>
        <v>324.96031899187176</v>
      </c>
      <c r="C310" s="918">
        <f t="shared" ref="C310" si="328">100*B310/$B$8</f>
        <v>590.83694362158496</v>
      </c>
      <c r="D310" s="1036">
        <f t="shared" ref="D310" si="329">100*((B310/B309)-1)</f>
        <v>0</v>
      </c>
      <c r="E310" s="1036">
        <f t="shared" ref="E310" si="330">100*((B310/$B$301)-1)</f>
        <v>4.7242000000000006</v>
      </c>
      <c r="F310" s="1037">
        <f t="shared" ref="F310" si="331">100*((B310/B298)-1)</f>
        <v>4.7242000000000006</v>
      </c>
      <c r="G310" s="1038">
        <f t="shared" ref="G310" si="332">100*(B310/B286-1)</f>
        <v>9.436789000000001</v>
      </c>
      <c r="H310" s="861">
        <f t="shared" si="162"/>
        <v>1.0340267999999999</v>
      </c>
    </row>
    <row r="311" spans="1:8">
      <c r="A311" s="1032" t="str">
        <f>'Rec750'!A242</f>
        <v>OUTUBRO|19</v>
      </c>
      <c r="B311" s="918">
        <f>geral!Q909</f>
        <v>324.96031899187176</v>
      </c>
      <c r="C311" s="918">
        <f t="shared" ref="C311" si="333">100*B311/$B$8</f>
        <v>590.83694362158496</v>
      </c>
      <c r="D311" s="1036">
        <f t="shared" ref="D311" si="334">100*((B311/B310)-1)</f>
        <v>0</v>
      </c>
      <c r="E311" s="1036">
        <f t="shared" ref="E311" si="335">100*((B311/$B$301)-1)</f>
        <v>4.7242000000000006</v>
      </c>
      <c r="F311" s="1037">
        <f t="shared" ref="F311" si="336">100*((B311/B299)-1)</f>
        <v>4.7242000000000006</v>
      </c>
      <c r="G311" s="1038">
        <f t="shared" ref="G311" si="337">100*(B311/B287-1)</f>
        <v>9.436789000000001</v>
      </c>
      <c r="H311" s="861">
        <f t="shared" si="162"/>
        <v>1.0340267999999999</v>
      </c>
    </row>
    <row r="312" spans="1:8">
      <c r="A312" s="1032" t="str">
        <f>'Rec750'!A243</f>
        <v>NOVEMBRO|19</v>
      </c>
      <c r="B312" s="918">
        <f>geral!Q910</f>
        <v>324.96031899187176</v>
      </c>
      <c r="C312" s="918">
        <f t="shared" ref="C312" si="338">100*B312/$B$8</f>
        <v>590.83694362158496</v>
      </c>
      <c r="D312" s="1036">
        <f t="shared" ref="D312" si="339">100*((B312/B311)-1)</f>
        <v>0</v>
      </c>
      <c r="E312" s="1036">
        <f t="shared" ref="E312" si="340">100*((B312/$B$301)-1)</f>
        <v>4.7242000000000006</v>
      </c>
      <c r="F312" s="1037">
        <f t="shared" ref="F312" si="341">100*((B312/B300)-1)</f>
        <v>4.7242000000000006</v>
      </c>
      <c r="G312" s="1038">
        <f t="shared" ref="G312" si="342">100*(B312/B288-1)</f>
        <v>9.436789000000001</v>
      </c>
      <c r="H312" s="861">
        <f t="shared" si="162"/>
        <v>1.0340267999999999</v>
      </c>
    </row>
    <row r="313" spans="1:8">
      <c r="A313" s="1032" t="str">
        <f>'Rec750'!A244</f>
        <v>DEZEMBRO|19</v>
      </c>
      <c r="B313" s="918">
        <f>geral!Q911</f>
        <v>324.96031899187176</v>
      </c>
      <c r="C313" s="918">
        <f t="shared" ref="C313" si="343">100*B313/$B$8</f>
        <v>590.83694362158496</v>
      </c>
      <c r="D313" s="1036">
        <f t="shared" ref="D313" si="344">100*((B313/B312)-1)</f>
        <v>0</v>
      </c>
      <c r="E313" s="1036">
        <f t="shared" ref="E313" si="345">100*((B313/$B$301)-1)</f>
        <v>4.7242000000000006</v>
      </c>
      <c r="F313" s="1037">
        <f t="shared" ref="F313" si="346">100*((B313/B301)-1)</f>
        <v>4.7242000000000006</v>
      </c>
      <c r="G313" s="1038">
        <f t="shared" ref="G313" si="347">100*(B313/B289-1)</f>
        <v>9.436789000000001</v>
      </c>
      <c r="H313" s="861">
        <f t="shared" si="162"/>
        <v>1.0340267999999999</v>
      </c>
    </row>
    <row r="314" spans="1:8">
      <c r="A314" s="1032" t="str">
        <f>'Rec750'!A245</f>
        <v>JANEIRO|20</v>
      </c>
      <c r="B314" s="918">
        <f>geral!S900</f>
        <v>324.96031899187176</v>
      </c>
      <c r="C314" s="918">
        <f t="shared" ref="C314" si="348">100*B314/$B$8</f>
        <v>590.83694362158496</v>
      </c>
      <c r="D314" s="1036">
        <f t="shared" ref="D314" si="349">100*((B314/B313)-1)</f>
        <v>0</v>
      </c>
      <c r="E314" s="1036">
        <f t="shared" ref="E314:E319" si="350">100*((B314/$B$313)-1)</f>
        <v>0</v>
      </c>
      <c r="F314" s="1037">
        <f t="shared" ref="F314" si="351">100*((B314/B302)-1)</f>
        <v>4.7242000000000006</v>
      </c>
      <c r="G314" s="1038">
        <f t="shared" ref="G314" si="352">100*(B314/B290-1)</f>
        <v>9.436789000000001</v>
      </c>
      <c r="H314" s="861">
        <f t="shared" si="162"/>
        <v>1.0340267999999999</v>
      </c>
    </row>
    <row r="315" spans="1:8">
      <c r="A315" s="1032" t="str">
        <f>'Rec750'!A246</f>
        <v>FEVEREIRO|20</v>
      </c>
      <c r="B315" s="918">
        <f>geral!S901</f>
        <v>324.96031899187176</v>
      </c>
      <c r="C315" s="918">
        <f t="shared" ref="C315" si="353">100*B315/$B$8</f>
        <v>590.83694362158496</v>
      </c>
      <c r="D315" s="1036">
        <f t="shared" ref="D315" si="354">100*((B315/B314)-1)</f>
        <v>0</v>
      </c>
      <c r="E315" s="1036">
        <f t="shared" si="350"/>
        <v>0</v>
      </c>
      <c r="F315" s="1037">
        <f t="shared" ref="F315" si="355">100*((B315/B303)-1)</f>
        <v>4.7242000000000006</v>
      </c>
      <c r="G315" s="1038">
        <f t="shared" ref="G315" si="356">100*(B315/B291-1)</f>
        <v>9.436789000000001</v>
      </c>
      <c r="H315" s="861">
        <f t="shared" si="162"/>
        <v>1.0340267999999999</v>
      </c>
    </row>
    <row r="316" spans="1:8">
      <c r="A316" s="1032" t="str">
        <f>'Rec750'!A247</f>
        <v>MARÇO|20</v>
      </c>
      <c r="B316" s="918">
        <f>geral!S902</f>
        <v>324.96031899187176</v>
      </c>
      <c r="C316" s="918">
        <f t="shared" ref="C316" si="357">100*B316/$B$8</f>
        <v>590.83694362158496</v>
      </c>
      <c r="D316" s="1036">
        <f t="shared" ref="D316" si="358">100*((B316/B315)-1)</f>
        <v>0</v>
      </c>
      <c r="E316" s="1036">
        <f t="shared" si="350"/>
        <v>0</v>
      </c>
      <c r="F316" s="1037">
        <f t="shared" ref="F316" si="359">100*((B316/B304)-1)</f>
        <v>4.7242000000000006</v>
      </c>
      <c r="G316" s="1038">
        <f t="shared" ref="G316" si="360">100*(B316/B292-1)</f>
        <v>9.436789000000001</v>
      </c>
      <c r="H316" s="861">
        <f t="shared" si="162"/>
        <v>1.0340267999999999</v>
      </c>
    </row>
    <row r="317" spans="1:8">
      <c r="A317" s="1032" t="str">
        <f>'Rec750'!A248</f>
        <v>ABRIL|20</v>
      </c>
      <c r="B317" s="918">
        <f>geral!S903</f>
        <v>324.96031899187176</v>
      </c>
      <c r="C317" s="918">
        <f t="shared" ref="C317" si="361">100*B317/$B$8</f>
        <v>590.83694362158496</v>
      </c>
      <c r="D317" s="1036">
        <f t="shared" ref="D317" si="362">100*((B317/B316)-1)</f>
        <v>0</v>
      </c>
      <c r="E317" s="1036">
        <f t="shared" si="350"/>
        <v>0</v>
      </c>
      <c r="F317" s="1037">
        <f t="shared" ref="F317" si="363">100*((B317/B305)-1)</f>
        <v>4.7242000000000006</v>
      </c>
      <c r="G317" s="1038">
        <f t="shared" ref="G317" si="364">100*(B317/B293-1)</f>
        <v>9.436789000000001</v>
      </c>
      <c r="H317" s="861">
        <f t="shared" si="162"/>
        <v>1.0340267999999999</v>
      </c>
    </row>
    <row r="318" spans="1:8">
      <c r="A318" s="1032" t="str">
        <f>'Rec750'!A249</f>
        <v>MAIO|20</v>
      </c>
      <c r="B318" s="918">
        <f>geral!S904</f>
        <v>324.96031899187176</v>
      </c>
      <c r="C318" s="918">
        <f t="shared" ref="C318" si="365">100*B318/$B$8</f>
        <v>590.83694362158496</v>
      </c>
      <c r="D318" s="1036">
        <f t="shared" ref="D318" si="366">100*((B318/B317)-1)</f>
        <v>0</v>
      </c>
      <c r="E318" s="1036">
        <f t="shared" si="350"/>
        <v>0</v>
      </c>
      <c r="F318" s="1037">
        <f t="shared" ref="F318" si="367">100*((B318/B306)-1)</f>
        <v>4.7242000000000006</v>
      </c>
      <c r="G318" s="1038">
        <f t="shared" ref="G318" si="368">100*(B318/B294-1)</f>
        <v>9.436789000000001</v>
      </c>
      <c r="H318" s="861">
        <f t="shared" si="162"/>
        <v>1.0340267999999999</v>
      </c>
    </row>
    <row r="319" spans="1:8">
      <c r="A319" s="1032" t="str">
        <f>'Rec750'!A250</f>
        <v>JUNHO|20</v>
      </c>
      <c r="B319" s="918">
        <f>geral!S905</f>
        <v>324.96031899187176</v>
      </c>
      <c r="C319" s="918">
        <f t="shared" ref="C319" si="369">100*B319/$B$8</f>
        <v>590.83694362158496</v>
      </c>
      <c r="D319" s="1036">
        <f t="shared" ref="D319" si="370">100*((B319/B318)-1)</f>
        <v>0</v>
      </c>
      <c r="E319" s="1036">
        <f t="shared" si="350"/>
        <v>0</v>
      </c>
      <c r="F319" s="1037">
        <f t="shared" ref="F319" si="371">100*((B319/B307)-1)</f>
        <v>4.7242000000000006</v>
      </c>
      <c r="G319" s="1038">
        <f t="shared" ref="G319" si="372">100*(B319/B295-1)</f>
        <v>4.7242000000000006</v>
      </c>
      <c r="H319" s="861">
        <f t="shared" si="162"/>
        <v>1.0340267999999999</v>
      </c>
    </row>
    <row r="320" spans="1:8">
      <c r="A320" s="1032" t="str">
        <f>'Rec750'!A251</f>
        <v>JULHO|20</v>
      </c>
      <c r="B320" s="918">
        <f>geral!S906</f>
        <v>324.96031899187176</v>
      </c>
      <c r="C320" s="918">
        <f t="shared" ref="C320" si="373">100*B320/$B$8</f>
        <v>590.83694362158496</v>
      </c>
      <c r="D320" s="1036">
        <f t="shared" ref="D320" si="374">100*((B320/B319)-1)</f>
        <v>0</v>
      </c>
      <c r="E320" s="1036">
        <f t="shared" ref="E320" si="375">100*((B320/$B$313)-1)</f>
        <v>0</v>
      </c>
      <c r="F320" s="1037">
        <f t="shared" ref="F320" si="376">100*((B320/B308)-1)</f>
        <v>0</v>
      </c>
      <c r="G320" s="1038">
        <f t="shared" ref="G320" si="377">100*(B320/B296-1)</f>
        <v>4.7242000000000006</v>
      </c>
      <c r="H320" s="861">
        <f t="shared" si="162"/>
        <v>1.0340267999999999</v>
      </c>
    </row>
    <row r="321" spans="1:8">
      <c r="A321" s="1032" t="str">
        <f>'Rec750'!A252</f>
        <v>AGOSTO|20</v>
      </c>
      <c r="B321" s="918">
        <f>geral!S907</f>
        <v>324.96031899187176</v>
      </c>
      <c r="C321" s="918">
        <f t="shared" ref="C321" si="378">100*B321/$B$8</f>
        <v>590.83694362158496</v>
      </c>
      <c r="D321" s="1036">
        <f t="shared" ref="D321" si="379">100*((B321/B320)-1)</f>
        <v>0</v>
      </c>
      <c r="E321" s="1036">
        <f t="shared" ref="E321" si="380">100*((B321/$B$313)-1)</f>
        <v>0</v>
      </c>
      <c r="F321" s="1037">
        <f t="shared" ref="F321" si="381">100*((B321/B309)-1)</f>
        <v>0</v>
      </c>
      <c r="G321" s="1038">
        <f t="shared" ref="G321" si="382">100*(B321/B297-1)</f>
        <v>4.7242000000000006</v>
      </c>
      <c r="H321" s="926">
        <f t="shared" si="162"/>
        <v>1.0340267999999999</v>
      </c>
    </row>
    <row r="322" spans="1:8" ht="16.5" thickBot="1">
      <c r="A322" s="1046" t="str">
        <f>'Rec750'!A253</f>
        <v>SETEMBRO|20</v>
      </c>
      <c r="B322" s="1047">
        <f>geral!S908</f>
        <v>336.01767877414437</v>
      </c>
      <c r="C322" s="1047">
        <f t="shared" ref="C322" si="383">100*B322/$B$8</f>
        <v>610.94123413480793</v>
      </c>
      <c r="D322" s="1048">
        <f t="shared" ref="D322" si="384">100*((B322/B321)-1)</f>
        <v>3.4026799999999913</v>
      </c>
      <c r="E322" s="1048">
        <f t="shared" ref="E322" si="385">100*((B322/$B$313)-1)</f>
        <v>3.4026799999999913</v>
      </c>
      <c r="F322" s="1051">
        <f t="shared" ref="F322" si="386">100*((B322/B310)-1)</f>
        <v>3.4026799999999913</v>
      </c>
      <c r="G322" s="1052">
        <f t="shared" ref="G322" si="387">100*(B322/B298-1)</f>
        <v>8.2876294085600044</v>
      </c>
      <c r="H322" s="1053">
        <f t="shared" si="162"/>
        <v>1</v>
      </c>
    </row>
    <row r="323" spans="1:8">
      <c r="A323" s="758" t="s">
        <v>238</v>
      </c>
    </row>
  </sheetData>
  <mergeCells count="7">
    <mergeCell ref="D5:G5"/>
    <mergeCell ref="H5:H6"/>
    <mergeCell ref="A7:B7"/>
    <mergeCell ref="D4:H4"/>
    <mergeCell ref="C1:H3"/>
    <mergeCell ref="A4:C4"/>
    <mergeCell ref="A5:C5"/>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35">
    <pageSetUpPr fitToPage="1"/>
  </sheetPr>
  <dimension ref="A1:J324"/>
  <sheetViews>
    <sheetView showGridLines="0" zoomScaleNormal="100" workbookViewId="0">
      <pane ySplit="2595" topLeftCell="A241" activePane="bottomLeft"/>
      <selection activeCell="H232" sqref="H7:H232"/>
      <selection pane="bottomLeft" activeCell="I254" sqref="I254"/>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72" t="s">
        <v>372</v>
      </c>
      <c r="B4" s="1466"/>
      <c r="C4" s="1467"/>
      <c r="D4" s="1432" t="s">
        <v>365</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771" t="s">
        <v>341</v>
      </c>
      <c r="B6" s="772" t="s">
        <v>76</v>
      </c>
      <c r="C6" s="772" t="s">
        <v>68</v>
      </c>
      <c r="D6" s="772" t="s">
        <v>342</v>
      </c>
      <c r="E6" s="772" t="s">
        <v>343</v>
      </c>
      <c r="F6" s="772" t="s">
        <v>344</v>
      </c>
      <c r="G6" s="772" t="s">
        <v>345</v>
      </c>
      <c r="H6" s="1428"/>
    </row>
    <row r="7" spans="1:8" ht="15.75" customHeight="1" thickBot="1">
      <c r="A7" s="1419" t="s">
        <v>347</v>
      </c>
      <c r="B7" s="1420"/>
      <c r="C7" s="952"/>
      <c r="D7" s="952"/>
      <c r="E7" s="952"/>
      <c r="F7" s="952"/>
      <c r="G7" s="952"/>
      <c r="H7" s="953" t="s">
        <v>361</v>
      </c>
    </row>
    <row r="8" spans="1:8" ht="16.5" hidden="1" thickBot="1">
      <c r="A8" s="973" t="s">
        <v>557</v>
      </c>
      <c r="B8" s="826">
        <f>+geral!C1440</f>
        <v>61</v>
      </c>
      <c r="C8" s="826">
        <v>100</v>
      </c>
      <c r="D8" s="827">
        <f>100*((B8/'Pn900'!B72)-1)</f>
        <v>-84.073107049608353</v>
      </c>
      <c r="E8" s="827"/>
      <c r="F8" s="828"/>
      <c r="G8" s="850"/>
      <c r="H8" s="851">
        <f>$B$253/B8</f>
        <v>4.000884284080156</v>
      </c>
    </row>
    <row r="9" spans="1:8" ht="16.5" hidden="1" thickBot="1">
      <c r="A9" s="973" t="s">
        <v>558</v>
      </c>
      <c r="B9" s="748">
        <f>+geral!C1441</f>
        <v>61.5</v>
      </c>
      <c r="C9" s="748">
        <f>100*B9/$B$8</f>
        <v>100.81967213114754</v>
      </c>
      <c r="D9" s="750">
        <f t="shared" ref="D9:D16" si="0">100*((B9/B8)-1)</f>
        <v>0.81967213114753079</v>
      </c>
      <c r="E9" s="750"/>
      <c r="F9" s="751"/>
      <c r="G9" s="840"/>
      <c r="H9" s="842">
        <f>$B$253/B9</f>
        <v>3.9683567695754389</v>
      </c>
    </row>
    <row r="10" spans="1:8" ht="16.5" hidden="1" thickBot="1">
      <c r="A10" s="973" t="s">
        <v>559</v>
      </c>
      <c r="B10" s="748">
        <f>+geral!C1442</f>
        <v>60.83</v>
      </c>
      <c r="C10" s="748">
        <f t="shared" ref="C10:C88" si="1">100*B10/$B$8</f>
        <v>99.721311475409834</v>
      </c>
      <c r="D10" s="750">
        <f t="shared" si="0"/>
        <v>-1.0894308943089404</v>
      </c>
      <c r="E10" s="750"/>
      <c r="F10" s="751"/>
      <c r="G10" s="840"/>
      <c r="H10" s="842">
        <f>$B$253/B10</f>
        <v>4.0120654500885991</v>
      </c>
    </row>
    <row r="11" spans="1:8" ht="16.5" hidden="1" thickBot="1">
      <c r="A11" s="973" t="s">
        <v>560</v>
      </c>
      <c r="B11" s="748">
        <f>+geral!C1443</f>
        <v>55.97</v>
      </c>
      <c r="C11" s="748">
        <f t="shared" si="1"/>
        <v>91.754098360655732</v>
      </c>
      <c r="D11" s="750">
        <f t="shared" si="0"/>
        <v>-7.9894788755548234</v>
      </c>
      <c r="E11" s="750"/>
      <c r="F11" s="751"/>
      <c r="G11" s="840"/>
      <c r="H11" s="842">
        <f>$B$253/B11</f>
        <v>4.3604420462549491</v>
      </c>
    </row>
    <row r="12" spans="1:8" ht="16.5" hidden="1" thickBot="1">
      <c r="A12" s="973" t="s">
        <v>561</v>
      </c>
      <c r="B12" s="748">
        <f>+geral!C1444</f>
        <v>61.96</v>
      </c>
      <c r="C12" s="748">
        <f t="shared" si="1"/>
        <v>101.57377049180327</v>
      </c>
      <c r="D12" s="750">
        <f t="shared" si="0"/>
        <v>10.70216187243167</v>
      </c>
      <c r="E12" s="750"/>
      <c r="F12" s="751"/>
      <c r="G12" s="840"/>
      <c r="H12" s="842">
        <f>$B$253/B12</f>
        <v>3.9388951150563183</v>
      </c>
    </row>
    <row r="13" spans="1:8" ht="16.5" hidden="1" thickBot="1">
      <c r="A13" s="973" t="s">
        <v>562</v>
      </c>
      <c r="B13" s="748">
        <f>+geral!C1445</f>
        <v>60</v>
      </c>
      <c r="C13" s="748">
        <f t="shared" si="1"/>
        <v>98.360655737704917</v>
      </c>
      <c r="D13" s="750">
        <f t="shared" si="0"/>
        <v>-3.1633311814073584</v>
      </c>
      <c r="E13" s="750"/>
      <c r="F13" s="751"/>
      <c r="G13" s="840"/>
      <c r="H13" s="842">
        <f>$B$253/B13</f>
        <v>4.0675656888148248</v>
      </c>
    </row>
    <row r="14" spans="1:8" ht="16.5" hidden="1" thickBot="1">
      <c r="A14" s="973" t="s">
        <v>534</v>
      </c>
      <c r="B14" s="748">
        <f>+geral!C1446</f>
        <v>56</v>
      </c>
      <c r="C14" s="748">
        <f t="shared" si="1"/>
        <v>91.803278688524586</v>
      </c>
      <c r="D14" s="750">
        <f t="shared" si="0"/>
        <v>-6.6666666666666652</v>
      </c>
      <c r="E14" s="750"/>
      <c r="F14" s="751"/>
      <c r="G14" s="840"/>
      <c r="H14" s="842">
        <f>$B$253/B14</f>
        <v>4.3581060951587407</v>
      </c>
    </row>
    <row r="15" spans="1:8" ht="16.5" hidden="1" thickBot="1">
      <c r="A15" s="973" t="s">
        <v>563</v>
      </c>
      <c r="B15" s="748">
        <f>+geral!C1447</f>
        <v>74.599999999999994</v>
      </c>
      <c r="C15" s="748">
        <f t="shared" si="1"/>
        <v>122.29508196721309</v>
      </c>
      <c r="D15" s="750">
        <f t="shared" si="0"/>
        <v>33.214285714285708</v>
      </c>
      <c r="E15" s="750"/>
      <c r="F15" s="751"/>
      <c r="G15" s="840"/>
      <c r="H15" s="842">
        <f>$B$253/B15</f>
        <v>3.271500554006562</v>
      </c>
    </row>
    <row r="16" spans="1:8" ht="16.5" hidden="1" thickBot="1">
      <c r="A16" s="973" t="s">
        <v>564</v>
      </c>
      <c r="B16" s="748">
        <v>61.67</v>
      </c>
      <c r="C16" s="748">
        <f t="shared" si="1"/>
        <v>101.09836065573771</v>
      </c>
      <c r="D16" s="750">
        <f t="shared" si="0"/>
        <v>-17.332439678284175</v>
      </c>
      <c r="E16" s="750"/>
      <c r="F16" s="751"/>
      <c r="G16" s="840"/>
      <c r="H16" s="842">
        <f>$B$253/B16</f>
        <v>3.9574175665459621</v>
      </c>
    </row>
    <row r="17" spans="1:8" ht="16.5" hidden="1" thickBot="1">
      <c r="A17" s="973" t="s">
        <v>546</v>
      </c>
      <c r="B17" s="748">
        <f>+geral!E1437</f>
        <v>67</v>
      </c>
      <c r="C17" s="748">
        <f t="shared" si="1"/>
        <v>109.8360655737705</v>
      </c>
      <c r="D17" s="750">
        <f t="shared" ref="D17:D22" si="2">100*((B17/B16)-1)</f>
        <v>8.6427760661585751</v>
      </c>
      <c r="E17" s="750">
        <f t="shared" ref="E17:E22" si="3">100*((B17/$B$16)-1)</f>
        <v>8.6427760661585751</v>
      </c>
      <c r="F17" s="751"/>
      <c r="G17" s="840"/>
      <c r="H17" s="842">
        <f>$B$253/B17</f>
        <v>3.6425961392371566</v>
      </c>
    </row>
    <row r="18" spans="1:8" ht="16.5" hidden="1" thickBot="1">
      <c r="A18" s="973" t="s">
        <v>547</v>
      </c>
      <c r="B18" s="748">
        <f>+geral!E1438</f>
        <v>59</v>
      </c>
      <c r="C18" s="748">
        <f t="shared" si="1"/>
        <v>96.721311475409834</v>
      </c>
      <c r="D18" s="750">
        <f t="shared" si="2"/>
        <v>-11.940298507462687</v>
      </c>
      <c r="E18" s="750">
        <f t="shared" si="3"/>
        <v>-4.3294957029349828</v>
      </c>
      <c r="F18" s="751"/>
      <c r="G18" s="840"/>
      <c r="H18" s="842">
        <f>$B$253/B18</f>
        <v>4.1365074801506694</v>
      </c>
    </row>
    <row r="19" spans="1:8" ht="16.5" hidden="1" thickBot="1">
      <c r="A19" s="973" t="s">
        <v>548</v>
      </c>
      <c r="B19" s="748">
        <f>+geral!E1439</f>
        <v>53.75</v>
      </c>
      <c r="C19" s="748">
        <f t="shared" si="1"/>
        <v>88.114754098360649</v>
      </c>
      <c r="D19" s="750">
        <f t="shared" si="2"/>
        <v>-8.8983050847457612</v>
      </c>
      <c r="E19" s="750">
        <f t="shared" si="3"/>
        <v>-12.84254905140263</v>
      </c>
      <c r="F19" s="751"/>
      <c r="G19" s="840"/>
      <c r="H19" s="842">
        <f>$B$253/B19</f>
        <v>4.5405384433281766</v>
      </c>
    </row>
    <row r="20" spans="1:8" ht="16.5" hidden="1" thickBot="1">
      <c r="A20" s="973" t="s">
        <v>549</v>
      </c>
      <c r="B20" s="748">
        <f>+geral!E1440</f>
        <v>55</v>
      </c>
      <c r="C20" s="748">
        <f t="shared" si="1"/>
        <v>90.163934426229503</v>
      </c>
      <c r="D20" s="750">
        <f t="shared" si="2"/>
        <v>2.3255813953488413</v>
      </c>
      <c r="E20" s="750">
        <f t="shared" si="3"/>
        <v>-10.815631587481755</v>
      </c>
      <c r="F20" s="751">
        <f t="shared" ref="F20:F25" si="4">100*((B20/B8)-1)</f>
        <v>-9.8360655737704921</v>
      </c>
      <c r="G20" s="840"/>
      <c r="H20" s="842">
        <f>$B$253/B20</f>
        <v>4.4373443877979906</v>
      </c>
    </row>
    <row r="21" spans="1:8" ht="16.5" hidden="1" thickBot="1">
      <c r="A21" s="973" t="s">
        <v>550</v>
      </c>
      <c r="B21" s="748">
        <f>+geral!E1441</f>
        <v>60.2</v>
      </c>
      <c r="C21" s="748">
        <f t="shared" si="1"/>
        <v>98.688524590163937</v>
      </c>
      <c r="D21" s="750">
        <f t="shared" si="2"/>
        <v>9.4545454545454497</v>
      </c>
      <c r="E21" s="750">
        <f t="shared" si="3"/>
        <v>-2.3836549375709448</v>
      </c>
      <c r="F21" s="751">
        <f t="shared" si="4"/>
        <v>-2.1138211382113803</v>
      </c>
      <c r="G21" s="840"/>
      <c r="H21" s="842">
        <f>$B$253/B21</f>
        <v>4.0540521815430148</v>
      </c>
    </row>
    <row r="22" spans="1:8" ht="15.95" hidden="1" customHeight="1" thickBot="1">
      <c r="A22" s="973" t="s">
        <v>551</v>
      </c>
      <c r="B22" s="748">
        <f>+geral!E1442</f>
        <v>63</v>
      </c>
      <c r="C22" s="748">
        <f t="shared" si="1"/>
        <v>103.27868852459017</v>
      </c>
      <c r="D22" s="750">
        <f t="shared" si="2"/>
        <v>4.6511627906976605</v>
      </c>
      <c r="E22" s="750">
        <f t="shared" si="3"/>
        <v>2.156640181611813</v>
      </c>
      <c r="F22" s="751">
        <f t="shared" si="4"/>
        <v>3.5673187571921838</v>
      </c>
      <c r="G22" s="840"/>
      <c r="H22" s="842">
        <f>$B$253/B22</f>
        <v>3.8738720845855474</v>
      </c>
    </row>
    <row r="23" spans="1:8" ht="16.5" hidden="1" thickBot="1">
      <c r="A23" s="973" t="s">
        <v>552</v>
      </c>
      <c r="B23" s="748">
        <f>+geral!E1443</f>
        <v>58.2</v>
      </c>
      <c r="C23" s="748">
        <f t="shared" si="1"/>
        <v>95.409836065573771</v>
      </c>
      <c r="D23" s="750">
        <f t="shared" ref="D23:D28" si="5">100*((B23/B22)-1)</f>
        <v>-7.6190476190476142</v>
      </c>
      <c r="E23" s="750">
        <f t="shared" ref="E23:E28" si="6">100*((B23/$B$16)-1)</f>
        <v>-5.6267228798443263</v>
      </c>
      <c r="F23" s="751">
        <f t="shared" si="4"/>
        <v>3.9842772914061131</v>
      </c>
      <c r="G23" s="840"/>
      <c r="H23" s="842">
        <f>$B$253/B23</f>
        <v>4.1933666894998192</v>
      </c>
    </row>
    <row r="24" spans="1:8" ht="16.5" hidden="1" thickBot="1">
      <c r="A24" s="973" t="s">
        <v>553</v>
      </c>
      <c r="B24" s="748">
        <f>+geral!E1444</f>
        <v>57</v>
      </c>
      <c r="C24" s="748">
        <f t="shared" si="1"/>
        <v>93.442622950819668</v>
      </c>
      <c r="D24" s="750">
        <f t="shared" si="5"/>
        <v>-2.0618556701030966</v>
      </c>
      <c r="E24" s="750">
        <f t="shared" si="6"/>
        <v>-7.5725636452083744</v>
      </c>
      <c r="F24" s="751">
        <f t="shared" si="4"/>
        <v>-8.0051646223369914</v>
      </c>
      <c r="G24" s="840"/>
      <c r="H24" s="842">
        <f>$B$253/B24</f>
        <v>4.2816480934892898</v>
      </c>
    </row>
    <row r="25" spans="1:8" ht="16.5" hidden="1" thickBot="1">
      <c r="A25" s="973" t="s">
        <v>554</v>
      </c>
      <c r="B25" s="748">
        <f>+geral!E1445</f>
        <v>61.75</v>
      </c>
      <c r="C25" s="748">
        <f t="shared" si="1"/>
        <v>101.22950819672131</v>
      </c>
      <c r="D25" s="750">
        <f t="shared" si="5"/>
        <v>8.333333333333325</v>
      </c>
      <c r="E25" s="750">
        <f t="shared" si="6"/>
        <v>0.12972271769093879</v>
      </c>
      <c r="F25" s="751">
        <f t="shared" si="4"/>
        <v>2.9166666666666563</v>
      </c>
      <c r="G25" s="840"/>
      <c r="H25" s="842">
        <f>$B$253/B25</f>
        <v>3.9522905478362671</v>
      </c>
    </row>
    <row r="26" spans="1:8" ht="16.5" hidden="1" thickBot="1">
      <c r="A26" s="973" t="s">
        <v>533</v>
      </c>
      <c r="B26" s="748">
        <f>+geral!E1446</f>
        <v>57</v>
      </c>
      <c r="C26" s="748">
        <f t="shared" si="1"/>
        <v>93.442622950819668</v>
      </c>
      <c r="D26" s="750">
        <f t="shared" si="5"/>
        <v>-7.6923076923076872</v>
      </c>
      <c r="E26" s="750">
        <f t="shared" si="6"/>
        <v>-7.5725636452083744</v>
      </c>
      <c r="F26" s="751">
        <f t="shared" ref="F26:F31" si="7">100*((B26/B14)-1)</f>
        <v>1.7857142857142794</v>
      </c>
      <c r="G26" s="840"/>
      <c r="H26" s="842">
        <f>$B$253/B26</f>
        <v>4.2816480934892898</v>
      </c>
    </row>
    <row r="27" spans="1:8" ht="16.5" hidden="1" thickBot="1">
      <c r="A27" s="973" t="s">
        <v>555</v>
      </c>
      <c r="B27" s="748">
        <f>+geral!E1447</f>
        <v>61.67</v>
      </c>
      <c r="C27" s="748">
        <f t="shared" si="1"/>
        <v>101.09836065573771</v>
      </c>
      <c r="D27" s="750">
        <f t="shared" si="5"/>
        <v>8.1929824561403528</v>
      </c>
      <c r="E27" s="750">
        <f t="shared" si="6"/>
        <v>0</v>
      </c>
      <c r="F27" s="751">
        <f t="shared" si="7"/>
        <v>-17.332439678284175</v>
      </c>
      <c r="G27" s="840"/>
      <c r="H27" s="842">
        <f>$B$253/B27</f>
        <v>3.9574175665459621</v>
      </c>
    </row>
    <row r="28" spans="1:8" ht="16.5" hidden="1" thickBot="1">
      <c r="A28" s="973" t="s">
        <v>556</v>
      </c>
      <c r="B28" s="748">
        <f>+geral!E1448</f>
        <v>58</v>
      </c>
      <c r="C28" s="748">
        <f t="shared" si="1"/>
        <v>95.081967213114751</v>
      </c>
      <c r="D28" s="750">
        <f t="shared" si="5"/>
        <v>-5.9510296740716733</v>
      </c>
      <c r="E28" s="750">
        <f t="shared" si="6"/>
        <v>-5.9510296740716733</v>
      </c>
      <c r="F28" s="751">
        <f t="shared" si="7"/>
        <v>-5.9510296740716733</v>
      </c>
      <c r="G28" s="840"/>
      <c r="H28" s="842">
        <f>$B$253/B28</f>
        <v>4.2078265746360257</v>
      </c>
    </row>
    <row r="29" spans="1:8" ht="16.5" hidden="1" thickBot="1">
      <c r="A29" s="973" t="s">
        <v>535</v>
      </c>
      <c r="B29" s="748">
        <f>+geral!G1437</f>
        <v>63.4</v>
      </c>
      <c r="C29" s="748">
        <f t="shared" si="1"/>
        <v>103.93442622950819</v>
      </c>
      <c r="D29" s="750">
        <f t="shared" ref="D29:D34" si="8">100*((B29/B28)-1)</f>
        <v>9.3103448275862135</v>
      </c>
      <c r="E29" s="750">
        <f t="shared" ref="E29:E34" si="9">100*((B29/$B$28)-1)</f>
        <v>9.3103448275862135</v>
      </c>
      <c r="F29" s="751">
        <f t="shared" si="7"/>
        <v>-5.3731343283582085</v>
      </c>
      <c r="G29" s="840"/>
      <c r="H29" s="842">
        <f>$B$253/B29</f>
        <v>3.8494312512443138</v>
      </c>
    </row>
    <row r="30" spans="1:8" ht="16.5" hidden="1" thickBot="1">
      <c r="A30" s="973" t="s">
        <v>536</v>
      </c>
      <c r="B30" s="748">
        <f>+geral!G1438</f>
        <v>57.5</v>
      </c>
      <c r="C30" s="748">
        <f t="shared" si="1"/>
        <v>94.26229508196721</v>
      </c>
      <c r="D30" s="750">
        <f t="shared" si="8"/>
        <v>-9.3059936908517322</v>
      </c>
      <c r="E30" s="750">
        <f t="shared" si="9"/>
        <v>-0.86206896551723755</v>
      </c>
      <c r="F30" s="751">
        <f t="shared" si="7"/>
        <v>-2.5423728813559365</v>
      </c>
      <c r="G30" s="840"/>
      <c r="H30" s="842">
        <f>$B$253/B30</f>
        <v>4.2444163709372082</v>
      </c>
    </row>
    <row r="31" spans="1:8" ht="16.5" hidden="1" thickBot="1">
      <c r="A31" s="973" t="s">
        <v>537</v>
      </c>
      <c r="B31" s="748">
        <f>+geral!G1439</f>
        <v>68.75</v>
      </c>
      <c r="C31" s="748">
        <f t="shared" si="1"/>
        <v>112.70491803278688</v>
      </c>
      <c r="D31" s="750">
        <f t="shared" si="8"/>
        <v>19.565217391304344</v>
      </c>
      <c r="E31" s="750">
        <f t="shared" si="9"/>
        <v>18.534482758620683</v>
      </c>
      <c r="F31" s="751">
        <f t="shared" si="7"/>
        <v>27.906976744186053</v>
      </c>
      <c r="G31" s="840"/>
      <c r="H31" s="842">
        <f>$B$253/B31</f>
        <v>3.5498755102383925</v>
      </c>
    </row>
    <row r="32" spans="1:8" ht="16.5" hidden="1" thickBot="1">
      <c r="A32" s="973" t="s">
        <v>538</v>
      </c>
      <c r="B32" s="748">
        <f>+geral!G1440</f>
        <v>63.75</v>
      </c>
      <c r="C32" s="748">
        <f t="shared" si="1"/>
        <v>104.50819672131148</v>
      </c>
      <c r="D32" s="750">
        <f t="shared" si="8"/>
        <v>-7.2727272727272751</v>
      </c>
      <c r="E32" s="750">
        <f t="shared" si="9"/>
        <v>9.9137931034482651</v>
      </c>
      <c r="F32" s="751">
        <f t="shared" ref="F32:F37" si="10">100*((B32/B20)-1)</f>
        <v>15.909090909090917</v>
      </c>
      <c r="G32" s="840">
        <f>100*(B32/B8-1)</f>
        <v>4.508196721311486</v>
      </c>
      <c r="H32" s="842">
        <f>$B$253/B32</f>
        <v>3.8282971188845409</v>
      </c>
    </row>
    <row r="33" spans="1:8" ht="16.5" hidden="1" thickBot="1">
      <c r="A33" s="973" t="s">
        <v>539</v>
      </c>
      <c r="B33" s="748">
        <f>+geral!G1441</f>
        <v>66.400000000000006</v>
      </c>
      <c r="C33" s="748">
        <f t="shared" si="1"/>
        <v>108.85245901639345</v>
      </c>
      <c r="D33" s="750">
        <f t="shared" si="8"/>
        <v>4.1568627450980555</v>
      </c>
      <c r="E33" s="750">
        <f t="shared" si="9"/>
        <v>14.482758620689662</v>
      </c>
      <c r="F33" s="751">
        <f t="shared" si="10"/>
        <v>10.299003322259148</v>
      </c>
      <c r="G33" s="840">
        <f t="shared" ref="G33:G41" si="11">100*(B33/B9-1)</f>
        <v>7.9674796747967624</v>
      </c>
      <c r="H33" s="842">
        <f>$B$253/B33</f>
        <v>3.6755111645917089</v>
      </c>
    </row>
    <row r="34" spans="1:8" ht="16.5" hidden="1" thickBot="1">
      <c r="A34" s="973" t="s">
        <v>540</v>
      </c>
      <c r="B34" s="748">
        <f>+geral!G1442</f>
        <v>68.400000000000006</v>
      </c>
      <c r="C34" s="748">
        <f t="shared" si="1"/>
        <v>112.13114754098362</v>
      </c>
      <c r="D34" s="750">
        <f t="shared" si="8"/>
        <v>3.0120481927710774</v>
      </c>
      <c r="E34" s="750">
        <f t="shared" si="9"/>
        <v>17.931034482758633</v>
      </c>
      <c r="F34" s="751">
        <f t="shared" si="10"/>
        <v>8.5714285714285854</v>
      </c>
      <c r="G34" s="840">
        <f t="shared" si="11"/>
        <v>12.444517507808662</v>
      </c>
      <c r="H34" s="842">
        <f>$B$253/B34</f>
        <v>3.568040077907741</v>
      </c>
    </row>
    <row r="35" spans="1:8" ht="16.5" hidden="1" thickBot="1">
      <c r="A35" s="973" t="s">
        <v>541</v>
      </c>
      <c r="B35" s="748">
        <f>+geral!G1443</f>
        <v>63</v>
      </c>
      <c r="C35" s="748">
        <f t="shared" si="1"/>
        <v>103.27868852459017</v>
      </c>
      <c r="D35" s="750">
        <f t="shared" ref="D35:D40" si="12">100*((B35/B34)-1)</f>
        <v>-7.8947368421052655</v>
      </c>
      <c r="E35" s="750">
        <f t="shared" ref="E35:E40" si="13">100*((B35/$B$28)-1)</f>
        <v>8.6206896551724199</v>
      </c>
      <c r="F35" s="751">
        <f t="shared" si="10"/>
        <v>8.2474226804123631</v>
      </c>
      <c r="G35" s="840">
        <f t="shared" si="11"/>
        <v>12.560300160800431</v>
      </c>
      <c r="H35" s="842">
        <f>$B$253/B35</f>
        <v>3.8738720845855474</v>
      </c>
    </row>
    <row r="36" spans="1:8" ht="16.5" hidden="1" thickBot="1">
      <c r="A36" s="973" t="s">
        <v>542</v>
      </c>
      <c r="B36" s="748">
        <f>+geral!G1444</f>
        <v>66.400000000000006</v>
      </c>
      <c r="C36" s="748">
        <f t="shared" si="1"/>
        <v>108.85245901639345</v>
      </c>
      <c r="D36" s="750">
        <f t="shared" si="12"/>
        <v>5.3968253968253999</v>
      </c>
      <c r="E36" s="750">
        <f t="shared" si="13"/>
        <v>14.482758620689662</v>
      </c>
      <c r="F36" s="751">
        <f t="shared" si="10"/>
        <v>16.491228070175445</v>
      </c>
      <c r="G36" s="840">
        <f t="shared" si="11"/>
        <v>7.1659134925758705</v>
      </c>
      <c r="H36" s="842">
        <f>$B$253/B36</f>
        <v>3.6755111645917089</v>
      </c>
    </row>
    <row r="37" spans="1:8" ht="16.5" hidden="1" thickBot="1">
      <c r="A37" s="973" t="s">
        <v>543</v>
      </c>
      <c r="B37" s="748">
        <f>+geral!G1445</f>
        <v>69.400000000000006</v>
      </c>
      <c r="C37" s="748">
        <f t="shared" si="1"/>
        <v>113.7704918032787</v>
      </c>
      <c r="D37" s="750">
        <f t="shared" si="12"/>
        <v>4.5180722891566161</v>
      </c>
      <c r="E37" s="750">
        <f t="shared" si="13"/>
        <v>19.65517241379311</v>
      </c>
      <c r="F37" s="751">
        <f t="shared" si="10"/>
        <v>12.388663967611336</v>
      </c>
      <c r="G37" s="840">
        <f t="shared" si="11"/>
        <v>15.666666666666673</v>
      </c>
      <c r="H37" s="842">
        <f>$B$253/B37</f>
        <v>3.5166273966698771</v>
      </c>
    </row>
    <row r="38" spans="1:8" ht="16.5" hidden="1" thickBot="1">
      <c r="A38" s="973" t="s">
        <v>532</v>
      </c>
      <c r="B38" s="748">
        <f>+geral!G1446</f>
        <v>71.400000000000006</v>
      </c>
      <c r="C38" s="748">
        <f t="shared" si="1"/>
        <v>117.04918032786887</v>
      </c>
      <c r="D38" s="750">
        <f t="shared" si="12"/>
        <v>2.8818443804034644</v>
      </c>
      <c r="E38" s="750">
        <f t="shared" si="13"/>
        <v>23.103448275862082</v>
      </c>
      <c r="F38" s="751">
        <f t="shared" ref="F38:F43" si="14">100*((B38/B26)-1)</f>
        <v>25.263157894736853</v>
      </c>
      <c r="G38" s="840">
        <f t="shared" si="11"/>
        <v>27.500000000000014</v>
      </c>
      <c r="H38" s="842">
        <f>$B$253/B38</f>
        <v>3.4181224275754829</v>
      </c>
    </row>
    <row r="39" spans="1:8" ht="16.5" hidden="1" thickBot="1">
      <c r="A39" s="973" t="s">
        <v>544</v>
      </c>
      <c r="B39" s="748">
        <f>+geral!G1447</f>
        <v>71.75</v>
      </c>
      <c r="C39" s="748">
        <f t="shared" si="1"/>
        <v>117.62295081967213</v>
      </c>
      <c r="D39" s="750">
        <f t="shared" si="12"/>
        <v>0.49019607843137081</v>
      </c>
      <c r="E39" s="750">
        <f t="shared" si="13"/>
        <v>23.706896551724132</v>
      </c>
      <c r="F39" s="751">
        <f t="shared" si="14"/>
        <v>16.34506242905789</v>
      </c>
      <c r="G39" s="840">
        <f t="shared" si="11"/>
        <v>-3.8203753351206404</v>
      </c>
      <c r="H39" s="842">
        <f>$B$253/B39</f>
        <v>3.4014486596360904</v>
      </c>
    </row>
    <row r="40" spans="1:8" ht="16.5" hidden="1" thickBot="1">
      <c r="A40" s="973" t="s">
        <v>545</v>
      </c>
      <c r="B40" s="748">
        <f>+geral!G1448</f>
        <v>73.75</v>
      </c>
      <c r="C40" s="748">
        <f t="shared" si="1"/>
        <v>120.90163934426229</v>
      </c>
      <c r="D40" s="750">
        <f t="shared" si="12"/>
        <v>2.7874564459930307</v>
      </c>
      <c r="E40" s="750">
        <f t="shared" si="13"/>
        <v>27.155172413793103</v>
      </c>
      <c r="F40" s="751">
        <f t="shared" si="14"/>
        <v>27.155172413793103</v>
      </c>
      <c r="G40" s="840">
        <f t="shared" si="11"/>
        <v>19.588130371331268</v>
      </c>
      <c r="H40" s="842">
        <f>$B$253/B40</f>
        <v>3.3092059841205357</v>
      </c>
    </row>
    <row r="41" spans="1:8" ht="16.5" hidden="1" thickBot="1">
      <c r="A41" s="973" t="s">
        <v>565</v>
      </c>
      <c r="B41" s="748">
        <f>+geral!I1437</f>
        <v>72.400000000000006</v>
      </c>
      <c r="C41" s="748">
        <f t="shared" si="1"/>
        <v>118.68852459016395</v>
      </c>
      <c r="D41" s="750">
        <f t="shared" ref="D41:D46" si="15">100*((B41/B40)-1)</f>
        <v>-1.8305084745762645</v>
      </c>
      <c r="E41" s="750">
        <f t="shared" ref="E41:E46" si="16">100*((B41/$B$40)-1)</f>
        <v>-1.8305084745762645</v>
      </c>
      <c r="F41" s="751">
        <f t="shared" si="14"/>
        <v>14.195583596214512</v>
      </c>
      <c r="G41" s="840">
        <f t="shared" si="11"/>
        <v>8.059701492537318</v>
      </c>
      <c r="H41" s="842">
        <f>$B$253/B41</f>
        <v>3.3709107918354899</v>
      </c>
    </row>
    <row r="42" spans="1:8" ht="16.5" hidden="1" thickBot="1">
      <c r="A42" s="973" t="s">
        <v>566</v>
      </c>
      <c r="B42" s="748">
        <f>+geral!I1438</f>
        <v>73.8</v>
      </c>
      <c r="C42" s="748">
        <f t="shared" si="1"/>
        <v>120.98360655737704</v>
      </c>
      <c r="D42" s="750">
        <f t="shared" si="15"/>
        <v>1.9337016574585419</v>
      </c>
      <c r="E42" s="750">
        <f t="shared" si="16"/>
        <v>6.7796610169490457E-2</v>
      </c>
      <c r="F42" s="751">
        <f t="shared" si="14"/>
        <v>28.347826086956516</v>
      </c>
      <c r="G42" s="840">
        <f t="shared" ref="G42:G47" si="17">100*(B42/B18-1)</f>
        <v>25.084745762711869</v>
      </c>
      <c r="H42" s="842">
        <f>$B$253/B42</f>
        <v>3.3069639746461994</v>
      </c>
    </row>
    <row r="43" spans="1:8" ht="16.5" hidden="1" thickBot="1">
      <c r="A43" s="973" t="s">
        <v>567</v>
      </c>
      <c r="B43" s="748">
        <f>+geral!I1439</f>
        <v>73.8</v>
      </c>
      <c r="C43" s="748">
        <f t="shared" si="1"/>
        <v>120.98360655737704</v>
      </c>
      <c r="D43" s="750">
        <f t="shared" si="15"/>
        <v>0</v>
      </c>
      <c r="E43" s="750">
        <f t="shared" si="16"/>
        <v>6.7796610169490457E-2</v>
      </c>
      <c r="F43" s="751">
        <f t="shared" si="14"/>
        <v>7.3454545454545439</v>
      </c>
      <c r="G43" s="840">
        <f t="shared" si="17"/>
        <v>37.302325581395344</v>
      </c>
      <c r="H43" s="842">
        <f>$B$253/B43</f>
        <v>3.3069639746461994</v>
      </c>
    </row>
    <row r="44" spans="1:8" ht="16.5" hidden="1" thickBot="1">
      <c r="A44" s="973" t="s">
        <v>568</v>
      </c>
      <c r="B44" s="748">
        <f>+geral!I1440</f>
        <v>73.8</v>
      </c>
      <c r="C44" s="748">
        <f t="shared" si="1"/>
        <v>120.98360655737704</v>
      </c>
      <c r="D44" s="750">
        <f t="shared" si="15"/>
        <v>0</v>
      </c>
      <c r="E44" s="750">
        <f t="shared" si="16"/>
        <v>6.7796610169490457E-2</v>
      </c>
      <c r="F44" s="751">
        <f t="shared" ref="F44:F49" si="18">100*((B44/B32)-1)</f>
        <v>15.764705882352947</v>
      </c>
      <c r="G44" s="840">
        <f t="shared" si="17"/>
        <v>34.18181818181818</v>
      </c>
      <c r="H44" s="842">
        <f>$B$253/B44</f>
        <v>3.3069639746461994</v>
      </c>
    </row>
    <row r="45" spans="1:8" ht="16.5" hidden="1" thickBot="1">
      <c r="A45" s="973" t="s">
        <v>569</v>
      </c>
      <c r="B45" s="748">
        <f>+geral!I1441</f>
        <v>73.8</v>
      </c>
      <c r="C45" s="748">
        <f t="shared" si="1"/>
        <v>120.98360655737704</v>
      </c>
      <c r="D45" s="750">
        <f t="shared" si="15"/>
        <v>0</v>
      </c>
      <c r="E45" s="750">
        <f t="shared" si="16"/>
        <v>6.7796610169490457E-2</v>
      </c>
      <c r="F45" s="751">
        <f t="shared" si="18"/>
        <v>11.144578313252996</v>
      </c>
      <c r="G45" s="840">
        <f t="shared" si="17"/>
        <v>22.591362126245841</v>
      </c>
      <c r="H45" s="842">
        <f>$B$253/B45</f>
        <v>3.3069639746461994</v>
      </c>
    </row>
    <row r="46" spans="1:8" ht="16.5" hidden="1" thickBot="1">
      <c r="A46" s="973" t="s">
        <v>570</v>
      </c>
      <c r="B46" s="748">
        <f>+geral!I1442</f>
        <v>74.8</v>
      </c>
      <c r="C46" s="748">
        <f t="shared" si="1"/>
        <v>122.62295081967213</v>
      </c>
      <c r="D46" s="750">
        <f t="shared" si="15"/>
        <v>1.3550135501354976</v>
      </c>
      <c r="E46" s="750">
        <f t="shared" si="16"/>
        <v>1.4237288135593218</v>
      </c>
      <c r="F46" s="751">
        <f t="shared" si="18"/>
        <v>9.3567251461988086</v>
      </c>
      <c r="G46" s="840">
        <f t="shared" si="17"/>
        <v>18.730158730158731</v>
      </c>
      <c r="H46" s="842">
        <f>$B$253/B46</f>
        <v>3.2627532263220522</v>
      </c>
    </row>
    <row r="47" spans="1:8" ht="16.5" hidden="1" thickBot="1">
      <c r="A47" s="973" t="s">
        <v>571</v>
      </c>
      <c r="B47" s="748">
        <f>+geral!I1443</f>
        <v>76.5</v>
      </c>
      <c r="C47" s="748">
        <f t="shared" si="1"/>
        <v>125.40983606557377</v>
      </c>
      <c r="D47" s="750">
        <f t="shared" ref="D47:D52" si="19">100*((B47/B46)-1)</f>
        <v>2.2727272727272707</v>
      </c>
      <c r="E47" s="750">
        <f t="shared" ref="E47:E52" si="20">100*((B47/$B$40)-1)</f>
        <v>3.7288135593220417</v>
      </c>
      <c r="F47" s="751">
        <f t="shared" si="18"/>
        <v>21.42857142857142</v>
      </c>
      <c r="G47" s="840">
        <f t="shared" si="17"/>
        <v>31.443298969072163</v>
      </c>
      <c r="H47" s="842">
        <f>$B$253/B47</f>
        <v>3.1902475990704509</v>
      </c>
    </row>
    <row r="48" spans="1:8" ht="16.5" hidden="1" thickBot="1">
      <c r="A48" s="973" t="s">
        <v>572</v>
      </c>
      <c r="B48" s="748">
        <f>+geral!I1444</f>
        <v>66.5</v>
      </c>
      <c r="C48" s="748">
        <f t="shared" si="1"/>
        <v>109.01639344262296</v>
      </c>
      <c r="D48" s="750">
        <f t="shared" si="19"/>
        <v>-13.071895424836599</v>
      </c>
      <c r="E48" s="750">
        <f t="shared" si="20"/>
        <v>-9.8305084745762716</v>
      </c>
      <c r="F48" s="751">
        <f t="shared" si="18"/>
        <v>0.15060240963855609</v>
      </c>
      <c r="G48" s="840">
        <f t="shared" ref="G48:G53" si="21">100*(B48/B24-1)</f>
        <v>16.666666666666675</v>
      </c>
      <c r="H48" s="842">
        <f>$B$253/B48</f>
        <v>3.6699840801336765</v>
      </c>
    </row>
    <row r="49" spans="1:8" ht="16.5" hidden="1" thickBot="1">
      <c r="A49" s="973" t="s">
        <v>573</v>
      </c>
      <c r="B49" s="748">
        <f>+geral!I1445</f>
        <v>60.2</v>
      </c>
      <c r="C49" s="748">
        <f t="shared" si="1"/>
        <v>98.688524590163937</v>
      </c>
      <c r="D49" s="750">
        <f t="shared" si="19"/>
        <v>-9.4736842105263115</v>
      </c>
      <c r="E49" s="750">
        <f t="shared" si="20"/>
        <v>-18.372881355932201</v>
      </c>
      <c r="F49" s="751">
        <f t="shared" si="18"/>
        <v>-13.256484149855908</v>
      </c>
      <c r="G49" s="840">
        <f t="shared" si="21"/>
        <v>-2.5101214574898778</v>
      </c>
      <c r="H49" s="842">
        <f>$B$253/B49</f>
        <v>4.0540521815430148</v>
      </c>
    </row>
    <row r="50" spans="1:8" ht="16.5" hidden="1" thickBot="1">
      <c r="A50" s="973" t="s">
        <v>396</v>
      </c>
      <c r="B50" s="748">
        <f>+geral!I1446</f>
        <v>68.540000000000006</v>
      </c>
      <c r="C50" s="748">
        <f t="shared" si="1"/>
        <v>112.36065573770493</v>
      </c>
      <c r="D50" s="750">
        <f t="shared" si="19"/>
        <v>13.853820598006639</v>
      </c>
      <c r="E50" s="750">
        <f t="shared" si="20"/>
        <v>-7.0644067796610033</v>
      </c>
      <c r="F50" s="751">
        <f t="shared" ref="F50:F55" si="22">100*((B50/B38)-1)</f>
        <v>-4.005602240896355</v>
      </c>
      <c r="G50" s="840">
        <f t="shared" si="21"/>
        <v>20.245614035087733</v>
      </c>
      <c r="H50" s="842">
        <f>$B$253/B50</f>
        <v>3.560751989041282</v>
      </c>
    </row>
    <row r="51" spans="1:8" ht="16.5" hidden="1" thickBot="1">
      <c r="A51" s="973" t="s">
        <v>397</v>
      </c>
      <c r="B51" s="748">
        <f>+geral!I1447</f>
        <v>64</v>
      </c>
      <c r="C51" s="748">
        <f t="shared" si="1"/>
        <v>104.91803278688525</v>
      </c>
      <c r="D51" s="750">
        <f t="shared" si="19"/>
        <v>-6.6238692734169931</v>
      </c>
      <c r="E51" s="750">
        <f t="shared" si="20"/>
        <v>-13.22033898305085</v>
      </c>
      <c r="F51" s="751">
        <f t="shared" si="22"/>
        <v>-10.801393728222997</v>
      </c>
      <c r="G51" s="840">
        <f t="shared" si="21"/>
        <v>3.7781741527485035</v>
      </c>
      <c r="H51" s="842">
        <f>$B$253/B51</f>
        <v>3.8133428332638983</v>
      </c>
    </row>
    <row r="52" spans="1:8" ht="16.5" hidden="1" thickBot="1">
      <c r="A52" s="973" t="s">
        <v>398</v>
      </c>
      <c r="B52" s="748">
        <f>+geral!I1448</f>
        <v>66.2</v>
      </c>
      <c r="C52" s="748">
        <f t="shared" si="1"/>
        <v>108.52459016393442</v>
      </c>
      <c r="D52" s="750">
        <f t="shared" si="19"/>
        <v>3.4375000000000044</v>
      </c>
      <c r="E52" s="750">
        <f t="shared" si="20"/>
        <v>-10.237288135593214</v>
      </c>
      <c r="F52" s="751">
        <f t="shared" si="22"/>
        <v>-10.237288135593214</v>
      </c>
      <c r="G52" s="840">
        <f t="shared" si="21"/>
        <v>14.137931034482754</v>
      </c>
      <c r="H52" s="842">
        <f>$B$253/B52</f>
        <v>3.6866154279288441</v>
      </c>
    </row>
    <row r="53" spans="1:8" ht="16.5" hidden="1" thickBot="1">
      <c r="A53" s="973" t="s">
        <v>399</v>
      </c>
      <c r="B53" s="748">
        <f>+geral!K1437</f>
        <v>63.2</v>
      </c>
      <c r="C53" s="748">
        <f t="shared" si="1"/>
        <v>103.60655737704919</v>
      </c>
      <c r="D53" s="750">
        <f t="shared" ref="D53:D58" si="23">100*((B53/B52)-1)</f>
        <v>-4.5317220543806602</v>
      </c>
      <c r="E53" s="750">
        <f t="shared" ref="E53:E58" si="24">100*((B53/$B$52)-1)</f>
        <v>-4.5317220543806602</v>
      </c>
      <c r="F53" s="751">
        <f t="shared" si="22"/>
        <v>-12.707182320441991</v>
      </c>
      <c r="G53" s="840">
        <f t="shared" si="21"/>
        <v>-0.3154574132492094</v>
      </c>
      <c r="H53" s="842">
        <f>$B$253/B53</f>
        <v>3.8616129957102765</v>
      </c>
    </row>
    <row r="54" spans="1:8" ht="16.5" hidden="1" thickBot="1">
      <c r="A54" s="973" t="s">
        <v>400</v>
      </c>
      <c r="B54" s="748">
        <f>+geral!K1438</f>
        <v>62.5</v>
      </c>
      <c r="C54" s="748">
        <f t="shared" si="1"/>
        <v>102.45901639344262</v>
      </c>
      <c r="D54" s="750">
        <f t="shared" si="23"/>
        <v>-1.1075949367088667</v>
      </c>
      <c r="E54" s="750">
        <f t="shared" si="24"/>
        <v>-5.5891238670694898</v>
      </c>
      <c r="F54" s="751">
        <f t="shared" si="22"/>
        <v>-15.311653116531165</v>
      </c>
      <c r="G54" s="840">
        <f t="shared" ref="G54:G59" si="25">100*(B54/B30-1)</f>
        <v>8.6956521739130377</v>
      </c>
      <c r="H54" s="842">
        <f>$B$253/B54</f>
        <v>3.9048630612622319</v>
      </c>
    </row>
    <row r="55" spans="1:8" ht="16.5" hidden="1" thickBot="1">
      <c r="A55" s="973" t="s">
        <v>401</v>
      </c>
      <c r="B55" s="748">
        <f>+geral!K1439</f>
        <v>66.25</v>
      </c>
      <c r="C55" s="748">
        <f t="shared" si="1"/>
        <v>108.60655737704919</v>
      </c>
      <c r="D55" s="750">
        <f t="shared" si="23"/>
        <v>6.0000000000000053</v>
      </c>
      <c r="E55" s="750">
        <f t="shared" si="24"/>
        <v>7.5528700906346558E-2</v>
      </c>
      <c r="F55" s="751">
        <f t="shared" si="22"/>
        <v>-10.230352303523027</v>
      </c>
      <c r="G55" s="840">
        <f t="shared" si="25"/>
        <v>-3.6363636363636376</v>
      </c>
      <c r="H55" s="842">
        <f>$B$253/B55</f>
        <v>3.6838330766624829</v>
      </c>
    </row>
    <row r="56" spans="1:8" ht="16.5" hidden="1" thickBot="1">
      <c r="A56" s="973" t="s">
        <v>402</v>
      </c>
      <c r="B56" s="748">
        <f>+geral!K1440</f>
        <v>70</v>
      </c>
      <c r="C56" s="748">
        <f t="shared" si="1"/>
        <v>114.75409836065573</v>
      </c>
      <c r="D56" s="750">
        <f t="shared" si="23"/>
        <v>5.6603773584905648</v>
      </c>
      <c r="E56" s="750">
        <f t="shared" si="24"/>
        <v>5.7401812688821607</v>
      </c>
      <c r="F56" s="751">
        <f t="shared" ref="F56:F61" si="26">100*((B56/B44)-1)</f>
        <v>-5.1490514905148999</v>
      </c>
      <c r="G56" s="840">
        <f t="shared" si="25"/>
        <v>9.8039215686274606</v>
      </c>
      <c r="H56" s="842">
        <f>$B$253/B56</f>
        <v>3.4864848761269926</v>
      </c>
    </row>
    <row r="57" spans="1:8" ht="16.5" hidden="1" thickBot="1">
      <c r="A57" s="973" t="s">
        <v>403</v>
      </c>
      <c r="B57" s="748">
        <f>+geral!K1441</f>
        <v>67.5</v>
      </c>
      <c r="C57" s="748">
        <f t="shared" si="1"/>
        <v>110.65573770491804</v>
      </c>
      <c r="D57" s="750">
        <f t="shared" si="23"/>
        <v>-3.5714285714285698</v>
      </c>
      <c r="E57" s="750">
        <f t="shared" si="24"/>
        <v>1.9637462235649439</v>
      </c>
      <c r="F57" s="751">
        <f t="shared" si="26"/>
        <v>-8.5365853658536555</v>
      </c>
      <c r="G57" s="840">
        <f t="shared" si="25"/>
        <v>1.6566265060240948</v>
      </c>
      <c r="H57" s="842">
        <f>$B$253/B57</f>
        <v>3.6156139456131777</v>
      </c>
    </row>
    <row r="58" spans="1:8" ht="16.5" hidden="1" thickBot="1">
      <c r="A58" s="973" t="s">
        <v>404</v>
      </c>
      <c r="B58" s="748">
        <f>+geral!K1442</f>
        <v>67.5</v>
      </c>
      <c r="C58" s="748">
        <f t="shared" si="1"/>
        <v>110.65573770491804</v>
      </c>
      <c r="D58" s="750">
        <f t="shared" si="23"/>
        <v>0</v>
      </c>
      <c r="E58" s="750">
        <f t="shared" si="24"/>
        <v>1.9637462235649439</v>
      </c>
      <c r="F58" s="751">
        <f t="shared" si="26"/>
        <v>-9.7593582887700485</v>
      </c>
      <c r="G58" s="840">
        <f t="shared" si="25"/>
        <v>-1.3157894736842146</v>
      </c>
      <c r="H58" s="842">
        <f>$B$253/B58</f>
        <v>3.6156139456131777</v>
      </c>
    </row>
    <row r="59" spans="1:8" ht="16.5" hidden="1" thickBot="1">
      <c r="A59" s="973" t="s">
        <v>405</v>
      </c>
      <c r="B59" s="748">
        <f>+geral!K1443</f>
        <v>67.5</v>
      </c>
      <c r="C59" s="748">
        <f t="shared" si="1"/>
        <v>110.65573770491804</v>
      </c>
      <c r="D59" s="750">
        <f t="shared" ref="D59:D64" si="27">100*((B59/B58)-1)</f>
        <v>0</v>
      </c>
      <c r="E59" s="750">
        <f t="shared" ref="E59:E64" si="28">100*((B59/$B$52)-1)</f>
        <v>1.9637462235649439</v>
      </c>
      <c r="F59" s="751">
        <f t="shared" si="26"/>
        <v>-11.764705882352944</v>
      </c>
      <c r="G59" s="840">
        <f t="shared" si="25"/>
        <v>7.1428571428571397</v>
      </c>
      <c r="H59" s="842">
        <f>$B$253/B59</f>
        <v>3.6156139456131777</v>
      </c>
    </row>
    <row r="60" spans="1:8" ht="16.5" hidden="1" thickBot="1">
      <c r="A60" s="973" t="s">
        <v>406</v>
      </c>
      <c r="B60" s="748">
        <f>+geral!K1444</f>
        <v>67.5</v>
      </c>
      <c r="C60" s="748">
        <f t="shared" si="1"/>
        <v>110.65573770491804</v>
      </c>
      <c r="D60" s="750">
        <f t="shared" si="27"/>
        <v>0</v>
      </c>
      <c r="E60" s="750">
        <f t="shared" si="28"/>
        <v>1.9637462235649439</v>
      </c>
      <c r="F60" s="751">
        <f t="shared" si="26"/>
        <v>1.5037593984962516</v>
      </c>
      <c r="G60" s="840">
        <f t="shared" ref="G60:G65" si="29">100*(B60/B36-1)</f>
        <v>1.6566265060240948</v>
      </c>
      <c r="H60" s="842">
        <f>$B$253/B60</f>
        <v>3.6156139456131777</v>
      </c>
    </row>
    <row r="61" spans="1:8" ht="16.5" hidden="1" thickBot="1">
      <c r="A61" s="973" t="s">
        <v>407</v>
      </c>
      <c r="B61" s="748">
        <f>+geral!K1445</f>
        <v>66</v>
      </c>
      <c r="C61" s="748">
        <f t="shared" si="1"/>
        <v>108.19672131147541</v>
      </c>
      <c r="D61" s="750">
        <f t="shared" si="27"/>
        <v>-2.2222222222222254</v>
      </c>
      <c r="E61" s="750">
        <f t="shared" si="28"/>
        <v>-0.30211480362538623</v>
      </c>
      <c r="F61" s="751">
        <f t="shared" si="26"/>
        <v>9.6345514950165967</v>
      </c>
      <c r="G61" s="840">
        <f t="shared" si="29"/>
        <v>-4.8991354466858876</v>
      </c>
      <c r="H61" s="842">
        <f>$B$253/B61</f>
        <v>3.6977869898316591</v>
      </c>
    </row>
    <row r="62" spans="1:8" ht="16.5" hidden="1" thickBot="1">
      <c r="A62" s="973" t="s">
        <v>408</v>
      </c>
      <c r="B62" s="748">
        <f>+geral!K1446</f>
        <v>67.5</v>
      </c>
      <c r="C62" s="748">
        <f t="shared" si="1"/>
        <v>110.65573770491804</v>
      </c>
      <c r="D62" s="750">
        <f t="shared" si="27"/>
        <v>2.2727272727272707</v>
      </c>
      <c r="E62" s="750">
        <f t="shared" si="28"/>
        <v>1.9637462235649439</v>
      </c>
      <c r="F62" s="751">
        <f t="shared" ref="F62:F67" si="30">100*((B62/B50)-1)</f>
        <v>-1.5173621243069868</v>
      </c>
      <c r="G62" s="840">
        <f t="shared" si="29"/>
        <v>-5.4621848739495826</v>
      </c>
      <c r="H62" s="842">
        <f>$B$253/B62</f>
        <v>3.6156139456131777</v>
      </c>
    </row>
    <row r="63" spans="1:8" ht="16.5" hidden="1" thickBot="1">
      <c r="A63" s="973" t="s">
        <v>409</v>
      </c>
      <c r="B63" s="748">
        <f>+geral!K1447</f>
        <v>67.5</v>
      </c>
      <c r="C63" s="748">
        <f t="shared" si="1"/>
        <v>110.65573770491804</v>
      </c>
      <c r="D63" s="750">
        <f t="shared" si="27"/>
        <v>0</v>
      </c>
      <c r="E63" s="750">
        <f t="shared" si="28"/>
        <v>1.9637462235649439</v>
      </c>
      <c r="F63" s="751">
        <f t="shared" si="30"/>
        <v>5.46875</v>
      </c>
      <c r="G63" s="840">
        <f t="shared" si="29"/>
        <v>-5.9233449477351874</v>
      </c>
      <c r="H63" s="842">
        <f>$B$253/B63</f>
        <v>3.6156139456131777</v>
      </c>
    </row>
    <row r="64" spans="1:8" ht="16.5" hidden="1" thickBot="1">
      <c r="A64" s="973" t="s">
        <v>410</v>
      </c>
      <c r="B64" s="748">
        <f>+geral!K1448</f>
        <v>67.5</v>
      </c>
      <c r="C64" s="748">
        <f t="shared" si="1"/>
        <v>110.65573770491804</v>
      </c>
      <c r="D64" s="750">
        <f t="shared" si="27"/>
        <v>0</v>
      </c>
      <c r="E64" s="750">
        <f t="shared" si="28"/>
        <v>1.9637462235649439</v>
      </c>
      <c r="F64" s="751">
        <f t="shared" si="30"/>
        <v>1.9637462235649439</v>
      </c>
      <c r="G64" s="840">
        <f t="shared" si="29"/>
        <v>-8.4745762711864394</v>
      </c>
      <c r="H64" s="842">
        <f>$B$253/B64</f>
        <v>3.6156139456131777</v>
      </c>
    </row>
    <row r="65" spans="1:8" ht="16.5" hidden="1" thickBot="1">
      <c r="A65" s="973" t="s">
        <v>411</v>
      </c>
      <c r="B65" s="748">
        <f>+geral!M1437</f>
        <v>70.2</v>
      </c>
      <c r="C65" s="748">
        <f t="shared" si="1"/>
        <v>115.08196721311475</v>
      </c>
      <c r="D65" s="750">
        <f t="shared" ref="D65:D70" si="31">100*((B65/B64)-1)</f>
        <v>4.0000000000000036</v>
      </c>
      <c r="E65" s="750">
        <f t="shared" ref="E65:E70" si="32">100*((B65/$B$64)-1)</f>
        <v>4.0000000000000036</v>
      </c>
      <c r="F65" s="751">
        <f t="shared" si="30"/>
        <v>11.075949367088601</v>
      </c>
      <c r="G65" s="840">
        <f t="shared" si="29"/>
        <v>-3.0386740331491802</v>
      </c>
      <c r="H65" s="842">
        <f>$B$253/B65</f>
        <v>3.4765518707819014</v>
      </c>
    </row>
    <row r="66" spans="1:8" ht="16.5" hidden="1" thickBot="1">
      <c r="A66" s="973" t="s">
        <v>412</v>
      </c>
      <c r="B66" s="748">
        <f>+geral!M1438</f>
        <v>70.599999999999994</v>
      </c>
      <c r="C66" s="748">
        <f t="shared" si="1"/>
        <v>115.73770491803278</v>
      </c>
      <c r="D66" s="750">
        <f t="shared" si="31"/>
        <v>0.56980056980056037</v>
      </c>
      <c r="E66" s="750">
        <f t="shared" si="32"/>
        <v>4.5925925925925926</v>
      </c>
      <c r="F66" s="751">
        <f t="shared" si="30"/>
        <v>12.959999999999994</v>
      </c>
      <c r="G66" s="840">
        <f t="shared" ref="G66:G71" si="33">100*(B66/B42-1)</f>
        <v>-4.3360433604336057</v>
      </c>
      <c r="H66" s="842">
        <f>$B$253/B66</f>
        <v>3.4568546930437609</v>
      </c>
    </row>
    <row r="67" spans="1:8" ht="16.5" hidden="1" thickBot="1">
      <c r="A67" s="973" t="s">
        <v>413</v>
      </c>
      <c r="B67" s="748">
        <f>+geral!M1439</f>
        <v>69.2</v>
      </c>
      <c r="C67" s="748">
        <f t="shared" si="1"/>
        <v>113.44262295081967</v>
      </c>
      <c r="D67" s="750">
        <f t="shared" si="31"/>
        <v>-1.9830028328611804</v>
      </c>
      <c r="E67" s="750">
        <f t="shared" si="32"/>
        <v>2.5185185185185199</v>
      </c>
      <c r="F67" s="751">
        <f t="shared" si="30"/>
        <v>4.4528301886792576</v>
      </c>
      <c r="G67" s="840">
        <f t="shared" si="33"/>
        <v>-6.2330623306232962</v>
      </c>
      <c r="H67" s="842">
        <f>$B$253/B67</f>
        <v>3.5267910596660328</v>
      </c>
    </row>
    <row r="68" spans="1:8" ht="16.5" hidden="1" thickBot="1">
      <c r="A68" s="973" t="s">
        <v>414</v>
      </c>
      <c r="B68" s="748">
        <f>+geral!M1440</f>
        <v>71</v>
      </c>
      <c r="C68" s="748">
        <f t="shared" si="1"/>
        <v>116.39344262295081</v>
      </c>
      <c r="D68" s="750">
        <f t="shared" si="31"/>
        <v>2.6011560693641522</v>
      </c>
      <c r="E68" s="750">
        <f t="shared" si="32"/>
        <v>5.1851851851851816</v>
      </c>
      <c r="F68" s="751">
        <f t="shared" ref="F68:F73" si="34">100*((B68/B56)-1)</f>
        <v>1.4285714285714235</v>
      </c>
      <c r="G68" s="840">
        <f t="shared" si="33"/>
        <v>-3.7940379403794022</v>
      </c>
      <c r="H68" s="842">
        <f>$B$253/B68</f>
        <v>3.4373794553364716</v>
      </c>
    </row>
    <row r="69" spans="1:8" ht="16.5" hidden="1" thickBot="1">
      <c r="A69" s="973" t="s">
        <v>415</v>
      </c>
      <c r="B69" s="748">
        <f>+geral!M1441</f>
        <v>73.75</v>
      </c>
      <c r="C69" s="748">
        <f t="shared" si="1"/>
        <v>120.90163934426229</v>
      </c>
      <c r="D69" s="750">
        <f t="shared" si="31"/>
        <v>3.8732394366197243</v>
      </c>
      <c r="E69" s="750">
        <f t="shared" si="32"/>
        <v>9.259259259259256</v>
      </c>
      <c r="F69" s="751">
        <f t="shared" si="34"/>
        <v>9.259259259259256</v>
      </c>
      <c r="G69" s="840">
        <f t="shared" si="33"/>
        <v>-6.7750677506772661E-2</v>
      </c>
      <c r="H69" s="842">
        <f>$B$253/B69</f>
        <v>3.3092059841205357</v>
      </c>
    </row>
    <row r="70" spans="1:8" ht="16.5" hidden="1" thickBot="1">
      <c r="A70" s="973" t="s">
        <v>416</v>
      </c>
      <c r="B70" s="748">
        <f>+geral!M1442</f>
        <v>75</v>
      </c>
      <c r="C70" s="748">
        <f t="shared" si="1"/>
        <v>122.95081967213115</v>
      </c>
      <c r="D70" s="750">
        <f t="shared" si="31"/>
        <v>1.6949152542372836</v>
      </c>
      <c r="E70" s="750">
        <f t="shared" si="32"/>
        <v>11.111111111111116</v>
      </c>
      <c r="F70" s="751">
        <f t="shared" si="34"/>
        <v>11.111111111111116</v>
      </c>
      <c r="G70" s="840">
        <f t="shared" si="33"/>
        <v>0.2673796791443861</v>
      </c>
      <c r="H70" s="842">
        <f>$B$253/B70</f>
        <v>3.2540525510518599</v>
      </c>
    </row>
    <row r="71" spans="1:8" ht="16.5" hidden="1" thickBot="1">
      <c r="A71" s="973" t="s">
        <v>417</v>
      </c>
      <c r="B71" s="748">
        <f>+geral!M1443</f>
        <v>72.75</v>
      </c>
      <c r="C71" s="748">
        <f t="shared" si="1"/>
        <v>119.26229508196721</v>
      </c>
      <c r="D71" s="750">
        <f t="shared" ref="D71:D76" si="35">100*((B71/B70)-1)</f>
        <v>-3.0000000000000027</v>
      </c>
      <c r="E71" s="750">
        <f t="shared" ref="E71:E76" si="36">100*((B71/$B$64)-1)</f>
        <v>7.7777777777777724</v>
      </c>
      <c r="F71" s="751">
        <f t="shared" si="34"/>
        <v>7.7777777777777724</v>
      </c>
      <c r="G71" s="840">
        <f t="shared" si="33"/>
        <v>-4.9019607843137303</v>
      </c>
      <c r="H71" s="842">
        <f>$B$253/B71</f>
        <v>3.3546933515998556</v>
      </c>
    </row>
    <row r="72" spans="1:8" ht="16.5" hidden="1" thickBot="1">
      <c r="A72" s="973" t="s">
        <v>418</v>
      </c>
      <c r="B72" s="748">
        <f>+geral!M1444</f>
        <v>75</v>
      </c>
      <c r="C72" s="748">
        <f t="shared" si="1"/>
        <v>122.95081967213115</v>
      </c>
      <c r="D72" s="750">
        <f t="shared" si="35"/>
        <v>3.0927835051546282</v>
      </c>
      <c r="E72" s="750">
        <f t="shared" si="36"/>
        <v>11.111111111111116</v>
      </c>
      <c r="F72" s="751">
        <f t="shared" si="34"/>
        <v>11.111111111111116</v>
      </c>
      <c r="G72" s="840">
        <f t="shared" ref="G72:G77" si="37">100*(B72/B48-1)</f>
        <v>12.781954887218049</v>
      </c>
      <c r="H72" s="842">
        <f>$B$253/B72</f>
        <v>3.2540525510518599</v>
      </c>
    </row>
    <row r="73" spans="1:8" ht="16.5" hidden="1" thickBot="1">
      <c r="A73" s="973" t="s">
        <v>419</v>
      </c>
      <c r="B73" s="748">
        <f>+geral!M1445</f>
        <v>79.17</v>
      </c>
      <c r="C73" s="748">
        <f t="shared" si="1"/>
        <v>129.78688524590163</v>
      </c>
      <c r="D73" s="750">
        <f t="shared" si="35"/>
        <v>5.5600000000000094</v>
      </c>
      <c r="E73" s="750">
        <f t="shared" si="36"/>
        <v>17.288888888888888</v>
      </c>
      <c r="F73" s="751">
        <f t="shared" si="34"/>
        <v>19.954545454545446</v>
      </c>
      <c r="G73" s="840">
        <f t="shared" si="37"/>
        <v>31.511627906976749</v>
      </c>
      <c r="H73" s="842">
        <f>$B$253/B73</f>
        <v>3.0826568312351834</v>
      </c>
    </row>
    <row r="74" spans="1:8" ht="16.5" hidden="1" thickBot="1">
      <c r="A74" s="973" t="s">
        <v>420</v>
      </c>
      <c r="B74" s="748">
        <f>+geral!M1446</f>
        <v>85</v>
      </c>
      <c r="C74" s="748">
        <f t="shared" si="1"/>
        <v>139.34426229508196</v>
      </c>
      <c r="D74" s="750">
        <f t="shared" si="35"/>
        <v>7.3639004673487385</v>
      </c>
      <c r="E74" s="750">
        <f t="shared" si="36"/>
        <v>25.925925925925931</v>
      </c>
      <c r="F74" s="751">
        <f t="shared" ref="F74:F79" si="38">100*((B74/B62)-1)</f>
        <v>25.925925925925931</v>
      </c>
      <c r="G74" s="840">
        <f t="shared" si="37"/>
        <v>24.015173621243058</v>
      </c>
      <c r="H74" s="842">
        <f>$B$253/B74</f>
        <v>2.8712228391634058</v>
      </c>
    </row>
    <row r="75" spans="1:8" ht="16.5" hidden="1" thickBot="1">
      <c r="A75" s="973" t="s">
        <v>421</v>
      </c>
      <c r="B75" s="748">
        <f>+geral!M1447</f>
        <v>72</v>
      </c>
      <c r="C75" s="748">
        <f t="shared" si="1"/>
        <v>118.0327868852459</v>
      </c>
      <c r="D75" s="750">
        <f t="shared" si="35"/>
        <v>-15.294117647058824</v>
      </c>
      <c r="E75" s="750">
        <f t="shared" si="36"/>
        <v>6.6666666666666652</v>
      </c>
      <c r="F75" s="751">
        <f t="shared" si="38"/>
        <v>6.6666666666666652</v>
      </c>
      <c r="G75" s="840">
        <f t="shared" si="37"/>
        <v>12.5</v>
      </c>
      <c r="H75" s="842">
        <f>$B$253/B75</f>
        <v>3.3896380740123542</v>
      </c>
    </row>
    <row r="76" spans="1:8" ht="16.5" hidden="1" thickBot="1">
      <c r="A76" s="973" t="s">
        <v>422</v>
      </c>
      <c r="B76" s="748">
        <f>+geral!M1448</f>
        <v>69.17</v>
      </c>
      <c r="C76" s="748">
        <f t="shared" si="1"/>
        <v>113.39344262295081</v>
      </c>
      <c r="D76" s="750">
        <f t="shared" si="35"/>
        <v>-3.9305555555555483</v>
      </c>
      <c r="E76" s="750">
        <f t="shared" si="36"/>
        <v>2.474074074074073</v>
      </c>
      <c r="F76" s="751">
        <f t="shared" si="38"/>
        <v>2.474074074074073</v>
      </c>
      <c r="G76" s="840">
        <f t="shared" si="37"/>
        <v>4.4864048338368656</v>
      </c>
      <c r="H76" s="842">
        <f>$B$253/B76</f>
        <v>3.5283206784572716</v>
      </c>
    </row>
    <row r="77" spans="1:8" ht="16.5" hidden="1" thickBot="1">
      <c r="A77" s="973" t="s">
        <v>423</v>
      </c>
      <c r="B77" s="748">
        <f>+geral!C1452</f>
        <v>70.2</v>
      </c>
      <c r="C77" s="748">
        <f t="shared" si="1"/>
        <v>115.08196721311475</v>
      </c>
      <c r="D77" s="750">
        <f t="shared" ref="D77:D82" si="39">100*((B77/B76)-1)</f>
        <v>1.4890848633800857</v>
      </c>
      <c r="E77" s="750">
        <f t="shared" ref="E77:E82" si="40">100*((B77/$B$76)-1)</f>
        <v>1.4890848633800857</v>
      </c>
      <c r="F77" s="751">
        <f t="shared" si="38"/>
        <v>0</v>
      </c>
      <c r="G77" s="840">
        <f t="shared" si="37"/>
        <v>11.075949367088601</v>
      </c>
      <c r="H77" s="842">
        <f>$B$253/B77</f>
        <v>3.4765518707819014</v>
      </c>
    </row>
    <row r="78" spans="1:8" ht="16.5" hidden="1" thickBot="1">
      <c r="A78" s="973" t="s">
        <v>424</v>
      </c>
      <c r="B78" s="748">
        <f>+geral!C1453</f>
        <v>89.17</v>
      </c>
      <c r="C78" s="748">
        <f t="shared" si="1"/>
        <v>146.18032786885246</v>
      </c>
      <c r="D78" s="750">
        <f t="shared" si="39"/>
        <v>27.022792022792032</v>
      </c>
      <c r="E78" s="750">
        <f t="shared" si="40"/>
        <v>28.914269191846167</v>
      </c>
      <c r="F78" s="751">
        <f t="shared" si="38"/>
        <v>26.303116147308803</v>
      </c>
      <c r="G78" s="840">
        <f t="shared" ref="G78:G83" si="41">100*(B78/B54-1)</f>
        <v>42.671999999999997</v>
      </c>
      <c r="H78" s="842">
        <f>$B$253/B78</f>
        <v>2.7369512316798192</v>
      </c>
    </row>
    <row r="79" spans="1:8" ht="16.5" hidden="1" thickBot="1">
      <c r="A79" s="973" t="s">
        <v>425</v>
      </c>
      <c r="B79" s="748">
        <f>+geral!C1454</f>
        <v>91</v>
      </c>
      <c r="C79" s="748">
        <f t="shared" si="1"/>
        <v>149.18032786885246</v>
      </c>
      <c r="D79" s="750">
        <f t="shared" si="39"/>
        <v>2.0522597286082744</v>
      </c>
      <c r="E79" s="750">
        <f t="shared" si="40"/>
        <v>31.559924822900086</v>
      </c>
      <c r="F79" s="751">
        <f t="shared" si="38"/>
        <v>31.502890173410393</v>
      </c>
      <c r="G79" s="840">
        <f t="shared" si="41"/>
        <v>37.35849056603773</v>
      </c>
      <c r="H79" s="842">
        <f>$B$253/B79</f>
        <v>2.6819114431746098</v>
      </c>
    </row>
    <row r="80" spans="1:8" ht="16.5" hidden="1" thickBot="1">
      <c r="A80" s="973" t="s">
        <v>426</v>
      </c>
      <c r="B80" s="748">
        <f>+geral!C1455</f>
        <v>89</v>
      </c>
      <c r="C80" s="748">
        <f t="shared" si="1"/>
        <v>145.90163934426229</v>
      </c>
      <c r="D80" s="750">
        <f t="shared" si="39"/>
        <v>-2.1978021978022011</v>
      </c>
      <c r="E80" s="750">
        <f t="shared" si="40"/>
        <v>28.668497903715483</v>
      </c>
      <c r="F80" s="751">
        <f t="shared" ref="F80:F85" si="42">100*((B80/B68)-1)</f>
        <v>25.35211267605635</v>
      </c>
      <c r="G80" s="840">
        <f t="shared" si="41"/>
        <v>27.142857142857135</v>
      </c>
      <c r="H80" s="842">
        <f>$B$253/B80</f>
        <v>2.7421791160549382</v>
      </c>
    </row>
    <row r="81" spans="1:10" ht="16.5" hidden="1" thickBot="1">
      <c r="A81" s="973" t="s">
        <v>427</v>
      </c>
      <c r="B81" s="748">
        <f>+geral!C1456</f>
        <v>93.75</v>
      </c>
      <c r="C81" s="748">
        <f t="shared" si="1"/>
        <v>153.68852459016392</v>
      </c>
      <c r="D81" s="750">
        <f t="shared" si="39"/>
        <v>5.3370786516854007</v>
      </c>
      <c r="E81" s="750">
        <f t="shared" si="40"/>
        <v>35.535636836778941</v>
      </c>
      <c r="F81" s="751">
        <f t="shared" si="42"/>
        <v>27.118644067796605</v>
      </c>
      <c r="G81" s="840">
        <f t="shared" si="41"/>
        <v>38.888888888888886</v>
      </c>
      <c r="H81" s="842">
        <f>$B$253/B81</f>
        <v>2.6032420408414878</v>
      </c>
    </row>
    <row r="82" spans="1:10" ht="16.5" hidden="1" thickBot="1">
      <c r="A82" s="973" t="s">
        <v>428</v>
      </c>
      <c r="B82" s="748">
        <f>+geral!C1457</f>
        <v>92</v>
      </c>
      <c r="C82" s="748">
        <f t="shared" si="1"/>
        <v>150.81967213114754</v>
      </c>
      <c r="D82" s="750">
        <f t="shared" si="39"/>
        <v>-1.866666666666672</v>
      </c>
      <c r="E82" s="750">
        <f t="shared" si="40"/>
        <v>33.005638282492413</v>
      </c>
      <c r="F82" s="751">
        <f t="shared" si="42"/>
        <v>22.666666666666657</v>
      </c>
      <c r="G82" s="840">
        <f t="shared" si="41"/>
        <v>36.296296296296291</v>
      </c>
      <c r="H82" s="842">
        <f>$B$253/B82</f>
        <v>2.6527602318357553</v>
      </c>
    </row>
    <row r="83" spans="1:10" ht="16.5" hidden="1" thickBot="1">
      <c r="A83" s="973" t="s">
        <v>429</v>
      </c>
      <c r="B83" s="748">
        <f>+geral!C1458</f>
        <v>83.33</v>
      </c>
      <c r="C83" s="748">
        <f t="shared" si="1"/>
        <v>136.60655737704917</v>
      </c>
      <c r="D83" s="750">
        <f t="shared" ref="D83:D88" si="43">100*((B83/B82)-1)</f>
        <v>-9.4239130434782599</v>
      </c>
      <c r="E83" s="750">
        <f t="shared" ref="E83:E88" si="44">100*((B83/$B$76)-1)</f>
        <v>20.471302587827079</v>
      </c>
      <c r="F83" s="751">
        <f t="shared" si="42"/>
        <v>14.542955326460483</v>
      </c>
      <c r="G83" s="840">
        <f t="shared" si="41"/>
        <v>23.451851851851856</v>
      </c>
      <c r="H83" s="842">
        <f>$B$253/B83</f>
        <v>2.9287644465245348</v>
      </c>
    </row>
    <row r="84" spans="1:10" ht="16.5" hidden="1" thickBot="1">
      <c r="A84" s="973" t="s">
        <v>430</v>
      </c>
      <c r="B84" s="748">
        <f>+geral!C1459</f>
        <v>96</v>
      </c>
      <c r="C84" s="748">
        <f t="shared" si="1"/>
        <v>157.37704918032787</v>
      </c>
      <c r="D84" s="750">
        <f t="shared" si="43"/>
        <v>15.204608184327384</v>
      </c>
      <c r="E84" s="750">
        <f t="shared" si="44"/>
        <v>38.78849212086164</v>
      </c>
      <c r="F84" s="751">
        <f t="shared" si="42"/>
        <v>28.000000000000004</v>
      </c>
      <c r="G84" s="840">
        <f t="shared" ref="G84:G89" si="45">100*(B84/B60-1)</f>
        <v>42.222222222222229</v>
      </c>
      <c r="H84" s="842">
        <f>$B$253/B84</f>
        <v>2.5422285555092654</v>
      </c>
    </row>
    <row r="85" spans="1:10" ht="16.5" hidden="1" thickBot="1">
      <c r="A85" s="973" t="s">
        <v>431</v>
      </c>
      <c r="B85" s="748">
        <f>+geral!C1460</f>
        <v>91</v>
      </c>
      <c r="C85" s="748">
        <f t="shared" si="1"/>
        <v>149.18032786885246</v>
      </c>
      <c r="D85" s="750">
        <f t="shared" si="43"/>
        <v>-5.2083333333333375</v>
      </c>
      <c r="E85" s="750">
        <f t="shared" si="44"/>
        <v>31.559924822900086</v>
      </c>
      <c r="F85" s="751">
        <f t="shared" si="42"/>
        <v>14.942528735632177</v>
      </c>
      <c r="G85" s="840">
        <f t="shared" si="45"/>
        <v>37.87878787878789</v>
      </c>
      <c r="H85" s="842">
        <f>$B$253/B85</f>
        <v>2.6819114431746098</v>
      </c>
    </row>
    <row r="86" spans="1:10" ht="16.5" hidden="1" thickBot="1">
      <c r="A86" s="973" t="s">
        <v>432</v>
      </c>
      <c r="B86" s="748">
        <f>+geral!C1461</f>
        <v>93</v>
      </c>
      <c r="C86" s="748">
        <f t="shared" si="1"/>
        <v>152.45901639344262</v>
      </c>
      <c r="D86" s="750">
        <f t="shared" si="43"/>
        <v>2.19780219780219</v>
      </c>
      <c r="E86" s="750">
        <f t="shared" si="44"/>
        <v>34.451351742084711</v>
      </c>
      <c r="F86" s="751">
        <f t="shared" ref="F86:F91" si="46">100*((B86/B74)-1)</f>
        <v>9.4117647058823639</v>
      </c>
      <c r="G86" s="840">
        <f t="shared" si="45"/>
        <v>37.777777777777779</v>
      </c>
      <c r="H86" s="842">
        <f>$B$253/B86</f>
        <v>2.6242359282676291</v>
      </c>
    </row>
    <row r="87" spans="1:10" ht="16.5" hidden="1" thickBot="1">
      <c r="A87" s="973" t="s">
        <v>433</v>
      </c>
      <c r="B87" s="748">
        <f>+geral!C1462</f>
        <v>90</v>
      </c>
      <c r="C87" s="748">
        <f t="shared" si="1"/>
        <v>147.54098360655738</v>
      </c>
      <c r="D87" s="750">
        <f t="shared" si="43"/>
        <v>-3.2258064516129004</v>
      </c>
      <c r="E87" s="750">
        <f t="shared" si="44"/>
        <v>30.114211363307785</v>
      </c>
      <c r="F87" s="751">
        <f t="shared" si="46"/>
        <v>25</v>
      </c>
      <c r="G87" s="840">
        <f t="shared" si="45"/>
        <v>33.333333333333329</v>
      </c>
      <c r="H87" s="842">
        <f>$B$253/B87</f>
        <v>2.7117104592098831</v>
      </c>
    </row>
    <row r="88" spans="1:10" ht="16.5" hidden="1" thickBot="1">
      <c r="A88" s="973" t="s">
        <v>434</v>
      </c>
      <c r="B88" s="748">
        <f>+geral!C1463</f>
        <v>85</v>
      </c>
      <c r="C88" s="748">
        <f t="shared" si="1"/>
        <v>139.34426229508196</v>
      </c>
      <c r="D88" s="750">
        <f t="shared" si="43"/>
        <v>-5.555555555555558</v>
      </c>
      <c r="E88" s="750">
        <f t="shared" si="44"/>
        <v>22.885644065346256</v>
      </c>
      <c r="F88" s="751">
        <f t="shared" si="46"/>
        <v>22.885644065346256</v>
      </c>
      <c r="G88" s="840">
        <f t="shared" si="45"/>
        <v>25.925925925925931</v>
      </c>
      <c r="H88" s="842">
        <f>$B$253/B88</f>
        <v>2.8712228391634058</v>
      </c>
    </row>
    <row r="89" spans="1:10" ht="16.5" hidden="1" thickBot="1">
      <c r="A89" s="973" t="s">
        <v>435</v>
      </c>
      <c r="B89" s="748">
        <f>+geral!E1452</f>
        <v>91.67</v>
      </c>
      <c r="C89" s="748">
        <f t="shared" ref="C89:C148" si="47">100*B89/$B$8</f>
        <v>150.27868852459017</v>
      </c>
      <c r="D89" s="750">
        <f t="shared" ref="D89:D94" si="48">100*((B89/B88)-1)</f>
        <v>7.847058823529407</v>
      </c>
      <c r="E89" s="750">
        <f t="shared" ref="E89:E94" si="49">100*((B89/$B$88)-1)</f>
        <v>7.847058823529407</v>
      </c>
      <c r="F89" s="751">
        <f t="shared" si="46"/>
        <v>30.584045584045572</v>
      </c>
      <c r="G89" s="840">
        <f t="shared" si="45"/>
        <v>30.584045584045572</v>
      </c>
      <c r="H89" s="842">
        <f>$B$253/B89</f>
        <v>2.6623098214125611</v>
      </c>
    </row>
    <row r="90" spans="1:10" ht="16.5" hidden="1" thickBot="1">
      <c r="A90" s="973" t="s">
        <v>436</v>
      </c>
      <c r="B90" s="748">
        <f>+geral!E1453</f>
        <v>90.83</v>
      </c>
      <c r="C90" s="748">
        <f t="shared" si="47"/>
        <v>148.90163934426229</v>
      </c>
      <c r="D90" s="750">
        <f t="shared" si="48"/>
        <v>-0.91633031526127118</v>
      </c>
      <c r="E90" s="750">
        <f t="shared" si="49"/>
        <v>6.8588235294117617</v>
      </c>
      <c r="F90" s="751">
        <f t="shared" si="46"/>
        <v>1.8616126499943819</v>
      </c>
      <c r="G90" s="840">
        <f t="shared" ref="G90:G100" si="50">100*(B90/B66-1)</f>
        <v>28.654390934844209</v>
      </c>
      <c r="H90" s="842">
        <f>$B$253/B90</f>
        <v>2.6869309845743641</v>
      </c>
    </row>
    <row r="91" spans="1:10" ht="16.5" hidden="1" thickBot="1">
      <c r="A91" s="973" t="s">
        <v>437</v>
      </c>
      <c r="B91" s="748">
        <f>+geral!E1454</f>
        <v>90</v>
      </c>
      <c r="C91" s="748">
        <f t="shared" si="47"/>
        <v>147.54098360655738</v>
      </c>
      <c r="D91" s="750">
        <f t="shared" si="48"/>
        <v>-0.91379500165142957</v>
      </c>
      <c r="E91" s="750">
        <f t="shared" si="49"/>
        <v>5.8823529411764719</v>
      </c>
      <c r="F91" s="751">
        <f t="shared" si="46"/>
        <v>-1.098901098901095</v>
      </c>
      <c r="G91" s="840">
        <f t="shared" si="50"/>
        <v>30.057803468208078</v>
      </c>
      <c r="H91" s="842">
        <f>$B$253/B91</f>
        <v>2.7117104592098831</v>
      </c>
    </row>
    <row r="92" spans="1:10" ht="16.5" hidden="1" thickBot="1">
      <c r="A92" s="973" t="s">
        <v>438</v>
      </c>
      <c r="B92" s="748">
        <f>+geral!E1455</f>
        <v>92.5</v>
      </c>
      <c r="C92" s="748">
        <f t="shared" si="47"/>
        <v>151.63934426229508</v>
      </c>
      <c r="D92" s="750">
        <f t="shared" si="48"/>
        <v>2.7777777777777679</v>
      </c>
      <c r="E92" s="750">
        <f t="shared" si="49"/>
        <v>8.8235294117646959</v>
      </c>
      <c r="F92" s="751">
        <f t="shared" ref="F92:F100" si="51">100*((B92/B80)-1)</f>
        <v>3.9325842696629199</v>
      </c>
      <c r="G92" s="840">
        <f t="shared" si="50"/>
        <v>30.281690140845075</v>
      </c>
      <c r="H92" s="842">
        <f>$B$253/B92</f>
        <v>2.6384209873393458</v>
      </c>
    </row>
    <row r="93" spans="1:10" ht="16.5" hidden="1" thickBot="1">
      <c r="A93" s="973" t="s">
        <v>439</v>
      </c>
      <c r="B93" s="748">
        <f>+geral!E1456</f>
        <v>89.17</v>
      </c>
      <c r="C93" s="748">
        <f t="shared" si="47"/>
        <v>146.18032786885246</v>
      </c>
      <c r="D93" s="750">
        <f t="shared" si="48"/>
        <v>-3.6000000000000032</v>
      </c>
      <c r="E93" s="750">
        <f t="shared" si="49"/>
        <v>4.9058823529411821</v>
      </c>
      <c r="F93" s="751">
        <f t="shared" si="51"/>
        <v>-4.88533333333333</v>
      </c>
      <c r="G93" s="840">
        <f t="shared" si="50"/>
        <v>20.908474576271185</v>
      </c>
      <c r="H93" s="842">
        <f>$B$253/B93</f>
        <v>2.7369512316798192</v>
      </c>
    </row>
    <row r="94" spans="1:10" ht="16.5" hidden="1" thickBot="1">
      <c r="A94" s="973" t="s">
        <v>440</v>
      </c>
      <c r="B94" s="748">
        <f>+geral!E1457</f>
        <v>91</v>
      </c>
      <c r="C94" s="748">
        <f t="shared" si="47"/>
        <v>149.18032786885246</v>
      </c>
      <c r="D94" s="750">
        <f t="shared" si="48"/>
        <v>2.0522597286082744</v>
      </c>
      <c r="E94" s="750">
        <f t="shared" si="49"/>
        <v>7.0588235294117618</v>
      </c>
      <c r="F94" s="751">
        <f t="shared" si="51"/>
        <v>-1.0869565217391353</v>
      </c>
      <c r="G94" s="840">
        <f t="shared" si="50"/>
        <v>21.333333333333336</v>
      </c>
      <c r="H94" s="842">
        <f>$B$253/B94</f>
        <v>2.6819114431746098</v>
      </c>
    </row>
    <row r="95" spans="1:10" ht="16.5" hidden="1" thickBot="1">
      <c r="A95" s="973" t="s">
        <v>441</v>
      </c>
      <c r="B95" s="748">
        <f>+geral!E1458</f>
        <v>75</v>
      </c>
      <c r="C95" s="748">
        <f t="shared" si="47"/>
        <v>122.95081967213115</v>
      </c>
      <c r="D95" s="750">
        <f t="shared" ref="D95:D100" si="52">100*((B95/B94)-1)</f>
        <v>-17.582417582417587</v>
      </c>
      <c r="E95" s="750">
        <f t="shared" ref="E95:E100" si="53">100*((B95/$B$88)-1)</f>
        <v>-11.764705882352944</v>
      </c>
      <c r="F95" s="751">
        <f t="shared" si="51"/>
        <v>-9.9963998559942429</v>
      </c>
      <c r="G95" s="840">
        <f t="shared" si="50"/>
        <v>3.0927835051546282</v>
      </c>
      <c r="H95" s="842">
        <f>$B$253/B95</f>
        <v>3.2540525510518599</v>
      </c>
      <c r="I95" s="820" t="s">
        <v>241</v>
      </c>
      <c r="J95" s="821"/>
    </row>
    <row r="96" spans="1:10" ht="16.5" hidden="1" thickBot="1">
      <c r="A96" s="973" t="s">
        <v>442</v>
      </c>
      <c r="B96" s="748">
        <f>+geral!E1459</f>
        <v>74.166666666666671</v>
      </c>
      <c r="C96" s="748">
        <f t="shared" si="47"/>
        <v>121.58469945355192</v>
      </c>
      <c r="D96" s="750">
        <f t="shared" si="52"/>
        <v>-1.1111111111111072</v>
      </c>
      <c r="E96" s="750">
        <f t="shared" si="53"/>
        <v>-12.745098039215685</v>
      </c>
      <c r="F96" s="751">
        <f t="shared" si="51"/>
        <v>-22.743055555555546</v>
      </c>
      <c r="G96" s="840">
        <f t="shared" si="50"/>
        <v>-1.1111111111111072</v>
      </c>
      <c r="H96" s="842">
        <f>$B$253/B96</f>
        <v>3.2906149392659256</v>
      </c>
    </row>
    <row r="97" spans="1:8" ht="16.5" hidden="1" thickBot="1">
      <c r="A97" s="973" t="s">
        <v>443</v>
      </c>
      <c r="B97" s="748">
        <f>+geral!E1460</f>
        <v>76</v>
      </c>
      <c r="C97" s="748">
        <f t="shared" si="47"/>
        <v>124.59016393442623</v>
      </c>
      <c r="D97" s="750">
        <f t="shared" si="52"/>
        <v>2.4719101123595433</v>
      </c>
      <c r="E97" s="750">
        <f t="shared" si="53"/>
        <v>-10.588235294117643</v>
      </c>
      <c r="F97" s="751">
        <f t="shared" si="51"/>
        <v>-16.483516483516482</v>
      </c>
      <c r="G97" s="840">
        <f t="shared" si="50"/>
        <v>-4.0040419350764189</v>
      </c>
      <c r="H97" s="842">
        <f>$B$253/B97</f>
        <v>3.2112360701169669</v>
      </c>
    </row>
    <row r="98" spans="1:8" ht="16.5" hidden="1" thickBot="1">
      <c r="A98" s="973" t="s">
        <v>444</v>
      </c>
      <c r="B98" s="748">
        <f>+geral!E1461</f>
        <v>75</v>
      </c>
      <c r="C98" s="748">
        <f t="shared" si="47"/>
        <v>122.95081967213115</v>
      </c>
      <c r="D98" s="750">
        <f t="shared" si="52"/>
        <v>-1.3157894736842146</v>
      </c>
      <c r="E98" s="750">
        <f t="shared" si="53"/>
        <v>-11.764705882352944</v>
      </c>
      <c r="F98" s="751">
        <f t="shared" si="51"/>
        <v>-19.354838709677423</v>
      </c>
      <c r="G98" s="840">
        <f t="shared" si="50"/>
        <v>-11.764705882352944</v>
      </c>
      <c r="H98" s="842">
        <f>$B$253/B98</f>
        <v>3.2540525510518599</v>
      </c>
    </row>
    <row r="99" spans="1:8" ht="16.5" hidden="1" thickBot="1">
      <c r="A99" s="973" t="s">
        <v>445</v>
      </c>
      <c r="B99" s="748">
        <f>+geral!E1462</f>
        <v>75.2</v>
      </c>
      <c r="C99" s="748">
        <f t="shared" si="47"/>
        <v>123.27868852459017</v>
      </c>
      <c r="D99" s="750">
        <f t="shared" si="52"/>
        <v>0.2666666666666595</v>
      </c>
      <c r="E99" s="750">
        <f t="shared" si="53"/>
        <v>-11.529411764705877</v>
      </c>
      <c r="F99" s="751">
        <f t="shared" si="51"/>
        <v>-16.444444444444439</v>
      </c>
      <c r="G99" s="840">
        <f t="shared" si="50"/>
        <v>4.4444444444444509</v>
      </c>
      <c r="H99" s="842">
        <f>$B$253/B99</f>
        <v>3.2453981559692751</v>
      </c>
    </row>
    <row r="100" spans="1:8" ht="16.5" hidden="1" thickBot="1">
      <c r="A100" s="973" t="s">
        <v>446</v>
      </c>
      <c r="B100" s="748">
        <f>+geral!E1463</f>
        <v>74.333333333333329</v>
      </c>
      <c r="C100" s="748">
        <f t="shared" si="47"/>
        <v>121.85792349726775</v>
      </c>
      <c r="D100" s="750">
        <f t="shared" si="52"/>
        <v>-1.1524822695035519</v>
      </c>
      <c r="E100" s="750">
        <f t="shared" si="53"/>
        <v>-12.549019607843148</v>
      </c>
      <c r="F100" s="751">
        <f t="shared" si="51"/>
        <v>-12.549019607843148</v>
      </c>
      <c r="G100" s="840">
        <f t="shared" si="50"/>
        <v>7.4647004963616093</v>
      </c>
      <c r="H100" s="842">
        <f>$B$253/B100</f>
        <v>3.2832368788639843</v>
      </c>
    </row>
    <row r="101" spans="1:8" ht="16.5" hidden="1" thickBot="1">
      <c r="A101" s="973" t="s">
        <v>447</v>
      </c>
      <c r="B101" s="748">
        <f>geral!G1452</f>
        <v>75.2</v>
      </c>
      <c r="C101" s="748">
        <f t="shared" si="47"/>
        <v>123.27868852459017</v>
      </c>
      <c r="D101" s="750">
        <f t="shared" ref="D101:D106" si="54">100*((B101/B100)-1)</f>
        <v>1.1659192825112186</v>
      </c>
      <c r="E101" s="750">
        <f t="shared" ref="E101:E106" si="55">100*((B101/$B$100)-1)</f>
        <v>1.1659192825112186</v>
      </c>
      <c r="F101" s="751">
        <f t="shared" ref="F101:F106" si="56">100*((B101/B89)-1)</f>
        <v>-17.966619395658334</v>
      </c>
      <c r="G101" s="840">
        <f t="shared" ref="G101:G106" si="57">100*(B101/B77-1)</f>
        <v>7.1225071225071268</v>
      </c>
      <c r="H101" s="842">
        <f>$B$253/B101</f>
        <v>3.2453981559692751</v>
      </c>
    </row>
    <row r="102" spans="1:8" ht="16.5" hidden="1" thickBot="1">
      <c r="A102" s="973" t="s">
        <v>448</v>
      </c>
      <c r="B102" s="748">
        <f>geral!G1453</f>
        <v>75.571428571428569</v>
      </c>
      <c r="C102" s="748">
        <f t="shared" si="47"/>
        <v>123.88758782201404</v>
      </c>
      <c r="D102" s="750">
        <f t="shared" si="54"/>
        <v>0.4939209726443794</v>
      </c>
      <c r="E102" s="750">
        <f t="shared" si="55"/>
        <v>1.6655989750160138</v>
      </c>
      <c r="F102" s="751">
        <f t="shared" si="56"/>
        <v>-16.799043739481924</v>
      </c>
      <c r="G102" s="840">
        <f t="shared" si="57"/>
        <v>-15.250164212819817</v>
      </c>
      <c r="H102" s="842">
        <f>$B$253/B102</f>
        <v>3.2294472387565718</v>
      </c>
    </row>
    <row r="103" spans="1:8" ht="16.5" hidden="1" thickBot="1">
      <c r="A103" s="973" t="s">
        <v>449</v>
      </c>
      <c r="B103" s="748">
        <f>geral!G1454</f>
        <v>77</v>
      </c>
      <c r="C103" s="748">
        <f t="shared" si="47"/>
        <v>126.22950819672131</v>
      </c>
      <c r="D103" s="750">
        <f t="shared" si="54"/>
        <v>1.8903591682419618</v>
      </c>
      <c r="E103" s="750">
        <f t="shared" si="55"/>
        <v>3.5874439461883512</v>
      </c>
      <c r="F103" s="751">
        <f t="shared" si="56"/>
        <v>-14.444444444444448</v>
      </c>
      <c r="G103" s="840">
        <f t="shared" si="57"/>
        <v>-15.384615384615385</v>
      </c>
      <c r="H103" s="842">
        <f>$B$253/B103</f>
        <v>3.1695317055699936</v>
      </c>
    </row>
    <row r="104" spans="1:8" ht="16.5" hidden="1" thickBot="1">
      <c r="A104" s="973" t="s">
        <v>450</v>
      </c>
      <c r="B104" s="748">
        <f>geral!G1455</f>
        <v>77</v>
      </c>
      <c r="C104" s="748">
        <f t="shared" si="47"/>
        <v>126.22950819672131</v>
      </c>
      <c r="D104" s="750">
        <f t="shared" si="54"/>
        <v>0</v>
      </c>
      <c r="E104" s="750">
        <f t="shared" si="55"/>
        <v>3.5874439461883512</v>
      </c>
      <c r="F104" s="751">
        <f t="shared" si="56"/>
        <v>-16.756756756756751</v>
      </c>
      <c r="G104" s="840">
        <f t="shared" si="57"/>
        <v>-13.48314606741573</v>
      </c>
      <c r="H104" s="842">
        <f>$B$253/B104</f>
        <v>3.1695317055699936</v>
      </c>
    </row>
    <row r="105" spans="1:8" ht="16.5" hidden="1" thickBot="1">
      <c r="A105" s="973" t="s">
        <v>451</v>
      </c>
      <c r="B105" s="748">
        <f>geral!G1456</f>
        <v>78</v>
      </c>
      <c r="C105" s="748">
        <f t="shared" si="47"/>
        <v>127.8688524590164</v>
      </c>
      <c r="D105" s="750">
        <f t="shared" si="54"/>
        <v>1.298701298701288</v>
      </c>
      <c r="E105" s="750">
        <f t="shared" si="55"/>
        <v>4.9327354260089828</v>
      </c>
      <c r="F105" s="751">
        <f t="shared" si="56"/>
        <v>-12.526634518335767</v>
      </c>
      <c r="G105" s="840">
        <f t="shared" si="57"/>
        <v>-16.800000000000004</v>
      </c>
      <c r="H105" s="842">
        <f>$B$253/B105</f>
        <v>3.1288966837037115</v>
      </c>
    </row>
    <row r="106" spans="1:8" ht="16.5" hidden="1" thickBot="1">
      <c r="A106" s="973" t="s">
        <v>452</v>
      </c>
      <c r="B106" s="748">
        <f>geral!G1457</f>
        <v>78</v>
      </c>
      <c r="C106" s="748">
        <f t="shared" si="47"/>
        <v>127.8688524590164</v>
      </c>
      <c r="D106" s="750">
        <f t="shared" si="54"/>
        <v>0</v>
      </c>
      <c r="E106" s="750">
        <f t="shared" si="55"/>
        <v>4.9327354260089828</v>
      </c>
      <c r="F106" s="751">
        <f t="shared" si="56"/>
        <v>-14.28571428571429</v>
      </c>
      <c r="G106" s="840">
        <f t="shared" si="57"/>
        <v>-15.217391304347828</v>
      </c>
      <c r="H106" s="842">
        <f>$B$253/B106</f>
        <v>3.1288966837037115</v>
      </c>
    </row>
    <row r="107" spans="1:8" ht="16.5" hidden="1" thickBot="1">
      <c r="A107" s="973" t="s">
        <v>453</v>
      </c>
      <c r="B107" s="748">
        <f>geral!G1458</f>
        <v>78.290000000000006</v>
      </c>
      <c r="C107" s="748">
        <f t="shared" si="47"/>
        <v>128.34426229508199</v>
      </c>
      <c r="D107" s="750">
        <f t="shared" ref="D107:D112" si="58">100*((B107/B106)-1)</f>
        <v>0.3717948717948838</v>
      </c>
      <c r="E107" s="750">
        <f t="shared" ref="E107:E112" si="59">100*((B107/$B$100)-1)</f>
        <v>5.3228699551569614</v>
      </c>
      <c r="F107" s="751">
        <f t="shared" ref="F107:F112" si="60">100*((B107/B95)-1)</f>
        <v>4.386666666666672</v>
      </c>
      <c r="G107" s="840">
        <f t="shared" ref="G107:G112" si="61">100*(B107/B83-1)</f>
        <v>-6.0482419296771788</v>
      </c>
      <c r="H107" s="842">
        <f>$B$253/B107</f>
        <v>3.1173066972651613</v>
      </c>
    </row>
    <row r="108" spans="1:8" ht="16.5" hidden="1" thickBot="1">
      <c r="A108" s="973" t="s">
        <v>454</v>
      </c>
      <c r="B108" s="748">
        <f>geral!G1459</f>
        <v>79.8</v>
      </c>
      <c r="C108" s="748">
        <f t="shared" si="47"/>
        <v>130.81967213114754</v>
      </c>
      <c r="D108" s="750">
        <f t="shared" si="58"/>
        <v>1.9287265295695466</v>
      </c>
      <c r="E108" s="750">
        <f t="shared" si="59"/>
        <v>7.3542600896860932</v>
      </c>
      <c r="F108" s="751">
        <f t="shared" si="60"/>
        <v>7.5955056179775271</v>
      </c>
      <c r="G108" s="840">
        <f t="shared" si="61"/>
        <v>-16.875000000000007</v>
      </c>
      <c r="H108" s="842">
        <f>$B$253/B108</f>
        <v>3.0583200667780641</v>
      </c>
    </row>
    <row r="109" spans="1:8" ht="16.5" hidden="1" thickBot="1">
      <c r="A109" s="973" t="s">
        <v>455</v>
      </c>
      <c r="B109" s="748">
        <f>geral!G1460</f>
        <v>79</v>
      </c>
      <c r="C109" s="748">
        <f t="shared" si="47"/>
        <v>129.50819672131146</v>
      </c>
      <c r="D109" s="750">
        <f t="shared" si="58"/>
        <v>-1.0025062656641603</v>
      </c>
      <c r="E109" s="750">
        <f t="shared" si="59"/>
        <v>6.2780269058295923</v>
      </c>
      <c r="F109" s="751">
        <f t="shared" si="60"/>
        <v>3.9473684210526327</v>
      </c>
      <c r="G109" s="840">
        <f t="shared" si="61"/>
        <v>-13.186813186813184</v>
      </c>
      <c r="H109" s="842">
        <f>$B$253/B109</f>
        <v>3.0892903965682215</v>
      </c>
    </row>
    <row r="110" spans="1:8" ht="16.5" hidden="1" thickBot="1">
      <c r="A110" s="973" t="s">
        <v>456</v>
      </c>
      <c r="B110" s="748">
        <f>geral!G1461</f>
        <v>80</v>
      </c>
      <c r="C110" s="748">
        <f t="shared" si="47"/>
        <v>131.14754098360655</v>
      </c>
      <c r="D110" s="750">
        <f t="shared" si="58"/>
        <v>1.2658227848101333</v>
      </c>
      <c r="E110" s="750">
        <f t="shared" si="59"/>
        <v>7.623318385650224</v>
      </c>
      <c r="F110" s="751">
        <f t="shared" si="60"/>
        <v>6.6666666666666652</v>
      </c>
      <c r="G110" s="840">
        <f t="shared" si="61"/>
        <v>-13.978494623655912</v>
      </c>
      <c r="H110" s="842">
        <f>$B$253/B110</f>
        <v>3.0506742666111188</v>
      </c>
    </row>
    <row r="111" spans="1:8" ht="16.5" hidden="1" thickBot="1">
      <c r="A111" s="973" t="s">
        <v>457</v>
      </c>
      <c r="B111" s="748">
        <f>geral!G1462</f>
        <v>80</v>
      </c>
      <c r="C111" s="748">
        <f t="shared" si="47"/>
        <v>131.14754098360655</v>
      </c>
      <c r="D111" s="750">
        <f t="shared" si="58"/>
        <v>0</v>
      </c>
      <c r="E111" s="750">
        <f t="shared" si="59"/>
        <v>7.623318385650224</v>
      </c>
      <c r="F111" s="751">
        <f t="shared" si="60"/>
        <v>6.3829787234042534</v>
      </c>
      <c r="G111" s="840">
        <f t="shared" si="61"/>
        <v>-11.111111111111116</v>
      </c>
      <c r="H111" s="842">
        <f>$B$253/B111</f>
        <v>3.0506742666111188</v>
      </c>
    </row>
    <row r="112" spans="1:8" ht="16.5" hidden="1" thickBot="1">
      <c r="A112" s="973" t="s">
        <v>458</v>
      </c>
      <c r="B112" s="748">
        <f>geral!G1463</f>
        <v>82</v>
      </c>
      <c r="C112" s="748">
        <f t="shared" si="47"/>
        <v>134.42622950819671</v>
      </c>
      <c r="D112" s="750">
        <f t="shared" si="58"/>
        <v>2.4999999999999911</v>
      </c>
      <c r="E112" s="750">
        <f t="shared" si="59"/>
        <v>10.313901345291487</v>
      </c>
      <c r="F112" s="751">
        <f t="shared" si="60"/>
        <v>10.313901345291487</v>
      </c>
      <c r="G112" s="840">
        <f t="shared" si="61"/>
        <v>-3.5294117647058809</v>
      </c>
      <c r="H112" s="842">
        <f>$B$253/B112</f>
        <v>2.976267577181579</v>
      </c>
    </row>
    <row r="113" spans="1:8" ht="16.5" hidden="1" thickBot="1">
      <c r="A113" s="973" t="s">
        <v>459</v>
      </c>
      <c r="B113" s="748">
        <f>geral!I1452</f>
        <v>82.5</v>
      </c>
      <c r="C113" s="748">
        <f t="shared" si="47"/>
        <v>135.24590163934425</v>
      </c>
      <c r="D113" s="750">
        <f t="shared" ref="D113:D118" si="62">100*((B113/B112)-1)</f>
        <v>0.60975609756097615</v>
      </c>
      <c r="E113" s="750">
        <f t="shared" ref="E113:E118" si="63">100*((B113/$B$112)-1)</f>
        <v>0.60975609756097615</v>
      </c>
      <c r="F113" s="751">
        <f t="shared" ref="F113:F118" si="64">100*((B113/B101)-1)</f>
        <v>9.7074468085106336</v>
      </c>
      <c r="G113" s="840">
        <f t="shared" ref="G113:G118" si="65">100*(B113/B89-1)</f>
        <v>-10.003272608268787</v>
      </c>
      <c r="H113" s="842">
        <f>$B$253/B113</f>
        <v>2.9582295918653272</v>
      </c>
    </row>
    <row r="114" spans="1:8" ht="16.5" hidden="1" thickBot="1">
      <c r="A114" s="973" t="s">
        <v>460</v>
      </c>
      <c r="B114" s="748">
        <f>geral!I1453</f>
        <v>82</v>
      </c>
      <c r="C114" s="748">
        <f t="shared" si="47"/>
        <v>134.42622950819671</v>
      </c>
      <c r="D114" s="750">
        <f t="shared" si="62"/>
        <v>-0.60606060606060996</v>
      </c>
      <c r="E114" s="750">
        <f t="shared" si="63"/>
        <v>0</v>
      </c>
      <c r="F114" s="751">
        <f t="shared" si="64"/>
        <v>8.5066162570888402</v>
      </c>
      <c r="G114" s="840">
        <f t="shared" si="65"/>
        <v>-9.7214576681713076</v>
      </c>
      <c r="H114" s="842">
        <f>$B$253/B114</f>
        <v>2.976267577181579</v>
      </c>
    </row>
    <row r="115" spans="1:8" ht="16.5" hidden="1" thickBot="1">
      <c r="A115" s="973" t="s">
        <v>461</v>
      </c>
      <c r="B115" s="748">
        <f>geral!I1454</f>
        <v>82.833333333333329</v>
      </c>
      <c r="C115" s="748">
        <f t="shared" si="47"/>
        <v>135.79234972677594</v>
      </c>
      <c r="D115" s="750">
        <f t="shared" si="62"/>
        <v>1.0162601626016121</v>
      </c>
      <c r="E115" s="750">
        <f t="shared" si="63"/>
        <v>1.0162601626016121</v>
      </c>
      <c r="F115" s="751">
        <f t="shared" si="64"/>
        <v>7.575757575757569</v>
      </c>
      <c r="G115" s="840">
        <f t="shared" si="65"/>
        <v>-7.9629629629629717</v>
      </c>
      <c r="H115" s="842">
        <f>$B$253/B115</f>
        <v>2.9463252474312616</v>
      </c>
    </row>
    <row r="116" spans="1:8" ht="16.5" hidden="1" thickBot="1">
      <c r="A116" s="973" t="s">
        <v>462</v>
      </c>
      <c r="B116" s="748">
        <f>geral!I1455</f>
        <v>83</v>
      </c>
      <c r="C116" s="748">
        <f t="shared" si="47"/>
        <v>136.0655737704918</v>
      </c>
      <c r="D116" s="750">
        <f t="shared" si="62"/>
        <v>0.20120724346077701</v>
      </c>
      <c r="E116" s="750">
        <f t="shared" si="63"/>
        <v>1.2195121951219523</v>
      </c>
      <c r="F116" s="751">
        <f t="shared" si="64"/>
        <v>7.7922077922077948</v>
      </c>
      <c r="G116" s="840">
        <f t="shared" si="65"/>
        <v>-10.270270270270265</v>
      </c>
      <c r="H116" s="842">
        <f>$B$253/B116</f>
        <v>2.9404089316733675</v>
      </c>
    </row>
    <row r="117" spans="1:8" ht="16.5" hidden="1" thickBot="1">
      <c r="A117" s="973" t="s">
        <v>463</v>
      </c>
      <c r="B117" s="748">
        <f>geral!I1456</f>
        <v>84</v>
      </c>
      <c r="C117" s="748">
        <f t="shared" si="47"/>
        <v>137.70491803278688</v>
      </c>
      <c r="D117" s="750">
        <f t="shared" si="62"/>
        <v>1.2048192771084265</v>
      </c>
      <c r="E117" s="750">
        <f t="shared" si="63"/>
        <v>2.4390243902439046</v>
      </c>
      <c r="F117" s="751">
        <f t="shared" si="64"/>
        <v>7.6923076923076872</v>
      </c>
      <c r="G117" s="840">
        <f t="shared" si="65"/>
        <v>-5.7979140966692881</v>
      </c>
      <c r="H117" s="842">
        <f>$B$253/B117</f>
        <v>2.9054040634391605</v>
      </c>
    </row>
    <row r="118" spans="1:8" ht="16.5" hidden="1" thickBot="1">
      <c r="A118" s="973" t="s">
        <v>464</v>
      </c>
      <c r="B118" s="748">
        <f>geral!I1457</f>
        <v>86</v>
      </c>
      <c r="C118" s="748">
        <f t="shared" si="47"/>
        <v>140.98360655737704</v>
      </c>
      <c r="D118" s="750">
        <f t="shared" si="62"/>
        <v>2.3809523809523725</v>
      </c>
      <c r="E118" s="750">
        <f t="shared" si="63"/>
        <v>4.8780487804878092</v>
      </c>
      <c r="F118" s="751">
        <f t="shared" si="64"/>
        <v>10.256410256410264</v>
      </c>
      <c r="G118" s="840">
        <f t="shared" si="65"/>
        <v>-5.4945054945054972</v>
      </c>
      <c r="H118" s="842">
        <f>$B$253/B118</f>
        <v>2.8378365270801105</v>
      </c>
    </row>
    <row r="119" spans="1:8" ht="16.5" hidden="1" thickBot="1">
      <c r="A119" s="973" t="s">
        <v>465</v>
      </c>
      <c r="B119" s="748">
        <f>geral!I1458</f>
        <v>87</v>
      </c>
      <c r="C119" s="748">
        <f t="shared" si="47"/>
        <v>142.62295081967213</v>
      </c>
      <c r="D119" s="750">
        <f t="shared" ref="D119:D124" si="66">100*((B119/B118)-1)</f>
        <v>1.1627906976744207</v>
      </c>
      <c r="E119" s="750">
        <f t="shared" ref="E119:E124" si="67">100*((B119/$B$112)-1)</f>
        <v>6.0975609756097615</v>
      </c>
      <c r="F119" s="751">
        <f t="shared" ref="F119:F124" si="68">100*((B119/B107)-1)</f>
        <v>11.125303359305128</v>
      </c>
      <c r="G119" s="840">
        <f t="shared" ref="G119:G124" si="69">100*(B119/B95-1)</f>
        <v>15.999999999999993</v>
      </c>
      <c r="H119" s="842">
        <f>$B$253/B119</f>
        <v>2.8052177164240173</v>
      </c>
    </row>
    <row r="120" spans="1:8" ht="16.5" hidden="1" thickBot="1">
      <c r="A120" s="973" t="s">
        <v>466</v>
      </c>
      <c r="B120" s="748">
        <f>geral!I1459</f>
        <v>87</v>
      </c>
      <c r="C120" s="748">
        <f t="shared" si="47"/>
        <v>142.62295081967213</v>
      </c>
      <c r="D120" s="750">
        <f t="shared" si="66"/>
        <v>0</v>
      </c>
      <c r="E120" s="750">
        <f t="shared" si="67"/>
        <v>6.0975609756097615</v>
      </c>
      <c r="F120" s="751">
        <f t="shared" si="68"/>
        <v>9.0225563909774422</v>
      </c>
      <c r="G120" s="840">
        <f t="shared" si="69"/>
        <v>17.303370786516847</v>
      </c>
      <c r="H120" s="842">
        <f>$B$253/B120</f>
        <v>2.8052177164240173</v>
      </c>
    </row>
    <row r="121" spans="1:8" ht="16.5" hidden="1" thickBot="1">
      <c r="A121" s="973" t="s">
        <v>467</v>
      </c>
      <c r="B121" s="748">
        <f>geral!I1460</f>
        <v>87.14</v>
      </c>
      <c r="C121" s="748">
        <f t="shared" si="47"/>
        <v>142.85245901639345</v>
      </c>
      <c r="D121" s="750">
        <f t="shared" si="66"/>
        <v>0.16091954022987576</v>
      </c>
      <c r="E121" s="750">
        <f t="shared" si="67"/>
        <v>6.2682926829268348</v>
      </c>
      <c r="F121" s="751">
        <f t="shared" si="68"/>
        <v>10.303797468354436</v>
      </c>
      <c r="G121" s="840">
        <f t="shared" si="69"/>
        <v>14.657894736842113</v>
      </c>
      <c r="H121" s="842">
        <f>$B$253/B121</f>
        <v>2.8007108254405497</v>
      </c>
    </row>
    <row r="122" spans="1:8" ht="16.5" hidden="1" thickBot="1">
      <c r="A122" s="973" t="s">
        <v>468</v>
      </c>
      <c r="B122" s="748">
        <f>geral!I1461</f>
        <v>89</v>
      </c>
      <c r="C122" s="748">
        <f t="shared" si="47"/>
        <v>145.90163934426229</v>
      </c>
      <c r="D122" s="750">
        <f t="shared" si="66"/>
        <v>2.1344962129905998</v>
      </c>
      <c r="E122" s="750">
        <f t="shared" si="67"/>
        <v>8.5365853658536661</v>
      </c>
      <c r="F122" s="751">
        <f t="shared" si="68"/>
        <v>11.250000000000004</v>
      </c>
      <c r="G122" s="840">
        <f t="shared" si="69"/>
        <v>18.666666666666675</v>
      </c>
      <c r="H122" s="842">
        <f>$B$253/B122</f>
        <v>2.7421791160549382</v>
      </c>
    </row>
    <row r="123" spans="1:8" ht="16.5" hidden="1" thickBot="1">
      <c r="A123" s="973" t="s">
        <v>469</v>
      </c>
      <c r="B123" s="748">
        <f>geral!I1462</f>
        <v>90</v>
      </c>
      <c r="C123" s="748">
        <f t="shared" si="47"/>
        <v>147.54098360655738</v>
      </c>
      <c r="D123" s="750">
        <f t="shared" si="66"/>
        <v>1.1235955056179803</v>
      </c>
      <c r="E123" s="750">
        <f t="shared" si="67"/>
        <v>9.7560975609756184</v>
      </c>
      <c r="F123" s="751">
        <f t="shared" si="68"/>
        <v>12.5</v>
      </c>
      <c r="G123" s="840">
        <f t="shared" si="69"/>
        <v>19.680851063829774</v>
      </c>
      <c r="H123" s="842">
        <f>$B$253/B123</f>
        <v>2.7117104592098831</v>
      </c>
    </row>
    <row r="124" spans="1:8" ht="16.5" hidden="1" thickBot="1">
      <c r="A124" s="973" t="s">
        <v>470</v>
      </c>
      <c r="B124" s="748">
        <f>geral!I1463</f>
        <v>90</v>
      </c>
      <c r="C124" s="748">
        <f t="shared" si="47"/>
        <v>147.54098360655738</v>
      </c>
      <c r="D124" s="750">
        <f t="shared" si="66"/>
        <v>0</v>
      </c>
      <c r="E124" s="750">
        <f t="shared" si="67"/>
        <v>9.7560975609756184</v>
      </c>
      <c r="F124" s="751">
        <f t="shared" si="68"/>
        <v>9.7560975609756184</v>
      </c>
      <c r="G124" s="840">
        <f t="shared" si="69"/>
        <v>21.07623318385652</v>
      </c>
      <c r="H124" s="842">
        <f>$B$253/B124</f>
        <v>2.7117104592098831</v>
      </c>
    </row>
    <row r="125" spans="1:8" ht="16.5" hidden="1" thickBot="1">
      <c r="A125" s="973" t="s">
        <v>471</v>
      </c>
      <c r="B125" s="748">
        <f>geral!K1452</f>
        <v>90</v>
      </c>
      <c r="C125" s="748">
        <f t="shared" si="47"/>
        <v>147.54098360655738</v>
      </c>
      <c r="D125" s="750">
        <f t="shared" ref="D125:D130" si="70">100*((B125/B124)-1)</f>
        <v>0</v>
      </c>
      <c r="E125" s="750">
        <f t="shared" ref="E125:E130" si="71">100*((B125/$B$124)-1)</f>
        <v>0</v>
      </c>
      <c r="F125" s="751">
        <f t="shared" ref="F125:F130" si="72">100*((B125/B113)-1)</f>
        <v>9.0909090909090828</v>
      </c>
      <c r="G125" s="840">
        <f t="shared" ref="G125:G130" si="73">100*(B125/B101-1)</f>
        <v>19.680851063829774</v>
      </c>
      <c r="H125" s="842">
        <f>$B$253/B125</f>
        <v>2.7117104592098831</v>
      </c>
    </row>
    <row r="126" spans="1:8" ht="16.5" hidden="1" thickBot="1">
      <c r="A126" s="973" t="s">
        <v>472</v>
      </c>
      <c r="B126" s="748">
        <f>geral!K1453</f>
        <v>93.141428571428577</v>
      </c>
      <c r="C126" s="748">
        <f t="shared" si="47"/>
        <v>152.69086651053863</v>
      </c>
      <c r="D126" s="750">
        <f t="shared" si="70"/>
        <v>3.4904761904761994</v>
      </c>
      <c r="E126" s="750">
        <f t="shared" si="71"/>
        <v>3.4904761904761994</v>
      </c>
      <c r="F126" s="751">
        <f t="shared" si="72"/>
        <v>13.5871080139373</v>
      </c>
      <c r="G126" s="840">
        <f t="shared" si="73"/>
        <v>23.249527410207961</v>
      </c>
      <c r="H126" s="842">
        <f>$B$253/B126</f>
        <v>2.6202512144392189</v>
      </c>
    </row>
    <row r="127" spans="1:8" ht="16.5" hidden="1" thickBot="1">
      <c r="A127" s="973" t="s">
        <v>473</v>
      </c>
      <c r="B127" s="748">
        <f>geral!K1454</f>
        <v>115.33333333333333</v>
      </c>
      <c r="C127" s="748">
        <f t="shared" si="47"/>
        <v>189.0710382513661</v>
      </c>
      <c r="D127" s="750">
        <f t="shared" si="70"/>
        <v>23.826030051585654</v>
      </c>
      <c r="E127" s="750">
        <f t="shared" si="71"/>
        <v>28.148148148148145</v>
      </c>
      <c r="F127" s="751">
        <f t="shared" si="72"/>
        <v>39.235412474849099</v>
      </c>
      <c r="G127" s="840">
        <f t="shared" si="73"/>
        <v>49.783549783549773</v>
      </c>
      <c r="H127" s="842">
        <f>$B$253/B127</f>
        <v>2.1160746357996199</v>
      </c>
    </row>
    <row r="128" spans="1:8" ht="16.5" hidden="1" thickBot="1">
      <c r="A128" s="973" t="s">
        <v>474</v>
      </c>
      <c r="B128" s="748">
        <f>geral!K1455</f>
        <v>115.33</v>
      </c>
      <c r="C128" s="748">
        <f t="shared" si="47"/>
        <v>189.0655737704918</v>
      </c>
      <c r="D128" s="750">
        <f t="shared" si="70"/>
        <v>-2.8901734103969901E-3</v>
      </c>
      <c r="E128" s="750">
        <f t="shared" si="71"/>
        <v>28.144444444444439</v>
      </c>
      <c r="F128" s="751">
        <f t="shared" si="72"/>
        <v>38.951807228915669</v>
      </c>
      <c r="G128" s="840">
        <f t="shared" si="73"/>
        <v>49.779220779220765</v>
      </c>
      <c r="H128" s="842">
        <f>$B$253/B128</f>
        <v>2.1161357957937179</v>
      </c>
    </row>
    <row r="129" spans="1:8" ht="16.5" hidden="1" thickBot="1">
      <c r="A129" s="973" t="s">
        <v>475</v>
      </c>
      <c r="B129" s="748">
        <f>geral!K1456</f>
        <v>115.33</v>
      </c>
      <c r="C129" s="748">
        <f t="shared" si="47"/>
        <v>189.0655737704918</v>
      </c>
      <c r="D129" s="750">
        <f t="shared" si="70"/>
        <v>0</v>
      </c>
      <c r="E129" s="750">
        <f t="shared" si="71"/>
        <v>28.144444444444439</v>
      </c>
      <c r="F129" s="751">
        <f t="shared" si="72"/>
        <v>37.297619047619037</v>
      </c>
      <c r="G129" s="840">
        <f t="shared" si="73"/>
        <v>47.858974358974351</v>
      </c>
      <c r="H129" s="842">
        <f>$B$253/B129</f>
        <v>2.1161357957937179</v>
      </c>
    </row>
    <row r="130" spans="1:8" ht="16.5" hidden="1" thickBot="1">
      <c r="A130" s="973" t="s">
        <v>476</v>
      </c>
      <c r="B130" s="748">
        <f>geral!K1457</f>
        <v>115.33</v>
      </c>
      <c r="C130" s="748">
        <f t="shared" si="47"/>
        <v>189.0655737704918</v>
      </c>
      <c r="D130" s="750">
        <f t="shared" si="70"/>
        <v>0</v>
      </c>
      <c r="E130" s="750">
        <f t="shared" si="71"/>
        <v>28.144444444444439</v>
      </c>
      <c r="F130" s="751">
        <f t="shared" si="72"/>
        <v>34.104651162790688</v>
      </c>
      <c r="G130" s="840">
        <f t="shared" si="73"/>
        <v>47.858974358974351</v>
      </c>
      <c r="H130" s="842">
        <f>$B$253/B130</f>
        <v>2.1161357957937179</v>
      </c>
    </row>
    <row r="131" spans="1:8" ht="16.5" hidden="1" thickBot="1">
      <c r="A131" s="973" t="s">
        <v>477</v>
      </c>
      <c r="B131" s="748">
        <f>geral!K1458</f>
        <v>118</v>
      </c>
      <c r="C131" s="748">
        <f t="shared" si="47"/>
        <v>193.44262295081967</v>
      </c>
      <c r="D131" s="750">
        <f t="shared" ref="D131:D136" si="74">100*((B131/B130)-1)</f>
        <v>2.3150958120176979</v>
      </c>
      <c r="E131" s="750">
        <f t="shared" ref="E131:E136" si="75">100*((B131/$B$124)-1)</f>
        <v>31.111111111111111</v>
      </c>
      <c r="F131" s="751">
        <f t="shared" ref="F131:F136" si="76">100*((B131/B119)-1)</f>
        <v>35.632183908045967</v>
      </c>
      <c r="G131" s="840">
        <f t="shared" ref="G131:G136" si="77">100*(B131/B107-1)</f>
        <v>50.721675820666732</v>
      </c>
      <c r="H131" s="842">
        <f>$B$253/B131</f>
        <v>2.0682537400753347</v>
      </c>
    </row>
    <row r="132" spans="1:8" ht="16.5" hidden="1" thickBot="1">
      <c r="A132" s="973" t="s">
        <v>478</v>
      </c>
      <c r="B132" s="748">
        <f>geral!K1459</f>
        <v>118</v>
      </c>
      <c r="C132" s="748">
        <f t="shared" si="47"/>
        <v>193.44262295081967</v>
      </c>
      <c r="D132" s="750">
        <f t="shared" si="74"/>
        <v>0</v>
      </c>
      <c r="E132" s="750">
        <f t="shared" si="75"/>
        <v>31.111111111111111</v>
      </c>
      <c r="F132" s="751">
        <f t="shared" si="76"/>
        <v>35.632183908045967</v>
      </c>
      <c r="G132" s="840">
        <f t="shared" si="77"/>
        <v>47.869674185463666</v>
      </c>
      <c r="H132" s="842">
        <f>$B$253/B132</f>
        <v>2.0682537400753347</v>
      </c>
    </row>
    <row r="133" spans="1:8" ht="16.5" hidden="1" thickBot="1">
      <c r="A133" s="973" t="s">
        <v>479</v>
      </c>
      <c r="B133" s="748">
        <f>geral!K1460</f>
        <v>118</v>
      </c>
      <c r="C133" s="748">
        <f t="shared" si="47"/>
        <v>193.44262295081967</v>
      </c>
      <c r="D133" s="750">
        <f t="shared" si="74"/>
        <v>0</v>
      </c>
      <c r="E133" s="750">
        <f t="shared" si="75"/>
        <v>31.111111111111111</v>
      </c>
      <c r="F133" s="751">
        <f t="shared" si="76"/>
        <v>35.41427587789763</v>
      </c>
      <c r="G133" s="840">
        <f t="shared" si="77"/>
        <v>49.367088607594937</v>
      </c>
      <c r="H133" s="842">
        <f>$B$253/B133</f>
        <v>2.0682537400753347</v>
      </c>
    </row>
    <row r="134" spans="1:8" ht="16.5" hidden="1" thickBot="1">
      <c r="A134" s="973" t="s">
        <v>480</v>
      </c>
      <c r="B134" s="748">
        <f>geral!K1461</f>
        <v>118</v>
      </c>
      <c r="C134" s="748">
        <f t="shared" si="47"/>
        <v>193.44262295081967</v>
      </c>
      <c r="D134" s="750">
        <f t="shared" si="74"/>
        <v>0</v>
      </c>
      <c r="E134" s="750">
        <f t="shared" si="75"/>
        <v>31.111111111111111</v>
      </c>
      <c r="F134" s="751">
        <f t="shared" si="76"/>
        <v>32.584269662921336</v>
      </c>
      <c r="G134" s="840">
        <f t="shared" si="77"/>
        <v>47.500000000000007</v>
      </c>
      <c r="H134" s="842">
        <f>$B$253/B134</f>
        <v>2.0682537400753347</v>
      </c>
    </row>
    <row r="135" spans="1:8" ht="16.5" hidden="1" thickBot="1">
      <c r="A135" s="973" t="s">
        <v>481</v>
      </c>
      <c r="B135" s="748">
        <f>geral!K1462</f>
        <v>118</v>
      </c>
      <c r="C135" s="748">
        <f t="shared" si="47"/>
        <v>193.44262295081967</v>
      </c>
      <c r="D135" s="750">
        <f t="shared" si="74"/>
        <v>0</v>
      </c>
      <c r="E135" s="750">
        <f t="shared" si="75"/>
        <v>31.111111111111111</v>
      </c>
      <c r="F135" s="751">
        <f t="shared" si="76"/>
        <v>31.111111111111111</v>
      </c>
      <c r="G135" s="840">
        <f t="shared" si="77"/>
        <v>47.500000000000007</v>
      </c>
      <c r="H135" s="842">
        <f>$B$253/B135</f>
        <v>2.0682537400753347</v>
      </c>
    </row>
    <row r="136" spans="1:8" ht="16.5" hidden="1" thickBot="1">
      <c r="A136" s="1015" t="s">
        <v>482</v>
      </c>
      <c r="B136" s="755">
        <f>geral!K1463</f>
        <v>118</v>
      </c>
      <c r="C136" s="755">
        <f t="shared" si="47"/>
        <v>193.44262295081967</v>
      </c>
      <c r="D136" s="756">
        <f t="shared" si="74"/>
        <v>0</v>
      </c>
      <c r="E136" s="756">
        <f t="shared" si="75"/>
        <v>31.111111111111111</v>
      </c>
      <c r="F136" s="757">
        <f t="shared" si="76"/>
        <v>31.111111111111111</v>
      </c>
      <c r="G136" s="841">
        <f t="shared" si="77"/>
        <v>43.90243902439024</v>
      </c>
      <c r="H136" s="922">
        <f>$B$253/B136</f>
        <v>2.0682537400753347</v>
      </c>
    </row>
    <row r="137" spans="1:8">
      <c r="A137" s="1013" t="s">
        <v>483</v>
      </c>
      <c r="B137" s="852">
        <f>geral!M1452</f>
        <v>118</v>
      </c>
      <c r="C137" s="852">
        <f t="shared" si="47"/>
        <v>193.44262295081967</v>
      </c>
      <c r="D137" s="967">
        <f t="shared" ref="D137:D142" si="78">100*((B137/B136)-1)</f>
        <v>0</v>
      </c>
      <c r="E137" s="967">
        <f t="shared" ref="E137:E142" si="79">100*((B137/$B$136)-1)</f>
        <v>0</v>
      </c>
      <c r="F137" s="968">
        <f t="shared" ref="F137:F142" si="80">100*((B137/B125)-1)</f>
        <v>31.111111111111111</v>
      </c>
      <c r="G137" s="969">
        <f t="shared" ref="G137:G142" si="81">100*(B137/B113-1)</f>
        <v>43.030303030303038</v>
      </c>
      <c r="H137" s="856">
        <f>$B$253/B137</f>
        <v>2.0682537400753347</v>
      </c>
    </row>
    <row r="138" spans="1:8">
      <c r="A138" s="1014" t="s">
        <v>484</v>
      </c>
      <c r="B138" s="857">
        <f>geral!M1453</f>
        <v>118</v>
      </c>
      <c r="C138" s="857">
        <f t="shared" si="47"/>
        <v>193.44262295081967</v>
      </c>
      <c r="D138" s="961">
        <f t="shared" si="78"/>
        <v>0</v>
      </c>
      <c r="E138" s="961">
        <f t="shared" si="79"/>
        <v>0</v>
      </c>
      <c r="F138" s="965">
        <f t="shared" si="80"/>
        <v>26.689059648154114</v>
      </c>
      <c r="G138" s="966">
        <f t="shared" si="81"/>
        <v>43.90243902439024</v>
      </c>
      <c r="H138" s="861">
        <f>$B$253/B138</f>
        <v>2.0682537400753347</v>
      </c>
    </row>
    <row r="139" spans="1:8">
      <c r="A139" s="1014" t="s">
        <v>485</v>
      </c>
      <c r="B139" s="857">
        <f>geral!M1454</f>
        <v>118</v>
      </c>
      <c r="C139" s="857">
        <f t="shared" si="47"/>
        <v>193.44262295081967</v>
      </c>
      <c r="D139" s="961">
        <f t="shared" si="78"/>
        <v>0</v>
      </c>
      <c r="E139" s="961">
        <f t="shared" si="79"/>
        <v>0</v>
      </c>
      <c r="F139" s="965">
        <f t="shared" si="80"/>
        <v>2.3121387283236983</v>
      </c>
      <c r="G139" s="966">
        <f t="shared" si="81"/>
        <v>42.454728370221332</v>
      </c>
      <c r="H139" s="861">
        <f t="shared" ref="H139:H202" si="82">$B$253/B139</f>
        <v>2.0682537400753347</v>
      </c>
    </row>
    <row r="140" spans="1:8">
      <c r="A140" s="1014" t="s">
        <v>486</v>
      </c>
      <c r="B140" s="857">
        <f>geral!M1455</f>
        <v>118</v>
      </c>
      <c r="C140" s="857">
        <f t="shared" si="47"/>
        <v>193.44262295081967</v>
      </c>
      <c r="D140" s="961">
        <f t="shared" si="78"/>
        <v>0</v>
      </c>
      <c r="E140" s="961">
        <f t="shared" si="79"/>
        <v>0</v>
      </c>
      <c r="F140" s="965">
        <f t="shared" si="80"/>
        <v>2.3150958120176979</v>
      </c>
      <c r="G140" s="966">
        <f t="shared" si="81"/>
        <v>42.168674698795172</v>
      </c>
      <c r="H140" s="861">
        <f t="shared" si="82"/>
        <v>2.0682537400753347</v>
      </c>
    </row>
    <row r="141" spans="1:8">
      <c r="A141" s="1014" t="s">
        <v>487</v>
      </c>
      <c r="B141" s="857">
        <f>geral!M1456</f>
        <v>118</v>
      </c>
      <c r="C141" s="857">
        <f t="shared" si="47"/>
        <v>193.44262295081967</v>
      </c>
      <c r="D141" s="961">
        <f t="shared" si="78"/>
        <v>0</v>
      </c>
      <c r="E141" s="961">
        <f t="shared" si="79"/>
        <v>0</v>
      </c>
      <c r="F141" s="965">
        <f t="shared" si="80"/>
        <v>2.3150958120176979</v>
      </c>
      <c r="G141" s="966">
        <f t="shared" si="81"/>
        <v>40.476190476190467</v>
      </c>
      <c r="H141" s="861">
        <f t="shared" si="82"/>
        <v>2.0682537400753347</v>
      </c>
    </row>
    <row r="142" spans="1:8">
      <c r="A142" s="1014" t="s">
        <v>488</v>
      </c>
      <c r="B142" s="857">
        <f>geral!M1457</f>
        <v>118</v>
      </c>
      <c r="C142" s="857">
        <f t="shared" si="47"/>
        <v>193.44262295081967</v>
      </c>
      <c r="D142" s="961">
        <f t="shared" si="78"/>
        <v>0</v>
      </c>
      <c r="E142" s="961">
        <f t="shared" si="79"/>
        <v>0</v>
      </c>
      <c r="F142" s="965">
        <f t="shared" si="80"/>
        <v>2.3150958120176979</v>
      </c>
      <c r="G142" s="966">
        <f t="shared" si="81"/>
        <v>37.209302325581397</v>
      </c>
      <c r="H142" s="861">
        <f t="shared" si="82"/>
        <v>2.0682537400753347</v>
      </c>
    </row>
    <row r="143" spans="1:8">
      <c r="A143" s="1014" t="s">
        <v>489</v>
      </c>
      <c r="B143" s="857">
        <f>geral!M1458</f>
        <v>118</v>
      </c>
      <c r="C143" s="857">
        <f t="shared" si="47"/>
        <v>193.44262295081967</v>
      </c>
      <c r="D143" s="961">
        <f t="shared" ref="D143:D148" si="83">100*((B143/B142)-1)</f>
        <v>0</v>
      </c>
      <c r="E143" s="961">
        <f t="shared" ref="E143:E148" si="84">100*((B143/$B$136)-1)</f>
        <v>0</v>
      </c>
      <c r="F143" s="965">
        <f t="shared" ref="F143:F148" si="85">100*((B143/B131)-1)</f>
        <v>0</v>
      </c>
      <c r="G143" s="966">
        <f t="shared" ref="G143:G148" si="86">100*(B143/B119-1)</f>
        <v>35.632183908045967</v>
      </c>
      <c r="H143" s="861">
        <f t="shared" si="82"/>
        <v>2.0682537400753347</v>
      </c>
    </row>
    <row r="144" spans="1:8">
      <c r="A144" s="1014" t="s">
        <v>490</v>
      </c>
      <c r="B144" s="857">
        <f>geral!M1459</f>
        <v>122.5</v>
      </c>
      <c r="C144" s="857">
        <f t="shared" si="47"/>
        <v>200.81967213114754</v>
      </c>
      <c r="D144" s="961">
        <f t="shared" si="83"/>
        <v>3.8135593220338881</v>
      </c>
      <c r="E144" s="961">
        <f t="shared" si="84"/>
        <v>3.8135593220338881</v>
      </c>
      <c r="F144" s="965">
        <f t="shared" si="85"/>
        <v>3.8135593220338881</v>
      </c>
      <c r="G144" s="966">
        <f t="shared" si="86"/>
        <v>40.804597701149412</v>
      </c>
      <c r="H144" s="861">
        <f t="shared" si="82"/>
        <v>1.9922770720725673</v>
      </c>
    </row>
    <row r="145" spans="1:8">
      <c r="A145" s="1014" t="s">
        <v>491</v>
      </c>
      <c r="B145" s="857">
        <f>geral!M1460</f>
        <v>122.5</v>
      </c>
      <c r="C145" s="857">
        <f t="shared" si="47"/>
        <v>200.81967213114754</v>
      </c>
      <c r="D145" s="961">
        <f t="shared" si="83"/>
        <v>0</v>
      </c>
      <c r="E145" s="961">
        <f t="shared" si="84"/>
        <v>3.8135593220338881</v>
      </c>
      <c r="F145" s="965">
        <f t="shared" si="85"/>
        <v>3.8135593220338881</v>
      </c>
      <c r="G145" s="966">
        <f t="shared" si="86"/>
        <v>40.578379619003904</v>
      </c>
      <c r="H145" s="861">
        <f t="shared" si="82"/>
        <v>1.9922770720725673</v>
      </c>
    </row>
    <row r="146" spans="1:8">
      <c r="A146" s="1014" t="s">
        <v>492</v>
      </c>
      <c r="B146" s="857">
        <f>geral!M1461</f>
        <v>122.5</v>
      </c>
      <c r="C146" s="857">
        <f t="shared" si="47"/>
        <v>200.81967213114754</v>
      </c>
      <c r="D146" s="961">
        <f t="shared" si="83"/>
        <v>0</v>
      </c>
      <c r="E146" s="961">
        <f t="shared" si="84"/>
        <v>3.8135593220338881</v>
      </c>
      <c r="F146" s="965">
        <f t="shared" si="85"/>
        <v>3.8135593220338881</v>
      </c>
      <c r="G146" s="966">
        <f t="shared" si="86"/>
        <v>37.640449438202239</v>
      </c>
      <c r="H146" s="861">
        <f t="shared" si="82"/>
        <v>1.9922770720725673</v>
      </c>
    </row>
    <row r="147" spans="1:8">
      <c r="A147" s="1014" t="s">
        <v>493</v>
      </c>
      <c r="B147" s="857">
        <f>geral!M1462</f>
        <v>122.5</v>
      </c>
      <c r="C147" s="857">
        <f t="shared" si="47"/>
        <v>200.81967213114754</v>
      </c>
      <c r="D147" s="961">
        <f t="shared" si="83"/>
        <v>0</v>
      </c>
      <c r="E147" s="961">
        <f t="shared" si="84"/>
        <v>3.8135593220338881</v>
      </c>
      <c r="F147" s="965">
        <f t="shared" si="85"/>
        <v>3.8135593220338881</v>
      </c>
      <c r="G147" s="966">
        <f t="shared" si="86"/>
        <v>36.111111111111114</v>
      </c>
      <c r="H147" s="861">
        <f t="shared" si="82"/>
        <v>1.9922770720725673</v>
      </c>
    </row>
    <row r="148" spans="1:8">
      <c r="A148" s="1014" t="s">
        <v>494</v>
      </c>
      <c r="B148" s="857">
        <f>geral!M1463</f>
        <v>122.5</v>
      </c>
      <c r="C148" s="857">
        <f t="shared" si="47"/>
        <v>200.81967213114754</v>
      </c>
      <c r="D148" s="961">
        <f t="shared" si="83"/>
        <v>0</v>
      </c>
      <c r="E148" s="961">
        <f t="shared" si="84"/>
        <v>3.8135593220338881</v>
      </c>
      <c r="F148" s="965">
        <f t="shared" si="85"/>
        <v>3.8135593220338881</v>
      </c>
      <c r="G148" s="966">
        <f t="shared" si="86"/>
        <v>36.111111111111114</v>
      </c>
      <c r="H148" s="861">
        <f t="shared" si="82"/>
        <v>1.9922770720725673</v>
      </c>
    </row>
    <row r="149" spans="1:8">
      <c r="A149" s="1014" t="s">
        <v>495</v>
      </c>
      <c r="B149" s="857">
        <f>geral!C1467</f>
        <v>160</v>
      </c>
      <c r="C149" s="857">
        <f t="shared" ref="C149:C154" si="87">100*B149/$B$8</f>
        <v>262.29508196721309</v>
      </c>
      <c r="D149" s="961">
        <f t="shared" ref="D149:D154" si="88">100*((B149/B148)-1)</f>
        <v>30.612244897959172</v>
      </c>
      <c r="E149" s="961">
        <f t="shared" ref="E149:E154" si="89">100*((B149/$B$148)-1)</f>
        <v>30.612244897959172</v>
      </c>
      <c r="F149" s="965">
        <f t="shared" ref="F149:F154" si="90">100*((B149/B137)-1)</f>
        <v>35.593220338983045</v>
      </c>
      <c r="G149" s="966">
        <f t="shared" ref="G149:G154" si="91">100*(B149/B125-1)</f>
        <v>77.777777777777771</v>
      </c>
      <c r="H149" s="861">
        <f t="shared" si="82"/>
        <v>1.5253371333055594</v>
      </c>
    </row>
    <row r="150" spans="1:8">
      <c r="A150" s="1014" t="s">
        <v>496</v>
      </c>
      <c r="B150" s="857">
        <f>geral!C1468</f>
        <v>160</v>
      </c>
      <c r="C150" s="857">
        <f t="shared" si="87"/>
        <v>262.29508196721309</v>
      </c>
      <c r="D150" s="961">
        <f t="shared" si="88"/>
        <v>0</v>
      </c>
      <c r="E150" s="961">
        <f t="shared" si="89"/>
        <v>30.612244897959172</v>
      </c>
      <c r="F150" s="965">
        <f t="shared" si="90"/>
        <v>35.593220338983045</v>
      </c>
      <c r="G150" s="966">
        <f t="shared" si="91"/>
        <v>71.781775794107276</v>
      </c>
      <c r="H150" s="861">
        <f t="shared" si="82"/>
        <v>1.5253371333055594</v>
      </c>
    </row>
    <row r="151" spans="1:8">
      <c r="A151" s="1014" t="s">
        <v>497</v>
      </c>
      <c r="B151" s="857">
        <f>geral!C1469</f>
        <v>160</v>
      </c>
      <c r="C151" s="857">
        <f t="shared" si="87"/>
        <v>262.29508196721309</v>
      </c>
      <c r="D151" s="961">
        <f t="shared" si="88"/>
        <v>0</v>
      </c>
      <c r="E151" s="961">
        <f t="shared" si="89"/>
        <v>30.612244897959172</v>
      </c>
      <c r="F151" s="965">
        <f t="shared" si="90"/>
        <v>35.593220338983045</v>
      </c>
      <c r="G151" s="966">
        <f t="shared" si="91"/>
        <v>38.728323699421964</v>
      </c>
      <c r="H151" s="861">
        <f t="shared" si="82"/>
        <v>1.5253371333055594</v>
      </c>
    </row>
    <row r="152" spans="1:8">
      <c r="A152" s="1014" t="s">
        <v>498</v>
      </c>
      <c r="B152" s="857">
        <f>geral!C1470</f>
        <v>160</v>
      </c>
      <c r="C152" s="857">
        <f t="shared" si="87"/>
        <v>262.29508196721309</v>
      </c>
      <c r="D152" s="961">
        <f t="shared" si="88"/>
        <v>0</v>
      </c>
      <c r="E152" s="961">
        <f t="shared" si="89"/>
        <v>30.612244897959172</v>
      </c>
      <c r="F152" s="965">
        <f t="shared" si="90"/>
        <v>35.593220338983045</v>
      </c>
      <c r="G152" s="966">
        <f t="shared" si="91"/>
        <v>38.732333304430753</v>
      </c>
      <c r="H152" s="861">
        <f t="shared" si="82"/>
        <v>1.5253371333055594</v>
      </c>
    </row>
    <row r="153" spans="1:8">
      <c r="A153" s="1014" t="s">
        <v>499</v>
      </c>
      <c r="B153" s="857">
        <f>geral!C1471</f>
        <v>160</v>
      </c>
      <c r="C153" s="857">
        <f t="shared" si="87"/>
        <v>262.29508196721309</v>
      </c>
      <c r="D153" s="961">
        <f t="shared" si="88"/>
        <v>0</v>
      </c>
      <c r="E153" s="961">
        <f t="shared" si="89"/>
        <v>30.612244897959172</v>
      </c>
      <c r="F153" s="965">
        <f t="shared" si="90"/>
        <v>35.593220338983045</v>
      </c>
      <c r="G153" s="966">
        <f t="shared" si="91"/>
        <v>38.732333304430753</v>
      </c>
      <c r="H153" s="861">
        <f t="shared" si="82"/>
        <v>1.5253371333055594</v>
      </c>
    </row>
    <row r="154" spans="1:8">
      <c r="A154" s="1014" t="s">
        <v>500</v>
      </c>
      <c r="B154" s="857">
        <f>geral!C1472</f>
        <v>160</v>
      </c>
      <c r="C154" s="857">
        <f t="shared" si="87"/>
        <v>262.29508196721309</v>
      </c>
      <c r="D154" s="961">
        <f t="shared" si="88"/>
        <v>0</v>
      </c>
      <c r="E154" s="961">
        <f t="shared" si="89"/>
        <v>30.612244897959172</v>
      </c>
      <c r="F154" s="965">
        <f t="shared" si="90"/>
        <v>35.593220338983045</v>
      </c>
      <c r="G154" s="966">
        <f t="shared" si="91"/>
        <v>38.732333304430753</v>
      </c>
      <c r="H154" s="861">
        <f t="shared" si="82"/>
        <v>1.5253371333055594</v>
      </c>
    </row>
    <row r="155" spans="1:8">
      <c r="A155" s="1014" t="s">
        <v>501</v>
      </c>
      <c r="B155" s="857">
        <f>geral!C1473</f>
        <v>166</v>
      </c>
      <c r="C155" s="857">
        <f t="shared" ref="C155:C160" si="92">100*B155/$B$8</f>
        <v>272.13114754098359</v>
      </c>
      <c r="D155" s="961">
        <f t="shared" ref="D155:D160" si="93">100*((B155/B154)-1)</f>
        <v>3.7500000000000089</v>
      </c>
      <c r="E155" s="961">
        <f t="shared" ref="E155:E160" si="94">100*((B155/$B$148)-1)</f>
        <v>35.510204081632658</v>
      </c>
      <c r="F155" s="965">
        <f t="shared" ref="F155:F160" si="95">100*((B155/B143)-1)</f>
        <v>40.677966101694921</v>
      </c>
      <c r="G155" s="966">
        <f t="shared" ref="G155:G160" si="96">100*(B155/B131-1)</f>
        <v>40.677966101694921</v>
      </c>
      <c r="H155" s="861">
        <f t="shared" si="82"/>
        <v>1.4702044658366837</v>
      </c>
    </row>
    <row r="156" spans="1:8">
      <c r="A156" s="1014" t="s">
        <v>502</v>
      </c>
      <c r="B156" s="857">
        <f>geral!C1474</f>
        <v>166</v>
      </c>
      <c r="C156" s="857">
        <f t="shared" si="92"/>
        <v>272.13114754098359</v>
      </c>
      <c r="D156" s="961">
        <f t="shared" si="93"/>
        <v>0</v>
      </c>
      <c r="E156" s="961">
        <f t="shared" si="94"/>
        <v>35.510204081632658</v>
      </c>
      <c r="F156" s="965">
        <f t="shared" si="95"/>
        <v>35.510204081632658</v>
      </c>
      <c r="G156" s="966">
        <f t="shared" si="96"/>
        <v>40.677966101694921</v>
      </c>
      <c r="H156" s="861">
        <f t="shared" si="82"/>
        <v>1.4702044658366837</v>
      </c>
    </row>
    <row r="157" spans="1:8">
      <c r="A157" s="1014" t="s">
        <v>503</v>
      </c>
      <c r="B157" s="857">
        <f>geral!C1475</f>
        <v>166</v>
      </c>
      <c r="C157" s="857">
        <f t="shared" si="92"/>
        <v>272.13114754098359</v>
      </c>
      <c r="D157" s="961">
        <f t="shared" si="93"/>
        <v>0</v>
      </c>
      <c r="E157" s="961">
        <f t="shared" si="94"/>
        <v>35.510204081632658</v>
      </c>
      <c r="F157" s="965">
        <f t="shared" si="95"/>
        <v>35.510204081632658</v>
      </c>
      <c r="G157" s="966">
        <f t="shared" si="96"/>
        <v>40.677966101694921</v>
      </c>
      <c r="H157" s="861">
        <f t="shared" si="82"/>
        <v>1.4702044658366837</v>
      </c>
    </row>
    <row r="158" spans="1:8">
      <c r="A158" s="1014" t="s">
        <v>504</v>
      </c>
      <c r="B158" s="857">
        <f>geral!C1476</f>
        <v>166</v>
      </c>
      <c r="C158" s="857">
        <f t="shared" si="92"/>
        <v>272.13114754098359</v>
      </c>
      <c r="D158" s="961">
        <f t="shared" si="93"/>
        <v>0</v>
      </c>
      <c r="E158" s="961">
        <f t="shared" si="94"/>
        <v>35.510204081632658</v>
      </c>
      <c r="F158" s="965">
        <f t="shared" si="95"/>
        <v>35.510204081632658</v>
      </c>
      <c r="G158" s="966">
        <f t="shared" si="96"/>
        <v>40.677966101694921</v>
      </c>
      <c r="H158" s="861">
        <f t="shared" si="82"/>
        <v>1.4702044658366837</v>
      </c>
    </row>
    <row r="159" spans="1:8">
      <c r="A159" s="1014" t="s">
        <v>505</v>
      </c>
      <c r="B159" s="857">
        <f>geral!C1477</f>
        <v>166</v>
      </c>
      <c r="C159" s="857">
        <f t="shared" si="92"/>
        <v>272.13114754098359</v>
      </c>
      <c r="D159" s="961">
        <f t="shared" si="93"/>
        <v>0</v>
      </c>
      <c r="E159" s="961">
        <f t="shared" si="94"/>
        <v>35.510204081632658</v>
      </c>
      <c r="F159" s="965">
        <f t="shared" si="95"/>
        <v>35.510204081632658</v>
      </c>
      <c r="G159" s="966">
        <f t="shared" si="96"/>
        <v>40.677966101694921</v>
      </c>
      <c r="H159" s="861">
        <f t="shared" si="82"/>
        <v>1.4702044658366837</v>
      </c>
    </row>
    <row r="160" spans="1:8">
      <c r="A160" s="1014" t="s">
        <v>506</v>
      </c>
      <c r="B160" s="857">
        <f>geral!C1478</f>
        <v>166</v>
      </c>
      <c r="C160" s="857">
        <f t="shared" si="92"/>
        <v>272.13114754098359</v>
      </c>
      <c r="D160" s="961">
        <f t="shared" si="93"/>
        <v>0</v>
      </c>
      <c r="E160" s="961">
        <f t="shared" si="94"/>
        <v>35.510204081632658</v>
      </c>
      <c r="F160" s="965">
        <f t="shared" si="95"/>
        <v>35.510204081632658</v>
      </c>
      <c r="G160" s="966">
        <f t="shared" si="96"/>
        <v>40.677966101694921</v>
      </c>
      <c r="H160" s="861">
        <f t="shared" si="82"/>
        <v>1.4702044658366837</v>
      </c>
    </row>
    <row r="161" spans="1:8">
      <c r="A161" s="1014" t="s">
        <v>507</v>
      </c>
      <c r="B161" s="857">
        <f>geral!E1467</f>
        <v>171</v>
      </c>
      <c r="C161" s="857">
        <f t="shared" ref="C161:C166" si="97">100*B161/$B$8</f>
        <v>280.32786885245901</v>
      </c>
      <c r="D161" s="961">
        <f t="shared" ref="D161:D166" si="98">100*((B161/B160)-1)</f>
        <v>3.0120481927710774</v>
      </c>
      <c r="E161" s="961">
        <f t="shared" ref="E161:E166" si="99">100*((B161/$B$160)-1)</f>
        <v>3.0120481927710774</v>
      </c>
      <c r="F161" s="965">
        <f t="shared" ref="F161:F166" si="100">100*((B161/B149)-1)</f>
        <v>6.8750000000000089</v>
      </c>
      <c r="G161" s="966">
        <f t="shared" ref="G161:G166" si="101">100*(B161/B137-1)</f>
        <v>44.915254237288124</v>
      </c>
      <c r="H161" s="861">
        <f t="shared" si="82"/>
        <v>1.4272160311630964</v>
      </c>
    </row>
    <row r="162" spans="1:8">
      <c r="A162" s="1014" t="s">
        <v>508</v>
      </c>
      <c r="B162" s="857">
        <f>geral!E1468</f>
        <v>171</v>
      </c>
      <c r="C162" s="857">
        <f t="shared" si="97"/>
        <v>280.32786885245901</v>
      </c>
      <c r="D162" s="961">
        <f t="shared" si="98"/>
        <v>0</v>
      </c>
      <c r="E162" s="961">
        <f t="shared" si="99"/>
        <v>3.0120481927710774</v>
      </c>
      <c r="F162" s="965">
        <f t="shared" si="100"/>
        <v>6.8750000000000089</v>
      </c>
      <c r="G162" s="966">
        <f t="shared" si="101"/>
        <v>44.915254237288124</v>
      </c>
      <c r="H162" s="861">
        <f t="shared" si="82"/>
        <v>1.4272160311630964</v>
      </c>
    </row>
    <row r="163" spans="1:8">
      <c r="A163" s="1014" t="s">
        <v>509</v>
      </c>
      <c r="B163" s="857">
        <f>geral!E1469</f>
        <v>171</v>
      </c>
      <c r="C163" s="857">
        <f t="shared" si="97"/>
        <v>280.32786885245901</v>
      </c>
      <c r="D163" s="961">
        <f t="shared" si="98"/>
        <v>0</v>
      </c>
      <c r="E163" s="961">
        <f t="shared" si="99"/>
        <v>3.0120481927710774</v>
      </c>
      <c r="F163" s="965">
        <f t="shared" si="100"/>
        <v>6.8750000000000089</v>
      </c>
      <c r="G163" s="966">
        <f t="shared" si="101"/>
        <v>44.915254237288124</v>
      </c>
      <c r="H163" s="861">
        <f t="shared" si="82"/>
        <v>1.4272160311630964</v>
      </c>
    </row>
    <row r="164" spans="1:8">
      <c r="A164" s="1014" t="s">
        <v>510</v>
      </c>
      <c r="B164" s="857">
        <f>geral!E1470</f>
        <v>176</v>
      </c>
      <c r="C164" s="857">
        <f t="shared" si="97"/>
        <v>288.52459016393442</v>
      </c>
      <c r="D164" s="961">
        <f t="shared" si="98"/>
        <v>2.9239766081871288</v>
      </c>
      <c r="E164" s="961">
        <f t="shared" si="99"/>
        <v>6.024096385542177</v>
      </c>
      <c r="F164" s="965">
        <f t="shared" si="100"/>
        <v>10.000000000000009</v>
      </c>
      <c r="G164" s="966">
        <f t="shared" si="101"/>
        <v>49.152542372881356</v>
      </c>
      <c r="H164" s="861">
        <f t="shared" si="82"/>
        <v>1.3866701211868722</v>
      </c>
    </row>
    <row r="165" spans="1:8">
      <c r="A165" s="1014" t="s">
        <v>511</v>
      </c>
      <c r="B165" s="857">
        <f>geral!E1471</f>
        <v>176</v>
      </c>
      <c r="C165" s="857">
        <f t="shared" si="97"/>
        <v>288.52459016393442</v>
      </c>
      <c r="D165" s="961">
        <f t="shared" si="98"/>
        <v>0</v>
      </c>
      <c r="E165" s="961">
        <f t="shared" si="99"/>
        <v>6.024096385542177</v>
      </c>
      <c r="F165" s="965">
        <f t="shared" si="100"/>
        <v>10.000000000000009</v>
      </c>
      <c r="G165" s="966">
        <f t="shared" si="101"/>
        <v>49.152542372881356</v>
      </c>
      <c r="H165" s="861">
        <f t="shared" si="82"/>
        <v>1.3866701211868722</v>
      </c>
    </row>
    <row r="166" spans="1:8">
      <c r="A166" s="1014" t="s">
        <v>512</v>
      </c>
      <c r="B166" s="857">
        <f>geral!E1472</f>
        <v>176</v>
      </c>
      <c r="C166" s="857">
        <f t="shared" si="97"/>
        <v>288.52459016393442</v>
      </c>
      <c r="D166" s="961">
        <f t="shared" si="98"/>
        <v>0</v>
      </c>
      <c r="E166" s="961">
        <f t="shared" si="99"/>
        <v>6.024096385542177</v>
      </c>
      <c r="F166" s="965">
        <f t="shared" si="100"/>
        <v>10.000000000000009</v>
      </c>
      <c r="G166" s="966">
        <f t="shared" si="101"/>
        <v>49.152542372881356</v>
      </c>
      <c r="H166" s="861">
        <f t="shared" si="82"/>
        <v>1.3866701211868722</v>
      </c>
    </row>
    <row r="167" spans="1:8">
      <c r="A167" s="1014" t="s">
        <v>513</v>
      </c>
      <c r="B167" s="857">
        <f>geral!E1473</f>
        <v>176</v>
      </c>
      <c r="C167" s="857">
        <f t="shared" ref="C167:C172" si="102">100*B167/$B$8</f>
        <v>288.52459016393442</v>
      </c>
      <c r="D167" s="961">
        <f t="shared" ref="D167:D172" si="103">100*((B167/B166)-1)</f>
        <v>0</v>
      </c>
      <c r="E167" s="961">
        <f t="shared" ref="E167:E172" si="104">100*((B167/$B$160)-1)</f>
        <v>6.024096385542177</v>
      </c>
      <c r="F167" s="965">
        <f t="shared" ref="F167:F172" si="105">100*((B167/B155)-1)</f>
        <v>6.024096385542177</v>
      </c>
      <c r="G167" s="966">
        <f t="shared" ref="G167:G172" si="106">100*(B167/B143-1)</f>
        <v>49.152542372881356</v>
      </c>
      <c r="H167" s="861">
        <f t="shared" si="82"/>
        <v>1.3866701211868722</v>
      </c>
    </row>
    <row r="168" spans="1:8">
      <c r="A168" s="1014" t="s">
        <v>514</v>
      </c>
      <c r="B168" s="857">
        <f>geral!E1474</f>
        <v>176</v>
      </c>
      <c r="C168" s="857">
        <f t="shared" si="102"/>
        <v>288.52459016393442</v>
      </c>
      <c r="D168" s="961">
        <f t="shared" si="103"/>
        <v>0</v>
      </c>
      <c r="E168" s="961">
        <f t="shared" si="104"/>
        <v>6.024096385542177</v>
      </c>
      <c r="F168" s="965">
        <f t="shared" si="105"/>
        <v>6.024096385542177</v>
      </c>
      <c r="G168" s="966">
        <f t="shared" si="106"/>
        <v>43.673469387755091</v>
      </c>
      <c r="H168" s="861">
        <f t="shared" si="82"/>
        <v>1.3866701211868722</v>
      </c>
    </row>
    <row r="169" spans="1:8">
      <c r="A169" s="1014" t="s">
        <v>515</v>
      </c>
      <c r="B169" s="857">
        <f>geral!E1475</f>
        <v>176</v>
      </c>
      <c r="C169" s="857">
        <f t="shared" si="102"/>
        <v>288.52459016393442</v>
      </c>
      <c r="D169" s="961">
        <f t="shared" si="103"/>
        <v>0</v>
      </c>
      <c r="E169" s="961">
        <f t="shared" si="104"/>
        <v>6.024096385542177</v>
      </c>
      <c r="F169" s="965">
        <f t="shared" si="105"/>
        <v>6.024096385542177</v>
      </c>
      <c r="G169" s="966">
        <f t="shared" si="106"/>
        <v>43.673469387755091</v>
      </c>
      <c r="H169" s="861">
        <f t="shared" si="82"/>
        <v>1.3866701211868722</v>
      </c>
    </row>
    <row r="170" spans="1:8">
      <c r="A170" s="1014" t="s">
        <v>516</v>
      </c>
      <c r="B170" s="857">
        <f>geral!E1476</f>
        <v>176</v>
      </c>
      <c r="C170" s="857">
        <f t="shared" si="102"/>
        <v>288.52459016393442</v>
      </c>
      <c r="D170" s="961">
        <f t="shared" si="103"/>
        <v>0</v>
      </c>
      <c r="E170" s="961">
        <f t="shared" si="104"/>
        <v>6.024096385542177</v>
      </c>
      <c r="F170" s="965">
        <f t="shared" si="105"/>
        <v>6.024096385542177</v>
      </c>
      <c r="G170" s="966">
        <f t="shared" si="106"/>
        <v>43.673469387755091</v>
      </c>
      <c r="H170" s="861">
        <f t="shared" si="82"/>
        <v>1.3866701211868722</v>
      </c>
    </row>
    <row r="171" spans="1:8">
      <c r="A171" s="1014" t="s">
        <v>517</v>
      </c>
      <c r="B171" s="857">
        <f>geral!E1477</f>
        <v>176</v>
      </c>
      <c r="C171" s="857">
        <f t="shared" si="102"/>
        <v>288.52459016393442</v>
      </c>
      <c r="D171" s="961">
        <f t="shared" si="103"/>
        <v>0</v>
      </c>
      <c r="E171" s="961">
        <f t="shared" si="104"/>
        <v>6.024096385542177</v>
      </c>
      <c r="F171" s="965">
        <f t="shared" si="105"/>
        <v>6.024096385542177</v>
      </c>
      <c r="G171" s="966">
        <f t="shared" si="106"/>
        <v>43.673469387755091</v>
      </c>
      <c r="H171" s="861">
        <f t="shared" si="82"/>
        <v>1.3866701211868722</v>
      </c>
    </row>
    <row r="172" spans="1:8">
      <c r="A172" s="1014" t="s">
        <v>518</v>
      </c>
      <c r="B172" s="857">
        <f>geral!E1478</f>
        <v>176</v>
      </c>
      <c r="C172" s="857">
        <f t="shared" si="102"/>
        <v>288.52459016393442</v>
      </c>
      <c r="D172" s="961">
        <f t="shared" si="103"/>
        <v>0</v>
      </c>
      <c r="E172" s="961">
        <f t="shared" si="104"/>
        <v>6.024096385542177</v>
      </c>
      <c r="F172" s="965">
        <f t="shared" si="105"/>
        <v>6.024096385542177</v>
      </c>
      <c r="G172" s="966">
        <f t="shared" si="106"/>
        <v>43.673469387755091</v>
      </c>
      <c r="H172" s="861">
        <f t="shared" si="82"/>
        <v>1.3866701211868722</v>
      </c>
    </row>
    <row r="173" spans="1:8">
      <c r="A173" s="1014" t="s">
        <v>519</v>
      </c>
      <c r="B173" s="857">
        <f>geral!G1467</f>
        <v>168</v>
      </c>
      <c r="C173" s="857">
        <f t="shared" ref="C173:C178" si="107">100*B173/$B$8</f>
        <v>275.40983606557376</v>
      </c>
      <c r="D173" s="961">
        <f t="shared" ref="D173:D178" si="108">100*((B173/B172)-1)</f>
        <v>-4.5454545454545414</v>
      </c>
      <c r="E173" s="961">
        <f t="shared" ref="E173:E178" si="109">100*((B173/$B$172)-1)</f>
        <v>-4.5454545454545414</v>
      </c>
      <c r="F173" s="965">
        <f t="shared" ref="F173:F178" si="110">100*((B173/B161)-1)</f>
        <v>-1.7543859649122862</v>
      </c>
      <c r="G173" s="966">
        <f t="shared" ref="G173:G178" si="111">100*(B173/B149-1)</f>
        <v>5.0000000000000044</v>
      </c>
      <c r="H173" s="861">
        <f t="shared" si="82"/>
        <v>1.4527020317195802</v>
      </c>
    </row>
    <row r="174" spans="1:8">
      <c r="A174" s="1014" t="s">
        <v>520</v>
      </c>
      <c r="B174" s="857">
        <f>geral!G1468</f>
        <v>167.99799999999999</v>
      </c>
      <c r="C174" s="857">
        <f t="shared" si="107"/>
        <v>275.40655737704918</v>
      </c>
      <c r="D174" s="961">
        <f t="shared" si="108"/>
        <v>-1.1904761904824035E-3</v>
      </c>
      <c r="E174" s="961">
        <f t="shared" si="109"/>
        <v>-4.54659090909092</v>
      </c>
      <c r="F174" s="965">
        <f t="shared" si="110"/>
        <v>-1.7555555555555657</v>
      </c>
      <c r="G174" s="966">
        <f t="shared" si="111"/>
        <v>4.9987499999999851</v>
      </c>
      <c r="H174" s="861">
        <f t="shared" si="82"/>
        <v>1.4527193259972708</v>
      </c>
    </row>
    <row r="175" spans="1:8">
      <c r="A175" s="1014" t="s">
        <v>521</v>
      </c>
      <c r="B175" s="857">
        <f>geral!G1469</f>
        <v>167.99799999999999</v>
      </c>
      <c r="C175" s="857">
        <f t="shared" si="107"/>
        <v>275.40655737704918</v>
      </c>
      <c r="D175" s="961">
        <f t="shared" si="108"/>
        <v>0</v>
      </c>
      <c r="E175" s="961">
        <f t="shared" si="109"/>
        <v>-4.54659090909092</v>
      </c>
      <c r="F175" s="965">
        <f t="shared" si="110"/>
        <v>-1.7555555555555657</v>
      </c>
      <c r="G175" s="966">
        <f t="shared" si="111"/>
        <v>4.9987499999999851</v>
      </c>
      <c r="H175" s="861">
        <f t="shared" si="82"/>
        <v>1.4527193259972708</v>
      </c>
    </row>
    <row r="176" spans="1:8">
      <c r="A176" s="1014" t="s">
        <v>522</v>
      </c>
      <c r="B176" s="857">
        <f>geral!G1470</f>
        <v>167.99799999999999</v>
      </c>
      <c r="C176" s="857">
        <f t="shared" si="107"/>
        <v>275.40655737704918</v>
      </c>
      <c r="D176" s="961">
        <f t="shared" si="108"/>
        <v>0</v>
      </c>
      <c r="E176" s="961">
        <f t="shared" si="109"/>
        <v>-4.54659090909092</v>
      </c>
      <c r="F176" s="965">
        <f t="shared" si="110"/>
        <v>-4.54659090909092</v>
      </c>
      <c r="G176" s="966">
        <f t="shared" si="111"/>
        <v>4.9987499999999851</v>
      </c>
      <c r="H176" s="861">
        <f t="shared" si="82"/>
        <v>1.4527193259972708</v>
      </c>
    </row>
    <row r="177" spans="1:8">
      <c r="A177" s="1014" t="s">
        <v>523</v>
      </c>
      <c r="B177" s="857">
        <f>geral!G1471</f>
        <v>171.99799999999999</v>
      </c>
      <c r="C177" s="857">
        <f t="shared" si="107"/>
        <v>281.96393442622951</v>
      </c>
      <c r="D177" s="961">
        <f t="shared" si="108"/>
        <v>2.3809807259610238</v>
      </c>
      <c r="E177" s="961">
        <f t="shared" si="109"/>
        <v>-2.2738636363636378</v>
      </c>
      <c r="F177" s="965">
        <f t="shared" si="110"/>
        <v>-2.2738636363636378</v>
      </c>
      <c r="G177" s="966">
        <f t="shared" si="111"/>
        <v>7.4987499999999985</v>
      </c>
      <c r="H177" s="861">
        <f t="shared" si="82"/>
        <v>1.418934762781483</v>
      </c>
    </row>
    <row r="178" spans="1:8">
      <c r="A178" s="1014" t="s">
        <v>524</v>
      </c>
      <c r="B178" s="857">
        <f>geral!G1472</f>
        <v>171.99799999999999</v>
      </c>
      <c r="C178" s="857">
        <f t="shared" si="107"/>
        <v>281.96393442622951</v>
      </c>
      <c r="D178" s="961">
        <f t="shared" si="108"/>
        <v>0</v>
      </c>
      <c r="E178" s="961">
        <f t="shared" si="109"/>
        <v>-2.2738636363636378</v>
      </c>
      <c r="F178" s="965">
        <f t="shared" si="110"/>
        <v>-2.2738636363636378</v>
      </c>
      <c r="G178" s="966">
        <f t="shared" si="111"/>
        <v>7.4987499999999985</v>
      </c>
      <c r="H178" s="861">
        <f t="shared" si="82"/>
        <v>1.418934762781483</v>
      </c>
    </row>
    <row r="179" spans="1:8">
      <c r="A179" s="1014" t="s">
        <v>525</v>
      </c>
      <c r="B179" s="857">
        <f>geral!G1473</f>
        <v>171.99799999999999</v>
      </c>
      <c r="C179" s="857">
        <f t="shared" ref="C179:C184" si="112">100*B179/$B$8</f>
        <v>281.96393442622951</v>
      </c>
      <c r="D179" s="961">
        <f t="shared" ref="D179:D184" si="113">100*((B179/B178)-1)</f>
        <v>0</v>
      </c>
      <c r="E179" s="961">
        <f t="shared" ref="E179:E184" si="114">100*((B179/$B$172)-1)</f>
        <v>-2.2738636363636378</v>
      </c>
      <c r="F179" s="965">
        <f t="shared" ref="F179:F184" si="115">100*((B179/B167)-1)</f>
        <v>-2.2738636363636378</v>
      </c>
      <c r="G179" s="966">
        <f t="shared" ref="G179:G184" si="116">100*(B179/B155-1)</f>
        <v>3.6132530120481787</v>
      </c>
      <c r="H179" s="861">
        <f t="shared" si="82"/>
        <v>1.418934762781483</v>
      </c>
    </row>
    <row r="180" spans="1:8">
      <c r="A180" s="1014" t="s">
        <v>526</v>
      </c>
      <c r="B180" s="857">
        <f>geral!G1474</f>
        <v>171.99799999999999</v>
      </c>
      <c r="C180" s="857">
        <f t="shared" si="112"/>
        <v>281.96393442622951</v>
      </c>
      <c r="D180" s="961">
        <f t="shared" si="113"/>
        <v>0</v>
      </c>
      <c r="E180" s="961">
        <f t="shared" si="114"/>
        <v>-2.2738636363636378</v>
      </c>
      <c r="F180" s="965">
        <f t="shared" si="115"/>
        <v>-2.2738636363636378</v>
      </c>
      <c r="G180" s="966">
        <f t="shared" si="116"/>
        <v>3.6132530120481787</v>
      </c>
      <c r="H180" s="861">
        <f t="shared" si="82"/>
        <v>1.418934762781483</v>
      </c>
    </row>
    <row r="181" spans="1:8">
      <c r="A181" s="1014" t="s">
        <v>527</v>
      </c>
      <c r="B181" s="857">
        <f>geral!G1475</f>
        <v>171.99799999999999</v>
      </c>
      <c r="C181" s="857">
        <f t="shared" si="112"/>
        <v>281.96393442622951</v>
      </c>
      <c r="D181" s="961">
        <f t="shared" si="113"/>
        <v>0</v>
      </c>
      <c r="E181" s="961">
        <f t="shared" si="114"/>
        <v>-2.2738636363636378</v>
      </c>
      <c r="F181" s="965">
        <f t="shared" si="115"/>
        <v>-2.2738636363636378</v>
      </c>
      <c r="G181" s="966">
        <f t="shared" si="116"/>
        <v>3.6132530120481787</v>
      </c>
      <c r="H181" s="861">
        <f t="shared" si="82"/>
        <v>1.418934762781483</v>
      </c>
    </row>
    <row r="182" spans="1:8">
      <c r="A182" s="1014" t="s">
        <v>528</v>
      </c>
      <c r="B182" s="857">
        <f>geral!G1476</f>
        <v>171.99799999999999</v>
      </c>
      <c r="C182" s="857">
        <f t="shared" si="112"/>
        <v>281.96393442622951</v>
      </c>
      <c r="D182" s="961">
        <f t="shared" si="113"/>
        <v>0</v>
      </c>
      <c r="E182" s="961">
        <f t="shared" si="114"/>
        <v>-2.2738636363636378</v>
      </c>
      <c r="F182" s="965">
        <f t="shared" si="115"/>
        <v>-2.2738636363636378</v>
      </c>
      <c r="G182" s="966">
        <f t="shared" si="116"/>
        <v>3.6132530120481787</v>
      </c>
      <c r="H182" s="861">
        <f t="shared" si="82"/>
        <v>1.418934762781483</v>
      </c>
    </row>
    <row r="183" spans="1:8">
      <c r="A183" s="1014" t="s">
        <v>529</v>
      </c>
      <c r="B183" s="857">
        <f>geral!G1477</f>
        <v>178.97800000000001</v>
      </c>
      <c r="C183" s="857">
        <f t="shared" si="112"/>
        <v>293.40655737704918</v>
      </c>
      <c r="D183" s="961">
        <f t="shared" si="113"/>
        <v>4.0581867231014312</v>
      </c>
      <c r="E183" s="961">
        <f t="shared" si="114"/>
        <v>1.6920454545454655</v>
      </c>
      <c r="F183" s="965">
        <f t="shared" si="115"/>
        <v>1.6920454545454655</v>
      </c>
      <c r="G183" s="966">
        <f t="shared" si="116"/>
        <v>7.8180722891566301</v>
      </c>
      <c r="H183" s="861">
        <f t="shared" si="82"/>
        <v>1.3635974328067666</v>
      </c>
    </row>
    <row r="184" spans="1:8">
      <c r="A184" s="1014" t="s">
        <v>530</v>
      </c>
      <c r="B184" s="857">
        <f>geral!G1478</f>
        <v>178.97800000000001</v>
      </c>
      <c r="C184" s="857">
        <f t="shared" si="112"/>
        <v>293.40655737704918</v>
      </c>
      <c r="D184" s="961">
        <f t="shared" si="113"/>
        <v>0</v>
      </c>
      <c r="E184" s="961">
        <f t="shared" si="114"/>
        <v>1.6920454545454655</v>
      </c>
      <c r="F184" s="965">
        <f t="shared" si="115"/>
        <v>1.6920454545454655</v>
      </c>
      <c r="G184" s="966">
        <f t="shared" si="116"/>
        <v>7.8180722891566301</v>
      </c>
      <c r="H184" s="861">
        <f t="shared" si="82"/>
        <v>1.3635974328067666</v>
      </c>
    </row>
    <row r="185" spans="1:8">
      <c r="A185" s="1014" t="s">
        <v>531</v>
      </c>
      <c r="B185" s="857">
        <f>geral!I1467</f>
        <v>178.97800000000001</v>
      </c>
      <c r="C185" s="857">
        <f t="shared" ref="C185:C190" si="117">100*B185/$B$8</f>
        <v>293.40655737704918</v>
      </c>
      <c r="D185" s="961">
        <f t="shared" ref="D185:D190" si="118">100*((B185/B184)-1)</f>
        <v>0</v>
      </c>
      <c r="E185" s="961">
        <f t="shared" ref="E185:E190" si="119">100*((B185/$B$184)-1)</f>
        <v>0</v>
      </c>
      <c r="F185" s="965">
        <f t="shared" ref="F185:F190" si="120">100*((B185/B173)-1)</f>
        <v>6.5345238095238178</v>
      </c>
      <c r="G185" s="966">
        <f t="shared" ref="G185:G190" si="121">100*(B185/B161-1)</f>
        <v>4.6654970760233949</v>
      </c>
      <c r="H185" s="861">
        <f t="shared" si="82"/>
        <v>1.3635974328067666</v>
      </c>
    </row>
    <row r="186" spans="1:8">
      <c r="A186" s="1014" t="s">
        <v>649</v>
      </c>
      <c r="B186" s="857">
        <f>geral!I1468</f>
        <v>178.97800000000001</v>
      </c>
      <c r="C186" s="857">
        <f t="shared" si="117"/>
        <v>293.40655737704918</v>
      </c>
      <c r="D186" s="961">
        <f t="shared" si="118"/>
        <v>0</v>
      </c>
      <c r="E186" s="961">
        <f t="shared" si="119"/>
        <v>0</v>
      </c>
      <c r="F186" s="965">
        <f t="shared" si="120"/>
        <v>6.5357920927630264</v>
      </c>
      <c r="G186" s="966">
        <f t="shared" si="121"/>
        <v>4.6654970760233949</v>
      </c>
      <c r="H186" s="861">
        <f t="shared" si="82"/>
        <v>1.3635974328067666</v>
      </c>
    </row>
    <row r="187" spans="1:8">
      <c r="A187" s="1014" t="s">
        <v>650</v>
      </c>
      <c r="B187" s="857">
        <f>geral!I1469</f>
        <v>178.97800000000001</v>
      </c>
      <c r="C187" s="857">
        <f t="shared" si="117"/>
        <v>293.40655737704918</v>
      </c>
      <c r="D187" s="961">
        <f t="shared" si="118"/>
        <v>0</v>
      </c>
      <c r="E187" s="961">
        <f t="shared" si="119"/>
        <v>0</v>
      </c>
      <c r="F187" s="965">
        <f t="shared" si="120"/>
        <v>6.5357920927630264</v>
      </c>
      <c r="G187" s="966">
        <f t="shared" si="121"/>
        <v>4.6654970760233949</v>
      </c>
      <c r="H187" s="861">
        <f t="shared" si="82"/>
        <v>1.3635974328067666</v>
      </c>
    </row>
    <row r="188" spans="1:8">
      <c r="A188" s="1014" t="s">
        <v>652</v>
      </c>
      <c r="B188" s="857">
        <f>geral!I1470</f>
        <v>178.97800000000001</v>
      </c>
      <c r="C188" s="857">
        <f t="shared" si="117"/>
        <v>293.40655737704918</v>
      </c>
      <c r="D188" s="961">
        <f t="shared" si="118"/>
        <v>0</v>
      </c>
      <c r="E188" s="961">
        <f t="shared" si="119"/>
        <v>0</v>
      </c>
      <c r="F188" s="965">
        <f t="shared" si="120"/>
        <v>6.5357920927630264</v>
      </c>
      <c r="G188" s="966">
        <f t="shared" si="121"/>
        <v>1.6920454545454655</v>
      </c>
      <c r="H188" s="861">
        <f t="shared" si="82"/>
        <v>1.3635974328067666</v>
      </c>
    </row>
    <row r="189" spans="1:8">
      <c r="A189" s="1014" t="s">
        <v>653</v>
      </c>
      <c r="B189" s="857">
        <f>geral!I1471</f>
        <v>178.97800000000001</v>
      </c>
      <c r="C189" s="857">
        <f t="shared" si="117"/>
        <v>293.40655737704918</v>
      </c>
      <c r="D189" s="961">
        <f t="shared" si="118"/>
        <v>0</v>
      </c>
      <c r="E189" s="961">
        <f t="shared" si="119"/>
        <v>0</v>
      </c>
      <c r="F189" s="965">
        <f t="shared" si="120"/>
        <v>4.0581867231014312</v>
      </c>
      <c r="G189" s="966">
        <f t="shared" si="121"/>
        <v>1.6920454545454655</v>
      </c>
      <c r="H189" s="861">
        <f t="shared" si="82"/>
        <v>1.3635974328067666</v>
      </c>
    </row>
    <row r="190" spans="1:8">
      <c r="A190" s="1014" t="s">
        <v>654</v>
      </c>
      <c r="B190" s="857">
        <f>geral!I1472</f>
        <v>190.97800000000001</v>
      </c>
      <c r="C190" s="857">
        <f t="shared" si="117"/>
        <v>313.07868852459018</v>
      </c>
      <c r="D190" s="961">
        <f t="shared" si="118"/>
        <v>6.7047346601258218</v>
      </c>
      <c r="E190" s="961">
        <f t="shared" si="119"/>
        <v>6.7047346601258218</v>
      </c>
      <c r="F190" s="965">
        <f t="shared" si="120"/>
        <v>11.035012035023684</v>
      </c>
      <c r="G190" s="966">
        <f t="shared" si="121"/>
        <v>8.5102272727272776</v>
      </c>
      <c r="H190" s="861">
        <f t="shared" si="82"/>
        <v>1.2779165209023526</v>
      </c>
    </row>
    <row r="191" spans="1:8">
      <c r="A191" s="1014" t="s">
        <v>657</v>
      </c>
      <c r="B191" s="857">
        <f>geral!I1473</f>
        <v>190.97800000000001</v>
      </c>
      <c r="C191" s="857">
        <f t="shared" ref="C191:C196" si="122">100*B191/$B$8</f>
        <v>313.07868852459018</v>
      </c>
      <c r="D191" s="961">
        <f t="shared" ref="D191:D196" si="123">100*((B191/B190)-1)</f>
        <v>0</v>
      </c>
      <c r="E191" s="961">
        <f t="shared" ref="E191:E196" si="124">100*((B191/$B$184)-1)</f>
        <v>6.7047346601258218</v>
      </c>
      <c r="F191" s="965">
        <f t="shared" ref="F191:F196" si="125">100*((B191/B179)-1)</f>
        <v>11.035012035023684</v>
      </c>
      <c r="G191" s="966">
        <f t="shared" ref="G191:G196" si="126">100*(B191/B167-1)</f>
        <v>8.5102272727272776</v>
      </c>
      <c r="H191" s="861">
        <f t="shared" si="82"/>
        <v>1.2779165209023526</v>
      </c>
    </row>
    <row r="192" spans="1:8">
      <c r="A192" s="1032" t="str">
        <f>Lavtq!A261</f>
        <v>AGOSTO|15</v>
      </c>
      <c r="B192" s="918">
        <f>geral!I1474</f>
        <v>190.97800000000001</v>
      </c>
      <c r="C192" s="918">
        <f t="shared" si="122"/>
        <v>313.07868852459018</v>
      </c>
      <c r="D192" s="1036">
        <f t="shared" si="123"/>
        <v>0</v>
      </c>
      <c r="E192" s="1036">
        <f t="shared" si="124"/>
        <v>6.7047346601258218</v>
      </c>
      <c r="F192" s="1037">
        <f t="shared" si="125"/>
        <v>11.035012035023684</v>
      </c>
      <c r="G192" s="1038">
        <f t="shared" si="126"/>
        <v>8.5102272727272776</v>
      </c>
      <c r="H192" s="861">
        <f t="shared" si="82"/>
        <v>1.2779165209023526</v>
      </c>
    </row>
    <row r="193" spans="1:8">
      <c r="A193" s="1032" t="str">
        <f>Lavtq!A262</f>
        <v>SETEMBRO|15</v>
      </c>
      <c r="B193" s="918">
        <f>geral!I1475</f>
        <v>190.97800000000001</v>
      </c>
      <c r="C193" s="918">
        <f t="shared" si="122"/>
        <v>313.07868852459018</v>
      </c>
      <c r="D193" s="1036">
        <f t="shared" si="123"/>
        <v>0</v>
      </c>
      <c r="E193" s="1036">
        <f t="shared" si="124"/>
        <v>6.7047346601258218</v>
      </c>
      <c r="F193" s="1037">
        <f t="shared" si="125"/>
        <v>11.035012035023684</v>
      </c>
      <c r="G193" s="1038">
        <f t="shared" si="126"/>
        <v>8.5102272727272776</v>
      </c>
      <c r="H193" s="861">
        <f t="shared" si="82"/>
        <v>1.2779165209023526</v>
      </c>
    </row>
    <row r="194" spans="1:8">
      <c r="A194" s="1032" t="str">
        <f>Lavtq!A263</f>
        <v>OUTUBRO|15</v>
      </c>
      <c r="B194" s="918">
        <f>geral!I1476</f>
        <v>190.97800000000001</v>
      </c>
      <c r="C194" s="918">
        <f t="shared" si="122"/>
        <v>313.07868852459018</v>
      </c>
      <c r="D194" s="1036">
        <f t="shared" si="123"/>
        <v>0</v>
      </c>
      <c r="E194" s="1036">
        <f t="shared" si="124"/>
        <v>6.7047346601258218</v>
      </c>
      <c r="F194" s="1037">
        <f t="shared" si="125"/>
        <v>11.035012035023684</v>
      </c>
      <c r="G194" s="1038">
        <f t="shared" si="126"/>
        <v>8.5102272727272776</v>
      </c>
      <c r="H194" s="861">
        <f t="shared" si="82"/>
        <v>1.2779165209023526</v>
      </c>
    </row>
    <row r="195" spans="1:8">
      <c r="A195" s="1032" t="str">
        <f>Lavtq!A264</f>
        <v>NOVEMBRO|15</v>
      </c>
      <c r="B195" s="918">
        <f>geral!I1477</f>
        <v>190.97800000000001</v>
      </c>
      <c r="C195" s="918">
        <f t="shared" si="122"/>
        <v>313.07868852459018</v>
      </c>
      <c r="D195" s="1036">
        <f t="shared" si="123"/>
        <v>0</v>
      </c>
      <c r="E195" s="1036">
        <f t="shared" si="124"/>
        <v>6.7047346601258218</v>
      </c>
      <c r="F195" s="1037">
        <f t="shared" si="125"/>
        <v>6.7047346601258218</v>
      </c>
      <c r="G195" s="1038">
        <f t="shared" si="126"/>
        <v>8.5102272727272776</v>
      </c>
      <c r="H195" s="861">
        <f t="shared" si="82"/>
        <v>1.2779165209023526</v>
      </c>
    </row>
    <row r="196" spans="1:8">
      <c r="A196" s="1032" t="str">
        <f>Lavtq!A265</f>
        <v>DEZEMBRO|15</v>
      </c>
      <c r="B196" s="918">
        <f>geral!I1478</f>
        <v>190.97800000000001</v>
      </c>
      <c r="C196" s="918">
        <f t="shared" si="122"/>
        <v>313.07868852459018</v>
      </c>
      <c r="D196" s="1036">
        <f t="shared" si="123"/>
        <v>0</v>
      </c>
      <c r="E196" s="1036">
        <f t="shared" si="124"/>
        <v>6.7047346601258218</v>
      </c>
      <c r="F196" s="1037">
        <f t="shared" si="125"/>
        <v>6.7047346601258218</v>
      </c>
      <c r="G196" s="1038">
        <f t="shared" si="126"/>
        <v>8.5102272727272776</v>
      </c>
      <c r="H196" s="861">
        <f t="shared" si="82"/>
        <v>1.2779165209023526</v>
      </c>
    </row>
    <row r="197" spans="1:8">
      <c r="A197" s="1032" t="str">
        <f>Lavtq!A266</f>
        <v>JANEIRO|16</v>
      </c>
      <c r="B197" s="918">
        <f>geral!K1467</f>
        <v>190.97800000000001</v>
      </c>
      <c r="C197" s="918">
        <f t="shared" ref="C197" si="127">100*B197/$B$8</f>
        <v>313.07868852459018</v>
      </c>
      <c r="D197" s="1036">
        <f t="shared" ref="D197" si="128">100*((B197/B196)-1)</f>
        <v>0</v>
      </c>
      <c r="E197" s="1036">
        <f t="shared" ref="E197:E202" si="129">100*((B197/$B$196)-1)</f>
        <v>0</v>
      </c>
      <c r="F197" s="1037">
        <f t="shared" ref="F197" si="130">100*((B197/B185)-1)</f>
        <v>6.7047346601258218</v>
      </c>
      <c r="G197" s="1038">
        <f t="shared" ref="G197" si="131">100*(B197/B173-1)</f>
        <v>13.677380952380958</v>
      </c>
      <c r="H197" s="861">
        <f t="shared" si="82"/>
        <v>1.2779165209023526</v>
      </c>
    </row>
    <row r="198" spans="1:8">
      <c r="A198" s="1032" t="str">
        <f>Lavtq!A267</f>
        <v>FEVEREIRO|16</v>
      </c>
      <c r="B198" s="918">
        <f>geral!K1468</f>
        <v>190.97800000000001</v>
      </c>
      <c r="C198" s="918">
        <f t="shared" ref="C198" si="132">100*B198/$B$8</f>
        <v>313.07868852459018</v>
      </c>
      <c r="D198" s="1036">
        <f t="shared" ref="D198" si="133">100*((B198/B197)-1)</f>
        <v>0</v>
      </c>
      <c r="E198" s="1036">
        <f t="shared" si="129"/>
        <v>0</v>
      </c>
      <c r="F198" s="1037">
        <f t="shared" ref="F198" si="134">100*((B198/B186)-1)</f>
        <v>6.7047346601258218</v>
      </c>
      <c r="G198" s="1038">
        <f t="shared" ref="G198" si="135">100*(B198/B174-1)</f>
        <v>13.678734270646098</v>
      </c>
      <c r="H198" s="861">
        <f t="shared" si="82"/>
        <v>1.2779165209023526</v>
      </c>
    </row>
    <row r="199" spans="1:8">
      <c r="A199" s="1032" t="str">
        <f>Lavtq!A268</f>
        <v>MARÇO|16</v>
      </c>
      <c r="B199" s="918">
        <f>geral!K1469</f>
        <v>190.97800000000001</v>
      </c>
      <c r="C199" s="918">
        <f t="shared" ref="C199" si="136">100*B199/$B$8</f>
        <v>313.07868852459018</v>
      </c>
      <c r="D199" s="1036">
        <f t="shared" ref="D199" si="137">100*((B199/B198)-1)</f>
        <v>0</v>
      </c>
      <c r="E199" s="1036">
        <f t="shared" si="129"/>
        <v>0</v>
      </c>
      <c r="F199" s="1037">
        <f t="shared" ref="F199" si="138">100*((B199/B187)-1)</f>
        <v>6.7047346601258218</v>
      </c>
      <c r="G199" s="1038">
        <f t="shared" ref="G199" si="139">100*(B199/B175-1)</f>
        <v>13.678734270646098</v>
      </c>
      <c r="H199" s="861">
        <f t="shared" si="82"/>
        <v>1.2779165209023526</v>
      </c>
    </row>
    <row r="200" spans="1:8">
      <c r="A200" s="1032" t="str">
        <f>Lavtq!A269</f>
        <v>ABRIL|16</v>
      </c>
      <c r="B200" s="918">
        <f>geral!K1470</f>
        <v>190.97800000000001</v>
      </c>
      <c r="C200" s="918">
        <f t="shared" ref="C200" si="140">100*B200/$B$8</f>
        <v>313.07868852459018</v>
      </c>
      <c r="D200" s="1036">
        <f t="shared" ref="D200" si="141">100*((B200/B199)-1)</f>
        <v>0</v>
      </c>
      <c r="E200" s="1036">
        <f t="shared" si="129"/>
        <v>0</v>
      </c>
      <c r="F200" s="1037">
        <f t="shared" ref="F200" si="142">100*((B200/B188)-1)</f>
        <v>6.7047346601258218</v>
      </c>
      <c r="G200" s="1038">
        <f t="shared" ref="G200" si="143">100*(B200/B176-1)</f>
        <v>13.678734270646098</v>
      </c>
      <c r="H200" s="861">
        <f t="shared" si="82"/>
        <v>1.2779165209023526</v>
      </c>
    </row>
    <row r="201" spans="1:8">
      <c r="A201" s="1032" t="str">
        <f>Lavtq!A270</f>
        <v>MAIO|16</v>
      </c>
      <c r="B201" s="918">
        <f>geral!K1471</f>
        <v>207.020152</v>
      </c>
      <c r="C201" s="918">
        <f t="shared" ref="C201" si="144">100*B201/$B$8</f>
        <v>339.37729836065569</v>
      </c>
      <c r="D201" s="1036">
        <f t="shared" ref="D201" si="145">100*((B201/B200)-1)</f>
        <v>8.3999999999999844</v>
      </c>
      <c r="E201" s="1036">
        <f t="shared" si="129"/>
        <v>8.3999999999999844</v>
      </c>
      <c r="F201" s="1037">
        <f t="shared" ref="F201" si="146">100*((B201/B189)-1)</f>
        <v>15.667932371576377</v>
      </c>
      <c r="G201" s="1038">
        <f t="shared" ref="G201" si="147">100*(B201/B177-1)</f>
        <v>20.361953045965663</v>
      </c>
      <c r="H201" s="861">
        <f t="shared" si="82"/>
        <v>1.1788897794302147</v>
      </c>
    </row>
    <row r="202" spans="1:8">
      <c r="A202" s="1032" t="str">
        <f>Lavtq!A271</f>
        <v>JUNHO|16</v>
      </c>
      <c r="B202" s="918">
        <f>geral!K1472</f>
        <v>207.020152</v>
      </c>
      <c r="C202" s="918">
        <f t="shared" ref="C202" si="148">100*B202/$B$8</f>
        <v>339.37729836065569</v>
      </c>
      <c r="D202" s="1036">
        <f t="shared" ref="D202" si="149">100*((B202/B201)-1)</f>
        <v>0</v>
      </c>
      <c r="E202" s="1036">
        <f t="shared" si="129"/>
        <v>8.3999999999999844</v>
      </c>
      <c r="F202" s="1037">
        <f t="shared" ref="F202" si="150">100*((B202/B190)-1)</f>
        <v>8.3999999999999844</v>
      </c>
      <c r="G202" s="1038">
        <f t="shared" ref="G202" si="151">100*(B202/B178-1)</f>
        <v>20.361953045965663</v>
      </c>
      <c r="H202" s="861">
        <f t="shared" si="82"/>
        <v>1.1788897794302147</v>
      </c>
    </row>
    <row r="203" spans="1:8">
      <c r="A203" s="1032" t="str">
        <f>Lavtq!A272</f>
        <v>JULHO|16</v>
      </c>
      <c r="B203" s="918">
        <f>geral!K1473</f>
        <v>207.020152</v>
      </c>
      <c r="C203" s="918">
        <f t="shared" ref="C203" si="152">100*B203/$B$8</f>
        <v>339.37729836065569</v>
      </c>
      <c r="D203" s="1036">
        <f t="shared" ref="D203" si="153">100*((B203/B202)-1)</f>
        <v>0</v>
      </c>
      <c r="E203" s="1036">
        <f t="shared" ref="E203" si="154">100*((B203/$B$196)-1)</f>
        <v>8.3999999999999844</v>
      </c>
      <c r="F203" s="1037">
        <f t="shared" ref="F203" si="155">100*((B203/B191)-1)</f>
        <v>8.3999999999999844</v>
      </c>
      <c r="G203" s="1038">
        <f t="shared" ref="G203" si="156">100*(B203/B179-1)</f>
        <v>20.361953045965663</v>
      </c>
      <c r="H203" s="861">
        <f t="shared" ref="H203:H253" si="157">$B$253/B203</f>
        <v>1.1788897794302147</v>
      </c>
    </row>
    <row r="204" spans="1:8">
      <c r="A204" s="1032" t="str">
        <f>Lavtq!A273</f>
        <v>AGOSTO|16</v>
      </c>
      <c r="B204" s="918">
        <f>geral!K1474</f>
        <v>207.020152</v>
      </c>
      <c r="C204" s="918">
        <f t="shared" ref="C204" si="158">100*B204/$B$8</f>
        <v>339.37729836065569</v>
      </c>
      <c r="D204" s="1036">
        <f t="shared" ref="D204" si="159">100*((B204/B203)-1)</f>
        <v>0</v>
      </c>
      <c r="E204" s="1036">
        <f t="shared" ref="E204" si="160">100*((B204/$B$196)-1)</f>
        <v>8.3999999999999844</v>
      </c>
      <c r="F204" s="1037">
        <f t="shared" ref="F204" si="161">100*((B204/B192)-1)</f>
        <v>8.3999999999999844</v>
      </c>
      <c r="G204" s="1038">
        <f t="shared" ref="G204" si="162">100*(B204/B180-1)</f>
        <v>20.361953045965663</v>
      </c>
      <c r="H204" s="861">
        <f t="shared" si="157"/>
        <v>1.1788897794302147</v>
      </c>
    </row>
    <row r="205" spans="1:8">
      <c r="A205" s="1032" t="str">
        <f>Lavtq!A274</f>
        <v>SETEMBRO|16</v>
      </c>
      <c r="B205" s="918">
        <f>geral!K1475</f>
        <v>207.020152</v>
      </c>
      <c r="C205" s="918">
        <f t="shared" ref="C205" si="163">100*B205/$B$8</f>
        <v>339.37729836065569</v>
      </c>
      <c r="D205" s="1036">
        <f t="shared" ref="D205" si="164">100*((B205/B204)-1)</f>
        <v>0</v>
      </c>
      <c r="E205" s="1036">
        <f t="shared" ref="E205" si="165">100*((B205/$B$196)-1)</f>
        <v>8.3999999999999844</v>
      </c>
      <c r="F205" s="1037">
        <f t="shared" ref="F205" si="166">100*((B205/B193)-1)</f>
        <v>8.3999999999999844</v>
      </c>
      <c r="G205" s="1038">
        <f t="shared" ref="G205" si="167">100*(B205/B181-1)</f>
        <v>20.361953045965663</v>
      </c>
      <c r="H205" s="861">
        <f t="shared" si="157"/>
        <v>1.1788897794302147</v>
      </c>
    </row>
    <row r="206" spans="1:8">
      <c r="A206" s="1032" t="str">
        <f>Lavtq!A275</f>
        <v>OUTUBRO|16</v>
      </c>
      <c r="B206" s="918">
        <f>geral!K1476</f>
        <v>207.020152</v>
      </c>
      <c r="C206" s="918">
        <f t="shared" ref="C206" si="168">100*B206/$B$8</f>
        <v>339.37729836065569</v>
      </c>
      <c r="D206" s="1036">
        <f t="shared" ref="D206" si="169">100*((B206/B205)-1)</f>
        <v>0</v>
      </c>
      <c r="E206" s="1036">
        <f t="shared" ref="E206" si="170">100*((B206/$B$196)-1)</f>
        <v>8.3999999999999844</v>
      </c>
      <c r="F206" s="1037">
        <f t="shared" ref="F206" si="171">100*((B206/B194)-1)</f>
        <v>8.3999999999999844</v>
      </c>
      <c r="G206" s="1038">
        <f t="shared" ref="G206" si="172">100*(B206/B182-1)</f>
        <v>20.361953045965663</v>
      </c>
      <c r="H206" s="861">
        <f t="shared" si="157"/>
        <v>1.1788897794302147</v>
      </c>
    </row>
    <row r="207" spans="1:8">
      <c r="A207" s="1032" t="str">
        <f>Lavtq!A276</f>
        <v>NOVEMBRO|16</v>
      </c>
      <c r="B207" s="918">
        <f>geral!K1477</f>
        <v>207.020152</v>
      </c>
      <c r="C207" s="918">
        <f t="shared" ref="C207" si="173">100*B207/$B$8</f>
        <v>339.37729836065569</v>
      </c>
      <c r="D207" s="1036">
        <f t="shared" ref="D207" si="174">100*((B207/B206)-1)</f>
        <v>0</v>
      </c>
      <c r="E207" s="1036">
        <f t="shared" ref="E207" si="175">100*((B207/$B$196)-1)</f>
        <v>8.3999999999999844</v>
      </c>
      <c r="F207" s="1037">
        <f t="shared" ref="F207" si="176">100*((B207/B195)-1)</f>
        <v>8.3999999999999844</v>
      </c>
      <c r="G207" s="1038">
        <f t="shared" ref="G207" si="177">100*(B207/B183-1)</f>
        <v>15.667932371576377</v>
      </c>
      <c r="H207" s="861">
        <f t="shared" si="157"/>
        <v>1.1788897794302147</v>
      </c>
    </row>
    <row r="208" spans="1:8">
      <c r="A208" s="1032" t="str">
        <f>Lavtq!A277</f>
        <v>DEZEMBRO|16</v>
      </c>
      <c r="B208" s="918">
        <f>geral!K1478</f>
        <v>207.020152</v>
      </c>
      <c r="C208" s="918">
        <f t="shared" ref="C208" si="178">100*B208/$B$8</f>
        <v>339.37729836065569</v>
      </c>
      <c r="D208" s="1036">
        <f t="shared" ref="D208" si="179">100*((B208/B207)-1)</f>
        <v>0</v>
      </c>
      <c r="E208" s="1036">
        <f t="shared" ref="E208" si="180">100*((B208/$B$196)-1)</f>
        <v>8.3999999999999844</v>
      </c>
      <c r="F208" s="1037">
        <f t="shared" ref="F208" si="181">100*((B208/B196)-1)</f>
        <v>8.3999999999999844</v>
      </c>
      <c r="G208" s="1038">
        <f t="shared" ref="G208" si="182">100*(B208/B184-1)</f>
        <v>15.667932371576377</v>
      </c>
      <c r="H208" s="861">
        <f t="shared" si="157"/>
        <v>1.1788897794302147</v>
      </c>
    </row>
    <row r="209" spans="1:8">
      <c r="A209" s="1032" t="str">
        <f>Lavtq!A278</f>
        <v>JANEIRO|17</v>
      </c>
      <c r="B209" s="918">
        <f>geral!M1467</f>
        <v>207.020152</v>
      </c>
      <c r="C209" s="918">
        <f t="shared" ref="C209" si="183">100*B209/$B$8</f>
        <v>339.37729836065569</v>
      </c>
      <c r="D209" s="1036">
        <f t="shared" ref="D209" si="184">100*((B209/B208)-1)</f>
        <v>0</v>
      </c>
      <c r="E209" s="1036">
        <f t="shared" ref="E209:E214" si="185">100*((B209/$B$208)-1)</f>
        <v>0</v>
      </c>
      <c r="F209" s="1037">
        <f t="shared" ref="F209" si="186">100*((B209/B197)-1)</f>
        <v>8.3999999999999844</v>
      </c>
      <c r="G209" s="1038">
        <f t="shared" ref="G209" si="187">100*(B209/B185-1)</f>
        <v>15.667932371576377</v>
      </c>
      <c r="H209" s="861">
        <f t="shared" si="157"/>
        <v>1.1788897794302147</v>
      </c>
    </row>
    <row r="210" spans="1:8">
      <c r="A210" s="1032" t="str">
        <f>Lavtq!A279</f>
        <v>FEVEREIRO|17</v>
      </c>
      <c r="B210" s="918">
        <f>geral!M1468</f>
        <v>207.020152</v>
      </c>
      <c r="C210" s="918">
        <f t="shared" ref="C210" si="188">100*B210/$B$8</f>
        <v>339.37729836065569</v>
      </c>
      <c r="D210" s="1036">
        <f t="shared" ref="D210" si="189">100*((B210/B209)-1)</f>
        <v>0</v>
      </c>
      <c r="E210" s="1036">
        <f t="shared" si="185"/>
        <v>0</v>
      </c>
      <c r="F210" s="1037">
        <f t="shared" ref="F210" si="190">100*((B210/B198)-1)</f>
        <v>8.3999999999999844</v>
      </c>
      <c r="G210" s="1038">
        <f t="shared" ref="G210" si="191">100*(B210/B186-1)</f>
        <v>15.667932371576377</v>
      </c>
      <c r="H210" s="861">
        <f t="shared" si="157"/>
        <v>1.1788897794302147</v>
      </c>
    </row>
    <row r="211" spans="1:8">
      <c r="A211" s="1032" t="str">
        <f>Lavtq!A280</f>
        <v>MARÇO|17</v>
      </c>
      <c r="B211" s="918">
        <f>geral!M1469</f>
        <v>207.020152</v>
      </c>
      <c r="C211" s="918">
        <f t="shared" ref="C211" si="192">100*B211/$B$8</f>
        <v>339.37729836065569</v>
      </c>
      <c r="D211" s="1036">
        <f t="shared" ref="D211" si="193">100*((B211/B210)-1)</f>
        <v>0</v>
      </c>
      <c r="E211" s="1036">
        <f t="shared" si="185"/>
        <v>0</v>
      </c>
      <c r="F211" s="1037">
        <f t="shared" ref="F211" si="194">100*((B211/B199)-1)</f>
        <v>8.3999999999999844</v>
      </c>
      <c r="G211" s="1038">
        <f t="shared" ref="G211" si="195">100*(B211/B187-1)</f>
        <v>15.667932371576377</v>
      </c>
      <c r="H211" s="861">
        <f t="shared" si="157"/>
        <v>1.1788897794302147</v>
      </c>
    </row>
    <row r="212" spans="1:8">
      <c r="A212" s="1032" t="str">
        <f>Lavtq!A281</f>
        <v>ABRIL|17</v>
      </c>
      <c r="B212" s="918">
        <f>geral!M1470</f>
        <v>207.020152</v>
      </c>
      <c r="C212" s="918">
        <f t="shared" ref="C212" si="196">100*B212/$B$8</f>
        <v>339.37729836065569</v>
      </c>
      <c r="D212" s="1036">
        <f t="shared" ref="D212" si="197">100*((B212/B211)-1)</f>
        <v>0</v>
      </c>
      <c r="E212" s="1036">
        <f t="shared" si="185"/>
        <v>0</v>
      </c>
      <c r="F212" s="1037">
        <f t="shared" ref="F212" si="198">100*((B212/B200)-1)</f>
        <v>8.3999999999999844</v>
      </c>
      <c r="G212" s="1038">
        <f t="shared" ref="G212" si="199">100*(B212/B188-1)</f>
        <v>15.667932371576377</v>
      </c>
      <c r="H212" s="861">
        <f t="shared" si="157"/>
        <v>1.1788897794302147</v>
      </c>
    </row>
    <row r="213" spans="1:8">
      <c r="A213" s="1032" t="str">
        <f>Lavtq!A282</f>
        <v>MAIO|17</v>
      </c>
      <c r="B213" s="918">
        <f>geral!M1471</f>
        <v>207.020152</v>
      </c>
      <c r="C213" s="918">
        <f t="shared" ref="C213" si="200">100*B213/$B$8</f>
        <v>339.37729836065569</v>
      </c>
      <c r="D213" s="1036">
        <f t="shared" ref="D213" si="201">100*((B213/B212)-1)</f>
        <v>0</v>
      </c>
      <c r="E213" s="1036">
        <f t="shared" si="185"/>
        <v>0</v>
      </c>
      <c r="F213" s="1037">
        <f t="shared" ref="F213" si="202">100*((B213/B201)-1)</f>
        <v>0</v>
      </c>
      <c r="G213" s="1038">
        <f t="shared" ref="G213" si="203">100*(B213/B189-1)</f>
        <v>15.667932371576377</v>
      </c>
      <c r="H213" s="861">
        <f t="shared" si="157"/>
        <v>1.1788897794302147</v>
      </c>
    </row>
    <row r="214" spans="1:8">
      <c r="A214" s="1032" t="str">
        <f>Lavtq!A283</f>
        <v>JUNHO|17</v>
      </c>
      <c r="B214" s="918">
        <f>geral!M1472</f>
        <v>207.020152</v>
      </c>
      <c r="C214" s="918">
        <f t="shared" ref="C214" si="204">100*B214/$B$8</f>
        <v>339.37729836065569</v>
      </c>
      <c r="D214" s="1036">
        <f t="shared" ref="D214" si="205">100*((B214/B213)-1)</f>
        <v>0</v>
      </c>
      <c r="E214" s="1036">
        <f t="shared" si="185"/>
        <v>0</v>
      </c>
      <c r="F214" s="1037">
        <f t="shared" ref="F214" si="206">100*((B214/B202)-1)</f>
        <v>0</v>
      </c>
      <c r="G214" s="1038">
        <f t="shared" ref="G214" si="207">100*(B214/B190-1)</f>
        <v>8.3999999999999844</v>
      </c>
      <c r="H214" s="861">
        <f t="shared" si="157"/>
        <v>1.1788897794302147</v>
      </c>
    </row>
    <row r="215" spans="1:8">
      <c r="A215" s="1014" t="str">
        <f>Lavtq!A284</f>
        <v>JULHO|17</v>
      </c>
      <c r="B215" s="857">
        <f>geral!M1473</f>
        <v>207.020152</v>
      </c>
      <c r="C215" s="857">
        <f t="shared" ref="C215" si="208">100*B215/$B$8</f>
        <v>339.37729836065569</v>
      </c>
      <c r="D215" s="961">
        <f t="shared" ref="D215" si="209">100*((B215/B214)-1)</f>
        <v>0</v>
      </c>
      <c r="E215" s="961">
        <f t="shared" ref="E215" si="210">100*((B215/$B$208)-1)</f>
        <v>0</v>
      </c>
      <c r="F215" s="965">
        <f t="shared" ref="F215" si="211">100*((B215/B203)-1)</f>
        <v>0</v>
      </c>
      <c r="G215" s="966">
        <f t="shared" ref="G215" si="212">100*(B215/B191-1)</f>
        <v>8.3999999999999844</v>
      </c>
      <c r="H215" s="861">
        <f t="shared" si="157"/>
        <v>1.1788897794302147</v>
      </c>
    </row>
    <row r="216" spans="1:8">
      <c r="A216" s="1014" t="str">
        <f>Lavtq!A285</f>
        <v>AGOSTO|17</v>
      </c>
      <c r="B216" s="857">
        <f>geral!M1474</f>
        <v>215.67047199999996</v>
      </c>
      <c r="C216" s="857">
        <f t="shared" ref="C216" si="213">100*B216/$B$8</f>
        <v>353.55815081967211</v>
      </c>
      <c r="D216" s="961">
        <f t="shared" ref="D216" si="214">100*((B216/B215)-1)</f>
        <v>4.1784917634491769</v>
      </c>
      <c r="E216" s="961">
        <f t="shared" ref="E216" si="215">100*((B216/$B$208)-1)</f>
        <v>4.1784917634491769</v>
      </c>
      <c r="F216" s="965">
        <f t="shared" ref="F216" si="216">100*((B216/B204)-1)</f>
        <v>4.1784917634491769</v>
      </c>
      <c r="G216" s="966">
        <f t="shared" ref="G216" si="217">100*(B216/B192-1)</f>
        <v>12.929485071578895</v>
      </c>
      <c r="H216" s="861">
        <f t="shared" si="157"/>
        <v>1.1316057273194522</v>
      </c>
    </row>
    <row r="217" spans="1:8">
      <c r="A217" s="1014" t="str">
        <f>Lavtq!A286</f>
        <v>SETEMBRO|17</v>
      </c>
      <c r="B217" s="857">
        <f>geral!M1475</f>
        <v>215.67047199999996</v>
      </c>
      <c r="C217" s="857">
        <f t="shared" ref="C217" si="218">100*B217/$B$8</f>
        <v>353.55815081967211</v>
      </c>
      <c r="D217" s="961">
        <f t="shared" ref="D217" si="219">100*((B217/B216)-1)</f>
        <v>0</v>
      </c>
      <c r="E217" s="961">
        <f t="shared" ref="E217" si="220">100*((B217/$B$208)-1)</f>
        <v>4.1784917634491769</v>
      </c>
      <c r="F217" s="965">
        <f t="shared" ref="F217" si="221">100*((B217/B205)-1)</f>
        <v>4.1784917634491769</v>
      </c>
      <c r="G217" s="966">
        <f t="shared" ref="G217" si="222">100*(B217/B193-1)</f>
        <v>12.929485071578895</v>
      </c>
      <c r="H217" s="861">
        <f t="shared" si="157"/>
        <v>1.1316057273194522</v>
      </c>
    </row>
    <row r="218" spans="1:8">
      <c r="A218" s="1032" t="str">
        <f>Lavtq!A287</f>
        <v>OUTUBRO|17</v>
      </c>
      <c r="B218" s="918">
        <f>geral!M1476</f>
        <v>215.67047199999996</v>
      </c>
      <c r="C218" s="918">
        <f t="shared" ref="C218" si="223">100*B218/$B$8</f>
        <v>353.55815081967211</v>
      </c>
      <c r="D218" s="1036">
        <f t="shared" ref="D218" si="224">100*((B218/B217)-1)</f>
        <v>0</v>
      </c>
      <c r="E218" s="1036">
        <f t="shared" ref="E218" si="225">100*((B218/$B$208)-1)</f>
        <v>4.1784917634491769</v>
      </c>
      <c r="F218" s="1037">
        <f t="shared" ref="F218" si="226">100*((B218/B206)-1)</f>
        <v>4.1784917634491769</v>
      </c>
      <c r="G218" s="1038">
        <f t="shared" ref="G218" si="227">100*(B218/B194-1)</f>
        <v>12.929485071578895</v>
      </c>
      <c r="H218" s="861">
        <f t="shared" si="157"/>
        <v>1.1316057273194522</v>
      </c>
    </row>
    <row r="219" spans="1:8">
      <c r="A219" s="1032" t="str">
        <f>Lavtq!A288</f>
        <v>NOVEMBRO|17</v>
      </c>
      <c r="B219" s="918">
        <f>geral!M1477</f>
        <v>215.67047199999996</v>
      </c>
      <c r="C219" s="918">
        <f t="shared" ref="C219" si="228">100*B219/$B$8</f>
        <v>353.55815081967211</v>
      </c>
      <c r="D219" s="1036">
        <f t="shared" ref="D219" si="229">100*((B219/B218)-1)</f>
        <v>0</v>
      </c>
      <c r="E219" s="1036">
        <f t="shared" ref="E219" si="230">100*((B219/$B$208)-1)</f>
        <v>4.1784917634491769</v>
      </c>
      <c r="F219" s="1037">
        <f t="shared" ref="F219" si="231">100*((B219/B207)-1)</f>
        <v>4.1784917634491769</v>
      </c>
      <c r="G219" s="1038">
        <f t="shared" ref="G219" si="232">100*(B219/B195-1)</f>
        <v>12.929485071578895</v>
      </c>
      <c r="H219" s="861">
        <f t="shared" si="157"/>
        <v>1.1316057273194522</v>
      </c>
    </row>
    <row r="220" spans="1:8">
      <c r="A220" s="1032" t="str">
        <f>Lavtq!A289</f>
        <v>DEZEMBRO|17</v>
      </c>
      <c r="B220" s="918">
        <f>geral!M1478</f>
        <v>215.67047199999996</v>
      </c>
      <c r="C220" s="918">
        <f t="shared" ref="C220" si="233">100*B220/$B$8</f>
        <v>353.55815081967211</v>
      </c>
      <c r="D220" s="1036">
        <f t="shared" ref="D220" si="234">100*((B220/B219)-1)</f>
        <v>0</v>
      </c>
      <c r="E220" s="1036">
        <f t="shared" ref="E220" si="235">100*((B220/$B$208)-1)</f>
        <v>4.1784917634491769</v>
      </c>
      <c r="F220" s="1037">
        <f t="shared" ref="F220" si="236">100*((B220/B208)-1)</f>
        <v>4.1784917634491769</v>
      </c>
      <c r="G220" s="1038">
        <f t="shared" ref="G220" si="237">100*(B220/B196-1)</f>
        <v>12.929485071578895</v>
      </c>
      <c r="H220" s="861">
        <f t="shared" si="157"/>
        <v>1.1316057273194522</v>
      </c>
    </row>
    <row r="221" spans="1:8">
      <c r="A221" s="1032" t="str">
        <f>Lavtq!A290</f>
        <v>JANEIRO|18</v>
      </c>
      <c r="B221" s="918">
        <f>geral!O1467</f>
        <v>215.67047199999996</v>
      </c>
      <c r="C221" s="918">
        <f t="shared" ref="C221" si="238">100*B221/$B$8</f>
        <v>353.55815081967211</v>
      </c>
      <c r="D221" s="1036">
        <f t="shared" ref="D221" si="239">100*((B221/B220)-1)</f>
        <v>0</v>
      </c>
      <c r="E221" s="1036">
        <f t="shared" ref="E221:E226" si="240">100*((B221/$B$220)-1)</f>
        <v>0</v>
      </c>
      <c r="F221" s="1037">
        <f t="shared" ref="F221" si="241">100*((B221/B209)-1)</f>
        <v>4.1784917634491769</v>
      </c>
      <c r="G221" s="1038">
        <f t="shared" ref="G221" si="242">100*(B221/B197-1)</f>
        <v>12.929485071578895</v>
      </c>
      <c r="H221" s="861">
        <f t="shared" si="157"/>
        <v>1.1316057273194522</v>
      </c>
    </row>
    <row r="222" spans="1:8">
      <c r="A222" s="1032" t="str">
        <f>Lavtq!A291</f>
        <v>FEVEREIRO|18</v>
      </c>
      <c r="B222" s="918">
        <f>geral!O1468</f>
        <v>215.67047199999996</v>
      </c>
      <c r="C222" s="918">
        <f t="shared" ref="C222" si="243">100*B222/$B$8</f>
        <v>353.55815081967211</v>
      </c>
      <c r="D222" s="1036">
        <f t="shared" ref="D222" si="244">100*((B222/B221)-1)</f>
        <v>0</v>
      </c>
      <c r="E222" s="1036">
        <f t="shared" si="240"/>
        <v>0</v>
      </c>
      <c r="F222" s="1037">
        <f t="shared" ref="F222" si="245">100*((B222/B210)-1)</f>
        <v>4.1784917634491769</v>
      </c>
      <c r="G222" s="1038">
        <f t="shared" ref="G222" si="246">100*(B222/B198-1)</f>
        <v>12.929485071578895</v>
      </c>
      <c r="H222" s="861">
        <f t="shared" si="157"/>
        <v>1.1316057273194522</v>
      </c>
    </row>
    <row r="223" spans="1:8">
      <c r="A223" s="1032" t="str">
        <f>Lavtq!A292</f>
        <v>MARÇO|18</v>
      </c>
      <c r="B223" s="918">
        <f>geral!O1469</f>
        <v>215.67047199999996</v>
      </c>
      <c r="C223" s="918">
        <f t="shared" ref="C223" si="247">100*B223/$B$8</f>
        <v>353.55815081967211</v>
      </c>
      <c r="D223" s="1036">
        <f t="shared" ref="D223" si="248">100*((B223/B222)-1)</f>
        <v>0</v>
      </c>
      <c r="E223" s="1036">
        <f t="shared" si="240"/>
        <v>0</v>
      </c>
      <c r="F223" s="1037">
        <f t="shared" ref="F223" si="249">100*((B223/B211)-1)</f>
        <v>4.1784917634491769</v>
      </c>
      <c r="G223" s="1038">
        <f t="shared" ref="G223" si="250">100*(B223/B199-1)</f>
        <v>12.929485071578895</v>
      </c>
      <c r="H223" s="861">
        <f t="shared" si="157"/>
        <v>1.1316057273194522</v>
      </c>
    </row>
    <row r="224" spans="1:8">
      <c r="A224" s="1032" t="str">
        <f>Lavtq!A293</f>
        <v>ABRIL|18</v>
      </c>
      <c r="B224" s="918">
        <f>geral!O1470</f>
        <v>215.67047199999996</v>
      </c>
      <c r="C224" s="918">
        <f t="shared" ref="C224" si="251">100*B224/$B$8</f>
        <v>353.55815081967211</v>
      </c>
      <c r="D224" s="1036">
        <f t="shared" ref="D224" si="252">100*((B224/B223)-1)</f>
        <v>0</v>
      </c>
      <c r="E224" s="1036">
        <f t="shared" si="240"/>
        <v>0</v>
      </c>
      <c r="F224" s="1037">
        <f t="shared" ref="F224" si="253">100*((B224/B212)-1)</f>
        <v>4.1784917634491769</v>
      </c>
      <c r="G224" s="1038">
        <f t="shared" ref="G224" si="254">100*(B224/B200-1)</f>
        <v>12.929485071578895</v>
      </c>
      <c r="H224" s="861">
        <f t="shared" si="157"/>
        <v>1.1316057273194522</v>
      </c>
    </row>
    <row r="225" spans="1:8">
      <c r="A225" s="1032" t="str">
        <f>Lavtq!A294</f>
        <v>MAIO|18</v>
      </c>
      <c r="B225" s="918">
        <f>geral!O1471</f>
        <v>215.67047199999996</v>
      </c>
      <c r="C225" s="918">
        <f t="shared" ref="C225" si="255">100*B225/$B$8</f>
        <v>353.55815081967211</v>
      </c>
      <c r="D225" s="1036">
        <f t="shared" ref="D225" si="256">100*((B225/B224)-1)</f>
        <v>0</v>
      </c>
      <c r="E225" s="1036">
        <f t="shared" si="240"/>
        <v>0</v>
      </c>
      <c r="F225" s="1037">
        <f t="shared" ref="F225" si="257">100*((B225/B213)-1)</f>
        <v>4.1784917634491769</v>
      </c>
      <c r="G225" s="1038">
        <f t="shared" ref="G225" si="258">100*(B225/B201-1)</f>
        <v>4.1784917634491769</v>
      </c>
      <c r="H225" s="861">
        <f t="shared" si="157"/>
        <v>1.1316057273194522</v>
      </c>
    </row>
    <row r="226" spans="1:8">
      <c r="A226" s="1032" t="str">
        <f>Lavtq!A295</f>
        <v>JUNHO|18</v>
      </c>
      <c r="B226" s="918">
        <f>geral!O1472</f>
        <v>225.37564323999999</v>
      </c>
      <c r="C226" s="918">
        <f t="shared" ref="C226" si="259">100*B226/$B$8</f>
        <v>369.46826760655733</v>
      </c>
      <c r="D226" s="1036">
        <f t="shared" ref="D226" si="260">100*((B226/B225)-1)</f>
        <v>4.5000000000000151</v>
      </c>
      <c r="E226" s="1036">
        <f t="shared" si="240"/>
        <v>4.5000000000000151</v>
      </c>
      <c r="F226" s="1037">
        <f t="shared" ref="F226" si="261">100*((B226/B214)-1)</f>
        <v>8.8665238928044019</v>
      </c>
      <c r="G226" s="1038">
        <f t="shared" ref="G226" si="262">100*(B226/B202-1)</f>
        <v>8.8665238928044019</v>
      </c>
      <c r="H226" s="861">
        <f t="shared" si="157"/>
        <v>1.0828762940856</v>
      </c>
    </row>
    <row r="227" spans="1:8">
      <c r="A227" s="1032" t="str">
        <f>Lavtq!A296</f>
        <v>JULHO|18</v>
      </c>
      <c r="B227" s="918">
        <f>geral!O1473</f>
        <v>225.37564323999999</v>
      </c>
      <c r="C227" s="918">
        <f t="shared" ref="C227" si="263">100*B227/$B$8</f>
        <v>369.46826760655733</v>
      </c>
      <c r="D227" s="1036">
        <f t="shared" ref="D227" si="264">100*((B227/B226)-1)</f>
        <v>0</v>
      </c>
      <c r="E227" s="1036">
        <f t="shared" ref="E227" si="265">100*((B227/$B$220)-1)</f>
        <v>4.5000000000000151</v>
      </c>
      <c r="F227" s="1037">
        <f t="shared" ref="F227" si="266">100*((B227/B215)-1)</f>
        <v>8.8665238928044019</v>
      </c>
      <c r="G227" s="1038">
        <f t="shared" ref="G227" si="267">100*(B227/B203-1)</f>
        <v>8.8665238928044019</v>
      </c>
      <c r="H227" s="861">
        <f t="shared" si="157"/>
        <v>1.0828762940856</v>
      </c>
    </row>
    <row r="228" spans="1:8">
      <c r="A228" s="1032" t="str">
        <f>Lavtq!A297</f>
        <v>AGOSTO|18</v>
      </c>
      <c r="B228" s="918">
        <f>geral!O1474</f>
        <v>225.37564323999999</v>
      </c>
      <c r="C228" s="918">
        <f t="shared" ref="C228" si="268">100*B228/$B$8</f>
        <v>369.46826760655733</v>
      </c>
      <c r="D228" s="1036">
        <f t="shared" ref="D228" si="269">100*((B228/B227)-1)</f>
        <v>0</v>
      </c>
      <c r="E228" s="1036">
        <f t="shared" ref="E228" si="270">100*((B228/$B$220)-1)</f>
        <v>4.5000000000000151</v>
      </c>
      <c r="F228" s="1037">
        <f t="shared" ref="F228" si="271">100*((B228/B216)-1)</f>
        <v>4.5000000000000151</v>
      </c>
      <c r="G228" s="1038">
        <f t="shared" ref="G228" si="272">100*(B228/B204-1)</f>
        <v>8.8665238928044019</v>
      </c>
      <c r="H228" s="861">
        <f t="shared" si="157"/>
        <v>1.0828762940856</v>
      </c>
    </row>
    <row r="229" spans="1:8">
      <c r="A229" s="1032" t="str">
        <f>Lavtq!A298</f>
        <v>SETEMBRO|18</v>
      </c>
      <c r="B229" s="918">
        <f>geral!O1475</f>
        <v>225.37564323999999</v>
      </c>
      <c r="C229" s="918">
        <f t="shared" ref="C229" si="273">100*B229/$B$8</f>
        <v>369.46826760655733</v>
      </c>
      <c r="D229" s="1036">
        <f t="shared" ref="D229" si="274">100*((B229/B228)-1)</f>
        <v>0</v>
      </c>
      <c r="E229" s="1036">
        <f t="shared" ref="E229" si="275">100*((B229/$B$220)-1)</f>
        <v>4.5000000000000151</v>
      </c>
      <c r="F229" s="1037">
        <f t="shared" ref="F229" si="276">100*((B229/B217)-1)</f>
        <v>4.5000000000000151</v>
      </c>
      <c r="G229" s="1038">
        <f t="shared" ref="G229" si="277">100*(B229/B205-1)</f>
        <v>8.8665238928044019</v>
      </c>
      <c r="H229" s="861">
        <f t="shared" si="157"/>
        <v>1.0828762940856</v>
      </c>
    </row>
    <row r="230" spans="1:8">
      <c r="A230" s="1032" t="str">
        <f>Lavtq!A299</f>
        <v>OUTUBRO|18</v>
      </c>
      <c r="B230" s="918">
        <f>geral!O1476</f>
        <v>225.37564323999999</v>
      </c>
      <c r="C230" s="918">
        <f t="shared" ref="C230" si="278">100*B230/$B$8</f>
        <v>369.46826760655733</v>
      </c>
      <c r="D230" s="1036">
        <f t="shared" ref="D230" si="279">100*((B230/B229)-1)</f>
        <v>0</v>
      </c>
      <c r="E230" s="1036">
        <f t="shared" ref="E230" si="280">100*((B230/$B$220)-1)</f>
        <v>4.5000000000000151</v>
      </c>
      <c r="F230" s="1037">
        <f t="shared" ref="F230" si="281">100*((B230/B218)-1)</f>
        <v>4.5000000000000151</v>
      </c>
      <c r="G230" s="1038">
        <f t="shared" ref="G230" si="282">100*(B230/B206-1)</f>
        <v>8.8665238928044019</v>
      </c>
      <c r="H230" s="861">
        <f t="shared" si="157"/>
        <v>1.0828762940856</v>
      </c>
    </row>
    <row r="231" spans="1:8">
      <c r="A231" s="1032" t="str">
        <f>Lavtq!A300</f>
        <v>NOVEMBRO|18</v>
      </c>
      <c r="B231" s="918">
        <f>geral!O1477</f>
        <v>225.37564323999999</v>
      </c>
      <c r="C231" s="918">
        <f t="shared" ref="C231" si="283">100*B231/$B$8</f>
        <v>369.46826760655733</v>
      </c>
      <c r="D231" s="1036">
        <f t="shared" ref="D231" si="284">100*((B231/B230)-1)</f>
        <v>0</v>
      </c>
      <c r="E231" s="1036">
        <f t="shared" ref="E231" si="285">100*((B231/$B$220)-1)</f>
        <v>4.5000000000000151</v>
      </c>
      <c r="F231" s="1037">
        <f t="shared" ref="F231" si="286">100*((B231/B219)-1)</f>
        <v>4.5000000000000151</v>
      </c>
      <c r="G231" s="1038">
        <f t="shared" ref="G231" si="287">100*(B231/B207-1)</f>
        <v>8.8665238928044019</v>
      </c>
      <c r="H231" s="861">
        <f t="shared" si="157"/>
        <v>1.0828762940856</v>
      </c>
    </row>
    <row r="232" spans="1:8">
      <c r="A232" s="1032" t="str">
        <f>Lavtq!A301</f>
        <v>DEZEMBRO|18</v>
      </c>
      <c r="B232" s="918">
        <f>geral!O1478</f>
        <v>225.37564323999999</v>
      </c>
      <c r="C232" s="918">
        <f t="shared" ref="C232" si="288">100*B232/$B$8</f>
        <v>369.46826760655733</v>
      </c>
      <c r="D232" s="1036">
        <f t="shared" ref="D232" si="289">100*((B232/B231)-1)</f>
        <v>0</v>
      </c>
      <c r="E232" s="1036">
        <f t="shared" ref="E232" si="290">100*((B232/$B$220)-1)</f>
        <v>4.5000000000000151</v>
      </c>
      <c r="F232" s="1037">
        <f t="shared" ref="F232" si="291">100*((B232/B220)-1)</f>
        <v>4.5000000000000151</v>
      </c>
      <c r="G232" s="1038">
        <f t="shared" ref="G232" si="292">100*(B232/B208-1)</f>
        <v>8.8665238928044019</v>
      </c>
      <c r="H232" s="861">
        <f t="shared" si="157"/>
        <v>1.0828762940856</v>
      </c>
    </row>
    <row r="233" spans="1:8">
      <c r="A233" s="1032" t="str">
        <f>Lavtq!A302</f>
        <v>JANEIRO|19</v>
      </c>
      <c r="B233" s="918">
        <f>geral!Q1467</f>
        <v>225.37564323999999</v>
      </c>
      <c r="C233" s="918">
        <f t="shared" ref="C233" si="293">100*B233/$B$8</f>
        <v>369.46826760655733</v>
      </c>
      <c r="D233" s="1036">
        <f t="shared" ref="D233" si="294">100*((B233/B232)-1)</f>
        <v>0</v>
      </c>
      <c r="E233" s="1036">
        <f t="shared" ref="E233:E238" si="295">100*((B233/$B$232)-1)</f>
        <v>0</v>
      </c>
      <c r="F233" s="1037">
        <f t="shared" ref="F233" si="296">100*((B233/B221)-1)</f>
        <v>4.5000000000000151</v>
      </c>
      <c r="G233" s="1038">
        <f t="shared" ref="G233" si="297">100*(B233/B209-1)</f>
        <v>8.8665238928044019</v>
      </c>
      <c r="H233" s="861">
        <f t="shared" si="157"/>
        <v>1.0828762940856</v>
      </c>
    </row>
    <row r="234" spans="1:8">
      <c r="A234" s="1032" t="str">
        <f>Lavtq!A303</f>
        <v>FEVEREIRO|19</v>
      </c>
      <c r="B234" s="918">
        <f>geral!Q1468</f>
        <v>225.37564323999999</v>
      </c>
      <c r="C234" s="918">
        <f t="shared" ref="C234" si="298">100*B234/$B$8</f>
        <v>369.46826760655733</v>
      </c>
      <c r="D234" s="1036">
        <f t="shared" ref="D234" si="299">100*((B234/B233)-1)</f>
        <v>0</v>
      </c>
      <c r="E234" s="1036">
        <f t="shared" si="295"/>
        <v>0</v>
      </c>
      <c r="F234" s="1037">
        <f t="shared" ref="F234" si="300">100*((B234/B222)-1)</f>
        <v>4.5000000000000151</v>
      </c>
      <c r="G234" s="1038">
        <f t="shared" ref="G234" si="301">100*(B234/B210-1)</f>
        <v>8.8665238928044019</v>
      </c>
      <c r="H234" s="861">
        <f t="shared" si="157"/>
        <v>1.0828762940856</v>
      </c>
    </row>
    <row r="235" spans="1:8">
      <c r="A235" s="1032" t="str">
        <f>Lavtq!A304</f>
        <v>MARÇO|19</v>
      </c>
      <c r="B235" s="918">
        <f>geral!Q1469</f>
        <v>225.37564323999999</v>
      </c>
      <c r="C235" s="918">
        <f t="shared" ref="C235" si="302">100*B235/$B$8</f>
        <v>369.46826760655733</v>
      </c>
      <c r="D235" s="1036">
        <f t="shared" ref="D235" si="303">100*((B235/B234)-1)</f>
        <v>0</v>
      </c>
      <c r="E235" s="1036">
        <f t="shared" si="295"/>
        <v>0</v>
      </c>
      <c r="F235" s="1037">
        <f t="shared" ref="F235" si="304">100*((B235/B223)-1)</f>
        <v>4.5000000000000151</v>
      </c>
      <c r="G235" s="1038">
        <f t="shared" ref="G235" si="305">100*(B235/B211-1)</f>
        <v>8.8665238928044019</v>
      </c>
      <c r="H235" s="861">
        <f t="shared" si="157"/>
        <v>1.0828762940856</v>
      </c>
    </row>
    <row r="236" spans="1:8">
      <c r="A236" s="1032" t="str">
        <f>Lavtq!A305</f>
        <v>ABRIL|19</v>
      </c>
      <c r="B236" s="918">
        <f>geral!Q1470</f>
        <v>225.37564323999999</v>
      </c>
      <c r="C236" s="918">
        <f t="shared" ref="C236" si="306">100*B236/$B$8</f>
        <v>369.46826760655733</v>
      </c>
      <c r="D236" s="1036">
        <f t="shared" ref="D236" si="307">100*((B236/B235)-1)</f>
        <v>0</v>
      </c>
      <c r="E236" s="1036">
        <f t="shared" si="295"/>
        <v>0</v>
      </c>
      <c r="F236" s="1037">
        <f t="shared" ref="F236" si="308">100*((B236/B224)-1)</f>
        <v>4.5000000000000151</v>
      </c>
      <c r="G236" s="1038">
        <f t="shared" ref="G236" si="309">100*(B236/B212-1)</f>
        <v>8.8665238928044019</v>
      </c>
      <c r="H236" s="861">
        <f t="shared" si="157"/>
        <v>1.0828762940856</v>
      </c>
    </row>
    <row r="237" spans="1:8">
      <c r="A237" s="1032" t="str">
        <f>Lavtq!A306</f>
        <v>MAIO|19</v>
      </c>
      <c r="B237" s="918">
        <f>geral!Q1471</f>
        <v>225.37564323999999</v>
      </c>
      <c r="C237" s="918">
        <f t="shared" ref="C237" si="310">100*B237/$B$8</f>
        <v>369.46826760655733</v>
      </c>
      <c r="D237" s="1036">
        <f t="shared" ref="D237" si="311">100*((B237/B236)-1)</f>
        <v>0</v>
      </c>
      <c r="E237" s="1036">
        <f t="shared" si="295"/>
        <v>0</v>
      </c>
      <c r="F237" s="1037">
        <f t="shared" ref="F237" si="312">100*((B237/B225)-1)</f>
        <v>4.5000000000000151</v>
      </c>
      <c r="G237" s="1038">
        <f t="shared" ref="G237" si="313">100*(B237/B213-1)</f>
        <v>8.8665238928044019</v>
      </c>
      <c r="H237" s="861">
        <f t="shared" si="157"/>
        <v>1.0828762940856</v>
      </c>
    </row>
    <row r="238" spans="1:8">
      <c r="A238" s="1032" t="str">
        <f>Lavtq!A307</f>
        <v>JUNHO|19</v>
      </c>
      <c r="B238" s="918">
        <f>geral!Q1472</f>
        <v>225.37564323999999</v>
      </c>
      <c r="C238" s="918">
        <f t="shared" ref="C238" si="314">100*B238/$B$8</f>
        <v>369.46826760655733</v>
      </c>
      <c r="D238" s="1036">
        <f t="shared" ref="D238" si="315">100*((B238/B237)-1)</f>
        <v>0</v>
      </c>
      <c r="E238" s="1036">
        <f t="shared" si="295"/>
        <v>0</v>
      </c>
      <c r="F238" s="1037">
        <f t="shared" ref="F238" si="316">100*((B238/B226)-1)</f>
        <v>0</v>
      </c>
      <c r="G238" s="1038">
        <f t="shared" ref="G238" si="317">100*(B238/B214-1)</f>
        <v>8.8665238928044019</v>
      </c>
      <c r="H238" s="861">
        <f t="shared" si="157"/>
        <v>1.0828762940856</v>
      </c>
    </row>
    <row r="239" spans="1:8">
      <c r="A239" s="1032" t="str">
        <f>Lavtq!A308</f>
        <v>JULHO|19</v>
      </c>
      <c r="B239" s="918">
        <f>geral!Q1473</f>
        <v>236.02283937794408</v>
      </c>
      <c r="C239" s="918">
        <f t="shared" ref="C239" si="318">100*B239/$B$8</f>
        <v>386.92268750482634</v>
      </c>
      <c r="D239" s="1036">
        <f t="shared" ref="D239" si="319">100*((B239/B238)-1)</f>
        <v>4.7242000000000006</v>
      </c>
      <c r="E239" s="1036">
        <f t="shared" ref="E239" si="320">100*((B239/$B$232)-1)</f>
        <v>4.7242000000000006</v>
      </c>
      <c r="F239" s="1037">
        <f t="shared" ref="F239" si="321">100*((B239/B227)-1)</f>
        <v>4.7242000000000006</v>
      </c>
      <c r="G239" s="1038">
        <f t="shared" ref="G239" si="322">100*(B239/B215-1)</f>
        <v>14.009596214548271</v>
      </c>
      <c r="H239" s="861">
        <f t="shared" si="157"/>
        <v>1.0340267999999999</v>
      </c>
    </row>
    <row r="240" spans="1:8">
      <c r="A240" s="1032" t="str">
        <f>Lavtq!A309</f>
        <v>AGOSTO|19</v>
      </c>
      <c r="B240" s="918">
        <f>geral!Q1474</f>
        <v>236.02283937794408</v>
      </c>
      <c r="C240" s="918">
        <f t="shared" ref="C240" si="323">100*B240/$B$8</f>
        <v>386.92268750482634</v>
      </c>
      <c r="D240" s="1036">
        <f t="shared" ref="D240" si="324">100*((B240/B239)-1)</f>
        <v>0</v>
      </c>
      <c r="E240" s="1036">
        <f t="shared" ref="E240" si="325">100*((B240/$B$232)-1)</f>
        <v>4.7242000000000006</v>
      </c>
      <c r="F240" s="1037">
        <f t="shared" ref="F240" si="326">100*((B240/B228)-1)</f>
        <v>4.7242000000000006</v>
      </c>
      <c r="G240" s="1038">
        <f t="shared" ref="G240" si="327">100*(B240/B216-1)</f>
        <v>9.4367890000000223</v>
      </c>
      <c r="H240" s="861">
        <f t="shared" si="157"/>
        <v>1.0340267999999999</v>
      </c>
    </row>
    <row r="241" spans="1:8">
      <c r="A241" s="1032" t="str">
        <f>Lavtq!A310</f>
        <v>SETEMBRO|19</v>
      </c>
      <c r="B241" s="918">
        <f>geral!Q1475</f>
        <v>236.02283937794408</v>
      </c>
      <c r="C241" s="918">
        <f t="shared" ref="C241" si="328">100*B241/$B$8</f>
        <v>386.92268750482634</v>
      </c>
      <c r="D241" s="1036">
        <f t="shared" ref="D241" si="329">100*((B241/B240)-1)</f>
        <v>0</v>
      </c>
      <c r="E241" s="1036">
        <f t="shared" ref="E241" si="330">100*((B241/$B$232)-1)</f>
        <v>4.7242000000000006</v>
      </c>
      <c r="F241" s="1037">
        <f t="shared" ref="F241" si="331">100*((B241/B229)-1)</f>
        <v>4.7242000000000006</v>
      </c>
      <c r="G241" s="1038">
        <f t="shared" ref="G241" si="332">100*(B241/B217-1)</f>
        <v>9.4367890000000223</v>
      </c>
      <c r="H241" s="861">
        <f t="shared" si="157"/>
        <v>1.0340267999999999</v>
      </c>
    </row>
    <row r="242" spans="1:8">
      <c r="A242" s="1032" t="str">
        <f>Lavtq!A311</f>
        <v>OUTUBRO|19</v>
      </c>
      <c r="B242" s="918">
        <f>geral!Q1476</f>
        <v>236.02283937794408</v>
      </c>
      <c r="C242" s="918">
        <f t="shared" ref="C242" si="333">100*B242/$B$8</f>
        <v>386.92268750482634</v>
      </c>
      <c r="D242" s="1036">
        <f t="shared" ref="D242" si="334">100*((B242/B241)-1)</f>
        <v>0</v>
      </c>
      <c r="E242" s="1036">
        <f t="shared" ref="E242" si="335">100*((B242/$B$232)-1)</f>
        <v>4.7242000000000006</v>
      </c>
      <c r="F242" s="1037">
        <f t="shared" ref="F242" si="336">100*((B242/B230)-1)</f>
        <v>4.7242000000000006</v>
      </c>
      <c r="G242" s="1038">
        <f t="shared" ref="G242" si="337">100*(B242/B218-1)</f>
        <v>9.4367890000000223</v>
      </c>
      <c r="H242" s="861">
        <f t="shared" si="157"/>
        <v>1.0340267999999999</v>
      </c>
    </row>
    <row r="243" spans="1:8">
      <c r="A243" s="1032" t="str">
        <f>Lavtq!A312</f>
        <v>NOVEMBRO|19</v>
      </c>
      <c r="B243" s="918">
        <f>geral!Q1477</f>
        <v>236.02283937794408</v>
      </c>
      <c r="C243" s="918">
        <f t="shared" ref="C243" si="338">100*B243/$B$8</f>
        <v>386.92268750482634</v>
      </c>
      <c r="D243" s="1036">
        <f t="shared" ref="D243" si="339">100*((B243/B242)-1)</f>
        <v>0</v>
      </c>
      <c r="E243" s="1036">
        <f t="shared" ref="E243" si="340">100*((B243/$B$232)-1)</f>
        <v>4.7242000000000006</v>
      </c>
      <c r="F243" s="1037">
        <f t="shared" ref="F243" si="341">100*((B243/B231)-1)</f>
        <v>4.7242000000000006</v>
      </c>
      <c r="G243" s="1038">
        <f t="shared" ref="G243" si="342">100*(B243/B219-1)</f>
        <v>9.4367890000000223</v>
      </c>
      <c r="H243" s="861">
        <f t="shared" si="157"/>
        <v>1.0340267999999999</v>
      </c>
    </row>
    <row r="244" spans="1:8">
      <c r="A244" s="1032" t="str">
        <f>Lavtq!A313</f>
        <v>DEZEMBRO|19</v>
      </c>
      <c r="B244" s="918">
        <f>geral!Q1478</f>
        <v>236.02283937794408</v>
      </c>
      <c r="C244" s="918">
        <f t="shared" ref="C244" si="343">100*B244/$B$8</f>
        <v>386.92268750482634</v>
      </c>
      <c r="D244" s="1036">
        <f t="shared" ref="D244" si="344">100*((B244/B243)-1)</f>
        <v>0</v>
      </c>
      <c r="E244" s="1036">
        <f t="shared" ref="E244" si="345">100*((B244/$B$232)-1)</f>
        <v>4.7242000000000006</v>
      </c>
      <c r="F244" s="1037">
        <f t="shared" ref="F244" si="346">100*((B244/B232)-1)</f>
        <v>4.7242000000000006</v>
      </c>
      <c r="G244" s="1038">
        <f t="shared" ref="G244" si="347">100*(B244/B220-1)</f>
        <v>9.4367890000000223</v>
      </c>
      <c r="H244" s="861">
        <f t="shared" si="157"/>
        <v>1.0340267999999999</v>
      </c>
    </row>
    <row r="245" spans="1:8">
      <c r="A245" s="1032" t="str">
        <f>Lavtq!A314</f>
        <v>JANEIRO|20</v>
      </c>
      <c r="B245" s="918">
        <f>geral!S1467</f>
        <v>236.02283937794408</v>
      </c>
      <c r="C245" s="918">
        <f t="shared" ref="C245" si="348">100*B245/$B$8</f>
        <v>386.92268750482634</v>
      </c>
      <c r="D245" s="1036">
        <f t="shared" ref="D245" si="349">100*((B245/B244)-1)</f>
        <v>0</v>
      </c>
      <c r="E245" s="1036">
        <f t="shared" ref="E245:E250" si="350">100*((B245/$B$244)-1)</f>
        <v>0</v>
      </c>
      <c r="F245" s="1037">
        <f t="shared" ref="F245" si="351">100*((B245/B233)-1)</f>
        <v>4.7242000000000006</v>
      </c>
      <c r="G245" s="1038">
        <f t="shared" ref="G245" si="352">100*(B245/B221-1)</f>
        <v>9.4367890000000223</v>
      </c>
      <c r="H245" s="861">
        <f t="shared" si="157"/>
        <v>1.0340267999999999</v>
      </c>
    </row>
    <row r="246" spans="1:8">
      <c r="A246" s="1032" t="str">
        <f>Lavtq!A315</f>
        <v>FEVEREIRO|20</v>
      </c>
      <c r="B246" s="918">
        <f>geral!S1468</f>
        <v>236.02283937794408</v>
      </c>
      <c r="C246" s="918">
        <f t="shared" ref="C246" si="353">100*B246/$B$8</f>
        <v>386.92268750482634</v>
      </c>
      <c r="D246" s="1036">
        <f t="shared" ref="D246" si="354">100*((B246/B245)-1)</f>
        <v>0</v>
      </c>
      <c r="E246" s="1036">
        <f t="shared" si="350"/>
        <v>0</v>
      </c>
      <c r="F246" s="1037">
        <f t="shared" ref="F246" si="355">100*((B246/B234)-1)</f>
        <v>4.7242000000000006</v>
      </c>
      <c r="G246" s="1038">
        <f t="shared" ref="G246" si="356">100*(B246/B222-1)</f>
        <v>9.4367890000000223</v>
      </c>
      <c r="H246" s="861">
        <f t="shared" si="157"/>
        <v>1.0340267999999999</v>
      </c>
    </row>
    <row r="247" spans="1:8">
      <c r="A247" s="1032" t="str">
        <f>Lavtq!A316</f>
        <v>MARÇO|20</v>
      </c>
      <c r="B247" s="918">
        <f>geral!S1469</f>
        <v>236.02283937794408</v>
      </c>
      <c r="C247" s="918">
        <f t="shared" ref="C247" si="357">100*B247/$B$8</f>
        <v>386.92268750482634</v>
      </c>
      <c r="D247" s="1036">
        <f t="shared" ref="D247" si="358">100*((B247/B246)-1)</f>
        <v>0</v>
      </c>
      <c r="E247" s="1036">
        <f t="shared" si="350"/>
        <v>0</v>
      </c>
      <c r="F247" s="1037">
        <f t="shared" ref="F247" si="359">100*((B247/B235)-1)</f>
        <v>4.7242000000000006</v>
      </c>
      <c r="G247" s="1038">
        <f t="shared" ref="G247" si="360">100*(B247/B223-1)</f>
        <v>9.4367890000000223</v>
      </c>
      <c r="H247" s="861">
        <f t="shared" si="157"/>
        <v>1.0340267999999999</v>
      </c>
    </row>
    <row r="248" spans="1:8">
      <c r="A248" s="1032" t="str">
        <f>Lavtq!A317</f>
        <v>ABRIL|20</v>
      </c>
      <c r="B248" s="918">
        <f>geral!S1470</f>
        <v>236.02283937794408</v>
      </c>
      <c r="C248" s="918">
        <f t="shared" ref="C248" si="361">100*B248/$B$8</f>
        <v>386.92268750482634</v>
      </c>
      <c r="D248" s="1036">
        <f t="shared" ref="D248" si="362">100*((B248/B247)-1)</f>
        <v>0</v>
      </c>
      <c r="E248" s="1036">
        <f t="shared" si="350"/>
        <v>0</v>
      </c>
      <c r="F248" s="1037">
        <f t="shared" ref="F248" si="363">100*((B248/B236)-1)</f>
        <v>4.7242000000000006</v>
      </c>
      <c r="G248" s="1038">
        <f t="shared" ref="G248" si="364">100*(B248/B224-1)</f>
        <v>9.4367890000000223</v>
      </c>
      <c r="H248" s="861">
        <f t="shared" si="157"/>
        <v>1.0340267999999999</v>
      </c>
    </row>
    <row r="249" spans="1:8">
      <c r="A249" s="1032" t="str">
        <f>Lavtq!A318</f>
        <v>MAIO|20</v>
      </c>
      <c r="B249" s="918">
        <f>geral!S1471</f>
        <v>236.02283937794408</v>
      </c>
      <c r="C249" s="918">
        <f t="shared" ref="C249" si="365">100*B249/$B$8</f>
        <v>386.92268750482634</v>
      </c>
      <c r="D249" s="1036">
        <f t="shared" ref="D249" si="366">100*((B249/B248)-1)</f>
        <v>0</v>
      </c>
      <c r="E249" s="1036">
        <f t="shared" si="350"/>
        <v>0</v>
      </c>
      <c r="F249" s="1037">
        <f t="shared" ref="F249" si="367">100*((B249/B237)-1)</f>
        <v>4.7242000000000006</v>
      </c>
      <c r="G249" s="1038">
        <f t="shared" ref="G249" si="368">100*(B249/B225-1)</f>
        <v>9.4367890000000223</v>
      </c>
      <c r="H249" s="861">
        <f t="shared" si="157"/>
        <v>1.0340267999999999</v>
      </c>
    </row>
    <row r="250" spans="1:8">
      <c r="A250" s="1032" t="str">
        <f>Lavtq!A319</f>
        <v>JUNHO|20</v>
      </c>
      <c r="B250" s="918">
        <f>geral!S1472</f>
        <v>236.02283937794408</v>
      </c>
      <c r="C250" s="918">
        <f t="shared" ref="C250" si="369">100*B250/$B$8</f>
        <v>386.92268750482634</v>
      </c>
      <c r="D250" s="1036">
        <f t="shared" ref="D250" si="370">100*((B250/B249)-1)</f>
        <v>0</v>
      </c>
      <c r="E250" s="1036">
        <f t="shared" si="350"/>
        <v>0</v>
      </c>
      <c r="F250" s="1037">
        <f t="shared" ref="F250" si="371">100*((B250/B238)-1)</f>
        <v>4.7242000000000006</v>
      </c>
      <c r="G250" s="1038">
        <f t="shared" ref="G250" si="372">100*(B250/B226-1)</f>
        <v>4.7242000000000006</v>
      </c>
      <c r="H250" s="861">
        <f t="shared" si="157"/>
        <v>1.0340267999999999</v>
      </c>
    </row>
    <row r="251" spans="1:8">
      <c r="A251" s="1032" t="str">
        <f>Lavtq!A320</f>
        <v>JULHO|20</v>
      </c>
      <c r="B251" s="918">
        <f>geral!S1473</f>
        <v>236.02283937794408</v>
      </c>
      <c r="C251" s="918">
        <f t="shared" ref="C251" si="373">100*B251/$B$8</f>
        <v>386.92268750482634</v>
      </c>
      <c r="D251" s="1036">
        <f t="shared" ref="D251" si="374">100*((B251/B250)-1)</f>
        <v>0</v>
      </c>
      <c r="E251" s="1036">
        <f t="shared" ref="E251" si="375">100*((B251/$B$244)-1)</f>
        <v>0</v>
      </c>
      <c r="F251" s="1037">
        <f t="shared" ref="F251" si="376">100*((B251/B239)-1)</f>
        <v>0</v>
      </c>
      <c r="G251" s="1038">
        <f t="shared" ref="G251" si="377">100*(B251/B227-1)</f>
        <v>4.7242000000000006</v>
      </c>
      <c r="H251" s="861">
        <f t="shared" si="157"/>
        <v>1.0340267999999999</v>
      </c>
    </row>
    <row r="252" spans="1:8">
      <c r="A252" s="1032" t="str">
        <f>Lavtq!A321</f>
        <v>AGOSTO|20</v>
      </c>
      <c r="B252" s="918">
        <f>geral!S1474</f>
        <v>236.02283937794408</v>
      </c>
      <c r="C252" s="918">
        <f t="shared" ref="C252" si="378">100*B252/$B$8</f>
        <v>386.92268750482634</v>
      </c>
      <c r="D252" s="1036">
        <f t="shared" ref="D252" si="379">100*((B252/B251)-1)</f>
        <v>0</v>
      </c>
      <c r="E252" s="1036">
        <f t="shared" ref="E252" si="380">100*((B252/$B$244)-1)</f>
        <v>0</v>
      </c>
      <c r="F252" s="1037">
        <f t="shared" ref="F252" si="381">100*((B252/B240)-1)</f>
        <v>0</v>
      </c>
      <c r="G252" s="1038">
        <f t="shared" ref="G252" si="382">100*(B252/B228-1)</f>
        <v>4.7242000000000006</v>
      </c>
      <c r="H252" s="926">
        <f t="shared" si="157"/>
        <v>1.0340267999999999</v>
      </c>
    </row>
    <row r="253" spans="1:8" ht="16.5" thickBot="1">
      <c r="A253" s="1046" t="str">
        <f>Lavtq!A322</f>
        <v>SETEMBRO|20</v>
      </c>
      <c r="B253" s="1047">
        <f>geral!S1475</f>
        <v>244.05394132888949</v>
      </c>
      <c r="C253" s="1047">
        <f t="shared" ref="C253" si="383">100*B253/$B$8</f>
        <v>400.08842840801555</v>
      </c>
      <c r="D253" s="1048">
        <f t="shared" ref="D253" si="384">100*((B253/B252)-1)</f>
        <v>3.4026799999999913</v>
      </c>
      <c r="E253" s="1048">
        <f t="shared" ref="E253" si="385">100*((B253/$B$244)-1)</f>
        <v>3.4026799999999913</v>
      </c>
      <c r="F253" s="1051">
        <f t="shared" ref="F253" si="386">100*((B253/B241)-1)</f>
        <v>3.4026799999999913</v>
      </c>
      <c r="G253" s="1052">
        <f t="shared" ref="G253" si="387">100*(B253/B229-1)</f>
        <v>8.2876294085600044</v>
      </c>
      <c r="H253" s="1053">
        <f t="shared" si="157"/>
        <v>1</v>
      </c>
    </row>
    <row r="254" spans="1:8">
      <c r="A254" s="758" t="s">
        <v>238</v>
      </c>
      <c r="B254" s="728"/>
      <c r="C254" s="728"/>
      <c r="D254" s="762"/>
      <c r="E254" s="762"/>
      <c r="F254" s="776"/>
      <c r="G254" s="763"/>
      <c r="H254" s="777"/>
    </row>
    <row r="255" spans="1:8">
      <c r="B255" s="728"/>
      <c r="C255" s="728"/>
      <c r="D255" s="762"/>
      <c r="E255" s="762"/>
      <c r="F255" s="776"/>
      <c r="G255" s="763"/>
      <c r="H255" s="777"/>
    </row>
    <row r="256" spans="1:8">
      <c r="A256" s="733"/>
      <c r="B256" s="728"/>
      <c r="C256" s="728"/>
      <c r="D256" s="762"/>
      <c r="E256" s="762"/>
      <c r="F256" s="776"/>
      <c r="G256" s="763"/>
      <c r="H256" s="777"/>
    </row>
    <row r="257" spans="1:8">
      <c r="A257" s="733"/>
      <c r="B257" s="728"/>
      <c r="C257" s="728"/>
      <c r="D257" s="762"/>
      <c r="E257" s="762"/>
      <c r="F257" s="776"/>
      <c r="G257" s="763"/>
      <c r="H257" s="777"/>
    </row>
    <row r="258" spans="1:8">
      <c r="A258" s="733"/>
      <c r="B258" s="728"/>
      <c r="C258" s="728"/>
      <c r="D258" s="762"/>
      <c r="E258" s="762"/>
      <c r="F258" s="776"/>
      <c r="G258" s="763"/>
      <c r="H258" s="777"/>
    </row>
    <row r="259" spans="1:8">
      <c r="A259" s="733"/>
      <c r="B259" s="728"/>
      <c r="C259" s="728"/>
      <c r="D259" s="762"/>
      <c r="E259" s="762"/>
      <c r="F259" s="776"/>
      <c r="G259" s="763"/>
      <c r="H259" s="777"/>
    </row>
    <row r="260" spans="1:8">
      <c r="A260" s="733"/>
      <c r="B260" s="728"/>
      <c r="C260" s="728"/>
      <c r="D260" s="762"/>
      <c r="E260" s="762"/>
      <c r="F260" s="776"/>
      <c r="G260" s="763"/>
      <c r="H260" s="777"/>
    </row>
    <row r="261" spans="1:8">
      <c r="A261" s="733"/>
      <c r="B261" s="728"/>
      <c r="C261" s="728"/>
      <c r="D261" s="762"/>
      <c r="E261" s="762"/>
      <c r="F261" s="776"/>
      <c r="G261" s="763"/>
      <c r="H261" s="777"/>
    </row>
    <row r="262" spans="1:8">
      <c r="A262" s="733"/>
      <c r="B262" s="728"/>
      <c r="C262" s="728"/>
      <c r="D262" s="762"/>
      <c r="E262" s="762"/>
      <c r="F262" s="776"/>
      <c r="G262" s="763"/>
      <c r="H262" s="777"/>
    </row>
    <row r="263" spans="1:8">
      <c r="A263" s="733"/>
      <c r="B263" s="728"/>
      <c r="C263" s="728"/>
      <c r="D263" s="762"/>
      <c r="E263" s="762"/>
      <c r="F263" s="776"/>
      <c r="G263" s="763"/>
      <c r="H263" s="777"/>
    </row>
    <row r="264" spans="1:8">
      <c r="A264" s="733"/>
      <c r="B264" s="728"/>
      <c r="C264" s="728"/>
      <c r="D264" s="762"/>
      <c r="E264" s="762"/>
      <c r="F264" s="776"/>
      <c r="G264" s="763"/>
      <c r="H264" s="777"/>
    </row>
    <row r="265" spans="1:8">
      <c r="A265" s="733"/>
      <c r="B265" s="728"/>
      <c r="C265" s="728"/>
      <c r="D265" s="762"/>
      <c r="E265" s="762"/>
      <c r="F265" s="776"/>
      <c r="G265" s="763"/>
      <c r="H265" s="777"/>
    </row>
    <row r="266" spans="1:8">
      <c r="A266" s="733"/>
      <c r="B266" s="728"/>
      <c r="C266" s="728"/>
      <c r="D266" s="762"/>
      <c r="E266" s="762"/>
      <c r="F266" s="776"/>
      <c r="G266" s="763"/>
      <c r="H266" s="777"/>
    </row>
    <row r="267" spans="1:8">
      <c r="A267" s="733"/>
      <c r="B267" s="728"/>
      <c r="C267" s="728"/>
      <c r="D267" s="762"/>
      <c r="E267" s="762"/>
      <c r="F267" s="776"/>
      <c r="G267" s="763"/>
      <c r="H267" s="777"/>
    </row>
    <row r="268" spans="1:8">
      <c r="A268" s="733"/>
      <c r="B268" s="728"/>
      <c r="C268" s="728"/>
      <c r="D268" s="762"/>
      <c r="E268" s="762"/>
      <c r="F268" s="776"/>
      <c r="G268" s="763"/>
      <c r="H268" s="777"/>
    </row>
    <row r="269" spans="1:8">
      <c r="A269" s="733"/>
      <c r="B269" s="728"/>
      <c r="C269" s="728"/>
      <c r="D269" s="762"/>
      <c r="E269" s="762"/>
      <c r="F269" s="776"/>
      <c r="G269" s="763"/>
      <c r="H269" s="777"/>
    </row>
    <row r="270" spans="1:8">
      <c r="A270" s="733"/>
      <c r="B270" s="728"/>
      <c r="C270" s="728"/>
      <c r="D270" s="762"/>
      <c r="E270" s="762"/>
      <c r="F270" s="776"/>
      <c r="G270" s="763"/>
      <c r="H270" s="777"/>
    </row>
    <row r="271" spans="1:8">
      <c r="A271" s="733"/>
      <c r="B271" s="728"/>
      <c r="C271" s="728"/>
      <c r="D271" s="762"/>
      <c r="E271" s="762"/>
      <c r="F271" s="776"/>
      <c r="G271" s="763"/>
      <c r="H271" s="777"/>
    </row>
    <row r="272" spans="1:8">
      <c r="A272" s="733"/>
      <c r="B272" s="728"/>
      <c r="C272" s="728"/>
      <c r="D272" s="762"/>
      <c r="E272" s="762"/>
      <c r="F272" s="776"/>
      <c r="G272" s="763"/>
      <c r="H272" s="777"/>
    </row>
    <row r="273" spans="1:8">
      <c r="A273" s="733"/>
      <c r="B273" s="728"/>
      <c r="C273" s="728"/>
      <c r="D273" s="762"/>
      <c r="E273" s="762"/>
      <c r="F273" s="776"/>
      <c r="G273" s="763"/>
      <c r="H273" s="777"/>
    </row>
    <row r="274" spans="1:8">
      <c r="A274" s="733"/>
      <c r="B274" s="728"/>
      <c r="C274" s="728"/>
      <c r="D274" s="762"/>
      <c r="E274" s="762"/>
      <c r="F274" s="776"/>
      <c r="G274" s="763"/>
      <c r="H274" s="777"/>
    </row>
    <row r="275" spans="1:8">
      <c r="A275" s="733"/>
      <c r="B275" s="728"/>
      <c r="C275" s="728"/>
      <c r="D275" s="762"/>
      <c r="E275" s="762"/>
      <c r="F275" s="776"/>
      <c r="G275" s="763"/>
      <c r="H275" s="777"/>
    </row>
    <row r="276" spans="1:8">
      <c r="A276" s="733"/>
      <c r="B276" s="728"/>
      <c r="C276" s="728"/>
      <c r="D276" s="762"/>
      <c r="E276" s="762"/>
      <c r="F276" s="776"/>
      <c r="G276" s="763"/>
      <c r="H276" s="777"/>
    </row>
    <row r="277" spans="1:8">
      <c r="A277" s="733"/>
      <c r="B277" s="728"/>
      <c r="C277" s="728"/>
      <c r="D277" s="762"/>
      <c r="E277" s="762"/>
      <c r="F277" s="776"/>
      <c r="G277" s="763"/>
      <c r="H277" s="777"/>
    </row>
    <row r="278" spans="1:8">
      <c r="A278" s="733"/>
      <c r="B278" s="728"/>
      <c r="C278" s="728"/>
      <c r="D278" s="762"/>
      <c r="E278" s="762"/>
      <c r="F278" s="776"/>
      <c r="G278" s="763"/>
      <c r="H278" s="777"/>
    </row>
    <row r="279" spans="1:8">
      <c r="A279" s="733"/>
      <c r="B279" s="728"/>
      <c r="C279" s="728"/>
      <c r="D279" s="762"/>
      <c r="E279" s="762"/>
      <c r="F279" s="776"/>
      <c r="G279" s="763"/>
      <c r="H279" s="777"/>
    </row>
    <row r="280" spans="1:8">
      <c r="A280" s="733"/>
      <c r="B280" s="728"/>
      <c r="C280" s="728"/>
      <c r="D280" s="762"/>
      <c r="E280" s="762"/>
      <c r="F280" s="776"/>
      <c r="G280" s="763"/>
      <c r="H280" s="777"/>
    </row>
    <row r="281" spans="1:8">
      <c r="A281" s="733"/>
      <c r="B281" s="728"/>
      <c r="C281" s="728"/>
      <c r="D281" s="762"/>
      <c r="E281" s="762"/>
      <c r="F281" s="776"/>
      <c r="G281" s="763"/>
      <c r="H281" s="777"/>
    </row>
    <row r="282" spans="1:8">
      <c r="A282" s="733"/>
      <c r="B282" s="728"/>
      <c r="C282" s="728"/>
      <c r="D282" s="762"/>
      <c r="E282" s="762"/>
      <c r="F282" s="776"/>
      <c r="G282" s="763"/>
      <c r="H282" s="777"/>
    </row>
    <row r="283" spans="1:8">
      <c r="A283" s="733"/>
      <c r="B283" s="728"/>
      <c r="C283" s="728"/>
      <c r="D283" s="762"/>
      <c r="E283" s="762"/>
      <c r="F283" s="776"/>
      <c r="G283" s="763"/>
      <c r="H283" s="777"/>
    </row>
    <row r="284" spans="1:8">
      <c r="A284" s="733"/>
      <c r="B284" s="728"/>
      <c r="C284" s="728"/>
      <c r="D284" s="762"/>
      <c r="E284" s="762"/>
      <c r="F284" s="776"/>
      <c r="G284" s="763"/>
      <c r="H284" s="777"/>
    </row>
    <row r="285" spans="1:8">
      <c r="A285" s="733"/>
      <c r="B285" s="728"/>
      <c r="C285" s="728"/>
      <c r="D285" s="762"/>
      <c r="E285" s="762"/>
      <c r="F285" s="776"/>
      <c r="G285" s="763"/>
      <c r="H285" s="777"/>
    </row>
    <row r="286" spans="1:8">
      <c r="A286" s="733"/>
      <c r="B286" s="728"/>
      <c r="C286" s="728"/>
      <c r="D286" s="762"/>
      <c r="E286" s="762"/>
      <c r="F286" s="776"/>
      <c r="G286" s="763"/>
      <c r="H286" s="777"/>
    </row>
    <row r="287" spans="1:8">
      <c r="A287" s="733"/>
      <c r="B287" s="728"/>
      <c r="C287" s="728"/>
      <c r="D287" s="762"/>
      <c r="E287" s="762"/>
      <c r="F287" s="776"/>
      <c r="G287" s="763"/>
      <c r="H287" s="777"/>
    </row>
    <row r="288" spans="1:8">
      <c r="A288" s="733"/>
      <c r="B288" s="728"/>
      <c r="C288" s="728"/>
      <c r="D288" s="762"/>
      <c r="E288" s="762"/>
      <c r="F288" s="776"/>
      <c r="G288" s="763"/>
      <c r="H288" s="777"/>
    </row>
    <row r="289" spans="1:8">
      <c r="A289" s="733"/>
      <c r="B289" s="728"/>
      <c r="C289" s="728"/>
      <c r="D289" s="762"/>
      <c r="E289" s="762"/>
      <c r="F289" s="776"/>
      <c r="G289" s="763"/>
      <c r="H289" s="777"/>
    </row>
    <row r="290" spans="1:8">
      <c r="A290" s="733"/>
      <c r="B290" s="728"/>
      <c r="C290" s="728"/>
      <c r="D290" s="762"/>
      <c r="E290" s="762"/>
      <c r="F290" s="776"/>
      <c r="G290" s="763"/>
      <c r="H290" s="777"/>
    </row>
    <row r="291" spans="1:8">
      <c r="A291" s="733"/>
      <c r="B291" s="728"/>
      <c r="C291" s="728"/>
      <c r="D291" s="762"/>
      <c r="E291" s="762"/>
      <c r="F291" s="776"/>
      <c r="G291" s="763"/>
      <c r="H291" s="777"/>
    </row>
    <row r="292" spans="1:8">
      <c r="A292" s="733"/>
      <c r="B292" s="728"/>
      <c r="C292" s="728"/>
      <c r="D292" s="762"/>
      <c r="E292" s="762"/>
      <c r="F292" s="776"/>
      <c r="G292" s="763"/>
      <c r="H292" s="777"/>
    </row>
    <row r="293" spans="1:8">
      <c r="A293" s="733"/>
      <c r="B293" s="728"/>
      <c r="C293" s="728"/>
      <c r="D293" s="762"/>
      <c r="E293" s="762"/>
      <c r="F293" s="776"/>
      <c r="G293" s="763"/>
      <c r="H293" s="777"/>
    </row>
    <row r="294" spans="1:8">
      <c r="A294" s="733"/>
      <c r="B294" s="728"/>
      <c r="C294" s="728"/>
      <c r="D294" s="762"/>
      <c r="E294" s="762"/>
      <c r="F294" s="776"/>
      <c r="G294" s="763"/>
      <c r="H294" s="777"/>
    </row>
    <row r="295" spans="1:8">
      <c r="A295" s="733"/>
      <c r="B295" s="728"/>
      <c r="C295" s="728"/>
      <c r="D295" s="762"/>
      <c r="E295" s="762"/>
      <c r="F295" s="776"/>
      <c r="G295" s="763"/>
      <c r="H295" s="777"/>
    </row>
    <row r="296" spans="1:8">
      <c r="A296" s="733"/>
      <c r="B296" s="728"/>
      <c r="C296" s="728"/>
      <c r="D296" s="762"/>
      <c r="E296" s="762"/>
      <c r="F296" s="776"/>
      <c r="G296" s="763"/>
      <c r="H296" s="777"/>
    </row>
    <row r="297" spans="1:8">
      <c r="A297" s="733"/>
      <c r="B297" s="728"/>
      <c r="C297" s="728"/>
      <c r="D297" s="762"/>
      <c r="E297" s="762"/>
      <c r="F297" s="776"/>
      <c r="G297" s="763"/>
      <c r="H297" s="777"/>
    </row>
    <row r="298" spans="1:8">
      <c r="A298" s="733"/>
      <c r="B298" s="728"/>
      <c r="C298" s="728"/>
      <c r="D298" s="762"/>
      <c r="E298" s="762"/>
      <c r="F298" s="776"/>
      <c r="G298" s="763"/>
      <c r="H298" s="777"/>
    </row>
    <row r="299" spans="1:8">
      <c r="A299" s="733"/>
      <c r="B299" s="728"/>
      <c r="C299" s="728"/>
      <c r="D299" s="762"/>
      <c r="E299" s="762"/>
      <c r="F299" s="776"/>
      <c r="G299" s="763"/>
      <c r="H299" s="777"/>
    </row>
    <row r="300" spans="1:8">
      <c r="A300" s="733"/>
      <c r="B300" s="728"/>
      <c r="C300" s="728"/>
      <c r="D300" s="762"/>
      <c r="E300" s="762"/>
      <c r="F300" s="776"/>
      <c r="G300" s="763"/>
      <c r="H300" s="777"/>
    </row>
    <row r="301" spans="1:8">
      <c r="A301" s="733"/>
      <c r="B301" s="728"/>
      <c r="C301" s="728"/>
      <c r="D301" s="762"/>
      <c r="E301" s="762"/>
      <c r="F301" s="776"/>
      <c r="G301" s="763"/>
      <c r="H301" s="777"/>
    </row>
    <row r="302" spans="1:8">
      <c r="A302" s="733"/>
      <c r="B302" s="728"/>
      <c r="C302" s="728"/>
      <c r="D302" s="762"/>
      <c r="E302" s="762"/>
      <c r="F302" s="776"/>
      <c r="G302" s="763"/>
      <c r="H302" s="777"/>
    </row>
    <row r="303" spans="1:8">
      <c r="A303" s="733"/>
      <c r="B303" s="728"/>
      <c r="C303" s="728"/>
      <c r="D303" s="762"/>
      <c r="E303" s="762"/>
      <c r="F303" s="776"/>
      <c r="G303" s="763"/>
      <c r="H303" s="777"/>
    </row>
    <row r="304" spans="1:8">
      <c r="A304" s="733"/>
      <c r="B304" s="728"/>
      <c r="C304" s="728"/>
      <c r="D304" s="762"/>
      <c r="E304" s="762"/>
      <c r="F304" s="776"/>
      <c r="G304" s="763"/>
      <c r="H304" s="777"/>
    </row>
    <row r="305" spans="1:8">
      <c r="A305" s="733"/>
      <c r="B305" s="728"/>
      <c r="C305" s="728"/>
      <c r="D305" s="762"/>
      <c r="E305" s="762"/>
      <c r="F305" s="776"/>
      <c r="G305" s="763"/>
      <c r="H305" s="777"/>
    </row>
    <row r="306" spans="1:8">
      <c r="A306" s="733"/>
      <c r="B306" s="728"/>
      <c r="C306" s="728"/>
      <c r="D306" s="762"/>
      <c r="E306" s="762"/>
      <c r="F306" s="776"/>
      <c r="G306" s="763"/>
      <c r="H306" s="777"/>
    </row>
    <row r="307" spans="1:8">
      <c r="A307" s="733"/>
      <c r="B307" s="728"/>
      <c r="C307" s="728"/>
      <c r="D307" s="762"/>
      <c r="E307" s="762"/>
      <c r="F307" s="776"/>
      <c r="G307" s="763"/>
      <c r="H307" s="777"/>
    </row>
    <row r="308" spans="1:8">
      <c r="A308" s="733"/>
      <c r="B308" s="728"/>
      <c r="C308" s="728"/>
      <c r="D308" s="762"/>
      <c r="E308" s="762"/>
      <c r="F308" s="776"/>
      <c r="G308" s="763"/>
      <c r="H308" s="777"/>
    </row>
    <row r="309" spans="1:8">
      <c r="A309" s="733"/>
      <c r="B309" s="728"/>
      <c r="C309" s="728"/>
      <c r="D309" s="762"/>
      <c r="E309" s="762"/>
      <c r="F309" s="776"/>
      <c r="G309" s="763"/>
      <c r="H309" s="777"/>
    </row>
    <row r="310" spans="1:8">
      <c r="A310" s="733"/>
      <c r="B310" s="728"/>
      <c r="C310" s="728"/>
      <c r="D310" s="762"/>
      <c r="E310" s="762"/>
      <c r="F310" s="776"/>
      <c r="G310" s="763"/>
      <c r="H310" s="777"/>
    </row>
    <row r="311" spans="1:8">
      <c r="A311" s="733"/>
      <c r="B311" s="728"/>
      <c r="C311" s="728"/>
      <c r="D311" s="762"/>
      <c r="E311" s="762"/>
      <c r="F311" s="776"/>
      <c r="G311" s="763"/>
      <c r="H311" s="777"/>
    </row>
    <row r="312" spans="1:8">
      <c r="A312" s="733"/>
      <c r="B312" s="728"/>
      <c r="C312" s="728"/>
      <c r="D312" s="762"/>
      <c r="E312" s="762"/>
      <c r="F312" s="776"/>
      <c r="G312" s="763"/>
      <c r="H312" s="777"/>
    </row>
    <row r="313" spans="1:8">
      <c r="A313" s="733"/>
      <c r="B313" s="728"/>
      <c r="C313" s="728"/>
      <c r="D313" s="762"/>
      <c r="E313" s="762"/>
      <c r="F313" s="776"/>
      <c r="G313" s="763"/>
      <c r="H313" s="777"/>
    </row>
    <row r="314" spans="1:8">
      <c r="A314" s="733"/>
      <c r="B314" s="728"/>
      <c r="C314" s="728"/>
      <c r="D314" s="762"/>
      <c r="E314" s="762"/>
      <c r="F314" s="776"/>
      <c r="G314" s="763"/>
      <c r="H314" s="777"/>
    </row>
    <row r="315" spans="1:8">
      <c r="A315" s="733"/>
      <c r="B315" s="728"/>
      <c r="C315" s="728"/>
      <c r="D315" s="762"/>
      <c r="E315" s="762"/>
      <c r="F315" s="776"/>
      <c r="G315" s="763"/>
      <c r="H315" s="777"/>
    </row>
    <row r="316" spans="1:8">
      <c r="A316" s="733"/>
      <c r="B316" s="728"/>
      <c r="C316" s="728"/>
      <c r="D316" s="762"/>
      <c r="E316" s="762"/>
      <c r="F316" s="776"/>
      <c r="G316" s="763"/>
      <c r="H316" s="777"/>
    </row>
    <row r="317" spans="1:8">
      <c r="A317" s="733"/>
      <c r="B317" s="728"/>
      <c r="C317" s="728"/>
      <c r="D317" s="762"/>
      <c r="E317" s="762"/>
      <c r="F317" s="776"/>
      <c r="G317" s="763"/>
      <c r="H317" s="777"/>
    </row>
    <row r="318" spans="1:8">
      <c r="A318" s="733"/>
      <c r="B318" s="728"/>
      <c r="C318" s="728"/>
      <c r="D318" s="762"/>
      <c r="E318" s="762"/>
      <c r="F318" s="776"/>
      <c r="G318" s="763"/>
      <c r="H318" s="777"/>
    </row>
    <row r="319" spans="1:8">
      <c r="A319" s="733"/>
      <c r="B319" s="728"/>
      <c r="C319" s="728"/>
      <c r="D319" s="762"/>
      <c r="E319" s="762"/>
      <c r="F319" s="776"/>
      <c r="G319" s="763"/>
      <c r="H319" s="777"/>
    </row>
    <row r="320" spans="1:8">
      <c r="A320" s="733"/>
      <c r="B320" s="728"/>
      <c r="C320" s="728"/>
      <c r="D320" s="762"/>
      <c r="E320" s="762"/>
      <c r="F320" s="776"/>
      <c r="G320" s="763"/>
      <c r="H320" s="777"/>
    </row>
    <row r="321" spans="1:8">
      <c r="A321" s="733"/>
      <c r="B321" s="728"/>
      <c r="C321" s="728"/>
      <c r="D321" s="762"/>
      <c r="E321" s="762"/>
      <c r="F321" s="776"/>
      <c r="G321" s="763"/>
      <c r="H321" s="777"/>
    </row>
    <row r="322" spans="1:8">
      <c r="A322" s="733"/>
    </row>
    <row r="324" spans="1:8">
      <c r="A324" s="758"/>
    </row>
  </sheetData>
  <mergeCells count="7">
    <mergeCell ref="D5:G5"/>
    <mergeCell ref="H5:H6"/>
    <mergeCell ref="A7:B7"/>
    <mergeCell ref="D4:H4"/>
    <mergeCell ref="C1:H3"/>
    <mergeCell ref="A4:C4"/>
    <mergeCell ref="A5:C5"/>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rowBreaks count="1" manualBreakCount="1">
    <brk id="254"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36">
    <pageSetUpPr fitToPage="1"/>
  </sheetPr>
  <dimension ref="A1:J324"/>
  <sheetViews>
    <sheetView showGridLines="0" zoomScaleNormal="100" workbookViewId="0">
      <pane ySplit="2595" topLeftCell="A241" activePane="bottomLeft"/>
      <selection activeCell="A214" sqref="A214"/>
      <selection pane="bottomLeft" activeCell="H254" sqref="H254"/>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72" t="s">
        <v>373</v>
      </c>
      <c r="B4" s="1466"/>
      <c r="C4" s="1467"/>
      <c r="D4" s="1432" t="s">
        <v>365</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771" t="s">
        <v>341</v>
      </c>
      <c r="B6" s="772" t="s">
        <v>76</v>
      </c>
      <c r="C6" s="772" t="s">
        <v>68</v>
      </c>
      <c r="D6" s="772" t="s">
        <v>342</v>
      </c>
      <c r="E6" s="772" t="s">
        <v>343</v>
      </c>
      <c r="F6" s="772" t="s">
        <v>344</v>
      </c>
      <c r="G6" s="772" t="s">
        <v>345</v>
      </c>
      <c r="H6" s="1428"/>
    </row>
    <row r="7" spans="1:8" ht="15.75" customHeight="1" thickBot="1">
      <c r="A7" s="1419" t="s">
        <v>347</v>
      </c>
      <c r="B7" s="1420"/>
      <c r="C7" s="952"/>
      <c r="D7" s="952"/>
      <c r="E7" s="952"/>
      <c r="F7" s="952"/>
      <c r="G7" s="952"/>
      <c r="H7" s="951" t="s">
        <v>737</v>
      </c>
    </row>
    <row r="8" spans="1:8" ht="16.5" hidden="1" thickBot="1">
      <c r="A8" s="972" t="s">
        <v>557</v>
      </c>
      <c r="B8" s="987">
        <f>+geral!C997</f>
        <v>651.24</v>
      </c>
      <c r="C8" s="826">
        <v>100</v>
      </c>
      <c r="D8" s="827"/>
      <c r="E8" s="827"/>
      <c r="F8" s="828"/>
      <c r="G8" s="850"/>
      <c r="H8" s="851">
        <f>$B$253/B8</f>
        <v>4.7898593880421005</v>
      </c>
    </row>
    <row r="9" spans="1:8" ht="16.5" hidden="1" thickBot="1">
      <c r="A9" s="973" t="s">
        <v>558</v>
      </c>
      <c r="B9" s="748">
        <f>+geral!C998</f>
        <v>654.85</v>
      </c>
      <c r="C9" s="748">
        <f>100*B9/$B$8</f>
        <v>100.55432712978318</v>
      </c>
      <c r="D9" s="750">
        <f>100*((B9/B8)-1)</f>
        <v>0.5543271297831831</v>
      </c>
      <c r="E9" s="750"/>
      <c r="F9" s="751"/>
      <c r="G9" s="840"/>
      <c r="H9" s="842">
        <f>$B$253/B9</f>
        <v>4.7634542687157939</v>
      </c>
    </row>
    <row r="10" spans="1:8" ht="16.5" hidden="1" thickBot="1">
      <c r="A10" s="973" t="s">
        <v>559</v>
      </c>
      <c r="B10" s="748">
        <f>+geral!C999</f>
        <v>757.8</v>
      </c>
      <c r="C10" s="748">
        <f t="shared" ref="C10:C19" si="0">100*B10/$B$8</f>
        <v>116.36263128800442</v>
      </c>
      <c r="D10" s="750">
        <f t="shared" ref="D10:D17" si="1">100*((B10/B9)-1)</f>
        <v>15.721157516988615</v>
      </c>
      <c r="E10" s="750"/>
      <c r="F10" s="751"/>
      <c r="G10" s="840"/>
      <c r="H10" s="842">
        <f>$B$253/B10</f>
        <v>4.1163209657805995</v>
      </c>
    </row>
    <row r="11" spans="1:8" ht="16.5" hidden="1" thickBot="1">
      <c r="A11" s="973" t="s">
        <v>560</v>
      </c>
      <c r="B11" s="748">
        <f>+geral!C1000</f>
        <v>788.88</v>
      </c>
      <c r="C11" s="748">
        <f t="shared" si="0"/>
        <v>121.13506541367238</v>
      </c>
      <c r="D11" s="750">
        <f t="shared" si="1"/>
        <v>4.101346001583539</v>
      </c>
      <c r="E11" s="750"/>
      <c r="F11" s="751"/>
      <c r="G11" s="840"/>
      <c r="H11" s="842">
        <f>$B$253/B11</f>
        <v>3.9541476876946278</v>
      </c>
    </row>
    <row r="12" spans="1:8" ht="16.5" hidden="1" thickBot="1">
      <c r="A12" s="973" t="s">
        <v>561</v>
      </c>
      <c r="B12" s="748">
        <f>+geral!C1001</f>
        <v>765.66</v>
      </c>
      <c r="C12" s="748">
        <f t="shared" si="0"/>
        <v>117.5695596093606</v>
      </c>
      <c r="D12" s="750">
        <f>100*((B12/B11)-1)</f>
        <v>-2.9434134469120798</v>
      </c>
      <c r="E12" s="750"/>
      <c r="F12" s="751"/>
      <c r="G12" s="840"/>
      <c r="H12" s="842">
        <f>$B$253/B12</f>
        <v>4.0740642424425175</v>
      </c>
    </row>
    <row r="13" spans="1:8" ht="16.5" hidden="1" thickBot="1">
      <c r="A13" s="973" t="s">
        <v>562</v>
      </c>
      <c r="B13" s="748">
        <f>+geral!C1002</f>
        <v>759.01</v>
      </c>
      <c r="C13" s="748">
        <f t="shared" si="0"/>
        <v>116.54843068607579</v>
      </c>
      <c r="D13" s="750">
        <f t="shared" si="1"/>
        <v>-0.86853172426403225</v>
      </c>
      <c r="E13" s="750"/>
      <c r="F13" s="751"/>
      <c r="G13" s="840"/>
      <c r="H13" s="842">
        <f>$B$253/B13</f>
        <v>4.1097588014236148</v>
      </c>
    </row>
    <row r="14" spans="1:8" ht="16.5" hidden="1" thickBot="1">
      <c r="A14" s="973" t="s">
        <v>534</v>
      </c>
      <c r="B14" s="748">
        <f>+geral!C1003</f>
        <v>737.46</v>
      </c>
      <c r="C14" s="748">
        <f t="shared" si="0"/>
        <v>113.23935876174681</v>
      </c>
      <c r="D14" s="750">
        <f t="shared" si="1"/>
        <v>-2.8392247796471648</v>
      </c>
      <c r="E14" s="750"/>
      <c r="F14" s="751"/>
      <c r="G14" s="840"/>
      <c r="H14" s="842">
        <f>$B$253/B14</f>
        <v>4.2298538603701052</v>
      </c>
    </row>
    <row r="15" spans="1:8" ht="16.5" hidden="1" thickBot="1">
      <c r="A15" s="973" t="s">
        <v>563</v>
      </c>
      <c r="B15" s="748">
        <f>+geral!C1004</f>
        <v>740.56</v>
      </c>
      <c r="C15" s="748">
        <f t="shared" si="0"/>
        <v>113.71537374854124</v>
      </c>
      <c r="D15" s="750">
        <f t="shared" si="1"/>
        <v>0.4203617823339556</v>
      </c>
      <c r="E15" s="750"/>
      <c r="F15" s="751"/>
      <c r="G15" s="840"/>
      <c r="H15" s="842">
        <f>$B$253/B15</f>
        <v>4.2121476016373256</v>
      </c>
    </row>
    <row r="16" spans="1:8" ht="16.5" hidden="1" thickBot="1">
      <c r="A16" s="973" t="s">
        <v>564</v>
      </c>
      <c r="B16" s="748">
        <f>+geral!C1005</f>
        <v>747.62</v>
      </c>
      <c r="C16" s="748">
        <f t="shared" si="0"/>
        <v>114.79945949266015</v>
      </c>
      <c r="D16" s="750">
        <f t="shared" si="1"/>
        <v>0.9533326131576203</v>
      </c>
      <c r="E16" s="750"/>
      <c r="F16" s="751"/>
      <c r="G16" s="840"/>
      <c r="H16" s="842">
        <f>$B$253/B16</f>
        <v>4.1723710278865438</v>
      </c>
    </row>
    <row r="17" spans="1:8" ht="16.5" hidden="1" thickBot="1">
      <c r="A17" s="973" t="s">
        <v>546</v>
      </c>
      <c r="B17" s="748">
        <f>+geral!E994</f>
        <v>756.27</v>
      </c>
      <c r="C17" s="748">
        <f t="shared" si="0"/>
        <v>116.12769485903814</v>
      </c>
      <c r="D17" s="750">
        <f t="shared" si="1"/>
        <v>1.1570048955351631</v>
      </c>
      <c r="E17" s="750">
        <f t="shared" ref="E17:E22" si="2">100*((B17/$B$16)-1)</f>
        <v>1.1570048955351631</v>
      </c>
      <c r="F17" s="751"/>
      <c r="G17" s="840"/>
      <c r="H17" s="842">
        <f>$B$253/B17</f>
        <v>4.1246486411844154</v>
      </c>
    </row>
    <row r="18" spans="1:8" ht="16.5" hidden="1" thickBot="1">
      <c r="A18" s="973" t="s">
        <v>547</v>
      </c>
      <c r="B18" s="748">
        <f>+geral!E995</f>
        <v>756.98</v>
      </c>
      <c r="C18" s="748">
        <f t="shared" si="0"/>
        <v>116.23671764633622</v>
      </c>
      <c r="D18" s="750">
        <f t="shared" ref="D18:D23" si="3">100*((B18/B17)-1)</f>
        <v>9.3881814695806476E-2</v>
      </c>
      <c r="E18" s="750">
        <f t="shared" si="2"/>
        <v>1.2519729274230285</v>
      </c>
      <c r="F18" s="751"/>
      <c r="G18" s="840"/>
      <c r="H18" s="842">
        <f>$B$253/B18</f>
        <v>4.1207799781612957</v>
      </c>
    </row>
    <row r="19" spans="1:8" ht="16.5" hidden="1" thickBot="1">
      <c r="A19" s="973" t="s">
        <v>548</v>
      </c>
      <c r="B19" s="748">
        <f>+geral!E996</f>
        <v>769.45</v>
      </c>
      <c r="C19" s="748">
        <f t="shared" si="0"/>
        <v>118.15152631902217</v>
      </c>
      <c r="D19" s="750">
        <f t="shared" si="3"/>
        <v>1.6473354646093785</v>
      </c>
      <c r="E19" s="750">
        <f t="shared" si="2"/>
        <v>2.9199325860731484</v>
      </c>
      <c r="F19" s="751"/>
      <c r="G19" s="840"/>
      <c r="H19" s="842">
        <f>$B$253/B19</f>
        <v>4.0539970470706841</v>
      </c>
    </row>
    <row r="20" spans="1:8" ht="16.5" hidden="1" thickBot="1">
      <c r="A20" s="973" t="s">
        <v>549</v>
      </c>
      <c r="B20" s="748">
        <f>+geral!E997</f>
        <v>776.67</v>
      </c>
      <c r="C20" s="748">
        <f t="shared" ref="C20:C36" si="4">100*B20/$B$8</f>
        <v>119.26018057858853</v>
      </c>
      <c r="D20" s="750">
        <f t="shared" si="3"/>
        <v>0.93833257521604985</v>
      </c>
      <c r="E20" s="750">
        <f t="shared" si="2"/>
        <v>3.8856638399186627</v>
      </c>
      <c r="F20" s="751">
        <f t="shared" ref="F20:F33" si="5">100*((B20/B8)-1)</f>
        <v>19.260180578588539</v>
      </c>
      <c r="G20" s="840"/>
      <c r="H20" s="842">
        <f>$B$253/B20</f>
        <v>4.0163106954929866</v>
      </c>
    </row>
    <row r="21" spans="1:8" ht="16.5" hidden="1" thickBot="1">
      <c r="A21" s="973" t="s">
        <v>550</v>
      </c>
      <c r="B21" s="748">
        <f>+geral!E998</f>
        <v>788.03</v>
      </c>
      <c r="C21" s="748">
        <f t="shared" si="4"/>
        <v>121.00454517535778</v>
      </c>
      <c r="D21" s="750">
        <f t="shared" si="3"/>
        <v>1.4626546667181772</v>
      </c>
      <c r="E21" s="750">
        <f t="shared" si="2"/>
        <v>5.4051523501243981</v>
      </c>
      <c r="F21" s="751">
        <f t="shared" si="5"/>
        <v>20.337481866076203</v>
      </c>
      <c r="G21" s="840"/>
      <c r="H21" s="842">
        <f>$B$253/B21</f>
        <v>3.9584127861484184</v>
      </c>
    </row>
    <row r="22" spans="1:8" ht="16.7" hidden="1" customHeight="1" thickBot="1">
      <c r="A22" s="973" t="s">
        <v>551</v>
      </c>
      <c r="B22" s="748">
        <f>+geral!E999</f>
        <v>800.42</v>
      </c>
      <c r="C22" s="748">
        <f t="shared" si="4"/>
        <v>122.90706959032001</v>
      </c>
      <c r="D22" s="750">
        <f t="shared" si="3"/>
        <v>1.5722751671890745</v>
      </c>
      <c r="E22" s="750">
        <f t="shared" si="2"/>
        <v>7.0624113854631965</v>
      </c>
      <c r="F22" s="751">
        <f t="shared" si="5"/>
        <v>5.6241752441277493</v>
      </c>
      <c r="G22" s="840"/>
      <c r="H22" s="842">
        <f>$B$253/B22</f>
        <v>3.897139036841331</v>
      </c>
    </row>
    <row r="23" spans="1:8" ht="16.5" hidden="1" thickBot="1">
      <c r="A23" s="973" t="s">
        <v>552</v>
      </c>
      <c r="B23" s="748">
        <f>+geral!E1000</f>
        <v>795.71</v>
      </c>
      <c r="C23" s="748">
        <f t="shared" si="4"/>
        <v>122.18383391683557</v>
      </c>
      <c r="D23" s="750">
        <f t="shared" si="3"/>
        <v>-0.58844106843906063</v>
      </c>
      <c r="E23" s="750">
        <f t="shared" ref="E23:E28" si="6">100*((B23/$B$16)-1)</f>
        <v>6.4324121880099616</v>
      </c>
      <c r="F23" s="751">
        <f t="shared" si="5"/>
        <v>0.8657844032045503</v>
      </c>
      <c r="G23" s="840"/>
      <c r="H23" s="842">
        <f>$B$253/B23</f>
        <v>3.9202071456542429</v>
      </c>
    </row>
    <row r="24" spans="1:8" ht="16.5" hidden="1" thickBot="1">
      <c r="A24" s="973" t="s">
        <v>553</v>
      </c>
      <c r="B24" s="748">
        <f>+geral!E1001</f>
        <v>794.42</v>
      </c>
      <c r="C24" s="748">
        <f t="shared" si="4"/>
        <v>121.98575026104048</v>
      </c>
      <c r="D24" s="750">
        <f t="shared" ref="D24:D30" si="7">100*((B24/B23)-1)</f>
        <v>-0.16211936509533675</v>
      </c>
      <c r="E24" s="750">
        <f t="shared" si="6"/>
        <v>6.2598646371150979</v>
      </c>
      <c r="F24" s="751">
        <f t="shared" si="5"/>
        <v>3.7562364495990375</v>
      </c>
      <c r="G24" s="840"/>
      <c r="H24" s="842">
        <f>$B$253/B24</f>
        <v>3.9265728806784046</v>
      </c>
    </row>
    <row r="25" spans="1:8" ht="16.5" hidden="1" thickBot="1">
      <c r="A25" s="973" t="s">
        <v>554</v>
      </c>
      <c r="B25" s="748">
        <f>+geral!E1002</f>
        <v>803.93</v>
      </c>
      <c r="C25" s="748">
        <f t="shared" si="4"/>
        <v>123.44604139794853</v>
      </c>
      <c r="D25" s="750">
        <f t="shared" si="7"/>
        <v>1.1970997709020326</v>
      </c>
      <c r="E25" s="750">
        <f t="shared" si="6"/>
        <v>7.5319012332468294</v>
      </c>
      <c r="F25" s="751">
        <f t="shared" si="5"/>
        <v>5.9182355963689481</v>
      </c>
      <c r="G25" s="840"/>
      <c r="H25" s="842">
        <f>$B$253/B25</f>
        <v>3.8801239260489573</v>
      </c>
    </row>
    <row r="26" spans="1:8" ht="16.5" hidden="1" thickBot="1">
      <c r="A26" s="973" t="s">
        <v>533</v>
      </c>
      <c r="B26" s="748">
        <f>+geral!E1003</f>
        <v>804.04</v>
      </c>
      <c r="C26" s="748">
        <f t="shared" si="4"/>
        <v>123.46293225231865</v>
      </c>
      <c r="D26" s="750">
        <f t="shared" si="7"/>
        <v>1.3682783326918191E-2</v>
      </c>
      <c r="E26" s="750">
        <f t="shared" si="6"/>
        <v>7.5466145902998827</v>
      </c>
      <c r="F26" s="751">
        <f t="shared" si="5"/>
        <v>9.0282862799338162</v>
      </c>
      <c r="G26" s="840"/>
      <c r="H26" s="842">
        <f>$B$253/B26</f>
        <v>3.8795930897325235</v>
      </c>
    </row>
    <row r="27" spans="1:8" ht="16.5" hidden="1" thickBot="1">
      <c r="A27" s="973" t="s">
        <v>555</v>
      </c>
      <c r="B27" s="748">
        <f>+geral!E1004</f>
        <v>788.97</v>
      </c>
      <c r="C27" s="748">
        <f t="shared" si="4"/>
        <v>121.14888520361157</v>
      </c>
      <c r="D27" s="750">
        <f t="shared" si="7"/>
        <v>-1.874284861449671</v>
      </c>
      <c r="E27" s="750">
        <f t="shared" si="6"/>
        <v>5.5308846740322659</v>
      </c>
      <c r="F27" s="751">
        <f t="shared" si="5"/>
        <v>6.5369450145835728</v>
      </c>
      <c r="G27" s="840"/>
      <c r="H27" s="842">
        <f>$B$253/B27</f>
        <v>3.953696627081559</v>
      </c>
    </row>
    <row r="28" spans="1:8" ht="16.5" hidden="1" thickBot="1">
      <c r="A28" s="973" t="s">
        <v>556</v>
      </c>
      <c r="B28" s="748">
        <f>+geral!E1005</f>
        <v>781.9</v>
      </c>
      <c r="C28" s="748">
        <f t="shared" si="4"/>
        <v>120.06326392727719</v>
      </c>
      <c r="D28" s="750">
        <f t="shared" si="7"/>
        <v>-0.89610504835418991</v>
      </c>
      <c r="E28" s="750">
        <f t="shared" si="6"/>
        <v>4.5852170888954324</v>
      </c>
      <c r="F28" s="751">
        <f t="shared" si="5"/>
        <v>4.5852170888954324</v>
      </c>
      <c r="G28" s="840"/>
      <c r="H28" s="842">
        <f>$B$253/B28</f>
        <v>3.9894462563864153</v>
      </c>
    </row>
    <row r="29" spans="1:8" ht="16.5" hidden="1" thickBot="1">
      <c r="A29" s="973" t="s">
        <v>535</v>
      </c>
      <c r="B29" s="748">
        <f>+geral!G994</f>
        <v>803.14</v>
      </c>
      <c r="C29" s="748">
        <f t="shared" si="4"/>
        <v>123.32473435292673</v>
      </c>
      <c r="D29" s="750">
        <f t="shared" si="7"/>
        <v>2.7164599053587368</v>
      </c>
      <c r="E29" s="750">
        <f t="shared" ref="E29:E34" si="8">100*((B29/$B$28)-1)</f>
        <v>2.7164599053587368</v>
      </c>
      <c r="F29" s="751">
        <f t="shared" si="5"/>
        <v>6.1975220490036564</v>
      </c>
      <c r="G29" s="840"/>
      <c r="H29" s="842">
        <f>$B$253/B29</f>
        <v>3.883940568105857</v>
      </c>
    </row>
    <row r="30" spans="1:8" ht="16.5" hidden="1" thickBot="1">
      <c r="A30" s="973" t="s">
        <v>536</v>
      </c>
      <c r="B30" s="748">
        <f>+geral!G995</f>
        <v>791.8</v>
      </c>
      <c r="C30" s="748">
        <f t="shared" si="4"/>
        <v>121.58344082058841</v>
      </c>
      <c r="D30" s="750">
        <f t="shared" si="7"/>
        <v>-1.4119580645964636</v>
      </c>
      <c r="E30" s="750">
        <f t="shared" si="8"/>
        <v>1.2661465660570359</v>
      </c>
      <c r="F30" s="751">
        <f t="shared" si="5"/>
        <v>4.5998573278025701</v>
      </c>
      <c r="G30" s="840"/>
      <c r="H30" s="842">
        <f>$B$253/B30</f>
        <v>3.9395655820517024</v>
      </c>
    </row>
    <row r="31" spans="1:8" ht="16.5" hidden="1" thickBot="1">
      <c r="A31" s="973" t="s">
        <v>537</v>
      </c>
      <c r="B31" s="748">
        <f>+geral!G996</f>
        <v>776.59</v>
      </c>
      <c r="C31" s="748">
        <f t="shared" si="4"/>
        <v>119.24789632086481</v>
      </c>
      <c r="D31" s="750">
        <f t="shared" ref="D31:D36" si="9">100*((B31/B30)-1)</f>
        <v>-1.9209396312199978</v>
      </c>
      <c r="E31" s="750">
        <f t="shared" si="8"/>
        <v>-0.67911497633967866</v>
      </c>
      <c r="F31" s="751">
        <f t="shared" si="5"/>
        <v>0.9279355383715604</v>
      </c>
      <c r="G31" s="840"/>
      <c r="H31" s="842">
        <f>$B$253/B31</f>
        <v>4.0167244335731054</v>
      </c>
    </row>
    <row r="32" spans="1:8" ht="16.5" hidden="1" thickBot="1">
      <c r="A32" s="973" t="s">
        <v>538</v>
      </c>
      <c r="B32" s="748">
        <f>+geral!G997</f>
        <v>789.75</v>
      </c>
      <c r="C32" s="748">
        <f t="shared" si="4"/>
        <v>121.26865671641791</v>
      </c>
      <c r="D32" s="750">
        <f t="shared" si="9"/>
        <v>1.6945878777733459</v>
      </c>
      <c r="E32" s="750">
        <f t="shared" si="8"/>
        <v>1.0039647013684538</v>
      </c>
      <c r="F32" s="751">
        <f t="shared" si="5"/>
        <v>1.6841129437212832</v>
      </c>
      <c r="G32" s="840">
        <f>100*(B32/B8-1)</f>
        <v>21.268656716417912</v>
      </c>
      <c r="H32" s="842">
        <f>$B$253/B32</f>
        <v>3.9497917415239479</v>
      </c>
    </row>
    <row r="33" spans="1:8" ht="16.5" hidden="1" thickBot="1">
      <c r="A33" s="973" t="s">
        <v>539</v>
      </c>
      <c r="B33" s="748">
        <f>+geral!G998</f>
        <v>792.02</v>
      </c>
      <c r="C33" s="748">
        <f t="shared" si="4"/>
        <v>121.61722252932866</v>
      </c>
      <c r="D33" s="750">
        <f t="shared" si="9"/>
        <v>0.28743273187716856</v>
      </c>
      <c r="E33" s="750">
        <f t="shared" si="8"/>
        <v>1.2942831564138668</v>
      </c>
      <c r="F33" s="751">
        <f t="shared" si="5"/>
        <v>0.50632590129817689</v>
      </c>
      <c r="G33" s="840">
        <f t="shared" ref="G33:G41" si="10">100*(B33/B9-1)</f>
        <v>20.946781705734139</v>
      </c>
      <c r="H33" s="842">
        <f>$B$253/B33</f>
        <v>3.9384712859126512</v>
      </c>
    </row>
    <row r="34" spans="1:8" ht="16.5" hidden="1" thickBot="1">
      <c r="A34" s="973" t="s">
        <v>540</v>
      </c>
      <c r="B34" s="748">
        <f>+geral!G999</f>
        <v>797.83</v>
      </c>
      <c r="C34" s="748">
        <f t="shared" si="4"/>
        <v>122.50936674651435</v>
      </c>
      <c r="D34" s="750">
        <f t="shared" si="9"/>
        <v>0.73356733415823605</v>
      </c>
      <c r="E34" s="750">
        <f t="shared" si="8"/>
        <v>2.0373449290190582</v>
      </c>
      <c r="F34" s="751">
        <f t="shared" ref="F34:F39" si="11">100*((B34/B22)-1)</f>
        <v>-0.32358012043676165</v>
      </c>
      <c r="G34" s="840">
        <f t="shared" si="10"/>
        <v>5.2823964106624599</v>
      </c>
      <c r="H34" s="842">
        <f>$B$253/B34</f>
        <v>3.9097903411360035</v>
      </c>
    </row>
    <row r="35" spans="1:8" ht="16.5" hidden="1" thickBot="1">
      <c r="A35" s="973" t="s">
        <v>541</v>
      </c>
      <c r="B35" s="748">
        <f>+geral!G1000</f>
        <v>795.25</v>
      </c>
      <c r="C35" s="748">
        <f t="shared" si="4"/>
        <v>122.11319943492414</v>
      </c>
      <c r="D35" s="750">
        <f t="shared" si="9"/>
        <v>-0.32337716054798848</v>
      </c>
      <c r="E35" s="750">
        <f t="shared" ref="E35:E40" si="12">100*((B35/$B$28)-1)</f>
        <v>1.7073794602890491</v>
      </c>
      <c r="F35" s="751">
        <f t="shared" si="11"/>
        <v>-5.7810006158032223E-2</v>
      </c>
      <c r="G35" s="840">
        <f t="shared" si="10"/>
        <v>0.80747388702970824</v>
      </c>
      <c r="H35" s="842">
        <f>$B$253/B35</f>
        <v>3.9224747285363568</v>
      </c>
    </row>
    <row r="36" spans="1:8" ht="16.5" hidden="1" thickBot="1">
      <c r="A36" s="973" t="s">
        <v>542</v>
      </c>
      <c r="B36" s="748">
        <f>+geral!G1001</f>
        <v>795.29</v>
      </c>
      <c r="C36" s="748">
        <f t="shared" si="4"/>
        <v>122.11934156378601</v>
      </c>
      <c r="D36" s="750">
        <f t="shared" si="9"/>
        <v>5.0298648223812137E-3</v>
      </c>
      <c r="E36" s="750">
        <f t="shared" si="12"/>
        <v>1.712495203990283</v>
      </c>
      <c r="F36" s="751">
        <f t="shared" si="11"/>
        <v>0.10951385916768697</v>
      </c>
      <c r="G36" s="840">
        <f t="shared" si="10"/>
        <v>3.8698639082621611</v>
      </c>
      <c r="H36" s="842">
        <f>$B$253/B36</f>
        <v>3.9222774432830012</v>
      </c>
    </row>
    <row r="37" spans="1:8" ht="16.5" hidden="1" thickBot="1">
      <c r="A37" s="973" t="s">
        <v>543</v>
      </c>
      <c r="B37" s="748">
        <f>+geral!G1002</f>
        <v>802.84</v>
      </c>
      <c r="C37" s="748">
        <f t="shared" ref="C37:C60" si="13">100*B37/$B$8</f>
        <v>123.27866838646274</v>
      </c>
      <c r="D37" s="750">
        <f t="shared" ref="D37:D42" si="14">100*((B37/B36)-1)</f>
        <v>0.94933923474456172</v>
      </c>
      <c r="E37" s="750">
        <f t="shared" si="12"/>
        <v>2.6780918275994381</v>
      </c>
      <c r="F37" s="751">
        <f t="shared" si="11"/>
        <v>-0.1355839438757056</v>
      </c>
      <c r="G37" s="840">
        <f t="shared" si="10"/>
        <v>5.7746274752638271</v>
      </c>
      <c r="H37" s="842">
        <f>$B$253/B37</f>
        <v>3.8853918936133449</v>
      </c>
    </row>
    <row r="38" spans="1:8" ht="16.5" hidden="1" thickBot="1">
      <c r="A38" s="973" t="s">
        <v>532</v>
      </c>
      <c r="B38" s="748">
        <f>+geral!G1003</f>
        <v>817.42</v>
      </c>
      <c r="C38" s="748">
        <f t="shared" si="13"/>
        <v>125.517474356612</v>
      </c>
      <c r="D38" s="750">
        <f t="shared" si="14"/>
        <v>1.816053011808072</v>
      </c>
      <c r="E38" s="750">
        <f t="shared" si="12"/>
        <v>4.5427804067016186</v>
      </c>
      <c r="F38" s="751">
        <f t="shared" si="11"/>
        <v>1.6640963136162368</v>
      </c>
      <c r="G38" s="840">
        <f t="shared" si="10"/>
        <v>10.842621972717147</v>
      </c>
      <c r="H38" s="842">
        <f>$B$253/B38</f>
        <v>3.8160896820099066</v>
      </c>
    </row>
    <row r="39" spans="1:8" ht="16.5" hidden="1" thickBot="1">
      <c r="A39" s="973" t="s">
        <v>544</v>
      </c>
      <c r="B39" s="748">
        <f>+geral!G1004</f>
        <v>841.87</v>
      </c>
      <c r="C39" s="748">
        <f t="shared" si="13"/>
        <v>129.27185062342608</v>
      </c>
      <c r="D39" s="750">
        <f t="shared" si="14"/>
        <v>2.9911183969073551</v>
      </c>
      <c r="E39" s="750">
        <f t="shared" si="12"/>
        <v>7.6697787440849208</v>
      </c>
      <c r="F39" s="751">
        <f t="shared" si="11"/>
        <v>6.7049444212073928</v>
      </c>
      <c r="G39" s="840">
        <f t="shared" si="10"/>
        <v>13.680187965863677</v>
      </c>
      <c r="H39" s="842">
        <f>$B$253/B39</f>
        <v>3.7052609403691044</v>
      </c>
    </row>
    <row r="40" spans="1:8" ht="16.5" hidden="1" thickBot="1">
      <c r="A40" s="973" t="s">
        <v>545</v>
      </c>
      <c r="B40" s="748">
        <f>+geral!G1005</f>
        <v>847.84</v>
      </c>
      <c r="C40" s="748">
        <f t="shared" si="13"/>
        <v>130.18856335605921</v>
      </c>
      <c r="D40" s="750">
        <f t="shared" si="14"/>
        <v>0.70913561476237952</v>
      </c>
      <c r="E40" s="750">
        <f t="shared" si="12"/>
        <v>8.4333034914950922</v>
      </c>
      <c r="F40" s="751">
        <f t="shared" ref="F40:F45" si="15">100*((B40/B28)-1)</f>
        <v>8.4333034914950922</v>
      </c>
      <c r="G40" s="840">
        <f t="shared" si="10"/>
        <v>13.405205853240965</v>
      </c>
      <c r="H40" s="842">
        <f>$B$253/B40</f>
        <v>3.6791706310961239</v>
      </c>
    </row>
    <row r="41" spans="1:8" ht="16.5" hidden="1" thickBot="1">
      <c r="A41" s="973" t="s">
        <v>565</v>
      </c>
      <c r="B41" s="748">
        <f>+geral!I994</f>
        <v>899.58</v>
      </c>
      <c r="C41" s="748">
        <f t="shared" si="13"/>
        <v>138.13340703887968</v>
      </c>
      <c r="D41" s="750">
        <f t="shared" si="14"/>
        <v>6.1025665219852865</v>
      </c>
      <c r="E41" s="750">
        <f t="shared" ref="E41:E46" si="16">100*((B41/$B$40-1))</f>
        <v>6.1025665219852865</v>
      </c>
      <c r="F41" s="751">
        <f t="shared" si="15"/>
        <v>12.007869113728621</v>
      </c>
      <c r="G41" s="840">
        <f t="shared" si="10"/>
        <v>18.949581498671119</v>
      </c>
      <c r="H41" s="842">
        <f>$B$253/B41</f>
        <v>3.4675604480630269</v>
      </c>
    </row>
    <row r="42" spans="1:8" ht="16.5" hidden="1" thickBot="1">
      <c r="A42" s="973" t="s">
        <v>566</v>
      </c>
      <c r="B42" s="748">
        <v>867.13</v>
      </c>
      <c r="C42" s="748">
        <f t="shared" si="13"/>
        <v>133.15060499969289</v>
      </c>
      <c r="D42" s="750">
        <f t="shared" si="14"/>
        <v>-3.6072389337246324</v>
      </c>
      <c r="E42" s="750">
        <f t="shared" si="16"/>
        <v>2.2751934327231549</v>
      </c>
      <c r="F42" s="751">
        <f t="shared" si="15"/>
        <v>9.5137661025511466</v>
      </c>
      <c r="G42" s="840">
        <f t="shared" ref="G42:G47" si="17">100*(B42/B18-1)</f>
        <v>14.55124309757192</v>
      </c>
      <c r="H42" s="842">
        <f>$B$253/B42</f>
        <v>3.5973245394214683</v>
      </c>
    </row>
    <row r="43" spans="1:8" ht="16.5" hidden="1" thickBot="1">
      <c r="A43" s="973" t="s">
        <v>567</v>
      </c>
      <c r="B43" s="748">
        <f>+geral!I996</f>
        <v>886.22</v>
      </c>
      <c r="C43" s="748">
        <f t="shared" si="13"/>
        <v>136.08193599901725</v>
      </c>
      <c r="D43" s="750">
        <f t="shared" ref="D43:D48" si="18">100*((B43/B42)-1)</f>
        <v>2.2015153437200841</v>
      </c>
      <c r="E43" s="750">
        <f t="shared" si="16"/>
        <v>4.5267975089639645</v>
      </c>
      <c r="F43" s="751">
        <f t="shared" si="15"/>
        <v>14.116844151997832</v>
      </c>
      <c r="G43" s="840">
        <f t="shared" si="17"/>
        <v>15.175774904152316</v>
      </c>
      <c r="H43" s="842">
        <f>$B$253/B43</f>
        <v>3.51983483544553</v>
      </c>
    </row>
    <row r="44" spans="1:8" ht="16.5" hidden="1" thickBot="1">
      <c r="A44" s="973" t="s">
        <v>568</v>
      </c>
      <c r="B44" s="748">
        <f>+geral!I997</f>
        <v>890.92</v>
      </c>
      <c r="C44" s="748">
        <f t="shared" si="13"/>
        <v>136.80363614028622</v>
      </c>
      <c r="D44" s="750">
        <f t="shared" si="18"/>
        <v>0.53034235291462561</v>
      </c>
      <c r="E44" s="750">
        <f t="shared" si="16"/>
        <v>5.0811473862993006</v>
      </c>
      <c r="F44" s="751">
        <f t="shared" si="15"/>
        <v>12.810383032605245</v>
      </c>
      <c r="G44" s="840">
        <f t="shared" si="17"/>
        <v>14.710237295118912</v>
      </c>
      <c r="H44" s="842">
        <f>$B$253/B44</f>
        <v>3.5012661382262582</v>
      </c>
    </row>
    <row r="45" spans="1:8" ht="16.5" hidden="1" thickBot="1">
      <c r="A45" s="973" t="s">
        <v>569</v>
      </c>
      <c r="B45" s="748">
        <f>+geral!I998</f>
        <v>895.65</v>
      </c>
      <c r="C45" s="748">
        <f t="shared" si="13"/>
        <v>137.52994287820158</v>
      </c>
      <c r="D45" s="750">
        <f t="shared" si="18"/>
        <v>0.53091186638531962</v>
      </c>
      <c r="E45" s="750">
        <f t="shared" si="16"/>
        <v>5.6390356671069952</v>
      </c>
      <c r="F45" s="751">
        <f t="shared" si="15"/>
        <v>13.084265548849782</v>
      </c>
      <c r="G45" s="840">
        <f t="shared" si="17"/>
        <v>13.656840475616416</v>
      </c>
      <c r="H45" s="842">
        <f>$B$253/B45</f>
        <v>3.4827756689203797</v>
      </c>
    </row>
    <row r="46" spans="1:8" ht="16.5" hidden="1" thickBot="1">
      <c r="A46" s="973" t="s">
        <v>570</v>
      </c>
      <c r="B46" s="748">
        <f>+geral!I999</f>
        <v>899.19</v>
      </c>
      <c r="C46" s="748">
        <f t="shared" si="13"/>
        <v>138.07352128247649</v>
      </c>
      <c r="D46" s="750">
        <f t="shared" si="18"/>
        <v>0.39524367777592495</v>
      </c>
      <c r="E46" s="750">
        <f t="shared" si="16"/>
        <v>6.0565672768446932</v>
      </c>
      <c r="F46" s="751">
        <f t="shared" ref="F46:F51" si="19">100*((B46/B34)-1)</f>
        <v>12.704460850055789</v>
      </c>
      <c r="G46" s="840">
        <f t="shared" si="17"/>
        <v>12.339771619899565</v>
      </c>
      <c r="H46" s="842">
        <f>$B$253/B46</f>
        <v>3.4690644111573055</v>
      </c>
    </row>
    <row r="47" spans="1:8" ht="16.5" hidden="1" thickBot="1">
      <c r="A47" s="973" t="s">
        <v>571</v>
      </c>
      <c r="B47" s="748">
        <f>+geral!I1000</f>
        <v>918.15</v>
      </c>
      <c r="C47" s="748">
        <f t="shared" si="13"/>
        <v>140.98489036299981</v>
      </c>
      <c r="D47" s="750">
        <f t="shared" si="18"/>
        <v>2.1085643746038052</v>
      </c>
      <c r="E47" s="750">
        <f t="shared" ref="E47:E52" si="20">100*((B47/$B$40-1))</f>
        <v>8.2928382713719486</v>
      </c>
      <c r="F47" s="751">
        <f t="shared" si="19"/>
        <v>15.454259666771453</v>
      </c>
      <c r="G47" s="840">
        <f t="shared" si="17"/>
        <v>15.38751555214839</v>
      </c>
      <c r="H47" s="842">
        <f>$B$253/B47</f>
        <v>3.3974274659571289</v>
      </c>
    </row>
    <row r="48" spans="1:8" ht="16.5" hidden="1" thickBot="1">
      <c r="A48" s="973" t="s">
        <v>572</v>
      </c>
      <c r="B48" s="748">
        <f>+geral!I1001</f>
        <v>935.59</v>
      </c>
      <c r="C48" s="748">
        <f t="shared" si="13"/>
        <v>143.6628585467723</v>
      </c>
      <c r="D48" s="750">
        <f t="shared" si="18"/>
        <v>1.8994717638730174</v>
      </c>
      <c r="E48" s="750">
        <f t="shared" si="20"/>
        <v>10.349830156633333</v>
      </c>
      <c r="F48" s="751">
        <f t="shared" si="19"/>
        <v>17.641363527769748</v>
      </c>
      <c r="G48" s="840">
        <f t="shared" ref="G48:G53" si="21">100*(B48/B24-1)</f>
        <v>17.77019712494652</v>
      </c>
      <c r="H48" s="842">
        <f>$B$253/B48</f>
        <v>3.3340972304840131</v>
      </c>
    </row>
    <row r="49" spans="1:8" ht="16.5" hidden="1" thickBot="1">
      <c r="A49" s="973" t="s">
        <v>573</v>
      </c>
      <c r="B49" s="748">
        <f>+geral!I1002</f>
        <v>934.72</v>
      </c>
      <c r="C49" s="748">
        <f t="shared" si="13"/>
        <v>143.52926724402678</v>
      </c>
      <c r="D49" s="750">
        <f t="shared" ref="D49:D54" si="22">100*((B49/B48)-1)</f>
        <v>-9.2989450507163784E-2</v>
      </c>
      <c r="E49" s="750">
        <f t="shared" si="20"/>
        <v>10.247216455935071</v>
      </c>
      <c r="F49" s="751">
        <f t="shared" si="19"/>
        <v>16.426685267301089</v>
      </c>
      <c r="G49" s="840">
        <f t="shared" si="21"/>
        <v>16.268829375691919</v>
      </c>
      <c r="H49" s="842">
        <f>$B$253/B49</f>
        <v>3.3372004748679154</v>
      </c>
    </row>
    <row r="50" spans="1:8" ht="16.5" hidden="1" thickBot="1">
      <c r="A50" s="973" t="s">
        <v>396</v>
      </c>
      <c r="B50" s="748">
        <f>+geral!I1003</f>
        <v>1224.26</v>
      </c>
      <c r="C50" s="748">
        <f t="shared" si="13"/>
        <v>187.98906701062589</v>
      </c>
      <c r="D50" s="750">
        <f t="shared" si="22"/>
        <v>30.976121191372808</v>
      </c>
      <c r="E50" s="750">
        <f t="shared" si="20"/>
        <v>44.397527835440641</v>
      </c>
      <c r="F50" s="751">
        <f t="shared" si="19"/>
        <v>49.771231435492155</v>
      </c>
      <c r="G50" s="840">
        <f t="shared" si="21"/>
        <v>52.263568976667841</v>
      </c>
      <c r="H50" s="842">
        <f>$B$253/B50</f>
        <v>2.5479457205728666</v>
      </c>
    </row>
    <row r="51" spans="1:8" ht="16.5" hidden="1" thickBot="1">
      <c r="A51" s="973" t="s">
        <v>397</v>
      </c>
      <c r="B51" s="748">
        <f>+geral!I1004</f>
        <v>1224.26</v>
      </c>
      <c r="C51" s="748">
        <f t="shared" si="13"/>
        <v>187.98906701062589</v>
      </c>
      <c r="D51" s="750">
        <f t="shared" si="22"/>
        <v>0</v>
      </c>
      <c r="E51" s="750">
        <f t="shared" si="20"/>
        <v>44.397527835440641</v>
      </c>
      <c r="F51" s="751">
        <f t="shared" si="19"/>
        <v>45.421502132158167</v>
      </c>
      <c r="G51" s="840">
        <f t="shared" si="21"/>
        <v>55.1719330266043</v>
      </c>
      <c r="H51" s="842">
        <f>$B$253/B51</f>
        <v>2.5479457205728666</v>
      </c>
    </row>
    <row r="52" spans="1:8" ht="16.5" hidden="1" thickBot="1">
      <c r="A52" s="973" t="s">
        <v>398</v>
      </c>
      <c r="B52" s="748">
        <f>+geral!I1005</f>
        <v>1124.26</v>
      </c>
      <c r="C52" s="748">
        <f t="shared" si="13"/>
        <v>172.63374485596708</v>
      </c>
      <c r="D52" s="750">
        <f t="shared" si="22"/>
        <v>-8.1681995654517827</v>
      </c>
      <c r="E52" s="750">
        <f t="shared" si="20"/>
        <v>32.60284959426307</v>
      </c>
      <c r="F52" s="751">
        <f t="shared" ref="F52:F57" si="23">100*((B52/B40)-1)</f>
        <v>32.60284959426307</v>
      </c>
      <c r="G52" s="840">
        <f t="shared" si="21"/>
        <v>43.785650338918018</v>
      </c>
      <c r="H52" s="842">
        <f>$B$253/B52</f>
        <v>2.7745788588658655</v>
      </c>
    </row>
    <row r="53" spans="1:8" ht="16.5" hidden="1" thickBot="1">
      <c r="A53" s="973" t="s">
        <v>399</v>
      </c>
      <c r="B53" s="748">
        <f>+geral!K994</f>
        <v>1224.26</v>
      </c>
      <c r="C53" s="748">
        <f t="shared" si="13"/>
        <v>187.98906701062589</v>
      </c>
      <c r="D53" s="750">
        <f t="shared" si="22"/>
        <v>8.8947396509704078</v>
      </c>
      <c r="E53" s="750">
        <f t="shared" ref="E53:E58" si="24">100*((B53/$B$52-1))</f>
        <v>8.8947396509704078</v>
      </c>
      <c r="F53" s="751">
        <f t="shared" si="23"/>
        <v>36.092398674937186</v>
      </c>
      <c r="G53" s="840">
        <f t="shared" si="21"/>
        <v>52.434195781557392</v>
      </c>
      <c r="H53" s="842">
        <f>$B$253/B53</f>
        <v>2.5479457205728666</v>
      </c>
    </row>
    <row r="54" spans="1:8" ht="16.5" hidden="1" thickBot="1">
      <c r="A54" s="973" t="s">
        <v>400</v>
      </c>
      <c r="B54" s="748">
        <f>+geral!K995</f>
        <v>1224.26</v>
      </c>
      <c r="C54" s="748">
        <f t="shared" si="13"/>
        <v>187.98906701062589</v>
      </c>
      <c r="D54" s="750">
        <f t="shared" si="22"/>
        <v>0</v>
      </c>
      <c r="E54" s="750">
        <f t="shared" si="24"/>
        <v>8.8947396509704078</v>
      </c>
      <c r="F54" s="751">
        <f t="shared" si="23"/>
        <v>41.185289402973034</v>
      </c>
      <c r="G54" s="840">
        <f t="shared" ref="G54:G59" si="25">100*(B54/B30-1)</f>
        <v>54.617327607981814</v>
      </c>
      <c r="H54" s="842">
        <f>$B$253/B54</f>
        <v>2.5479457205728666</v>
      </c>
    </row>
    <row r="55" spans="1:8" ht="16.5" hidden="1" thickBot="1">
      <c r="A55" s="973" t="s">
        <v>401</v>
      </c>
      <c r="B55" s="748">
        <f>+geral!K996</f>
        <v>1224.26</v>
      </c>
      <c r="C55" s="748">
        <f t="shared" si="13"/>
        <v>187.98906701062589</v>
      </c>
      <c r="D55" s="750">
        <f t="shared" ref="D55:D61" si="26">100*((B55/B54)-1)</f>
        <v>0</v>
      </c>
      <c r="E55" s="750">
        <f t="shared" si="24"/>
        <v>8.8947396509704078</v>
      </c>
      <c r="F55" s="751">
        <f t="shared" si="23"/>
        <v>38.144027442395782</v>
      </c>
      <c r="G55" s="840">
        <f t="shared" si="25"/>
        <v>57.645604501731931</v>
      </c>
      <c r="H55" s="842">
        <f>$B$253/B55</f>
        <v>2.5479457205728666</v>
      </c>
    </row>
    <row r="56" spans="1:8" ht="16.5" hidden="1" thickBot="1">
      <c r="A56" s="973" t="s">
        <v>402</v>
      </c>
      <c r="B56" s="748">
        <f>+geral!K997</f>
        <v>1246.71</v>
      </c>
      <c r="C56" s="748">
        <f t="shared" si="13"/>
        <v>191.43633683434678</v>
      </c>
      <c r="D56" s="750">
        <f t="shared" si="26"/>
        <v>1.8337608024439289</v>
      </c>
      <c r="E56" s="750">
        <f t="shared" si="24"/>
        <v>10.891608702613276</v>
      </c>
      <c r="F56" s="751">
        <f t="shared" si="23"/>
        <v>39.935123243388858</v>
      </c>
      <c r="G56" s="840">
        <f t="shared" si="25"/>
        <v>57.861348528015185</v>
      </c>
      <c r="H56" s="842">
        <f>$B$253/B56</f>
        <v>2.5020638543595046</v>
      </c>
    </row>
    <row r="57" spans="1:8" ht="16.5" hidden="1" thickBot="1">
      <c r="A57" s="973" t="s">
        <v>403</v>
      </c>
      <c r="B57" s="748">
        <f>+geral!K998</f>
        <v>1324.82</v>
      </c>
      <c r="C57" s="748">
        <f t="shared" si="13"/>
        <v>203.43037896935078</v>
      </c>
      <c r="D57" s="750">
        <f t="shared" si="26"/>
        <v>6.2652902439219949</v>
      </c>
      <c r="E57" s="750">
        <f t="shared" si="24"/>
        <v>17.839289843986261</v>
      </c>
      <c r="F57" s="751">
        <f t="shared" si="23"/>
        <v>47.917155138726052</v>
      </c>
      <c r="G57" s="840">
        <f t="shared" si="25"/>
        <v>67.271028509381068</v>
      </c>
      <c r="H57" s="842">
        <f>$B$253/B57</f>
        <v>2.3545447893816052</v>
      </c>
    </row>
    <row r="58" spans="1:8" ht="16.5" hidden="1" thickBot="1">
      <c r="A58" s="973" t="s">
        <v>404</v>
      </c>
      <c r="B58" s="748">
        <f>+geral!K999</f>
        <v>1393.01</v>
      </c>
      <c r="C58" s="748">
        <f t="shared" si="13"/>
        <v>213.90117314661262</v>
      </c>
      <c r="D58" s="750">
        <f t="shared" si="26"/>
        <v>5.1471143249649076</v>
      </c>
      <c r="E58" s="750">
        <f t="shared" si="24"/>
        <v>23.904612811982993</v>
      </c>
      <c r="F58" s="751">
        <f t="shared" ref="F58:F63" si="27">100*((B58/B46)-1)</f>
        <v>54.918315372724336</v>
      </c>
      <c r="G58" s="840">
        <f t="shared" si="25"/>
        <v>74.599852098818033</v>
      </c>
      <c r="H58" s="842">
        <f>$B$253/B58</f>
        <v>2.239286170141304</v>
      </c>
    </row>
    <row r="59" spans="1:8" ht="16.5" hidden="1" thickBot="1">
      <c r="A59" s="973" t="s">
        <v>405</v>
      </c>
      <c r="B59" s="748">
        <f>+geral!K1000</f>
        <v>1411.37</v>
      </c>
      <c r="C59" s="748">
        <f t="shared" si="13"/>
        <v>216.72041029420797</v>
      </c>
      <c r="D59" s="750">
        <f t="shared" si="26"/>
        <v>1.3180092030925739</v>
      </c>
      <c r="E59" s="750">
        <f t="shared" ref="E59:E64" si="28">100*((B59/$B$52-1))</f>
        <v>25.537687011901156</v>
      </c>
      <c r="F59" s="751">
        <f t="shared" si="27"/>
        <v>53.718891248706633</v>
      </c>
      <c r="G59" s="840">
        <f t="shared" si="25"/>
        <v>77.475007859163767</v>
      </c>
      <c r="H59" s="842">
        <f>$B$253/B59</f>
        <v>2.2101561092190836</v>
      </c>
    </row>
    <row r="60" spans="1:8" ht="16.5" hidden="1" thickBot="1">
      <c r="A60" s="973" t="s">
        <v>406</v>
      </c>
      <c r="B60" s="748">
        <f>+geral!K1001</f>
        <v>1415.04</v>
      </c>
      <c r="C60" s="748">
        <f t="shared" si="13"/>
        <v>217.28395061728395</v>
      </c>
      <c r="D60" s="750">
        <f t="shared" si="26"/>
        <v>0.26003103367651104</v>
      </c>
      <c r="E60" s="750">
        <f t="shared" si="28"/>
        <v>25.864123957091767</v>
      </c>
      <c r="F60" s="751">
        <f t="shared" si="27"/>
        <v>51.24573798351841</v>
      </c>
      <c r="G60" s="840">
        <f t="shared" ref="G60:G65" si="29">100*(B60/B36-1)</f>
        <v>77.927548441449019</v>
      </c>
      <c r="H60" s="842">
        <f>$B$253/B60</f>
        <v>2.2044239229057396</v>
      </c>
    </row>
    <row r="61" spans="1:8" ht="16.5" hidden="1" thickBot="1">
      <c r="A61" s="973" t="s">
        <v>407</v>
      </c>
      <c r="B61" s="748">
        <f>+geral!K1002</f>
        <v>1467.25</v>
      </c>
      <c r="C61" s="748">
        <f t="shared" ref="C61:C88" si="30">100*B61/$B$8</f>
        <v>225.30096431423132</v>
      </c>
      <c r="D61" s="750">
        <f t="shared" si="26"/>
        <v>3.689648349163277</v>
      </c>
      <c r="E61" s="750">
        <f t="shared" si="28"/>
        <v>30.508067528863435</v>
      </c>
      <c r="F61" s="751">
        <f t="shared" si="27"/>
        <v>56.97214138993494</v>
      </c>
      <c r="G61" s="840">
        <f t="shared" si="29"/>
        <v>82.75746101340242</v>
      </c>
      <c r="H61" s="842">
        <f>$B$253/B61</f>
        <v>2.1259826395423671</v>
      </c>
    </row>
    <row r="62" spans="1:8" ht="16.5" hidden="1" thickBot="1">
      <c r="A62" s="973" t="s">
        <v>408</v>
      </c>
      <c r="B62" s="748">
        <f>+geral!K1003</f>
        <v>1491.16</v>
      </c>
      <c r="C62" s="748">
        <f t="shared" si="30"/>
        <v>228.97242184141024</v>
      </c>
      <c r="D62" s="750">
        <f t="shared" ref="D62:D67" si="31">100*((B62/B61)-1)</f>
        <v>1.6295791446583774</v>
      </c>
      <c r="E62" s="750">
        <f t="shared" si="28"/>
        <v>32.634799779410464</v>
      </c>
      <c r="F62" s="751">
        <f t="shared" si="27"/>
        <v>21.800924640190811</v>
      </c>
      <c r="G62" s="840">
        <f t="shared" si="29"/>
        <v>82.422744733429582</v>
      </c>
      <c r="H62" s="842">
        <f>$B$253/B62</f>
        <v>2.0918935780657595</v>
      </c>
    </row>
    <row r="63" spans="1:8" ht="16.5" hidden="1" thickBot="1">
      <c r="A63" s="973" t="s">
        <v>409</v>
      </c>
      <c r="B63" s="748">
        <f>+geral!K1004</f>
        <v>1500.42</v>
      </c>
      <c r="C63" s="748">
        <f t="shared" si="30"/>
        <v>230.39432467293165</v>
      </c>
      <c r="D63" s="750">
        <f t="shared" si="31"/>
        <v>0.62099305238874081</v>
      </c>
      <c r="E63" s="750">
        <f t="shared" si="28"/>
        <v>33.458452671090335</v>
      </c>
      <c r="F63" s="751">
        <f t="shared" si="27"/>
        <v>22.557299919951657</v>
      </c>
      <c r="G63" s="840">
        <f t="shared" si="29"/>
        <v>78.224666516207961</v>
      </c>
      <c r="H63" s="842">
        <f>$B$253/B63</f>
        <v>2.078983236606109</v>
      </c>
    </row>
    <row r="64" spans="1:8" ht="16.5" hidden="1" thickBot="1">
      <c r="A64" s="973" t="s">
        <v>410</v>
      </c>
      <c r="B64" s="748">
        <f>+geral!K1005</f>
        <v>1502.21</v>
      </c>
      <c r="C64" s="748">
        <f t="shared" si="30"/>
        <v>230.66918493950001</v>
      </c>
      <c r="D64" s="750">
        <f t="shared" si="31"/>
        <v>0.11929992935311162</v>
      </c>
      <c r="E64" s="750">
        <f t="shared" si="28"/>
        <v>33.617668510842691</v>
      </c>
      <c r="F64" s="751">
        <f t="shared" ref="F64:F69" si="32">100*((B64/B52)-1)</f>
        <v>33.617668510842691</v>
      </c>
      <c r="G64" s="840">
        <f t="shared" si="29"/>
        <v>77.180836006793726</v>
      </c>
      <c r="H64" s="842">
        <f>$B$253/B64</f>
        <v>2.0765059664551146</v>
      </c>
    </row>
    <row r="65" spans="1:8" ht="16.5" hidden="1" thickBot="1">
      <c r="A65" s="973" t="s">
        <v>411</v>
      </c>
      <c r="B65" s="748">
        <f>+geral!M994</f>
        <v>1518.72</v>
      </c>
      <c r="C65" s="748">
        <f t="shared" si="30"/>
        <v>233.2043486272342</v>
      </c>
      <c r="D65" s="750">
        <f t="shared" si="31"/>
        <v>1.0990474034921816</v>
      </c>
      <c r="E65" s="750">
        <f t="shared" ref="E65:E70" si="33">100*((B65/$B$64-1))</f>
        <v>1.0990474034921816</v>
      </c>
      <c r="F65" s="751">
        <f t="shared" si="32"/>
        <v>24.052080440429325</v>
      </c>
      <c r="G65" s="840">
        <f t="shared" si="29"/>
        <v>68.825451877542861</v>
      </c>
      <c r="H65" s="842">
        <f>$B$253/B65</f>
        <v>2.0539322770942228</v>
      </c>
    </row>
    <row r="66" spans="1:8" ht="16.5" hidden="1" thickBot="1">
      <c r="A66" s="973" t="s">
        <v>412</v>
      </c>
      <c r="B66" s="748">
        <f>+geral!M995</f>
        <v>1554.53</v>
      </c>
      <c r="C66" s="748">
        <f t="shared" si="30"/>
        <v>238.70308949081752</v>
      </c>
      <c r="D66" s="750">
        <f t="shared" si="31"/>
        <v>2.3579066582385177</v>
      </c>
      <c r="E66" s="750">
        <f t="shared" si="33"/>
        <v>3.4828685736348453</v>
      </c>
      <c r="F66" s="751">
        <f t="shared" si="32"/>
        <v>26.977112704817596</v>
      </c>
      <c r="G66" s="840">
        <f t="shared" ref="G66:G71" si="34">100*(B66/B42-1)</f>
        <v>79.273004047835968</v>
      </c>
      <c r="H66" s="842">
        <f>$B$253/B66</f>
        <v>2.0066180954169672</v>
      </c>
    </row>
    <row r="67" spans="1:8" ht="16.5" hidden="1" thickBot="1">
      <c r="A67" s="973" t="s">
        <v>413</v>
      </c>
      <c r="B67" s="748">
        <f>+geral!M996</f>
        <v>1578.09</v>
      </c>
      <c r="C67" s="748">
        <f t="shared" si="30"/>
        <v>242.32080339045513</v>
      </c>
      <c r="D67" s="750">
        <f t="shared" si="31"/>
        <v>1.5155706226319232</v>
      </c>
      <c r="E67" s="750">
        <f t="shared" si="33"/>
        <v>5.0512245291936431</v>
      </c>
      <c r="F67" s="751">
        <f t="shared" si="32"/>
        <v>28.90154052243803</v>
      </c>
      <c r="G67" s="840">
        <f t="shared" si="34"/>
        <v>78.069779512987722</v>
      </c>
      <c r="H67" s="842">
        <f>$B$253/B67</f>
        <v>1.9766604109198702</v>
      </c>
    </row>
    <row r="68" spans="1:8" ht="16.5" hidden="1" thickBot="1">
      <c r="A68" s="973" t="s">
        <v>414</v>
      </c>
      <c r="B68" s="748">
        <f>+geral!M997</f>
        <v>1574.58</v>
      </c>
      <c r="C68" s="748">
        <f t="shared" si="30"/>
        <v>241.78183158282661</v>
      </c>
      <c r="D68" s="750">
        <f t="shared" ref="D68:D73" si="35">100*((B68/B67)-1)</f>
        <v>-0.22242077448054731</v>
      </c>
      <c r="E68" s="750">
        <f t="shared" si="33"/>
        <v>4.8175687819945301</v>
      </c>
      <c r="F68" s="751">
        <f t="shared" si="32"/>
        <v>26.298818490266363</v>
      </c>
      <c r="G68" s="840">
        <f t="shared" si="34"/>
        <v>76.736407309298244</v>
      </c>
      <c r="H68" s="842">
        <f>$B$253/B68</f>
        <v>1.9810667148500158</v>
      </c>
    </row>
    <row r="69" spans="1:8" ht="16.5" hidden="1" thickBot="1">
      <c r="A69" s="973" t="s">
        <v>415</v>
      </c>
      <c r="B69" s="748">
        <f>+geral!M998</f>
        <v>1592.18</v>
      </c>
      <c r="C69" s="748">
        <f t="shared" si="30"/>
        <v>244.48436828204655</v>
      </c>
      <c r="D69" s="750">
        <f t="shared" si="35"/>
        <v>1.1177583863633656</v>
      </c>
      <c r="E69" s="750">
        <f t="shared" si="33"/>
        <v>5.9891759474374417</v>
      </c>
      <c r="F69" s="751">
        <f t="shared" si="32"/>
        <v>20.180854757627454</v>
      </c>
      <c r="G69" s="840">
        <f t="shared" si="34"/>
        <v>77.768101378886854</v>
      </c>
      <c r="H69" s="842">
        <f>$B$253/B69</f>
        <v>1.9591679507772599</v>
      </c>
    </row>
    <row r="70" spans="1:8" ht="16.5" hidden="1" thickBot="1">
      <c r="A70" s="973" t="s">
        <v>416</v>
      </c>
      <c r="B70" s="748">
        <f>+geral!M999</f>
        <v>1581.6</v>
      </c>
      <c r="C70" s="748">
        <f t="shared" si="30"/>
        <v>242.85977519808364</v>
      </c>
      <c r="D70" s="750">
        <f t="shared" si="35"/>
        <v>-0.66449773266842316</v>
      </c>
      <c r="E70" s="750">
        <f t="shared" si="33"/>
        <v>5.2848802763927782</v>
      </c>
      <c r="F70" s="751">
        <f t="shared" ref="F70:F75" si="36">100*((B70/B58)-1)</f>
        <v>13.538309129151971</v>
      </c>
      <c r="G70" s="840">
        <f t="shared" si="34"/>
        <v>75.891635805558309</v>
      </c>
      <c r="H70" s="842">
        <f>$B$253/B70</f>
        <v>1.9722736645602794</v>
      </c>
    </row>
    <row r="71" spans="1:8" ht="16.5" hidden="1" thickBot="1">
      <c r="A71" s="973" t="s">
        <v>417</v>
      </c>
      <c r="B71" s="748">
        <f>+geral!M1000</f>
        <v>1557.97</v>
      </c>
      <c r="C71" s="748">
        <f t="shared" si="30"/>
        <v>239.23131257293778</v>
      </c>
      <c r="D71" s="750">
        <f t="shared" si="35"/>
        <v>-1.4940566514921483</v>
      </c>
      <c r="E71" s="750">
        <f t="shared" ref="E71:E76" si="37">100*((B71/$B$64-1))</f>
        <v>3.7118645196077882</v>
      </c>
      <c r="F71" s="751">
        <f t="shared" si="36"/>
        <v>10.387070718521741</v>
      </c>
      <c r="G71" s="840">
        <f t="shared" si="34"/>
        <v>69.685781190437297</v>
      </c>
      <c r="H71" s="842">
        <f>$B$253/B71</f>
        <v>2.0021874797772345</v>
      </c>
    </row>
    <row r="72" spans="1:8" ht="16.5" hidden="1" thickBot="1">
      <c r="A72" s="973" t="s">
        <v>418</v>
      </c>
      <c r="B72" s="748">
        <f>+geral!M1001</f>
        <v>1582.43</v>
      </c>
      <c r="C72" s="748">
        <f t="shared" si="30"/>
        <v>242.98722437196733</v>
      </c>
      <c r="D72" s="750">
        <f t="shared" si="35"/>
        <v>1.5699917199946123</v>
      </c>
      <c r="E72" s="750">
        <f t="shared" si="37"/>
        <v>5.3401322052176514</v>
      </c>
      <c r="F72" s="751">
        <f t="shared" si="36"/>
        <v>11.829347580280425</v>
      </c>
      <c r="G72" s="840">
        <f t="shared" ref="G72:G77" si="38">100*(B72/B48-1)</f>
        <v>69.137122029949012</v>
      </c>
      <c r="H72" s="842">
        <f>$B$253/B72</f>
        <v>1.9712391877482971</v>
      </c>
    </row>
    <row r="73" spans="1:8" ht="16.5" hidden="1" thickBot="1">
      <c r="A73" s="973" t="s">
        <v>419</v>
      </c>
      <c r="B73" s="748">
        <f>+geral!M1002</f>
        <v>1570.09</v>
      </c>
      <c r="C73" s="748">
        <f t="shared" si="30"/>
        <v>241.09237761808242</v>
      </c>
      <c r="D73" s="750">
        <f t="shared" si="35"/>
        <v>-0.77981332507599532</v>
      </c>
      <c r="E73" s="750">
        <f t="shared" si="37"/>
        <v>4.5186758176286812</v>
      </c>
      <c r="F73" s="751">
        <f t="shared" si="36"/>
        <v>7.0090304992332486</v>
      </c>
      <c r="G73" s="840">
        <f t="shared" si="38"/>
        <v>67.974366655255025</v>
      </c>
      <c r="H73" s="842">
        <f>$B$253/B73</f>
        <v>1.9867319885283889</v>
      </c>
    </row>
    <row r="74" spans="1:8" ht="16.5" hidden="1" thickBot="1">
      <c r="A74" s="973" t="s">
        <v>420</v>
      </c>
      <c r="B74" s="748">
        <f>+geral!M1003</f>
        <v>1569.1</v>
      </c>
      <c r="C74" s="748">
        <f t="shared" si="30"/>
        <v>240.94035992875129</v>
      </c>
      <c r="D74" s="750">
        <f t="shared" ref="D74:D79" si="39">100*((B74/B73)-1)</f>
        <v>-6.3053710296867571E-2</v>
      </c>
      <c r="E74" s="750">
        <f t="shared" si="37"/>
        <v>4.4527729145725115</v>
      </c>
      <c r="F74" s="751">
        <f t="shared" si="36"/>
        <v>5.2268032940797626</v>
      </c>
      <c r="G74" s="840">
        <f t="shared" si="38"/>
        <v>28.167219381503926</v>
      </c>
      <c r="H74" s="842">
        <f>$B$253/B74</f>
        <v>1.9879854871381926</v>
      </c>
    </row>
    <row r="75" spans="1:8" ht="16.5" hidden="1" thickBot="1">
      <c r="A75" s="973" t="s">
        <v>421</v>
      </c>
      <c r="B75" s="748">
        <f>+geral!M1004</f>
        <v>1583.91</v>
      </c>
      <c r="C75" s="748">
        <f t="shared" si="30"/>
        <v>243.21448313985627</v>
      </c>
      <c r="D75" s="750">
        <f t="shared" si="39"/>
        <v>0.94385316423428733</v>
      </c>
      <c r="E75" s="750">
        <f t="shared" si="37"/>
        <v>5.4386537168571669</v>
      </c>
      <c r="F75" s="751">
        <f t="shared" si="36"/>
        <v>5.5644419562522529</v>
      </c>
      <c r="G75" s="840">
        <f t="shared" si="38"/>
        <v>29.376929737147339</v>
      </c>
      <c r="H75" s="842">
        <f>$B$253/B75</f>
        <v>1.9693972687012127</v>
      </c>
    </row>
    <row r="76" spans="1:8" ht="16.5" hidden="1" thickBot="1">
      <c r="A76" s="973" t="s">
        <v>422</v>
      </c>
      <c r="B76" s="748">
        <f>+geral!M1005</f>
        <v>1576.83</v>
      </c>
      <c r="C76" s="748">
        <f t="shared" si="30"/>
        <v>242.12732633130642</v>
      </c>
      <c r="D76" s="750">
        <f t="shared" si="39"/>
        <v>-0.44699509441825658</v>
      </c>
      <c r="E76" s="750">
        <f t="shared" si="37"/>
        <v>4.9673481071221604</v>
      </c>
      <c r="F76" s="751">
        <f t="shared" ref="F76:F81" si="40">100*((B76/B64)-1)</f>
        <v>4.9673481071221604</v>
      </c>
      <c r="G76" s="840">
        <f t="shared" si="38"/>
        <v>40.254923238396813</v>
      </c>
      <c r="H76" s="842">
        <f>$B$253/B76</f>
        <v>1.9782399040280423</v>
      </c>
    </row>
    <row r="77" spans="1:8" ht="16.5" hidden="1" thickBot="1">
      <c r="A77" s="973" t="s">
        <v>423</v>
      </c>
      <c r="B77" s="748">
        <f>geral!C1009</f>
        <v>1608.52</v>
      </c>
      <c r="C77" s="748">
        <f t="shared" si="30"/>
        <v>246.9934279221178</v>
      </c>
      <c r="D77" s="750">
        <f t="shared" si="39"/>
        <v>2.0097283790897036</v>
      </c>
      <c r="E77" s="750">
        <f t="shared" ref="E77:E82" si="41">100*((B77/$B$76-1))</f>
        <v>2.0097283790897036</v>
      </c>
      <c r="F77" s="751">
        <f t="shared" si="40"/>
        <v>5.9128739991571866</v>
      </c>
      <c r="G77" s="840">
        <f t="shared" si="38"/>
        <v>31.387123650205019</v>
      </c>
      <c r="H77" s="842">
        <f>$B$253/B77</f>
        <v>1.9392659263599694</v>
      </c>
    </row>
    <row r="78" spans="1:8" ht="16.5" hidden="1" thickBot="1">
      <c r="A78" s="973" t="s">
        <v>424</v>
      </c>
      <c r="B78" s="748">
        <f>geral!C1010</f>
        <v>1608.52</v>
      </c>
      <c r="C78" s="748">
        <f t="shared" si="30"/>
        <v>246.9934279221178</v>
      </c>
      <c r="D78" s="750">
        <f t="shared" si="39"/>
        <v>0</v>
      </c>
      <c r="E78" s="750">
        <f t="shared" si="41"/>
        <v>2.0097283790897036</v>
      </c>
      <c r="F78" s="751">
        <f t="shared" si="40"/>
        <v>3.4730754633233163</v>
      </c>
      <c r="G78" s="840">
        <f t="shared" ref="G78:G83" si="42">100*(B78/B54-1)</f>
        <v>31.387123650205019</v>
      </c>
      <c r="H78" s="842">
        <f>$B$253/B78</f>
        <v>1.9392659263599694</v>
      </c>
    </row>
    <row r="79" spans="1:8" ht="16.5" hidden="1" thickBot="1">
      <c r="A79" s="973" t="s">
        <v>425</v>
      </c>
      <c r="B79" s="748">
        <f>geral!C1011</f>
        <v>1608.52</v>
      </c>
      <c r="C79" s="748">
        <f t="shared" si="30"/>
        <v>246.9934279221178</v>
      </c>
      <c r="D79" s="750">
        <f t="shared" si="39"/>
        <v>0</v>
      </c>
      <c r="E79" s="750">
        <f t="shared" si="41"/>
        <v>2.0097283790897036</v>
      </c>
      <c r="F79" s="751">
        <f t="shared" si="40"/>
        <v>1.9282803895848799</v>
      </c>
      <c r="G79" s="840">
        <f t="shared" si="42"/>
        <v>31.387123650205019</v>
      </c>
      <c r="H79" s="842">
        <f>$B$253/B79</f>
        <v>1.9392659263599694</v>
      </c>
    </row>
    <row r="80" spans="1:8" ht="16.5" hidden="1" thickBot="1">
      <c r="A80" s="973" t="s">
        <v>426</v>
      </c>
      <c r="B80" s="748">
        <f>geral!C1012</f>
        <v>1656.39</v>
      </c>
      <c r="C80" s="748">
        <f t="shared" si="30"/>
        <v>254.34402063755297</v>
      </c>
      <c r="D80" s="750">
        <f t="shared" ref="D80:D85" si="43">100*((B80/B79)-1)</f>
        <v>2.9760276527491136</v>
      </c>
      <c r="E80" s="750">
        <f t="shared" si="41"/>
        <v>5.0455661041456601</v>
      </c>
      <c r="F80" s="751">
        <f t="shared" si="40"/>
        <v>5.1956712266128191</v>
      </c>
      <c r="G80" s="840">
        <f t="shared" si="42"/>
        <v>32.860889862117105</v>
      </c>
      <c r="H80" s="842">
        <f>$B$253/B80</f>
        <v>1.8832207559020144</v>
      </c>
    </row>
    <row r="81" spans="1:10" ht="16.5" hidden="1" thickBot="1">
      <c r="A81" s="973" t="s">
        <v>427</v>
      </c>
      <c r="B81" s="748">
        <f>geral!C1013</f>
        <v>1672.97</v>
      </c>
      <c r="C81" s="748">
        <f t="shared" si="30"/>
        <v>256.88993305079538</v>
      </c>
      <c r="D81" s="750">
        <f t="shared" si="43"/>
        <v>1.0009719933107508</v>
      </c>
      <c r="E81" s="750">
        <f t="shared" si="41"/>
        <v>6.0970428010628908</v>
      </c>
      <c r="F81" s="751">
        <f t="shared" si="40"/>
        <v>5.0741750304613698</v>
      </c>
      <c r="G81" s="840">
        <f t="shared" si="42"/>
        <v>26.279041681134039</v>
      </c>
      <c r="H81" s="842">
        <f>$B$253/B81</f>
        <v>1.8645570619129679</v>
      </c>
    </row>
    <row r="82" spans="1:10" ht="16.5" hidden="1" thickBot="1">
      <c r="A82" s="973" t="s">
        <v>428</v>
      </c>
      <c r="B82" s="748">
        <f>geral!C1014</f>
        <v>1660.84</v>
      </c>
      <c r="C82" s="748">
        <f t="shared" si="30"/>
        <v>255.02733247343528</v>
      </c>
      <c r="D82" s="750">
        <f t="shared" si="43"/>
        <v>-0.72505783128209433</v>
      </c>
      <c r="E82" s="750">
        <f t="shared" si="41"/>
        <v>5.3277778834750711</v>
      </c>
      <c r="F82" s="751">
        <f t="shared" ref="F82:F87" si="44">100*((B82/B70)-1)</f>
        <v>5.0101163378856839</v>
      </c>
      <c r="G82" s="840">
        <f t="shared" si="42"/>
        <v>19.22671050459077</v>
      </c>
      <c r="H82" s="842">
        <f>$B$253/B82</f>
        <v>1.8781749162282568</v>
      </c>
    </row>
    <row r="83" spans="1:10" ht="16.5" hidden="1" thickBot="1">
      <c r="A83" s="973" t="s">
        <v>429</v>
      </c>
      <c r="B83" s="748">
        <f>geral!C1015</f>
        <v>1672.8</v>
      </c>
      <c r="C83" s="748">
        <f t="shared" si="30"/>
        <v>256.86382900313248</v>
      </c>
      <c r="D83" s="750">
        <f t="shared" si="43"/>
        <v>0.72011753088798702</v>
      </c>
      <c r="E83" s="750">
        <f t="shared" ref="E83:E88" si="45">100*((B83/$B$76-1))</f>
        <v>6.086261676908733</v>
      </c>
      <c r="F83" s="751">
        <f t="shared" si="44"/>
        <v>7.370488520318097</v>
      </c>
      <c r="G83" s="840">
        <f t="shared" si="42"/>
        <v>18.523137093745802</v>
      </c>
      <c r="H83" s="842">
        <f>$B$253/B83</f>
        <v>1.8647465494192599</v>
      </c>
    </row>
    <row r="84" spans="1:10" ht="16.5" hidden="1" thickBot="1">
      <c r="A84" s="973" t="s">
        <v>430</v>
      </c>
      <c r="B84" s="748">
        <f>geral!C1016</f>
        <v>1691.65</v>
      </c>
      <c r="C84" s="748">
        <f t="shared" si="30"/>
        <v>259.75830722928566</v>
      </c>
      <c r="D84" s="750">
        <f t="shared" si="43"/>
        <v>1.1268531802965276</v>
      </c>
      <c r="E84" s="750">
        <f t="shared" si="45"/>
        <v>7.2816980904726769</v>
      </c>
      <c r="F84" s="751">
        <f t="shared" si="44"/>
        <v>6.902043060356533</v>
      </c>
      <c r="G84" s="840">
        <f t="shared" ref="G84:G89" si="46">100*(B84/B60-1)</f>
        <v>19.547857304387172</v>
      </c>
      <c r="H84" s="842">
        <f>$B$253/B84</f>
        <v>1.8439677402941139</v>
      </c>
    </row>
    <row r="85" spans="1:10" ht="16.5" hidden="1" thickBot="1">
      <c r="A85" s="973" t="s">
        <v>431</v>
      </c>
      <c r="B85" s="748">
        <f>geral!C1017</f>
        <v>1664.71</v>
      </c>
      <c r="C85" s="748">
        <f t="shared" si="30"/>
        <v>255.62158344082059</v>
      </c>
      <c r="D85" s="750">
        <f t="shared" si="43"/>
        <v>-1.5925280052020208</v>
      </c>
      <c r="E85" s="750">
        <f t="shared" si="45"/>
        <v>5.5732070039256065</v>
      </c>
      <c r="F85" s="751">
        <f t="shared" si="44"/>
        <v>6.026406129584938</v>
      </c>
      <c r="G85" s="840">
        <f t="shared" si="46"/>
        <v>13.457829272448452</v>
      </c>
      <c r="H85" s="842">
        <f>$B$253/B85</f>
        <v>1.873808668097469</v>
      </c>
    </row>
    <row r="86" spans="1:10" ht="16.5" hidden="1" thickBot="1">
      <c r="A86" s="973" t="s">
        <v>432</v>
      </c>
      <c r="B86" s="748">
        <f>geral!C1018</f>
        <v>1678.11</v>
      </c>
      <c r="C86" s="748">
        <f t="shared" si="30"/>
        <v>257.67919660954487</v>
      </c>
      <c r="D86" s="750">
        <f t="shared" ref="D86:D91" si="47">100*((B86/B85)-1)</f>
        <v>0.80494500543637493</v>
      </c>
      <c r="E86" s="750">
        <f t="shared" si="45"/>
        <v>6.4230132607827173</v>
      </c>
      <c r="F86" s="751">
        <f t="shared" si="44"/>
        <v>6.947294627493461</v>
      </c>
      <c r="G86" s="840">
        <f t="shared" si="46"/>
        <v>12.537219346012485</v>
      </c>
      <c r="H86" s="842">
        <f>$B$253/B86</f>
        <v>1.8588459802209261</v>
      </c>
    </row>
    <row r="87" spans="1:10" ht="16.5" hidden="1" thickBot="1">
      <c r="A87" s="973" t="s">
        <v>433</v>
      </c>
      <c r="B87" s="748">
        <f>geral!C1019</f>
        <v>1659.38</v>
      </c>
      <c r="C87" s="748">
        <f t="shared" si="30"/>
        <v>254.80314476997728</v>
      </c>
      <c r="D87" s="750">
        <f t="shared" si="47"/>
        <v>-1.1161366060627564</v>
      </c>
      <c r="E87" s="750">
        <f t="shared" si="45"/>
        <v>5.2351870525040756</v>
      </c>
      <c r="F87" s="751">
        <f t="shared" si="44"/>
        <v>4.7647909287775292</v>
      </c>
      <c r="G87" s="840">
        <f t="shared" si="46"/>
        <v>10.594366910598364</v>
      </c>
      <c r="H87" s="842">
        <f>$B$253/B87</f>
        <v>1.8798274222110292</v>
      </c>
    </row>
    <row r="88" spans="1:10" ht="16.5" hidden="1" thickBot="1">
      <c r="A88" s="973" t="s">
        <v>434</v>
      </c>
      <c r="B88" s="748">
        <f>geral!C1020</f>
        <v>1700.67</v>
      </c>
      <c r="C88" s="748">
        <f t="shared" si="30"/>
        <v>261.14335728763587</v>
      </c>
      <c r="D88" s="750">
        <f t="shared" si="47"/>
        <v>2.4882787547156227</v>
      </c>
      <c r="E88" s="750">
        <f t="shared" si="45"/>
        <v>7.8537318544167789</v>
      </c>
      <c r="F88" s="751">
        <f t="shared" ref="F88:F93" si="48">100*((B88/B76)-1)</f>
        <v>7.8537318544167789</v>
      </c>
      <c r="G88" s="840">
        <f t="shared" si="46"/>
        <v>13.211202162147773</v>
      </c>
      <c r="H88" s="842">
        <f>$B$253/B88</f>
        <v>1.8341877188805222</v>
      </c>
    </row>
    <row r="89" spans="1:10" ht="16.5" hidden="1" thickBot="1">
      <c r="A89" s="973" t="s">
        <v>435</v>
      </c>
      <c r="B89" s="748">
        <f>geral!E1009</f>
        <v>1722.31</v>
      </c>
      <c r="C89" s="748">
        <f t="shared" ref="C89:C148" si="49">100*B89/$B$8</f>
        <v>264.46624900190403</v>
      </c>
      <c r="D89" s="750">
        <f t="shared" si="47"/>
        <v>1.2724396855356979</v>
      </c>
      <c r="E89" s="750">
        <f t="shared" ref="E89:E94" si="50">100*((B89/$B$88-1))</f>
        <v>1.2724396855356979</v>
      </c>
      <c r="F89" s="751">
        <f t="shared" si="48"/>
        <v>7.074204859125155</v>
      </c>
      <c r="G89" s="840">
        <f t="shared" si="46"/>
        <v>13.405367678044655</v>
      </c>
      <c r="H89" s="842">
        <f>$B$253/B89</f>
        <v>1.8111420289428373</v>
      </c>
    </row>
    <row r="90" spans="1:10" ht="16.5" hidden="1" thickBot="1">
      <c r="A90" s="973" t="s">
        <v>436</v>
      </c>
      <c r="B90" s="748">
        <f>geral!E1010</f>
        <v>1722.31</v>
      </c>
      <c r="C90" s="748">
        <f t="shared" si="49"/>
        <v>264.46624900190403</v>
      </c>
      <c r="D90" s="750">
        <f t="shared" si="47"/>
        <v>0</v>
      </c>
      <c r="E90" s="750">
        <f t="shared" si="50"/>
        <v>1.2724396855356979</v>
      </c>
      <c r="F90" s="751">
        <f t="shared" si="48"/>
        <v>7.074204859125155</v>
      </c>
      <c r="G90" s="840">
        <f t="shared" ref="G90:G100" si="51">100*(B90/B66-1)</f>
        <v>10.792972795635979</v>
      </c>
      <c r="H90" s="842">
        <f>$B$253/B90</f>
        <v>1.8111420289428373</v>
      </c>
    </row>
    <row r="91" spans="1:10" ht="16.5" hidden="1" thickBot="1">
      <c r="A91" s="973" t="s">
        <v>437</v>
      </c>
      <c r="B91" s="748">
        <f>geral!E1011</f>
        <v>1767.22</v>
      </c>
      <c r="C91" s="748">
        <f t="shared" si="49"/>
        <v>271.36232418156135</v>
      </c>
      <c r="D91" s="750">
        <f t="shared" si="47"/>
        <v>2.6075445186987345</v>
      </c>
      <c r="E91" s="750">
        <f t="shared" si="50"/>
        <v>3.9131636355083543</v>
      </c>
      <c r="F91" s="751">
        <f t="shared" si="48"/>
        <v>9.8662124188695124</v>
      </c>
      <c r="G91" s="840">
        <f t="shared" si="51"/>
        <v>11.984741047722247</v>
      </c>
      <c r="H91" s="842">
        <f>$B$253/B91</f>
        <v>1.7651158474148878</v>
      </c>
    </row>
    <row r="92" spans="1:10" ht="16.5" hidden="1" thickBot="1">
      <c r="A92" s="973" t="s">
        <v>438</v>
      </c>
      <c r="B92" s="748">
        <f>geral!E1012</f>
        <v>1742.11</v>
      </c>
      <c r="C92" s="748">
        <f t="shared" si="49"/>
        <v>267.50660278852649</v>
      </c>
      <c r="D92" s="750">
        <f t="shared" ref="D92:D100" si="52">100*((B92/B91)-1)</f>
        <v>-1.4208757257161087</v>
      </c>
      <c r="E92" s="750">
        <f t="shared" si="50"/>
        <v>2.436686717587766</v>
      </c>
      <c r="F92" s="751">
        <f t="shared" si="48"/>
        <v>5.1751097265740453</v>
      </c>
      <c r="G92" s="840">
        <f t="shared" si="51"/>
        <v>10.639662640196113</v>
      </c>
      <c r="H92" s="842">
        <f>$B$253/B92</f>
        <v>1.7905574434843599</v>
      </c>
    </row>
    <row r="93" spans="1:10" ht="16.5" hidden="1" thickBot="1">
      <c r="A93" s="973" t="s">
        <v>439</v>
      </c>
      <c r="B93" s="748">
        <f>geral!E1013</f>
        <v>1775.1</v>
      </c>
      <c r="C93" s="748">
        <f t="shared" si="49"/>
        <v>272.57232356734846</v>
      </c>
      <c r="D93" s="750">
        <f t="shared" si="52"/>
        <v>1.8936806516236082</v>
      </c>
      <c r="E93" s="750">
        <f t="shared" si="50"/>
        <v>4.3765104341230154</v>
      </c>
      <c r="F93" s="751">
        <f t="shared" si="48"/>
        <v>6.1047119792942972</v>
      </c>
      <c r="G93" s="840">
        <f t="shared" si="51"/>
        <v>11.488650780690612</v>
      </c>
      <c r="H93" s="842">
        <f>$B$253/B93</f>
        <v>1.7572801689305042</v>
      </c>
    </row>
    <row r="94" spans="1:10" ht="16.5" hidden="1" thickBot="1">
      <c r="A94" s="973" t="s">
        <v>440</v>
      </c>
      <c r="B94" s="748">
        <f>geral!E1014</f>
        <v>1759.1697959656328</v>
      </c>
      <c r="C94" s="748">
        <f t="shared" si="49"/>
        <v>270.12618941797695</v>
      </c>
      <c r="D94" s="750">
        <f t="shared" si="52"/>
        <v>-0.89742572443056723</v>
      </c>
      <c r="E94" s="750">
        <f t="shared" si="50"/>
        <v>3.4398087792242293</v>
      </c>
      <c r="F94" s="751">
        <f t="shared" ref="F94:F100" si="53">100*((B94/B82)-1)</f>
        <v>5.9204857762116037</v>
      </c>
      <c r="G94" s="840">
        <f t="shared" si="51"/>
        <v>11.227225339253465</v>
      </c>
      <c r="H94" s="842">
        <f>$B$253/B94</f>
        <v>1.773193261402197</v>
      </c>
    </row>
    <row r="95" spans="1:10" ht="16.5" hidden="1" thickBot="1">
      <c r="A95" s="973" t="s">
        <v>441</v>
      </c>
      <c r="B95" s="748">
        <f>geral!E1015</f>
        <v>1759.1697959656328</v>
      </c>
      <c r="C95" s="748">
        <f t="shared" si="49"/>
        <v>270.12618941797695</v>
      </c>
      <c r="D95" s="750">
        <f t="shared" si="52"/>
        <v>0</v>
      </c>
      <c r="E95" s="750">
        <f t="shared" ref="E95:E100" si="54">100*((B95/$B$88-1))</f>
        <v>3.4398087792242293</v>
      </c>
      <c r="F95" s="751">
        <f t="shared" si="53"/>
        <v>5.1631872289354952</v>
      </c>
      <c r="G95" s="840">
        <f t="shared" si="51"/>
        <v>12.91422787124481</v>
      </c>
      <c r="H95" s="842">
        <f>$B$253/B95</f>
        <v>1.773193261402197</v>
      </c>
      <c r="I95" s="820" t="s">
        <v>241</v>
      </c>
      <c r="J95" s="821"/>
    </row>
    <row r="96" spans="1:10" ht="16.5" hidden="1" thickBot="1">
      <c r="A96" s="973" t="s">
        <v>442</v>
      </c>
      <c r="B96" s="748">
        <f>geral!E1016</f>
        <v>1826.4080994188153</v>
      </c>
      <c r="C96" s="748">
        <f t="shared" si="49"/>
        <v>280.45084752454011</v>
      </c>
      <c r="D96" s="750">
        <f t="shared" si="52"/>
        <v>3.8221610902701153</v>
      </c>
      <c r="E96" s="750">
        <f t="shared" si="54"/>
        <v>7.393444902233548</v>
      </c>
      <c r="F96" s="751">
        <f t="shared" si="53"/>
        <v>7.9660745082502427</v>
      </c>
      <c r="G96" s="840">
        <f t="shared" si="51"/>
        <v>15.417939461386299</v>
      </c>
      <c r="H96" s="842">
        <f>$B$253/B96</f>
        <v>1.7079140356753517</v>
      </c>
    </row>
    <row r="97" spans="1:8" ht="16.5" hidden="1" thickBot="1">
      <c r="A97" s="973" t="s">
        <v>443</v>
      </c>
      <c r="B97" s="748">
        <f>geral!E1017</f>
        <v>1833.5965615880393</v>
      </c>
      <c r="C97" s="748">
        <f t="shared" si="49"/>
        <v>281.55465904859028</v>
      </c>
      <c r="D97" s="750">
        <f t="shared" si="52"/>
        <v>0.39358466333518916</v>
      </c>
      <c r="E97" s="750">
        <f t="shared" si="54"/>
        <v>7.8161290307960485</v>
      </c>
      <c r="F97" s="751">
        <f t="shared" si="53"/>
        <v>10.145104047434049</v>
      </c>
      <c r="G97" s="840">
        <f t="shared" si="51"/>
        <v>16.782895349186312</v>
      </c>
      <c r="H97" s="842">
        <f>$B$253/B97</f>
        <v>1.7012183013513815</v>
      </c>
    </row>
    <row r="98" spans="1:8" ht="16.5" hidden="1" thickBot="1">
      <c r="A98" s="973" t="s">
        <v>444</v>
      </c>
      <c r="B98" s="748">
        <f>geral!E1018</f>
        <v>1844.1647222907757</v>
      </c>
      <c r="C98" s="748">
        <f t="shared" si="49"/>
        <v>283.1774341703175</v>
      </c>
      <c r="D98" s="750">
        <f t="shared" si="52"/>
        <v>0.57636237567895154</v>
      </c>
      <c r="E98" s="750">
        <f t="shared" si="54"/>
        <v>8.4375406334430423</v>
      </c>
      <c r="F98" s="751">
        <f t="shared" si="53"/>
        <v>9.8953419198250181</v>
      </c>
      <c r="G98" s="840">
        <f t="shared" si="51"/>
        <v>17.530095104886612</v>
      </c>
      <c r="H98" s="842">
        <f>$B$253/B98</f>
        <v>1.6914693086601078</v>
      </c>
    </row>
    <row r="99" spans="1:8" ht="16.5" hidden="1" thickBot="1">
      <c r="A99" s="973" t="s">
        <v>445</v>
      </c>
      <c r="B99" s="748">
        <f>geral!E1019</f>
        <v>1840.707158736798</v>
      </c>
      <c r="C99" s="748">
        <f t="shared" si="49"/>
        <v>282.64651414790211</v>
      </c>
      <c r="D99" s="750">
        <f t="shared" si="52"/>
        <v>-0.1874866985679513</v>
      </c>
      <c r="E99" s="750">
        <f t="shared" si="54"/>
        <v>8.2342346685011059</v>
      </c>
      <c r="F99" s="751">
        <f t="shared" si="53"/>
        <v>10.92740413508646</v>
      </c>
      <c r="G99" s="840">
        <f t="shared" si="51"/>
        <v>16.212863024843436</v>
      </c>
      <c r="H99" s="842">
        <f>$B$253/B99</f>
        <v>1.6946465455207003</v>
      </c>
    </row>
    <row r="100" spans="1:8" ht="16.5" hidden="1" thickBot="1">
      <c r="A100" s="973" t="s">
        <v>446</v>
      </c>
      <c r="B100" s="748">
        <f>geral!E1020</f>
        <v>1843.5343629259269</v>
      </c>
      <c r="C100" s="748">
        <f t="shared" si="49"/>
        <v>283.08064045911294</v>
      </c>
      <c r="D100" s="750">
        <f t="shared" si="52"/>
        <v>0.15359337174898346</v>
      </c>
      <c r="E100" s="750">
        <f t="shared" si="54"/>
        <v>8.400475278915188</v>
      </c>
      <c r="F100" s="751">
        <f t="shared" si="53"/>
        <v>8.400475278915188</v>
      </c>
      <c r="G100" s="840">
        <f t="shared" si="51"/>
        <v>16.913957936234535</v>
      </c>
      <c r="H100" s="842">
        <f>$B$253/B100</f>
        <v>1.6920476724489855</v>
      </c>
    </row>
    <row r="101" spans="1:8" ht="16.5" hidden="1" thickBot="1">
      <c r="A101" s="973" t="s">
        <v>447</v>
      </c>
      <c r="B101" s="748">
        <f>geral!G1009</f>
        <v>1871.9472558646896</v>
      </c>
      <c r="C101" s="748">
        <f t="shared" si="49"/>
        <v>287.44353170331823</v>
      </c>
      <c r="D101" s="750">
        <f t="shared" ref="D101:D106" si="55">100*((B101/B100)-1)</f>
        <v>1.5412185153775848</v>
      </c>
      <c r="E101" s="750">
        <f t="shared" ref="E101:E106" si="56">100*((B101/$B$100-1))</f>
        <v>1.5412185153775848</v>
      </c>
      <c r="F101" s="751">
        <f t="shared" ref="F101:F106" si="57">100*((B101/B89)-1)</f>
        <v>8.6881720401489773</v>
      </c>
      <c r="G101" s="840">
        <f t="shared" ref="G101:G106" si="58">100*(B101/B77-1)</f>
        <v>16.376995987907495</v>
      </c>
      <c r="H101" s="842">
        <f>$B$253/B101</f>
        <v>1.6663653412754138</v>
      </c>
    </row>
    <row r="102" spans="1:8" ht="16.5" hidden="1" thickBot="1">
      <c r="A102" s="973" t="s">
        <v>448</v>
      </c>
      <c r="B102" s="748">
        <f>geral!G1010</f>
        <v>1880.3395652590216</v>
      </c>
      <c r="C102" s="748">
        <f t="shared" si="49"/>
        <v>288.73219784703355</v>
      </c>
      <c r="D102" s="750">
        <f t="shared" si="55"/>
        <v>0.44831975730295071</v>
      </c>
      <c r="E102" s="750">
        <f t="shared" si="56"/>
        <v>1.9964478597882085</v>
      </c>
      <c r="F102" s="751">
        <f t="shared" si="57"/>
        <v>9.1754425892563773</v>
      </c>
      <c r="G102" s="840">
        <f t="shared" si="58"/>
        <v>16.898737053876967</v>
      </c>
      <c r="H102" s="842">
        <f>$B$253/B102</f>
        <v>1.6589280391166155</v>
      </c>
    </row>
    <row r="103" spans="1:8" ht="16.5" hidden="1" thickBot="1">
      <c r="A103" s="973" t="s">
        <v>449</v>
      </c>
      <c r="B103" s="748">
        <f>geral!G1011</f>
        <v>1884.05466020378</v>
      </c>
      <c r="C103" s="748">
        <f t="shared" si="49"/>
        <v>289.30266264415269</v>
      </c>
      <c r="D103" s="750">
        <f t="shared" si="55"/>
        <v>0.19757574713621384</v>
      </c>
      <c r="E103" s="750">
        <f t="shared" si="56"/>
        <v>2.1979681036995879</v>
      </c>
      <c r="F103" s="751">
        <f t="shared" si="57"/>
        <v>6.611211971558717</v>
      </c>
      <c r="G103" s="840">
        <f t="shared" si="58"/>
        <v>17.129700607003961</v>
      </c>
      <c r="H103" s="842">
        <f>$B$253/B103</f>
        <v>1.6556568627001236</v>
      </c>
    </row>
    <row r="104" spans="1:8" ht="16.5" hidden="1" thickBot="1">
      <c r="A104" s="973" t="s">
        <v>450</v>
      </c>
      <c r="B104" s="748">
        <f>geral!G1012</f>
        <v>1888.1556024099743</v>
      </c>
      <c r="C104" s="748">
        <f t="shared" si="49"/>
        <v>289.93237553129023</v>
      </c>
      <c r="D104" s="750">
        <f t="shared" si="55"/>
        <v>0.21766577652002628</v>
      </c>
      <c r="E104" s="750">
        <f t="shared" si="56"/>
        <v>2.4204181045601958</v>
      </c>
      <c r="F104" s="751">
        <f t="shared" si="57"/>
        <v>8.3832595192022463</v>
      </c>
      <c r="G104" s="840">
        <f t="shared" si="58"/>
        <v>13.992212124558478</v>
      </c>
      <c r="H104" s="842">
        <f>$B$253/B104</f>
        <v>1.6520608915319868</v>
      </c>
    </row>
    <row r="105" spans="1:8" ht="16.5" hidden="1" thickBot="1">
      <c r="A105" s="973" t="s">
        <v>451</v>
      </c>
      <c r="B105" s="748">
        <f>geral!G1013</f>
        <v>1896.3478019773493</v>
      </c>
      <c r="C105" s="748">
        <f t="shared" si="49"/>
        <v>291.19031416641315</v>
      </c>
      <c r="D105" s="750">
        <f t="shared" si="55"/>
        <v>0.43387311707354659</v>
      </c>
      <c r="E105" s="750">
        <f t="shared" si="56"/>
        <v>2.8647927651102023</v>
      </c>
      <c r="F105" s="751">
        <f t="shared" si="57"/>
        <v>6.8304772676102354</v>
      </c>
      <c r="G105" s="840">
        <f t="shared" si="58"/>
        <v>13.352170210903314</v>
      </c>
      <c r="H105" s="842">
        <f>$B$253/B105</f>
        <v>1.6449240084629775</v>
      </c>
    </row>
    <row r="106" spans="1:8" ht="16.5" hidden="1" thickBot="1">
      <c r="A106" s="973" t="s">
        <v>452</v>
      </c>
      <c r="B106" s="748">
        <f>geral!G1014</f>
        <v>1901.1</v>
      </c>
      <c r="C106" s="748">
        <f t="shared" si="49"/>
        <v>291.92002948221852</v>
      </c>
      <c r="D106" s="750">
        <f t="shared" si="55"/>
        <v>0.2505973860752464</v>
      </c>
      <c r="E106" s="750">
        <f t="shared" si="56"/>
        <v>3.1225692469712962</v>
      </c>
      <c r="F106" s="751">
        <f t="shared" si="57"/>
        <v>8.0680218794036094</v>
      </c>
      <c r="G106" s="840">
        <f t="shared" si="58"/>
        <v>14.466173743406952</v>
      </c>
      <c r="H106" s="842">
        <f>$B$253/B106</f>
        <v>1.6408121760394183</v>
      </c>
    </row>
    <row r="107" spans="1:8" ht="16.5" hidden="1" thickBot="1">
      <c r="A107" s="973" t="s">
        <v>453</v>
      </c>
      <c r="B107" s="748">
        <f>geral!G1015</f>
        <v>1913.33</v>
      </c>
      <c r="C107" s="748">
        <f t="shared" si="49"/>
        <v>293.79798538173333</v>
      </c>
      <c r="D107" s="750">
        <f t="shared" ref="D107:D112" si="59">100*((B107/B106)-1)</f>
        <v>0.64331176687180136</v>
      </c>
      <c r="E107" s="750">
        <f t="shared" ref="E107:E112" si="60">100*((B107/$B$100-1))</f>
        <v>3.7859688692375881</v>
      </c>
      <c r="F107" s="751">
        <f t="shared" ref="F107:F112" si="61">100*((B107/B95)-1)</f>
        <v>8.763236180379419</v>
      </c>
      <c r="G107" s="840">
        <f t="shared" ref="G107:G112" si="62">100*(B107/B83-1)</f>
        <v>14.378885700621712</v>
      </c>
      <c r="H107" s="842">
        <f>$B$253/B107</f>
        <v>1.6303241092067433</v>
      </c>
    </row>
    <row r="108" spans="1:8" ht="16.5" hidden="1" thickBot="1">
      <c r="A108" s="973" t="s">
        <v>454</v>
      </c>
      <c r="B108" s="748">
        <f>geral!G1016</f>
        <v>1924.8681087051721</v>
      </c>
      <c r="C108" s="748">
        <f t="shared" si="49"/>
        <v>295.56969914396723</v>
      </c>
      <c r="D108" s="750">
        <f t="shared" si="59"/>
        <v>0.60303809092900895</v>
      </c>
      <c r="E108" s="750">
        <f t="shared" si="60"/>
        <v>4.4118377945588261</v>
      </c>
      <c r="F108" s="751">
        <f t="shared" si="61"/>
        <v>5.3909095846480293</v>
      </c>
      <c r="G108" s="840">
        <f t="shared" si="62"/>
        <v>13.786427967083736</v>
      </c>
      <c r="H108" s="842">
        <f>$B$253/B108</f>
        <v>1.6205515659807328</v>
      </c>
    </row>
    <row r="109" spans="1:8" ht="16.5" hidden="1" thickBot="1">
      <c r="A109" s="973" t="s">
        <v>455</v>
      </c>
      <c r="B109" s="748">
        <f>geral!G1017</f>
        <v>1929.6799302939569</v>
      </c>
      <c r="C109" s="748">
        <f t="shared" si="49"/>
        <v>296.30856985043255</v>
      </c>
      <c r="D109" s="750">
        <f t="shared" si="59"/>
        <v>0.24998188535740873</v>
      </c>
      <c r="E109" s="750">
        <f t="shared" si="60"/>
        <v>4.6728484752139865</v>
      </c>
      <c r="F109" s="751">
        <f t="shared" si="61"/>
        <v>5.2401586433332925</v>
      </c>
      <c r="G109" s="840">
        <f t="shared" si="62"/>
        <v>15.916882237384101</v>
      </c>
      <c r="H109" s="842">
        <f>$B$253/B109</f>
        <v>1.6165105823499721</v>
      </c>
    </row>
    <row r="110" spans="1:8" ht="16.5" hidden="1" thickBot="1">
      <c r="A110" s="973" t="s">
        <v>456</v>
      </c>
      <c r="B110" s="748">
        <f>geral!G1018</f>
        <v>1949.0336477998665</v>
      </c>
      <c r="C110" s="748">
        <f t="shared" si="49"/>
        <v>299.28039552236754</v>
      </c>
      <c r="D110" s="750">
        <f t="shared" si="59"/>
        <v>1.0029496188500797</v>
      </c>
      <c r="E110" s="750">
        <f t="shared" si="60"/>
        <v>5.7226644100356605</v>
      </c>
      <c r="F110" s="751">
        <f t="shared" si="61"/>
        <v>5.6865270353303909</v>
      </c>
      <c r="G110" s="840">
        <f t="shared" si="62"/>
        <v>16.144570248664671</v>
      </c>
      <c r="H110" s="842">
        <f>$B$253/B110</f>
        <v>1.6004587870454474</v>
      </c>
    </row>
    <row r="111" spans="1:8" ht="16.5" hidden="1" thickBot="1">
      <c r="A111" s="973" t="s">
        <v>457</v>
      </c>
      <c r="B111" s="748">
        <f>geral!G1019</f>
        <v>1952.1574719101689</v>
      </c>
      <c r="C111" s="748">
        <f t="shared" si="49"/>
        <v>299.7600687780494</v>
      </c>
      <c r="D111" s="750">
        <f t="shared" si="59"/>
        <v>0.1602755352032359</v>
      </c>
      <c r="E111" s="750">
        <f t="shared" si="60"/>
        <v>5.8921119762499696</v>
      </c>
      <c r="F111" s="751">
        <f t="shared" si="61"/>
        <v>6.0547552414504935</v>
      </c>
      <c r="G111" s="840">
        <f t="shared" si="62"/>
        <v>17.6437869511606</v>
      </c>
      <c r="H111" s="842">
        <f>$B$253/B111</f>
        <v>1.5978977478780354</v>
      </c>
    </row>
    <row r="112" spans="1:8" ht="16.5" hidden="1" thickBot="1">
      <c r="A112" s="973" t="s">
        <v>458</v>
      </c>
      <c r="B112" s="748">
        <f>geral!G1020</f>
        <v>1951.3513341886544</v>
      </c>
      <c r="C112" s="748">
        <f t="shared" si="49"/>
        <v>299.6362837339006</v>
      </c>
      <c r="D112" s="750">
        <f t="shared" si="59"/>
        <v>-4.1294707681838183E-2</v>
      </c>
      <c r="E112" s="750">
        <f t="shared" si="60"/>
        <v>5.8483841381512525</v>
      </c>
      <c r="F112" s="751">
        <f t="shared" si="61"/>
        <v>5.8483841381512525</v>
      </c>
      <c r="G112" s="840">
        <f t="shared" si="62"/>
        <v>14.740151480807828</v>
      </c>
      <c r="H112" s="842">
        <f>$B$253/B112</f>
        <v>1.5985578676766174</v>
      </c>
    </row>
    <row r="113" spans="1:8" ht="16.5" hidden="1" thickBot="1">
      <c r="A113" s="973" t="s">
        <v>459</v>
      </c>
      <c r="B113" s="748">
        <f>geral!I1009</f>
        <v>1932.2748615944545</v>
      </c>
      <c r="C113" s="748">
        <f t="shared" si="49"/>
        <v>296.70702991131606</v>
      </c>
      <c r="D113" s="750">
        <f t="shared" ref="D113:D118" si="63">100*((B113/B112)-1)</f>
        <v>-0.97760317478305936</v>
      </c>
      <c r="E113" s="750">
        <f t="shared" ref="E113:E118" si="64">100*((B113/$B$112-1))</f>
        <v>-0.97760317478305936</v>
      </c>
      <c r="F113" s="751">
        <f t="shared" ref="F113:F118" si="65">100*((B113/B101)-1)</f>
        <v>3.2227193122435605</v>
      </c>
      <c r="G113" s="840">
        <f t="shared" ref="G113:G118" si="66">100*(B113/B89-1)</f>
        <v>12.190886750611352</v>
      </c>
      <c r="H113" s="842">
        <f>$B$253/B113</f>
        <v>1.6143397038734679</v>
      </c>
    </row>
    <row r="114" spans="1:8" ht="16.5" hidden="1" thickBot="1">
      <c r="A114" s="973" t="s">
        <v>460</v>
      </c>
      <c r="B114" s="748">
        <f>geral!I1010</f>
        <v>1930.6268160066045</v>
      </c>
      <c r="C114" s="748">
        <f t="shared" si="49"/>
        <v>296.45396720204599</v>
      </c>
      <c r="D114" s="750">
        <f t="shared" si="63"/>
        <v>-8.5290432567652896E-2</v>
      </c>
      <c r="E114" s="750">
        <f t="shared" si="64"/>
        <v>-1.0620598053741492</v>
      </c>
      <c r="F114" s="751">
        <f t="shared" si="65"/>
        <v>2.6743707188151333</v>
      </c>
      <c r="G114" s="840">
        <f t="shared" si="66"/>
        <v>12.095198658000283</v>
      </c>
      <c r="H114" s="842">
        <f>$B$253/B114</f>
        <v>1.6157177565370908</v>
      </c>
    </row>
    <row r="115" spans="1:8" ht="16.5" hidden="1" thickBot="1">
      <c r="A115" s="973" t="s">
        <v>461</v>
      </c>
      <c r="B115" s="748">
        <f>geral!I1011</f>
        <v>1929.7021093042104</v>
      </c>
      <c r="C115" s="748">
        <f t="shared" si="49"/>
        <v>296.31197550890766</v>
      </c>
      <c r="D115" s="750">
        <f t="shared" si="63"/>
        <v>-4.7896708712813485E-2</v>
      </c>
      <c r="E115" s="750">
        <f t="shared" si="64"/>
        <v>-1.1094478223956261</v>
      </c>
      <c r="F115" s="751">
        <f t="shared" si="65"/>
        <v>2.4228304021441271</v>
      </c>
      <c r="G115" s="840">
        <f t="shared" si="66"/>
        <v>9.1942208272999473</v>
      </c>
      <c r="H115" s="842">
        <f>$B$253/B115</f>
        <v>1.6164920030031351</v>
      </c>
    </row>
    <row r="116" spans="1:8" ht="16.5" hidden="1" thickBot="1">
      <c r="A116" s="973" t="s">
        <v>462</v>
      </c>
      <c r="B116" s="748">
        <f>geral!I1012</f>
        <v>1931.0945891502854</v>
      </c>
      <c r="C116" s="748">
        <f t="shared" si="49"/>
        <v>296.52579527521118</v>
      </c>
      <c r="D116" s="750">
        <f t="shared" si="63"/>
        <v>7.2160352593342303E-2</v>
      </c>
      <c r="E116" s="750">
        <f t="shared" si="64"/>
        <v>-1.0380880512627644</v>
      </c>
      <c r="F116" s="751">
        <f t="shared" si="65"/>
        <v>2.274123313010068</v>
      </c>
      <c r="G116" s="840">
        <f t="shared" si="66"/>
        <v>10.848028491328643</v>
      </c>
      <c r="H116" s="842">
        <f>$B$253/B116</f>
        <v>1.6153263777933862</v>
      </c>
    </row>
    <row r="117" spans="1:8" ht="16.5" hidden="1" thickBot="1">
      <c r="A117" s="973" t="s">
        <v>463</v>
      </c>
      <c r="B117" s="748">
        <f>geral!I1013</f>
        <v>1935.7327019233389</v>
      </c>
      <c r="C117" s="748">
        <f t="shared" si="49"/>
        <v>297.23799243340994</v>
      </c>
      <c r="D117" s="750">
        <f t="shared" si="63"/>
        <v>0.24018050690590709</v>
      </c>
      <c r="E117" s="750">
        <f t="shared" si="64"/>
        <v>-0.80040082950052494</v>
      </c>
      <c r="F117" s="751">
        <f t="shared" si="65"/>
        <v>2.076881672492914</v>
      </c>
      <c r="G117" s="840">
        <f t="shared" si="66"/>
        <v>9.0492198706179305</v>
      </c>
      <c r="H117" s="842">
        <f>$B$253/B117</f>
        <v>1.6114559746648707</v>
      </c>
    </row>
    <row r="118" spans="1:8" ht="16.5" hidden="1" thickBot="1">
      <c r="A118" s="973" t="s">
        <v>464</v>
      </c>
      <c r="B118" s="748">
        <f>geral!I1014</f>
        <v>1936.8296872452554</v>
      </c>
      <c r="C118" s="748">
        <f t="shared" si="49"/>
        <v>297.40643806357951</v>
      </c>
      <c r="D118" s="750">
        <f t="shared" si="63"/>
        <v>5.667028928253437E-2</v>
      </c>
      <c r="E118" s="750">
        <f t="shared" si="64"/>
        <v>-0.74418412968348946</v>
      </c>
      <c r="F118" s="751">
        <f t="shared" si="65"/>
        <v>1.879421768726286</v>
      </c>
      <c r="G118" s="840">
        <f t="shared" si="66"/>
        <v>10.099075807637004</v>
      </c>
      <c r="H118" s="842">
        <f>$B$253/B118</f>
        <v>1.6105432751318332</v>
      </c>
    </row>
    <row r="119" spans="1:8" ht="16.5" hidden="1" thickBot="1">
      <c r="A119" s="973" t="s">
        <v>465</v>
      </c>
      <c r="B119" s="748">
        <f>geral!I1015</f>
        <v>1936.44</v>
      </c>
      <c r="C119" s="748">
        <f t="shared" si="49"/>
        <v>297.34660033167495</v>
      </c>
      <c r="D119" s="750">
        <f t="shared" ref="D119:D124" si="67">100*((B119/B118)-1)</f>
        <v>-2.0119850899724678E-2</v>
      </c>
      <c r="E119" s="750">
        <f t="shared" ref="E119:E124" si="68">100*((B119/$B$112-1))</f>
        <v>-0.76415425184590546</v>
      </c>
      <c r="F119" s="751">
        <f t="shared" ref="F119:F124" si="69">100*((B119/B107)-1)</f>
        <v>1.2078418255084156</v>
      </c>
      <c r="G119" s="840">
        <f t="shared" ref="G119:G124" si="70">100*(B119/B95-1)</f>
        <v>10.07692403774254</v>
      </c>
      <c r="H119" s="842">
        <f>$B$253/B119</f>
        <v>1.6108673792467301</v>
      </c>
    </row>
    <row r="120" spans="1:8" ht="16.5" hidden="1" thickBot="1">
      <c r="A120" s="973" t="s">
        <v>466</v>
      </c>
      <c r="B120" s="748">
        <f>geral!I1016</f>
        <v>1941.0539869189981</v>
      </c>
      <c r="C120" s="748">
        <f t="shared" si="49"/>
        <v>298.05509288726091</v>
      </c>
      <c r="D120" s="750">
        <f t="shared" si="67"/>
        <v>0.2382716179689659</v>
      </c>
      <c r="E120" s="750">
        <f t="shared" si="68"/>
        <v>-0.52770339657659537</v>
      </c>
      <c r="F120" s="751">
        <f t="shared" si="69"/>
        <v>0.84088245530309358</v>
      </c>
      <c r="G120" s="840">
        <f t="shared" si="70"/>
        <v>6.277123252829675</v>
      </c>
      <c r="H120" s="842">
        <f>$B$253/B120</f>
        <v>1.607038263175681</v>
      </c>
    </row>
    <row r="121" spans="1:8" ht="16.5" hidden="1" thickBot="1">
      <c r="A121" s="973" t="s">
        <v>467</v>
      </c>
      <c r="B121" s="748">
        <f>geral!I1017</f>
        <v>1946.7844043989774</v>
      </c>
      <c r="C121" s="748">
        <f t="shared" si="49"/>
        <v>298.93501695211864</v>
      </c>
      <c r="D121" s="750">
        <f t="shared" si="67"/>
        <v>0.29522195253697259</v>
      </c>
      <c r="E121" s="750">
        <f t="shared" si="68"/>
        <v>-0.23403934031058782</v>
      </c>
      <c r="F121" s="751">
        <f t="shared" si="69"/>
        <v>0.88638917970271791</v>
      </c>
      <c r="G121" s="840">
        <f t="shared" si="70"/>
        <v>6.172996022249766</v>
      </c>
      <c r="H121" s="842">
        <f>$B$253/B121</f>
        <v>1.6023078985120396</v>
      </c>
    </row>
    <row r="122" spans="1:8" ht="16.5" hidden="1" thickBot="1">
      <c r="A122" s="973" t="s">
        <v>468</v>
      </c>
      <c r="B122" s="748">
        <f>geral!I1018</f>
        <v>1958.8494602932753</v>
      </c>
      <c r="C122" s="748">
        <f t="shared" si="49"/>
        <v>300.78764515282774</v>
      </c>
      <c r="D122" s="750">
        <f t="shared" si="67"/>
        <v>0.61974278543817096</v>
      </c>
      <c r="E122" s="750">
        <f t="shared" si="68"/>
        <v>0.38425300320090727</v>
      </c>
      <c r="F122" s="751">
        <f t="shared" si="69"/>
        <v>0.50362457849248976</v>
      </c>
      <c r="G122" s="840">
        <f t="shared" si="70"/>
        <v>6.2187903616354401</v>
      </c>
      <c r="H122" s="842">
        <f>$B$253/B122</f>
        <v>1.5924388734811274</v>
      </c>
    </row>
    <row r="123" spans="1:8" ht="16.5" hidden="1" thickBot="1">
      <c r="A123" s="973" t="s">
        <v>469</v>
      </c>
      <c r="B123" s="748">
        <f>geral!I1019</f>
        <v>1963.2882181070684</v>
      </c>
      <c r="C123" s="748">
        <f t="shared" si="49"/>
        <v>301.46923071480074</v>
      </c>
      <c r="D123" s="750">
        <f t="shared" si="67"/>
        <v>0.22660025202387857</v>
      </c>
      <c r="E123" s="750">
        <f t="shared" si="68"/>
        <v>0.61172397349844587</v>
      </c>
      <c r="F123" s="751">
        <f t="shared" si="69"/>
        <v>0.57017665618994684</v>
      </c>
      <c r="G123" s="840">
        <f t="shared" si="70"/>
        <v>6.6594546986166403</v>
      </c>
      <c r="H123" s="842">
        <f>$B$253/B123</f>
        <v>1.588838561296976</v>
      </c>
    </row>
    <row r="124" spans="1:8" ht="16.5" hidden="1" thickBot="1">
      <c r="A124" s="973" t="s">
        <v>470</v>
      </c>
      <c r="B124" s="748">
        <f>geral!I1020</f>
        <v>1969.7032967476246</v>
      </c>
      <c r="C124" s="748">
        <f t="shared" si="49"/>
        <v>302.45428670653286</v>
      </c>
      <c r="D124" s="750">
        <f t="shared" si="67"/>
        <v>0.32675175154575076</v>
      </c>
      <c r="E124" s="750">
        <f t="shared" si="68"/>
        <v>0.94047454384222906</v>
      </c>
      <c r="F124" s="751">
        <f t="shared" si="69"/>
        <v>0.94047454384222906</v>
      </c>
      <c r="G124" s="840">
        <f t="shared" si="70"/>
        <v>6.843861246038907</v>
      </c>
      <c r="H124" s="842">
        <f>$B$253/B124</f>
        <v>1.5836639117268105</v>
      </c>
    </row>
    <row r="125" spans="1:8" ht="16.5" hidden="1" thickBot="1">
      <c r="A125" s="973" t="s">
        <v>471</v>
      </c>
      <c r="B125" s="748">
        <f>geral!K1009</f>
        <v>1969.2071273248941</v>
      </c>
      <c r="C125" s="748">
        <f t="shared" si="49"/>
        <v>302.3780982932397</v>
      </c>
      <c r="D125" s="750">
        <f t="shared" ref="D125:D130" si="71">100*((B125/B124)-1)</f>
        <v>-2.5190059007851318E-2</v>
      </c>
      <c r="E125" s="750">
        <f t="shared" ref="E125:E130" si="72">100*((B125/$B$124-1))</f>
        <v>-2.5190059007851318E-2</v>
      </c>
      <c r="F125" s="751">
        <f t="shared" ref="F125:F130" si="73">100*((B125/B113)-1)</f>
        <v>1.9113360352866371</v>
      </c>
      <c r="G125" s="840">
        <f t="shared" ref="G125:G130" si="74">100*(B125/B101-1)</f>
        <v>5.1956523430612522</v>
      </c>
      <c r="H125" s="842">
        <f>$B$253/B125</f>
        <v>1.5840629381156435</v>
      </c>
    </row>
    <row r="126" spans="1:8" ht="16.5" hidden="1" thickBot="1">
      <c r="A126" s="973" t="s">
        <v>472</v>
      </c>
      <c r="B126" s="748">
        <f>geral!K1010</f>
        <v>1956.987090326106</v>
      </c>
      <c r="C126" s="748">
        <f t="shared" si="49"/>
        <v>300.5016722446573</v>
      </c>
      <c r="D126" s="750">
        <f t="shared" si="71"/>
        <v>-0.62055620402861056</v>
      </c>
      <c r="E126" s="750">
        <f t="shared" si="72"/>
        <v>-0.64558994456249685</v>
      </c>
      <c r="F126" s="751">
        <f t="shared" si="73"/>
        <v>1.3653738827696493</v>
      </c>
      <c r="G126" s="840">
        <f t="shared" si="74"/>
        <v>4.0762597609079299</v>
      </c>
      <c r="H126" s="842">
        <f>$B$253/B126</f>
        <v>1.5939543205411435</v>
      </c>
    </row>
    <row r="127" spans="1:8" ht="16.5" hidden="1" thickBot="1">
      <c r="A127" s="973" t="s">
        <v>473</v>
      </c>
      <c r="B127" s="748">
        <f>geral!K1011</f>
        <v>1935.0937094608792</v>
      </c>
      <c r="C127" s="748">
        <f t="shared" si="49"/>
        <v>297.13987308225524</v>
      </c>
      <c r="D127" s="750">
        <f t="shared" si="71"/>
        <v>-1.1187289366113573</v>
      </c>
      <c r="E127" s="750">
        <f t="shared" si="72"/>
        <v>-1.757096479652176</v>
      </c>
      <c r="F127" s="751">
        <f t="shared" si="73"/>
        <v>0.27940064586511326</v>
      </c>
      <c r="G127" s="840">
        <f t="shared" si="74"/>
        <v>2.7090004518010469</v>
      </c>
      <c r="H127" s="842">
        <f>$B$253/B127</f>
        <v>1.6119880978464833</v>
      </c>
    </row>
    <row r="128" spans="1:8" ht="16.5" hidden="1" thickBot="1">
      <c r="A128" s="973" t="s">
        <v>474</v>
      </c>
      <c r="B128" s="748">
        <f>geral!K1012</f>
        <v>2093.8764282731167</v>
      </c>
      <c r="C128" s="748">
        <f t="shared" si="49"/>
        <v>321.52147108180037</v>
      </c>
      <c r="D128" s="750">
        <f t="shared" si="71"/>
        <v>8.2054278837211836</v>
      </c>
      <c r="E128" s="750">
        <f t="shared" si="72"/>
        <v>6.3041541195837381</v>
      </c>
      <c r="F128" s="751">
        <f t="shared" si="73"/>
        <v>8.4295114303260643</v>
      </c>
      <c r="G128" s="840">
        <f t="shared" si="74"/>
        <v>10.895332227946032</v>
      </c>
      <c r="H128" s="842">
        <f>$B$253/B128</f>
        <v>1.4897479076361535</v>
      </c>
    </row>
    <row r="129" spans="1:8" ht="16.5" hidden="1" thickBot="1">
      <c r="A129" s="973" t="s">
        <v>475</v>
      </c>
      <c r="B129" s="748">
        <f>geral!K1013</f>
        <v>2022.5595633851344</v>
      </c>
      <c r="C129" s="748">
        <f t="shared" si="49"/>
        <v>310.57053672764795</v>
      </c>
      <c r="D129" s="750">
        <f t="shared" si="71"/>
        <v>-3.4059729564270169</v>
      </c>
      <c r="E129" s="750">
        <f t="shared" si="72"/>
        <v>2.6834633787122142</v>
      </c>
      <c r="F129" s="751">
        <f t="shared" si="73"/>
        <v>4.4854778438947029</v>
      </c>
      <c r="G129" s="840">
        <f t="shared" si="74"/>
        <v>6.6555175836511715</v>
      </c>
      <c r="H129" s="842">
        <f>$B$253/B129</f>
        <v>1.5422774608663299</v>
      </c>
    </row>
    <row r="130" spans="1:8" ht="16.5" hidden="1" thickBot="1">
      <c r="A130" s="973" t="s">
        <v>476</v>
      </c>
      <c r="B130" s="748">
        <f>geral!K1014</f>
        <v>2053.1864299289327</v>
      </c>
      <c r="C130" s="748">
        <f t="shared" si="49"/>
        <v>315.27339075132556</v>
      </c>
      <c r="D130" s="750">
        <f t="shared" si="71"/>
        <v>1.5142627736776548</v>
      </c>
      <c r="E130" s="750">
        <f t="shared" si="72"/>
        <v>4.2383608393789851</v>
      </c>
      <c r="F130" s="751">
        <f t="shared" si="73"/>
        <v>6.0075877321547511</v>
      </c>
      <c r="G130" s="840">
        <f t="shared" si="74"/>
        <v>7.9999174124944838</v>
      </c>
      <c r="H130" s="842">
        <f>$B$253/B130</f>
        <v>1.5192716951555678</v>
      </c>
    </row>
    <row r="131" spans="1:8" ht="16.5" hidden="1" thickBot="1">
      <c r="A131" s="973" t="s">
        <v>477</v>
      </c>
      <c r="B131" s="748">
        <f>geral!K1015</f>
        <v>2091.7189396971444</v>
      </c>
      <c r="C131" s="748">
        <f t="shared" si="49"/>
        <v>321.19018176050986</v>
      </c>
      <c r="D131" s="750">
        <f t="shared" ref="D131:D136" si="75">100*((B131/B130)-1)</f>
        <v>1.8767175355598464</v>
      </c>
      <c r="E131" s="750">
        <f t="shared" ref="E131:E136" si="76">100*((B131/$B$124-1))</f>
        <v>6.1946204360317614</v>
      </c>
      <c r="F131" s="751">
        <f t="shared" ref="F131:F136" si="77">100*((B131/B119)-1)</f>
        <v>8.0187839384202153</v>
      </c>
      <c r="G131" s="840">
        <f t="shared" ref="G131:G136" si="78">100*(B131/B107-1)</f>
        <v>9.3234799902340182</v>
      </c>
      <c r="H131" s="842">
        <f>$B$253/B131</f>
        <v>1.4912844974861592</v>
      </c>
    </row>
    <row r="132" spans="1:8" ht="16.5" hidden="1" thickBot="1">
      <c r="A132" s="973" t="s">
        <v>478</v>
      </c>
      <c r="B132" s="748">
        <f>geral!K1016</f>
        <v>2091.7189396971444</v>
      </c>
      <c r="C132" s="748">
        <f t="shared" si="49"/>
        <v>321.19018176050986</v>
      </c>
      <c r="D132" s="750">
        <f t="shared" si="75"/>
        <v>0</v>
      </c>
      <c r="E132" s="750">
        <f t="shared" si="76"/>
        <v>6.1946204360317614</v>
      </c>
      <c r="F132" s="751">
        <f t="shared" si="77"/>
        <v>7.7620176354442405</v>
      </c>
      <c r="G132" s="840">
        <f t="shared" si="78"/>
        <v>8.6681695352213151</v>
      </c>
      <c r="H132" s="842">
        <f>$B$253/B132</f>
        <v>1.4912844974861592</v>
      </c>
    </row>
    <row r="133" spans="1:8" ht="16.5" hidden="1" thickBot="1">
      <c r="A133" s="973" t="s">
        <v>479</v>
      </c>
      <c r="B133" s="748">
        <f>geral!K1017</f>
        <v>2096.1443798903465</v>
      </c>
      <c r="C133" s="748">
        <f t="shared" si="49"/>
        <v>321.86972235893779</v>
      </c>
      <c r="D133" s="750">
        <f t="shared" si="75"/>
        <v>0.21156954260035388</v>
      </c>
      <c r="E133" s="750">
        <f t="shared" si="76"/>
        <v>6.4192959087544521</v>
      </c>
      <c r="F133" s="751">
        <f t="shared" si="77"/>
        <v>7.6721374567144451</v>
      </c>
      <c r="G133" s="840">
        <f t="shared" si="78"/>
        <v>8.6265316326853849</v>
      </c>
      <c r="H133" s="842">
        <f>$B$253/B133</f>
        <v>1.48813605484166</v>
      </c>
    </row>
    <row r="134" spans="1:8" ht="16.5" hidden="1" thickBot="1">
      <c r="A134" s="973" t="s">
        <v>480</v>
      </c>
      <c r="B134" s="748">
        <f>geral!K1018</f>
        <v>2096.1443798903465</v>
      </c>
      <c r="C134" s="748">
        <f t="shared" si="49"/>
        <v>321.86972235893779</v>
      </c>
      <c r="D134" s="750">
        <f t="shared" si="75"/>
        <v>0</v>
      </c>
      <c r="E134" s="750">
        <f t="shared" si="76"/>
        <v>6.4192959087544521</v>
      </c>
      <c r="F134" s="751">
        <f t="shared" si="77"/>
        <v>7.0089571649122773</v>
      </c>
      <c r="G134" s="840">
        <f t="shared" si="78"/>
        <v>7.5478805743832922</v>
      </c>
      <c r="H134" s="842">
        <f>$B$253/B134</f>
        <v>1.48813605484166</v>
      </c>
    </row>
    <row r="135" spans="1:8" ht="16.5" hidden="1" thickBot="1">
      <c r="A135" s="973" t="s">
        <v>481</v>
      </c>
      <c r="B135" s="748">
        <f>geral!K1019</f>
        <v>2041.4518293807375</v>
      </c>
      <c r="C135" s="748">
        <f t="shared" si="49"/>
        <v>313.47150503358785</v>
      </c>
      <c r="D135" s="750">
        <f t="shared" si="75"/>
        <v>-2.6091976790487137</v>
      </c>
      <c r="E135" s="750">
        <f t="shared" si="76"/>
        <v>3.6426061098432605</v>
      </c>
      <c r="F135" s="751">
        <f t="shared" si="77"/>
        <v>3.9812601406548298</v>
      </c>
      <c r="G135" s="840">
        <f t="shared" si="78"/>
        <v>4.5741370127889702</v>
      </c>
      <c r="H135" s="842">
        <f>$B$253/B135</f>
        <v>1.5280047184923162</v>
      </c>
    </row>
    <row r="136" spans="1:8" ht="16.5" hidden="1" thickBot="1">
      <c r="A136" s="1015" t="s">
        <v>482</v>
      </c>
      <c r="B136" s="755">
        <f>geral!K1020</f>
        <v>2041.4518293807375</v>
      </c>
      <c r="C136" s="755">
        <f t="shared" si="49"/>
        <v>313.47150503358785</v>
      </c>
      <c r="D136" s="756">
        <f t="shared" si="75"/>
        <v>0</v>
      </c>
      <c r="E136" s="756">
        <f t="shared" si="76"/>
        <v>3.6426061098432605</v>
      </c>
      <c r="F136" s="757">
        <f t="shared" si="77"/>
        <v>3.6426061098432605</v>
      </c>
      <c r="G136" s="841">
        <f t="shared" si="78"/>
        <v>4.6173384368810133</v>
      </c>
      <c r="H136" s="922">
        <f>$B$253/B136</f>
        <v>1.5280047184923162</v>
      </c>
    </row>
    <row r="137" spans="1:8">
      <c r="A137" s="1013" t="s">
        <v>483</v>
      </c>
      <c r="B137" s="852">
        <f>geral!M1009</f>
        <v>2060.2056404385162</v>
      </c>
      <c r="C137" s="852">
        <f t="shared" si="49"/>
        <v>316.35121313778581</v>
      </c>
      <c r="D137" s="967">
        <f t="shared" ref="D137:D142" si="79">100*((B137/B136)-1)</f>
        <v>0.91865067732053163</v>
      </c>
      <c r="E137" s="967">
        <f t="shared" ref="E137:E142" si="80">100*((B137/$B$136-1))</f>
        <v>0.91865067732053163</v>
      </c>
      <c r="F137" s="968">
        <f t="shared" ref="F137:F142" si="81">100*((B137/B125)-1)</f>
        <v>4.6210737230694798</v>
      </c>
      <c r="G137" s="969">
        <f t="shared" ref="G137:G142" si="82">100*(B137/B113-1)</f>
        <v>6.6207340056422925</v>
      </c>
      <c r="H137" s="856">
        <f>$B$253/B137</f>
        <v>1.514095470200044</v>
      </c>
    </row>
    <row r="138" spans="1:8">
      <c r="A138" s="1014" t="s">
        <v>484</v>
      </c>
      <c r="B138" s="857">
        <f>geral!M1010</f>
        <v>2032.6070249613531</v>
      </c>
      <c r="C138" s="857">
        <f t="shared" si="49"/>
        <v>312.11335682104186</v>
      </c>
      <c r="D138" s="961">
        <f t="shared" si="79"/>
        <v>-1.339604888727941</v>
      </c>
      <c r="E138" s="961">
        <f t="shared" si="80"/>
        <v>-0.43326050079112166</v>
      </c>
      <c r="F138" s="965">
        <f t="shared" si="81"/>
        <v>3.8640998200272225</v>
      </c>
      <c r="G138" s="966">
        <f t="shared" si="82"/>
        <v>5.2822331125436772</v>
      </c>
      <c r="H138" s="861">
        <f>$B$253/B138</f>
        <v>1.5346537670890159</v>
      </c>
    </row>
    <row r="139" spans="1:8">
      <c r="A139" s="1014" t="s">
        <v>485</v>
      </c>
      <c r="B139" s="857">
        <f>geral!M1011</f>
        <v>2032.6070249613531</v>
      </c>
      <c r="C139" s="857">
        <f t="shared" si="49"/>
        <v>312.11335682104186</v>
      </c>
      <c r="D139" s="961">
        <f t="shared" si="79"/>
        <v>0</v>
      </c>
      <c r="E139" s="961">
        <f t="shared" si="80"/>
        <v>-0.43326050079112166</v>
      </c>
      <c r="F139" s="965">
        <f t="shared" si="81"/>
        <v>5.0392037875851114</v>
      </c>
      <c r="G139" s="966">
        <f t="shared" si="82"/>
        <v>5.3326840013792065</v>
      </c>
      <c r="H139" s="861">
        <f t="shared" ref="H139:H202" si="83">$B$253/B139</f>
        <v>1.5346537670890159</v>
      </c>
    </row>
    <row r="140" spans="1:8">
      <c r="A140" s="1014" t="s">
        <v>486</v>
      </c>
      <c r="B140" s="857">
        <f>geral!M1012</f>
        <v>2035.0542933881936</v>
      </c>
      <c r="C140" s="857">
        <f t="shared" si="49"/>
        <v>312.48914277197252</v>
      </c>
      <c r="D140" s="961">
        <f t="shared" si="79"/>
        <v>0.12040047076424809</v>
      </c>
      <c r="E140" s="961">
        <f t="shared" si="80"/>
        <v>-0.31338167770946779</v>
      </c>
      <c r="F140" s="965">
        <f t="shared" si="81"/>
        <v>-2.8092457649678715</v>
      </c>
      <c r="G140" s="966">
        <f t="shared" si="82"/>
        <v>5.3834599724942755</v>
      </c>
      <c r="H140" s="861">
        <f t="shared" si="83"/>
        <v>1.5328082587295924</v>
      </c>
    </row>
    <row r="141" spans="1:8">
      <c r="A141" s="1014" t="s">
        <v>487</v>
      </c>
      <c r="B141" s="857">
        <f>geral!M1013</f>
        <v>2035.0542933881936</v>
      </c>
      <c r="C141" s="857">
        <f t="shared" si="49"/>
        <v>312.48914277197252</v>
      </c>
      <c r="D141" s="961">
        <f t="shared" si="79"/>
        <v>0</v>
      </c>
      <c r="E141" s="961">
        <f t="shared" si="80"/>
        <v>-0.31338167770946779</v>
      </c>
      <c r="F141" s="965">
        <f t="shared" si="81"/>
        <v>0.61776820961192414</v>
      </c>
      <c r="G141" s="966">
        <f t="shared" si="82"/>
        <v>5.1309559096753832</v>
      </c>
      <c r="H141" s="861">
        <f t="shared" si="83"/>
        <v>1.5328082587295924</v>
      </c>
    </row>
    <row r="142" spans="1:8">
      <c r="A142" s="1014" t="s">
        <v>488</v>
      </c>
      <c r="B142" s="857">
        <f>geral!M1014</f>
        <v>2035.0542933881936</v>
      </c>
      <c r="C142" s="857">
        <f t="shared" si="49"/>
        <v>312.48914277197252</v>
      </c>
      <c r="D142" s="961">
        <f t="shared" si="79"/>
        <v>0</v>
      </c>
      <c r="E142" s="961">
        <f t="shared" si="80"/>
        <v>-0.31338167770946779</v>
      </c>
      <c r="F142" s="965">
        <f t="shared" si="81"/>
        <v>-0.88312177970933936</v>
      </c>
      <c r="G142" s="966">
        <f t="shared" si="82"/>
        <v>5.0714116367476025</v>
      </c>
      <c r="H142" s="861">
        <f t="shared" si="83"/>
        <v>1.5328082587295924</v>
      </c>
    </row>
    <row r="143" spans="1:8">
      <c r="A143" s="1014" t="s">
        <v>489</v>
      </c>
      <c r="B143" s="857">
        <f>geral!M1015</f>
        <v>1996.2665443141871</v>
      </c>
      <c r="C143" s="857">
        <f t="shared" si="49"/>
        <v>306.53315894511809</v>
      </c>
      <c r="D143" s="961">
        <f t="shared" ref="D143:D148" si="84">100*((B143/B142)-1)</f>
        <v>-1.9059810443400105</v>
      </c>
      <c r="E143" s="961">
        <f t="shared" ref="E143:E148" si="85">100*((B143/$B$136-1))</f>
        <v>-2.2133897266758962</v>
      </c>
      <c r="F143" s="965">
        <f t="shared" ref="F143:F148" si="86">100*((B143/B131)-1)</f>
        <v>-4.5633470908274969</v>
      </c>
      <c r="G143" s="966">
        <f t="shared" ref="G143:G148" si="87">100*(B143/B119-1)</f>
        <v>3.0895119040190711</v>
      </c>
      <c r="H143" s="861">
        <f t="shared" si="83"/>
        <v>1.5625909459601663</v>
      </c>
    </row>
    <row r="144" spans="1:8">
      <c r="A144" s="1014" t="s">
        <v>490</v>
      </c>
      <c r="B144" s="857">
        <f>geral!M1016</f>
        <v>1974.05</v>
      </c>
      <c r="C144" s="857">
        <f t="shared" si="49"/>
        <v>303.12173699404212</v>
      </c>
      <c r="D144" s="961">
        <f t="shared" si="84"/>
        <v>-1.112904705910378</v>
      </c>
      <c r="E144" s="961">
        <f t="shared" si="85"/>
        <v>-3.3016615141579719</v>
      </c>
      <c r="F144" s="965">
        <f t="shared" si="86"/>
        <v>-5.6254660922170245</v>
      </c>
      <c r="G144" s="966">
        <f t="shared" si="87"/>
        <v>1.6999018730733839</v>
      </c>
      <c r="H144" s="861">
        <f t="shared" si="83"/>
        <v>1.5801768080183065</v>
      </c>
    </row>
    <row r="145" spans="1:8">
      <c r="A145" s="1014" t="s">
        <v>491</v>
      </c>
      <c r="B145" s="857">
        <f>geral!M1017</f>
        <v>1974.047319989352</v>
      </c>
      <c r="C145" s="857">
        <f t="shared" si="49"/>
        <v>303.12132546977335</v>
      </c>
      <c r="D145" s="961">
        <f t="shared" si="84"/>
        <v>-1.3576204492826704E-4</v>
      </c>
      <c r="E145" s="961">
        <f t="shared" si="85"/>
        <v>-3.3017927937997071</v>
      </c>
      <c r="F145" s="965">
        <f t="shared" si="86"/>
        <v>-5.8248401719055991</v>
      </c>
      <c r="G145" s="966">
        <f t="shared" si="87"/>
        <v>1.4004075401863103</v>
      </c>
      <c r="H145" s="861">
        <f t="shared" si="83"/>
        <v>1.5801789533015671</v>
      </c>
    </row>
    <row r="146" spans="1:8">
      <c r="A146" s="1014" t="s">
        <v>492</v>
      </c>
      <c r="B146" s="857">
        <f>geral!M1018</f>
        <v>1938.964334213297</v>
      </c>
      <c r="C146" s="857">
        <f t="shared" si="49"/>
        <v>297.734219982387</v>
      </c>
      <c r="D146" s="961">
        <f t="shared" si="84"/>
        <v>-1.7772109827764559</v>
      </c>
      <c r="E146" s="961">
        <f t="shared" si="85"/>
        <v>-5.0203239524162395</v>
      </c>
      <c r="F146" s="965">
        <f t="shared" si="86"/>
        <v>-7.498531455417778</v>
      </c>
      <c r="G146" s="966">
        <f t="shared" si="87"/>
        <v>-1.0151431482131934</v>
      </c>
      <c r="H146" s="861">
        <f t="shared" si="83"/>
        <v>1.608770193874743</v>
      </c>
    </row>
    <row r="147" spans="1:8">
      <c r="A147" s="1014" t="s">
        <v>493</v>
      </c>
      <c r="B147" s="857">
        <f>geral!M1019</f>
        <v>1938.964334213297</v>
      </c>
      <c r="C147" s="857">
        <f t="shared" si="49"/>
        <v>297.734219982387</v>
      </c>
      <c r="D147" s="961">
        <f t="shared" si="84"/>
        <v>0</v>
      </c>
      <c r="E147" s="961">
        <f t="shared" si="85"/>
        <v>-5.0203239524162395</v>
      </c>
      <c r="F147" s="965">
        <f t="shared" si="86"/>
        <v>-5.0203239524162395</v>
      </c>
      <c r="G147" s="966">
        <f t="shared" si="87"/>
        <v>-1.2389359682106971</v>
      </c>
      <c r="H147" s="861">
        <f t="shared" si="83"/>
        <v>1.608770193874743</v>
      </c>
    </row>
    <row r="148" spans="1:8">
      <c r="A148" s="1014" t="s">
        <v>494</v>
      </c>
      <c r="B148" s="857">
        <f>geral!M1020</f>
        <v>1938.964334213297</v>
      </c>
      <c r="C148" s="857">
        <f t="shared" si="49"/>
        <v>297.734219982387</v>
      </c>
      <c r="D148" s="961">
        <f t="shared" si="84"/>
        <v>0</v>
      </c>
      <c r="E148" s="961">
        <f t="shared" si="85"/>
        <v>-5.0203239524162395</v>
      </c>
      <c r="F148" s="965">
        <f t="shared" si="86"/>
        <v>-5.0203239524162395</v>
      </c>
      <c r="G148" s="966">
        <f t="shared" si="87"/>
        <v>-1.5605884695976235</v>
      </c>
      <c r="H148" s="861">
        <f t="shared" si="83"/>
        <v>1.608770193874743</v>
      </c>
    </row>
    <row r="149" spans="1:8">
      <c r="A149" s="1014" t="s">
        <v>495</v>
      </c>
      <c r="B149" s="857">
        <f>geral!C1024</f>
        <v>1987.6127411560935</v>
      </c>
      <c r="C149" s="857">
        <f t="shared" ref="C149:C154" si="88">100*B149/$B$8</f>
        <v>305.20433959156281</v>
      </c>
      <c r="D149" s="961">
        <f t="shared" ref="D149:D154" si="89">100*((B149/B148)-1)</f>
        <v>2.5089892621740661</v>
      </c>
      <c r="E149" s="961">
        <f t="shared" ref="E149:E154" si="90">100*((B149/$B$148-1))</f>
        <v>2.5089892621740661</v>
      </c>
      <c r="F149" s="965">
        <f t="shared" ref="F149:F154" si="91">100*((B149/B137)-1)</f>
        <v>-3.5235754071118452</v>
      </c>
      <c r="G149" s="966">
        <f t="shared" ref="G149:G154" si="92">100*(B149/B125-1)</f>
        <v>0.93467129870705712</v>
      </c>
      <c r="H149" s="861">
        <f t="shared" si="83"/>
        <v>1.5693942604001276</v>
      </c>
    </row>
    <row r="150" spans="1:8">
      <c r="A150" s="1014" t="s">
        <v>496</v>
      </c>
      <c r="B150" s="857">
        <f>geral!C1025</f>
        <v>1990.0600095829341</v>
      </c>
      <c r="C150" s="857">
        <f t="shared" si="88"/>
        <v>305.58012554249342</v>
      </c>
      <c r="D150" s="961">
        <f t="shared" si="89"/>
        <v>0.12312601827140224</v>
      </c>
      <c r="E150" s="961">
        <f t="shared" si="90"/>
        <v>2.6352044990228363</v>
      </c>
      <c r="F150" s="965">
        <f t="shared" si="91"/>
        <v>-2.0932238674727599</v>
      </c>
      <c r="G150" s="966">
        <f t="shared" si="92"/>
        <v>1.6899916928586833</v>
      </c>
      <c r="H150" s="861">
        <f t="shared" si="83"/>
        <v>1.5674643040147689</v>
      </c>
    </row>
    <row r="151" spans="1:8">
      <c r="A151" s="1014" t="s">
        <v>497</v>
      </c>
      <c r="B151" s="857">
        <f>geral!C1026</f>
        <v>2160.2402235279137</v>
      </c>
      <c r="C151" s="857">
        <f t="shared" si="88"/>
        <v>331.71184563723261</v>
      </c>
      <c r="D151" s="961">
        <f t="shared" si="89"/>
        <v>8.5515116692709725</v>
      </c>
      <c r="E151" s="961">
        <f t="shared" si="90"/>
        <v>11.412065988536902</v>
      </c>
      <c r="F151" s="965">
        <f t="shared" si="91"/>
        <v>6.279285518507316</v>
      </c>
      <c r="G151" s="966">
        <f t="shared" si="92"/>
        <v>11.63491529977434</v>
      </c>
      <c r="H151" s="861">
        <f t="shared" si="83"/>
        <v>1.4439820136180475</v>
      </c>
    </row>
    <row r="152" spans="1:8">
      <c r="A152" s="1014" t="s">
        <v>498</v>
      </c>
      <c r="B152" s="857">
        <f>geral!C1027</f>
        <v>2160.2402235279137</v>
      </c>
      <c r="C152" s="857">
        <f t="shared" si="88"/>
        <v>331.71184563723261</v>
      </c>
      <c r="D152" s="961">
        <f t="shared" si="89"/>
        <v>0</v>
      </c>
      <c r="E152" s="961">
        <f t="shared" si="90"/>
        <v>11.412065988536902</v>
      </c>
      <c r="F152" s="965">
        <f t="shared" si="91"/>
        <v>6.1514786385033604</v>
      </c>
      <c r="G152" s="966">
        <f t="shared" si="92"/>
        <v>3.1694227204004166</v>
      </c>
      <c r="H152" s="861">
        <f t="shared" si="83"/>
        <v>1.4439820136180475</v>
      </c>
    </row>
    <row r="153" spans="1:8">
      <c r="A153" s="1014" t="s">
        <v>499</v>
      </c>
      <c r="B153" s="857">
        <f>geral!C1028</f>
        <v>2160.2402235279137</v>
      </c>
      <c r="C153" s="857">
        <f t="shared" si="88"/>
        <v>331.71184563723261</v>
      </c>
      <c r="D153" s="961">
        <f t="shared" si="89"/>
        <v>0</v>
      </c>
      <c r="E153" s="961">
        <f t="shared" si="90"/>
        <v>11.412065988536902</v>
      </c>
      <c r="F153" s="965">
        <f t="shared" si="91"/>
        <v>6.1514786385033604</v>
      </c>
      <c r="G153" s="966">
        <f t="shared" si="92"/>
        <v>6.8072487275650184</v>
      </c>
      <c r="H153" s="861">
        <f t="shared" si="83"/>
        <v>1.4439820136180475</v>
      </c>
    </row>
    <row r="154" spans="1:8">
      <c r="A154" s="1014" t="s">
        <v>500</v>
      </c>
      <c r="B154" s="857">
        <f>geral!C1029</f>
        <v>2160.2402235279137</v>
      </c>
      <c r="C154" s="857">
        <f t="shared" si="88"/>
        <v>331.71184563723261</v>
      </c>
      <c r="D154" s="961">
        <f t="shared" si="89"/>
        <v>0</v>
      </c>
      <c r="E154" s="961">
        <f t="shared" si="90"/>
        <v>11.412065988536902</v>
      </c>
      <c r="F154" s="965">
        <f t="shared" si="91"/>
        <v>6.1514786385033604</v>
      </c>
      <c r="G154" s="966">
        <f t="shared" si="92"/>
        <v>5.2140318111632222</v>
      </c>
      <c r="H154" s="861">
        <f t="shared" si="83"/>
        <v>1.4439820136180475</v>
      </c>
    </row>
    <row r="155" spans="1:8">
      <c r="A155" s="1014" t="s">
        <v>501</v>
      </c>
      <c r="B155" s="857">
        <f>geral!C1030</f>
        <v>2207.8862355035403</v>
      </c>
      <c r="C155" s="857">
        <f t="shared" ref="C155:C160" si="93">100*B155/$B$8</f>
        <v>339.02804426993742</v>
      </c>
      <c r="D155" s="961">
        <f t="shared" ref="D155:D160" si="94">100*((B155/B154)-1)</f>
        <v>2.2055885941154818</v>
      </c>
      <c r="E155" s="961">
        <f t="shared" ref="E155:E160" si="95">100*((B155/$B$148-1))</f>
        <v>13.869357808448491</v>
      </c>
      <c r="F155" s="965">
        <f t="shared" ref="F155:F160" si="96">100*((B155/B143)-1)</f>
        <v>10.600773318177037</v>
      </c>
      <c r="G155" s="966">
        <f t="shared" ref="G155:G160" si="97">100*(B155/B131-1)</f>
        <v>5.5536761465293072</v>
      </c>
      <c r="H155" s="861">
        <f t="shared" si="83"/>
        <v>1.41282099489928</v>
      </c>
    </row>
    <row r="156" spans="1:8">
      <c r="A156" s="1014" t="s">
        <v>502</v>
      </c>
      <c r="B156" s="857">
        <f>geral!C1031</f>
        <v>2207.8862355035403</v>
      </c>
      <c r="C156" s="857">
        <f t="shared" si="93"/>
        <v>339.02804426993742</v>
      </c>
      <c r="D156" s="961">
        <f t="shared" si="94"/>
        <v>0</v>
      </c>
      <c r="E156" s="961">
        <f t="shared" si="95"/>
        <v>13.869357808448491</v>
      </c>
      <c r="F156" s="965">
        <f t="shared" si="96"/>
        <v>11.845507231505813</v>
      </c>
      <c r="G156" s="966">
        <f t="shared" si="97"/>
        <v>5.5536761465293072</v>
      </c>
      <c r="H156" s="861">
        <f t="shared" si="83"/>
        <v>1.41282099489928</v>
      </c>
    </row>
    <row r="157" spans="1:8">
      <c r="A157" s="1014" t="s">
        <v>503</v>
      </c>
      <c r="B157" s="857">
        <f>geral!C1032</f>
        <v>2202.3359959279001</v>
      </c>
      <c r="C157" s="857">
        <f t="shared" si="93"/>
        <v>338.17578710274245</v>
      </c>
      <c r="D157" s="961">
        <f t="shared" si="94"/>
        <v>-0.25138249817361347</v>
      </c>
      <c r="E157" s="961">
        <f t="shared" si="95"/>
        <v>13.58311017213536</v>
      </c>
      <c r="F157" s="965">
        <f t="shared" si="96"/>
        <v>11.564498663577094</v>
      </c>
      <c r="G157" s="966">
        <f t="shared" si="97"/>
        <v>5.0660449278359554</v>
      </c>
      <c r="H157" s="861">
        <f t="shared" si="83"/>
        <v>1.4163815301734999</v>
      </c>
    </row>
    <row r="158" spans="1:8">
      <c r="A158" s="1014" t="s">
        <v>504</v>
      </c>
      <c r="B158" s="857">
        <f>geral!C1033</f>
        <v>2202.3359959279001</v>
      </c>
      <c r="C158" s="857">
        <f t="shared" si="93"/>
        <v>338.17578710274245</v>
      </c>
      <c r="D158" s="961">
        <f t="shared" si="94"/>
        <v>0</v>
      </c>
      <c r="E158" s="961">
        <f t="shared" si="95"/>
        <v>13.58311017213536</v>
      </c>
      <c r="F158" s="965">
        <f t="shared" si="96"/>
        <v>13.58311017213536</v>
      </c>
      <c r="G158" s="966">
        <f t="shared" si="97"/>
        <v>5.0660449278359554</v>
      </c>
      <c r="H158" s="861">
        <f t="shared" si="83"/>
        <v>1.4163815301734999</v>
      </c>
    </row>
    <row r="159" spans="1:8">
      <c r="A159" s="1014" t="s">
        <v>505</v>
      </c>
      <c r="B159" s="857">
        <f>geral!C1034</f>
        <v>2216.7641710637135</v>
      </c>
      <c r="C159" s="857">
        <f t="shared" si="93"/>
        <v>340.391279875885</v>
      </c>
      <c r="D159" s="961">
        <f t="shared" si="94"/>
        <v>0.65513051425809543</v>
      </c>
      <c r="E159" s="961">
        <f t="shared" si="95"/>
        <v>14.327227785916419</v>
      </c>
      <c r="F159" s="965">
        <f t="shared" si="96"/>
        <v>14.327227785916419</v>
      </c>
      <c r="G159" s="966">
        <f t="shared" si="97"/>
        <v>8.5876305852465862</v>
      </c>
      <c r="H159" s="861">
        <f t="shared" si="83"/>
        <v>1.4071627774332529</v>
      </c>
    </row>
    <row r="160" spans="1:8">
      <c r="A160" s="1014" t="s">
        <v>506</v>
      </c>
      <c r="B160" s="857">
        <f>geral!C1035</f>
        <v>2216.7641710637135</v>
      </c>
      <c r="C160" s="857">
        <f t="shared" si="93"/>
        <v>340.391279875885</v>
      </c>
      <c r="D160" s="961">
        <f t="shared" si="94"/>
        <v>0</v>
      </c>
      <c r="E160" s="961">
        <f t="shared" si="95"/>
        <v>14.327227785916419</v>
      </c>
      <c r="F160" s="965">
        <f t="shared" si="96"/>
        <v>14.327227785916419</v>
      </c>
      <c r="G160" s="966">
        <f t="shared" si="97"/>
        <v>8.5876305852465862</v>
      </c>
      <c r="H160" s="861">
        <f t="shared" si="83"/>
        <v>1.4071627774332529</v>
      </c>
    </row>
    <row r="161" spans="1:8">
      <c r="A161" s="1014" t="s">
        <v>507</v>
      </c>
      <c r="B161" s="857">
        <f>geral!E1024</f>
        <v>2219.5708099257977</v>
      </c>
      <c r="C161" s="857">
        <f t="shared" ref="C161:C166" si="98">100*B161/$B$8</f>
        <v>340.82224831487588</v>
      </c>
      <c r="D161" s="961">
        <f t="shared" ref="D161:D166" si="99">100*((B161/B160)-1)</f>
        <v>0.12660971783649</v>
      </c>
      <c r="E161" s="961">
        <f t="shared" ref="E161:E166" si="100">100*((B161/$B$160-1))</f>
        <v>0.12660971783649</v>
      </c>
      <c r="F161" s="965">
        <f t="shared" ref="F161:F166" si="101">100*((B161/B149)-1)</f>
        <v>11.670184234922232</v>
      </c>
      <c r="G161" s="966">
        <f t="shared" ref="G161:G166" si="102">100*(B161/B137-1)</f>
        <v>7.7354010861440337</v>
      </c>
      <c r="H161" s="861">
        <f t="shared" si="83"/>
        <v>1.4053834254437778</v>
      </c>
    </row>
    <row r="162" spans="1:8">
      <c r="A162" s="1014" t="s">
        <v>508</v>
      </c>
      <c r="B162" s="857">
        <f>geral!E1025</f>
        <v>2200.8598841785683</v>
      </c>
      <c r="C162" s="857">
        <f t="shared" si="98"/>
        <v>337.94912538826981</v>
      </c>
      <c r="D162" s="961">
        <f t="shared" si="99"/>
        <v>-0.84299746885997395</v>
      </c>
      <c r="E162" s="961">
        <f t="shared" si="100"/>
        <v>-0.71745506774018031</v>
      </c>
      <c r="F162" s="965">
        <f t="shared" si="101"/>
        <v>10.592639095331236</v>
      </c>
      <c r="G162" s="966">
        <f t="shared" si="102"/>
        <v>8.2776875781197532</v>
      </c>
      <c r="H162" s="861">
        <f t="shared" si="83"/>
        <v>1.4173314940640935</v>
      </c>
    </row>
    <row r="163" spans="1:8">
      <c r="A163" s="1014" t="s">
        <v>509</v>
      </c>
      <c r="B163" s="857">
        <f>geral!E1026</f>
        <v>2200.8598841785683</v>
      </c>
      <c r="C163" s="857">
        <f t="shared" si="98"/>
        <v>337.94912538826981</v>
      </c>
      <c r="D163" s="961">
        <f t="shared" si="99"/>
        <v>0</v>
      </c>
      <c r="E163" s="961">
        <f t="shared" si="100"/>
        <v>-0.71745506774018031</v>
      </c>
      <c r="F163" s="965">
        <f t="shared" si="101"/>
        <v>1.88033072471534</v>
      </c>
      <c r="G163" s="966">
        <f t="shared" si="102"/>
        <v>8.2776875781197532</v>
      </c>
      <c r="H163" s="861">
        <f t="shared" si="83"/>
        <v>1.4173314940640935</v>
      </c>
    </row>
    <row r="164" spans="1:8">
      <c r="A164" s="1014" t="s">
        <v>510</v>
      </c>
      <c r="B164" s="857">
        <f>geral!E1027</f>
        <v>2208.11036790562</v>
      </c>
      <c r="C164" s="857">
        <f t="shared" si="98"/>
        <v>339.06246052232973</v>
      </c>
      <c r="D164" s="961">
        <f t="shared" si="99"/>
        <v>0.32943867890788958</v>
      </c>
      <c r="E164" s="961">
        <f t="shared" si="100"/>
        <v>-0.39037996332920155</v>
      </c>
      <c r="F164" s="965">
        <f t="shared" si="101"/>
        <v>2.2159639403218412</v>
      </c>
      <c r="G164" s="966">
        <f t="shared" si="102"/>
        <v>8.5037571272510206</v>
      </c>
      <c r="H164" s="861">
        <f t="shared" si="83"/>
        <v>1.4126775876820059</v>
      </c>
    </row>
    <row r="165" spans="1:8">
      <c r="A165" s="1014" t="s">
        <v>511</v>
      </c>
      <c r="B165" s="857">
        <f>geral!E1028</f>
        <v>2200.8598841785683</v>
      </c>
      <c r="C165" s="857">
        <f t="shared" si="98"/>
        <v>337.94912538826981</v>
      </c>
      <c r="D165" s="961">
        <f t="shared" si="99"/>
        <v>-0.32835694412904903</v>
      </c>
      <c r="E165" s="961">
        <f t="shared" si="100"/>
        <v>-0.71745506774018031</v>
      </c>
      <c r="F165" s="965">
        <f t="shared" si="101"/>
        <v>1.88033072471534</v>
      </c>
      <c r="G165" s="966">
        <f t="shared" si="102"/>
        <v>8.1474775060827795</v>
      </c>
      <c r="H165" s="861">
        <f t="shared" si="83"/>
        <v>1.4173314940640935</v>
      </c>
    </row>
    <row r="166" spans="1:8">
      <c r="A166" s="1014" t="s">
        <v>512</v>
      </c>
      <c r="B166" s="857">
        <f>geral!E1029</f>
        <v>2200.8598841785683</v>
      </c>
      <c r="C166" s="857">
        <f t="shared" si="98"/>
        <v>337.94912538826981</v>
      </c>
      <c r="D166" s="961">
        <f t="shared" si="99"/>
        <v>0</v>
      </c>
      <c r="E166" s="961">
        <f t="shared" si="100"/>
        <v>-0.71745506774018031</v>
      </c>
      <c r="F166" s="965">
        <f t="shared" si="101"/>
        <v>1.88033072471534</v>
      </c>
      <c r="G166" s="966">
        <f t="shared" si="102"/>
        <v>8.1474775060827795</v>
      </c>
      <c r="H166" s="861">
        <f t="shared" si="83"/>
        <v>1.4173314940640935</v>
      </c>
    </row>
    <row r="167" spans="1:8">
      <c r="A167" s="1014" t="s">
        <v>513</v>
      </c>
      <c r="B167" s="857">
        <f>geral!E1030</f>
        <v>2211.3122750741145</v>
      </c>
      <c r="C167" s="857">
        <f t="shared" ref="C167:C172" si="103">100*B167/$B$8</f>
        <v>339.55412368314512</v>
      </c>
      <c r="D167" s="961">
        <f t="shared" ref="D167:D172" si="104">100*((B167/B166)-1)</f>
        <v>0.47492305033527416</v>
      </c>
      <c r="E167" s="961">
        <f t="shared" ref="E167:E172" si="105">100*((B167/$B$160-1))</f>
        <v>-0.2459393768974083</v>
      </c>
      <c r="F167" s="965">
        <f t="shared" ref="F167:F172" si="106">100*((B167/B155)-1)</f>
        <v>0.1551728307139344</v>
      </c>
      <c r="G167" s="966">
        <f t="shared" ref="G167:G172" si="107">100*(B167/B143-1)</f>
        <v>10.772395668926361</v>
      </c>
      <c r="H167" s="861">
        <f t="shared" si="83"/>
        <v>1.4106320771741701</v>
      </c>
    </row>
    <row r="168" spans="1:8">
      <c r="A168" s="1014" t="s">
        <v>514</v>
      </c>
      <c r="B168" s="857">
        <f>geral!E1031</f>
        <v>2215.9900065109218</v>
      </c>
      <c r="C168" s="857">
        <f t="shared" si="103"/>
        <v>340.27240441479665</v>
      </c>
      <c r="D168" s="961">
        <f t="shared" si="104"/>
        <v>0.21153644781584102</v>
      </c>
      <c r="E168" s="961">
        <f t="shared" si="105"/>
        <v>-3.4923180503243501E-2</v>
      </c>
      <c r="F168" s="965">
        <f t="shared" si="106"/>
        <v>0.36703752562383674</v>
      </c>
      <c r="G168" s="966">
        <f t="shared" si="107"/>
        <v>12.256022213769757</v>
      </c>
      <c r="H168" s="861">
        <f t="shared" si="83"/>
        <v>1.4076543751115349</v>
      </c>
    </row>
    <row r="169" spans="1:8">
      <c r="A169" s="1014" t="s">
        <v>515</v>
      </c>
      <c r="B169" s="857">
        <f>geral!E1032</f>
        <v>2215.9900065109218</v>
      </c>
      <c r="C169" s="857">
        <f t="shared" si="103"/>
        <v>340.27240441479665</v>
      </c>
      <c r="D169" s="961">
        <f t="shared" si="104"/>
        <v>0</v>
      </c>
      <c r="E169" s="961">
        <f t="shared" si="105"/>
        <v>-3.4923180503243501E-2</v>
      </c>
      <c r="F169" s="965">
        <f t="shared" si="106"/>
        <v>0.61997854134283603</v>
      </c>
      <c r="G169" s="966">
        <f t="shared" si="107"/>
        <v>12.256174615047977</v>
      </c>
      <c r="H169" s="861">
        <f t="shared" si="83"/>
        <v>1.4076543751115349</v>
      </c>
    </row>
    <row r="170" spans="1:8">
      <c r="A170" s="1014" t="s">
        <v>516</v>
      </c>
      <c r="B170" s="857">
        <f>geral!E1033</f>
        <v>2215.9900065109218</v>
      </c>
      <c r="C170" s="857">
        <f t="shared" si="103"/>
        <v>340.27240441479665</v>
      </c>
      <c r="D170" s="961">
        <f t="shared" si="104"/>
        <v>0</v>
      </c>
      <c r="E170" s="961">
        <f t="shared" si="105"/>
        <v>-3.4923180503243501E-2</v>
      </c>
      <c r="F170" s="965">
        <f t="shared" si="106"/>
        <v>0.61997854134283603</v>
      </c>
      <c r="G170" s="966">
        <f t="shared" si="107"/>
        <v>14.287301081792393</v>
      </c>
      <c r="H170" s="861">
        <f t="shared" si="83"/>
        <v>1.4076543751115349</v>
      </c>
    </row>
    <row r="171" spans="1:8">
      <c r="A171" s="1014" t="s">
        <v>517</v>
      </c>
      <c r="B171" s="857">
        <f>geral!E1034</f>
        <v>2215.9900065109218</v>
      </c>
      <c r="C171" s="857">
        <f t="shared" si="103"/>
        <v>340.27240441479665</v>
      </c>
      <c r="D171" s="961">
        <f t="shared" si="104"/>
        <v>0</v>
      </c>
      <c r="E171" s="961">
        <f t="shared" si="105"/>
        <v>-3.4923180503243501E-2</v>
      </c>
      <c r="F171" s="965">
        <f t="shared" si="106"/>
        <v>-3.4923180503243501E-2</v>
      </c>
      <c r="G171" s="966">
        <f t="shared" si="107"/>
        <v>14.287301081792393</v>
      </c>
      <c r="H171" s="861">
        <f t="shared" si="83"/>
        <v>1.4076543751115349</v>
      </c>
    </row>
    <row r="172" spans="1:8">
      <c r="A172" s="1014" t="s">
        <v>518</v>
      </c>
      <c r="B172" s="857">
        <f>geral!E1035</f>
        <v>2215.9900065109218</v>
      </c>
      <c r="C172" s="857">
        <f t="shared" si="103"/>
        <v>340.27240441479665</v>
      </c>
      <c r="D172" s="961">
        <f t="shared" si="104"/>
        <v>0</v>
      </c>
      <c r="E172" s="961">
        <f t="shared" si="105"/>
        <v>-3.4923180503243501E-2</v>
      </c>
      <c r="F172" s="965">
        <f t="shared" si="106"/>
        <v>-3.4923180503243501E-2</v>
      </c>
      <c r="G172" s="966">
        <f t="shared" si="107"/>
        <v>14.287301081792393</v>
      </c>
      <c r="H172" s="861">
        <f t="shared" si="83"/>
        <v>1.4076543751115349</v>
      </c>
    </row>
    <row r="173" spans="1:8">
      <c r="A173" s="1014" t="s">
        <v>519</v>
      </c>
      <c r="B173" s="857">
        <f>geral!G1024</f>
        <v>2207.359592010012</v>
      </c>
      <c r="C173" s="857">
        <f t="shared" ref="C173:C178" si="108">100*B173/$B$8</f>
        <v>338.94717646489954</v>
      </c>
      <c r="D173" s="961">
        <f t="shared" ref="D173:D178" si="109">100*((B173/B172)-1)</f>
        <v>-0.38946089447842169</v>
      </c>
      <c r="E173" s="961">
        <f t="shared" ref="E173:E178" si="110">100*((B173/$B$172-1))</f>
        <v>-0.38946089447842169</v>
      </c>
      <c r="F173" s="965">
        <f t="shared" ref="F173:F178" si="111">100*((B173/B161)-1)</f>
        <v>-0.55016122311475346</v>
      </c>
      <c r="G173" s="966">
        <f t="shared" ref="G173:G178" si="112">100*(B173/B149-1)</f>
        <v>11.055818183480891</v>
      </c>
      <c r="H173" s="861">
        <f t="shared" si="83"/>
        <v>1.4131580731837503</v>
      </c>
    </row>
    <row r="174" spans="1:8">
      <c r="A174" s="1014" t="s">
        <v>520</v>
      </c>
      <c r="B174" s="857">
        <f>geral!G1025</f>
        <v>2207.359592010012</v>
      </c>
      <c r="C174" s="857">
        <f t="shared" si="108"/>
        <v>338.94717646489954</v>
      </c>
      <c r="D174" s="961">
        <f t="shared" si="109"/>
        <v>0</v>
      </c>
      <c r="E174" s="961">
        <f t="shared" si="110"/>
        <v>-0.38946089447842169</v>
      </c>
      <c r="F174" s="965">
        <f t="shared" si="111"/>
        <v>0.2953258350596677</v>
      </c>
      <c r="G174" s="966">
        <f t="shared" si="112"/>
        <v>10.919247730254034</v>
      </c>
      <c r="H174" s="861">
        <f t="shared" si="83"/>
        <v>1.4131580731837503</v>
      </c>
    </row>
    <row r="175" spans="1:8">
      <c r="A175" s="1014" t="s">
        <v>521</v>
      </c>
      <c r="B175" s="857">
        <f>geral!G1026</f>
        <v>2208.6503453996961</v>
      </c>
      <c r="C175" s="857">
        <f t="shared" si="108"/>
        <v>339.14537580610772</v>
      </c>
      <c r="D175" s="961">
        <f t="shared" si="109"/>
        <v>5.847499403162093E-2</v>
      </c>
      <c r="E175" s="961">
        <f t="shared" si="110"/>
        <v>-0.33121363768160439</v>
      </c>
      <c r="F175" s="965">
        <f t="shared" si="111"/>
        <v>0.35397352085571043</v>
      </c>
      <c r="G175" s="966">
        <f t="shared" si="112"/>
        <v>2.2409601184410599</v>
      </c>
      <c r="H175" s="861">
        <f t="shared" si="83"/>
        <v>1.4123322120070727</v>
      </c>
    </row>
    <row r="176" spans="1:8">
      <c r="A176" s="1014" t="s">
        <v>522</v>
      </c>
      <c r="B176" s="857">
        <f>geral!G1027</f>
        <v>2175.4501335211003</v>
      </c>
      <c r="C176" s="857">
        <f t="shared" si="108"/>
        <v>334.04737631612005</v>
      </c>
      <c r="D176" s="961">
        <f t="shared" si="109"/>
        <v>-1.5031900340290227</v>
      </c>
      <c r="E176" s="961">
        <f t="shared" si="110"/>
        <v>-1.8294249013176556</v>
      </c>
      <c r="F176" s="965">
        <f t="shared" si="111"/>
        <v>-1.4791033482396854</v>
      </c>
      <c r="G176" s="966">
        <f t="shared" si="112"/>
        <v>0.70408419524505828</v>
      </c>
      <c r="H176" s="861">
        <f t="shared" si="83"/>
        <v>1.4338862471739036</v>
      </c>
    </row>
    <row r="177" spans="1:8">
      <c r="A177" s="1014" t="s">
        <v>523</v>
      </c>
      <c r="B177" s="857">
        <f>geral!G1028</f>
        <v>2152.528338897338</v>
      </c>
      <c r="C177" s="857">
        <f t="shared" si="108"/>
        <v>330.52766090801208</v>
      </c>
      <c r="D177" s="961">
        <f t="shared" si="109"/>
        <v>-1.0536575520884051</v>
      </c>
      <c r="E177" s="961">
        <f t="shared" si="110"/>
        <v>-2.8638065797735424</v>
      </c>
      <c r="F177" s="965">
        <f t="shared" si="111"/>
        <v>-2.196030089360701</v>
      </c>
      <c r="G177" s="966">
        <f t="shared" si="112"/>
        <v>-0.35699199313959928</v>
      </c>
      <c r="H177" s="861">
        <f t="shared" si="83"/>
        <v>1.4491553823010137</v>
      </c>
    </row>
    <row r="178" spans="1:8">
      <c r="A178" s="1014" t="s">
        <v>524</v>
      </c>
      <c r="B178" s="857">
        <f>geral!G1029</f>
        <v>2145.6892453252249</v>
      </c>
      <c r="C178" s="857">
        <f t="shared" si="108"/>
        <v>329.47749605755553</v>
      </c>
      <c r="D178" s="961">
        <f t="shared" si="109"/>
        <v>-0.31772374135694559</v>
      </c>
      <c r="E178" s="961">
        <f t="shared" si="110"/>
        <v>-3.1724313277200045</v>
      </c>
      <c r="F178" s="965">
        <f t="shared" si="111"/>
        <v>-2.5067765217564042</v>
      </c>
      <c r="G178" s="966">
        <f t="shared" si="112"/>
        <v>-0.67358148617959746</v>
      </c>
      <c r="H178" s="861">
        <f t="shared" si="83"/>
        <v>1.4537743686158684</v>
      </c>
    </row>
    <row r="179" spans="1:8">
      <c r="A179" s="1014" t="s">
        <v>525</v>
      </c>
      <c r="B179" s="857">
        <f>geral!G1030</f>
        <v>2129.7658985001353</v>
      </c>
      <c r="C179" s="857">
        <f t="shared" ref="C179:C184" si="113">100*B179/$B$8</f>
        <v>327.03241485475939</v>
      </c>
      <c r="D179" s="961">
        <f t="shared" ref="D179:D184" si="114">100*((B179/B178)-1)</f>
        <v>-0.74210871214372975</v>
      </c>
      <c r="E179" s="961">
        <f t="shared" ref="E179:E184" si="115">100*((B179/$B$172-1))</f>
        <v>-3.8909971505939445</v>
      </c>
      <c r="F179" s="965">
        <f t="shared" ref="F179:F184" si="116">100*((B179/B167)-1)</f>
        <v>-3.6876915799350929</v>
      </c>
      <c r="G179" s="966">
        <f t="shared" ref="G179:G184" si="117">100*(B179/B155-1)</f>
        <v>-3.5382410446337387</v>
      </c>
      <c r="H179" s="861">
        <f t="shared" si="83"/>
        <v>1.4646436164957402</v>
      </c>
    </row>
    <row r="180" spans="1:8">
      <c r="A180" s="1014" t="s">
        <v>526</v>
      </c>
      <c r="B180" s="857">
        <f>geral!G1031</f>
        <v>2112.5331358869371</v>
      </c>
      <c r="C180" s="857">
        <f t="shared" si="113"/>
        <v>324.38626863935525</v>
      </c>
      <c r="D180" s="961">
        <f t="shared" si="114"/>
        <v>-0.8091388178078307</v>
      </c>
      <c r="E180" s="961">
        <f t="shared" si="115"/>
        <v>-4.6686524000565166</v>
      </c>
      <c r="F180" s="965">
        <f t="shared" si="116"/>
        <v>-4.6686524000565166</v>
      </c>
      <c r="G180" s="966">
        <f t="shared" si="117"/>
        <v>-4.3187505806818294</v>
      </c>
      <c r="H180" s="861">
        <f t="shared" si="83"/>
        <v>1.4765912898018967</v>
      </c>
    </row>
    <row r="181" spans="1:8">
      <c r="A181" s="1014" t="s">
        <v>527</v>
      </c>
      <c r="B181" s="857">
        <f>geral!G1032</f>
        <v>2135.3557875671199</v>
      </c>
      <c r="C181" s="857">
        <f t="shared" si="113"/>
        <v>327.89076032908298</v>
      </c>
      <c r="D181" s="961">
        <f t="shared" si="114"/>
        <v>1.0803452638200151</v>
      </c>
      <c r="E181" s="961">
        <f t="shared" si="115"/>
        <v>-3.6387447013247365</v>
      </c>
      <c r="F181" s="965">
        <f t="shared" si="116"/>
        <v>-3.6387447013247365</v>
      </c>
      <c r="G181" s="966">
        <f t="shared" si="117"/>
        <v>-3.0413255963043784</v>
      </c>
      <c r="H181" s="861">
        <f t="shared" si="83"/>
        <v>1.4608095035172159</v>
      </c>
    </row>
    <row r="182" spans="1:8">
      <c r="A182" s="1014" t="s">
        <v>528</v>
      </c>
      <c r="B182" s="857">
        <f>geral!G1033</f>
        <v>2128.8537408699572</v>
      </c>
      <c r="C182" s="857">
        <f t="shared" si="113"/>
        <v>326.89235011208729</v>
      </c>
      <c r="D182" s="961">
        <f t="shared" si="114"/>
        <v>-0.30449477014651283</v>
      </c>
      <c r="E182" s="961">
        <f t="shared" si="115"/>
        <v>-3.932159684156733</v>
      </c>
      <c r="F182" s="965">
        <f t="shared" si="116"/>
        <v>-3.932159684156733</v>
      </c>
      <c r="G182" s="966">
        <f t="shared" si="117"/>
        <v>-3.3365596890670202</v>
      </c>
      <c r="H182" s="861">
        <f t="shared" si="83"/>
        <v>1.4652711776215377</v>
      </c>
    </row>
    <row r="183" spans="1:8">
      <c r="A183" s="1014" t="s">
        <v>529</v>
      </c>
      <c r="B183" s="857">
        <f>geral!G1034</f>
        <v>2111.5461345537706</v>
      </c>
      <c r="C183" s="857">
        <f t="shared" si="113"/>
        <v>324.23471140497674</v>
      </c>
      <c r="D183" s="961">
        <f t="shared" si="114"/>
        <v>-0.81300119326721543</v>
      </c>
      <c r="E183" s="961">
        <f t="shared" si="115"/>
        <v>-4.7131923722705915</v>
      </c>
      <c r="F183" s="965">
        <f t="shared" si="116"/>
        <v>-4.7131923722705915</v>
      </c>
      <c r="G183" s="966">
        <f t="shared" si="117"/>
        <v>-4.7464695560941905</v>
      </c>
      <c r="H183" s="861">
        <f t="shared" si="83"/>
        <v>1.4772814937939986</v>
      </c>
    </row>
    <row r="184" spans="1:8">
      <c r="A184" s="1014" t="s">
        <v>530</v>
      </c>
      <c r="B184" s="857">
        <f>geral!G1035</f>
        <v>2092.5171230688384</v>
      </c>
      <c r="C184" s="857">
        <f t="shared" si="113"/>
        <v>321.31274538861834</v>
      </c>
      <c r="D184" s="961">
        <f t="shared" si="114"/>
        <v>-0.90118852595912902</v>
      </c>
      <c r="E184" s="961">
        <f t="shared" si="115"/>
        <v>-5.5719061493644357</v>
      </c>
      <c r="F184" s="965">
        <f t="shared" si="116"/>
        <v>-5.5719061493644357</v>
      </c>
      <c r="G184" s="966">
        <f t="shared" si="117"/>
        <v>-5.6048834430256651</v>
      </c>
      <c r="H184" s="861">
        <f t="shared" si="83"/>
        <v>1.4907156522063592</v>
      </c>
    </row>
    <row r="185" spans="1:8">
      <c r="A185" s="1014" t="s">
        <v>531</v>
      </c>
      <c r="B185" s="857">
        <f>geral!I1024</f>
        <v>2077.4174059908241</v>
      </c>
      <c r="C185" s="857">
        <f t="shared" ref="C185:C190" si="118">100*B185/$B$8</f>
        <v>318.99413518684725</v>
      </c>
      <c r="D185" s="961">
        <f t="shared" ref="D185:D190" si="119">100*((B185/B184)-1)</f>
        <v>-0.72160542494722479</v>
      </c>
      <c r="E185" s="961">
        <f t="shared" ref="E185:E190" si="120">100*((B185/$B$184-1))</f>
        <v>-0.72160542494722479</v>
      </c>
      <c r="F185" s="965">
        <f t="shared" ref="F185:F190" si="121">100*((B185/B173)-1)</f>
        <v>-5.8867701705485604</v>
      </c>
      <c r="G185" s="966">
        <f t="shared" ref="G185:G190" si="122">100*(B185/B161-1)</f>
        <v>-6.4045446668910655</v>
      </c>
      <c r="H185" s="861">
        <f t="shared" si="83"/>
        <v>1.5015509251405184</v>
      </c>
    </row>
    <row r="186" spans="1:8">
      <c r="A186" s="1014" t="s">
        <v>649</v>
      </c>
      <c r="B186" s="857">
        <f>geral!I1025</f>
        <v>2120.9203083531324</v>
      </c>
      <c r="C186" s="857">
        <f t="shared" si="118"/>
        <v>325.67414599120639</v>
      </c>
      <c r="D186" s="961">
        <f t="shared" si="119"/>
        <v>2.0940857738485974</v>
      </c>
      <c r="E186" s="961">
        <f t="shared" si="120"/>
        <v>1.3573693123542396</v>
      </c>
      <c r="F186" s="965">
        <f t="shared" si="121"/>
        <v>-3.9159584133805936</v>
      </c>
      <c r="G186" s="966">
        <f t="shared" si="122"/>
        <v>-3.6321974152058289</v>
      </c>
      <c r="H186" s="861">
        <f t="shared" si="83"/>
        <v>1.4707521143454334</v>
      </c>
    </row>
    <row r="187" spans="1:8">
      <c r="A187" s="1014" t="s">
        <v>650</v>
      </c>
      <c r="B187" s="857">
        <f>geral!I1026</f>
        <v>2141.6239476924416</v>
      </c>
      <c r="C187" s="857">
        <f t="shared" si="118"/>
        <v>328.85325650949596</v>
      </c>
      <c r="D187" s="961">
        <f t="shared" si="119"/>
        <v>0.97616300139939938</v>
      </c>
      <c r="E187" s="961">
        <f t="shared" si="120"/>
        <v>2.3467824507731772</v>
      </c>
      <c r="F187" s="965">
        <f t="shared" si="121"/>
        <v>-3.0347219896920796</v>
      </c>
      <c r="G187" s="966">
        <f t="shared" si="122"/>
        <v>-2.6914905811114664</v>
      </c>
      <c r="H187" s="861">
        <f t="shared" si="83"/>
        <v>1.4565339686407481</v>
      </c>
    </row>
    <row r="188" spans="1:8">
      <c r="A188" s="1014" t="s">
        <v>652</v>
      </c>
      <c r="B188" s="857">
        <f>geral!I1027</f>
        <v>2151.0448988061717</v>
      </c>
      <c r="C188" s="857">
        <f t="shared" si="118"/>
        <v>330.29987390304211</v>
      </c>
      <c r="D188" s="961">
        <f t="shared" si="119"/>
        <v>0.43989754241779977</v>
      </c>
      <c r="E188" s="961">
        <f t="shared" si="120"/>
        <v>2.7970034315178083</v>
      </c>
      <c r="F188" s="965">
        <f t="shared" si="121"/>
        <v>-1.1218475817428741</v>
      </c>
      <c r="G188" s="966">
        <f t="shared" si="122"/>
        <v>-2.5843576448388639</v>
      </c>
      <c r="H188" s="861">
        <f t="shared" si="83"/>
        <v>1.4501547734311699</v>
      </c>
    </row>
    <row r="189" spans="1:8">
      <c r="A189" s="1014" t="s">
        <v>653</v>
      </c>
      <c r="B189" s="857">
        <f>geral!I1028</f>
        <v>2114.9234566511454</v>
      </c>
      <c r="C189" s="857">
        <f t="shared" si="118"/>
        <v>324.75331009322917</v>
      </c>
      <c r="D189" s="961">
        <f t="shared" si="119"/>
        <v>-1.6792509619428908</v>
      </c>
      <c r="E189" s="961">
        <f t="shared" si="120"/>
        <v>1.0707837625455907</v>
      </c>
      <c r="F189" s="965">
        <f t="shared" si="121"/>
        <v>-1.747009856578996</v>
      </c>
      <c r="G189" s="966">
        <f t="shared" si="122"/>
        <v>-3.9046750838251154</v>
      </c>
      <c r="H189" s="861">
        <f t="shared" si="83"/>
        <v>1.4749224223971862</v>
      </c>
    </row>
    <row r="190" spans="1:8">
      <c r="A190" s="1014" t="s">
        <v>654</v>
      </c>
      <c r="B190" s="857">
        <f>geral!I1029</f>
        <v>2149.1363843799541</v>
      </c>
      <c r="C190" s="857">
        <f t="shared" si="118"/>
        <v>330.00681536452828</v>
      </c>
      <c r="D190" s="961">
        <f t="shared" si="119"/>
        <v>1.6176910621144902</v>
      </c>
      <c r="E190" s="961">
        <f t="shared" si="120"/>
        <v>2.7057967978813657</v>
      </c>
      <c r="F190" s="965">
        <f t="shared" si="121"/>
        <v>0.16065416099928509</v>
      </c>
      <c r="G190" s="966">
        <f t="shared" si="122"/>
        <v>-2.3501496015462697</v>
      </c>
      <c r="H190" s="861">
        <f t="shared" si="83"/>
        <v>1.4514425657394932</v>
      </c>
    </row>
    <row r="191" spans="1:8">
      <c r="A191" s="1014" t="s">
        <v>657</v>
      </c>
      <c r="B191" s="857">
        <f>geral!I1030</f>
        <v>2129.4524904938694</v>
      </c>
      <c r="C191" s="857">
        <f t="shared" ref="C191:C196" si="123">100*B191/$B$8</f>
        <v>326.98429004573882</v>
      </c>
      <c r="D191" s="961">
        <f t="shared" ref="D191:D196" si="124">100*((B191/B190)-1)</f>
        <v>-0.91589784757953874</v>
      </c>
      <c r="E191" s="961">
        <f t="shared" ref="E191:E196" si="125">100*((B191/$B$184-1))</f>
        <v>1.765116615670137</v>
      </c>
      <c r="F191" s="965">
        <f t="shared" ref="F191:F196" si="126">100*((B191/B179)-1)</f>
        <v>-1.4715608250026602E-2</v>
      </c>
      <c r="G191" s="966">
        <f t="shared" ref="G191:G196" si="127">100*(B191/B167-1)</f>
        <v>-3.7018645219387469</v>
      </c>
      <c r="H191" s="861">
        <f t="shared" si="83"/>
        <v>1.4648591794340002</v>
      </c>
    </row>
    <row r="192" spans="1:8">
      <c r="A192" s="1032" t="str">
        <f>Lavlv!A192</f>
        <v>AGOSTO|15</v>
      </c>
      <c r="B192" s="918">
        <f>geral!I1031</f>
        <v>2111.0409395585953</v>
      </c>
      <c r="C192" s="918">
        <f t="shared" si="123"/>
        <v>324.15713708595837</v>
      </c>
      <c r="D192" s="1036">
        <f t="shared" si="124"/>
        <v>-0.86461430895807823</v>
      </c>
      <c r="E192" s="1036">
        <f t="shared" si="125"/>
        <v>0.8852408558831959</v>
      </c>
      <c r="F192" s="1037">
        <f t="shared" si="126"/>
        <v>-7.0635404623620168E-2</v>
      </c>
      <c r="G192" s="1038">
        <f t="shared" si="127"/>
        <v>-4.735990083166886</v>
      </c>
      <c r="H192" s="861">
        <f t="shared" si="83"/>
        <v>1.4776350232794504</v>
      </c>
    </row>
    <row r="193" spans="1:8">
      <c r="A193" s="1032" t="str">
        <f>Lavlv!A193</f>
        <v>SETEMBRO|15</v>
      </c>
      <c r="B193" s="918">
        <f>geral!I1032</f>
        <v>2098.8788378228965</v>
      </c>
      <c r="C193" s="918">
        <f t="shared" si="123"/>
        <v>322.28960718366443</v>
      </c>
      <c r="D193" s="1036">
        <f t="shared" si="124"/>
        <v>-0.57611870560131395</v>
      </c>
      <c r="E193" s="1036">
        <f t="shared" si="125"/>
        <v>0.30402211212150476</v>
      </c>
      <c r="F193" s="1037">
        <f t="shared" si="126"/>
        <v>-1.708237566620352</v>
      </c>
      <c r="G193" s="1038">
        <f t="shared" si="127"/>
        <v>-5.284823864003652</v>
      </c>
      <c r="H193" s="861">
        <f t="shared" si="83"/>
        <v>1.4861972838337554</v>
      </c>
    </row>
    <row r="194" spans="1:8">
      <c r="A194" s="1032" t="str">
        <f>Lavlv!A194</f>
        <v>OUTUBRO|15</v>
      </c>
      <c r="B194" s="918">
        <f>geral!I1033</f>
        <v>2098.8788378228965</v>
      </c>
      <c r="C194" s="918">
        <f t="shared" si="123"/>
        <v>322.28960718366443</v>
      </c>
      <c r="D194" s="1036">
        <f t="shared" si="124"/>
        <v>0</v>
      </c>
      <c r="E194" s="1036">
        <f t="shared" si="125"/>
        <v>0.30402211212150476</v>
      </c>
      <c r="F194" s="1037">
        <f t="shared" si="126"/>
        <v>-1.4080301747179447</v>
      </c>
      <c r="G194" s="1038">
        <f t="shared" si="127"/>
        <v>-5.284823864003652</v>
      </c>
      <c r="H194" s="861">
        <f t="shared" si="83"/>
        <v>1.4861972838337554</v>
      </c>
    </row>
    <row r="195" spans="1:8">
      <c r="A195" s="1032" t="str">
        <f>Lavlv!A195</f>
        <v>NOVEMBRO|15</v>
      </c>
      <c r="B195" s="918">
        <f>geral!I1034</f>
        <v>2025.0268138985821</v>
      </c>
      <c r="C195" s="918">
        <f t="shared" si="123"/>
        <v>310.94939099235029</v>
      </c>
      <c r="D195" s="1036">
        <f t="shared" si="124"/>
        <v>-3.5186416001468102</v>
      </c>
      <c r="E195" s="1036">
        <f t="shared" si="125"/>
        <v>-3.2253169365360601</v>
      </c>
      <c r="F195" s="1037">
        <f t="shared" si="126"/>
        <v>-4.0974392763373118</v>
      </c>
      <c r="G195" s="1038">
        <f t="shared" si="127"/>
        <v>-8.6175114531771513</v>
      </c>
      <c r="H195" s="861">
        <f t="shared" si="83"/>
        <v>1.5403983821148364</v>
      </c>
    </row>
    <row r="196" spans="1:8">
      <c r="A196" s="1032" t="str">
        <f>Lavlv!A196</f>
        <v>DEZEMBRO|15</v>
      </c>
      <c r="B196" s="918">
        <f>geral!I1035</f>
        <v>2031.6691925388484</v>
      </c>
      <c r="C196" s="918">
        <f t="shared" si="123"/>
        <v>311.96934963129542</v>
      </c>
      <c r="D196" s="1036">
        <f t="shared" si="124"/>
        <v>0.32801435490517061</v>
      </c>
      <c r="E196" s="1036">
        <f t="shared" si="125"/>
        <v>-2.9078820841739073</v>
      </c>
      <c r="F196" s="1037">
        <f t="shared" si="126"/>
        <v>-2.9078820841739073</v>
      </c>
      <c r="G196" s="1038">
        <f t="shared" si="127"/>
        <v>-8.3177637728739882</v>
      </c>
      <c r="H196" s="861">
        <f t="shared" si="83"/>
        <v>1.5353621737850374</v>
      </c>
    </row>
    <row r="197" spans="1:8">
      <c r="A197" s="1032" t="str">
        <f>Lavlv!A197</f>
        <v>JANEIRO|16</v>
      </c>
      <c r="B197" s="918">
        <f>geral!K1024</f>
        <v>2067.2672641938957</v>
      </c>
      <c r="C197" s="918">
        <f t="shared" ref="C197" si="128">100*B197/$B$8</f>
        <v>317.4355482147742</v>
      </c>
      <c r="D197" s="1036">
        <f t="shared" ref="D197" si="129">100*((B197/B196)-1)</f>
        <v>1.7521588546884681</v>
      </c>
      <c r="E197" s="1036">
        <f t="shared" ref="E197:E202" si="130">100*((B197/$B$196-1))</f>
        <v>1.7521588546884681</v>
      </c>
      <c r="F197" s="1037">
        <f t="shared" ref="F197" si="131">100*((B197/B185)-1)</f>
        <v>-0.48859424050542444</v>
      </c>
      <c r="G197" s="1038">
        <f t="shared" ref="G197" si="132">100*(B197/B173-1)</f>
        <v>-6.3466019910488942</v>
      </c>
      <c r="H197" s="861">
        <f t="shared" si="83"/>
        <v>1.5089234381529704</v>
      </c>
    </row>
    <row r="198" spans="1:8">
      <c r="A198" s="1032" t="str">
        <f>Lavlv!A198</f>
        <v>FEVEREIRO|16</v>
      </c>
      <c r="B198" s="918">
        <f>geral!K1025</f>
        <v>2053.5147337696817</v>
      </c>
      <c r="C198" s="918">
        <f t="shared" ref="C198" si="133">100*B198/$B$8</f>
        <v>315.3238028637187</v>
      </c>
      <c r="D198" s="1036">
        <f t="shared" ref="D198" si="134">100*((B198/B197)-1)</f>
        <v>-0.6652516905972794</v>
      </c>
      <c r="E198" s="1036">
        <f t="shared" si="130"/>
        <v>1.075250897688429</v>
      </c>
      <c r="F198" s="1037">
        <f t="shared" ref="F198" si="135">100*((B198/B186)-1)</f>
        <v>-3.1781285849344476</v>
      </c>
      <c r="G198" s="1038">
        <f t="shared" ref="G198" si="136">100*(B198/B174-1)</f>
        <v>-6.9696328046052418</v>
      </c>
      <c r="H198" s="861">
        <f t="shared" si="83"/>
        <v>1.519028802945223</v>
      </c>
    </row>
    <row r="199" spans="1:8">
      <c r="A199" s="1032" t="str">
        <f>Lavlv!A199</f>
        <v>MARÇO|16</v>
      </c>
      <c r="B199" s="918">
        <f>geral!K1026</f>
        <v>2070.9158947146047</v>
      </c>
      <c r="C199" s="918">
        <f t="shared" ref="C199" si="137">100*B199/$B$8</f>
        <v>317.9958071854623</v>
      </c>
      <c r="D199" s="1036">
        <f t="shared" ref="D199" si="138">100*((B199/B198)-1)</f>
        <v>0.84738427529951199</v>
      </c>
      <c r="E199" s="1036">
        <f t="shared" si="130"/>
        <v>1.9317466800149896</v>
      </c>
      <c r="F199" s="1037">
        <f t="shared" ref="F199" si="139">100*((B199/B187)-1)</f>
        <v>-3.3016091855913032</v>
      </c>
      <c r="G199" s="1038">
        <f t="shared" ref="G199" si="140">100*(B199/B175-1)</f>
        <v>-6.2361365153145503</v>
      </c>
      <c r="H199" s="861">
        <f t="shared" si="83"/>
        <v>1.5062649506094108</v>
      </c>
    </row>
    <row r="200" spans="1:8">
      <c r="A200" s="1032" t="str">
        <f>Lavlv!A200</f>
        <v>ABRIL|16</v>
      </c>
      <c r="B200" s="918">
        <f>geral!K1027</f>
        <v>2085.084275463551</v>
      </c>
      <c r="C200" s="918">
        <f t="shared" ref="C200" si="141">100*B200/$B$8</f>
        <v>320.17140769356166</v>
      </c>
      <c r="D200" s="1036">
        <f t="shared" ref="D200" si="142">100*((B200/B199)-1)</f>
        <v>0.68416012379386437</v>
      </c>
      <c r="E200" s="1036">
        <f t="shared" si="130"/>
        <v>2.629123044286219</v>
      </c>
      <c r="F200" s="1037">
        <f t="shared" ref="F200" si="143">100*((B200/B188)-1)</f>
        <v>-3.0664456785271521</v>
      </c>
      <c r="G200" s="1038">
        <f t="shared" ref="G200" si="144">100*(B200/B176-1)</f>
        <v>-4.1538924135800182</v>
      </c>
      <c r="H200" s="861">
        <f t="shared" si="83"/>
        <v>1.4960297118806154</v>
      </c>
    </row>
    <row r="201" spans="1:8">
      <c r="A201" s="1032" t="str">
        <f>Lavlv!A201</f>
        <v>MAIO|16</v>
      </c>
      <c r="B201" s="918">
        <f>geral!K1028</f>
        <v>2104.8336575897515</v>
      </c>
      <c r="C201" s="918">
        <f t="shared" ref="C201" si="145">100*B201/$B$8</f>
        <v>323.20398894259438</v>
      </c>
      <c r="D201" s="1036">
        <f t="shared" ref="D201" si="146">100*((B201/B200)-1)</f>
        <v>0.94717428732273845</v>
      </c>
      <c r="E201" s="1036">
        <f t="shared" si="130"/>
        <v>3.601199709066516</v>
      </c>
      <c r="F201" s="1037">
        <f t="shared" ref="F201" si="147">100*((B201/B189)-1)</f>
        <v>-0.47707632300653113</v>
      </c>
      <c r="G201" s="1038">
        <f t="shared" ref="G201" si="148">100*(B201/B177-1)</f>
        <v>-2.2157516091992013</v>
      </c>
      <c r="H201" s="861">
        <f t="shared" si="83"/>
        <v>1.4819926584794869</v>
      </c>
    </row>
    <row r="202" spans="1:8">
      <c r="A202" s="1032" t="str">
        <f>Lavlv!A202</f>
        <v>JUNHO|16</v>
      </c>
      <c r="B202" s="918">
        <f>geral!K1029</f>
        <v>2114.263964166355</v>
      </c>
      <c r="C202" s="918">
        <f t="shared" ref="C202" si="149">100*B202/$B$8</f>
        <v>324.65204289760379</v>
      </c>
      <c r="D202" s="1036">
        <f t="shared" ref="D202" si="150">100*((B202/B201)-1)</f>
        <v>0.44803096637109352</v>
      </c>
      <c r="E202" s="1036">
        <f t="shared" si="130"/>
        <v>4.0653651652950984</v>
      </c>
      <c r="F202" s="1037">
        <f t="shared" ref="F202" si="151">100*((B202/B190)-1)</f>
        <v>-1.6226248118571651</v>
      </c>
      <c r="G202" s="1038">
        <f t="shared" ref="G202" si="152">100*(B202/B178-1)</f>
        <v>-1.4645774651355303</v>
      </c>
      <c r="H202" s="861">
        <f t="shared" si="83"/>
        <v>1.4753824880605593</v>
      </c>
    </row>
    <row r="203" spans="1:8">
      <c r="A203" s="1032" t="str">
        <f>Lavlv!A203</f>
        <v>JULHO|16</v>
      </c>
      <c r="B203" s="918">
        <f>geral!K1030</f>
        <v>2124.774261156947</v>
      </c>
      <c r="C203" s="918">
        <f t="shared" ref="C203" si="153">100*B203/$B$8</f>
        <v>326.26593285992061</v>
      </c>
      <c r="D203" s="1036">
        <f t="shared" ref="D203" si="154">100*((B203/B202)-1)</f>
        <v>0.49711375536478641</v>
      </c>
      <c r="E203" s="1036">
        <f t="shared" ref="E203" si="155">100*((B203/$B$196-1))</f>
        <v>4.5826884101023868</v>
      </c>
      <c r="F203" s="1037">
        <f t="shared" ref="F203" si="156">100*((B203/B191)-1)</f>
        <v>-0.21969165115477418</v>
      </c>
      <c r="G203" s="1038">
        <f t="shared" ref="G203" si="157">100*(B203/B179-1)</f>
        <v>-0.23437493044206059</v>
      </c>
      <c r="H203" s="861">
        <f t="shared" ref="H203:H253" si="158">$B$253/B203</f>
        <v>1.4680844383770171</v>
      </c>
    </row>
    <row r="204" spans="1:8">
      <c r="A204" s="1032" t="str">
        <f>Lavlv!A204</f>
        <v>AGOSTO|16</v>
      </c>
      <c r="B204" s="918">
        <f>geral!K1031</f>
        <v>2134.3168332880336</v>
      </c>
      <c r="C204" s="918">
        <f t="shared" ref="C204" si="159">100*B204/$B$8</f>
        <v>327.73122555248966</v>
      </c>
      <c r="D204" s="1036">
        <f t="shared" ref="D204" si="160">100*((B204/B203)-1)</f>
        <v>0.44910992690068152</v>
      </c>
      <c r="E204" s="1036">
        <f t="shared" ref="E204" si="161">100*((B204/$B$196-1))</f>
        <v>5.0523796455717696</v>
      </c>
      <c r="F204" s="1037">
        <f t="shared" ref="F204" si="162">100*((B204/B192)-1)</f>
        <v>1.1025789833476685</v>
      </c>
      <c r="G204" s="1038">
        <f t="shared" ref="G204" si="163">100*(B204/B180-1)</f>
        <v>1.0311647675978808</v>
      </c>
      <c r="H204" s="861">
        <f t="shared" si="158"/>
        <v>1.4615206042595883</v>
      </c>
    </row>
    <row r="205" spans="1:8">
      <c r="A205" s="1032" t="str">
        <f>Lavlv!A205</f>
        <v>SETEMBRO|16</v>
      </c>
      <c r="B205" s="918">
        <f>geral!K1032</f>
        <v>2132.8199592282549</v>
      </c>
      <c r="C205" s="918">
        <f t="shared" ref="C205" si="164">100*B205/$B$8</f>
        <v>327.50137571836115</v>
      </c>
      <c r="D205" s="1036">
        <f t="shared" ref="D205" si="165">100*((B205/B204)-1)</f>
        <v>-7.0133638850267133E-2</v>
      </c>
      <c r="E205" s="1036">
        <f t="shared" ref="E205" si="166">100*((B205/$B$196-1))</f>
        <v>4.9787025890275283</v>
      </c>
      <c r="F205" s="1037">
        <f t="shared" ref="F205" si="167">100*((B205/B193)-1)</f>
        <v>1.617107228569914</v>
      </c>
      <c r="G205" s="1038">
        <f t="shared" ref="G205" si="168">100*(B205/B181-1)</f>
        <v>-0.11875437122139676</v>
      </c>
      <c r="H205" s="861">
        <f t="shared" si="158"/>
        <v>1.4625463412285633</v>
      </c>
    </row>
    <row r="206" spans="1:8">
      <c r="A206" s="1032" t="str">
        <f>Lavlv!A206</f>
        <v>OUTUBRO|16</v>
      </c>
      <c r="B206" s="918">
        <f>geral!K1033</f>
        <v>2143.0548356119893</v>
      </c>
      <c r="C206" s="918">
        <f t="shared" ref="C206" si="169">100*B206/$B$8</f>
        <v>329.07297395921461</v>
      </c>
      <c r="D206" s="1036">
        <f t="shared" ref="D206" si="170">100*((B206/B205)-1)</f>
        <v>0.47987530965518665</v>
      </c>
      <c r="E206" s="1036">
        <f t="shared" ref="E206" si="171">100*((B206/$B$196-1))</f>
        <v>5.4824694631486315</v>
      </c>
      <c r="F206" s="1037">
        <f t="shared" ref="F206" si="172">100*((B206/B194)-1)</f>
        <v>2.1047426365456756</v>
      </c>
      <c r="G206" s="1038">
        <f t="shared" ref="G206" si="173">100*(B206/B182-1)</f>
        <v>0.6670770504050072</v>
      </c>
      <c r="H206" s="861">
        <f t="shared" si="158"/>
        <v>1.4555614611596019</v>
      </c>
    </row>
    <row r="207" spans="1:8">
      <c r="A207" s="1032" t="str">
        <f>Lavlv!A207</f>
        <v>NOVEMBRO|16</v>
      </c>
      <c r="B207" s="918">
        <f>geral!K1034</f>
        <v>2148.3032502840874</v>
      </c>
      <c r="C207" s="918">
        <f t="shared" ref="C207" si="174">100*B207/$B$8</f>
        <v>329.8788849401277</v>
      </c>
      <c r="D207" s="1036">
        <f t="shared" ref="D207" si="175">100*((B207/B206)-1)</f>
        <v>0.24490342406937593</v>
      </c>
      <c r="E207" s="1036">
        <f t="shared" ref="E207" si="176">100*((B207/$B$196-1))</f>
        <v>5.7407996426568353</v>
      </c>
      <c r="F207" s="1037">
        <f t="shared" ref="F207" si="177">100*((B207/B195)-1)</f>
        <v>6.0876446444762644</v>
      </c>
      <c r="G207" s="1038">
        <f t="shared" ref="G207" si="178">100*(B207/B183-1)</f>
        <v>1.7407678254723447</v>
      </c>
      <c r="H207" s="861">
        <f t="shared" si="158"/>
        <v>1.4520054500946462</v>
      </c>
    </row>
    <row r="208" spans="1:8">
      <c r="A208" s="1032" t="str">
        <f>Lavlv!A208</f>
        <v>DEZEMBRO|16</v>
      </c>
      <c r="B208" s="918">
        <f>geral!K1035</f>
        <v>2164.432068278199</v>
      </c>
      <c r="C208" s="918">
        <f t="shared" ref="C208" si="179">100*B208/$B$8</f>
        <v>332.35551690286206</v>
      </c>
      <c r="D208" s="1036">
        <f t="shared" ref="D208" si="180">100*((B208/B207)-1)</f>
        <v>0.75077007829218445</v>
      </c>
      <c r="E208" s="1036">
        <f t="shared" ref="E208" si="181">100*((B208/$B$196-1))</f>
        <v>6.5346699269207997</v>
      </c>
      <c r="F208" s="1037">
        <f t="shared" ref="F208" si="182">100*((B208/B196)-1)</f>
        <v>6.5346699269207997</v>
      </c>
      <c r="G208" s="1038">
        <f t="shared" ref="G208" si="183">100*(B208/B184-1)</f>
        <v>3.436767346682057</v>
      </c>
      <c r="H208" s="861">
        <f t="shared" si="158"/>
        <v>1.4411854608816494</v>
      </c>
    </row>
    <row r="209" spans="1:8">
      <c r="A209" s="1032" t="str">
        <f>Lavlv!A209</f>
        <v>JANEIRO|17</v>
      </c>
      <c r="B209" s="918">
        <f>geral!M1024</f>
        <v>2157.8197571358792</v>
      </c>
      <c r="C209" s="918">
        <f t="shared" ref="C209" si="184">100*B209/$B$8</f>
        <v>331.34017522509049</v>
      </c>
      <c r="D209" s="1036">
        <f t="shared" ref="D209" si="185">100*((B209/B208)-1)</f>
        <v>-0.3054986681831906</v>
      </c>
      <c r="E209" s="1036">
        <f t="shared" ref="E209:E214" si="186">100*((B209/$B$208-1))</f>
        <v>-0.3054986681831906</v>
      </c>
      <c r="F209" s="1037">
        <f t="shared" ref="F209" si="187">100*((B209/B197)-1)</f>
        <v>4.3802992728805723</v>
      </c>
      <c r="G209" s="1038">
        <f t="shared" ref="G209" si="188">100*(B209/B185-1)</f>
        <v>3.8703031424109469</v>
      </c>
      <c r="H209" s="861">
        <f t="shared" si="158"/>
        <v>1.4456017549903779</v>
      </c>
    </row>
    <row r="210" spans="1:8">
      <c r="A210" s="1032" t="str">
        <f>Lavlv!A210</f>
        <v>FEVEREIRO|17</v>
      </c>
      <c r="B210" s="918">
        <f>geral!M1025</f>
        <v>2164.5931122563766</v>
      </c>
      <c r="C210" s="918">
        <f t="shared" ref="C210" si="189">100*B210/$B$8</f>
        <v>332.3802457245219</v>
      </c>
      <c r="D210" s="1036">
        <f t="shared" ref="D210" si="190">100*((B210/B209)-1)</f>
        <v>0.31389809543165281</v>
      </c>
      <c r="E210" s="1036">
        <f t="shared" si="186"/>
        <v>7.4404727474552956E-3</v>
      </c>
      <c r="F210" s="1037">
        <f t="shared" ref="F210" si="191">100*((B210/B198)-1)</f>
        <v>5.4091834190439947</v>
      </c>
      <c r="G210" s="1038">
        <f t="shared" ref="G210" si="192">100*(B210/B186-1)</f>
        <v>2.0591440296573671</v>
      </c>
      <c r="H210" s="861">
        <f t="shared" si="158"/>
        <v>1.4410782378480926</v>
      </c>
    </row>
    <row r="211" spans="1:8">
      <c r="A211" s="1032" t="str">
        <f>Lavlv!A211</f>
        <v>MARÇO|17</v>
      </c>
      <c r="B211" s="918">
        <f>geral!M1026</f>
        <v>2158.0297872773922</v>
      </c>
      <c r="C211" s="918">
        <f t="shared" ref="C211" si="193">100*B211/$B$8</f>
        <v>331.37242602994166</v>
      </c>
      <c r="D211" s="1036">
        <f t="shared" ref="D211" si="194">100*((B211/B210)-1)</f>
        <v>-0.30321287367226502</v>
      </c>
      <c r="E211" s="1036">
        <f t="shared" si="186"/>
        <v>-0.29579496139603423</v>
      </c>
      <c r="F211" s="1037">
        <f t="shared" ref="F211" si="195">100*((B211/B199)-1)</f>
        <v>4.2065393763754289</v>
      </c>
      <c r="G211" s="1038">
        <f t="shared" ref="G211" si="196">100*(B211/B187-1)</f>
        <v>0.76604670033819655</v>
      </c>
      <c r="H211" s="861">
        <f t="shared" si="158"/>
        <v>1.4454610618716073</v>
      </c>
    </row>
    <row r="212" spans="1:8">
      <c r="A212" s="1032" t="str">
        <f>Lavlv!A212</f>
        <v>ABRIL|17</v>
      </c>
      <c r="B212" s="918">
        <f>geral!M1027</f>
        <v>2151.2751430826424</v>
      </c>
      <c r="C212" s="918">
        <f t="shared" ref="C212" si="197">100*B212/$B$8</f>
        <v>330.3352286534369</v>
      </c>
      <c r="D212" s="1036">
        <f t="shared" ref="D212" si="198">100*((B212/B211)-1)</f>
        <v>-0.31300050789713207</v>
      </c>
      <c r="E212" s="1036">
        <f t="shared" si="186"/>
        <v>-0.60786962956166368</v>
      </c>
      <c r="F212" s="1037">
        <f t="shared" ref="F212" si="199">100*((B212/B200)-1)</f>
        <v>3.1744936354851205</v>
      </c>
      <c r="G212" s="1038">
        <f t="shared" ref="G212" si="200">100*(B212/B188-1)</f>
        <v>1.0703834057501638E-2</v>
      </c>
      <c r="H212" s="861">
        <f t="shared" si="158"/>
        <v>1.4499995678835891</v>
      </c>
    </row>
    <row r="213" spans="1:8">
      <c r="A213" s="1032" t="str">
        <f>Lavlv!A213</f>
        <v>MAIO|17</v>
      </c>
      <c r="B213" s="918">
        <f>geral!M1028</f>
        <v>2149.0391874558482</v>
      </c>
      <c r="C213" s="918">
        <f t="shared" ref="C213" si="201">100*B213/$B$8</f>
        <v>329.99189046370742</v>
      </c>
      <c r="D213" s="1036">
        <f t="shared" ref="D213" si="202">100*((B213/B212)-1)</f>
        <v>-0.10393629257438031</v>
      </c>
      <c r="E213" s="1036">
        <f t="shared" si="186"/>
        <v>-0.7111741249793968</v>
      </c>
      <c r="F213" s="1037">
        <f t="shared" ref="F213" si="203">100*((B213/B201)-1)</f>
        <v>2.1001911341876012</v>
      </c>
      <c r="G213" s="1038">
        <f t="shared" ref="G213" si="204">100*(B213/B189-1)</f>
        <v>1.6130952965419887</v>
      </c>
      <c r="H213" s="861">
        <f t="shared" si="158"/>
        <v>1.4515082117052482</v>
      </c>
    </row>
    <row r="214" spans="1:8">
      <c r="A214" s="1032" t="str">
        <f>Lavlv!A214</f>
        <v>JUNHO|17</v>
      </c>
      <c r="B214" s="918">
        <f>geral!M1029</f>
        <v>2146.7658099775599</v>
      </c>
      <c r="C214" s="918">
        <f t="shared" ref="C214" si="205">100*B214/$B$8</f>
        <v>329.64280602812477</v>
      </c>
      <c r="D214" s="1036">
        <f t="shared" ref="D214" si="206">100*((B214/B213)-1)</f>
        <v>-0.10578576191435651</v>
      </c>
      <c r="E214" s="1036">
        <f t="shared" si="186"/>
        <v>-0.8162075659271073</v>
      </c>
      <c r="F214" s="1037">
        <f t="shared" ref="F214" si="207">100*((B214/B202)-1)</f>
        <v>1.5372652782274621</v>
      </c>
      <c r="G214" s="1038">
        <f t="shared" ref="G214" si="208">100*(B214/B190-1)</f>
        <v>-0.11030358145828201</v>
      </c>
      <c r="H214" s="861">
        <f t="shared" si="158"/>
        <v>1.4530453267751382</v>
      </c>
    </row>
    <row r="215" spans="1:8">
      <c r="A215" s="1032" t="str">
        <f>Lavlv!A215</f>
        <v>JULHO|17</v>
      </c>
      <c r="B215" s="918">
        <f>geral!M1030</f>
        <v>2457.1800681240952</v>
      </c>
      <c r="C215" s="918">
        <f t="shared" ref="C215" si="209">100*B215/$B$8</f>
        <v>377.30791538051949</v>
      </c>
      <c r="D215" s="1036">
        <f t="shared" ref="D215" si="210">100*((B215/B214)-1)</f>
        <v>14.459623714138626</v>
      </c>
      <c r="E215" s="1036">
        <f t="shared" ref="E215" si="211">100*((B215/$B$208-1))</f>
        <v>13.52539560545214</v>
      </c>
      <c r="F215" s="1037">
        <f t="shared" ref="F215" si="212">100*((B215/B203)-1)</f>
        <v>15.644288103629055</v>
      </c>
      <c r="G215" s="1038">
        <f t="shared" ref="G215" si="213">100*(B215/B191-1)</f>
        <v>15.390227257627998</v>
      </c>
      <c r="H215" s="861">
        <f t="shared" si="158"/>
        <v>1.2694828793113102</v>
      </c>
    </row>
    <row r="216" spans="1:8">
      <c r="A216" s="1032" t="str">
        <f>Lavlv!A216</f>
        <v>AGOSTO|17</v>
      </c>
      <c r="B216" s="918">
        <f>geral!M1031</f>
        <v>2482.579248365334</v>
      </c>
      <c r="C216" s="918">
        <f t="shared" ref="C216" si="214">100*B216/$B$8</f>
        <v>381.20804133120419</v>
      </c>
      <c r="D216" s="1036">
        <f t="shared" ref="D216" si="215">100*((B216/B215)-1)</f>
        <v>1.0336719140257911</v>
      </c>
      <c r="E216" s="1036">
        <f t="shared" ref="E216" si="216">100*((B216/$B$208-1))</f>
        <v>14.69887573511237</v>
      </c>
      <c r="F216" s="1037">
        <f t="shared" ref="F216" si="217">100*((B216/B204)-1)</f>
        <v>16.317278186893304</v>
      </c>
      <c r="G216" s="1038">
        <f t="shared" ref="G216" si="218">100*(B216/B192-1)</f>
        <v>17.599768050184039</v>
      </c>
      <c r="H216" s="861">
        <f t="shared" si="158"/>
        <v>1.2564948449973903</v>
      </c>
    </row>
    <row r="217" spans="1:8">
      <c r="A217" s="1032" t="str">
        <f>Lavlv!A217</f>
        <v>SETEMBRO|17</v>
      </c>
      <c r="B217" s="918">
        <f>geral!M1032</f>
        <v>2497.6696099804744</v>
      </c>
      <c r="C217" s="918">
        <f t="shared" ref="C217" si="219">100*B217/$B$8</f>
        <v>383.52521497151196</v>
      </c>
      <c r="D217" s="1036">
        <f t="shared" ref="D217" si="220">100*((B217/B216)-1)</f>
        <v>0.60785014718369723</v>
      </c>
      <c r="E217" s="1036">
        <f t="shared" ref="E217" si="221">100*((B217/$B$208-1))</f>
        <v>15.396073020086277</v>
      </c>
      <c r="F217" s="1037">
        <f t="shared" ref="F217" si="222">100*((B217/B205)-1)</f>
        <v>17.106443944018501</v>
      </c>
      <c r="G217" s="1038">
        <f t="shared" ref="G217" si="223">100*(B217/B193-1)</f>
        <v>19.000180714158411</v>
      </c>
      <c r="H217" s="861">
        <f t="shared" si="158"/>
        <v>1.2489033839399293</v>
      </c>
    </row>
    <row r="218" spans="1:8">
      <c r="A218" s="1032" t="str">
        <f>Lavlv!A218</f>
        <v>OUTUBRO|17</v>
      </c>
      <c r="B218" s="918">
        <f>geral!M1033</f>
        <v>2497.6696099804744</v>
      </c>
      <c r="C218" s="918">
        <f t="shared" ref="C218" si="224">100*B218/$B$8</f>
        <v>383.52521497151196</v>
      </c>
      <c r="D218" s="1036">
        <f t="shared" ref="D218" si="225">100*((B218/B217)-1)</f>
        <v>0</v>
      </c>
      <c r="E218" s="1036">
        <f t="shared" ref="E218" si="226">100*((B218/$B$208-1))</f>
        <v>15.396073020086277</v>
      </c>
      <c r="F218" s="1037">
        <f t="shared" ref="F218" si="227">100*((B218/B206)-1)</f>
        <v>16.547162885228662</v>
      </c>
      <c r="G218" s="1038">
        <f t="shared" ref="G218" si="228">100*(B218/B194-1)</f>
        <v>19.000180714158411</v>
      </c>
      <c r="H218" s="861">
        <f t="shared" si="158"/>
        <v>1.2489033839399293</v>
      </c>
    </row>
    <row r="219" spans="1:8">
      <c r="A219" s="1032" t="str">
        <f>Lavlv!A219</f>
        <v>NOVEMBRO|17</v>
      </c>
      <c r="B219" s="918">
        <f>geral!M1034</f>
        <v>2513.9153712605066</v>
      </c>
      <c r="C219" s="918">
        <f t="shared" ref="C219" si="229">100*B219/$B$8</f>
        <v>386.0198039525377</v>
      </c>
      <c r="D219" s="1036">
        <f t="shared" ref="D219" si="230">100*((B219/B218)-1)</f>
        <v>0.65043675973457393</v>
      </c>
      <c r="E219" s="1036">
        <f t="shared" ref="E219" si="231">100*((B219/$B$208-1))</f>
        <v>16.146651498299079</v>
      </c>
      <c r="F219" s="1037">
        <f t="shared" ref="F219" si="232">100*((B219/B207)-1)</f>
        <v>17.018645804686617</v>
      </c>
      <c r="G219" s="1038">
        <f t="shared" ref="G219" si="233">100*(B219/B195-1)</f>
        <v>24.142325129054278</v>
      </c>
      <c r="H219" s="861">
        <f t="shared" si="158"/>
        <v>1.240832552889185</v>
      </c>
    </row>
    <row r="220" spans="1:8">
      <c r="A220" s="1032" t="str">
        <f>Lavlv!A220</f>
        <v>DEZEMBRO|17</v>
      </c>
      <c r="B220" s="918">
        <f>geral!M1035</f>
        <v>2524.2063804214827</v>
      </c>
      <c r="C220" s="918">
        <f t="shared" ref="C220" si="234">100*B220/$B$8</f>
        <v>387.60002156217104</v>
      </c>
      <c r="D220" s="1036">
        <f t="shared" ref="D220" si="235">100*((B220/B219)-1)</f>
        <v>0.4093617978800923</v>
      </c>
      <c r="E220" s="1036">
        <f t="shared" ref="E220" si="236">100*((B220/$B$208-1))</f>
        <v>16.622111519050044</v>
      </c>
      <c r="F220" s="1037">
        <f t="shared" ref="F220" si="237">100*((B220/B208)-1)</f>
        <v>16.622111519050044</v>
      </c>
      <c r="G220" s="1038">
        <f t="shared" ref="G220" si="238">100*(B220/B196-1)</f>
        <v>24.242981568625432</v>
      </c>
      <c r="H220" s="861">
        <f t="shared" si="158"/>
        <v>1.2357737671781341</v>
      </c>
    </row>
    <row r="221" spans="1:8">
      <c r="A221" s="1032" t="str">
        <f>Lavlv!A221</f>
        <v>JANEIRO|18</v>
      </c>
      <c r="B221" s="918">
        <f>geral!O1024</f>
        <v>2550.4765201705927</v>
      </c>
      <c r="C221" s="918">
        <f t="shared" ref="C221" si="239">100*B221/$B$8</f>
        <v>391.63388615112598</v>
      </c>
      <c r="D221" s="1036">
        <f t="shared" ref="D221" si="240">100*((B221/B220)-1)</f>
        <v>1.0407286802247784</v>
      </c>
      <c r="E221" s="1036">
        <f t="shared" ref="E221:E226" si="241">100*((B221/$B$220-1))</f>
        <v>1.0407286802247784</v>
      </c>
      <c r="F221" s="1037">
        <f t="shared" ref="F221" si="242">100*((B221/B209)-1)</f>
        <v>18.196921301522217</v>
      </c>
      <c r="G221" s="1038">
        <f t="shared" ref="G221" si="243">100*(B221/B197-1)</f>
        <v>23.374300185860019</v>
      </c>
      <c r="H221" s="861">
        <f t="shared" si="158"/>
        <v>1.2230451851640238</v>
      </c>
    </row>
    <row r="222" spans="1:8">
      <c r="A222" s="1032" t="str">
        <f>Lavlv!A222</f>
        <v>FEVEREIRO|18</v>
      </c>
      <c r="B222" s="918">
        <f>geral!O1025</f>
        <v>2541.9817598813506</v>
      </c>
      <c r="C222" s="918">
        <f t="shared" ref="C222" si="244">100*B222/$B$8</f>
        <v>390.32948834244684</v>
      </c>
      <c r="D222" s="1036">
        <f t="shared" ref="D222" si="245">100*((B222/B221)-1)</f>
        <v>-0.33306561429053971</v>
      </c>
      <c r="E222" s="1036">
        <f t="shared" si="241"/>
        <v>0.70419675656234748</v>
      </c>
      <c r="F222" s="1037">
        <f t="shared" ref="F222" si="246">100*((B222/B210)-1)</f>
        <v>17.434622954684698</v>
      </c>
      <c r="G222" s="1038">
        <f t="shared" ref="G222" si="247">100*(B222/B198-1)</f>
        <v>23.786877107766323</v>
      </c>
      <c r="H222" s="861">
        <f t="shared" si="158"/>
        <v>1.2271323410338462</v>
      </c>
    </row>
    <row r="223" spans="1:8">
      <c r="A223" s="1032" t="str">
        <f>Lavlv!A223</f>
        <v>MARÇO|18</v>
      </c>
      <c r="B223" s="918">
        <f>geral!O1026</f>
        <v>2524.4309115304491</v>
      </c>
      <c r="C223" s="918">
        <f t="shared" ref="C223" si="248">100*B223/$B$8</f>
        <v>387.63449903729025</v>
      </c>
      <c r="D223" s="1036">
        <f t="shared" ref="D223" si="249">100*((B223/B222)-1)</f>
        <v>-0.69043958646346493</v>
      </c>
      <c r="E223" s="1036">
        <f t="shared" si="241"/>
        <v>8.8951169249895656E-3</v>
      </c>
      <c r="F223" s="1037">
        <f t="shared" ref="F223" si="250">100*((B223/B211)-1)</f>
        <v>16.978501706193548</v>
      </c>
      <c r="G223" s="1038">
        <f t="shared" ref="G223" si="251">100*(B223/B199-1)</f>
        <v>21.899248442358576</v>
      </c>
      <c r="H223" s="861">
        <f t="shared" si="158"/>
        <v>1.2356638534335713</v>
      </c>
    </row>
    <row r="224" spans="1:8">
      <c r="A224" s="1032" t="str">
        <f>Lavlv!A224</f>
        <v>ABRIL|18</v>
      </c>
      <c r="B224" s="918">
        <f>geral!O1027</f>
        <v>2511.59881764888</v>
      </c>
      <c r="C224" s="918">
        <f t="shared" ref="C224" si="252">100*B224/$B$8</f>
        <v>385.66408968258708</v>
      </c>
      <c r="D224" s="1036">
        <f t="shared" ref="D224" si="253">100*((B224/B223)-1)</f>
        <v>-0.50831630301142461</v>
      </c>
      <c r="E224" s="1036">
        <f t="shared" si="241"/>
        <v>-0.49946640141593779</v>
      </c>
      <c r="F224" s="1037">
        <f t="shared" ref="F224" si="254">100*((B224/B212)-1)</f>
        <v>16.7493068343604</v>
      </c>
      <c r="G224" s="1038">
        <f t="shared" ref="G224" si="255">100*(B224/B200-1)</f>
        <v>20.455506149290169</v>
      </c>
      <c r="H224" s="861">
        <f t="shared" si="158"/>
        <v>1.2419770251319735</v>
      </c>
    </row>
    <row r="225" spans="1:8">
      <c r="A225" s="1032" t="str">
        <f>Lavlv!A225</f>
        <v>MAIO|18</v>
      </c>
      <c r="B225" s="918">
        <f>geral!O1028</f>
        <v>2514.2089917906187</v>
      </c>
      <c r="C225" s="918">
        <f t="shared" ref="C225" si="256">100*B225/$B$8</f>
        <v>386.06489033084864</v>
      </c>
      <c r="D225" s="1036">
        <f t="shared" ref="D225" si="257">100*((B225/B224)-1)</f>
        <v>0.10392480373049295</v>
      </c>
      <c r="E225" s="1036">
        <f t="shared" si="241"/>
        <v>-0.39606066716282307</v>
      </c>
      <c r="F225" s="1037">
        <f t="shared" ref="F225" si="258">100*((B225/B213)-1)</f>
        <v>16.992235714746506</v>
      </c>
      <c r="G225" s="1038">
        <f t="shared" ref="G225" si="259">100*(B225/B201-1)</f>
        <v>19.449296276915472</v>
      </c>
      <c r="H225" s="861">
        <f t="shared" si="158"/>
        <v>1.2406876429341458</v>
      </c>
    </row>
    <row r="226" spans="1:8">
      <c r="A226" s="1032" t="str">
        <f>Lavlv!A226</f>
        <v>JUNHO|18</v>
      </c>
      <c r="B226" s="918">
        <f>geral!O1029</f>
        <v>2515.4345574270624</v>
      </c>
      <c r="C226" s="918">
        <f t="shared" ref="C226" si="260">100*B226/$B$8</f>
        <v>386.25307988254133</v>
      </c>
      <c r="D226" s="1036">
        <f t="shared" ref="D226" si="261">100*((B226/B225)-1)</f>
        <v>4.8745575266240238E-2</v>
      </c>
      <c r="E226" s="1036">
        <f t="shared" si="241"/>
        <v>-0.34750815394720691</v>
      </c>
      <c r="F226" s="1037">
        <f t="shared" ref="F226" si="262">100*((B226/B214)-1)</f>
        <v>17.173216833249082</v>
      </c>
      <c r="G226" s="1038">
        <f t="shared" ref="G226" si="263">100*(B226/B202-1)</f>
        <v>18.974480011008808</v>
      </c>
      <c r="H226" s="861">
        <f t="shared" si="158"/>
        <v>1.2400831572653572</v>
      </c>
    </row>
    <row r="227" spans="1:8">
      <c r="A227" s="1032" t="str">
        <f>Lavlv!A227</f>
        <v>JULHO|18</v>
      </c>
      <c r="B227" s="918">
        <f>geral!O1030</f>
        <v>2537.5695825860344</v>
      </c>
      <c r="C227" s="918">
        <f t="shared" ref="C227" si="264">100*B227/$B$8</f>
        <v>389.65198430471628</v>
      </c>
      <c r="D227" s="1036">
        <f t="shared" ref="D227" si="265">100*((B227/B226)-1)</f>
        <v>0.87996823823606185</v>
      </c>
      <c r="E227" s="1036">
        <f t="shared" ref="E227" si="266">100*((B227/$B$220-1))</f>
        <v>0.5294021229088397</v>
      </c>
      <c r="F227" s="1037">
        <f t="shared" ref="F227" si="267">100*((B227/B215)-1)</f>
        <v>3.2716167408647356</v>
      </c>
      <c r="G227" s="1038">
        <f t="shared" ref="G227" si="268">100*(B227/B203-1)</f>
        <v>19.427725993081204</v>
      </c>
      <c r="H227" s="861">
        <f t="shared" si="158"/>
        <v>1.2292660068417174</v>
      </c>
    </row>
    <row r="228" spans="1:8">
      <c r="A228" s="1032" t="str">
        <f>Lavlv!A228</f>
        <v>AGOSTO|18</v>
      </c>
      <c r="B228" s="918">
        <f>geral!O1031</f>
        <v>2523.6954311444638</v>
      </c>
      <c r="C228" s="918">
        <f t="shared" ref="C228" si="269">100*B228/$B$8</f>
        <v>387.52156365463787</v>
      </c>
      <c r="D228" s="1036">
        <f t="shared" ref="D228" si="270">100*((B228/B227)-1)</f>
        <v>-0.54674959602216688</v>
      </c>
      <c r="E228" s="1036">
        <f t="shared" ref="E228" si="271">100*((B228/$B$220-1))</f>
        <v>-2.0241977081669749E-2</v>
      </c>
      <c r="F228" s="1037">
        <f t="shared" ref="F228" si="272">100*((B228/B216)-1)</f>
        <v>1.6561881279803181</v>
      </c>
      <c r="G228" s="1038">
        <f t="shared" ref="G228" si="273">100*(B228/B204-1)</f>
        <v>18.243711139014486</v>
      </c>
      <c r="H228" s="861">
        <f t="shared" si="158"/>
        <v>1.2360239628654213</v>
      </c>
    </row>
    <row r="229" spans="1:8">
      <c r="A229" s="1032" t="str">
        <f>Lavlv!A229</f>
        <v>SETEMBRO|18</v>
      </c>
      <c r="B229" s="918">
        <f>geral!O1032</f>
        <v>2545.5872142687222</v>
      </c>
      <c r="C229" s="918">
        <f t="shared" ref="C229" si="274">100*B229/$B$8</f>
        <v>390.88311747876696</v>
      </c>
      <c r="D229" s="1036">
        <f t="shared" ref="D229" si="275">100*((B229/B228)-1)</f>
        <v>0.86744948911410269</v>
      </c>
      <c r="E229" s="1036">
        <f t="shared" ref="E229" si="276">100*((B229/$B$220-1))</f>
        <v>0.84703192310564557</v>
      </c>
      <c r="F229" s="1037">
        <f t="shared" ref="F229" si="277">100*((B229/B217)-1)</f>
        <v>1.9184925058451707</v>
      </c>
      <c r="G229" s="1038">
        <f t="shared" ref="G229" si="278">100*(B229/B205-1)</f>
        <v>19.353122294946257</v>
      </c>
      <c r="H229" s="861">
        <f t="shared" si="158"/>
        <v>1.2253942863885108</v>
      </c>
    </row>
    <row r="230" spans="1:8">
      <c r="A230" s="1032" t="str">
        <f>Lavlv!A230</f>
        <v>OUTUBRO|18</v>
      </c>
      <c r="B230" s="918">
        <f>geral!O1033</f>
        <v>2569.4184510969289</v>
      </c>
      <c r="C230" s="918">
        <f t="shared" ref="C230" si="279">100*B230/$B$8</f>
        <v>394.54248066717781</v>
      </c>
      <c r="D230" s="1036">
        <f t="shared" ref="D230" si="280">100*((B230/B229)-1)</f>
        <v>0.93617836759338768</v>
      </c>
      <c r="E230" s="1036">
        <f t="shared" ref="E230" si="281">100*((B230/$B$220-1))</f>
        <v>1.7911400203297623</v>
      </c>
      <c r="F230" s="1037">
        <f t="shared" ref="F230" si="282">100*((B230/B218)-1)</f>
        <v>2.8726313852621699</v>
      </c>
      <c r="G230" s="1038">
        <f t="shared" ref="G230" si="283">100*(B230/B206-1)</f>
        <v>19.895133264902377</v>
      </c>
      <c r="H230" s="861">
        <f t="shared" si="158"/>
        <v>1.2140288112809474</v>
      </c>
    </row>
    <row r="231" spans="1:8">
      <c r="A231" s="1032" t="str">
        <f>Lavlv!A231</f>
        <v>NOVEMBRO|18</v>
      </c>
      <c r="B231" s="918">
        <f>geral!O1034</f>
        <v>2569.4184510969289</v>
      </c>
      <c r="C231" s="918">
        <f t="shared" ref="C231" si="284">100*B231/$B$8</f>
        <v>394.54248066717781</v>
      </c>
      <c r="D231" s="1036">
        <f t="shared" ref="D231" si="285">100*((B231/B230)-1)</f>
        <v>0</v>
      </c>
      <c r="E231" s="1036">
        <f t="shared" ref="E231" si="286">100*((B231/$B$220-1))</f>
        <v>1.7911400203297623</v>
      </c>
      <c r="F231" s="1037">
        <f t="shared" ref="F231" si="287">100*((B231/B219)-1)</f>
        <v>2.2078340611996206</v>
      </c>
      <c r="G231" s="1038">
        <f t="shared" ref="G231" si="288">100*(B231/B207-1)</f>
        <v>19.602223324717038</v>
      </c>
      <c r="H231" s="861">
        <f t="shared" si="158"/>
        <v>1.2140288112809474</v>
      </c>
    </row>
    <row r="232" spans="1:8">
      <c r="A232" s="1032" t="str">
        <f>Lavlv!A232</f>
        <v>DEZEMBRO|18</v>
      </c>
      <c r="B232" s="918">
        <f>geral!O1035</f>
        <v>2579.0171560052577</v>
      </c>
      <c r="C232" s="918">
        <f t="shared" ref="C232" si="289">100*B232/$B$8</f>
        <v>396.01639272852674</v>
      </c>
      <c r="D232" s="1036">
        <f t="shared" ref="D232" si="290">100*((B232/B231)-1)</f>
        <v>0.3735749972617608</v>
      </c>
      <c r="E232" s="1036">
        <f t="shared" ref="E232" si="291">100*((B232/$B$220-1))</f>
        <v>2.1714062688734215</v>
      </c>
      <c r="F232" s="1037">
        <f t="shared" ref="F232" si="292">100*((B232/B220)-1)</f>
        <v>2.1714062688734215</v>
      </c>
      <c r="G232" s="1038">
        <f t="shared" ref="G232" si="293">100*(B232/B208-1)</f>
        <v>19.154451359467252</v>
      </c>
      <c r="H232" s="861">
        <f t="shared" si="158"/>
        <v>1.2095103829011438</v>
      </c>
    </row>
    <row r="233" spans="1:8">
      <c r="A233" s="1032" t="str">
        <f>Lavlv!A233</f>
        <v>JANEIRO|19</v>
      </c>
      <c r="B233" s="918">
        <f>geral!Q1024</f>
        <v>2622.0897070753799</v>
      </c>
      <c r="C233" s="918">
        <f t="shared" ref="C233" si="294">100*B233/$B$8</f>
        <v>402.63032170557398</v>
      </c>
      <c r="D233" s="1036">
        <f t="shared" ref="D233" si="295">100*((B233/B232)-1)</f>
        <v>1.6701149494034118</v>
      </c>
      <c r="E233" s="1036">
        <f t="shared" ref="E233:E238" si="296">100*((B233/$B$232-1))</f>
        <v>1.6701149494034118</v>
      </c>
      <c r="F233" s="1037">
        <f t="shared" ref="F233" si="297">100*((B233/B221)-1)</f>
        <v>2.8078355687037426</v>
      </c>
      <c r="G233" s="1038">
        <f t="shared" ref="G233" si="298">100*(B233/B209-1)</f>
        <v>21.515696498939118</v>
      </c>
      <c r="H233" s="861">
        <f t="shared" si="158"/>
        <v>1.1896419941130805</v>
      </c>
    </row>
    <row r="234" spans="1:8">
      <c r="A234" s="1032" t="str">
        <f>Lavlv!A234</f>
        <v>FEVEREIRO|19</v>
      </c>
      <c r="B234" s="918">
        <f>geral!Q1025</f>
        <v>2661.9488155776207</v>
      </c>
      <c r="C234" s="918">
        <f t="shared" ref="C234" si="299">100*B234/$B$8</f>
        <v>408.7508162240681</v>
      </c>
      <c r="D234" s="1036">
        <f t="shared" ref="D234" si="300">100*((B234/B233)-1)</f>
        <v>1.5201275682783066</v>
      </c>
      <c r="E234" s="1036">
        <f t="shared" si="296"/>
        <v>3.2156303954495202</v>
      </c>
      <c r="F234" s="1037">
        <f t="shared" ref="F234" si="301">100*((B234/B222)-1)</f>
        <v>4.7194302331213356</v>
      </c>
      <c r="G234" s="1038">
        <f t="shared" ref="G234" si="302">100*(B234/B210-1)</f>
        <v>22.976868054560118</v>
      </c>
      <c r="H234" s="861">
        <f t="shared" si="158"/>
        <v>1.1718287029465912</v>
      </c>
    </row>
    <row r="235" spans="1:8">
      <c r="A235" s="1032" t="str">
        <f>Lavlv!A235</f>
        <v>MARÇO|19</v>
      </c>
      <c r="B235" s="918">
        <f>geral!Q1026</f>
        <v>2723.4703394345102</v>
      </c>
      <c r="C235" s="918">
        <f t="shared" ref="C235" si="303">100*B235/$B$8</f>
        <v>418.19764440674868</v>
      </c>
      <c r="D235" s="1036">
        <f t="shared" ref="D235" si="304">100*((B235/B234)-1)</f>
        <v>2.3111460106545856</v>
      </c>
      <c r="E235" s="1036">
        <f t="shared" si="296"/>
        <v>5.601094319705946</v>
      </c>
      <c r="F235" s="1037">
        <f t="shared" ref="F235" si="305">100*((B235/B223)-1)</f>
        <v>7.8845266469737663</v>
      </c>
      <c r="G235" s="1038">
        <f t="shared" ref="G235" si="306">100*(B235/B211-1)</f>
        <v>26.201702844449027</v>
      </c>
      <c r="H235" s="861">
        <f t="shared" si="158"/>
        <v>1.1453578115766174</v>
      </c>
    </row>
    <row r="236" spans="1:8">
      <c r="A236" s="1032" t="str">
        <f>Lavlv!A236</f>
        <v>ABRIL|19</v>
      </c>
      <c r="B236" s="918">
        <f>geral!Q1027</f>
        <v>2713.8903454519291</v>
      </c>
      <c r="C236" s="918">
        <f t="shared" ref="C236" si="307">100*B236/$B$8</f>
        <v>416.7266054683264</v>
      </c>
      <c r="D236" s="1036">
        <f t="shared" ref="D236" si="308">100*((B236/B235)-1)</f>
        <v>-0.35175686857563671</v>
      </c>
      <c r="E236" s="1036">
        <f t="shared" si="296"/>
        <v>5.2296352171453453</v>
      </c>
      <c r="F236" s="1037">
        <f t="shared" ref="F236" si="309">100*((B236/B224)-1)</f>
        <v>8.0542930017945871</v>
      </c>
      <c r="G236" s="1038">
        <f t="shared" ref="G236" si="310">100*(B236/B212-1)</f>
        <v>26.152638084363964</v>
      </c>
      <c r="H236" s="861">
        <f t="shared" si="158"/>
        <v>1.1494009082187475</v>
      </c>
    </row>
    <row r="237" spans="1:8">
      <c r="A237" s="1032" t="str">
        <f>Lavlv!A237</f>
        <v>MAIO|19</v>
      </c>
      <c r="B237" s="918">
        <f>geral!Q1028</f>
        <v>2714.1897202638847</v>
      </c>
      <c r="C237" s="918">
        <f t="shared" ref="C237" si="311">100*B237/$B$8</f>
        <v>416.77257543515208</v>
      </c>
      <c r="D237" s="1036">
        <f t="shared" ref="D237" si="312">100*((B237/B236)-1)</f>
        <v>1.1031205164835356E-2</v>
      </c>
      <c r="E237" s="1036">
        <f t="shared" si="296"/>
        <v>5.2412433141003634</v>
      </c>
      <c r="F237" s="1037">
        <f t="shared" ref="F237" si="313">100*((B237/B225)-1)</f>
        <v>7.954021687387236</v>
      </c>
      <c r="G237" s="1038">
        <f t="shared" ref="G237" si="314">100*(B237/B213-1)</f>
        <v>26.297823516056653</v>
      </c>
      <c r="H237" s="861">
        <f t="shared" si="158"/>
        <v>1.1492741294316235</v>
      </c>
    </row>
    <row r="238" spans="1:8">
      <c r="A238" s="1032" t="str">
        <f>Lavlv!A238</f>
        <v>JUNHO|19</v>
      </c>
      <c r="B238" s="918">
        <f>geral!Q1029</f>
        <v>2737.6812875395317</v>
      </c>
      <c r="C238" s="918">
        <f t="shared" ref="C238" si="315">100*B238/$B$8</f>
        <v>420.37978126950611</v>
      </c>
      <c r="D238" s="1036">
        <f t="shared" ref="D238" si="316">100*((B238/B237)-1)</f>
        <v>0.86550940416070254</v>
      </c>
      <c r="E238" s="1036">
        <f t="shared" si="296"/>
        <v>6.1521161720395456</v>
      </c>
      <c r="F238" s="1037">
        <f t="shared" ref="F238" si="317">100*((B238/B226)-1)</f>
        <v>8.8353214937063171</v>
      </c>
      <c r="G238" s="1038">
        <f t="shared" ref="G238" si="318">100*(B238/B214-1)</f>
        <v>27.525847244984234</v>
      </c>
      <c r="H238" s="861">
        <f t="shared" si="158"/>
        <v>1.139412407889169</v>
      </c>
    </row>
    <row r="239" spans="1:8">
      <c r="A239" s="1032" t="str">
        <f>Lavlv!A239</f>
        <v>JULHO|19</v>
      </c>
      <c r="B239" s="918">
        <f>geral!Q1030</f>
        <v>2748.1500504951059</v>
      </c>
      <c r="C239" s="918">
        <f t="shared" ref="C239" si="319">100*B239/$B$8</f>
        <v>421.98729354694211</v>
      </c>
      <c r="D239" s="1036">
        <f t="shared" ref="D239" si="320">100*((B239/B238)-1)</f>
        <v>0.38239524093701682</v>
      </c>
      <c r="E239" s="1036">
        <f t="shared" ref="E239" si="321">100*((B239/$B$232-1))</f>
        <v>6.5580368124353638</v>
      </c>
      <c r="F239" s="1037">
        <f t="shared" ref="F239" si="322">100*((B239/B227)-1)</f>
        <v>8.2985100922619459</v>
      </c>
      <c r="G239" s="1038">
        <f t="shared" ref="G239" si="323">100*(B239/B215-1)</f>
        <v>11.841622278547458</v>
      </c>
      <c r="H239" s="861">
        <f t="shared" si="158"/>
        <v>1.1350719467834578</v>
      </c>
    </row>
    <row r="240" spans="1:8">
      <c r="A240" s="1032" t="str">
        <f>Lavlv!A240</f>
        <v>AGOSTO|19</v>
      </c>
      <c r="B240" s="918">
        <f>geral!Q1031</f>
        <v>2810.2329021244132</v>
      </c>
      <c r="C240" s="918">
        <f t="shared" ref="C240" si="324">100*B240/$B$8</f>
        <v>431.52031541742105</v>
      </c>
      <c r="D240" s="1036">
        <f t="shared" ref="D240" si="325">100*((B240/B239)-1)</f>
        <v>2.2590779429282781</v>
      </c>
      <c r="E240" s="1036">
        <f t="shared" ref="E240" si="326">100*((B240/$B$232-1))</f>
        <v>8.9652659184824799</v>
      </c>
      <c r="F240" s="1037">
        <f t="shared" ref="F240" si="327">100*((B240/B228)-1)</f>
        <v>11.353884761363942</v>
      </c>
      <c r="G240" s="1038">
        <f t="shared" ref="G240" si="328">100*(B240/B216-1)</f>
        <v>13.198114580826537</v>
      </c>
      <c r="H240" s="861">
        <f t="shared" si="158"/>
        <v>1.1099962659715668</v>
      </c>
    </row>
    <row r="241" spans="1:8">
      <c r="A241" s="1032" t="str">
        <f>Lavlv!A241</f>
        <v>SETEMBRO|19</v>
      </c>
      <c r="B241" s="918">
        <f>geral!Q1032</f>
        <v>2828.0831252872699</v>
      </c>
      <c r="C241" s="918">
        <f t="shared" ref="C241" si="329">100*B241/$B$8</f>
        <v>434.26127468940325</v>
      </c>
      <c r="D241" s="1036">
        <f t="shared" ref="D241" si="330">100*((B241/B240)-1)</f>
        <v>0.6351866120904992</v>
      </c>
      <c r="E241" s="1036">
        <f t="shared" ref="E241" si="331">100*((B241/$B$232-1))</f>
        <v>9.6573986994255012</v>
      </c>
      <c r="F241" s="1037">
        <f t="shared" ref="F241" si="332">100*((B241/B229)-1)</f>
        <v>11.097475247953792</v>
      </c>
      <c r="G241" s="1038">
        <f t="shared" ref="G241" si="333">100*(B241/B217-1)</f>
        <v>13.228871984768965</v>
      </c>
      <c r="H241" s="861">
        <f t="shared" si="158"/>
        <v>1.1029902197629646</v>
      </c>
    </row>
    <row r="242" spans="1:8">
      <c r="A242" s="1032" t="str">
        <f>Lavlv!A242</f>
        <v>OUTUBRO|19</v>
      </c>
      <c r="B242" s="918">
        <f>geral!Q1033</f>
        <v>2890.2595315453141</v>
      </c>
      <c r="C242" s="918">
        <f t="shared" ref="C242" si="334">100*B242/$B$8</f>
        <v>443.8086621745154</v>
      </c>
      <c r="D242" s="1036">
        <f t="shared" ref="D242" si="335">100*((B242/B241)-1)</f>
        <v>2.1985353153906484</v>
      </c>
      <c r="E242" s="1036">
        <f t="shared" ref="E242" si="336">100*((B242/$B$232-1))</f>
        <v>12.068255335771095</v>
      </c>
      <c r="F242" s="1037">
        <f t="shared" ref="F242" si="337">100*((B242/B230)-1)</f>
        <v>12.486914317573007</v>
      </c>
      <c r="G242" s="1038">
        <f t="shared" ref="G242" si="338">100*(B242/B218-1)</f>
        <v>15.718248722572593</v>
      </c>
      <c r="H242" s="861">
        <f t="shared" si="158"/>
        <v>1.0792622578778379</v>
      </c>
    </row>
    <row r="243" spans="1:8">
      <c r="A243" s="1032" t="str">
        <f>Lavlv!A243</f>
        <v>NOVEMBRO|19</v>
      </c>
      <c r="B243" s="918">
        <f>geral!Q1034</f>
        <v>2944.0721539943447</v>
      </c>
      <c r="C243" s="918">
        <f t="shared" ref="C243" si="339">100*B243/$B$8</f>
        <v>452.07176371143436</v>
      </c>
      <c r="D243" s="1036">
        <f t="shared" ref="D243" si="340">100*((B243/B242)-1)</f>
        <v>1.8618612571535742</v>
      </c>
      <c r="E243" s="1036">
        <f t="shared" ref="E243" si="341">100*((B243/$B$232-1))</f>
        <v>14.154810763435766</v>
      </c>
      <c r="F243" s="1037">
        <f t="shared" ref="F243" si="342">100*((B243/B231)-1)</f>
        <v>14.581264594619437</v>
      </c>
      <c r="G243" s="1038">
        <f t="shared" ref="G243" si="343">100*(B243/B219-1)</f>
        <v>17.111028782092717</v>
      </c>
      <c r="H243" s="861">
        <f t="shared" si="158"/>
        <v>1.0595351828033117</v>
      </c>
    </row>
    <row r="244" spans="1:8">
      <c r="A244" s="1032" t="str">
        <f>Lavlv!A244</f>
        <v>DEZEMBRO|19</v>
      </c>
      <c r="B244" s="918">
        <f>geral!Q1035</f>
        <v>2983.1125005659392</v>
      </c>
      <c r="C244" s="918">
        <f t="shared" ref="C244" si="344">100*B244/$B$8</f>
        <v>458.06653469779792</v>
      </c>
      <c r="D244" s="1036">
        <f t="shared" ref="D244" si="345">100*((B244/B243)-1)</f>
        <v>1.3260662283234748</v>
      </c>
      <c r="E244" s="1036">
        <f t="shared" ref="E244" si="346">100*((B244/$B$232-1))</f>
        <v>15.668579156976259</v>
      </c>
      <c r="F244" s="1037">
        <f t="shared" ref="F244" si="347">100*((B244/B232)-1)</f>
        <v>15.668579156976259</v>
      </c>
      <c r="G244" s="1038">
        <f t="shared" ref="G244" si="348">100*(B244/B220-1)</f>
        <v>18.180213935907652</v>
      </c>
      <c r="H244" s="861">
        <f t="shared" si="158"/>
        <v>1.0456689203899461</v>
      </c>
    </row>
    <row r="245" spans="1:8">
      <c r="A245" s="1032" t="str">
        <f>Lavlv!A245</f>
        <v>JANEIRO|20</v>
      </c>
      <c r="B245" s="918">
        <f>geral!S1024</f>
        <v>3006.3888921954926</v>
      </c>
      <c r="C245" s="918">
        <f t="shared" ref="C245" si="349">100*B245/$B$8</f>
        <v>461.64069961849589</v>
      </c>
      <c r="D245" s="1036">
        <f t="shared" ref="D245" si="350">100*((B245/B244)-1)</f>
        <v>0.7802720019824072</v>
      </c>
      <c r="E245" s="1036">
        <f t="shared" ref="E245:E250" si="351">100*((B245/$B$244-1))</f>
        <v>0.7802720019824072</v>
      </c>
      <c r="F245" s="1037">
        <f t="shared" ref="F245" si="352">100*((B245/B233)-1)</f>
        <v>14.656218057037851</v>
      </c>
      <c r="G245" s="1038">
        <f t="shared" ref="G245" si="353">100*(B245/B221-1)</f>
        <v>17.875576129373872</v>
      </c>
      <c r="H245" s="861">
        <f t="shared" si="158"/>
        <v>1.0375730285480644</v>
      </c>
    </row>
    <row r="246" spans="1:8">
      <c r="A246" s="1032" t="str">
        <f>Lavlv!A246</f>
        <v>FEVEREIRO|20</v>
      </c>
      <c r="B246" s="918">
        <f>geral!S1025</f>
        <v>2980.9877378898095</v>
      </c>
      <c r="C246" s="918">
        <f t="shared" ref="C246" si="354">100*B246/$B$8</f>
        <v>457.7402705438563</v>
      </c>
      <c r="D246" s="1036">
        <f t="shared" ref="D246" si="355">100*((B246/B245)-1)</f>
        <v>-0.84490580615248501</v>
      </c>
      <c r="E246" s="1036">
        <f t="shared" si="351"/>
        <v>-7.1226367618604236E-2</v>
      </c>
      <c r="F246" s="1037">
        <f t="shared" ref="F246" si="356">100*((B246/B234)-1)</f>
        <v>11.985163668256327</v>
      </c>
      <c r="G246" s="1038">
        <f t="shared" ref="G246" si="357">100*(B246/B222-1)</f>
        <v>17.270225339026425</v>
      </c>
      <c r="H246" s="861">
        <f t="shared" si="158"/>
        <v>1.0464142432456536</v>
      </c>
    </row>
    <row r="247" spans="1:8">
      <c r="A247" s="1032" t="str">
        <f>Lavlv!A247</f>
        <v>MARÇO|20</v>
      </c>
      <c r="B247" s="918">
        <f>geral!S1026</f>
        <v>2986.8349021858194</v>
      </c>
      <c r="C247" s="918">
        <f t="shared" ref="C247" si="358">100*B247/$B$8</f>
        <v>458.63812145842076</v>
      </c>
      <c r="D247" s="1036">
        <f t="shared" ref="D247" si="359">100*((B247/B246)-1)</f>
        <v>0.19614855243077489</v>
      </c>
      <c r="E247" s="1036">
        <f t="shared" si="351"/>
        <v>0.12478247532314857</v>
      </c>
      <c r="F247" s="1037">
        <f t="shared" ref="F247" si="360">100*((B247/B235)-1)</f>
        <v>9.6701828890118691</v>
      </c>
      <c r="G247" s="1038">
        <f t="shared" ref="G247" si="361">100*(B247/B223-1)</f>
        <v>18.317157682680872</v>
      </c>
      <c r="H247" s="861">
        <f t="shared" si="158"/>
        <v>1.0443657349744182</v>
      </c>
    </row>
    <row r="248" spans="1:8">
      <c r="A248" s="1032" t="str">
        <f>Lavlv!A248</f>
        <v>ABRIL|20</v>
      </c>
      <c r="B248" s="918">
        <f>geral!S1027</f>
        <v>3002.280771390157</v>
      </c>
      <c r="C248" s="918">
        <f t="shared" ref="C248" si="362">100*B248/$B$8</f>
        <v>461.00988443433408</v>
      </c>
      <c r="D248" s="1036">
        <f t="shared" ref="D248" si="363">100*((B248/B247)-1)</f>
        <v>0.51713166981657288</v>
      </c>
      <c r="E248" s="1036">
        <f t="shared" si="351"/>
        <v>0.64255943483799705</v>
      </c>
      <c r="F248" s="1037">
        <f t="shared" ref="F248" si="364">100*((B248/B236)-1)</f>
        <v>10.626458302618126</v>
      </c>
      <c r="G248" s="1038">
        <f t="shared" ref="G248" si="365">100*(B248/B224-1)</f>
        <v>19.536637391819077</v>
      </c>
      <c r="H248" s="861">
        <f t="shared" si="158"/>
        <v>1.0389927742914513</v>
      </c>
    </row>
    <row r="249" spans="1:8">
      <c r="A249" s="1032" t="str">
        <f>Lavlv!A249</f>
        <v>MAIO|20</v>
      </c>
      <c r="B249" s="918">
        <f>geral!S1028</f>
        <v>3070.1382931533249</v>
      </c>
      <c r="C249" s="918">
        <f t="shared" ref="C249" si="366">100*B249/$B$8</f>
        <v>471.42962550723615</v>
      </c>
      <c r="D249" s="1036">
        <f t="shared" ref="D249" si="367">100*((B249/B248)-1)</f>
        <v>2.2601990596551547</v>
      </c>
      <c r="E249" s="1036">
        <f t="shared" si="351"/>
        <v>2.9172816167970739</v>
      </c>
      <c r="F249" s="1037">
        <f t="shared" ref="F249" si="368">100*((B249/B237)-1)</f>
        <v>13.114358595936082</v>
      </c>
      <c r="G249" s="1038">
        <f t="shared" ref="G249" si="369">100*(B249/B225-1)</f>
        <v>22.11149921020581</v>
      </c>
      <c r="H249" s="861">
        <f t="shared" si="158"/>
        <v>1.0160285075186857</v>
      </c>
    </row>
    <row r="250" spans="1:8">
      <c r="A250" s="1032" t="str">
        <f>Lavlv!A250</f>
        <v>JUNHO|20</v>
      </c>
      <c r="B250" s="918">
        <f>geral!S1029</f>
        <v>3101.2732735967134</v>
      </c>
      <c r="C250" s="918">
        <f t="shared" ref="C250" si="370">100*B250/$B$8</f>
        <v>476.2105020571085</v>
      </c>
      <c r="D250" s="1036">
        <f t="shared" ref="D250" si="371">100*((B250/B249)-1)</f>
        <v>1.0141230612582541</v>
      </c>
      <c r="E250" s="1036">
        <f t="shared" si="351"/>
        <v>3.9609895036931242</v>
      </c>
      <c r="F250" s="1037">
        <f t="shared" ref="F250" si="372">100*((B250/B238)-1)</f>
        <v>13.281019515020208</v>
      </c>
      <c r="G250" s="1038">
        <f t="shared" ref="G250" si="373">100*(B250/B226-1)</f>
        <v>23.289761780520422</v>
      </c>
      <c r="H250" s="861">
        <f t="shared" si="158"/>
        <v>1.0058281720691007</v>
      </c>
    </row>
    <row r="251" spans="1:8">
      <c r="A251" s="1032" t="str">
        <f>Lavlv!A251</f>
        <v>JULHO|20</v>
      </c>
      <c r="B251" s="918">
        <f>geral!S1030</f>
        <v>3103.4063191318983</v>
      </c>
      <c r="C251" s="918">
        <f t="shared" ref="C251" si="374">100*B251/$B$8</f>
        <v>476.53803807074172</v>
      </c>
      <c r="D251" s="1036">
        <f t="shared" ref="D251" si="375">100*((B251/B250)-1)</f>
        <v>6.8779670380703095E-2</v>
      </c>
      <c r="E251" s="1036">
        <f t="shared" ref="E251" si="376">100*((B251/$B$244-1))</f>
        <v>4.0324935295982911</v>
      </c>
      <c r="F251" s="1037">
        <f t="shared" ref="F251" si="377">100*((B251/B239)-1)</f>
        <v>12.927105947973594</v>
      </c>
      <c r="G251" s="1038">
        <f t="shared" ref="G251" si="378">100*(B251/B227-1)</f>
        <v>22.298373231965527</v>
      </c>
      <c r="H251" s="861">
        <f t="shared" si="158"/>
        <v>1.0051368422621176</v>
      </c>
    </row>
    <row r="252" spans="1:8">
      <c r="A252" s="1032" t="str">
        <f>Lavlv!A252</f>
        <v>AGOSTO|20</v>
      </c>
      <c r="B252" s="918">
        <f>geral!S1031</f>
        <v>3047.1238544842322</v>
      </c>
      <c r="C252" s="918">
        <f t="shared" ref="C252" si="379">100*B252/$B$8</f>
        <v>467.89568430751063</v>
      </c>
      <c r="D252" s="1036">
        <f t="shared" ref="D252" si="380">100*((B252/B251)-1)</f>
        <v>-1.813570601461223</v>
      </c>
      <c r="E252" s="1036">
        <f t="shared" ref="E252" si="381">100*((B252/$B$244-1))</f>
        <v>2.1457908109784318</v>
      </c>
      <c r="F252" s="1037">
        <f t="shared" ref="F252" si="382">100*((B252/B240)-1)</f>
        <v>8.4295843302076392</v>
      </c>
      <c r="G252" s="1038">
        <f t="shared" ref="G252" si="383">100*(B252/B228-1)</f>
        <v>20.740554382285346</v>
      </c>
      <c r="H252" s="926">
        <f t="shared" si="158"/>
        <v>1.0237024081833821</v>
      </c>
    </row>
    <row r="253" spans="1:8" ht="16.5" thickBot="1">
      <c r="A253" s="1046" t="str">
        <f>Lavlv!A253</f>
        <v>SETEMBRO|20</v>
      </c>
      <c r="B253" s="1047">
        <f>geral!S1032</f>
        <v>3119.3480278685379</v>
      </c>
      <c r="C253" s="1047">
        <f t="shared" ref="C253" si="384">100*B253/$B$8</f>
        <v>478.98593880421015</v>
      </c>
      <c r="D253" s="1048">
        <f t="shared" ref="D253" si="385">100*((B253/B252)-1)</f>
        <v>2.3702408183382095</v>
      </c>
      <c r="E253" s="1048">
        <f t="shared" ref="E253" si="386">100*((B253/$B$244-1))</f>
        <v>4.5668920389946077</v>
      </c>
      <c r="F253" s="1051">
        <f t="shared" ref="F253" si="387">100*((B253/B241)-1)</f>
        <v>10.299021976296462</v>
      </c>
      <c r="G253" s="1052">
        <f t="shared" ref="G253" si="388">100*(B253/B229-1)</f>
        <v>22.539428638851078</v>
      </c>
      <c r="H253" s="1053">
        <f t="shared" si="158"/>
        <v>1</v>
      </c>
    </row>
    <row r="254" spans="1:8">
      <c r="A254" s="758" t="s">
        <v>238</v>
      </c>
      <c r="B254" s="728"/>
      <c r="C254" s="728"/>
      <c r="D254" s="762"/>
      <c r="E254" s="762"/>
      <c r="F254" s="776"/>
      <c r="G254" s="763"/>
      <c r="H254" s="777"/>
    </row>
    <row r="255" spans="1:8">
      <c r="B255" s="728"/>
      <c r="C255" s="728"/>
      <c r="D255" s="762"/>
      <c r="E255" s="762"/>
      <c r="F255" s="776"/>
      <c r="G255" s="763"/>
      <c r="H255" s="777"/>
    </row>
    <row r="256" spans="1:8">
      <c r="A256" s="733"/>
      <c r="B256" s="728"/>
      <c r="C256" s="728"/>
      <c r="D256" s="762"/>
      <c r="E256" s="762"/>
      <c r="F256" s="776"/>
      <c r="G256" s="763"/>
      <c r="H256" s="777"/>
    </row>
    <row r="257" spans="1:8">
      <c r="A257" s="733"/>
      <c r="B257" s="728"/>
      <c r="C257" s="728"/>
      <c r="D257" s="762"/>
      <c r="E257" s="762"/>
      <c r="F257" s="776"/>
      <c r="G257" s="763"/>
      <c r="H257" s="777"/>
    </row>
    <row r="258" spans="1:8">
      <c r="A258" s="733"/>
      <c r="B258" s="728"/>
      <c r="C258" s="728"/>
      <c r="D258" s="762"/>
      <c r="E258" s="762"/>
      <c r="F258" s="776"/>
      <c r="G258" s="763"/>
      <c r="H258" s="777"/>
    </row>
    <row r="259" spans="1:8">
      <c r="A259" s="733"/>
      <c r="B259" s="728"/>
      <c r="C259" s="728"/>
      <c r="D259" s="762"/>
      <c r="E259" s="762"/>
      <c r="F259" s="776"/>
      <c r="G259" s="763"/>
      <c r="H259" s="777"/>
    </row>
    <row r="260" spans="1:8">
      <c r="A260" s="733"/>
      <c r="B260" s="728"/>
      <c r="C260" s="728"/>
      <c r="D260" s="762"/>
      <c r="E260" s="762"/>
      <c r="F260" s="776"/>
      <c r="G260" s="763"/>
      <c r="H260" s="777"/>
    </row>
    <row r="261" spans="1:8">
      <c r="A261" s="733"/>
      <c r="B261" s="728"/>
      <c r="C261" s="728"/>
      <c r="D261" s="762"/>
      <c r="E261" s="762"/>
      <c r="F261" s="776"/>
      <c r="G261" s="763"/>
      <c r="H261" s="777"/>
    </row>
    <row r="262" spans="1:8">
      <c r="A262" s="733"/>
      <c r="B262" s="728"/>
      <c r="C262" s="728"/>
      <c r="D262" s="762"/>
      <c r="E262" s="762"/>
      <c r="F262" s="776"/>
      <c r="G262" s="763"/>
      <c r="H262" s="777"/>
    </row>
    <row r="263" spans="1:8">
      <c r="A263" s="733"/>
      <c r="B263" s="728"/>
      <c r="C263" s="728"/>
      <c r="D263" s="762"/>
      <c r="E263" s="762"/>
      <c r="F263" s="776"/>
      <c r="G263" s="763"/>
      <c r="H263" s="777"/>
    </row>
    <row r="264" spans="1:8">
      <c r="A264" s="733"/>
      <c r="B264" s="728"/>
      <c r="C264" s="728"/>
      <c r="D264" s="762"/>
      <c r="E264" s="762"/>
      <c r="F264" s="776"/>
      <c r="G264" s="763"/>
      <c r="H264" s="777"/>
    </row>
    <row r="265" spans="1:8">
      <c r="A265" s="733"/>
      <c r="B265" s="728"/>
      <c r="C265" s="728"/>
      <c r="D265" s="762"/>
      <c r="E265" s="762"/>
      <c r="F265" s="776"/>
      <c r="G265" s="763"/>
      <c r="H265" s="777"/>
    </row>
    <row r="266" spans="1:8">
      <c r="A266" s="733"/>
      <c r="B266" s="728"/>
      <c r="C266" s="728"/>
      <c r="D266" s="762"/>
      <c r="E266" s="762"/>
      <c r="F266" s="776"/>
      <c r="G266" s="763"/>
      <c r="H266" s="777"/>
    </row>
    <row r="267" spans="1:8">
      <c r="A267" s="733"/>
      <c r="B267" s="728"/>
      <c r="C267" s="728"/>
      <c r="D267" s="762"/>
      <c r="E267" s="762"/>
      <c r="F267" s="776"/>
      <c r="G267" s="763"/>
      <c r="H267" s="777"/>
    </row>
    <row r="268" spans="1:8">
      <c r="A268" s="733"/>
      <c r="B268" s="728"/>
      <c r="C268" s="728"/>
      <c r="D268" s="762"/>
      <c r="E268" s="762"/>
      <c r="F268" s="776"/>
      <c r="G268" s="763"/>
      <c r="H268" s="777"/>
    </row>
    <row r="269" spans="1:8">
      <c r="A269" s="733"/>
      <c r="B269" s="728"/>
      <c r="C269" s="728"/>
      <c r="D269" s="762"/>
      <c r="E269" s="762"/>
      <c r="F269" s="776"/>
      <c r="G269" s="763"/>
      <c r="H269" s="777"/>
    </row>
    <row r="270" spans="1:8">
      <c r="A270" s="733"/>
      <c r="B270" s="728"/>
      <c r="C270" s="728"/>
      <c r="D270" s="762"/>
      <c r="E270" s="762"/>
      <c r="F270" s="776"/>
      <c r="G270" s="763"/>
      <c r="H270" s="777"/>
    </row>
    <row r="271" spans="1:8">
      <c r="A271" s="733"/>
      <c r="B271" s="728"/>
      <c r="C271" s="728"/>
      <c r="D271" s="762"/>
      <c r="E271" s="762"/>
      <c r="F271" s="776"/>
      <c r="G271" s="763"/>
      <c r="H271" s="777"/>
    </row>
    <row r="272" spans="1:8">
      <c r="A272" s="733"/>
      <c r="B272" s="728"/>
      <c r="C272" s="728"/>
      <c r="D272" s="762"/>
      <c r="E272" s="762"/>
      <c r="F272" s="776"/>
      <c r="G272" s="763"/>
      <c r="H272" s="777"/>
    </row>
    <row r="273" spans="1:8">
      <c r="A273" s="733"/>
      <c r="B273" s="728"/>
      <c r="C273" s="728"/>
      <c r="D273" s="762"/>
      <c r="E273" s="762"/>
      <c r="F273" s="776"/>
      <c r="G273" s="763"/>
      <c r="H273" s="777"/>
    </row>
    <row r="274" spans="1:8">
      <c r="A274" s="733"/>
      <c r="B274" s="728"/>
      <c r="C274" s="728"/>
      <c r="D274" s="762"/>
      <c r="E274" s="762"/>
      <c r="F274" s="776"/>
      <c r="G274" s="763"/>
      <c r="H274" s="777"/>
    </row>
    <row r="275" spans="1:8">
      <c r="A275" s="733"/>
      <c r="B275" s="728"/>
      <c r="C275" s="728"/>
      <c r="D275" s="762"/>
      <c r="E275" s="762"/>
      <c r="F275" s="776"/>
      <c r="G275" s="763"/>
      <c r="H275" s="777"/>
    </row>
    <row r="276" spans="1:8">
      <c r="A276" s="733"/>
      <c r="B276" s="728"/>
      <c r="C276" s="728"/>
      <c r="D276" s="762"/>
      <c r="E276" s="762"/>
      <c r="F276" s="776"/>
      <c r="G276" s="763"/>
      <c r="H276" s="777"/>
    </row>
    <row r="277" spans="1:8">
      <c r="A277" s="733"/>
      <c r="B277" s="728"/>
      <c r="C277" s="728"/>
      <c r="D277" s="762"/>
      <c r="E277" s="762"/>
      <c r="F277" s="776"/>
      <c r="G277" s="763"/>
      <c r="H277" s="777"/>
    </row>
    <row r="278" spans="1:8">
      <c r="A278" s="733"/>
      <c r="B278" s="728"/>
      <c r="C278" s="728"/>
      <c r="D278" s="762"/>
      <c r="E278" s="762"/>
      <c r="F278" s="776"/>
      <c r="G278" s="763"/>
      <c r="H278" s="777"/>
    </row>
    <row r="279" spans="1:8">
      <c r="A279" s="733"/>
      <c r="B279" s="728"/>
      <c r="C279" s="728"/>
      <c r="D279" s="762"/>
      <c r="E279" s="762"/>
      <c r="F279" s="776"/>
      <c r="G279" s="763"/>
      <c r="H279" s="777"/>
    </row>
    <row r="280" spans="1:8">
      <c r="A280" s="733"/>
      <c r="B280" s="728"/>
      <c r="C280" s="728"/>
      <c r="D280" s="762"/>
      <c r="E280" s="762"/>
      <c r="F280" s="776"/>
      <c r="G280" s="763"/>
      <c r="H280" s="777"/>
    </row>
    <row r="281" spans="1:8">
      <c r="A281" s="733"/>
      <c r="B281" s="728"/>
      <c r="C281" s="728"/>
      <c r="D281" s="762"/>
      <c r="E281" s="762"/>
      <c r="F281" s="776"/>
      <c r="G281" s="763"/>
      <c r="H281" s="777"/>
    </row>
    <row r="282" spans="1:8">
      <c r="A282" s="733"/>
      <c r="B282" s="728"/>
      <c r="C282" s="728"/>
      <c r="D282" s="762"/>
      <c r="E282" s="762"/>
      <c r="F282" s="776"/>
      <c r="G282" s="763"/>
      <c r="H282" s="777"/>
    </row>
    <row r="283" spans="1:8">
      <c r="A283" s="733"/>
      <c r="B283" s="728"/>
      <c r="C283" s="728"/>
      <c r="D283" s="762"/>
      <c r="E283" s="762"/>
      <c r="F283" s="776"/>
      <c r="G283" s="763"/>
      <c r="H283" s="777"/>
    </row>
    <row r="284" spans="1:8">
      <c r="A284" s="733"/>
      <c r="B284" s="728"/>
      <c r="C284" s="728"/>
      <c r="D284" s="762"/>
      <c r="E284" s="762"/>
      <c r="F284" s="776"/>
      <c r="G284" s="763"/>
      <c r="H284" s="777"/>
    </row>
    <row r="285" spans="1:8">
      <c r="A285" s="733"/>
      <c r="B285" s="728"/>
      <c r="C285" s="728"/>
      <c r="D285" s="762"/>
      <c r="E285" s="762"/>
      <c r="F285" s="776"/>
      <c r="G285" s="763"/>
      <c r="H285" s="777"/>
    </row>
    <row r="286" spans="1:8">
      <c r="A286" s="733"/>
      <c r="B286" s="728"/>
      <c r="C286" s="728"/>
      <c r="D286" s="762"/>
      <c r="E286" s="762"/>
      <c r="F286" s="776"/>
      <c r="G286" s="763"/>
      <c r="H286" s="777"/>
    </row>
    <row r="287" spans="1:8">
      <c r="A287" s="733"/>
      <c r="B287" s="728"/>
      <c r="C287" s="728"/>
      <c r="D287" s="762"/>
      <c r="E287" s="762"/>
      <c r="F287" s="776"/>
      <c r="G287" s="763"/>
      <c r="H287" s="777"/>
    </row>
    <row r="288" spans="1:8">
      <c r="A288" s="733"/>
      <c r="B288" s="728"/>
      <c r="C288" s="728"/>
      <c r="D288" s="762"/>
      <c r="E288" s="762"/>
      <c r="F288" s="776"/>
      <c r="G288" s="763"/>
      <c r="H288" s="777"/>
    </row>
    <row r="289" spans="1:8">
      <c r="A289" s="733"/>
      <c r="B289" s="728"/>
      <c r="C289" s="728"/>
      <c r="D289" s="762"/>
      <c r="E289" s="762"/>
      <c r="F289" s="776"/>
      <c r="G289" s="763"/>
      <c r="H289" s="777"/>
    </row>
    <row r="290" spans="1:8">
      <c r="A290" s="733"/>
      <c r="B290" s="728"/>
      <c r="C290" s="728"/>
      <c r="D290" s="762"/>
      <c r="E290" s="762"/>
      <c r="F290" s="776"/>
      <c r="G290" s="763"/>
      <c r="H290" s="777"/>
    </row>
    <row r="291" spans="1:8">
      <c r="A291" s="733"/>
      <c r="B291" s="728"/>
      <c r="C291" s="728"/>
      <c r="D291" s="762"/>
      <c r="E291" s="762"/>
      <c r="F291" s="776"/>
      <c r="G291" s="763"/>
      <c r="H291" s="777"/>
    </row>
    <row r="292" spans="1:8">
      <c r="A292" s="733"/>
      <c r="B292" s="728"/>
      <c r="C292" s="728"/>
      <c r="D292" s="762"/>
      <c r="E292" s="762"/>
      <c r="F292" s="776"/>
      <c r="G292" s="763"/>
      <c r="H292" s="777"/>
    </row>
    <row r="293" spans="1:8">
      <c r="A293" s="733"/>
      <c r="B293" s="728"/>
      <c r="C293" s="728"/>
      <c r="D293" s="762"/>
      <c r="E293" s="762"/>
      <c r="F293" s="776"/>
      <c r="G293" s="763"/>
      <c r="H293" s="777"/>
    </row>
    <row r="294" spans="1:8">
      <c r="A294" s="733"/>
      <c r="B294" s="728"/>
      <c r="C294" s="728"/>
      <c r="D294" s="762"/>
      <c r="E294" s="762"/>
      <c r="F294" s="776"/>
      <c r="G294" s="763"/>
      <c r="H294" s="777"/>
    </row>
    <row r="295" spans="1:8">
      <c r="A295" s="733"/>
      <c r="B295" s="728"/>
      <c r="C295" s="728"/>
      <c r="D295" s="762"/>
      <c r="E295" s="762"/>
      <c r="F295" s="776"/>
      <c r="G295" s="763"/>
      <c r="H295" s="777"/>
    </row>
    <row r="296" spans="1:8">
      <c r="A296" s="733"/>
      <c r="B296" s="728"/>
      <c r="C296" s="728"/>
      <c r="D296" s="762"/>
      <c r="E296" s="762"/>
      <c r="F296" s="776"/>
      <c r="G296" s="763"/>
      <c r="H296" s="777"/>
    </row>
    <row r="297" spans="1:8">
      <c r="A297" s="733"/>
      <c r="B297" s="728"/>
      <c r="C297" s="728"/>
      <c r="D297" s="762"/>
      <c r="E297" s="762"/>
      <c r="F297" s="776"/>
      <c r="G297" s="763"/>
      <c r="H297" s="777"/>
    </row>
    <row r="298" spans="1:8">
      <c r="A298" s="733"/>
      <c r="B298" s="728"/>
      <c r="C298" s="728"/>
      <c r="D298" s="762"/>
      <c r="E298" s="762"/>
      <c r="F298" s="776"/>
      <c r="G298" s="763"/>
      <c r="H298" s="777"/>
    </row>
    <row r="299" spans="1:8">
      <c r="A299" s="733"/>
      <c r="B299" s="728"/>
      <c r="C299" s="728"/>
      <c r="D299" s="762"/>
      <c r="E299" s="762"/>
      <c r="F299" s="776"/>
      <c r="G299" s="763"/>
      <c r="H299" s="777"/>
    </row>
    <row r="300" spans="1:8">
      <c r="A300" s="733"/>
      <c r="B300" s="728"/>
      <c r="C300" s="728"/>
      <c r="D300" s="762"/>
      <c r="E300" s="762"/>
      <c r="F300" s="776"/>
      <c r="G300" s="763"/>
      <c r="H300" s="777"/>
    </row>
    <row r="301" spans="1:8">
      <c r="A301" s="733"/>
      <c r="B301" s="728"/>
      <c r="C301" s="728"/>
      <c r="D301" s="762"/>
      <c r="E301" s="762"/>
      <c r="F301" s="776"/>
      <c r="G301" s="763"/>
      <c r="H301" s="777"/>
    </row>
    <row r="302" spans="1:8">
      <c r="A302" s="733"/>
      <c r="B302" s="728"/>
      <c r="C302" s="728"/>
      <c r="D302" s="762"/>
      <c r="E302" s="762"/>
      <c r="F302" s="776"/>
      <c r="G302" s="763"/>
      <c r="H302" s="777"/>
    </row>
    <row r="303" spans="1:8">
      <c r="A303" s="733"/>
      <c r="B303" s="728"/>
      <c r="C303" s="728"/>
      <c r="D303" s="762"/>
      <c r="E303" s="762"/>
      <c r="F303" s="776"/>
      <c r="G303" s="763"/>
      <c r="H303" s="777"/>
    </row>
    <row r="304" spans="1:8">
      <c r="A304" s="733"/>
      <c r="B304" s="728"/>
      <c r="C304" s="728"/>
      <c r="D304" s="762"/>
      <c r="E304" s="762"/>
      <c r="F304" s="776"/>
      <c r="G304" s="763"/>
      <c r="H304" s="777"/>
    </row>
    <row r="305" spans="1:8">
      <c r="A305" s="733"/>
      <c r="B305" s="728"/>
      <c r="C305" s="728"/>
      <c r="D305" s="762"/>
      <c r="E305" s="762"/>
      <c r="F305" s="776"/>
      <c r="G305" s="763"/>
      <c r="H305" s="777"/>
    </row>
    <row r="306" spans="1:8">
      <c r="A306" s="733"/>
      <c r="B306" s="728"/>
      <c r="C306" s="728"/>
      <c r="D306" s="762"/>
      <c r="E306" s="762"/>
      <c r="F306" s="776"/>
      <c r="G306" s="763"/>
      <c r="H306" s="777"/>
    </row>
    <row r="307" spans="1:8">
      <c r="A307" s="733"/>
      <c r="B307" s="728"/>
      <c r="C307" s="728"/>
      <c r="D307" s="762"/>
      <c r="E307" s="762"/>
      <c r="F307" s="776"/>
      <c r="G307" s="763"/>
      <c r="H307" s="777"/>
    </row>
    <row r="308" spans="1:8">
      <c r="A308" s="733"/>
      <c r="B308" s="728"/>
      <c r="C308" s="728"/>
      <c r="D308" s="762"/>
      <c r="E308" s="762"/>
      <c r="F308" s="776"/>
      <c r="G308" s="763"/>
      <c r="H308" s="777"/>
    </row>
    <row r="309" spans="1:8">
      <c r="A309" s="733"/>
      <c r="B309" s="728"/>
      <c r="C309" s="728"/>
      <c r="D309" s="762"/>
      <c r="E309" s="762"/>
      <c r="F309" s="776"/>
      <c r="G309" s="763"/>
      <c r="H309" s="777"/>
    </row>
    <row r="310" spans="1:8">
      <c r="A310" s="733"/>
      <c r="B310" s="728"/>
      <c r="C310" s="728"/>
      <c r="D310" s="762"/>
      <c r="E310" s="762"/>
      <c r="F310" s="776"/>
      <c r="G310" s="763"/>
      <c r="H310" s="777"/>
    </row>
    <row r="311" spans="1:8">
      <c r="A311" s="733"/>
      <c r="B311" s="728"/>
      <c r="C311" s="728"/>
      <c r="D311" s="762"/>
      <c r="E311" s="762"/>
      <c r="F311" s="776"/>
      <c r="G311" s="763"/>
      <c r="H311" s="777"/>
    </row>
    <row r="312" spans="1:8">
      <c r="A312" s="733"/>
      <c r="B312" s="728"/>
      <c r="C312" s="728"/>
      <c r="D312" s="762"/>
      <c r="E312" s="762"/>
      <c r="F312" s="776"/>
      <c r="G312" s="763"/>
      <c r="H312" s="777"/>
    </row>
    <row r="313" spans="1:8">
      <c r="A313" s="733"/>
      <c r="B313" s="728"/>
      <c r="C313" s="728"/>
      <c r="D313" s="762"/>
      <c r="E313" s="762"/>
      <c r="F313" s="776"/>
      <c r="G313" s="763"/>
      <c r="H313" s="777"/>
    </row>
    <row r="314" spans="1:8">
      <c r="A314" s="733"/>
      <c r="B314" s="728"/>
      <c r="C314" s="728"/>
      <c r="D314" s="762"/>
      <c r="E314" s="762"/>
      <c r="F314" s="776"/>
      <c r="G314" s="763"/>
      <c r="H314" s="777"/>
    </row>
    <row r="315" spans="1:8">
      <c r="A315" s="733"/>
      <c r="B315" s="728"/>
      <c r="C315" s="728"/>
      <c r="D315" s="762"/>
      <c r="E315" s="762"/>
      <c r="F315" s="776"/>
      <c r="G315" s="763"/>
      <c r="H315" s="777"/>
    </row>
    <row r="316" spans="1:8">
      <c r="A316" s="733"/>
      <c r="B316" s="728"/>
      <c r="C316" s="728"/>
      <c r="D316" s="762"/>
      <c r="E316" s="762"/>
      <c r="F316" s="776"/>
      <c r="G316" s="763"/>
      <c r="H316" s="777"/>
    </row>
    <row r="317" spans="1:8">
      <c r="A317" s="733"/>
      <c r="B317" s="728"/>
      <c r="C317" s="728"/>
      <c r="D317" s="762"/>
      <c r="E317" s="762"/>
      <c r="F317" s="776"/>
      <c r="G317" s="763"/>
      <c r="H317" s="777"/>
    </row>
    <row r="318" spans="1:8">
      <c r="A318" s="733"/>
      <c r="B318" s="728"/>
      <c r="C318" s="728"/>
      <c r="D318" s="762"/>
      <c r="E318" s="762"/>
      <c r="F318" s="776"/>
      <c r="G318" s="763"/>
      <c r="H318" s="777"/>
    </row>
    <row r="319" spans="1:8">
      <c r="A319" s="733"/>
      <c r="B319" s="728"/>
      <c r="C319" s="728"/>
      <c r="D319" s="762"/>
      <c r="E319" s="762"/>
      <c r="F319" s="776"/>
      <c r="G319" s="763"/>
      <c r="H319" s="777"/>
    </row>
    <row r="320" spans="1:8">
      <c r="A320" s="733"/>
      <c r="B320" s="728"/>
      <c r="C320" s="728"/>
      <c r="D320" s="762"/>
      <c r="E320" s="762"/>
      <c r="F320" s="776"/>
      <c r="G320" s="763"/>
      <c r="H320" s="777"/>
    </row>
    <row r="321" spans="1:8">
      <c r="A321" s="733"/>
      <c r="B321" s="728"/>
      <c r="C321" s="728"/>
      <c r="D321" s="762"/>
      <c r="E321" s="762"/>
      <c r="F321" s="776"/>
      <c r="G321" s="763"/>
      <c r="H321" s="777"/>
    </row>
    <row r="322" spans="1:8">
      <c r="A322" s="733"/>
    </row>
    <row r="324" spans="1:8">
      <c r="A324" s="758"/>
    </row>
  </sheetData>
  <mergeCells count="7">
    <mergeCell ref="A7:B7"/>
    <mergeCell ref="D4:H4"/>
    <mergeCell ref="C1:H3"/>
    <mergeCell ref="A4:C4"/>
    <mergeCell ref="A5:C5"/>
    <mergeCell ref="D5:G5"/>
    <mergeCell ref="H5:H6"/>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37">
    <pageSetUpPr fitToPage="1"/>
  </sheetPr>
  <dimension ref="A1:J324"/>
  <sheetViews>
    <sheetView showGridLines="0" zoomScaleNormal="100" workbookViewId="0">
      <pane ySplit="2595" topLeftCell="A241" activePane="bottomLeft"/>
      <selection activeCell="D5" sqref="D5:G5"/>
      <selection pane="bottomLeft" activeCell="I254" sqref="I254"/>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72" t="s">
        <v>373</v>
      </c>
      <c r="B4" s="1466"/>
      <c r="C4" s="1467"/>
      <c r="D4" s="1432" t="s">
        <v>365</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771" t="s">
        <v>341</v>
      </c>
      <c r="B6" s="772" t="s">
        <v>76</v>
      </c>
      <c r="C6" s="772" t="s">
        <v>68</v>
      </c>
      <c r="D6" s="772" t="s">
        <v>342</v>
      </c>
      <c r="E6" s="772" t="s">
        <v>343</v>
      </c>
      <c r="F6" s="772" t="s">
        <v>344</v>
      </c>
      <c r="G6" s="772" t="s">
        <v>345</v>
      </c>
      <c r="H6" s="1428"/>
    </row>
    <row r="7" spans="1:8" ht="15.75" customHeight="1" thickBot="1">
      <c r="A7" s="1419" t="s">
        <v>347</v>
      </c>
      <c r="B7" s="1420"/>
      <c r="C7" s="952"/>
      <c r="D7" s="952"/>
      <c r="E7" s="952"/>
      <c r="F7" s="952"/>
      <c r="G7" s="952"/>
      <c r="H7" s="951" t="s">
        <v>374</v>
      </c>
    </row>
    <row r="8" spans="1:8" ht="16.5" hidden="1" thickBot="1">
      <c r="A8" s="972" t="s">
        <v>557</v>
      </c>
      <c r="B8" s="987">
        <f>+geral!C1581</f>
        <v>278.68</v>
      </c>
      <c r="C8" s="826">
        <v>100</v>
      </c>
      <c r="D8" s="827"/>
      <c r="E8" s="827"/>
      <c r="F8" s="828"/>
      <c r="G8" s="850"/>
      <c r="H8" s="851">
        <f>$B$253/B8</f>
        <v>4.1098486713546283</v>
      </c>
    </row>
    <row r="9" spans="1:8" ht="16.5" hidden="1" thickBot="1">
      <c r="A9" s="973" t="s">
        <v>558</v>
      </c>
      <c r="B9" s="748">
        <f>+geral!C1582</f>
        <v>366.28</v>
      </c>
      <c r="C9" s="748">
        <f>100*B9/$B$8</f>
        <v>131.43390268408208</v>
      </c>
      <c r="D9" s="750">
        <f>100*((B9/B8)-1)</f>
        <v>31.433902684082081</v>
      </c>
      <c r="E9" s="750"/>
      <c r="F9" s="751"/>
      <c r="G9" s="840"/>
      <c r="H9" s="842">
        <f>$B$253/B9</f>
        <v>3.1269319311267552</v>
      </c>
    </row>
    <row r="10" spans="1:8" ht="16.5" hidden="1" thickBot="1">
      <c r="A10" s="973" t="s">
        <v>559</v>
      </c>
      <c r="B10" s="748">
        <f>+geral!C1583</f>
        <v>348.22</v>
      </c>
      <c r="C10" s="748">
        <f t="shared" ref="C10:C88" si="0">100*B10/$B$8</f>
        <v>124.95335151428161</v>
      </c>
      <c r="D10" s="750">
        <f t="shared" ref="D10:D17" si="1">100*((B10/B9)-1)</f>
        <v>-4.9306541443704166</v>
      </c>
      <c r="E10" s="750"/>
      <c r="F10" s="751"/>
      <c r="G10" s="840"/>
      <c r="H10" s="842">
        <f>$B$253/B10</f>
        <v>3.2891063917440344</v>
      </c>
    </row>
    <row r="11" spans="1:8" ht="16.5" hidden="1" thickBot="1">
      <c r="A11" s="973" t="s">
        <v>560</v>
      </c>
      <c r="B11" s="748">
        <f>+geral!C1584</f>
        <v>343.71</v>
      </c>
      <c r="C11" s="748">
        <f t="shared" si="0"/>
        <v>123.33500789435912</v>
      </c>
      <c r="D11" s="750">
        <f t="shared" si="1"/>
        <v>-1.2951582333007972</v>
      </c>
      <c r="E11" s="750"/>
      <c r="F11" s="751"/>
      <c r="G11" s="840"/>
      <c r="H11" s="842">
        <f>$B$253/B11</f>
        <v>3.332264489636926</v>
      </c>
    </row>
    <row r="12" spans="1:8" ht="16.5" hidden="1" thickBot="1">
      <c r="A12" s="973" t="s">
        <v>561</v>
      </c>
      <c r="B12" s="748">
        <f>+geral!C1585</f>
        <v>342.03</v>
      </c>
      <c r="C12" s="748">
        <f t="shared" si="0"/>
        <v>122.73216592507535</v>
      </c>
      <c r="D12" s="750">
        <f>100*((B12/B11)-1)</f>
        <v>-0.48878414942830073</v>
      </c>
      <c r="E12" s="750"/>
      <c r="F12" s="751"/>
      <c r="G12" s="840"/>
      <c r="H12" s="842">
        <f>$B$253/B12</f>
        <v>3.3486320724296346</v>
      </c>
    </row>
    <row r="13" spans="1:8" ht="16.5" hidden="1" thickBot="1">
      <c r="A13" s="973" t="s">
        <v>562</v>
      </c>
      <c r="B13" s="748">
        <f>+geral!C1586</f>
        <v>340.07</v>
      </c>
      <c r="C13" s="748">
        <f t="shared" si="0"/>
        <v>122.02885029424429</v>
      </c>
      <c r="D13" s="750">
        <f t="shared" si="1"/>
        <v>-0.57304914773557147</v>
      </c>
      <c r="E13" s="750"/>
      <c r="F13" s="751"/>
      <c r="G13" s="840"/>
      <c r="H13" s="842">
        <f>$B$253/B13</f>
        <v>3.36793197792545</v>
      </c>
    </row>
    <row r="14" spans="1:8" ht="16.5" hidden="1" thickBot="1">
      <c r="A14" s="973" t="s">
        <v>534</v>
      </c>
      <c r="B14" s="748">
        <f>+geral!C1587</f>
        <v>348.72</v>
      </c>
      <c r="C14" s="748">
        <f t="shared" si="0"/>
        <v>125.13276876704464</v>
      </c>
      <c r="D14" s="750">
        <f t="shared" si="1"/>
        <v>2.5435939659481877</v>
      </c>
      <c r="E14" s="750"/>
      <c r="F14" s="751"/>
      <c r="G14" s="840"/>
      <c r="H14" s="842">
        <f>$B$253/B14</f>
        <v>3.2843904213498156</v>
      </c>
    </row>
    <row r="15" spans="1:8" ht="16.5" hidden="1" thickBot="1">
      <c r="A15" s="973" t="s">
        <v>563</v>
      </c>
      <c r="B15" s="748">
        <f>+geral!C1588</f>
        <v>451.95</v>
      </c>
      <c r="C15" s="748">
        <f t="shared" si="0"/>
        <v>162.17525477249893</v>
      </c>
      <c r="D15" s="750">
        <f t="shared" si="1"/>
        <v>29.602546455609069</v>
      </c>
      <c r="E15" s="750"/>
      <c r="F15" s="751"/>
      <c r="G15" s="840"/>
      <c r="H15" s="842">
        <f>$B$253/B15</f>
        <v>2.5342020748602896</v>
      </c>
    </row>
    <row r="16" spans="1:8" ht="16.5" hidden="1" thickBot="1">
      <c r="A16" s="973" t="s">
        <v>564</v>
      </c>
      <c r="B16" s="748">
        <f>+geral!C1589</f>
        <v>372.5</v>
      </c>
      <c r="C16" s="748">
        <f t="shared" si="0"/>
        <v>133.66585330845413</v>
      </c>
      <c r="D16" s="750">
        <f t="shared" si="1"/>
        <v>-17.579378249806389</v>
      </c>
      <c r="E16" s="750"/>
      <c r="F16" s="751"/>
      <c r="G16" s="840"/>
      <c r="H16" s="842">
        <f>$B$253/B16</f>
        <v>3.0747184637130411</v>
      </c>
    </row>
    <row r="17" spans="1:8" ht="16.5" hidden="1" thickBot="1">
      <c r="A17" s="973" t="s">
        <v>546</v>
      </c>
      <c r="B17" s="748">
        <f>+geral!E1578</f>
        <v>330.6</v>
      </c>
      <c r="C17" s="748">
        <f t="shared" si="0"/>
        <v>118.63068752691258</v>
      </c>
      <c r="D17" s="750">
        <f t="shared" si="1"/>
        <v>-11.248322147651002</v>
      </c>
      <c r="E17" s="750">
        <f t="shared" ref="E17:E22" si="2">100*((B17/$B$16)-1)</f>
        <v>-11.248322147651002</v>
      </c>
      <c r="F17" s="751"/>
      <c r="G17" s="840"/>
      <c r="H17" s="842">
        <f>$B$253/B17</f>
        <v>3.4644060125018381</v>
      </c>
    </row>
    <row r="18" spans="1:8" ht="16.5" hidden="1" thickBot="1">
      <c r="A18" s="973" t="s">
        <v>547</v>
      </c>
      <c r="B18" s="748">
        <f>+geral!E1579</f>
        <v>334.3</v>
      </c>
      <c r="C18" s="748">
        <f t="shared" si="0"/>
        <v>119.95837519735898</v>
      </c>
      <c r="D18" s="750">
        <f t="shared" ref="D18:D23" si="3">100*((B18/B17)-1)</f>
        <v>1.1191772534785205</v>
      </c>
      <c r="E18" s="750">
        <f t="shared" si="2"/>
        <v>-10.255033557046978</v>
      </c>
      <c r="F18" s="751"/>
      <c r="G18" s="840"/>
      <c r="H18" s="842">
        <f>$B$253/B18</f>
        <v>3.4260623025220092</v>
      </c>
    </row>
    <row r="19" spans="1:8" ht="16.5" hidden="1" thickBot="1">
      <c r="A19" s="973" t="s">
        <v>548</v>
      </c>
      <c r="B19" s="748">
        <f>+geral!E1580</f>
        <v>332.75</v>
      </c>
      <c r="C19" s="748">
        <f t="shared" si="0"/>
        <v>119.4021817137936</v>
      </c>
      <c r="D19" s="750">
        <f t="shared" si="3"/>
        <v>-0.46365539934191125</v>
      </c>
      <c r="E19" s="750">
        <f t="shared" si="2"/>
        <v>-10.671140939597311</v>
      </c>
      <c r="F19" s="751"/>
      <c r="G19" s="840"/>
      <c r="H19" s="842">
        <f>$B$253/B19</f>
        <v>3.4420214206855229</v>
      </c>
    </row>
    <row r="20" spans="1:8" ht="16.5" hidden="1" thickBot="1">
      <c r="A20" s="973" t="s">
        <v>549</v>
      </c>
      <c r="B20" s="748">
        <f>+geral!E1581</f>
        <v>336.65</v>
      </c>
      <c r="C20" s="748">
        <f t="shared" si="0"/>
        <v>120.8016362853452</v>
      </c>
      <c r="D20" s="750">
        <f t="shared" si="3"/>
        <v>1.1720510894064562</v>
      </c>
      <c r="E20" s="750">
        <f t="shared" si="2"/>
        <v>-9.6241610738255101</v>
      </c>
      <c r="F20" s="751">
        <f t="shared" ref="F20:F25" si="4">100*((B20/B8)-1)</f>
        <v>20.801636285345193</v>
      </c>
      <c r="G20" s="840"/>
      <c r="H20" s="842">
        <f>$B$253/B20</f>
        <v>3.4021465252728587</v>
      </c>
    </row>
    <row r="21" spans="1:8" ht="16.5" hidden="1" thickBot="1">
      <c r="A21" s="973" t="s">
        <v>550</v>
      </c>
      <c r="B21" s="748">
        <f>+geral!E1582</f>
        <v>337.41</v>
      </c>
      <c r="C21" s="748">
        <f t="shared" si="0"/>
        <v>121.074350509545</v>
      </c>
      <c r="D21" s="750">
        <f t="shared" si="3"/>
        <v>0.22575375018567545</v>
      </c>
      <c r="E21" s="750">
        <f t="shared" si="2"/>
        <v>-9.4201342281879157</v>
      </c>
      <c r="F21" s="751">
        <f t="shared" si="4"/>
        <v>-7.8819482363219233</v>
      </c>
      <c r="G21" s="840"/>
      <c r="H21" s="842">
        <f>$B$253/B21</f>
        <v>3.3944833518067266</v>
      </c>
    </row>
    <row r="22" spans="1:8" ht="16.5" hidden="1" thickBot="1">
      <c r="A22" s="973" t="s">
        <v>551</v>
      </c>
      <c r="B22" s="748">
        <f>+geral!E1583</f>
        <v>340.43</v>
      </c>
      <c r="C22" s="748">
        <f t="shared" si="0"/>
        <v>122.15803071623367</v>
      </c>
      <c r="D22" s="750">
        <f t="shared" si="3"/>
        <v>0.89505349574701132</v>
      </c>
      <c r="E22" s="750">
        <f t="shared" si="2"/>
        <v>-8.6093959731543652</v>
      </c>
      <c r="F22" s="751">
        <f t="shared" si="4"/>
        <v>-2.237091493883181</v>
      </c>
      <c r="G22" s="840"/>
      <c r="H22" s="842">
        <f>$B$253/B22</f>
        <v>3.3643704366040237</v>
      </c>
    </row>
    <row r="23" spans="1:8" ht="16.5" hidden="1" thickBot="1">
      <c r="A23" s="973" t="s">
        <v>552</v>
      </c>
      <c r="B23" s="748">
        <f>+geral!E1584</f>
        <v>337.68</v>
      </c>
      <c r="C23" s="748">
        <f t="shared" si="0"/>
        <v>121.17123582603703</v>
      </c>
      <c r="D23" s="750">
        <f t="shared" si="3"/>
        <v>-0.80780189760009113</v>
      </c>
      <c r="E23" s="750">
        <f t="shared" ref="E23:E28" si="5">100*((B23/$B$16)-1)</f>
        <v>-9.3476510067114109</v>
      </c>
      <c r="F23" s="751">
        <f t="shared" si="4"/>
        <v>-1.7543859649122751</v>
      </c>
      <c r="G23" s="840"/>
      <c r="H23" s="842">
        <f>$B$253/B23</f>
        <v>3.3917692126661567</v>
      </c>
    </row>
    <row r="24" spans="1:8" ht="16.5" hidden="1" thickBot="1">
      <c r="A24" s="973" t="s">
        <v>553</v>
      </c>
      <c r="B24" s="748">
        <f>+geral!E1585</f>
        <v>338.56</v>
      </c>
      <c r="C24" s="748">
        <f t="shared" si="0"/>
        <v>121.48701019089995</v>
      </c>
      <c r="D24" s="750">
        <f t="shared" ref="D24:D30" si="6">100*((B24/B23)-1)</f>
        <v>0.26060175313906697</v>
      </c>
      <c r="E24" s="750">
        <f t="shared" si="5"/>
        <v>-9.1114093959731584</v>
      </c>
      <c r="F24" s="751">
        <f t="shared" si="4"/>
        <v>-1.0145308891032823</v>
      </c>
      <c r="G24" s="840"/>
      <c r="H24" s="842">
        <f>$B$253/B24</f>
        <v>3.3829531773780355</v>
      </c>
    </row>
    <row r="25" spans="1:8" ht="16.5" hidden="1" thickBot="1">
      <c r="A25" s="973" t="s">
        <v>554</v>
      </c>
      <c r="B25" s="748">
        <f>+geral!E1586</f>
        <v>340.31</v>
      </c>
      <c r="C25" s="748">
        <f t="shared" si="0"/>
        <v>122.11497057557054</v>
      </c>
      <c r="D25" s="750">
        <f t="shared" si="6"/>
        <v>0.51689508506616022</v>
      </c>
      <c r="E25" s="750">
        <f t="shared" si="5"/>
        <v>-8.641610738255034</v>
      </c>
      <c r="F25" s="751">
        <f t="shared" si="4"/>
        <v>7.0573705413590204E-2</v>
      </c>
      <c r="G25" s="840"/>
      <c r="H25" s="842">
        <f>$B$253/B25</f>
        <v>3.365556779798148</v>
      </c>
    </row>
    <row r="26" spans="1:8" ht="16.5" hidden="1" thickBot="1">
      <c r="A26" s="973" t="s">
        <v>533</v>
      </c>
      <c r="B26" s="748">
        <f>+geral!E1587</f>
        <v>336.85</v>
      </c>
      <c r="C26" s="748">
        <f t="shared" si="0"/>
        <v>120.8734031864504</v>
      </c>
      <c r="D26" s="750">
        <f t="shared" si="6"/>
        <v>-1.0167200493667483</v>
      </c>
      <c r="E26" s="750">
        <f t="shared" si="5"/>
        <v>-9.5704697986577099</v>
      </c>
      <c r="F26" s="751">
        <f t="shared" ref="F26:F31" si="7">100*((B26/B14)-1)</f>
        <v>-3.4038770360174331</v>
      </c>
      <c r="G26" s="840"/>
      <c r="H26" s="842">
        <f>$B$253/B26</f>
        <v>3.4001265481166918</v>
      </c>
    </row>
    <row r="27" spans="1:8" ht="16.5" hidden="1" thickBot="1">
      <c r="A27" s="973" t="s">
        <v>555</v>
      </c>
      <c r="B27" s="748">
        <f>+geral!E1588</f>
        <v>335.06</v>
      </c>
      <c r="C27" s="748">
        <f t="shared" si="0"/>
        <v>120.23108942155878</v>
      </c>
      <c r="D27" s="750">
        <f t="shared" si="6"/>
        <v>-0.53139379545792398</v>
      </c>
      <c r="E27" s="750">
        <f t="shared" si="5"/>
        <v>-10.051006711409393</v>
      </c>
      <c r="F27" s="751">
        <f t="shared" si="7"/>
        <v>-25.863480473503706</v>
      </c>
      <c r="G27" s="840"/>
      <c r="H27" s="842">
        <f>$B$253/B27</f>
        <v>3.4182911351194045</v>
      </c>
    </row>
    <row r="28" spans="1:8" ht="16.5" hidden="1" thickBot="1">
      <c r="A28" s="973" t="s">
        <v>556</v>
      </c>
      <c r="B28" s="748">
        <f>+geral!E1589</f>
        <v>334.14</v>
      </c>
      <c r="C28" s="748">
        <f t="shared" si="0"/>
        <v>119.90096167647481</v>
      </c>
      <c r="D28" s="750">
        <f t="shared" si="6"/>
        <v>-0.27457768757834788</v>
      </c>
      <c r="E28" s="750">
        <f t="shared" si="5"/>
        <v>-10.297986577181206</v>
      </c>
      <c r="F28" s="751">
        <f t="shared" si="7"/>
        <v>-10.297986577181206</v>
      </c>
      <c r="G28" s="840"/>
      <c r="H28" s="842">
        <f>$B$253/B28</f>
        <v>3.4277028423209068</v>
      </c>
    </row>
    <row r="29" spans="1:8" ht="16.5" hidden="1" thickBot="1">
      <c r="A29" s="973" t="s">
        <v>535</v>
      </c>
      <c r="B29" s="748">
        <f>+geral!G1578</f>
        <v>339.96</v>
      </c>
      <c r="C29" s="748">
        <f t="shared" si="0"/>
        <v>121.98937849863643</v>
      </c>
      <c r="D29" s="750">
        <f t="shared" si="6"/>
        <v>1.7417848805889813</v>
      </c>
      <c r="E29" s="750">
        <f t="shared" ref="E29:E34" si="8">100*((B29/$B$28)-1)</f>
        <v>1.7417848805889813</v>
      </c>
      <c r="F29" s="751">
        <f t="shared" si="7"/>
        <v>2.8312159709618756</v>
      </c>
      <c r="G29" s="840"/>
      <c r="H29" s="842">
        <f>$B$253/B29</f>
        <v>3.3690217311833974</v>
      </c>
    </row>
    <row r="30" spans="1:8" ht="16.5" hidden="1" thickBot="1">
      <c r="A30" s="973" t="s">
        <v>536</v>
      </c>
      <c r="B30" s="748">
        <f>+geral!G1579</f>
        <v>336.81</v>
      </c>
      <c r="C30" s="748">
        <f t="shared" si="0"/>
        <v>120.85904980622936</v>
      </c>
      <c r="D30" s="750">
        <f t="shared" si="6"/>
        <v>-0.9265795975997082</v>
      </c>
      <c r="E30" s="750">
        <f t="shared" si="8"/>
        <v>0.79906625965164846</v>
      </c>
      <c r="F30" s="751">
        <f t="shared" si="7"/>
        <v>0.75082261441818954</v>
      </c>
      <c r="G30" s="840"/>
      <c r="H30" s="842">
        <f>$B$253/B30</f>
        <v>3.4005303516318035</v>
      </c>
    </row>
    <row r="31" spans="1:8" ht="16.5" hidden="1" thickBot="1">
      <c r="A31" s="973" t="s">
        <v>537</v>
      </c>
      <c r="B31" s="748">
        <f>+geral!G1580</f>
        <v>335.94</v>
      </c>
      <c r="C31" s="748">
        <f t="shared" si="0"/>
        <v>120.5468637864217</v>
      </c>
      <c r="D31" s="750">
        <f t="shared" ref="D31:D36" si="9">100*((B31/B30)-1)</f>
        <v>-0.25830586977821923</v>
      </c>
      <c r="E31" s="750">
        <f t="shared" si="8"/>
        <v>0.53869635482133305</v>
      </c>
      <c r="F31" s="751">
        <f t="shared" si="7"/>
        <v>0.95867768595041536</v>
      </c>
      <c r="G31" s="840"/>
      <c r="H31" s="842">
        <f>$B$253/B31</f>
        <v>3.4093368688846453</v>
      </c>
    </row>
    <row r="32" spans="1:8" ht="16.5" hidden="1" thickBot="1">
      <c r="A32" s="973" t="s">
        <v>538</v>
      </c>
      <c r="B32" s="748">
        <f>+geral!G1581</f>
        <v>336.21</v>
      </c>
      <c r="C32" s="748">
        <f t="shared" si="0"/>
        <v>120.64374910291373</v>
      </c>
      <c r="D32" s="750">
        <f t="shared" si="9"/>
        <v>8.0371494909803332E-2</v>
      </c>
      <c r="E32" s="750">
        <f t="shared" si="8"/>
        <v>0.61950080804453744</v>
      </c>
      <c r="F32" s="751">
        <f t="shared" ref="F32:F37" si="10">100*((B32/B20)-1)</f>
        <v>-0.13069953958116942</v>
      </c>
      <c r="G32" s="840">
        <f>100*(B32/B8-1)</f>
        <v>20.643749102913734</v>
      </c>
      <c r="H32" s="842">
        <f>$B$253/B32</f>
        <v>3.4065989343954906</v>
      </c>
    </row>
    <row r="33" spans="1:8" ht="16.5" hidden="1" thickBot="1">
      <c r="A33" s="973" t="s">
        <v>539</v>
      </c>
      <c r="B33" s="748">
        <f>+geral!G1582</f>
        <v>337.37</v>
      </c>
      <c r="C33" s="748">
        <f t="shared" si="0"/>
        <v>121.05999712932395</v>
      </c>
      <c r="D33" s="750">
        <f t="shared" si="9"/>
        <v>0.34502245620298133</v>
      </c>
      <c r="E33" s="750">
        <f t="shared" si="8"/>
        <v>0.96666068115160986</v>
      </c>
      <c r="F33" s="751">
        <f t="shared" si="10"/>
        <v>-1.1855013188710739E-2</v>
      </c>
      <c r="G33" s="840">
        <f t="shared" ref="G33:G41" si="11">100*(B33/B9-1)</f>
        <v>-7.8928688435076939</v>
      </c>
      <c r="H33" s="842">
        <f>$B$253/B33</f>
        <v>3.3948858159679514</v>
      </c>
    </row>
    <row r="34" spans="1:8" ht="16.5" hidden="1" thickBot="1">
      <c r="A34" s="973" t="s">
        <v>540</v>
      </c>
      <c r="B34" s="748">
        <f>+geral!G1583</f>
        <v>337.44</v>
      </c>
      <c r="C34" s="748">
        <f t="shared" si="0"/>
        <v>121.08511554471077</v>
      </c>
      <c r="D34" s="750">
        <f t="shared" si="9"/>
        <v>2.0748732845232709E-2</v>
      </c>
      <c r="E34" s="750">
        <f t="shared" si="8"/>
        <v>0.98760998383911058</v>
      </c>
      <c r="F34" s="751">
        <f t="shared" si="10"/>
        <v>-0.87830097229973925</v>
      </c>
      <c r="G34" s="840">
        <f t="shared" si="11"/>
        <v>-3.0957440698409111</v>
      </c>
      <c r="H34" s="842">
        <f>$B$253/B34</f>
        <v>3.3941815663024766</v>
      </c>
    </row>
    <row r="35" spans="1:8" ht="16.5" hidden="1" thickBot="1">
      <c r="A35" s="973" t="s">
        <v>541</v>
      </c>
      <c r="B35" s="748">
        <f>+geral!G1584</f>
        <v>341.3</v>
      </c>
      <c r="C35" s="748">
        <f t="shared" si="0"/>
        <v>122.47021673604134</v>
      </c>
      <c r="D35" s="750">
        <f t="shared" si="9"/>
        <v>1.1439070649597038</v>
      </c>
      <c r="E35" s="750">
        <f t="shared" ref="E35:E40" si="12">100*((B35/$B$28)-1)</f>
        <v>2.1428143891782048</v>
      </c>
      <c r="F35" s="751">
        <f t="shared" si="10"/>
        <v>1.0720208481402427</v>
      </c>
      <c r="G35" s="840">
        <f t="shared" si="11"/>
        <v>-0.70117250007272203</v>
      </c>
      <c r="H35" s="842">
        <f>$B$253/B35</f>
        <v>3.3557943971084319</v>
      </c>
    </row>
    <row r="36" spans="1:8" ht="16.5" hidden="1" thickBot="1">
      <c r="A36" s="973" t="s">
        <v>542</v>
      </c>
      <c r="B36" s="748">
        <f>+geral!G1585</f>
        <v>341.71</v>
      </c>
      <c r="C36" s="748">
        <f t="shared" si="0"/>
        <v>122.61733888330701</v>
      </c>
      <c r="D36" s="750">
        <f t="shared" si="9"/>
        <v>0.12012891883972365</v>
      </c>
      <c r="E36" s="750">
        <f t="shared" si="12"/>
        <v>2.2655174477763884</v>
      </c>
      <c r="F36" s="751">
        <f t="shared" si="10"/>
        <v>0.93041115311909284</v>
      </c>
      <c r="G36" s="840">
        <f t="shared" si="11"/>
        <v>-9.3559044528257473E-2</v>
      </c>
      <c r="H36" s="842">
        <f>$B$253/B36</f>
        <v>3.3517679545026713</v>
      </c>
    </row>
    <row r="37" spans="1:8" ht="16.5" hidden="1" thickBot="1">
      <c r="A37" s="973" t="s">
        <v>543</v>
      </c>
      <c r="B37" s="748">
        <f>+geral!G1586</f>
        <v>342.67</v>
      </c>
      <c r="C37" s="748">
        <f t="shared" si="0"/>
        <v>122.96182000861202</v>
      </c>
      <c r="D37" s="750">
        <f t="shared" ref="D37:D42" si="13">100*((B37/B36)-1)</f>
        <v>0.28093997834421902</v>
      </c>
      <c r="E37" s="750">
        <f t="shared" si="12"/>
        <v>2.5528221703477572</v>
      </c>
      <c r="F37" s="751">
        <f t="shared" si="10"/>
        <v>0.69348535159119429</v>
      </c>
      <c r="G37" s="840">
        <f t="shared" si="11"/>
        <v>0.76454847531390868</v>
      </c>
      <c r="H37" s="842">
        <f>$B$253/B37</f>
        <v>3.3423778788137501</v>
      </c>
    </row>
    <row r="38" spans="1:8" ht="16.5" hidden="1" thickBot="1">
      <c r="A38" s="973" t="s">
        <v>532</v>
      </c>
      <c r="B38" s="748">
        <f>+geral!G1587</f>
        <v>347.59</v>
      </c>
      <c r="C38" s="748">
        <f t="shared" si="0"/>
        <v>124.7272857758002</v>
      </c>
      <c r="D38" s="750">
        <f t="shared" si="13"/>
        <v>1.4357836986021333</v>
      </c>
      <c r="E38" s="750">
        <f t="shared" si="12"/>
        <v>4.0252588735260719</v>
      </c>
      <c r="F38" s="751">
        <f t="shared" ref="F38:F43" si="14">100*((B38/B26)-1)</f>
        <v>3.1883627727474995</v>
      </c>
      <c r="G38" s="840">
        <f t="shared" si="11"/>
        <v>-0.32404221151641766</v>
      </c>
      <c r="H38" s="842">
        <f>$B$253/B38</f>
        <v>3.2950678320236713</v>
      </c>
    </row>
    <row r="39" spans="1:8" ht="16.5" hidden="1" thickBot="1">
      <c r="A39" s="973" t="s">
        <v>544</v>
      </c>
      <c r="B39" s="748">
        <f>+geral!G1588</f>
        <v>355.12</v>
      </c>
      <c r="C39" s="748">
        <f t="shared" si="0"/>
        <v>127.42930960241137</v>
      </c>
      <c r="D39" s="750">
        <f t="shared" si="13"/>
        <v>2.1663454069449806</v>
      </c>
      <c r="E39" s="750">
        <f t="shared" si="12"/>
        <v>6.2788052911953107</v>
      </c>
      <c r="F39" s="751">
        <f t="shared" si="14"/>
        <v>5.9869874052408623</v>
      </c>
      <c r="G39" s="840">
        <f t="shared" si="11"/>
        <v>-21.424936386768444</v>
      </c>
      <c r="H39" s="842">
        <f>$B$253/B39</f>
        <v>3.2251988841324279</v>
      </c>
    </row>
    <row r="40" spans="1:8" ht="16.5" hidden="1" thickBot="1">
      <c r="A40" s="973" t="s">
        <v>545</v>
      </c>
      <c r="B40" s="748">
        <f>+geral!G1589</f>
        <v>355.95</v>
      </c>
      <c r="C40" s="748">
        <f t="shared" si="0"/>
        <v>127.72714224199798</v>
      </c>
      <c r="D40" s="750">
        <f t="shared" si="13"/>
        <v>0.23372381166928413</v>
      </c>
      <c r="E40" s="750">
        <f t="shared" si="12"/>
        <v>6.5272041659184765</v>
      </c>
      <c r="F40" s="751">
        <f t="shared" si="14"/>
        <v>6.5272041659184765</v>
      </c>
      <c r="G40" s="840">
        <f t="shared" si="11"/>
        <v>-4.4429530201342331</v>
      </c>
      <c r="H40" s="842">
        <f>$B$253/B40</f>
        <v>3.21767840352046</v>
      </c>
    </row>
    <row r="41" spans="1:8" ht="16.5" hidden="1" thickBot="1">
      <c r="A41" s="973" t="s">
        <v>565</v>
      </c>
      <c r="B41" s="748">
        <f>+geral!I1578</f>
        <v>365.18</v>
      </c>
      <c r="C41" s="748">
        <f t="shared" si="0"/>
        <v>131.03918472800345</v>
      </c>
      <c r="D41" s="750">
        <f t="shared" si="13"/>
        <v>2.593060823149318</v>
      </c>
      <c r="E41" s="750">
        <f t="shared" ref="E41:E46" si="15">100*((B41/$B$40)-1)</f>
        <v>2.593060823149318</v>
      </c>
      <c r="F41" s="751">
        <f t="shared" si="14"/>
        <v>7.4185198258618801</v>
      </c>
      <c r="G41" s="840">
        <f t="shared" si="11"/>
        <v>10.459770114942524</v>
      </c>
      <c r="H41" s="842">
        <f>$B$253/B41</f>
        <v>3.1363509166249735</v>
      </c>
    </row>
    <row r="42" spans="1:8" ht="16.5" hidden="1" thickBot="1">
      <c r="A42" s="973" t="s">
        <v>566</v>
      </c>
      <c r="B42" s="748">
        <f>+geral!I1579</f>
        <v>373.45</v>
      </c>
      <c r="C42" s="748">
        <f t="shared" si="0"/>
        <v>134.00674608870389</v>
      </c>
      <c r="D42" s="750">
        <f t="shared" si="13"/>
        <v>2.2646366175584687</v>
      </c>
      <c r="E42" s="750">
        <f t="shared" si="15"/>
        <v>4.9164208456243808</v>
      </c>
      <c r="F42" s="751">
        <f t="shared" si="14"/>
        <v>10.878536860544518</v>
      </c>
      <c r="G42" s="840">
        <f t="shared" ref="G42:G47" si="16">100*(B42/B18-1)</f>
        <v>11.711037989829487</v>
      </c>
      <c r="H42" s="842">
        <f>$B$253/B42</f>
        <v>3.0668968475916665</v>
      </c>
    </row>
    <row r="43" spans="1:8" ht="16.5" hidden="1" thickBot="1">
      <c r="A43" s="973" t="s">
        <v>567</v>
      </c>
      <c r="B43" s="748">
        <f>+geral!I1580</f>
        <v>377.95</v>
      </c>
      <c r="C43" s="748">
        <f t="shared" si="0"/>
        <v>135.62150136357113</v>
      </c>
      <c r="D43" s="750">
        <f t="shared" ref="D43:D48" si="17">100*((B43/B42)-1)</f>
        <v>1.2049805864238872</v>
      </c>
      <c r="E43" s="750">
        <f t="shared" si="15"/>
        <v>6.1806433487849421</v>
      </c>
      <c r="F43" s="751">
        <f t="shared" si="14"/>
        <v>12.505209263558958</v>
      </c>
      <c r="G43" s="840">
        <f t="shared" si="16"/>
        <v>13.583771600300532</v>
      </c>
      <c r="H43" s="842">
        <f>$B$253/B43</f>
        <v>3.030381340741124</v>
      </c>
    </row>
    <row r="44" spans="1:8" ht="16.5" hidden="1" thickBot="1">
      <c r="A44" s="973" t="s">
        <v>568</v>
      </c>
      <c r="B44" s="748">
        <f>+geral!I1581</f>
        <v>377.01</v>
      </c>
      <c r="C44" s="748">
        <f t="shared" si="0"/>
        <v>135.28419692837662</v>
      </c>
      <c r="D44" s="750">
        <f t="shared" si="17"/>
        <v>-0.24871014684482162</v>
      </c>
      <c r="E44" s="750">
        <f t="shared" si="15"/>
        <v>5.9165613147914131</v>
      </c>
      <c r="F44" s="751">
        <f t="shared" ref="F44:F49" si="18">100*((B44/B32)-1)</f>
        <v>12.135272597483727</v>
      </c>
      <c r="G44" s="840">
        <f t="shared" si="16"/>
        <v>11.988712312490723</v>
      </c>
      <c r="H44" s="842">
        <f>$B$253/B44</f>
        <v>3.0379369983106757</v>
      </c>
    </row>
    <row r="45" spans="1:8" ht="16.5" hidden="1" thickBot="1">
      <c r="A45" s="973" t="s">
        <v>569</v>
      </c>
      <c r="B45" s="748">
        <f>+geral!I1582</f>
        <v>378.98</v>
      </c>
      <c r="C45" s="748">
        <f t="shared" si="0"/>
        <v>135.99110090426296</v>
      </c>
      <c r="D45" s="750">
        <f t="shared" si="17"/>
        <v>0.52253255881806737</v>
      </c>
      <c r="E45" s="750">
        <f t="shared" si="15"/>
        <v>6.4700098328416944</v>
      </c>
      <c r="F45" s="751">
        <f t="shared" si="18"/>
        <v>12.333639624151527</v>
      </c>
      <c r="G45" s="840">
        <f t="shared" si="16"/>
        <v>12.320322456358724</v>
      </c>
      <c r="H45" s="842">
        <f>$B$253/B45</f>
        <v>3.0221453051166494</v>
      </c>
    </row>
    <row r="46" spans="1:8" ht="16.5" hidden="1" thickBot="1">
      <c r="A46" s="973" t="s">
        <v>570</v>
      </c>
      <c r="B46" s="748">
        <f>+geral!I1583</f>
        <v>375.64</v>
      </c>
      <c r="C46" s="748">
        <f t="shared" si="0"/>
        <v>134.79259365580594</v>
      </c>
      <c r="D46" s="750">
        <f t="shared" si="17"/>
        <v>-0.88131299804740104</v>
      </c>
      <c r="E46" s="750">
        <f t="shared" si="15"/>
        <v>5.5316757971625163</v>
      </c>
      <c r="F46" s="751">
        <f t="shared" si="18"/>
        <v>11.320531057373163</v>
      </c>
      <c r="G46" s="840">
        <f t="shared" si="16"/>
        <v>10.342801750727016</v>
      </c>
      <c r="H46" s="842">
        <f>$B$253/B46</f>
        <v>3.0490166854784042</v>
      </c>
    </row>
    <row r="47" spans="1:8" ht="16.5" hidden="1" thickBot="1">
      <c r="A47" s="973" t="s">
        <v>571</v>
      </c>
      <c r="B47" s="748">
        <f>+geral!I1584</f>
        <v>384.27</v>
      </c>
      <c r="C47" s="748">
        <f t="shared" si="0"/>
        <v>137.88933543849575</v>
      </c>
      <c r="D47" s="750">
        <f t="shared" si="17"/>
        <v>2.2974124161431186</v>
      </c>
      <c r="E47" s="750">
        <f t="shared" ref="E47:E52" si="19">100*((B47/$B$40)-1)</f>
        <v>7.9561736198904276</v>
      </c>
      <c r="F47" s="751">
        <f t="shared" si="18"/>
        <v>12.590096689129782</v>
      </c>
      <c r="G47" s="840">
        <f t="shared" si="16"/>
        <v>13.797085998578517</v>
      </c>
      <c r="H47" s="842">
        <f>$B$253/B47</f>
        <v>2.9805413582457851</v>
      </c>
    </row>
    <row r="48" spans="1:8" ht="16.5" hidden="1" thickBot="1">
      <c r="A48" s="973" t="s">
        <v>572</v>
      </c>
      <c r="B48" s="748">
        <f>+geral!I1585</f>
        <v>390.15</v>
      </c>
      <c r="C48" s="748">
        <f t="shared" si="0"/>
        <v>139.99928233098893</v>
      </c>
      <c r="D48" s="750">
        <f t="shared" si="17"/>
        <v>1.5301740963385102</v>
      </c>
      <c r="E48" s="750">
        <f t="shared" si="19"/>
        <v>9.6080910240202257</v>
      </c>
      <c r="F48" s="751">
        <f t="shared" si="18"/>
        <v>14.175763073951586</v>
      </c>
      <c r="G48" s="840">
        <f t="shared" ref="G48:G53" si="20">100*(B48/B24-1)</f>
        <v>15.238067107750464</v>
      </c>
      <c r="H48" s="842">
        <f>$B$253/B48</f>
        <v>2.9356212424275481</v>
      </c>
    </row>
    <row r="49" spans="1:8" ht="16.5" hidden="1" thickBot="1">
      <c r="A49" s="973" t="s">
        <v>573</v>
      </c>
      <c r="B49" s="748">
        <f>+geral!I1586</f>
        <v>393.26</v>
      </c>
      <c r="C49" s="748">
        <f t="shared" si="0"/>
        <v>141.11525764317497</v>
      </c>
      <c r="D49" s="750">
        <f t="shared" ref="D49:D54" si="21">100*((B49/B48)-1)</f>
        <v>0.79712930924003</v>
      </c>
      <c r="E49" s="750">
        <f t="shared" si="19"/>
        <v>10.481809242871186</v>
      </c>
      <c r="F49" s="751">
        <f t="shared" si="18"/>
        <v>14.763475063472132</v>
      </c>
      <c r="G49" s="840">
        <f t="shared" si="20"/>
        <v>15.559342952014333</v>
      </c>
      <c r="H49" s="842">
        <f>$B$253/B49</f>
        <v>2.9124056037560591</v>
      </c>
    </row>
    <row r="50" spans="1:8" ht="16.5" hidden="1" thickBot="1">
      <c r="A50" s="973" t="s">
        <v>396</v>
      </c>
      <c r="B50" s="748">
        <f>+geral!I1587</f>
        <v>392.16</v>
      </c>
      <c r="C50" s="748">
        <f t="shared" si="0"/>
        <v>140.72053968709631</v>
      </c>
      <c r="D50" s="750">
        <f t="shared" si="21"/>
        <v>-0.27971316686160597</v>
      </c>
      <c r="E50" s="750">
        <f t="shared" si="19"/>
        <v>10.172777075431959</v>
      </c>
      <c r="F50" s="751">
        <f t="shared" ref="F50:F55" si="22">100*((B50/B38)-1)</f>
        <v>12.822578325038126</v>
      </c>
      <c r="G50" s="840">
        <f t="shared" si="20"/>
        <v>16.419771411607531</v>
      </c>
      <c r="H50" s="842">
        <f>$B$253/B50</f>
        <v>2.9205748361207355</v>
      </c>
    </row>
    <row r="51" spans="1:8" ht="16.5" hidden="1" thickBot="1">
      <c r="A51" s="973" t="s">
        <v>397</v>
      </c>
      <c r="B51" s="748">
        <f>+geral!I1588</f>
        <v>392.16</v>
      </c>
      <c r="C51" s="748">
        <f t="shared" si="0"/>
        <v>140.72053968709631</v>
      </c>
      <c r="D51" s="750">
        <f t="shared" si="21"/>
        <v>0</v>
      </c>
      <c r="E51" s="750">
        <f t="shared" si="19"/>
        <v>10.172777075431959</v>
      </c>
      <c r="F51" s="751">
        <f t="shared" si="22"/>
        <v>10.430277089434558</v>
      </c>
      <c r="G51" s="840">
        <f t="shared" si="20"/>
        <v>17.041723870351589</v>
      </c>
      <c r="H51" s="842">
        <f>$B$253/B51</f>
        <v>2.9205748361207355</v>
      </c>
    </row>
    <row r="52" spans="1:8" ht="16.5" hidden="1" thickBot="1">
      <c r="A52" s="973" t="s">
        <v>398</v>
      </c>
      <c r="B52" s="748">
        <f>+geral!I1589</f>
        <v>392.16</v>
      </c>
      <c r="C52" s="748">
        <f t="shared" si="0"/>
        <v>140.72053968709631</v>
      </c>
      <c r="D52" s="750">
        <f t="shared" si="21"/>
        <v>0</v>
      </c>
      <c r="E52" s="750">
        <f t="shared" si="19"/>
        <v>10.172777075431959</v>
      </c>
      <c r="F52" s="751">
        <f t="shared" si="22"/>
        <v>10.172777075431959</v>
      </c>
      <c r="G52" s="840">
        <f t="shared" si="20"/>
        <v>17.363979170407617</v>
      </c>
      <c r="H52" s="842">
        <f>$B$253/B52</f>
        <v>2.9205748361207355</v>
      </c>
    </row>
    <row r="53" spans="1:8" ht="16.5" hidden="1" thickBot="1">
      <c r="A53" s="973" t="s">
        <v>399</v>
      </c>
      <c r="B53" s="748">
        <f>+geral!K1578</f>
        <v>392.16</v>
      </c>
      <c r="C53" s="748">
        <f t="shared" si="0"/>
        <v>140.72053968709631</v>
      </c>
      <c r="D53" s="750">
        <f t="shared" si="21"/>
        <v>0</v>
      </c>
      <c r="E53" s="750">
        <f t="shared" ref="E53:E58" si="23">100*((B53/$B$52)-1)</f>
        <v>0</v>
      </c>
      <c r="F53" s="751">
        <f t="shared" si="22"/>
        <v>7.3881373569198772</v>
      </c>
      <c r="G53" s="840">
        <f t="shared" si="20"/>
        <v>15.354747617366771</v>
      </c>
      <c r="H53" s="842">
        <f>$B$253/B53</f>
        <v>2.9205748361207355</v>
      </c>
    </row>
    <row r="54" spans="1:8" ht="16.5" hidden="1" thickBot="1">
      <c r="A54" s="973" t="s">
        <v>400</v>
      </c>
      <c r="B54" s="748">
        <f>+geral!K1579</f>
        <v>392.16</v>
      </c>
      <c r="C54" s="748">
        <f t="shared" si="0"/>
        <v>140.72053968709631</v>
      </c>
      <c r="D54" s="750">
        <f t="shared" si="21"/>
        <v>0</v>
      </c>
      <c r="E54" s="750">
        <f t="shared" si="23"/>
        <v>0</v>
      </c>
      <c r="F54" s="751">
        <f t="shared" si="22"/>
        <v>5.0100415048868863</v>
      </c>
      <c r="G54" s="840">
        <f t="shared" ref="G54:G59" si="24">100*(B54/B30-1)</f>
        <v>16.433597577269097</v>
      </c>
      <c r="H54" s="842">
        <f>$B$253/B54</f>
        <v>2.9205748361207355</v>
      </c>
    </row>
    <row r="55" spans="1:8" ht="16.5" hidden="1" thickBot="1">
      <c r="A55" s="973" t="s">
        <v>401</v>
      </c>
      <c r="B55" s="748">
        <f>+geral!K1580</f>
        <v>392.16</v>
      </c>
      <c r="C55" s="748">
        <f t="shared" si="0"/>
        <v>140.72053968709631</v>
      </c>
      <c r="D55" s="750">
        <f t="shared" ref="D55:D61" si="25">100*((B55/B54)-1)</f>
        <v>0</v>
      </c>
      <c r="E55" s="750">
        <f t="shared" si="23"/>
        <v>0</v>
      </c>
      <c r="F55" s="751">
        <f t="shared" si="22"/>
        <v>3.7597565815584266</v>
      </c>
      <c r="G55" s="840">
        <f t="shared" si="24"/>
        <v>16.735131273441684</v>
      </c>
      <c r="H55" s="842">
        <f>$B$253/B55</f>
        <v>2.9205748361207355</v>
      </c>
    </row>
    <row r="56" spans="1:8" ht="16.5" hidden="1" thickBot="1">
      <c r="A56" s="973" t="s">
        <v>402</v>
      </c>
      <c r="B56" s="748">
        <f>+geral!K1581</f>
        <v>396.79</v>
      </c>
      <c r="C56" s="748">
        <f t="shared" si="0"/>
        <v>142.38194344768192</v>
      </c>
      <c r="D56" s="750">
        <f t="shared" si="25"/>
        <v>1.1806405548755672</v>
      </c>
      <c r="E56" s="750">
        <f t="shared" si="23"/>
        <v>1.1806405548755672</v>
      </c>
      <c r="F56" s="751">
        <f t="shared" ref="F56:F61" si="26">100*((B56/B44)-1)</f>
        <v>5.2465451844778688</v>
      </c>
      <c r="G56" s="840">
        <f t="shared" si="24"/>
        <v>18.018500342048128</v>
      </c>
      <c r="H56" s="842">
        <f>$B$253/B56</f>
        <v>2.8864956973036309</v>
      </c>
    </row>
    <row r="57" spans="1:8" ht="16.5" hidden="1" thickBot="1">
      <c r="A57" s="973" t="s">
        <v>403</v>
      </c>
      <c r="B57" s="748">
        <f>+geral!K1582</f>
        <v>413.92</v>
      </c>
      <c r="C57" s="748">
        <f t="shared" si="0"/>
        <v>148.52877852734318</v>
      </c>
      <c r="D57" s="750">
        <f t="shared" si="25"/>
        <v>4.3171450893419783</v>
      </c>
      <c r="E57" s="750">
        <f t="shared" si="23"/>
        <v>5.5487556099551139</v>
      </c>
      <c r="F57" s="751">
        <f t="shared" si="26"/>
        <v>9.2194838777771793</v>
      </c>
      <c r="G57" s="840">
        <f t="shared" si="24"/>
        <v>22.690221418620517</v>
      </c>
      <c r="H57" s="842">
        <f>$B$253/B57</f>
        <v>2.7670386251766228</v>
      </c>
    </row>
    <row r="58" spans="1:8" ht="13.5" hidden="1" customHeight="1" thickBot="1">
      <c r="A58" s="973" t="s">
        <v>404</v>
      </c>
      <c r="B58" s="748">
        <f>+geral!K1583</f>
        <v>425.86</v>
      </c>
      <c r="C58" s="748">
        <f t="shared" si="0"/>
        <v>152.81326252332423</v>
      </c>
      <c r="D58" s="750">
        <f t="shared" si="25"/>
        <v>2.8846153846153744</v>
      </c>
      <c r="E58" s="750">
        <f t="shared" si="23"/>
        <v>8.5934312525499656</v>
      </c>
      <c r="F58" s="751">
        <f t="shared" si="26"/>
        <v>13.36918326056864</v>
      </c>
      <c r="G58" s="840">
        <f t="shared" si="24"/>
        <v>26.203176861071608</v>
      </c>
      <c r="H58" s="842">
        <f>$B$253/B58</f>
        <v>2.6894581029754092</v>
      </c>
    </row>
    <row r="59" spans="1:8" ht="16.5" hidden="1" thickBot="1">
      <c r="A59" s="973" t="s">
        <v>405</v>
      </c>
      <c r="B59" s="748">
        <f>+geral!K1584</f>
        <v>432.11</v>
      </c>
      <c r="C59" s="748">
        <f t="shared" si="0"/>
        <v>155.05597818286205</v>
      </c>
      <c r="D59" s="750">
        <f t="shared" si="25"/>
        <v>1.4676184661625902</v>
      </c>
      <c r="E59" s="750">
        <f t="shared" ref="E59:E64" si="27">100*((B59/$B$52)-1)</f>
        <v>10.187168502651978</v>
      </c>
      <c r="F59" s="751">
        <f t="shared" si="26"/>
        <v>12.449579722590887</v>
      </c>
      <c r="G59" s="840">
        <f t="shared" si="24"/>
        <v>26.607090536185176</v>
      </c>
      <c r="H59" s="842">
        <f>$B$253/B59</f>
        <v>2.6505580239594262</v>
      </c>
    </row>
    <row r="60" spans="1:8" ht="16.5" hidden="1" thickBot="1">
      <c r="A60" s="973" t="s">
        <v>406</v>
      </c>
      <c r="B60" s="748">
        <f>+geral!K1585</f>
        <v>434.6</v>
      </c>
      <c r="C60" s="748">
        <f t="shared" si="0"/>
        <v>155.94947610162194</v>
      </c>
      <c r="D60" s="750">
        <f t="shared" si="25"/>
        <v>0.57624216056098021</v>
      </c>
      <c r="E60" s="750">
        <f t="shared" si="27"/>
        <v>10.822113423092606</v>
      </c>
      <c r="F60" s="751">
        <f t="shared" si="26"/>
        <v>11.393053953607591</v>
      </c>
      <c r="G60" s="840">
        <f t="shared" ref="G60:G65" si="28">100*(B60/B36-1)</f>
        <v>27.183869362910084</v>
      </c>
      <c r="H60" s="842">
        <f>$B$253/B60</f>
        <v>2.6353718999841411</v>
      </c>
    </row>
    <row r="61" spans="1:8" ht="16.5" hidden="1" thickBot="1">
      <c r="A61" s="973" t="s">
        <v>407</v>
      </c>
      <c r="B61" s="748">
        <f>+geral!K1586</f>
        <v>434.62</v>
      </c>
      <c r="C61" s="748">
        <f t="shared" si="0"/>
        <v>155.95665279173244</v>
      </c>
      <c r="D61" s="750">
        <f t="shared" si="25"/>
        <v>4.6019328117763436E-3</v>
      </c>
      <c r="E61" s="750">
        <f t="shared" si="27"/>
        <v>10.827213382292932</v>
      </c>
      <c r="F61" s="751">
        <f t="shared" si="26"/>
        <v>10.517215073996855</v>
      </c>
      <c r="G61" s="840">
        <f t="shared" si="28"/>
        <v>26.833396562290247</v>
      </c>
      <c r="H61" s="842">
        <f>$B$253/B61</f>
        <v>2.6352506275208407</v>
      </c>
    </row>
    <row r="62" spans="1:8" ht="16.5" hidden="1" thickBot="1">
      <c r="A62" s="973" t="s">
        <v>408</v>
      </c>
      <c r="B62" s="748">
        <f>+geral!K1587</f>
        <v>449.64</v>
      </c>
      <c r="C62" s="748">
        <f t="shared" si="0"/>
        <v>161.34634706473375</v>
      </c>
      <c r="D62" s="750">
        <f t="shared" ref="D62:D68" si="29">100*((B62/B61)-1)</f>
        <v>3.4558925037964094</v>
      </c>
      <c r="E62" s="750">
        <f t="shared" si="27"/>
        <v>14.657282741738054</v>
      </c>
      <c r="F62" s="751">
        <f t="shared" ref="F62:F68" si="30">100*((B62/B50)-1)</f>
        <v>14.657282741738054</v>
      </c>
      <c r="G62" s="840">
        <f t="shared" si="28"/>
        <v>29.359302626657847</v>
      </c>
      <c r="H62" s="842">
        <f>$B$253/B62</f>
        <v>2.5472213943001241</v>
      </c>
    </row>
    <row r="63" spans="1:8" ht="16.5" hidden="1" thickBot="1">
      <c r="A63" s="973" t="s">
        <v>409</v>
      </c>
      <c r="B63" s="748">
        <f>+geral!K1588</f>
        <v>457.62</v>
      </c>
      <c r="C63" s="748">
        <f t="shared" si="0"/>
        <v>164.20984641883163</v>
      </c>
      <c r="D63" s="750">
        <f t="shared" si="29"/>
        <v>1.774753135842011</v>
      </c>
      <c r="E63" s="750">
        <f t="shared" si="27"/>
        <v>16.69216646266829</v>
      </c>
      <c r="F63" s="751">
        <f t="shared" si="30"/>
        <v>16.69216646266829</v>
      </c>
      <c r="G63" s="840">
        <f t="shared" si="28"/>
        <v>28.863482766388813</v>
      </c>
      <c r="H63" s="842">
        <f>$B$253/B63</f>
        <v>2.5028028227199592</v>
      </c>
    </row>
    <row r="64" spans="1:8" ht="16.5" hidden="1" thickBot="1">
      <c r="A64" s="973" t="s">
        <v>410</v>
      </c>
      <c r="B64" s="748">
        <f>+geral!K1589</f>
        <v>451.17</v>
      </c>
      <c r="C64" s="748">
        <f t="shared" si="0"/>
        <v>161.8953638581886</v>
      </c>
      <c r="D64" s="750">
        <f t="shared" si="29"/>
        <v>-1.4094663694768528</v>
      </c>
      <c r="E64" s="750">
        <f t="shared" si="27"/>
        <v>15.047429620563024</v>
      </c>
      <c r="F64" s="751">
        <f t="shared" si="30"/>
        <v>15.047429620563024</v>
      </c>
      <c r="G64" s="840">
        <f t="shared" si="28"/>
        <v>26.750948166877375</v>
      </c>
      <c r="H64" s="842">
        <f>$B$253/B64</f>
        <v>2.5385833006031158</v>
      </c>
    </row>
    <row r="65" spans="1:8" ht="16.5" hidden="1" thickBot="1">
      <c r="A65" s="973" t="s">
        <v>411</v>
      </c>
      <c r="B65" s="748">
        <f>+geral!M1578</f>
        <v>459.09</v>
      </c>
      <c r="C65" s="748">
        <f t="shared" si="0"/>
        <v>164.73733314195493</v>
      </c>
      <c r="D65" s="750">
        <f t="shared" si="29"/>
        <v>1.7554358667464465</v>
      </c>
      <c r="E65" s="750">
        <f t="shared" ref="E65:E70" si="31">100*((B65/$B$64)-1)</f>
        <v>1.7554358667464465</v>
      </c>
      <c r="F65" s="751">
        <f t="shared" si="30"/>
        <v>17.067013463892277</v>
      </c>
      <c r="G65" s="840">
        <f t="shared" si="28"/>
        <v>25.71608521824853</v>
      </c>
      <c r="H65" s="842">
        <f>$B$253/B65</f>
        <v>2.4947888817728718</v>
      </c>
    </row>
    <row r="66" spans="1:8" ht="16.5" hidden="1" thickBot="1">
      <c r="A66" s="973" t="s">
        <v>412</v>
      </c>
      <c r="B66" s="748">
        <f>+geral!M1579</f>
        <v>465.42</v>
      </c>
      <c r="C66" s="748">
        <f t="shared" si="0"/>
        <v>167.00875556193483</v>
      </c>
      <c r="D66" s="750">
        <f t="shared" si="29"/>
        <v>1.3788146115141009</v>
      </c>
      <c r="E66" s="750">
        <f t="shared" si="31"/>
        <v>3.1584546844870109</v>
      </c>
      <c r="F66" s="751">
        <f t="shared" si="30"/>
        <v>18.6811505507956</v>
      </c>
      <c r="G66" s="840">
        <f t="shared" ref="G66:G71" si="32">100*(B66/B42-1)</f>
        <v>24.627125451867737</v>
      </c>
      <c r="H66" s="842">
        <f>$B$253/B66</f>
        <v>2.460858209215564</v>
      </c>
    </row>
    <row r="67" spans="1:8" ht="16.5" hidden="1" thickBot="1">
      <c r="A67" s="973" t="s">
        <v>413</v>
      </c>
      <c r="B67" s="748">
        <f>+geral!M1580</f>
        <v>472.98</v>
      </c>
      <c r="C67" s="748">
        <f t="shared" si="0"/>
        <v>169.72154442371178</v>
      </c>
      <c r="D67" s="750">
        <f t="shared" si="29"/>
        <v>1.6243393064329092</v>
      </c>
      <c r="E67" s="750">
        <f t="shared" si="31"/>
        <v>4.8340980118358967</v>
      </c>
      <c r="F67" s="751">
        <f t="shared" si="30"/>
        <v>20.608935128518979</v>
      </c>
      <c r="G67" s="840">
        <f t="shared" si="32"/>
        <v>25.143537504960989</v>
      </c>
      <c r="H67" s="842">
        <f>$B$253/B67</f>
        <v>2.4215244359869503</v>
      </c>
    </row>
    <row r="68" spans="1:8" ht="16.5" hidden="1" thickBot="1">
      <c r="A68" s="973" t="s">
        <v>414</v>
      </c>
      <c r="B68" s="748">
        <f>+geral!M1581</f>
        <v>472.32</v>
      </c>
      <c r="C68" s="748">
        <f t="shared" si="0"/>
        <v>169.48471365006458</v>
      </c>
      <c r="D68" s="750">
        <f t="shared" si="29"/>
        <v>-0.13954078396549718</v>
      </c>
      <c r="E68" s="750">
        <f t="shared" si="31"/>
        <v>4.6878116896070132</v>
      </c>
      <c r="F68" s="751">
        <f t="shared" si="30"/>
        <v>19.035257945008688</v>
      </c>
      <c r="G68" s="840">
        <f t="shared" si="32"/>
        <v>25.280496538553354</v>
      </c>
      <c r="H68" s="842">
        <f>$B$253/B68</f>
        <v>2.4249081718604075</v>
      </c>
    </row>
    <row r="69" spans="1:8" ht="16.5" hidden="1" thickBot="1">
      <c r="A69" s="973" t="s">
        <v>415</v>
      </c>
      <c r="B69" s="748">
        <f>+geral!M1582</f>
        <v>478.04</v>
      </c>
      <c r="C69" s="748">
        <f t="shared" si="0"/>
        <v>171.53724702167361</v>
      </c>
      <c r="D69" s="750">
        <f t="shared" ref="D69:D74" si="33">100*((B69/B68)-1)</f>
        <v>1.2110433604336057</v>
      </c>
      <c r="E69" s="750">
        <f t="shared" si="31"/>
        <v>5.955626482257248</v>
      </c>
      <c r="F69" s="751">
        <f t="shared" ref="F69:F74" si="34">100*((B69/B57)-1)</f>
        <v>15.49091611905682</v>
      </c>
      <c r="G69" s="840">
        <f t="shared" si="32"/>
        <v>26.138582510950449</v>
      </c>
      <c r="H69" s="842">
        <f>$B$253/B69</f>
        <v>2.3958928703311599</v>
      </c>
    </row>
    <row r="70" spans="1:8" ht="16.5" hidden="1" thickBot="1">
      <c r="A70" s="973" t="s">
        <v>416</v>
      </c>
      <c r="B70" s="748">
        <f>+geral!M1583</f>
        <v>484.01</v>
      </c>
      <c r="C70" s="748">
        <f t="shared" si="0"/>
        <v>173.67948901966412</v>
      </c>
      <c r="D70" s="750">
        <f t="shared" si="33"/>
        <v>1.2488494686637042</v>
      </c>
      <c r="E70" s="750">
        <f t="shared" si="31"/>
        <v>7.2788527606002074</v>
      </c>
      <c r="F70" s="751">
        <f t="shared" si="34"/>
        <v>13.654722209176718</v>
      </c>
      <c r="G70" s="840">
        <f t="shared" si="32"/>
        <v>28.849430305611754</v>
      </c>
      <c r="H70" s="842">
        <f>$B$253/B70</f>
        <v>2.366340835381723</v>
      </c>
    </row>
    <row r="71" spans="1:8" ht="16.5" hidden="1" thickBot="1">
      <c r="A71" s="973" t="s">
        <v>417</v>
      </c>
      <c r="B71" s="748">
        <f>+geral!M1584</f>
        <v>487.65</v>
      </c>
      <c r="C71" s="748">
        <f t="shared" si="0"/>
        <v>174.98564661977895</v>
      </c>
      <c r="D71" s="750">
        <f t="shared" si="33"/>
        <v>0.75205057746741133</v>
      </c>
      <c r="E71" s="750">
        <f t="shared" ref="E71:E76" si="35">100*((B71/$B$64)-1)</f>
        <v>8.0856439922867054</v>
      </c>
      <c r="F71" s="751">
        <f t="shared" si="34"/>
        <v>12.853208673717331</v>
      </c>
      <c r="G71" s="840">
        <f t="shared" si="32"/>
        <v>26.902958857053626</v>
      </c>
      <c r="H71" s="842">
        <f>$B$253/B71</f>
        <v>2.3486775919883272</v>
      </c>
    </row>
    <row r="72" spans="1:8" ht="16.5" hidden="1" thickBot="1">
      <c r="A72" s="973" t="s">
        <v>418</v>
      </c>
      <c r="B72" s="748">
        <f>+geral!M1585</f>
        <v>500.09</v>
      </c>
      <c r="C72" s="748">
        <f t="shared" si="0"/>
        <v>179.44954786852304</v>
      </c>
      <c r="D72" s="750">
        <f t="shared" si="33"/>
        <v>2.5510099456577562</v>
      </c>
      <c r="E72" s="750">
        <f t="shared" si="35"/>
        <v>10.842919520358162</v>
      </c>
      <c r="F72" s="751">
        <f t="shared" si="34"/>
        <v>15.069028992176703</v>
      </c>
      <c r="G72" s="840">
        <f t="shared" ref="G72:G77" si="36">100*(B72/B48-1)</f>
        <v>28.178905549147771</v>
      </c>
      <c r="H72" s="842">
        <f>$B$253/B72</f>
        <v>2.2902530099244292</v>
      </c>
    </row>
    <row r="73" spans="1:8" ht="16.5" hidden="1" thickBot="1">
      <c r="A73" s="973" t="s">
        <v>419</v>
      </c>
      <c r="B73" s="748">
        <f>+geral!M1586</f>
        <v>497.06</v>
      </c>
      <c r="C73" s="748">
        <f t="shared" si="0"/>
        <v>178.36227931677911</v>
      </c>
      <c r="D73" s="750">
        <f t="shared" si="33"/>
        <v>-0.60589093963085983</v>
      </c>
      <c r="E73" s="750">
        <f t="shared" si="35"/>
        <v>10.171332313761994</v>
      </c>
      <c r="F73" s="751">
        <f t="shared" si="34"/>
        <v>14.366573098338776</v>
      </c>
      <c r="G73" s="840">
        <f t="shared" si="36"/>
        <v>26.394751563850892</v>
      </c>
      <c r="H73" s="842">
        <f>$B$253/B73</f>
        <v>2.3042140339860535</v>
      </c>
    </row>
    <row r="74" spans="1:8" ht="16.5" hidden="1" thickBot="1">
      <c r="A74" s="973" t="s">
        <v>420</v>
      </c>
      <c r="B74" s="748">
        <f>+geral!M1587</f>
        <v>500.45</v>
      </c>
      <c r="C74" s="748">
        <f t="shared" si="0"/>
        <v>179.5787282905124</v>
      </c>
      <c r="D74" s="750">
        <f t="shared" si="33"/>
        <v>0.68201022009415357</v>
      </c>
      <c r="E74" s="750">
        <f t="shared" si="35"/>
        <v>10.922712059755746</v>
      </c>
      <c r="F74" s="751">
        <f t="shared" si="34"/>
        <v>11.3001512320968</v>
      </c>
      <c r="G74" s="840">
        <f t="shared" si="36"/>
        <v>27.613729090167261</v>
      </c>
      <c r="H74" s="842">
        <f>$B$253/B74</f>
        <v>2.2886055105067595</v>
      </c>
    </row>
    <row r="75" spans="1:8" ht="16.5" hidden="1" thickBot="1">
      <c r="A75" s="973" t="s">
        <v>421</v>
      </c>
      <c r="B75" s="748">
        <f>+geral!M1588</f>
        <v>504.5</v>
      </c>
      <c r="C75" s="748">
        <f t="shared" si="0"/>
        <v>181.03200803789292</v>
      </c>
      <c r="D75" s="750">
        <f t="shared" ref="D75:D80" si="37">100*((B75/B74)-1)</f>
        <v>0.80927165551003544</v>
      </c>
      <c r="E75" s="750">
        <f t="shared" si="35"/>
        <v>11.820378127978358</v>
      </c>
      <c r="F75" s="751">
        <f t="shared" ref="F75:F80" si="38">100*((B75/B63)-1)</f>
        <v>10.244307504042659</v>
      </c>
      <c r="G75" s="840">
        <f t="shared" si="36"/>
        <v>28.646470828233372</v>
      </c>
      <c r="H75" s="842">
        <f>$B$253/B75</f>
        <v>2.2702331570527408</v>
      </c>
    </row>
    <row r="76" spans="1:8" ht="16.5" hidden="1" thickBot="1">
      <c r="A76" s="973" t="s">
        <v>422</v>
      </c>
      <c r="B76" s="748">
        <f>+geral!M1589</f>
        <v>508.48</v>
      </c>
      <c r="C76" s="748">
        <f t="shared" si="0"/>
        <v>182.46016936988661</v>
      </c>
      <c r="D76" s="750">
        <f t="shared" si="37"/>
        <v>0.7888999008919706</v>
      </c>
      <c r="E76" s="750">
        <f t="shared" si="35"/>
        <v>12.702528980207006</v>
      </c>
      <c r="F76" s="751">
        <f t="shared" si="38"/>
        <v>12.702528980207006</v>
      </c>
      <c r="G76" s="840">
        <f t="shared" si="36"/>
        <v>29.661362709098317</v>
      </c>
      <c r="H76" s="842">
        <f>$B$253/B76</f>
        <v>2.2524634749313792</v>
      </c>
    </row>
    <row r="77" spans="1:8" ht="16.5" hidden="1" thickBot="1">
      <c r="A77" s="973" t="s">
        <v>423</v>
      </c>
      <c r="B77" s="748">
        <f>+geral!C1593</f>
        <v>511.01</v>
      </c>
      <c r="C77" s="748">
        <f t="shared" si="0"/>
        <v>183.3680206688675</v>
      </c>
      <c r="D77" s="750">
        <f t="shared" si="37"/>
        <v>0.49756135934548862</v>
      </c>
      <c r="E77" s="750">
        <f t="shared" ref="E77:E82" si="39">100*((B77/$B$76)-1)</f>
        <v>0.49756135934548862</v>
      </c>
      <c r="F77" s="751">
        <f t="shared" si="38"/>
        <v>11.309329325404605</v>
      </c>
      <c r="G77" s="840">
        <f t="shared" si="36"/>
        <v>30.306507547939599</v>
      </c>
      <c r="H77" s="842">
        <f>$B$253/B77</f>
        <v>2.2413115745936629</v>
      </c>
    </row>
    <row r="78" spans="1:8" ht="16.5" hidden="1" thickBot="1">
      <c r="A78" s="973" t="s">
        <v>424</v>
      </c>
      <c r="B78" s="748">
        <f>+geral!C1594</f>
        <v>523.65</v>
      </c>
      <c r="C78" s="748">
        <f t="shared" si="0"/>
        <v>187.9036888187168</v>
      </c>
      <c r="D78" s="750">
        <f t="shared" si="37"/>
        <v>2.473532807577139</v>
      </c>
      <c r="E78" s="750">
        <f t="shared" si="39"/>
        <v>2.9834015103838762</v>
      </c>
      <c r="F78" s="751">
        <f t="shared" si="38"/>
        <v>12.511280134072432</v>
      </c>
      <c r="G78" s="840">
        <f t="shared" ref="G78:G83" si="40">100*(B78/B54-1)</f>
        <v>33.529681762545891</v>
      </c>
      <c r="H78" s="842">
        <f>$B$253/B78</f>
        <v>2.187210212418806</v>
      </c>
    </row>
    <row r="79" spans="1:8" ht="16.5" hidden="1" thickBot="1">
      <c r="A79" s="973" t="s">
        <v>425</v>
      </c>
      <c r="B79" s="748">
        <f>+geral!C1595</f>
        <v>523.65</v>
      </c>
      <c r="C79" s="748">
        <f t="shared" si="0"/>
        <v>187.9036888187168</v>
      </c>
      <c r="D79" s="750">
        <f t="shared" si="37"/>
        <v>0</v>
      </c>
      <c r="E79" s="750">
        <f t="shared" si="39"/>
        <v>2.9834015103838762</v>
      </c>
      <c r="F79" s="751">
        <f t="shared" si="38"/>
        <v>10.712926550805513</v>
      </c>
      <c r="G79" s="840">
        <f t="shared" si="40"/>
        <v>33.529681762545891</v>
      </c>
      <c r="H79" s="842">
        <f>$B$253/B79</f>
        <v>2.187210212418806</v>
      </c>
    </row>
    <row r="80" spans="1:8" ht="16.5" hidden="1" thickBot="1">
      <c r="A80" s="973" t="s">
        <v>426</v>
      </c>
      <c r="B80" s="748">
        <f>+geral!C1596</f>
        <v>526.57000000000005</v>
      </c>
      <c r="C80" s="748">
        <f t="shared" si="0"/>
        <v>188.95148557485291</v>
      </c>
      <c r="D80" s="750">
        <f t="shared" si="37"/>
        <v>0.55762436742099464</v>
      </c>
      <c r="E80" s="750">
        <f t="shared" si="39"/>
        <v>3.557662051604793</v>
      </c>
      <c r="F80" s="751">
        <f t="shared" si="38"/>
        <v>11.48585704607048</v>
      </c>
      <c r="G80" s="840">
        <f t="shared" si="40"/>
        <v>32.707477506993634</v>
      </c>
      <c r="H80" s="842">
        <f>$B$253/B80</f>
        <v>2.1750814283630051</v>
      </c>
    </row>
    <row r="81" spans="1:10" ht="16.5" hidden="1" thickBot="1">
      <c r="A81" s="973" t="s">
        <v>427</v>
      </c>
      <c r="B81" s="748">
        <f>+geral!C1597</f>
        <v>529.24</v>
      </c>
      <c r="C81" s="748">
        <f t="shared" si="0"/>
        <v>189.90957370460742</v>
      </c>
      <c r="D81" s="750">
        <f t="shared" ref="D81:D86" si="41">100*((B81/B80)-1)</f>
        <v>0.50705509239037383</v>
      </c>
      <c r="E81" s="750">
        <f t="shared" si="39"/>
        <v>4.0827564505978575</v>
      </c>
      <c r="F81" s="751">
        <f t="shared" ref="F81:F86" si="42">100*((B81/B69)-1)</f>
        <v>10.710400803280052</v>
      </c>
      <c r="G81" s="840">
        <f t="shared" si="40"/>
        <v>27.860456126787781</v>
      </c>
      <c r="H81" s="842">
        <f>$B$253/B81</f>
        <v>2.1641082074920788</v>
      </c>
    </row>
    <row r="82" spans="1:10" ht="16.5" hidden="1" thickBot="1">
      <c r="A82" s="973" t="s">
        <v>428</v>
      </c>
      <c r="B82" s="748">
        <f>+geral!C1598</f>
        <v>530.66999999999996</v>
      </c>
      <c r="C82" s="748">
        <f t="shared" si="0"/>
        <v>190.42270704750965</v>
      </c>
      <c r="D82" s="750">
        <f t="shared" si="41"/>
        <v>0.27019877560274796</v>
      </c>
      <c r="E82" s="750">
        <f t="shared" si="39"/>
        <v>4.3639867841409608</v>
      </c>
      <c r="F82" s="751">
        <f t="shared" si="42"/>
        <v>9.6402966880849483</v>
      </c>
      <c r="G82" s="840">
        <f t="shared" si="40"/>
        <v>24.611374630160142</v>
      </c>
      <c r="H82" s="842">
        <f>$B$253/B82</f>
        <v>2.1582765706241314</v>
      </c>
    </row>
    <row r="83" spans="1:10" ht="16.5" hidden="1" thickBot="1">
      <c r="A83" s="973" t="s">
        <v>429</v>
      </c>
      <c r="B83" s="748">
        <f>+geral!C1599</f>
        <v>529.24</v>
      </c>
      <c r="C83" s="748">
        <f t="shared" si="0"/>
        <v>189.90957370460742</v>
      </c>
      <c r="D83" s="750">
        <f t="shared" si="41"/>
        <v>-0.26947066915408158</v>
      </c>
      <c r="E83" s="750">
        <f t="shared" ref="E83:E88" si="43">100*((B83/$B$76)-1)</f>
        <v>4.0827564505978575</v>
      </c>
      <c r="F83" s="751">
        <f t="shared" si="42"/>
        <v>8.5286578488670273</v>
      </c>
      <c r="G83" s="840">
        <f t="shared" si="40"/>
        <v>22.4780727129666</v>
      </c>
      <c r="H83" s="842">
        <f>$B$253/B83</f>
        <v>2.1641082074920788</v>
      </c>
    </row>
    <row r="84" spans="1:10" ht="16.5" hidden="1" thickBot="1">
      <c r="A84" s="973" t="s">
        <v>430</v>
      </c>
      <c r="B84" s="748">
        <f>+geral!C1600</f>
        <v>528.41999999999996</v>
      </c>
      <c r="C84" s="748">
        <f t="shared" si="0"/>
        <v>189.61532941007604</v>
      </c>
      <c r="D84" s="750">
        <f t="shared" si="41"/>
        <v>-0.15493915803794778</v>
      </c>
      <c r="E84" s="750">
        <f t="shared" si="43"/>
        <v>3.9214915040906018</v>
      </c>
      <c r="F84" s="751">
        <f t="shared" si="42"/>
        <v>5.6649803035453639</v>
      </c>
      <c r="G84" s="840">
        <f t="shared" ref="G84:G89" si="44">100*(B84/B60-1)</f>
        <v>21.58766682006441</v>
      </c>
      <c r="H84" s="842">
        <f>$B$253/B84</f>
        <v>2.1674664617787136</v>
      </c>
    </row>
    <row r="85" spans="1:10" ht="16.5" hidden="1" thickBot="1">
      <c r="A85" s="973" t="s">
        <v>431</v>
      </c>
      <c r="B85" s="748">
        <f>+geral!C1601</f>
        <v>542.30999999999995</v>
      </c>
      <c r="C85" s="748">
        <f t="shared" si="0"/>
        <v>194.59954069183289</v>
      </c>
      <c r="D85" s="750">
        <f t="shared" si="41"/>
        <v>2.6285908936073632</v>
      </c>
      <c r="E85" s="750">
        <f t="shared" si="43"/>
        <v>6.6531623662680728</v>
      </c>
      <c r="F85" s="751">
        <f t="shared" si="42"/>
        <v>9.103528749044365</v>
      </c>
      <c r="G85" s="840">
        <f t="shared" si="44"/>
        <v>24.777966959642896</v>
      </c>
      <c r="H85" s="842">
        <f>$B$253/B85</f>
        <v>2.111951886804794</v>
      </c>
    </row>
    <row r="86" spans="1:10" ht="16.5" hidden="1" thickBot="1">
      <c r="A86" s="973" t="s">
        <v>432</v>
      </c>
      <c r="B86" s="748">
        <f>+geral!C1602</f>
        <v>544.58000000000004</v>
      </c>
      <c r="C86" s="748">
        <f t="shared" si="0"/>
        <v>195.41409501937707</v>
      </c>
      <c r="D86" s="750">
        <f t="shared" si="41"/>
        <v>0.41857977909316446</v>
      </c>
      <c r="E86" s="750">
        <f t="shared" si="43"/>
        <v>7.0995909376966759</v>
      </c>
      <c r="F86" s="751">
        <f t="shared" si="42"/>
        <v>8.8180637426316331</v>
      </c>
      <c r="G86" s="840">
        <f t="shared" si="44"/>
        <v>21.114669513388495</v>
      </c>
      <c r="H86" s="842">
        <f>$B$253/B86</f>
        <v>2.1031485323241905</v>
      </c>
    </row>
    <row r="87" spans="1:10" ht="16.5" hidden="1" thickBot="1">
      <c r="A87" s="973" t="s">
        <v>433</v>
      </c>
      <c r="B87" s="748">
        <f>+geral!C1603</f>
        <v>536.54</v>
      </c>
      <c r="C87" s="748">
        <f t="shared" si="0"/>
        <v>192.52906559494761</v>
      </c>
      <c r="D87" s="750">
        <f t="shared" ref="D87:D92" si="45">100*((B87/B86)-1)</f>
        <v>-1.476367108597465</v>
      </c>
      <c r="E87" s="750">
        <f t="shared" si="43"/>
        <v>5.5184078036500939</v>
      </c>
      <c r="F87" s="751">
        <f t="shared" ref="F87:F92" si="46">100*((B87/B75)-1)</f>
        <v>6.3508424182358691</v>
      </c>
      <c r="G87" s="840">
        <f t="shared" si="44"/>
        <v>17.24574974869979</v>
      </c>
      <c r="H87" s="842">
        <f>$B$253/B87</f>
        <v>2.134664009641607</v>
      </c>
    </row>
    <row r="88" spans="1:10" ht="16.5" hidden="1" thickBot="1">
      <c r="A88" s="973" t="s">
        <v>434</v>
      </c>
      <c r="B88" s="748">
        <f>+geral!C1604</f>
        <v>536.44000000000005</v>
      </c>
      <c r="C88" s="748">
        <f t="shared" si="0"/>
        <v>192.49318214439504</v>
      </c>
      <c r="D88" s="750">
        <f t="shared" si="45"/>
        <v>-1.8637939389398728E-2</v>
      </c>
      <c r="E88" s="750">
        <f t="shared" si="43"/>
        <v>5.4987413467589841</v>
      </c>
      <c r="F88" s="751">
        <f t="shared" si="46"/>
        <v>5.4987413467589841</v>
      </c>
      <c r="G88" s="840">
        <f t="shared" si="44"/>
        <v>18.899749540084688</v>
      </c>
      <c r="H88" s="842">
        <f>$B$253/B88</f>
        <v>2.1350619411921326</v>
      </c>
    </row>
    <row r="89" spans="1:10" ht="16.5" hidden="1" thickBot="1">
      <c r="A89" s="973" t="s">
        <v>435</v>
      </c>
      <c r="B89" s="748">
        <f>+geral!E1593</f>
        <v>541.29</v>
      </c>
      <c r="C89" s="748">
        <f t="shared" ref="C89:C148" si="47">100*B89/$B$8</f>
        <v>194.23352949619635</v>
      </c>
      <c r="D89" s="750">
        <f t="shared" si="45"/>
        <v>0.90410856759375324</v>
      </c>
      <c r="E89" s="750">
        <f t="shared" ref="E89:E94" si="48">100*((B89/$B$88)-1)</f>
        <v>0.90410856759375324</v>
      </c>
      <c r="F89" s="751">
        <f t="shared" si="46"/>
        <v>5.9255200485313297</v>
      </c>
      <c r="G89" s="840">
        <f t="shared" si="44"/>
        <v>17.904985950467236</v>
      </c>
      <c r="H89" s="842">
        <f>$B$253/B89</f>
        <v>2.1159316221121909</v>
      </c>
    </row>
    <row r="90" spans="1:10" ht="16.5" hidden="1" thickBot="1">
      <c r="A90" s="973" t="s">
        <v>436</v>
      </c>
      <c r="B90" s="748">
        <f>+geral!E1594</f>
        <v>556.83000000000004</v>
      </c>
      <c r="C90" s="748">
        <f t="shared" si="47"/>
        <v>199.80981771207121</v>
      </c>
      <c r="D90" s="750">
        <f t="shared" si="45"/>
        <v>2.8709194701546537</v>
      </c>
      <c r="E90" s="750">
        <f t="shared" si="48"/>
        <v>3.8009842666467897</v>
      </c>
      <c r="F90" s="751">
        <f t="shared" si="46"/>
        <v>6.336293325694653</v>
      </c>
      <c r="G90" s="840">
        <f t="shared" ref="G90:G100" si="49">100*(B90/B66-1)</f>
        <v>19.640324867861292</v>
      </c>
      <c r="H90" s="842">
        <f>$B$253/B90</f>
        <v>2.0568802466338156</v>
      </c>
    </row>
    <row r="91" spans="1:10" ht="16.5" hidden="1" thickBot="1">
      <c r="A91" s="973" t="s">
        <v>437</v>
      </c>
      <c r="B91" s="748">
        <f>+geral!E1595</f>
        <v>555.03</v>
      </c>
      <c r="C91" s="748">
        <f t="shared" si="47"/>
        <v>199.16391560212429</v>
      </c>
      <c r="D91" s="750">
        <f t="shared" si="45"/>
        <v>-0.32325844512689494</v>
      </c>
      <c r="E91" s="750">
        <f t="shared" si="48"/>
        <v>3.4654388188800178</v>
      </c>
      <c r="F91" s="751">
        <f t="shared" si="46"/>
        <v>5.9925522772844353</v>
      </c>
      <c r="G91" s="840">
        <f t="shared" si="49"/>
        <v>17.347456552074082</v>
      </c>
      <c r="H91" s="842">
        <f>$B$253/B91</f>
        <v>2.0635508490227696</v>
      </c>
    </row>
    <row r="92" spans="1:10" ht="16.5" hidden="1" thickBot="1">
      <c r="A92" s="973" t="s">
        <v>438</v>
      </c>
      <c r="B92" s="748">
        <f>+geral!E1596</f>
        <v>552.30999999999995</v>
      </c>
      <c r="C92" s="748">
        <f t="shared" si="47"/>
        <v>198.18788574709342</v>
      </c>
      <c r="D92" s="750">
        <f t="shared" si="45"/>
        <v>-0.49006360016575767</v>
      </c>
      <c r="E92" s="750">
        <f t="shared" si="48"/>
        <v>2.9583923644769028</v>
      </c>
      <c r="F92" s="751">
        <f t="shared" si="46"/>
        <v>4.888238980572357</v>
      </c>
      <c r="G92" s="840">
        <f t="shared" si="49"/>
        <v>16.935552168021673</v>
      </c>
      <c r="H92" s="842">
        <f>$B$253/B92</f>
        <v>2.0737133633885096</v>
      </c>
    </row>
    <row r="93" spans="1:10" ht="16.5" hidden="1" thickBot="1">
      <c r="A93" s="973" t="s">
        <v>439</v>
      </c>
      <c r="B93" s="748">
        <f>+geral!E1597</f>
        <v>559.13</v>
      </c>
      <c r="C93" s="748">
        <f t="shared" si="47"/>
        <v>200.63513707478111</v>
      </c>
      <c r="D93" s="750">
        <f t="shared" ref="D93:D100" si="50">100*((B93/B92)-1)</f>
        <v>1.2348137821151184</v>
      </c>
      <c r="E93" s="750">
        <f t="shared" si="48"/>
        <v>4.2297367832376365</v>
      </c>
      <c r="F93" s="751">
        <f t="shared" ref="F93:F100" si="51">100*((B93/B81)-1)</f>
        <v>5.6477212606756755</v>
      </c>
      <c r="G93" s="840">
        <f t="shared" si="49"/>
        <v>16.963015647226175</v>
      </c>
      <c r="H93" s="842">
        <f>$B$253/B93</f>
        <v>2.0484192007817641</v>
      </c>
    </row>
    <row r="94" spans="1:10" ht="16.5" hidden="1" thickBot="1">
      <c r="A94" s="973" t="s">
        <v>440</v>
      </c>
      <c r="B94" s="748">
        <f>+geral!E1598</f>
        <v>563.8387695389755</v>
      </c>
      <c r="C94" s="748">
        <f t="shared" si="47"/>
        <v>202.32480606393551</v>
      </c>
      <c r="D94" s="750">
        <f t="shared" si="50"/>
        <v>0.8421600591947298</v>
      </c>
      <c r="E94" s="750">
        <f t="shared" si="48"/>
        <v>5.10751799622986</v>
      </c>
      <c r="F94" s="751">
        <f t="shared" si="51"/>
        <v>6.2503570088709548</v>
      </c>
      <c r="G94" s="840">
        <f t="shared" si="49"/>
        <v>16.493206656675596</v>
      </c>
      <c r="H94" s="842">
        <f>$B$253/B94</f>
        <v>2.0313122999143753</v>
      </c>
    </row>
    <row r="95" spans="1:10" ht="16.5" hidden="1" thickBot="1">
      <c r="A95" s="973" t="s">
        <v>441</v>
      </c>
      <c r="B95" s="748">
        <f>+geral!E1599</f>
        <v>563.8387695389755</v>
      </c>
      <c r="C95" s="748">
        <f t="shared" si="47"/>
        <v>202.32480606393551</v>
      </c>
      <c r="D95" s="750">
        <f t="shared" si="50"/>
        <v>0</v>
      </c>
      <c r="E95" s="750">
        <f t="shared" ref="E95:E100" si="52">100*((B95/$B$88)-1)</f>
        <v>5.10751799622986</v>
      </c>
      <c r="F95" s="751">
        <f t="shared" si="51"/>
        <v>6.537444172582485</v>
      </c>
      <c r="G95" s="840">
        <f t="shared" si="49"/>
        <v>15.623658266989748</v>
      </c>
      <c r="H95" s="842">
        <f>$B$253/B95</f>
        <v>2.0313122999143753</v>
      </c>
      <c r="I95" s="820" t="s">
        <v>241</v>
      </c>
      <c r="J95" s="821"/>
    </row>
    <row r="96" spans="1:10" ht="16.5" hidden="1" thickBot="1">
      <c r="A96" s="973" t="s">
        <v>442</v>
      </c>
      <c r="B96" s="748">
        <f>+geral!E1600</f>
        <v>573.36859357333333</v>
      </c>
      <c r="C96" s="748">
        <f t="shared" si="47"/>
        <v>205.7444357590546</v>
      </c>
      <c r="D96" s="750">
        <f t="shared" si="50"/>
        <v>1.6901682802248352</v>
      </c>
      <c r="E96" s="750">
        <f t="shared" si="52"/>
        <v>6.8840119255337617</v>
      </c>
      <c r="F96" s="751">
        <f t="shared" si="51"/>
        <v>8.506224891815851</v>
      </c>
      <c r="G96" s="840">
        <f t="shared" si="49"/>
        <v>14.653081160057857</v>
      </c>
      <c r="H96" s="842">
        <f>$B$253/B96</f>
        <v>1.9975503377246293</v>
      </c>
    </row>
    <row r="97" spans="1:8" ht="16.5" hidden="1" thickBot="1">
      <c r="A97" s="973" t="s">
        <v>443</v>
      </c>
      <c r="B97" s="748">
        <f>+geral!E1601</f>
        <v>573.58469844166655</v>
      </c>
      <c r="C97" s="748">
        <f t="shared" si="47"/>
        <v>205.82198164262471</v>
      </c>
      <c r="D97" s="750">
        <f t="shared" si="50"/>
        <v>3.7690391618139252E-2</v>
      </c>
      <c r="E97" s="750">
        <f t="shared" si="52"/>
        <v>6.9242969282056643</v>
      </c>
      <c r="F97" s="751">
        <f t="shared" si="51"/>
        <v>5.7669411299195339</v>
      </c>
      <c r="G97" s="840">
        <f t="shared" si="49"/>
        <v>15.395465022666599</v>
      </c>
      <c r="H97" s="842">
        <f>$B$253/B97</f>
        <v>1.9967977368377929</v>
      </c>
    </row>
    <row r="98" spans="1:8" ht="16.5" hidden="1" thickBot="1">
      <c r="A98" s="973" t="s">
        <v>444</v>
      </c>
      <c r="B98" s="748">
        <f>+geral!E1602</f>
        <v>575.61096635833326</v>
      </c>
      <c r="C98" s="748">
        <f t="shared" si="47"/>
        <v>206.54907648856511</v>
      </c>
      <c r="D98" s="750">
        <f t="shared" si="50"/>
        <v>0.35326394204233669</v>
      </c>
      <c r="E98" s="750">
        <f t="shared" si="52"/>
        <v>7.302021914535306</v>
      </c>
      <c r="F98" s="751">
        <f t="shared" si="51"/>
        <v>5.6981465272931908</v>
      </c>
      <c r="G98" s="840">
        <f t="shared" si="49"/>
        <v>15.018676462850088</v>
      </c>
      <c r="H98" s="842">
        <f>$B$253/B98</f>
        <v>1.9897686018374214</v>
      </c>
    </row>
    <row r="99" spans="1:8" ht="16.5" hidden="1" thickBot="1">
      <c r="A99" s="973" t="s">
        <v>445</v>
      </c>
      <c r="B99" s="748">
        <f>+geral!E1603</f>
        <v>577.42461279166685</v>
      </c>
      <c r="C99" s="748">
        <f t="shared" si="47"/>
        <v>207.19987540966946</v>
      </c>
      <c r="D99" s="750">
        <f t="shared" si="50"/>
        <v>0.31508198059668757</v>
      </c>
      <c r="E99" s="750">
        <f t="shared" si="52"/>
        <v>7.6401112504039137</v>
      </c>
      <c r="F99" s="751">
        <f t="shared" si="51"/>
        <v>7.6200493517103896</v>
      </c>
      <c r="G99" s="840">
        <f t="shared" si="49"/>
        <v>14.454829096465183</v>
      </c>
      <c r="H99" s="842">
        <f>$B$253/B99</f>
        <v>1.9835188912294262</v>
      </c>
    </row>
    <row r="100" spans="1:8" ht="16.5" hidden="1" thickBot="1">
      <c r="A100" s="973" t="s">
        <v>446</v>
      </c>
      <c r="B100" s="748">
        <f>+geral!E1604</f>
        <v>578.72176591952393</v>
      </c>
      <c r="C100" s="748">
        <f t="shared" si="47"/>
        <v>207.66533871089561</v>
      </c>
      <c r="D100" s="750">
        <f t="shared" si="50"/>
        <v>0.2246445854785728</v>
      </c>
      <c r="E100" s="750">
        <f t="shared" si="52"/>
        <v>7.8819189321310601</v>
      </c>
      <c r="F100" s="751">
        <f t="shared" si="51"/>
        <v>7.8819189321310601</v>
      </c>
      <c r="G100" s="840">
        <f t="shared" si="49"/>
        <v>13.81406661412916</v>
      </c>
      <c r="H100" s="842">
        <f>$B$253/B100</f>
        <v>1.9790730108678438</v>
      </c>
    </row>
    <row r="101" spans="1:8" ht="16.5" hidden="1" thickBot="1">
      <c r="A101" s="973" t="s">
        <v>447</v>
      </c>
      <c r="B101" s="748">
        <f>geral!G1593</f>
        <v>587.4101518841112</v>
      </c>
      <c r="C101" s="748">
        <f t="shared" si="47"/>
        <v>210.78303139231778</v>
      </c>
      <c r="D101" s="750">
        <f t="shared" ref="D101:D106" si="53">100*((B101/B100)-1)</f>
        <v>1.5013062366476593</v>
      </c>
      <c r="E101" s="750">
        <f t="shared" ref="E101:E106" si="54">100*((B101/$B$100)-1)</f>
        <v>1.5013062366476593</v>
      </c>
      <c r="F101" s="751">
        <f t="shared" ref="F101:F106" si="55">100*((B101/B89)-1)</f>
        <v>8.5204145437955958</v>
      </c>
      <c r="G101" s="840">
        <f t="shared" ref="G101:G106" si="56">100*(B101/B77-1)</f>
        <v>14.950813464337532</v>
      </c>
      <c r="H101" s="842">
        <f>$B$253/B101</f>
        <v>1.9498005338509501</v>
      </c>
    </row>
    <row r="102" spans="1:8" ht="16.5" hidden="1" thickBot="1">
      <c r="A102" s="973" t="s">
        <v>448</v>
      </c>
      <c r="B102" s="748">
        <f>geral!G1594</f>
        <v>589.383839150889</v>
      </c>
      <c r="C102" s="748">
        <f t="shared" si="47"/>
        <v>211.49125848675507</v>
      </c>
      <c r="D102" s="750">
        <f t="shared" si="53"/>
        <v>0.33599815400657818</v>
      </c>
      <c r="E102" s="750">
        <f t="shared" si="54"/>
        <v>1.8423487518953507</v>
      </c>
      <c r="F102" s="751">
        <f t="shared" si="55"/>
        <v>5.8462796815704987</v>
      </c>
      <c r="G102" s="840">
        <f t="shared" si="56"/>
        <v>12.553010436529943</v>
      </c>
      <c r="H102" s="842">
        <f>$B$253/B102</f>
        <v>1.9432711785636347</v>
      </c>
    </row>
    <row r="103" spans="1:8" ht="16.5" hidden="1" thickBot="1">
      <c r="A103" s="973" t="s">
        <v>449</v>
      </c>
      <c r="B103" s="748">
        <f>geral!G1595</f>
        <v>593.25334988977784</v>
      </c>
      <c r="C103" s="748">
        <f t="shared" si="47"/>
        <v>212.87977245937196</v>
      </c>
      <c r="D103" s="750">
        <f t="shared" si="53"/>
        <v>0.65653492373722866</v>
      </c>
      <c r="E103" s="750">
        <f t="shared" si="54"/>
        <v>2.510979338605801</v>
      </c>
      <c r="F103" s="751">
        <f t="shared" si="55"/>
        <v>6.8867178152132169</v>
      </c>
      <c r="G103" s="840">
        <f t="shared" si="56"/>
        <v>13.291960257763357</v>
      </c>
      <c r="H103" s="842">
        <f>$B$253/B103</f>
        <v>1.9305961406638534</v>
      </c>
    </row>
    <row r="104" spans="1:8" ht="16.5" hidden="1" thickBot="1">
      <c r="A104" s="973" t="s">
        <v>450</v>
      </c>
      <c r="B104" s="748">
        <f>geral!G1596</f>
        <v>594.06467034561115</v>
      </c>
      <c r="C104" s="748">
        <f t="shared" si="47"/>
        <v>213.17090223396409</v>
      </c>
      <c r="D104" s="750">
        <f t="shared" si="53"/>
        <v>0.13675783811148978</v>
      </c>
      <c r="E104" s="750">
        <f t="shared" si="54"/>
        <v>2.6511711377762204</v>
      </c>
      <c r="F104" s="751">
        <f t="shared" si="55"/>
        <v>7.5600062185387173</v>
      </c>
      <c r="G104" s="840">
        <f t="shared" si="56"/>
        <v>12.817796370019385</v>
      </c>
      <c r="H104" s="842">
        <f>$B$253/B104</f>
        <v>1.9279595049252525</v>
      </c>
    </row>
    <row r="105" spans="1:8" ht="16.5" hidden="1" thickBot="1">
      <c r="A105" s="973" t="s">
        <v>451</v>
      </c>
      <c r="B105" s="748">
        <f>geral!G1597</f>
        <v>598.16095158011115</v>
      </c>
      <c r="C105" s="748">
        <f t="shared" si="47"/>
        <v>214.64078928524154</v>
      </c>
      <c r="D105" s="750">
        <f t="shared" si="53"/>
        <v>0.68953456399232227</v>
      </c>
      <c r="E105" s="750">
        <f t="shared" si="54"/>
        <v>3.3589864431140759</v>
      </c>
      <c r="F105" s="751">
        <f t="shared" si="55"/>
        <v>6.9806577325686625</v>
      </c>
      <c r="G105" s="840">
        <f t="shared" si="56"/>
        <v>13.022627084141636</v>
      </c>
      <c r="H105" s="842">
        <f>$B$253/B105</f>
        <v>1.9147565963769109</v>
      </c>
    </row>
    <row r="106" spans="1:8" ht="16.5" hidden="1" thickBot="1">
      <c r="A106" s="973" t="s">
        <v>452</v>
      </c>
      <c r="B106" s="748">
        <f>geral!G1598</f>
        <v>600.98</v>
      </c>
      <c r="C106" s="748">
        <f t="shared" si="47"/>
        <v>215.65236113104635</v>
      </c>
      <c r="D106" s="750">
        <f t="shared" si="53"/>
        <v>0.47128593273131347</v>
      </c>
      <c r="E106" s="750">
        <f t="shared" si="54"/>
        <v>3.8461028064341596</v>
      </c>
      <c r="F106" s="751">
        <f t="shared" si="55"/>
        <v>6.5872076323153728</v>
      </c>
      <c r="G106" s="840">
        <f t="shared" si="56"/>
        <v>13.249288635121648</v>
      </c>
      <c r="H106" s="842">
        <f>$B$253/B106</f>
        <v>1.9057749471415151</v>
      </c>
    </row>
    <row r="107" spans="1:8" ht="16.5" hidden="1" thickBot="1">
      <c r="A107" s="973" t="s">
        <v>453</v>
      </c>
      <c r="B107" s="748">
        <f>geral!G1599</f>
        <v>604.49</v>
      </c>
      <c r="C107" s="748">
        <f t="shared" si="47"/>
        <v>216.9118702454428</v>
      </c>
      <c r="D107" s="750">
        <f t="shared" ref="D107:D112" si="57">100*((B107/B106)-1)</f>
        <v>0.58404605810509214</v>
      </c>
      <c r="E107" s="750">
        <f t="shared" ref="E107:E112" si="58">100*((B107/$B$100)-1)</f>
        <v>4.4526118763708933</v>
      </c>
      <c r="F107" s="751">
        <f t="shared" ref="F107:F112" si="59">100*((B107/B95)-1)</f>
        <v>7.2097260169362132</v>
      </c>
      <c r="G107" s="840">
        <f t="shared" ref="G107:G112" si="60">100*(B107/B83-1)</f>
        <v>14.218502002872047</v>
      </c>
      <c r="H107" s="842">
        <f>$B$253/B107</f>
        <v>1.8947089740659195</v>
      </c>
    </row>
    <row r="108" spans="1:8" ht="16.5" hidden="1" thickBot="1">
      <c r="A108" s="973" t="s">
        <v>454</v>
      </c>
      <c r="B108" s="748">
        <f>geral!G1600</f>
        <v>608.98881837083343</v>
      </c>
      <c r="C108" s="748">
        <f t="shared" si="47"/>
        <v>218.52620151099231</v>
      </c>
      <c r="D108" s="750">
        <f t="shared" si="57"/>
        <v>0.74423371285436968</v>
      </c>
      <c r="E108" s="750">
        <f t="shared" si="58"/>
        <v>5.2299834279117885</v>
      </c>
      <c r="F108" s="751">
        <f t="shared" si="59"/>
        <v>6.2124478383980941</v>
      </c>
      <c r="G108" s="840">
        <f t="shared" si="60"/>
        <v>15.247117514634855</v>
      </c>
      <c r="H108" s="842">
        <f>$B$253/B108</f>
        <v>1.8807120807194802</v>
      </c>
    </row>
    <row r="109" spans="1:8" ht="16.5" hidden="1" thickBot="1">
      <c r="A109" s="973" t="s">
        <v>455</v>
      </c>
      <c r="B109" s="748">
        <f>geral!G1601</f>
        <v>611.00166733666686</v>
      </c>
      <c r="C109" s="748">
        <f t="shared" si="47"/>
        <v>219.24848117434578</v>
      </c>
      <c r="D109" s="750">
        <f t="shared" si="57"/>
        <v>0.33052314018149342</v>
      </c>
      <c r="E109" s="750">
        <f t="shared" si="58"/>
        <v>5.5777928735501803</v>
      </c>
      <c r="F109" s="751">
        <f t="shared" si="59"/>
        <v>6.5233554864095877</v>
      </c>
      <c r="G109" s="840">
        <f t="shared" si="60"/>
        <v>12.666494686925734</v>
      </c>
      <c r="H109" s="842">
        <f>$B$253/B109</f>
        <v>1.8745163703489867</v>
      </c>
    </row>
    <row r="110" spans="1:8" ht="16.5" hidden="1" thickBot="1">
      <c r="A110" s="973" t="s">
        <v>456</v>
      </c>
      <c r="B110" s="748">
        <f>geral!G1602</f>
        <v>616.54911947416679</v>
      </c>
      <c r="C110" s="748">
        <f t="shared" si="47"/>
        <v>221.23909841903503</v>
      </c>
      <c r="D110" s="750">
        <f t="shared" si="57"/>
        <v>0.9079274957924488</v>
      </c>
      <c r="E110" s="750">
        <f t="shared" si="58"/>
        <v>6.5363626844999301</v>
      </c>
      <c r="F110" s="751">
        <f t="shared" si="59"/>
        <v>7.1121218163777034</v>
      </c>
      <c r="G110" s="840">
        <f t="shared" si="60"/>
        <v>13.21552746596768</v>
      </c>
      <c r="H110" s="842">
        <f>$B$253/B110</f>
        <v>1.8576502529270043</v>
      </c>
    </row>
    <row r="111" spans="1:8" ht="16.5" hidden="1" thickBot="1">
      <c r="A111" s="973" t="s">
        <v>457</v>
      </c>
      <c r="B111" s="748">
        <f>geral!G1603</f>
        <v>618.28728102555567</v>
      </c>
      <c r="C111" s="748">
        <f t="shared" si="47"/>
        <v>221.86281075985204</v>
      </c>
      <c r="D111" s="750">
        <f t="shared" si="57"/>
        <v>0.28191777370005777</v>
      </c>
      <c r="E111" s="750">
        <f t="shared" si="58"/>
        <v>6.8367076263611049</v>
      </c>
      <c r="F111" s="751">
        <f t="shared" si="59"/>
        <v>7.0767105053473056</v>
      </c>
      <c r="G111" s="840">
        <f t="shared" si="60"/>
        <v>15.236008690042823</v>
      </c>
      <c r="H111" s="842">
        <f>$B$253/B111</f>
        <v>1.852427929349185</v>
      </c>
    </row>
    <row r="112" spans="1:8" ht="16.5" hidden="1" thickBot="1">
      <c r="A112" s="973" t="s">
        <v>458</v>
      </c>
      <c r="B112" s="748">
        <f>geral!G1604</f>
        <v>617.2768874241666</v>
      </c>
      <c r="C112" s="748">
        <f t="shared" si="47"/>
        <v>221.50024667151092</v>
      </c>
      <c r="D112" s="750">
        <f t="shared" si="57"/>
        <v>-0.16341814434758239</v>
      </c>
      <c r="E112" s="750">
        <f t="shared" si="58"/>
        <v>6.6621170612760627</v>
      </c>
      <c r="F112" s="751">
        <f t="shared" si="59"/>
        <v>6.6621170612760627</v>
      </c>
      <c r="G112" s="840">
        <f t="shared" si="60"/>
        <v>15.069138659340563</v>
      </c>
      <c r="H112" s="842">
        <f>$B$253/B112</f>
        <v>1.8554600877937677</v>
      </c>
    </row>
    <row r="113" spans="1:8" ht="16.5" hidden="1" thickBot="1">
      <c r="A113" s="973" t="s">
        <v>459</v>
      </c>
      <c r="B113" s="748">
        <f>geral!I1593</f>
        <v>613.65413528611123</v>
      </c>
      <c r="C113" s="748">
        <f t="shared" si="47"/>
        <v>220.20027819940836</v>
      </c>
      <c r="D113" s="750">
        <f t="shared" ref="D113:D118" si="61">100*((B113/B112)-1)</f>
        <v>-0.58689256180848304</v>
      </c>
      <c r="E113" s="750">
        <f t="shared" ref="E113:E118" si="62">100*((B113/$B$112)-1)</f>
        <v>-0.58689256180848304</v>
      </c>
      <c r="F113" s="751">
        <f t="shared" ref="F113:F118" si="63">100*((B113/B101)-1)</f>
        <v>4.4677442699658343</v>
      </c>
      <c r="G113" s="840">
        <f t="shared" ref="G113:G118" si="64">100*(B113/B89-1)</f>
        <v>13.368829146319205</v>
      </c>
      <c r="H113" s="842">
        <f>$B$253/B113</f>
        <v>1.8664139323352003</v>
      </c>
    </row>
    <row r="114" spans="1:8" ht="16.5" hidden="1" thickBot="1">
      <c r="A114" s="973" t="s">
        <v>460</v>
      </c>
      <c r="B114" s="748">
        <f>geral!I1594</f>
        <v>612.84</v>
      </c>
      <c r="C114" s="748">
        <f t="shared" si="47"/>
        <v>219.90813836658532</v>
      </c>
      <c r="D114" s="750">
        <f t="shared" si="61"/>
        <v>-0.13267005619241878</v>
      </c>
      <c r="E114" s="750">
        <f t="shared" si="62"/>
        <v>-0.71878398730936821</v>
      </c>
      <c r="F114" s="751">
        <f t="shared" si="63"/>
        <v>3.9797767246050997</v>
      </c>
      <c r="G114" s="840">
        <f t="shared" si="64"/>
        <v>10.058725284198044</v>
      </c>
      <c r="H114" s="842">
        <f>$B$253/B114</f>
        <v>1.86889339425153</v>
      </c>
    </row>
    <row r="115" spans="1:8" ht="16.5" hidden="1" thickBot="1">
      <c r="A115" s="973" t="s">
        <v>461</v>
      </c>
      <c r="B115" s="748">
        <f>geral!I1595</f>
        <v>612.22721764750008</v>
      </c>
      <c r="C115" s="748">
        <f t="shared" si="47"/>
        <v>219.68825091413092</v>
      </c>
      <c r="D115" s="750">
        <f t="shared" si="61"/>
        <v>-9.9990593384891024E-2</v>
      </c>
      <c r="E115" s="750">
        <f t="shared" si="62"/>
        <v>-0.81805586432018851</v>
      </c>
      <c r="F115" s="751">
        <f t="shared" si="63"/>
        <v>3.1982740192276093</v>
      </c>
      <c r="G115" s="840">
        <f t="shared" si="64"/>
        <v>10.305247941102301</v>
      </c>
      <c r="H115" s="842">
        <f>$B$253/B115</f>
        <v>1.8707639822582209</v>
      </c>
    </row>
    <row r="116" spans="1:8" ht="16.5" hidden="1" thickBot="1">
      <c r="A116" s="973" t="s">
        <v>462</v>
      </c>
      <c r="B116" s="748">
        <f>geral!I1596</f>
        <v>613.84923728916669</v>
      </c>
      <c r="C116" s="748">
        <f t="shared" si="47"/>
        <v>220.2702875302019</v>
      </c>
      <c r="D116" s="750">
        <f t="shared" si="61"/>
        <v>0.26493752562966044</v>
      </c>
      <c r="E116" s="750">
        <f t="shared" si="62"/>
        <v>-0.55528567565572562</v>
      </c>
      <c r="F116" s="751">
        <f t="shared" si="63"/>
        <v>3.3303725892410707</v>
      </c>
      <c r="G116" s="840">
        <f t="shared" si="64"/>
        <v>11.142155182626912</v>
      </c>
      <c r="H116" s="842">
        <f>$B$253/B116</f>
        <v>1.8658207230020138</v>
      </c>
    </row>
    <row r="117" spans="1:8" ht="16.5" hidden="1" thickBot="1">
      <c r="A117" s="973" t="s">
        <v>463</v>
      </c>
      <c r="B117" s="748">
        <f>geral!I1597</f>
        <v>615.57312624888903</v>
      </c>
      <c r="C117" s="748">
        <f t="shared" si="47"/>
        <v>220.88887837264568</v>
      </c>
      <c r="D117" s="750">
        <f t="shared" si="61"/>
        <v>0.28083263039231365</v>
      </c>
      <c r="E117" s="750">
        <f t="shared" si="62"/>
        <v>-0.27601246863254714</v>
      </c>
      <c r="F117" s="751">
        <f t="shared" si="63"/>
        <v>2.910951412455387</v>
      </c>
      <c r="G117" s="840">
        <f t="shared" si="64"/>
        <v>10.094812699888944</v>
      </c>
      <c r="H117" s="842">
        <f>$B$253/B117</f>
        <v>1.8605955635399618</v>
      </c>
    </row>
    <row r="118" spans="1:8" ht="16.5" hidden="1" thickBot="1">
      <c r="A118" s="973" t="s">
        <v>464</v>
      </c>
      <c r="B118" s="748">
        <f>geral!I1598</f>
        <v>614.66230373527787</v>
      </c>
      <c r="C118" s="748">
        <f t="shared" si="47"/>
        <v>220.56204382635204</v>
      </c>
      <c r="D118" s="750">
        <f t="shared" si="61"/>
        <v>-0.14796333283121355</v>
      </c>
      <c r="E118" s="750">
        <f t="shared" si="62"/>
        <v>-0.42356740421614081</v>
      </c>
      <c r="F118" s="751">
        <f t="shared" si="63"/>
        <v>2.2766654023890665</v>
      </c>
      <c r="G118" s="840">
        <f t="shared" si="64"/>
        <v>9.0138417118529102</v>
      </c>
      <c r="H118" s="842">
        <f>$B$253/B118</f>
        <v>1.8633526422117768</v>
      </c>
    </row>
    <row r="119" spans="1:8" ht="16.5" hidden="1" thickBot="1">
      <c r="A119" s="973" t="s">
        <v>465</v>
      </c>
      <c r="B119" s="748">
        <f>geral!I1599</f>
        <v>614.32000000000005</v>
      </c>
      <c r="C119" s="748">
        <f t="shared" si="47"/>
        <v>220.4392134347639</v>
      </c>
      <c r="D119" s="750">
        <f t="shared" ref="D119:D124" si="65">100*((B119/B118)-1)</f>
        <v>-5.5689723153296011E-2</v>
      </c>
      <c r="E119" s="750">
        <f t="shared" ref="E119:E124" si="66">100*((B119/$B$112)-1)</f>
        <v>-0.47902124385466038</v>
      </c>
      <c r="F119" s="751">
        <f t="shared" ref="F119:F124" si="67">100*((B119/B107)-1)</f>
        <v>1.6261642045360514</v>
      </c>
      <c r="G119" s="840">
        <f t="shared" ref="G119:G124" si="68">100*(B119/B95-1)</f>
        <v>8.9531322052048168</v>
      </c>
      <c r="H119" s="842">
        <f>$B$253/B119</f>
        <v>1.8643909163515882</v>
      </c>
    </row>
    <row r="120" spans="1:8" ht="16.5" hidden="1" thickBot="1">
      <c r="A120" s="973" t="s">
        <v>466</v>
      </c>
      <c r="B120" s="748">
        <f>geral!I1600</f>
        <v>615.9</v>
      </c>
      <c r="C120" s="748">
        <f t="shared" si="47"/>
        <v>221.00617195349506</v>
      </c>
      <c r="D120" s="750">
        <f t="shared" si="65"/>
        <v>0.25719494725875425</v>
      </c>
      <c r="E120" s="750">
        <f t="shared" si="66"/>
        <v>-0.22305831503139917</v>
      </c>
      <c r="F120" s="751">
        <f t="shared" si="67"/>
        <v>1.1348618267992716</v>
      </c>
      <c r="G120" s="840">
        <f t="shared" si="68"/>
        <v>7.4178123642251625</v>
      </c>
      <c r="H120" s="842">
        <f>$B$253/B120</f>
        <v>1.8596080982839873</v>
      </c>
    </row>
    <row r="121" spans="1:8" ht="16.5" hidden="1" thickBot="1">
      <c r="A121" s="973" t="s">
        <v>467</v>
      </c>
      <c r="B121" s="748">
        <f>geral!I1601</f>
        <v>617.40870276583337</v>
      </c>
      <c r="C121" s="748">
        <f t="shared" si="47"/>
        <v>221.54754656445866</v>
      </c>
      <c r="D121" s="750">
        <f t="shared" si="65"/>
        <v>0.24495904624668441</v>
      </c>
      <c r="E121" s="750">
        <f t="shared" si="66"/>
        <v>2.1354329694212026E-2</v>
      </c>
      <c r="F121" s="751">
        <f t="shared" si="67"/>
        <v>1.0486117750045709</v>
      </c>
      <c r="G121" s="840">
        <f t="shared" si="68"/>
        <v>7.6403719351700428</v>
      </c>
      <c r="H121" s="842">
        <f>$B$253/B121</f>
        <v>1.8550639513215639</v>
      </c>
    </row>
    <row r="122" spans="1:8" ht="16.5" hidden="1" thickBot="1">
      <c r="A122" s="973" t="s">
        <v>468</v>
      </c>
      <c r="B122" s="748">
        <f>geral!I1602</f>
        <v>621.34555738305562</v>
      </c>
      <c r="C122" s="748">
        <f t="shared" si="47"/>
        <v>222.96022584435755</v>
      </c>
      <c r="D122" s="750">
        <f t="shared" si="65"/>
        <v>0.63764158159516082</v>
      </c>
      <c r="E122" s="750">
        <f t="shared" si="66"/>
        <v>0.65913207537497964</v>
      </c>
      <c r="F122" s="751">
        <f t="shared" si="67"/>
        <v>0.77794903234629231</v>
      </c>
      <c r="G122" s="840">
        <f t="shared" si="68"/>
        <v>7.9453995315737824</v>
      </c>
      <c r="H122" s="842">
        <f>$B$253/B122</f>
        <v>1.8433102387614198</v>
      </c>
    </row>
    <row r="123" spans="1:8" ht="16.5" hidden="1" thickBot="1">
      <c r="A123" s="973" t="s">
        <v>469</v>
      </c>
      <c r="B123" s="748">
        <f>geral!I1603</f>
        <v>623.94563701672234</v>
      </c>
      <c r="C123" s="748">
        <f t="shared" si="47"/>
        <v>223.89322413403269</v>
      </c>
      <c r="D123" s="750">
        <f t="shared" si="65"/>
        <v>0.41845951946892779</v>
      </c>
      <c r="E123" s="750">
        <f t="shared" si="66"/>
        <v>1.0803497957591945</v>
      </c>
      <c r="F123" s="751">
        <f t="shared" si="67"/>
        <v>0.91516616382292248</v>
      </c>
      <c r="G123" s="840">
        <f t="shared" si="68"/>
        <v>8.0566403292268607</v>
      </c>
      <c r="H123" s="842">
        <f>$B$253/B123</f>
        <v>1.8356288749918956</v>
      </c>
    </row>
    <row r="124" spans="1:8" ht="16.5" hidden="1" thickBot="1">
      <c r="A124" s="973" t="s">
        <v>470</v>
      </c>
      <c r="B124" s="748">
        <f>geral!I1604</f>
        <v>625.88238445561126</v>
      </c>
      <c r="C124" s="748">
        <f t="shared" si="47"/>
        <v>224.58819594359525</v>
      </c>
      <c r="D124" s="750">
        <f t="shared" si="65"/>
        <v>0.3104032345107921</v>
      </c>
      <c r="E124" s="750">
        <f t="shared" si="66"/>
        <v>1.394106470980061</v>
      </c>
      <c r="F124" s="751">
        <f t="shared" si="67"/>
        <v>1.394106470980061</v>
      </c>
      <c r="G124" s="840">
        <f t="shared" si="68"/>
        <v>8.1491005373116376</v>
      </c>
      <c r="H124" s="842">
        <f>$B$253/B124</f>
        <v>1.8299486551763415</v>
      </c>
    </row>
    <row r="125" spans="1:8" ht="16.5" hidden="1" thickBot="1">
      <c r="A125" s="973" t="s">
        <v>471</v>
      </c>
      <c r="B125" s="748">
        <f>geral!K1593</f>
        <v>624.97107936703344</v>
      </c>
      <c r="C125" s="748">
        <f t="shared" si="47"/>
        <v>224.26118823275206</v>
      </c>
      <c r="D125" s="750">
        <f t="shared" ref="D125:D130" si="69">100*((B125/B124)-1)</f>
        <v>-0.14560324930226187</v>
      </c>
      <c r="E125" s="750">
        <f t="shared" ref="E125:E130" si="70">100*((B125/$B$124)-1)</f>
        <v>-0.14560324930226187</v>
      </c>
      <c r="F125" s="751">
        <f t="shared" ref="F125:F130" si="71">100*((B125/B113)-1)</f>
        <v>1.8441893291643474</v>
      </c>
      <c r="G125" s="840">
        <f t="shared" ref="G125:G130" si="72">100*(B125/B101-1)</f>
        <v>6.3943272622112524</v>
      </c>
      <c r="H125" s="842">
        <f>$B$253/B125</f>
        <v>1.832617005083008</v>
      </c>
    </row>
    <row r="126" spans="1:8" ht="16.5" hidden="1" thickBot="1">
      <c r="A126" s="973" t="s">
        <v>472</v>
      </c>
      <c r="B126" s="748">
        <f>geral!K1594</f>
        <v>631.77126267614449</v>
      </c>
      <c r="C126" s="748">
        <f t="shared" si="47"/>
        <v>226.70132864796341</v>
      </c>
      <c r="D126" s="750">
        <f t="shared" si="69"/>
        <v>1.0880796781825852</v>
      </c>
      <c r="E126" s="750">
        <f t="shared" si="70"/>
        <v>0.94089214951389444</v>
      </c>
      <c r="F126" s="751">
        <f t="shared" si="71"/>
        <v>3.0891036283768214</v>
      </c>
      <c r="G126" s="840">
        <f t="shared" si="72"/>
        <v>7.1918197801829731</v>
      </c>
      <c r="H126" s="842">
        <f>$B$253/B126</f>
        <v>1.8128913032250766</v>
      </c>
    </row>
    <row r="127" spans="1:8" ht="16.5" hidden="1" thickBot="1">
      <c r="A127" s="973" t="s">
        <v>473</v>
      </c>
      <c r="B127" s="748">
        <f>geral!K1595</f>
        <v>601.94705948043338</v>
      </c>
      <c r="C127" s="748">
        <f t="shared" si="47"/>
        <v>215.99937544152195</v>
      </c>
      <c r="D127" s="750">
        <f t="shared" si="69"/>
        <v>-4.720728047897838</v>
      </c>
      <c r="E127" s="750">
        <f t="shared" si="70"/>
        <v>-3.8242528579865209</v>
      </c>
      <c r="F127" s="751">
        <f t="shared" si="71"/>
        <v>-1.6791409905898114</v>
      </c>
      <c r="G127" s="840">
        <f t="shared" si="72"/>
        <v>1.4654294985895655</v>
      </c>
      <c r="H127" s="842">
        <f>$B$253/B127</f>
        <v>1.9027132198663683</v>
      </c>
    </row>
    <row r="128" spans="1:8" ht="16.5" hidden="1" thickBot="1">
      <c r="A128" s="973" t="s">
        <v>474</v>
      </c>
      <c r="B128" s="748">
        <f>geral!K1596</f>
        <v>600.5119884187668</v>
      </c>
      <c r="C128" s="748">
        <f t="shared" si="47"/>
        <v>215.48442242671408</v>
      </c>
      <c r="D128" s="750">
        <f t="shared" si="69"/>
        <v>-0.23840486286372808</v>
      </c>
      <c r="E128" s="750">
        <f t="shared" si="70"/>
        <v>-4.0535405160685993</v>
      </c>
      <c r="F128" s="751">
        <f t="shared" si="71"/>
        <v>-2.1727238644620339</v>
      </c>
      <c r="G128" s="840">
        <f t="shared" si="72"/>
        <v>1.0852889247570996</v>
      </c>
      <c r="H128" s="842">
        <f>$B$253/B128</f>
        <v>1.9072602209806517</v>
      </c>
    </row>
    <row r="129" spans="1:8" ht="16.5" hidden="1" thickBot="1">
      <c r="A129" s="973" t="s">
        <v>475</v>
      </c>
      <c r="B129" s="748">
        <f>geral!K1597</f>
        <v>609.81431982319339</v>
      </c>
      <c r="C129" s="748">
        <f t="shared" si="47"/>
        <v>218.82241991646094</v>
      </c>
      <c r="D129" s="750">
        <f t="shared" si="69"/>
        <v>1.5490667270308789</v>
      </c>
      <c r="E129" s="750">
        <f t="shared" si="70"/>
        <v>-2.5672658364388701</v>
      </c>
      <c r="F129" s="751">
        <f t="shared" si="71"/>
        <v>-0.93551946635292982</v>
      </c>
      <c r="G129" s="840">
        <f t="shared" si="72"/>
        <v>1.9481994289828775</v>
      </c>
      <c r="H129" s="842">
        <f>$B$253/B129</f>
        <v>1.878166173705432</v>
      </c>
    </row>
    <row r="130" spans="1:8" ht="16.5" hidden="1" thickBot="1">
      <c r="A130" s="973" t="s">
        <v>476</v>
      </c>
      <c r="B130" s="748">
        <f>geral!K1598</f>
        <v>610.85904072263781</v>
      </c>
      <c r="C130" s="748">
        <f t="shared" si="47"/>
        <v>219.19730182382582</v>
      </c>
      <c r="D130" s="750">
        <f t="shared" si="69"/>
        <v>0.17131786930606463</v>
      </c>
      <c r="E130" s="750">
        <f t="shared" si="70"/>
        <v>-2.4003461522631997</v>
      </c>
      <c r="F130" s="751">
        <f t="shared" si="71"/>
        <v>-0.61875650898514101</v>
      </c>
      <c r="G130" s="840">
        <f t="shared" si="72"/>
        <v>1.6438218780388425</v>
      </c>
      <c r="H130" s="842">
        <f>$B$253/B130</f>
        <v>1.8749540423895421</v>
      </c>
    </row>
    <row r="131" spans="1:8" ht="16.5" hidden="1" thickBot="1">
      <c r="A131" s="973" t="s">
        <v>477</v>
      </c>
      <c r="B131" s="748">
        <f>geral!K1599</f>
        <v>613.54682267302667</v>
      </c>
      <c r="C131" s="748">
        <f t="shared" si="47"/>
        <v>220.16177073095545</v>
      </c>
      <c r="D131" s="750">
        <f t="shared" ref="D131:D136" si="73">100*((B131/B130)-1)</f>
        <v>0.44000035543538818</v>
      </c>
      <c r="E131" s="750">
        <f t="shared" ref="E131:E136" si="74">100*((B131/$B$124)-1)</f>
        <v>-1.9709073284294387</v>
      </c>
      <c r="F131" s="751">
        <f t="shared" ref="F131:F136" si="75">100*((B131/B119)-1)</f>
        <v>-0.12585905179277601</v>
      </c>
      <c r="G131" s="840">
        <f t="shared" ref="G131:G136" si="76">100*(B131/B107-1)</f>
        <v>1.4982584778948649</v>
      </c>
      <c r="H131" s="842">
        <f>$B$253/B131</f>
        <v>1.8667403780908862</v>
      </c>
    </row>
    <row r="132" spans="1:8" ht="16.5" hidden="1" thickBot="1">
      <c r="A132" s="973" t="s">
        <v>478</v>
      </c>
      <c r="B132" s="748">
        <f>geral!K1600</f>
        <v>619.53566288957791</v>
      </c>
      <c r="C132" s="748">
        <f t="shared" si="47"/>
        <v>222.31077324873615</v>
      </c>
      <c r="D132" s="750">
        <f t="shared" si="73"/>
        <v>0.97610157778338369</v>
      </c>
      <c r="E132" s="750">
        <f t="shared" si="74"/>
        <v>-1.0140438081755132</v>
      </c>
      <c r="F132" s="751">
        <f t="shared" si="75"/>
        <v>0.59030084260074389</v>
      </c>
      <c r="G132" s="840">
        <f t="shared" si="76"/>
        <v>1.7318617683259596</v>
      </c>
      <c r="H132" s="842">
        <f>$B$253/B132</f>
        <v>1.8486952347362198</v>
      </c>
    </row>
    <row r="133" spans="1:8" ht="16.5" hidden="1" thickBot="1">
      <c r="A133" s="973" t="s">
        <v>479</v>
      </c>
      <c r="B133" s="748">
        <f>geral!K1601</f>
        <v>619.53566288957791</v>
      </c>
      <c r="C133" s="748">
        <f t="shared" si="47"/>
        <v>222.31077324873615</v>
      </c>
      <c r="D133" s="750">
        <f t="shared" si="73"/>
        <v>0</v>
      </c>
      <c r="E133" s="750">
        <f t="shared" si="74"/>
        <v>-1.0140438081755132</v>
      </c>
      <c r="F133" s="751">
        <f t="shared" si="75"/>
        <v>0.34449791754089798</v>
      </c>
      <c r="G133" s="840">
        <f t="shared" si="76"/>
        <v>1.3967221382734429</v>
      </c>
      <c r="H133" s="842">
        <f>$B$253/B133</f>
        <v>1.8486952347362198</v>
      </c>
    </row>
    <row r="134" spans="1:8" ht="16.5" hidden="1" thickBot="1">
      <c r="A134" s="973" t="s">
        <v>480</v>
      </c>
      <c r="B134" s="748">
        <f>geral!K1602</f>
        <v>619.74306473473337</v>
      </c>
      <c r="C134" s="748">
        <f t="shared" si="47"/>
        <v>222.38519618728768</v>
      </c>
      <c r="D134" s="750">
        <f t="shared" si="73"/>
        <v>3.3476982452973481E-2</v>
      </c>
      <c r="E134" s="750">
        <f t="shared" si="74"/>
        <v>-0.98090629699025822</v>
      </c>
      <c r="F134" s="751">
        <f t="shared" si="75"/>
        <v>-0.25790683288563487</v>
      </c>
      <c r="G134" s="840">
        <f t="shared" si="76"/>
        <v>0.51803581574985103</v>
      </c>
      <c r="H134" s="842">
        <f>$B$253/B134</f>
        <v>1.8480765544723616</v>
      </c>
    </row>
    <row r="135" spans="1:8" ht="16.5" hidden="1" thickBot="1">
      <c r="A135" s="973" t="s">
        <v>481</v>
      </c>
      <c r="B135" s="748">
        <f>geral!K1603</f>
        <v>627.44313263677509</v>
      </c>
      <c r="C135" s="748">
        <f t="shared" si="47"/>
        <v>225.14824624543388</v>
      </c>
      <c r="D135" s="750">
        <f t="shared" si="73"/>
        <v>1.2424613263462003</v>
      </c>
      <c r="E135" s="750">
        <f t="shared" si="74"/>
        <v>0.24936764796812394</v>
      </c>
      <c r="F135" s="751">
        <f t="shared" si="75"/>
        <v>0.56054492772406039</v>
      </c>
      <c r="G135" s="840">
        <f t="shared" si="76"/>
        <v>1.4808410090585422</v>
      </c>
      <c r="H135" s="842">
        <f>$B$253/B135</f>
        <v>1.8253967063436445</v>
      </c>
    </row>
    <row r="136" spans="1:8" ht="16.5" hidden="1" thickBot="1">
      <c r="A136" s="1015" t="s">
        <v>482</v>
      </c>
      <c r="B136" s="755">
        <f>geral!K1604</f>
        <v>629.37824066642781</v>
      </c>
      <c r="C136" s="755">
        <f t="shared" si="47"/>
        <v>225.84262977839379</v>
      </c>
      <c r="D136" s="756">
        <f t="shared" si="73"/>
        <v>0.30841169964210824</v>
      </c>
      <c r="E136" s="756">
        <f t="shared" si="74"/>
        <v>0.55854842661169357</v>
      </c>
      <c r="F136" s="757">
        <f t="shared" si="75"/>
        <v>0.55854842661169357</v>
      </c>
      <c r="G136" s="841">
        <f t="shared" si="76"/>
        <v>1.96044165735072</v>
      </c>
      <c r="H136" s="922">
        <f>$B$253/B136</f>
        <v>1.8197842787198251</v>
      </c>
    </row>
    <row r="137" spans="1:8" ht="16.5" customHeight="1">
      <c r="A137" s="1013" t="s">
        <v>483</v>
      </c>
      <c r="B137" s="852">
        <f>geral!M1593</f>
        <v>636.11965907742785</v>
      </c>
      <c r="C137" s="852">
        <f t="shared" si="47"/>
        <v>228.26168332044921</v>
      </c>
      <c r="D137" s="967">
        <f t="shared" ref="D137:D142" si="77">100*((B137/B136)-1)</f>
        <v>1.0711235272229613</v>
      </c>
      <c r="E137" s="967">
        <f t="shared" ref="E137:E142" si="78">100*((B137/$B$136)-1)</f>
        <v>1.0711235272229613</v>
      </c>
      <c r="F137" s="968">
        <f t="shared" ref="F137:F142" si="79">100*((B137/B125)-1)</f>
        <v>1.7838552980220523</v>
      </c>
      <c r="G137" s="969">
        <f t="shared" ref="G137:G142" si="80">100*(B137/B113-1)</f>
        <v>3.6609422962402549</v>
      </c>
      <c r="H137" s="856">
        <f>$B$253/B137</f>
        <v>1.8004987133933223</v>
      </c>
    </row>
    <row r="138" spans="1:8">
      <c r="A138" s="1014" t="s">
        <v>484</v>
      </c>
      <c r="B138" s="857">
        <f>geral!M1594</f>
        <v>643.36147440312232</v>
      </c>
      <c r="C138" s="857">
        <f t="shared" si="47"/>
        <v>230.86029654195576</v>
      </c>
      <c r="D138" s="961">
        <f t="shared" si="77"/>
        <v>1.1384360194428345</v>
      </c>
      <c r="E138" s="961">
        <f t="shared" si="78"/>
        <v>2.2217536027124396</v>
      </c>
      <c r="F138" s="965">
        <f t="shared" si="79"/>
        <v>1.8345582351882328</v>
      </c>
      <c r="G138" s="966">
        <f t="shared" si="80"/>
        <v>4.9803332685729229</v>
      </c>
      <c r="H138" s="861">
        <f>$B$253/B138</f>
        <v>1.7802319120766261</v>
      </c>
    </row>
    <row r="139" spans="1:8">
      <c r="A139" s="1014" t="s">
        <v>485</v>
      </c>
      <c r="B139" s="857">
        <f>geral!M1595</f>
        <v>643.36147440312232</v>
      </c>
      <c r="C139" s="857">
        <f t="shared" si="47"/>
        <v>230.86029654195576</v>
      </c>
      <c r="D139" s="961">
        <f t="shared" si="77"/>
        <v>0</v>
      </c>
      <c r="E139" s="961">
        <f t="shared" si="78"/>
        <v>2.2217536027124396</v>
      </c>
      <c r="F139" s="965">
        <f t="shared" si="79"/>
        <v>6.8800759585794014</v>
      </c>
      <c r="G139" s="966">
        <f t="shared" si="80"/>
        <v>5.0854087923853708</v>
      </c>
      <c r="H139" s="861">
        <f t="shared" ref="H139:H202" si="81">$B$253/B139</f>
        <v>1.7802319120766261</v>
      </c>
    </row>
    <row r="140" spans="1:8">
      <c r="A140" s="1014" t="s">
        <v>486</v>
      </c>
      <c r="B140" s="857">
        <f>geral!M1596</f>
        <v>644.11949129912239</v>
      </c>
      <c r="C140" s="857">
        <f t="shared" si="47"/>
        <v>231.13229916001234</v>
      </c>
      <c r="D140" s="961">
        <f t="shared" si="77"/>
        <v>0.11782130670838775</v>
      </c>
      <c r="E140" s="961">
        <f t="shared" si="78"/>
        <v>2.3421926085473777</v>
      </c>
      <c r="F140" s="965">
        <f t="shared" si="79"/>
        <v>7.2617206186308403</v>
      </c>
      <c r="G140" s="966">
        <f t="shared" si="80"/>
        <v>4.9312196173172396</v>
      </c>
      <c r="H140" s="861">
        <f t="shared" si="81"/>
        <v>1.7781368879601676</v>
      </c>
    </row>
    <row r="141" spans="1:8">
      <c r="A141" s="1014" t="s">
        <v>487</v>
      </c>
      <c r="B141" s="857">
        <f>geral!M1597</f>
        <v>644.11949129912239</v>
      </c>
      <c r="C141" s="857">
        <f t="shared" si="47"/>
        <v>231.13229916001234</v>
      </c>
      <c r="D141" s="961">
        <f t="shared" si="77"/>
        <v>0</v>
      </c>
      <c r="E141" s="961">
        <f t="shared" si="78"/>
        <v>2.3421926085473777</v>
      </c>
      <c r="F141" s="965">
        <f t="shared" si="79"/>
        <v>5.6255109728934105</v>
      </c>
      <c r="G141" s="966">
        <f t="shared" si="80"/>
        <v>4.6373637563072334</v>
      </c>
      <c r="H141" s="861">
        <f t="shared" si="81"/>
        <v>1.7781368879601676</v>
      </c>
    </row>
    <row r="142" spans="1:8">
      <c r="A142" s="1014" t="s">
        <v>488</v>
      </c>
      <c r="B142" s="857">
        <f>geral!M1598</f>
        <v>646.21</v>
      </c>
      <c r="C142" s="857">
        <f t="shared" si="47"/>
        <v>231.88244581598966</v>
      </c>
      <c r="D142" s="961">
        <f t="shared" si="77"/>
        <v>0.32455293297541932</v>
      </c>
      <c r="E142" s="961">
        <f t="shared" si="78"/>
        <v>2.6743471963297738</v>
      </c>
      <c r="F142" s="965">
        <f t="shared" si="79"/>
        <v>5.7870894790298166</v>
      </c>
      <c r="G142" s="966">
        <f t="shared" si="80"/>
        <v>5.1325249772123716</v>
      </c>
      <c r="H142" s="861">
        <f t="shared" si="81"/>
        <v>1.7723845618809795</v>
      </c>
    </row>
    <row r="143" spans="1:8">
      <c r="A143" s="1014" t="s">
        <v>489</v>
      </c>
      <c r="B143" s="857">
        <f>geral!M1599</f>
        <v>646.21</v>
      </c>
      <c r="C143" s="857">
        <f t="shared" si="47"/>
        <v>231.88244581598966</v>
      </c>
      <c r="D143" s="961">
        <f t="shared" ref="D143:D148" si="82">100*((B143/B142)-1)</f>
        <v>0</v>
      </c>
      <c r="E143" s="961">
        <f t="shared" ref="E143:E148" si="83">100*((B143/$B$136)-1)</f>
        <v>2.6743471963297738</v>
      </c>
      <c r="F143" s="965">
        <f t="shared" ref="F143:F148" si="84">100*((B143/B131)-1)</f>
        <v>5.3236649787656631</v>
      </c>
      <c r="G143" s="966">
        <f t="shared" ref="G143:G148" si="85">100*(B143/B119-1)</f>
        <v>5.1911056127099897</v>
      </c>
      <c r="H143" s="861">
        <f t="shared" si="81"/>
        <v>1.7723845618809795</v>
      </c>
    </row>
    <row r="144" spans="1:8">
      <c r="A144" s="1014" t="s">
        <v>490</v>
      </c>
      <c r="B144" s="857">
        <f>geral!M1600</f>
        <v>646.21</v>
      </c>
      <c r="C144" s="857">
        <f t="shared" si="47"/>
        <v>231.88244581598966</v>
      </c>
      <c r="D144" s="961">
        <f t="shared" si="82"/>
        <v>0</v>
      </c>
      <c r="E144" s="961">
        <f t="shared" si="83"/>
        <v>2.6743471963297738</v>
      </c>
      <c r="F144" s="965">
        <f t="shared" si="84"/>
        <v>4.3055369865247606</v>
      </c>
      <c r="G144" s="966">
        <f t="shared" si="85"/>
        <v>4.921253450235441</v>
      </c>
      <c r="H144" s="861">
        <f t="shared" si="81"/>
        <v>1.7723845618809795</v>
      </c>
    </row>
    <row r="145" spans="1:8">
      <c r="A145" s="1014" t="s">
        <v>491</v>
      </c>
      <c r="B145" s="857">
        <f>geral!M1601</f>
        <v>646.21</v>
      </c>
      <c r="C145" s="857">
        <f t="shared" si="47"/>
        <v>231.88244581598966</v>
      </c>
      <c r="D145" s="961">
        <f t="shared" si="82"/>
        <v>0</v>
      </c>
      <c r="E145" s="961">
        <f t="shared" si="83"/>
        <v>2.6743471963297738</v>
      </c>
      <c r="F145" s="965">
        <f t="shared" si="84"/>
        <v>4.3055369865247606</v>
      </c>
      <c r="G145" s="966">
        <f t="shared" si="85"/>
        <v>4.6648673893231907</v>
      </c>
      <c r="H145" s="861">
        <f t="shared" si="81"/>
        <v>1.7723845618809795</v>
      </c>
    </row>
    <row r="146" spans="1:8">
      <c r="A146" s="1014" t="s">
        <v>492</v>
      </c>
      <c r="B146" s="857">
        <f>geral!M1602</f>
        <v>646.20893309801113</v>
      </c>
      <c r="C146" s="857">
        <f t="shared" si="47"/>
        <v>231.88206297474204</v>
      </c>
      <c r="D146" s="961">
        <f t="shared" si="82"/>
        <v>-1.6510143590053872E-4</v>
      </c>
      <c r="E146" s="961">
        <f t="shared" si="83"/>
        <v>2.6741776795082384</v>
      </c>
      <c r="F146" s="965">
        <f t="shared" si="84"/>
        <v>4.2704581735990566</v>
      </c>
      <c r="G146" s="966">
        <f t="shared" si="85"/>
        <v>4.0015375372882023</v>
      </c>
      <c r="H146" s="861">
        <f t="shared" si="81"/>
        <v>1.7723874881181718</v>
      </c>
    </row>
    <row r="147" spans="1:8">
      <c r="A147" s="1014" t="s">
        <v>493</v>
      </c>
      <c r="B147" s="857">
        <f>geral!M1603</f>
        <v>646.20893309801113</v>
      </c>
      <c r="C147" s="857">
        <f t="shared" si="47"/>
        <v>231.88206297474204</v>
      </c>
      <c r="D147" s="961">
        <f t="shared" si="82"/>
        <v>0</v>
      </c>
      <c r="E147" s="961">
        <f t="shared" si="83"/>
        <v>2.6741776795082384</v>
      </c>
      <c r="F147" s="965">
        <f t="shared" si="84"/>
        <v>2.9908368559831811</v>
      </c>
      <c r="G147" s="966">
        <f t="shared" si="85"/>
        <v>3.5681467679999246</v>
      </c>
      <c r="H147" s="861">
        <f t="shared" si="81"/>
        <v>1.7723874881181718</v>
      </c>
    </row>
    <row r="148" spans="1:8">
      <c r="A148" s="1014" t="s">
        <v>494</v>
      </c>
      <c r="B148" s="857">
        <f>geral!M1604</f>
        <v>646.20893309801113</v>
      </c>
      <c r="C148" s="857">
        <f t="shared" si="47"/>
        <v>231.88206297474204</v>
      </c>
      <c r="D148" s="961">
        <f t="shared" si="82"/>
        <v>0</v>
      </c>
      <c r="E148" s="961">
        <f t="shared" si="83"/>
        <v>2.6741776795082384</v>
      </c>
      <c r="F148" s="965">
        <f t="shared" si="84"/>
        <v>2.6741776795082384</v>
      </c>
      <c r="G148" s="966">
        <f t="shared" si="85"/>
        <v>3.2476626834736289</v>
      </c>
      <c r="H148" s="861">
        <f t="shared" si="81"/>
        <v>1.7723874881181718</v>
      </c>
    </row>
    <row r="149" spans="1:8">
      <c r="A149" s="1014" t="s">
        <v>495</v>
      </c>
      <c r="B149" s="857">
        <f>geral!C1608</f>
        <v>649.92813950003335</v>
      </c>
      <c r="C149" s="857">
        <f t="shared" ref="C149:C154" si="86">100*B149/$B$8</f>
        <v>233.21664256496101</v>
      </c>
      <c r="D149" s="961">
        <f t="shared" ref="D149:D154" si="87">100*((B149/B148)-1)</f>
        <v>0.57554239991575162</v>
      </c>
      <c r="E149" s="961">
        <f t="shared" ref="E149:E154" si="88">100*((B149/$B$148)-1)</f>
        <v>0.57554239991575162</v>
      </c>
      <c r="F149" s="965">
        <f t="shared" ref="F149:F154" si="89">100*((B149/B137)-1)</f>
        <v>2.1707363112518863</v>
      </c>
      <c r="G149" s="966">
        <f t="shared" ref="G149:G154" si="90">100*(B149/B125-1)</f>
        <v>3.9933144039683066</v>
      </c>
      <c r="H149" s="861">
        <f t="shared" si="81"/>
        <v>1.7622450208328746</v>
      </c>
    </row>
    <row r="150" spans="1:8">
      <c r="A150" s="1014" t="s">
        <v>496</v>
      </c>
      <c r="B150" s="857">
        <f>geral!C1609</f>
        <v>650.95687671603343</v>
      </c>
      <c r="C150" s="857">
        <f t="shared" si="86"/>
        <v>233.58578897518063</v>
      </c>
      <c r="D150" s="961">
        <f t="shared" si="87"/>
        <v>0.15828476311110506</v>
      </c>
      <c r="E150" s="961">
        <f t="shared" si="88"/>
        <v>0.73473815895117589</v>
      </c>
      <c r="F150" s="965">
        <f t="shared" si="89"/>
        <v>1.1805808422019171</v>
      </c>
      <c r="G150" s="966">
        <f t="shared" si="90"/>
        <v>3.0367975204538267</v>
      </c>
      <c r="H150" s="861">
        <f t="shared" si="81"/>
        <v>1.7594600636391089</v>
      </c>
    </row>
    <row r="151" spans="1:8">
      <c r="A151" s="1014" t="s">
        <v>497</v>
      </c>
      <c r="B151" s="857">
        <f>geral!C1610</f>
        <v>702.31776845169327</v>
      </c>
      <c r="C151" s="857">
        <f t="shared" si="86"/>
        <v>252.01584916452319</v>
      </c>
      <c r="D151" s="961">
        <f t="shared" si="87"/>
        <v>7.890060551286715</v>
      </c>
      <c r="E151" s="961">
        <f t="shared" si="88"/>
        <v>8.6827699958725404</v>
      </c>
      <c r="F151" s="965">
        <f t="shared" si="89"/>
        <v>9.1637899367952524</v>
      </c>
      <c r="G151" s="966">
        <f t="shared" si="90"/>
        <v>16.67434160371084</v>
      </c>
      <c r="H151" s="861">
        <f t="shared" si="81"/>
        <v>1.6307897638102913</v>
      </c>
    </row>
    <row r="152" spans="1:8">
      <c r="A152" s="1014" t="s">
        <v>498</v>
      </c>
      <c r="B152" s="857">
        <f>geral!C1611</f>
        <v>702.31776845169327</v>
      </c>
      <c r="C152" s="857">
        <f t="shared" si="86"/>
        <v>252.01584916452319</v>
      </c>
      <c r="D152" s="961">
        <f t="shared" si="87"/>
        <v>0</v>
      </c>
      <c r="E152" s="961">
        <f t="shared" si="88"/>
        <v>8.6827699958725404</v>
      </c>
      <c r="F152" s="965">
        <f t="shared" si="89"/>
        <v>9.0353230943517993</v>
      </c>
      <c r="G152" s="966">
        <f t="shared" si="90"/>
        <v>16.953163633085076</v>
      </c>
      <c r="H152" s="861">
        <f t="shared" si="81"/>
        <v>1.6307897638102913</v>
      </c>
    </row>
    <row r="153" spans="1:8">
      <c r="A153" s="1014" t="s">
        <v>499</v>
      </c>
      <c r="B153" s="857">
        <f>geral!C1612</f>
        <v>702.31776845169327</v>
      </c>
      <c r="C153" s="857">
        <f t="shared" si="86"/>
        <v>252.01584916452319</v>
      </c>
      <c r="D153" s="961">
        <f t="shared" si="87"/>
        <v>0</v>
      </c>
      <c r="E153" s="961">
        <f t="shared" si="88"/>
        <v>8.6827699958725404</v>
      </c>
      <c r="F153" s="965">
        <f t="shared" si="89"/>
        <v>9.0353230943517993</v>
      </c>
      <c r="G153" s="966">
        <f t="shared" si="90"/>
        <v>15.169117159354318</v>
      </c>
      <c r="H153" s="861">
        <f t="shared" si="81"/>
        <v>1.6307897638102913</v>
      </c>
    </row>
    <row r="154" spans="1:8">
      <c r="A154" s="1014" t="s">
        <v>500</v>
      </c>
      <c r="B154" s="857">
        <f>geral!C1613</f>
        <v>702.31776845169327</v>
      </c>
      <c r="C154" s="857">
        <f t="shared" si="86"/>
        <v>252.01584916452319</v>
      </c>
      <c r="D154" s="961">
        <f t="shared" si="87"/>
        <v>0</v>
      </c>
      <c r="E154" s="961">
        <f t="shared" si="88"/>
        <v>8.6827699958725404</v>
      </c>
      <c r="F154" s="965">
        <f t="shared" si="89"/>
        <v>8.6825905590587116</v>
      </c>
      <c r="G154" s="966">
        <f t="shared" si="90"/>
        <v>14.972149322839034</v>
      </c>
      <c r="H154" s="861">
        <f t="shared" si="81"/>
        <v>1.6307897638102913</v>
      </c>
    </row>
    <row r="155" spans="1:8">
      <c r="A155" s="1014" t="s">
        <v>501</v>
      </c>
      <c r="B155" s="857">
        <f>geral!C1614</f>
        <v>713.71472371836001</v>
      </c>
      <c r="C155" s="857">
        <f t="shared" ref="C155:C160" si="91">100*B155/$B$8</f>
        <v>256.1054699721401</v>
      </c>
      <c r="D155" s="961">
        <f t="shared" ref="D155:D160" si="92">100*((B155/B154)-1)</f>
        <v>1.6227633385656803</v>
      </c>
      <c r="E155" s="961">
        <f t="shared" ref="E155:E160" si="93">100*((B155/$B$148)-1)</f>
        <v>10.446434142703232</v>
      </c>
      <c r="F155" s="965">
        <f t="shared" ref="F155:F160" si="94">100*((B155/B143)-1)</f>
        <v>10.446251794054561</v>
      </c>
      <c r="G155" s="966">
        <f t="shared" ref="G155:G160" si="95">100*(B155/B131-1)</f>
        <v>16.326040221173987</v>
      </c>
      <c r="H155" s="861">
        <f t="shared" si="81"/>
        <v>1.6047484935802854</v>
      </c>
    </row>
    <row r="156" spans="1:8">
      <c r="A156" s="1014" t="s">
        <v>502</v>
      </c>
      <c r="B156" s="857">
        <f>geral!C1615</f>
        <v>713.71472371836001</v>
      </c>
      <c r="C156" s="857">
        <f t="shared" si="91"/>
        <v>256.1054699721401</v>
      </c>
      <c r="D156" s="961">
        <f t="shared" si="92"/>
        <v>0</v>
      </c>
      <c r="E156" s="961">
        <f t="shared" si="93"/>
        <v>10.446434142703232</v>
      </c>
      <c r="F156" s="965">
        <f t="shared" si="94"/>
        <v>10.446251794054561</v>
      </c>
      <c r="G156" s="966">
        <f t="shared" si="95"/>
        <v>15.20155601527784</v>
      </c>
      <c r="H156" s="861">
        <f t="shared" si="81"/>
        <v>1.6047484935802854</v>
      </c>
    </row>
    <row r="157" spans="1:8">
      <c r="A157" s="1014" t="s">
        <v>503</v>
      </c>
      <c r="B157" s="857">
        <f>geral!C1616</f>
        <v>712.29344203836001</v>
      </c>
      <c r="C157" s="857">
        <f t="shared" si="91"/>
        <v>255.59546506328408</v>
      </c>
      <c r="D157" s="961">
        <f t="shared" si="92"/>
        <v>-0.19913862398625026</v>
      </c>
      <c r="E157" s="961">
        <f t="shared" si="93"/>
        <v>10.226492633509565</v>
      </c>
      <c r="F157" s="965">
        <f t="shared" si="94"/>
        <v>10.226310647987491</v>
      </c>
      <c r="G157" s="966">
        <f t="shared" si="95"/>
        <v>14.972145221818266</v>
      </c>
      <c r="H157" s="861">
        <f t="shared" si="81"/>
        <v>1.6079505441683215</v>
      </c>
    </row>
    <row r="158" spans="1:8">
      <c r="A158" s="1014" t="s">
        <v>504</v>
      </c>
      <c r="B158" s="857">
        <f>geral!C1617</f>
        <v>712.29344203836001</v>
      </c>
      <c r="C158" s="857">
        <f t="shared" si="91"/>
        <v>255.59546506328408</v>
      </c>
      <c r="D158" s="961">
        <f t="shared" si="92"/>
        <v>0</v>
      </c>
      <c r="E158" s="961">
        <f t="shared" si="93"/>
        <v>10.226492633509565</v>
      </c>
      <c r="F158" s="965">
        <f t="shared" si="94"/>
        <v>10.226492633509565</v>
      </c>
      <c r="G158" s="966">
        <f t="shared" si="95"/>
        <v>14.933668897648843</v>
      </c>
      <c r="H158" s="861">
        <f t="shared" si="81"/>
        <v>1.6079505441683215</v>
      </c>
    </row>
    <row r="159" spans="1:8">
      <c r="A159" s="1014" t="s">
        <v>505</v>
      </c>
      <c r="B159" s="857">
        <f>geral!C1618</f>
        <v>721.92053151035998</v>
      </c>
      <c r="C159" s="857">
        <f t="shared" si="91"/>
        <v>259.0499969536242</v>
      </c>
      <c r="D159" s="961">
        <f t="shared" si="92"/>
        <v>1.3515622781041348</v>
      </c>
      <c r="E159" s="961">
        <f t="shared" si="93"/>
        <v>11.716272328421319</v>
      </c>
      <c r="F159" s="965">
        <f t="shared" si="94"/>
        <v>11.716272328421319</v>
      </c>
      <c r="G159" s="966">
        <f t="shared" si="95"/>
        <v>15.057523775350257</v>
      </c>
      <c r="H159" s="861">
        <f t="shared" si="81"/>
        <v>1.5865079018280721</v>
      </c>
    </row>
    <row r="160" spans="1:8">
      <c r="A160" s="1014" t="s">
        <v>506</v>
      </c>
      <c r="B160" s="857">
        <f>geral!C1619</f>
        <v>721.92053151035998</v>
      </c>
      <c r="C160" s="857">
        <f t="shared" si="91"/>
        <v>259.0499969536242</v>
      </c>
      <c r="D160" s="961">
        <f t="shared" si="92"/>
        <v>0</v>
      </c>
      <c r="E160" s="961">
        <f t="shared" si="93"/>
        <v>11.716272328421319</v>
      </c>
      <c r="F160" s="965">
        <f t="shared" si="94"/>
        <v>11.716272328421319</v>
      </c>
      <c r="G160" s="966">
        <f t="shared" si="95"/>
        <v>14.7037639474066</v>
      </c>
      <c r="H160" s="861">
        <f t="shared" si="81"/>
        <v>1.5865079018280721</v>
      </c>
    </row>
    <row r="161" spans="1:8">
      <c r="A161" s="1014" t="s">
        <v>507</v>
      </c>
      <c r="B161" s="857">
        <f>geral!E1608</f>
        <v>722.26244016836006</v>
      </c>
      <c r="C161" s="857">
        <f t="shared" ref="C161:C166" si="96">100*B161/$B$8</f>
        <v>259.17268557785275</v>
      </c>
      <c r="D161" s="961">
        <f t="shared" ref="D161:D166" si="97">100*((B161/B160)-1)</f>
        <v>4.7360982694977238E-2</v>
      </c>
      <c r="E161" s="961">
        <f t="shared" ref="E161:E166" si="98">100*((B161/$B$160)-1)</f>
        <v>4.7360982694977238E-2</v>
      </c>
      <c r="F161" s="965">
        <f t="shared" ref="F161:F166" si="99">100*((B161/B149)-1)</f>
        <v>11.129584375892843</v>
      </c>
      <c r="G161" s="966">
        <f t="shared" ref="G161:G166" si="100">100*(B161/B137-1)</f>
        <v>13.541914616483663</v>
      </c>
      <c r="H161" s="861">
        <f t="shared" si="81"/>
        <v>1.5857568717904389</v>
      </c>
    </row>
    <row r="162" spans="1:8">
      <c r="A162" s="1014" t="s">
        <v>508</v>
      </c>
      <c r="B162" s="857">
        <f>geral!E1609</f>
        <v>730.24030885502668</v>
      </c>
      <c r="C162" s="857">
        <f t="shared" si="96"/>
        <v>262.03542014318452</v>
      </c>
      <c r="D162" s="961">
        <f t="shared" si="97"/>
        <v>1.1045664626845308</v>
      </c>
      <c r="E162" s="961">
        <f t="shared" si="98"/>
        <v>1.1524505789107575</v>
      </c>
      <c r="F162" s="965">
        <f t="shared" si="99"/>
        <v>12.179521405314064</v>
      </c>
      <c r="G162" s="966">
        <f t="shared" si="100"/>
        <v>13.503891343899021</v>
      </c>
      <c r="H162" s="861">
        <f t="shared" si="81"/>
        <v>1.5684324924885633</v>
      </c>
    </row>
    <row r="163" spans="1:8">
      <c r="A163" s="1014" t="s">
        <v>509</v>
      </c>
      <c r="B163" s="857">
        <f>geral!E1610</f>
        <v>737.29673370838339</v>
      </c>
      <c r="C163" s="857">
        <f t="shared" si="96"/>
        <v>264.56750886622052</v>
      </c>
      <c r="D163" s="961">
        <f t="shared" si="97"/>
        <v>0.96631543997081071</v>
      </c>
      <c r="E163" s="961">
        <f t="shared" si="98"/>
        <v>2.1299023267636219</v>
      </c>
      <c r="F163" s="965">
        <f t="shared" si="99"/>
        <v>4.9805041005588579</v>
      </c>
      <c r="G163" s="966">
        <f t="shared" si="100"/>
        <v>14.600696970922812</v>
      </c>
      <c r="H163" s="861">
        <f t="shared" si="81"/>
        <v>1.5534215402968423</v>
      </c>
    </row>
    <row r="164" spans="1:8">
      <c r="A164" s="1014" t="s">
        <v>510</v>
      </c>
      <c r="B164" s="857">
        <f>geral!E1611</f>
        <v>737.64832977835988</v>
      </c>
      <c r="C164" s="857">
        <f t="shared" si="96"/>
        <v>264.69367366813543</v>
      </c>
      <c r="D164" s="961">
        <f t="shared" si="97"/>
        <v>4.7687186705425155E-2</v>
      </c>
      <c r="E164" s="961">
        <f t="shared" si="98"/>
        <v>2.1786052039682424</v>
      </c>
      <c r="F164" s="965">
        <f t="shared" si="99"/>
        <v>5.0305663495535891</v>
      </c>
      <c r="G164" s="966">
        <f t="shared" si="100"/>
        <v>14.520417367063288</v>
      </c>
      <c r="H164" s="861">
        <f t="shared" si="81"/>
        <v>1.5526811103568068</v>
      </c>
    </row>
    <row r="165" spans="1:8">
      <c r="A165" s="1014" t="s">
        <v>511</v>
      </c>
      <c r="B165" s="857">
        <f>geral!E1612</f>
        <v>737.64832977835988</v>
      </c>
      <c r="C165" s="857">
        <f t="shared" si="96"/>
        <v>264.69367366813543</v>
      </c>
      <c r="D165" s="961">
        <f t="shared" si="97"/>
        <v>0</v>
      </c>
      <c r="E165" s="961">
        <f t="shared" si="98"/>
        <v>2.1786052039682424</v>
      </c>
      <c r="F165" s="965">
        <f t="shared" si="99"/>
        <v>5.0305663495535891</v>
      </c>
      <c r="G165" s="966">
        <f t="shared" si="100"/>
        <v>14.520417367063288</v>
      </c>
      <c r="H165" s="861">
        <f t="shared" si="81"/>
        <v>1.5526811103568068</v>
      </c>
    </row>
    <row r="166" spans="1:8">
      <c r="A166" s="1014" t="s">
        <v>512</v>
      </c>
      <c r="B166" s="857">
        <f>geral!E1613</f>
        <v>737.64832977835988</v>
      </c>
      <c r="C166" s="857">
        <f t="shared" si="96"/>
        <v>264.69367366813543</v>
      </c>
      <c r="D166" s="961">
        <f t="shared" si="97"/>
        <v>0</v>
      </c>
      <c r="E166" s="961">
        <f t="shared" si="98"/>
        <v>2.1786052039682424</v>
      </c>
      <c r="F166" s="965">
        <f t="shared" si="99"/>
        <v>5.0305663495535891</v>
      </c>
      <c r="G166" s="966">
        <f t="shared" si="100"/>
        <v>14.149940387545822</v>
      </c>
      <c r="H166" s="861">
        <f t="shared" si="81"/>
        <v>1.5526811103568068</v>
      </c>
    </row>
    <row r="167" spans="1:8">
      <c r="A167" s="1014" t="s">
        <v>513</v>
      </c>
      <c r="B167" s="857">
        <f>geral!E1614</f>
        <v>746.65192443902663</v>
      </c>
      <c r="C167" s="857">
        <f t="shared" ref="C167:C172" si="101">100*B167/$B$8</f>
        <v>267.92447410615279</v>
      </c>
      <c r="D167" s="961">
        <f t="shared" ref="D167:D172" si="102">100*((B167/B166)-1)</f>
        <v>1.2205809051817562</v>
      </c>
      <c r="E167" s="961">
        <f t="shared" ref="E167:E172" si="103">100*((B167/$B$160)-1)</f>
        <v>3.4257777482689322</v>
      </c>
      <c r="F167" s="965">
        <f t="shared" ref="F167:F172" si="104">100*((B167/B155)-1)</f>
        <v>4.6148971887630674</v>
      </c>
      <c r="G167" s="966">
        <f t="shared" ref="G167:G172" si="105">100*(B167/B143-1)</f>
        <v>15.54323276319256</v>
      </c>
      <c r="H167" s="861">
        <f t="shared" si="81"/>
        <v>1.5339579129774792</v>
      </c>
    </row>
    <row r="168" spans="1:8">
      <c r="A168" s="1014" t="s">
        <v>514</v>
      </c>
      <c r="B168" s="857">
        <f>geral!E1615</f>
        <v>753.30090814159996</v>
      </c>
      <c r="C168" s="857">
        <f t="shared" si="101"/>
        <v>270.31035888531648</v>
      </c>
      <c r="D168" s="961">
        <f t="shared" si="102"/>
        <v>0.89050647094612856</v>
      </c>
      <c r="E168" s="961">
        <f t="shared" si="103"/>
        <v>4.3467909917436209</v>
      </c>
      <c r="F168" s="965">
        <f t="shared" si="104"/>
        <v>5.5464996178026249</v>
      </c>
      <c r="G168" s="966">
        <f t="shared" si="105"/>
        <v>16.572152727689126</v>
      </c>
      <c r="H168" s="861">
        <f t="shared" si="81"/>
        <v>1.5204184879567628</v>
      </c>
    </row>
    <row r="169" spans="1:8">
      <c r="A169" s="1014" t="s">
        <v>515</v>
      </c>
      <c r="B169" s="857">
        <f>geral!E1616</f>
        <v>762.06231750285008</v>
      </c>
      <c r="C169" s="857">
        <f t="shared" si="101"/>
        <v>273.45425488117195</v>
      </c>
      <c r="D169" s="961">
        <f t="shared" si="102"/>
        <v>1.163069002912076</v>
      </c>
      <c r="E169" s="961">
        <f t="shared" si="103"/>
        <v>5.5604161733020296</v>
      </c>
      <c r="F169" s="965">
        <f t="shared" si="104"/>
        <v>6.9871309389101244</v>
      </c>
      <c r="G169" s="966">
        <f t="shared" si="105"/>
        <v>17.927967302092206</v>
      </c>
      <c r="H169" s="861">
        <f t="shared" si="81"/>
        <v>1.5029382787042533</v>
      </c>
    </row>
    <row r="170" spans="1:8">
      <c r="A170" s="1014" t="s">
        <v>516</v>
      </c>
      <c r="B170" s="857">
        <f>geral!E1617</f>
        <v>762.06231750285008</v>
      </c>
      <c r="C170" s="857">
        <f t="shared" si="101"/>
        <v>273.45425488117195</v>
      </c>
      <c r="D170" s="961">
        <f t="shared" si="102"/>
        <v>0</v>
      </c>
      <c r="E170" s="961">
        <f t="shared" si="103"/>
        <v>5.5604161733020296</v>
      </c>
      <c r="F170" s="965">
        <f t="shared" si="104"/>
        <v>6.9871309389101244</v>
      </c>
      <c r="G170" s="966">
        <f t="shared" si="105"/>
        <v>17.928162003180994</v>
      </c>
      <c r="H170" s="861">
        <f t="shared" si="81"/>
        <v>1.5029382787042533</v>
      </c>
    </row>
    <row r="171" spans="1:8">
      <c r="A171" s="1014" t="s">
        <v>517</v>
      </c>
      <c r="B171" s="857">
        <f>geral!E1618</f>
        <v>765.76632796451679</v>
      </c>
      <c r="C171" s="857">
        <f t="shared" si="101"/>
        <v>274.78338164364749</v>
      </c>
      <c r="D171" s="961">
        <f t="shared" si="102"/>
        <v>0.48605086179882573</v>
      </c>
      <c r="E171" s="961">
        <f t="shared" si="103"/>
        <v>6.0734934858307943</v>
      </c>
      <c r="F171" s="965">
        <f t="shared" si="104"/>
        <v>6.0734934858307943</v>
      </c>
      <c r="G171" s="966">
        <f t="shared" si="105"/>
        <v>18.501352850900975</v>
      </c>
      <c r="H171" s="861">
        <f t="shared" si="81"/>
        <v>1.4956685687362568</v>
      </c>
    </row>
    <row r="172" spans="1:8">
      <c r="A172" s="1014" t="s">
        <v>518</v>
      </c>
      <c r="B172" s="857">
        <f>geral!E1619</f>
        <v>765.76632796451679</v>
      </c>
      <c r="C172" s="857">
        <f t="shared" si="101"/>
        <v>274.78338164364749</v>
      </c>
      <c r="D172" s="961">
        <f t="shared" si="102"/>
        <v>0</v>
      </c>
      <c r="E172" s="961">
        <f t="shared" si="103"/>
        <v>6.0734934858307943</v>
      </c>
      <c r="F172" s="965">
        <f t="shared" si="104"/>
        <v>6.0734934858307943</v>
      </c>
      <c r="G172" s="966">
        <f t="shared" si="105"/>
        <v>18.501352850900975</v>
      </c>
      <c r="H172" s="861">
        <f t="shared" si="81"/>
        <v>1.4956685687362568</v>
      </c>
    </row>
    <row r="173" spans="1:8">
      <c r="A173" s="1014" t="s">
        <v>519</v>
      </c>
      <c r="B173" s="857">
        <f>geral!G1608</f>
        <v>780.28363661871856</v>
      </c>
      <c r="C173" s="857">
        <f t="shared" ref="C173:C178" si="106">100*B173/$B$8</f>
        <v>279.99269291614706</v>
      </c>
      <c r="D173" s="961">
        <f t="shared" ref="D173:D178" si="107">100*((B173/B172)-1)</f>
        <v>1.8957883265499742</v>
      </c>
      <c r="E173" s="961">
        <f t="shared" ref="E173:E178" si="108">100*((B173/$B$172)-1)</f>
        <v>1.8957883265499742</v>
      </c>
      <c r="F173" s="965">
        <f t="shared" ref="F173:F178" si="109">100*((B173/B161)-1)</f>
        <v>8.0332567808501398</v>
      </c>
      <c r="G173" s="966">
        <f t="shared" ref="G173:G178" si="110">100*(B173/B149-1)</f>
        <v>20.056909248299839</v>
      </c>
      <c r="H173" s="861">
        <f t="shared" si="81"/>
        <v>1.4678414027702704</v>
      </c>
    </row>
    <row r="174" spans="1:8">
      <c r="A174" s="1014" t="s">
        <v>520</v>
      </c>
      <c r="B174" s="857">
        <f>geral!G1609</f>
        <v>785.7822306516</v>
      </c>
      <c r="C174" s="857">
        <f t="shared" si="106"/>
        <v>281.96577818702451</v>
      </c>
      <c r="D174" s="961">
        <f t="shared" si="107"/>
        <v>0.70469170117535285</v>
      </c>
      <c r="E174" s="961">
        <f t="shared" si="108"/>
        <v>2.6138394907343931</v>
      </c>
      <c r="F174" s="965">
        <f t="shared" si="109"/>
        <v>7.6059786241682303</v>
      </c>
      <c r="G174" s="966">
        <f t="shared" si="110"/>
        <v>20.711871824096484</v>
      </c>
      <c r="H174" s="861">
        <f t="shared" si="81"/>
        <v>1.4575700277459254</v>
      </c>
    </row>
    <row r="175" spans="1:8">
      <c r="A175" s="1014" t="s">
        <v>521</v>
      </c>
      <c r="B175" s="857">
        <f>geral!G1610</f>
        <v>800.31688728870677</v>
      </c>
      <c r="C175" s="857">
        <f t="shared" si="106"/>
        <v>287.18131451439172</v>
      </c>
      <c r="D175" s="961">
        <f t="shared" si="107"/>
        <v>1.8497054362064169</v>
      </c>
      <c r="E175" s="961">
        <f t="shared" si="108"/>
        <v>4.5118932580946458</v>
      </c>
      <c r="F175" s="965">
        <f t="shared" si="109"/>
        <v>8.5474613814374045</v>
      </c>
      <c r="G175" s="966">
        <f t="shared" si="110"/>
        <v>13.953672146592444</v>
      </c>
      <c r="H175" s="861">
        <f t="shared" si="81"/>
        <v>1.4310989133482321</v>
      </c>
    </row>
    <row r="176" spans="1:8">
      <c r="A176" s="1014" t="s">
        <v>522</v>
      </c>
      <c r="B176" s="857">
        <f>geral!G1611</f>
        <v>807.24222208326671</v>
      </c>
      <c r="C176" s="857">
        <f t="shared" si="106"/>
        <v>289.66636360099994</v>
      </c>
      <c r="D176" s="961">
        <f t="shared" si="107"/>
        <v>0.86532408656543325</v>
      </c>
      <c r="E176" s="961">
        <f t="shared" si="108"/>
        <v>5.4162598437824894</v>
      </c>
      <c r="F176" s="965">
        <f t="shared" si="109"/>
        <v>9.4345624460123965</v>
      </c>
      <c r="G176" s="966">
        <f t="shared" si="110"/>
        <v>14.939740719202721</v>
      </c>
      <c r="H176" s="861">
        <f t="shared" si="81"/>
        <v>1.4188215090847505</v>
      </c>
    </row>
    <row r="177" spans="1:8">
      <c r="A177" s="1014" t="s">
        <v>523</v>
      </c>
      <c r="B177" s="857">
        <f>geral!G1612</f>
        <v>799.3345954509067</v>
      </c>
      <c r="C177" s="857">
        <f t="shared" si="106"/>
        <v>286.82883430849239</v>
      </c>
      <c r="D177" s="961">
        <f t="shared" si="107"/>
        <v>-0.97958536063099677</v>
      </c>
      <c r="E177" s="961">
        <f t="shared" si="108"/>
        <v>4.3836175946280864</v>
      </c>
      <c r="F177" s="965">
        <f t="shared" si="109"/>
        <v>8.3625574928206881</v>
      </c>
      <c r="G177" s="966">
        <f t="shared" si="110"/>
        <v>13.813807845570182</v>
      </c>
      <c r="H177" s="861">
        <f t="shared" si="81"/>
        <v>1.4328575720997321</v>
      </c>
    </row>
    <row r="178" spans="1:8">
      <c r="A178" s="1014" t="s">
        <v>524</v>
      </c>
      <c r="B178" s="857">
        <f>geral!G1613</f>
        <v>792.77874009576669</v>
      </c>
      <c r="C178" s="857">
        <f t="shared" si="106"/>
        <v>284.47636719383047</v>
      </c>
      <c r="D178" s="961">
        <f t="shared" si="107"/>
        <v>-0.82016409554271918</v>
      </c>
      <c r="E178" s="961">
        <f t="shared" si="108"/>
        <v>3.5275006414883237</v>
      </c>
      <c r="F178" s="965">
        <f t="shared" si="109"/>
        <v>7.4738067032527278</v>
      </c>
      <c r="G178" s="966">
        <f t="shared" si="110"/>
        <v>12.880347857850838</v>
      </c>
      <c r="H178" s="861">
        <f t="shared" si="81"/>
        <v>1.4447065363972209</v>
      </c>
    </row>
    <row r="179" spans="1:8">
      <c r="A179" s="1014" t="s">
        <v>525</v>
      </c>
      <c r="B179" s="857">
        <f>geral!G1614</f>
        <v>793.64600504583348</v>
      </c>
      <c r="C179" s="857">
        <f t="shared" ref="C179:C184" si="111">100*B179/$B$8</f>
        <v>284.78757178334774</v>
      </c>
      <c r="D179" s="961">
        <f t="shared" ref="D179:D184" si="112">100*((B179/B178)-1)</f>
        <v>0.10939558620883805</v>
      </c>
      <c r="E179" s="961">
        <f t="shared" ref="E179:E184" si="113">100*((B179/$B$172)-1)</f>
        <v>3.6407551577024355</v>
      </c>
      <c r="F179" s="965">
        <f t="shared" ref="F179:F184" si="114">100*((B179/B167)-1)</f>
        <v>6.2939743498437117</v>
      </c>
      <c r="G179" s="966">
        <f t="shared" ref="G179:G184" si="115">100*(B179/B155-1)</f>
        <v>11.199331983939187</v>
      </c>
      <c r="H179" s="861">
        <f t="shared" si="81"/>
        <v>1.4431278182606919</v>
      </c>
    </row>
    <row r="180" spans="1:8">
      <c r="A180" s="1014" t="s">
        <v>526</v>
      </c>
      <c r="B180" s="857">
        <f>geral!G1615</f>
        <v>797.36711094040004</v>
      </c>
      <c r="C180" s="857">
        <f t="shared" si="111"/>
        <v>286.12283297703459</v>
      </c>
      <c r="D180" s="961">
        <f t="shared" si="112"/>
        <v>0.46886217166199895</v>
      </c>
      <c r="E180" s="961">
        <f t="shared" si="113"/>
        <v>4.1266874530617281</v>
      </c>
      <c r="F180" s="965">
        <f t="shared" si="114"/>
        <v>5.8497477332812187</v>
      </c>
      <c r="G180" s="966">
        <f t="shared" si="115"/>
        <v>11.720703586752723</v>
      </c>
      <c r="H180" s="861">
        <f t="shared" si="81"/>
        <v>1.4363931143113284</v>
      </c>
    </row>
    <row r="181" spans="1:8">
      <c r="A181" s="1014" t="s">
        <v>527</v>
      </c>
      <c r="B181" s="857">
        <f>geral!G1616</f>
        <v>798.10791303273345</v>
      </c>
      <c r="C181" s="857">
        <f t="shared" si="111"/>
        <v>286.38865832952973</v>
      </c>
      <c r="D181" s="961">
        <f t="shared" si="112"/>
        <v>9.2906025614691856E-2</v>
      </c>
      <c r="E181" s="961">
        <f t="shared" si="113"/>
        <v>4.2234274199786093</v>
      </c>
      <c r="F181" s="965">
        <f t="shared" si="114"/>
        <v>4.7300062871496795</v>
      </c>
      <c r="G181" s="966">
        <f t="shared" si="115"/>
        <v>12.047628958761635</v>
      </c>
      <c r="H181" s="861">
        <f t="shared" si="81"/>
        <v>1.4350598572327817</v>
      </c>
    </row>
    <row r="182" spans="1:8">
      <c r="A182" s="1014" t="s">
        <v>528</v>
      </c>
      <c r="B182" s="857">
        <f>geral!G1617</f>
        <v>797.70901959840012</v>
      </c>
      <c r="C182" s="857">
        <f t="shared" si="111"/>
        <v>286.24552160126308</v>
      </c>
      <c r="D182" s="961">
        <f t="shared" si="112"/>
        <v>-4.9979887158058123E-2</v>
      </c>
      <c r="E182" s="961">
        <f t="shared" si="113"/>
        <v>4.1713366685618203</v>
      </c>
      <c r="F182" s="965">
        <f t="shared" si="114"/>
        <v>4.6776623481867396</v>
      </c>
      <c r="G182" s="966">
        <f t="shared" si="115"/>
        <v>11.991627680244754</v>
      </c>
      <c r="H182" s="861">
        <f t="shared" si="81"/>
        <v>1.435777457185724</v>
      </c>
    </row>
    <row r="183" spans="1:8">
      <c r="A183" s="1014" t="s">
        <v>529</v>
      </c>
      <c r="B183" s="857">
        <f>geral!G1618</f>
        <v>801.09391531260007</v>
      </c>
      <c r="C183" s="857">
        <f t="shared" si="111"/>
        <v>287.46013898112534</v>
      </c>
      <c r="D183" s="961">
        <f t="shared" si="112"/>
        <v>0.42432712067164147</v>
      </c>
      <c r="E183" s="961">
        <f t="shared" si="113"/>
        <v>4.6133639020127015</v>
      </c>
      <c r="F183" s="965">
        <f t="shared" si="114"/>
        <v>4.6133639020127015</v>
      </c>
      <c r="G183" s="966">
        <f t="shared" si="115"/>
        <v>10.967049743909918</v>
      </c>
      <c r="H183" s="861">
        <f t="shared" si="81"/>
        <v>1.4297108064866277</v>
      </c>
    </row>
    <row r="184" spans="1:8">
      <c r="A184" s="1014" t="s">
        <v>530</v>
      </c>
      <c r="B184" s="857">
        <f>geral!G1619</f>
        <v>803.93745565163351</v>
      </c>
      <c r="C184" s="857">
        <f t="shared" si="111"/>
        <v>288.48049937262579</v>
      </c>
      <c r="D184" s="961">
        <f t="shared" si="112"/>
        <v>0.35495717601647936</v>
      </c>
      <c r="E184" s="961">
        <f t="shared" si="113"/>
        <v>4.9846965442551294</v>
      </c>
      <c r="F184" s="965">
        <f t="shared" si="114"/>
        <v>4.9846965442551294</v>
      </c>
      <c r="G184" s="966">
        <f t="shared" si="115"/>
        <v>11.360935249989712</v>
      </c>
      <c r="H184" s="861">
        <f t="shared" si="81"/>
        <v>1.4246538952520325</v>
      </c>
    </row>
    <row r="185" spans="1:8">
      <c r="A185" s="1014" t="s">
        <v>531</v>
      </c>
      <c r="B185" s="857">
        <f>geral!I1608</f>
        <v>805.22285581616677</v>
      </c>
      <c r="C185" s="857">
        <f t="shared" ref="C185:C190" si="116">100*B185/$B$8</f>
        <v>288.94174530506916</v>
      </c>
      <c r="D185" s="961">
        <f t="shared" ref="D185:D190" si="117">100*((B185/B184)-1)</f>
        <v>0.15988808028497559</v>
      </c>
      <c r="E185" s="961">
        <f t="shared" ref="E185:E190" si="118">100*((B185/$B$184)-1)</f>
        <v>0.15988808028497559</v>
      </c>
      <c r="F185" s="965">
        <f t="shared" ref="F185:F190" si="119">100*((B185/B173)-1)</f>
        <v>3.196173548572645</v>
      </c>
      <c r="G185" s="966">
        <f t="shared" ref="G185:G190" si="120">100*(B185/B161-1)</f>
        <v>11.486187157741234</v>
      </c>
      <c r="H185" s="861">
        <f t="shared" si="81"/>
        <v>1.4223796796878161</v>
      </c>
    </row>
    <row r="186" spans="1:8">
      <c r="A186" s="1014" t="s">
        <v>649</v>
      </c>
      <c r="B186" s="857">
        <f>geral!I1609</f>
        <v>834.13123285006668</v>
      </c>
      <c r="C186" s="857">
        <f t="shared" si="116"/>
        <v>299.3150684835893</v>
      </c>
      <c r="D186" s="961">
        <f t="shared" si="117"/>
        <v>3.5901088531073322</v>
      </c>
      <c r="E186" s="961">
        <f t="shared" si="118"/>
        <v>3.7557370895176856</v>
      </c>
      <c r="F186" s="965">
        <f t="shared" si="119"/>
        <v>6.1529772896969037</v>
      </c>
      <c r="G186" s="966">
        <f t="shared" si="120"/>
        <v>14.226950051269394</v>
      </c>
      <c r="H186" s="861">
        <f t="shared" si="81"/>
        <v>1.3730844531737836</v>
      </c>
    </row>
    <row r="187" spans="1:8">
      <c r="A187" s="1014" t="s">
        <v>650</v>
      </c>
      <c r="B187" s="857">
        <f>geral!I1610</f>
        <v>846.73056689736677</v>
      </c>
      <c r="C187" s="857">
        <f t="shared" si="116"/>
        <v>303.83614428640976</v>
      </c>
      <c r="D187" s="961">
        <f t="shared" si="117"/>
        <v>1.5104738380614879</v>
      </c>
      <c r="E187" s="961">
        <f t="shared" si="118"/>
        <v>5.3229403537427222</v>
      </c>
      <c r="F187" s="965">
        <f t="shared" si="119"/>
        <v>5.799412750854116</v>
      </c>
      <c r="G187" s="966">
        <f t="shared" si="120"/>
        <v>14.842576697520915</v>
      </c>
      <c r="H187" s="861">
        <f t="shared" si="81"/>
        <v>1.3526529837347125</v>
      </c>
    </row>
    <row r="188" spans="1:8">
      <c r="A188" s="1014" t="s">
        <v>652</v>
      </c>
      <c r="B188" s="857">
        <f>geral!I1611</f>
        <v>826.44968500033337</v>
      </c>
      <c r="C188" s="857">
        <f t="shared" si="116"/>
        <v>296.55866405925553</v>
      </c>
      <c r="D188" s="961">
        <f t="shared" si="117"/>
        <v>-2.3951989794519402</v>
      </c>
      <c r="E188" s="961">
        <f t="shared" si="118"/>
        <v>2.8002463612610828</v>
      </c>
      <c r="F188" s="965">
        <f t="shared" si="119"/>
        <v>2.3793927512237412</v>
      </c>
      <c r="G188" s="966">
        <f t="shared" si="120"/>
        <v>12.038440492186231</v>
      </c>
      <c r="H188" s="861">
        <f t="shared" si="81"/>
        <v>1.3858467714615268</v>
      </c>
    </row>
    <row r="189" spans="1:8">
      <c r="A189" s="1014" t="s">
        <v>653</v>
      </c>
      <c r="B189" s="857">
        <f>geral!I1612</f>
        <v>829.62943551973342</v>
      </c>
      <c r="C189" s="857">
        <f t="shared" si="116"/>
        <v>297.69966826458062</v>
      </c>
      <c r="D189" s="961">
        <f t="shared" si="117"/>
        <v>0.3847482281270187</v>
      </c>
      <c r="E189" s="961">
        <f t="shared" si="118"/>
        <v>3.1957684876462444</v>
      </c>
      <c r="F189" s="965">
        <f t="shared" si="119"/>
        <v>3.7900073687836988</v>
      </c>
      <c r="G189" s="966">
        <f t="shared" si="120"/>
        <v>12.469506406801045</v>
      </c>
      <c r="H189" s="861">
        <f t="shared" si="81"/>
        <v>1.3805351867916758</v>
      </c>
    </row>
    <row r="190" spans="1:8">
      <c r="A190" s="1014" t="s">
        <v>654</v>
      </c>
      <c r="B190" s="857">
        <f>geral!I1613</f>
        <v>829.62943551973342</v>
      </c>
      <c r="C190" s="857">
        <f t="shared" si="116"/>
        <v>297.69966826458062</v>
      </c>
      <c r="D190" s="961">
        <f t="shared" si="117"/>
        <v>0</v>
      </c>
      <c r="E190" s="961">
        <f t="shared" si="118"/>
        <v>3.1957684876462444</v>
      </c>
      <c r="F190" s="965">
        <f t="shared" si="119"/>
        <v>4.6482951118890004</v>
      </c>
      <c r="G190" s="966">
        <f t="shared" si="120"/>
        <v>12.469506406801045</v>
      </c>
      <c r="H190" s="861">
        <f t="shared" si="81"/>
        <v>1.3805351867916758</v>
      </c>
    </row>
    <row r="191" spans="1:8">
      <c r="A191" s="1014" t="s">
        <v>657</v>
      </c>
      <c r="B191" s="857">
        <f>geral!I1614</f>
        <v>837.67568593800013</v>
      </c>
      <c r="C191" s="857">
        <f t="shared" ref="C191:C196" si="121">100*B191/$B$8</f>
        <v>300.5869405547582</v>
      </c>
      <c r="D191" s="961">
        <f t="shared" ref="D191:D196" si="122">100*((B191/B190)-1)</f>
        <v>0.96986076840752666</v>
      </c>
      <c r="E191" s="961">
        <f t="shared" ref="E191:E196" si="123">100*((B191/$B$184)-1)</f>
        <v>4.1966237608645818</v>
      </c>
      <c r="F191" s="965">
        <f t="shared" ref="F191:F196" si="124">100*((B191/B179)-1)</f>
        <v>5.5477732656921575</v>
      </c>
      <c r="G191" s="966">
        <f t="shared" ref="G191:G196" si="125">100*(B191/B167-1)</f>
        <v>12.190923041866043</v>
      </c>
      <c r="H191" s="861">
        <f t="shared" si="81"/>
        <v>1.3672745275525147</v>
      </c>
    </row>
    <row r="192" spans="1:8">
      <c r="A192" s="1032" t="str">
        <f>'Seg_ATEGO 2426'!A192</f>
        <v>AGOSTO|15</v>
      </c>
      <c r="B192" s="918">
        <f>geral!I1615</f>
        <v>836.12000154410009</v>
      </c>
      <c r="C192" s="918">
        <f t="shared" si="121"/>
        <v>300.02870731451844</v>
      </c>
      <c r="D192" s="1036">
        <f t="shared" si="122"/>
        <v>-0.18571440236540004</v>
      </c>
      <c r="E192" s="1036">
        <f t="shared" si="123"/>
        <v>4.0031156237621657</v>
      </c>
      <c r="F192" s="1037">
        <f t="shared" si="124"/>
        <v>4.8601064769270064</v>
      </c>
      <c r="G192" s="1038">
        <f t="shared" si="125"/>
        <v>10.994158178677305</v>
      </c>
      <c r="H192" s="861">
        <f t="shared" si="81"/>
        <v>1.3698184777519626</v>
      </c>
    </row>
    <row r="193" spans="1:8">
      <c r="A193" s="1032" t="str">
        <f>'Seg_ATEGO 2426'!A193</f>
        <v>SETEMBRO|15</v>
      </c>
      <c r="B193" s="918">
        <f>geral!I1616</f>
        <v>825.98810831203343</v>
      </c>
      <c r="C193" s="918">
        <f t="shared" si="121"/>
        <v>296.3930344165471</v>
      </c>
      <c r="D193" s="1036">
        <f t="shared" si="122"/>
        <v>-1.2117750099693403</v>
      </c>
      <c r="E193" s="1036">
        <f t="shared" si="123"/>
        <v>2.7428318590438927</v>
      </c>
      <c r="F193" s="1037">
        <f t="shared" si="124"/>
        <v>3.4932864120289064</v>
      </c>
      <c r="G193" s="1038">
        <f t="shared" si="125"/>
        <v>8.3885253660957115</v>
      </c>
      <c r="H193" s="861">
        <f t="shared" si="81"/>
        <v>1.3866212070215853</v>
      </c>
    </row>
    <row r="194" spans="1:8">
      <c r="A194" s="1032" t="str">
        <f>'Seg_ATEGO 2426'!A194</f>
        <v>OUTUBRO|15</v>
      </c>
      <c r="B194" s="918">
        <f>geral!I1617</f>
        <v>814.88747388230013</v>
      </c>
      <c r="C194" s="918">
        <f t="shared" si="121"/>
        <v>292.40974374992828</v>
      </c>
      <c r="D194" s="1036">
        <f t="shared" si="122"/>
        <v>-1.343921821395011</v>
      </c>
      <c r="E194" s="1036">
        <f t="shared" si="123"/>
        <v>1.3620485217710199</v>
      </c>
      <c r="F194" s="1037">
        <f t="shared" si="124"/>
        <v>2.1534737431636808</v>
      </c>
      <c r="G194" s="1038">
        <f t="shared" si="125"/>
        <v>6.9318683218124733</v>
      </c>
      <c r="H194" s="861">
        <f t="shared" si="81"/>
        <v>1.4055101648286425</v>
      </c>
    </row>
    <row r="195" spans="1:8">
      <c r="A195" s="1032" t="str">
        <f>'Seg_ATEGO 2426'!A195</f>
        <v>NOVEMBRO|15</v>
      </c>
      <c r="B195" s="918">
        <f>geral!I1618</f>
        <v>809.51950795169989</v>
      </c>
      <c r="C195" s="918">
        <f t="shared" si="121"/>
        <v>290.48353234954067</v>
      </c>
      <c r="D195" s="1036">
        <f t="shared" si="122"/>
        <v>-0.65873707752875932</v>
      </c>
      <c r="E195" s="1036">
        <f t="shared" si="123"/>
        <v>0.69433912561540634</v>
      </c>
      <c r="F195" s="1037">
        <f t="shared" si="124"/>
        <v>1.0517609081841517</v>
      </c>
      <c r="G195" s="1038">
        <f t="shared" si="125"/>
        <v>5.7136463682705196</v>
      </c>
      <c r="H195" s="861">
        <f t="shared" si="81"/>
        <v>1.4148301757805746</v>
      </c>
    </row>
    <row r="196" spans="1:8">
      <c r="A196" s="1032" t="str">
        <f>'Seg_ATEGO 2426'!A196</f>
        <v>DEZEMBRO|15</v>
      </c>
      <c r="B196" s="918">
        <f>geral!I1619</f>
        <v>806.88681128510018</v>
      </c>
      <c r="C196" s="918">
        <f t="shared" si="121"/>
        <v>289.53882994298124</v>
      </c>
      <c r="D196" s="1036">
        <f t="shared" si="122"/>
        <v>-0.32521719868877641</v>
      </c>
      <c r="E196" s="1036">
        <f t="shared" si="123"/>
        <v>0.36686381667290213</v>
      </c>
      <c r="F196" s="1037">
        <f t="shared" si="124"/>
        <v>0.36686381667290213</v>
      </c>
      <c r="G196" s="1038">
        <f t="shared" si="125"/>
        <v>5.3698474089198589</v>
      </c>
      <c r="H196" s="861">
        <f t="shared" si="81"/>
        <v>1.4194464597940037</v>
      </c>
    </row>
    <row r="197" spans="1:8">
      <c r="A197" s="1032" t="str">
        <f>'Seg_ATEGO 2426'!A197</f>
        <v>JANEIRO|16</v>
      </c>
      <c r="B197" s="918">
        <f>geral!K1608</f>
        <v>807.30567533460544</v>
      </c>
      <c r="C197" s="918">
        <f t="shared" ref="C197" si="126">100*B197/$B$8</f>
        <v>289.68913281706813</v>
      </c>
      <c r="D197" s="1036">
        <f t="shared" ref="D197" si="127">100*((B197/B196)-1)</f>
        <v>5.1911128506132442E-2</v>
      </c>
      <c r="E197" s="1036">
        <f t="shared" ref="E197:E202" si="128">100*((B197/$B$196)-1)</f>
        <v>5.1911128506132442E-2</v>
      </c>
      <c r="F197" s="1037">
        <f t="shared" ref="F197" si="129">100*((B197/B185)-1)</f>
        <v>0.25866373556020505</v>
      </c>
      <c r="G197" s="1038">
        <f t="shared" ref="G197" si="130">100*(B197/B173-1)</f>
        <v>3.4631046260285903</v>
      </c>
      <c r="H197" s="861">
        <f t="shared" si="81"/>
        <v>1.4187099914272245</v>
      </c>
    </row>
    <row r="198" spans="1:8">
      <c r="A198" s="1032" t="str">
        <f>'Seg_ATEGO 2426'!A198</f>
        <v>FEVEREIRO|16</v>
      </c>
      <c r="B198" s="918">
        <f>geral!K1609</f>
        <v>821.01621252040559</v>
      </c>
      <c r="C198" s="918">
        <f t="shared" ref="C198" si="131">100*B198/$B$8</f>
        <v>294.60894664863122</v>
      </c>
      <c r="D198" s="1036">
        <f t="shared" ref="D198" si="132">100*((B198/B197)-1)</f>
        <v>1.6983080392835692</v>
      </c>
      <c r="E198" s="1036">
        <f t="shared" si="128"/>
        <v>1.7511007786584099</v>
      </c>
      <c r="F198" s="1037">
        <f t="shared" ref="F198" si="133">100*((B198/B186)-1)</f>
        <v>-1.5722969975419332</v>
      </c>
      <c r="G198" s="1038">
        <f t="shared" ref="G198" si="134">100*(B198/B174-1)</f>
        <v>4.4839372149696244</v>
      </c>
      <c r="H198" s="861">
        <f t="shared" si="81"/>
        <v>1.395018283764575</v>
      </c>
    </row>
    <row r="199" spans="1:8">
      <c r="A199" s="1032" t="str">
        <f>'Seg_ATEGO 2426'!A199</f>
        <v>MARÇO|16</v>
      </c>
      <c r="B199" s="918">
        <f>geral!K1610</f>
        <v>838.1857256296388</v>
      </c>
      <c r="C199" s="918">
        <f t="shared" ref="C199" si="135">100*B199/$B$8</f>
        <v>300.76996039530599</v>
      </c>
      <c r="D199" s="1036">
        <f t="shared" ref="D199" si="136">100*((B199/B198)-1)</f>
        <v>2.0912514086080192</v>
      </c>
      <c r="E199" s="1036">
        <f t="shared" si="128"/>
        <v>3.8789721069662608</v>
      </c>
      <c r="F199" s="1037">
        <f t="shared" ref="F199" si="137">100*((B199/B187)-1)</f>
        <v>-1.0091570567764441</v>
      </c>
      <c r="G199" s="1038">
        <f t="shared" ref="G199" si="138">100*(B199/B175-1)</f>
        <v>4.7317305110508245</v>
      </c>
      <c r="H199" s="861">
        <f t="shared" si="81"/>
        <v>1.3664425350034952</v>
      </c>
    </row>
    <row r="200" spans="1:8">
      <c r="A200" s="1032" t="str">
        <f>'Seg_ATEGO 2426'!A200</f>
        <v>ABRIL|16</v>
      </c>
      <c r="B200" s="918">
        <f>geral!K1611</f>
        <v>844.68199013163894</v>
      </c>
      <c r="C200" s="918">
        <f t="shared" ref="C200" si="139">100*B200/$B$8</f>
        <v>303.10104425564765</v>
      </c>
      <c r="D200" s="1036">
        <f t="shared" ref="D200" si="140">100*((B200/B199)-1)</f>
        <v>0.77503878953799621</v>
      </c>
      <c r="E200" s="1036">
        <f t="shared" si="128"/>
        <v>4.6840744349686103</v>
      </c>
      <c r="F200" s="1037">
        <f t="shared" ref="F200" si="141">100*((B200/B188)-1)</f>
        <v>2.2060998342927851</v>
      </c>
      <c r="G200" s="1038">
        <f t="shared" ref="G200" si="142">100*(B200/B176-1)</f>
        <v>4.6379843650584451</v>
      </c>
      <c r="H200" s="861">
        <f t="shared" si="81"/>
        <v>1.3559335242303605</v>
      </c>
    </row>
    <row r="201" spans="1:8">
      <c r="A201" s="1032" t="str">
        <f>'Seg_ATEGO 2426'!A201</f>
        <v>MAIO|16</v>
      </c>
      <c r="B201" s="918">
        <f>geral!K1612</f>
        <v>844.68199013163894</v>
      </c>
      <c r="C201" s="918">
        <f t="shared" ref="C201" si="143">100*B201/$B$8</f>
        <v>303.10104425564765</v>
      </c>
      <c r="D201" s="1036">
        <f t="shared" ref="D201" si="144">100*((B201/B200)-1)</f>
        <v>0</v>
      </c>
      <c r="E201" s="1036">
        <f t="shared" si="128"/>
        <v>4.6840744349686103</v>
      </c>
      <c r="F201" s="1037">
        <f t="shared" ref="F201" si="145">100*((B201/B189)-1)</f>
        <v>1.8143708464822828</v>
      </c>
      <c r="G201" s="1038">
        <f t="shared" ref="G201" si="146">100*(B201/B177-1)</f>
        <v>5.6731430040447117</v>
      </c>
      <c r="H201" s="861">
        <f t="shared" si="81"/>
        <v>1.3559335242303605</v>
      </c>
    </row>
    <row r="202" spans="1:8">
      <c r="A202" s="1032" t="str">
        <f>'Seg_ATEGO 2426'!A202</f>
        <v>JUNHO|16</v>
      </c>
      <c r="B202" s="918">
        <f>geral!K1613</f>
        <v>853.68558479230558</v>
      </c>
      <c r="C202" s="918">
        <f t="shared" ref="C202" si="147">100*B202/$B$8</f>
        <v>306.331844693665</v>
      </c>
      <c r="D202" s="1036">
        <f t="shared" ref="D202" si="148">100*((B202/B201)-1)</f>
        <v>1.065915310833554</v>
      </c>
      <c r="E202" s="1036">
        <f t="shared" si="128"/>
        <v>5.7999180123753158</v>
      </c>
      <c r="F202" s="1037">
        <f t="shared" ref="F202" si="149">100*((B202/B190)-1)</f>
        <v>2.8996258139637687</v>
      </c>
      <c r="G202" s="1038">
        <f t="shared" ref="G202" si="150">100*(B202/B178-1)</f>
        <v>7.68270409082632</v>
      </c>
      <c r="H202" s="861">
        <f t="shared" si="81"/>
        <v>1.3416328542220346</v>
      </c>
    </row>
    <row r="203" spans="1:8">
      <c r="A203" s="1032" t="str">
        <f>'Seg_ATEGO 2426'!A203</f>
        <v>JULHO|16</v>
      </c>
      <c r="B203" s="918">
        <f>geral!K1614</f>
        <v>860.57752633970551</v>
      </c>
      <c r="C203" s="918">
        <f t="shared" ref="C203" si="151">100*B203/$B$8</f>
        <v>308.8049111309407</v>
      </c>
      <c r="D203" s="1036">
        <f t="shared" ref="D203" si="152">100*((B203/B202)-1)</f>
        <v>0.80731614427771436</v>
      </c>
      <c r="E203" s="1036">
        <f t="shared" ref="E203" si="153">100*((B203/$B$196)-1)</f>
        <v>6.654057831121829</v>
      </c>
      <c r="F203" s="1037">
        <f t="shared" ref="F203" si="154">100*((B203/B191)-1)</f>
        <v>2.7339745901852952</v>
      </c>
      <c r="G203" s="1038">
        <f t="shared" ref="G203" si="155">100*(B203/B179-1)</f>
        <v>8.4334225672825891</v>
      </c>
      <c r="H203" s="861">
        <f t="shared" ref="H203:H253" si="156">$B$253/B203</f>
        <v>1.3308883774882563</v>
      </c>
    </row>
    <row r="204" spans="1:8">
      <c r="A204" s="1032" t="str">
        <f>'Seg_ATEGO 2426'!A204</f>
        <v>AGOSTO|16</v>
      </c>
      <c r="B204" s="918">
        <f>geral!K1615</f>
        <v>863.39257429057227</v>
      </c>
      <c r="C204" s="918">
        <f t="shared" ref="C204" si="157">100*B204/$B$8</f>
        <v>309.81504747042209</v>
      </c>
      <c r="D204" s="1036">
        <f t="shared" ref="D204" si="158">100*((B204/B203)-1)</f>
        <v>0.32711148789115185</v>
      </c>
      <c r="E204" s="1036">
        <f t="shared" ref="E204" si="159">100*((B204/$B$196)-1)</f>
        <v>7.0029355065895027</v>
      </c>
      <c r="F204" s="1037">
        <f t="shared" ref="F204" si="160">100*((B204/B192)-1)</f>
        <v>3.2618012601189683</v>
      </c>
      <c r="G204" s="1038">
        <f t="shared" ref="G204" si="161">100*(B204/B180-1)</f>
        <v>8.2804347513534928</v>
      </c>
      <c r="H204" s="861">
        <f t="shared" si="156"/>
        <v>1.3265490830451008</v>
      </c>
    </row>
    <row r="205" spans="1:8">
      <c r="A205" s="1032" t="str">
        <f>'Seg_ATEGO 2426'!A205</f>
        <v>SETEMBRO|16</v>
      </c>
      <c r="B205" s="918">
        <f>geral!K1616</f>
        <v>863.34128799187204</v>
      </c>
      <c r="C205" s="918">
        <f t="shared" ref="C205" si="162">100*B205/$B$8</f>
        <v>309.79664417678771</v>
      </c>
      <c r="D205" s="1036">
        <f t="shared" ref="D205" si="163">100*((B205/B204)-1)</f>
        <v>-5.9400903166695329E-3</v>
      </c>
      <c r="E205" s="1036">
        <f t="shared" ref="E205" si="164">100*((B205/$B$196)-1)</f>
        <v>6.9965794355789201</v>
      </c>
      <c r="F205" s="1037">
        <f t="shared" ref="F205" si="165">100*((B205/B193)-1)</f>
        <v>4.5222418221216865</v>
      </c>
      <c r="G205" s="1038">
        <f t="shared" ref="G205" si="166">100*(B205/B181-1)</f>
        <v>8.1735030932418731</v>
      </c>
      <c r="H205" s="861">
        <f t="shared" si="156"/>
        <v>1.3266278859396916</v>
      </c>
    </row>
    <row r="206" spans="1:8">
      <c r="A206" s="1032" t="str">
        <f>'Seg_ATEGO 2426'!A206</f>
        <v>OUTUBRO|16</v>
      </c>
      <c r="B206" s="918">
        <f>geral!K1617</f>
        <v>862.36684831657203</v>
      </c>
      <c r="C206" s="918">
        <f t="shared" ref="C206" si="167">100*B206/$B$8</f>
        <v>309.44698159773645</v>
      </c>
      <c r="D206" s="1036">
        <f t="shared" ref="D206" si="168">100*((B206/B205)-1)</f>
        <v>-0.11286842050222123</v>
      </c>
      <c r="E206" s="1036">
        <f t="shared" ref="E206" si="169">100*((B206/$B$196)-1)</f>
        <v>6.8758140863785844</v>
      </c>
      <c r="F206" s="1037">
        <f t="shared" ref="F206" si="170">100*((B206/B194)-1)</f>
        <v>5.8264945720750694</v>
      </c>
      <c r="G206" s="1038">
        <f t="shared" ref="G206" si="171">100*(B206/B182-1)</f>
        <v>8.1054403459952518</v>
      </c>
      <c r="H206" s="861">
        <f t="shared" si="156"/>
        <v>1.3281269218186131</v>
      </c>
    </row>
    <row r="207" spans="1:8">
      <c r="A207" s="1032" t="str">
        <f>'Seg_ATEGO 2426'!A207</f>
        <v>NOVEMBRO|16</v>
      </c>
      <c r="B207" s="918">
        <f>geral!K1618</f>
        <v>866.70908827317226</v>
      </c>
      <c r="C207" s="918">
        <f t="shared" ref="C207" si="172">100*B207/$B$8</f>
        <v>311.00512712543855</v>
      </c>
      <c r="D207" s="1036">
        <f t="shared" ref="D207" si="173">100*((B207/B206)-1)</f>
        <v>0.5035258446073998</v>
      </c>
      <c r="E207" s="1036">
        <f t="shared" ref="E207" si="174">100*((B207/$B$196)-1)</f>
        <v>7.4139614319380431</v>
      </c>
      <c r="F207" s="1037">
        <f t="shared" ref="F207" si="175">100*((B207/B195)-1)</f>
        <v>7.0646327555684563</v>
      </c>
      <c r="G207" s="1038">
        <f t="shared" ref="G207" si="176">100*(B207/B183-1)</f>
        <v>8.1906967093824612</v>
      </c>
      <c r="H207" s="861">
        <f t="shared" si="156"/>
        <v>1.3214729639157978</v>
      </c>
    </row>
    <row r="208" spans="1:8">
      <c r="A208" s="1032" t="str">
        <f>'Seg_ATEGO 2426'!A208</f>
        <v>DEZEMBRO|16</v>
      </c>
      <c r="B208" s="918">
        <f>geral!K1619</f>
        <v>880.71594629590561</v>
      </c>
      <c r="C208" s="918">
        <f t="shared" ref="C208" si="177">100*B208/$B$8</f>
        <v>316.03127109799971</v>
      </c>
      <c r="D208" s="1036">
        <f t="shared" ref="D208" si="178">100*((B208/B207)-1)</f>
        <v>1.6160968209806725</v>
      </c>
      <c r="E208" s="1036">
        <f t="shared" ref="E208" si="179">100*((B208/$B$196)-1)</f>
        <v>9.1498750479290116</v>
      </c>
      <c r="F208" s="1037">
        <f t="shared" ref="F208" si="180">100*((B208/B196)-1)</f>
        <v>9.1498750479290116</v>
      </c>
      <c r="G208" s="1038">
        <f t="shared" ref="G208" si="181">100*(B208/B184-1)</f>
        <v>9.550306445423562</v>
      </c>
      <c r="H208" s="861">
        <f t="shared" si="156"/>
        <v>1.3004563305003398</v>
      </c>
    </row>
    <row r="209" spans="1:8">
      <c r="A209" s="1032" t="str">
        <f>'Seg_ATEGO 2426'!A209</f>
        <v>JANEIRO|17</v>
      </c>
      <c r="B209" s="918">
        <f>geral!M1608</f>
        <v>884.87825907173885</v>
      </c>
      <c r="C209" s="918">
        <f t="shared" ref="C209" si="182">100*B209/$B$8</f>
        <v>317.52485254476062</v>
      </c>
      <c r="D209" s="1036">
        <f t="shared" ref="D209" si="183">100*((B209/B208)-1)</f>
        <v>0.47260558791275553</v>
      </c>
      <c r="E209" s="1036">
        <f t="shared" ref="E209:E214" si="184">100*((B209/$B$208)-1)</f>
        <v>0.47260558791275553</v>
      </c>
      <c r="F209" s="1037">
        <f t="shared" ref="F209" si="185">100*((B209/B197)-1)</f>
        <v>9.6088242789797995</v>
      </c>
      <c r="G209" s="1038">
        <f t="shared" ref="G209" si="186">100*(B209/B185-1)</f>
        <v>9.8923425583634419</v>
      </c>
      <c r="H209" s="861">
        <f t="shared" si="156"/>
        <v>1.2943392110623133</v>
      </c>
    </row>
    <row r="210" spans="1:8">
      <c r="A210" s="1032" t="str">
        <f>'Seg_ATEGO 2426'!A210</f>
        <v>FEVEREIRO|17</v>
      </c>
      <c r="B210" s="918">
        <f>geral!M1609</f>
        <v>891.74492461990542</v>
      </c>
      <c r="C210" s="918">
        <f t="shared" ref="C210" si="187">100*B210/$B$8</f>
        <v>319.98884908134971</v>
      </c>
      <c r="D210" s="1036">
        <f t="shared" ref="D210" si="188">100*((B210/B209)-1)</f>
        <v>0.77600115922951129</v>
      </c>
      <c r="E210" s="1036">
        <f t="shared" si="184"/>
        <v>1.2522741719830588</v>
      </c>
      <c r="F210" s="1037">
        <f t="shared" ref="F210" si="189">100*((B210/B198)-1)</f>
        <v>8.614776544104096</v>
      </c>
      <c r="G210" s="1038">
        <f t="shared" ref="G210" si="190">100*(B210/B186-1)</f>
        <v>6.9070296736142733</v>
      </c>
      <c r="H210" s="861">
        <f t="shared" si="156"/>
        <v>1.2843724658385813</v>
      </c>
    </row>
    <row r="211" spans="1:8">
      <c r="A211" s="1032" t="str">
        <f>'Seg_ATEGO 2426'!A211</f>
        <v>MARÇO|17</v>
      </c>
      <c r="B211" s="918">
        <f>geral!M1610</f>
        <v>904.02457407197551</v>
      </c>
      <c r="C211" s="918">
        <f t="shared" ref="C211" si="191">100*B211/$B$8</f>
        <v>324.39521102051651</v>
      </c>
      <c r="D211" s="1036">
        <f t="shared" ref="D211" si="192">100*((B211/B210)-1)</f>
        <v>1.3770360910440926</v>
      </c>
      <c r="E211" s="1036">
        <f t="shared" si="184"/>
        <v>2.6465545303341775</v>
      </c>
      <c r="F211" s="1037">
        <f t="shared" ref="F211" si="193">100*((B211/B199)-1)</f>
        <v>7.8549236081155049</v>
      </c>
      <c r="G211" s="1038">
        <f t="shared" ref="G211" si="194">100*(B211/B187-1)</f>
        <v>6.7664980354433579</v>
      </c>
      <c r="H211" s="861">
        <f t="shared" si="156"/>
        <v>1.2669264316280855</v>
      </c>
    </row>
    <row r="212" spans="1:8">
      <c r="A212" s="1032" t="str">
        <f>'Seg_ATEGO 2426'!A212</f>
        <v>ABRIL|17</v>
      </c>
      <c r="B212" s="918">
        <f>geral!M1611</f>
        <v>903.859318220609</v>
      </c>
      <c r="C212" s="918">
        <f t="shared" ref="C212" si="195">100*B212/$B$8</f>
        <v>324.33591151880614</v>
      </c>
      <c r="D212" s="1036">
        <f t="shared" ref="D212" si="196">100*((B212/B211)-1)</f>
        <v>-1.8280017613037103E-2</v>
      </c>
      <c r="E212" s="1036">
        <f t="shared" si="184"/>
        <v>2.6277907220868757</v>
      </c>
      <c r="F212" s="1037">
        <f t="shared" ref="F212" si="197">100*((B212/B200)-1)</f>
        <v>7.0058707040442147</v>
      </c>
      <c r="G212" s="1038">
        <f t="shared" ref="G212" si="198">100*(B212/B188-1)</f>
        <v>9.3665270403296752</v>
      </c>
      <c r="H212" s="861">
        <f t="shared" si="156"/>
        <v>1.2671580683461641</v>
      </c>
    </row>
    <row r="213" spans="1:8">
      <c r="A213" s="1032" t="str">
        <f>'Seg_ATEGO 2426'!A213</f>
        <v>MAIO|17</v>
      </c>
      <c r="B213" s="918">
        <f>geral!M1612</f>
        <v>899.95586104177562</v>
      </c>
      <c r="C213" s="918">
        <f t="shared" ref="C213" si="199">100*B213/$B$8</f>
        <v>322.93521639219739</v>
      </c>
      <c r="D213" s="1036">
        <f t="shared" ref="D213" si="200">100*((B213/B212)-1)</f>
        <v>-0.43186556803086473</v>
      </c>
      <c r="E213" s="1036">
        <f t="shared" si="184"/>
        <v>2.1845766307273973</v>
      </c>
      <c r="F213" s="1037">
        <f t="shared" ref="F213" si="201">100*((B213/B201)-1)</f>
        <v>6.5437491927017977</v>
      </c>
      <c r="G213" s="1038">
        <f t="shared" ref="G213" si="202">100*(B213/B189-1)</f>
        <v>8.4768479168033863</v>
      </c>
      <c r="H213" s="861">
        <f t="shared" si="156"/>
        <v>1.2726542237385816</v>
      </c>
    </row>
    <row r="214" spans="1:8">
      <c r="A214" s="1032" t="str">
        <f>'Seg_ATEGO 2426'!A214</f>
        <v>JUNHO|17</v>
      </c>
      <c r="B214" s="918">
        <f>geral!M1613</f>
        <v>921.65566386950877</v>
      </c>
      <c r="C214" s="918">
        <f t="shared" ref="C214" si="203">100*B214/$B$8</f>
        <v>330.72185440989978</v>
      </c>
      <c r="D214" s="1036">
        <f t="shared" ref="D214" si="204">100*((B214/B213)-1)</f>
        <v>2.4112074566205788</v>
      </c>
      <c r="E214" s="1036">
        <f t="shared" si="184"/>
        <v>4.6484587619636475</v>
      </c>
      <c r="F214" s="1037">
        <f t="shared" ref="F214" si="205">100*((B214/B202)-1)</f>
        <v>7.961956988384622</v>
      </c>
      <c r="G214" s="1038">
        <f t="shared" ref="G214" si="206">100*(B214/B190-1)</f>
        <v>11.092449762480294</v>
      </c>
      <c r="H214" s="861">
        <f t="shared" si="156"/>
        <v>1.242690380618404</v>
      </c>
    </row>
    <row r="215" spans="1:8">
      <c r="A215" s="1032" t="str">
        <f>'Seg_ATEGO 2426'!A215</f>
        <v>JULHO|17</v>
      </c>
      <c r="B215" s="918">
        <f>geral!M1614</f>
        <v>935.22373911447539</v>
      </c>
      <c r="C215" s="918">
        <f t="shared" ref="C215" si="207">100*B215/$B$8</f>
        <v>335.59054798136765</v>
      </c>
      <c r="D215" s="1036">
        <f t="shared" ref="D215" si="208">100*((B215/B214)-1)</f>
        <v>1.4721414707095759</v>
      </c>
      <c r="E215" s="1036">
        <f t="shared" ref="E215" si="209">100*((B215/$B$208)-1)</f>
        <v>6.18903212185693</v>
      </c>
      <c r="F215" s="1037">
        <f t="shared" ref="F215" si="210">100*((B215/B203)-1)</f>
        <v>8.6739672475834482</v>
      </c>
      <c r="G215" s="1038">
        <f t="shared" ref="G215" si="211">100*(B215/B191-1)</f>
        <v>11.645085898278683</v>
      </c>
      <c r="H215" s="861">
        <f t="shared" si="156"/>
        <v>1.2246616289034491</v>
      </c>
    </row>
    <row r="216" spans="1:8">
      <c r="A216" s="1032" t="str">
        <f>'Seg_ATEGO 2426'!A216</f>
        <v>AGOSTO|17</v>
      </c>
      <c r="B216" s="918">
        <f>geral!M1615</f>
        <v>942.50532466935545</v>
      </c>
      <c r="C216" s="918">
        <f t="shared" ref="C216" si="212">100*B216/$B$8</f>
        <v>338.20343213339868</v>
      </c>
      <c r="D216" s="1036">
        <f t="shared" ref="D216" si="213">100*((B216/B215)-1)</f>
        <v>0.77859289176884783</v>
      </c>
      <c r="E216" s="1036">
        <f t="shared" ref="E216" si="214">100*((B216/$B$208)-1)</f>
        <v>7.015812377795827</v>
      </c>
      <c r="F216" s="1037">
        <f t="shared" ref="F216" si="215">100*((B216/B204)-1)</f>
        <v>9.1630102846075765</v>
      </c>
      <c r="G216" s="1038">
        <f t="shared" ref="G216" si="216">100*(B216/B192-1)</f>
        <v>12.723690729654692</v>
      </c>
      <c r="H216" s="861">
        <f t="shared" si="156"/>
        <v>1.215200166784105</v>
      </c>
    </row>
    <row r="217" spans="1:8">
      <c r="A217" s="1032" t="str">
        <f>'Seg_ATEGO 2426'!A217</f>
        <v>SETEMBRO|17</v>
      </c>
      <c r="B217" s="918">
        <f>geral!M1616</f>
        <v>941.00092657415553</v>
      </c>
      <c r="C217" s="918">
        <f t="shared" ref="C217" si="217">100*B217/$B$8</f>
        <v>337.66360218679324</v>
      </c>
      <c r="D217" s="1036">
        <f t="shared" ref="D217" si="218">100*((B217/B216)-1)</f>
        <v>-0.15961693327596338</v>
      </c>
      <c r="E217" s="1036">
        <f t="shared" ref="E217" si="219">100*((B217/$B$208)-1)</f>
        <v>6.8449970199580212</v>
      </c>
      <c r="F217" s="1037">
        <f t="shared" ref="F217" si="220">100*((B217/B205)-1)</f>
        <v>8.9952420511382627</v>
      </c>
      <c r="G217" s="1038">
        <f t="shared" ref="G217" si="221">100*(B217/B193-1)</f>
        <v>13.924270471297607</v>
      </c>
      <c r="H217" s="861">
        <f t="shared" si="156"/>
        <v>1.2171429330073564</v>
      </c>
    </row>
    <row r="218" spans="1:8">
      <c r="A218" s="1032" t="str">
        <f>'Seg_ATEGO 2426'!A218</f>
        <v>OUTUBRO|17</v>
      </c>
      <c r="B218" s="918">
        <f>geral!M1617</f>
        <v>940.84136920042226</v>
      </c>
      <c r="C218" s="918">
        <f t="shared" ref="C218" si="222">100*B218/$B$8</f>
        <v>337.60634749548666</v>
      </c>
      <c r="D218" s="1036">
        <f t="shared" ref="D218" si="223">100*((B218/B217)-1)</f>
        <v>-1.695613354113501E-2</v>
      </c>
      <c r="E218" s="1036">
        <f t="shared" ref="E218" si="224">100*((B218/$B$208)-1)</f>
        <v>6.8268802395813122</v>
      </c>
      <c r="F218" s="1037">
        <f t="shared" ref="F218" si="225">100*((B218/B206)-1)</f>
        <v>9.0999000062491398</v>
      </c>
      <c r="G218" s="1038">
        <f t="shared" ref="G218" si="226">100*(B218/B194-1)</f>
        <v>15.456599758252576</v>
      </c>
      <c r="H218" s="861">
        <f t="shared" si="156"/>
        <v>1.2173493483885314</v>
      </c>
    </row>
    <row r="219" spans="1:8">
      <c r="A219" s="1032" t="str">
        <f>'Seg_ATEGO 2426'!A219</f>
        <v>NOVEMBRO|17</v>
      </c>
      <c r="B219" s="918">
        <f>geral!M1618</f>
        <v>935.65290531527205</v>
      </c>
      <c r="C219" s="918">
        <f t="shared" ref="C219" si="227">100*B219/$B$8</f>
        <v>335.74454762281903</v>
      </c>
      <c r="D219" s="1036">
        <f t="shared" ref="D219" si="228">100*((B219/B218)-1)</f>
        <v>-0.55147063628373516</v>
      </c>
      <c r="E219" s="1036">
        <f t="shared" ref="E219" si="229">100*((B219/$B$208)-1)</f>
        <v>6.2377613634020168</v>
      </c>
      <c r="F219" s="1037">
        <f t="shared" ref="F219" si="230">100*((B219/B207)-1)</f>
        <v>7.954666447476999</v>
      </c>
      <c r="G219" s="1038">
        <f t="shared" ref="G219" si="231">100*(B219/B195-1)</f>
        <v>15.58126717449011</v>
      </c>
      <c r="H219" s="861">
        <f t="shared" si="156"/>
        <v>1.2240998998952324</v>
      </c>
    </row>
    <row r="220" spans="1:8">
      <c r="A220" s="1032" t="str">
        <f>'Seg_ATEGO 2426'!A220</f>
        <v>DEZEMBRO|17</v>
      </c>
      <c r="B220" s="918">
        <f>geral!M1619</f>
        <v>926.06236745837225</v>
      </c>
      <c r="C220" s="918">
        <f t="shared" ref="C220" si="232">100*B220/$B$8</f>
        <v>332.3031317132095</v>
      </c>
      <c r="D220" s="1036">
        <f t="shared" ref="D220" si="233">100*((B220/B219)-1)</f>
        <v>-1.025010215050659</v>
      </c>
      <c r="E220" s="1036">
        <f t="shared" ref="E220" si="234">100*((B220/$B$208)-1)</f>
        <v>5.1488134571860078</v>
      </c>
      <c r="F220" s="1037">
        <f t="shared" ref="F220" si="235">100*((B220/B208)-1)</f>
        <v>5.1488134571860078</v>
      </c>
      <c r="G220" s="1038">
        <f t="shared" ref="G220" si="236">100*(B220/B196-1)</f>
        <v>14.769798502898478</v>
      </c>
      <c r="H220" s="861">
        <f t="shared" si="156"/>
        <v>1.2367769903840651</v>
      </c>
    </row>
    <row r="221" spans="1:8">
      <c r="A221" s="1032" t="str">
        <f>'Seg_ATEGO 2426'!A221</f>
        <v>JANEIRO|18</v>
      </c>
      <c r="B221" s="918">
        <f>geral!O1608</f>
        <v>923.68040380763887</v>
      </c>
      <c r="C221" s="918">
        <f t="shared" ref="C221" si="237">100*B221/$B$8</f>
        <v>331.44840096441754</v>
      </c>
      <c r="D221" s="1036">
        <f t="shared" ref="D221" si="238">100*((B221/B220)-1)</f>
        <v>-0.25721417200774699</v>
      </c>
      <c r="E221" s="1036">
        <f t="shared" ref="E221:E226" si="239">100*((B221/$B$220)-1)</f>
        <v>-0.25721417200774699</v>
      </c>
      <c r="F221" s="1037">
        <f t="shared" ref="F221" si="240">100*((B221/B209)-1)</f>
        <v>4.3850263398497846</v>
      </c>
      <c r="G221" s="1038">
        <f t="shared" ref="G221" si="241">100*(B221/B197-1)</f>
        <v>14.415200094412729</v>
      </c>
      <c r="H221" s="861">
        <f t="shared" si="156"/>
        <v>1.2399663595890567</v>
      </c>
    </row>
    <row r="222" spans="1:8">
      <c r="A222" s="1032" t="str">
        <f>'Seg_ATEGO 2426'!A222</f>
        <v>FEVEREIRO|18</v>
      </c>
      <c r="B222" s="918">
        <f>geral!O1609</f>
        <v>931.50441359820536</v>
      </c>
      <c r="C222" s="918">
        <f t="shared" ref="C222" si="242">100*B222/$B$8</f>
        <v>334.25592564884647</v>
      </c>
      <c r="D222" s="1036">
        <f t="shared" ref="D222" si="243">100*((B222/B221)-1)</f>
        <v>0.84704728587008393</v>
      </c>
      <c r="E222" s="1036">
        <f t="shared" si="239"/>
        <v>0.58765438819947668</v>
      </c>
      <c r="F222" s="1037">
        <f t="shared" ref="F222" si="244">100*((B222/B210)-1)</f>
        <v>4.4586167950714017</v>
      </c>
      <c r="G222" s="1038">
        <f t="shared" ref="G222" si="245">100*(B222/B198-1)</f>
        <v>13.457493213028805</v>
      </c>
      <c r="H222" s="861">
        <f t="shared" si="156"/>
        <v>1.2295514771732847</v>
      </c>
    </row>
    <row r="223" spans="1:8">
      <c r="A223" s="1032" t="str">
        <f>'Seg_ATEGO 2426'!A223</f>
        <v>MARÇO|18</v>
      </c>
      <c r="B223" s="918">
        <f>geral!O1610</f>
        <v>926.33589438477236</v>
      </c>
      <c r="C223" s="918">
        <f t="shared" ref="C223" si="246">100*B223/$B$8</f>
        <v>332.40128261259235</v>
      </c>
      <c r="D223" s="1036">
        <f t="shared" ref="D223" si="247">100*((B223/B222)-1)</f>
        <v>-0.55485718993730782</v>
      </c>
      <c r="E223" s="1036">
        <f t="shared" si="239"/>
        <v>2.9536555637266204E-2</v>
      </c>
      <c r="F223" s="1037">
        <f t="shared" ref="F223" si="248">100*((B223/B211)-1)</f>
        <v>2.4679993169102188</v>
      </c>
      <c r="G223" s="1038">
        <f t="shared" ref="G223" si="249">100*(B223/B199-1)</f>
        <v>10.51678238601783</v>
      </c>
      <c r="H223" s="861">
        <f t="shared" si="156"/>
        <v>1.2364117969257604</v>
      </c>
    </row>
    <row r="224" spans="1:8">
      <c r="A224" s="1032" t="str">
        <f>'Seg_ATEGO 2426'!A224</f>
        <v>ABRIL|18</v>
      </c>
      <c r="B224" s="918">
        <f>geral!O1611</f>
        <v>933.36607649675568</v>
      </c>
      <c r="C224" s="918">
        <f t="shared" ref="C224" si="250">100*B224/$B$8</f>
        <v>334.92395453450399</v>
      </c>
      <c r="D224" s="1036">
        <f t="shared" ref="D224" si="251">100*((B224/B223)-1)</f>
        <v>0.75892364255758515</v>
      </c>
      <c r="E224" s="1036">
        <f t="shared" si="239"/>
        <v>0.78868435809877901</v>
      </c>
      <c r="F224" s="1037">
        <f t="shared" ref="F224" si="252">100*((B224/B212)-1)</f>
        <v>3.2645299640474468</v>
      </c>
      <c r="G224" s="1038">
        <f t="shared" ref="G224" si="253">100*(B224/B200-1)</f>
        <v>10.49910941646759</v>
      </c>
      <c r="H224" s="861">
        <f t="shared" si="156"/>
        <v>1.22709905210176</v>
      </c>
    </row>
    <row r="225" spans="1:8">
      <c r="A225" s="1032" t="str">
        <f>'Seg_ATEGO 2426'!A225</f>
        <v>MAIO|18</v>
      </c>
      <c r="B225" s="918">
        <f>geral!O1612</f>
        <v>930.82455547228881</v>
      </c>
      <c r="C225" s="918">
        <f t="shared" ref="C225" si="254">100*B225/$B$8</f>
        <v>334.01196909440534</v>
      </c>
      <c r="D225" s="1036">
        <f t="shared" ref="D225" si="255">100*((B225/B224)-1)</f>
        <v>-0.27229627136290402</v>
      </c>
      <c r="E225" s="1036">
        <f t="shared" si="239"/>
        <v>0.51424052863595637</v>
      </c>
      <c r="F225" s="1037">
        <f t="shared" ref="F225" si="256">100*((B225/B213)-1)</f>
        <v>3.4300231563334727</v>
      </c>
      <c r="G225" s="1038">
        <f t="shared" ref="G225" si="257">100*(B225/B201-1)</f>
        <v>10.19822446163734</v>
      </c>
      <c r="H225" s="861">
        <f t="shared" si="156"/>
        <v>1.2304495202664483</v>
      </c>
    </row>
    <row r="226" spans="1:8">
      <c r="A226" s="1032" t="str">
        <f>'Seg_ATEGO 2426'!A226</f>
        <v>JUNHO|18</v>
      </c>
      <c r="B226" s="918">
        <f>geral!O1613</f>
        <v>938.88220284582212</v>
      </c>
      <c r="C226" s="918">
        <f t="shared" ref="C226" si="258">100*B226/$B$8</f>
        <v>336.90333100539044</v>
      </c>
      <c r="D226" s="1036">
        <f t="shared" ref="D226" si="259">100*((B226/B225)-1)</f>
        <v>0.86564619789655239</v>
      </c>
      <c r="E226" s="1036">
        <f t="shared" si="239"/>
        <v>1.3843382301166773</v>
      </c>
      <c r="F226" s="1037">
        <f t="shared" ref="F226" si="260">100*((B226/B214)-1)</f>
        <v>1.8690862164280508</v>
      </c>
      <c r="G226" s="1038">
        <f t="shared" ref="G226" si="261">100*(B226/B202-1)</f>
        <v>9.9798590454404987</v>
      </c>
      <c r="H226" s="861">
        <f t="shared" si="156"/>
        <v>1.2198895923913766</v>
      </c>
    </row>
    <row r="227" spans="1:8">
      <c r="A227" s="1032" t="str">
        <f>'Seg_ATEGO 2426'!A227</f>
        <v>JULHO|18</v>
      </c>
      <c r="B227" s="918">
        <f>geral!O1614</f>
        <v>928.93266089802216</v>
      </c>
      <c r="C227" s="918">
        <f t="shared" ref="C227" si="262">100*B227/$B$8</f>
        <v>333.33309204034094</v>
      </c>
      <c r="D227" s="1036">
        <f t="shared" ref="D227" si="263">100*((B227/B226)-1)</f>
        <v>-1.0597220735084956</v>
      </c>
      <c r="E227" s="1036">
        <f t="shared" ref="E227" si="264">100*((B227/$B$220)-1)</f>
        <v>0.30994601881162431</v>
      </c>
      <c r="F227" s="1037">
        <f t="shared" ref="F227" si="265">100*((B227/B215)-1)</f>
        <v>-0.67268162187692493</v>
      </c>
      <c r="G227" s="1038">
        <f t="shared" ref="G227" si="266">100*(B227/B203-1)</f>
        <v>7.9429374421444043</v>
      </c>
      <c r="H227" s="861">
        <f t="shared" si="156"/>
        <v>1.2329554939169503</v>
      </c>
    </row>
    <row r="228" spans="1:8">
      <c r="A228" s="1032" t="str">
        <f>'Seg_ATEGO 2426'!A228</f>
        <v>AGOSTO|18</v>
      </c>
      <c r="B228" s="918">
        <f>geral!O1615</f>
        <v>933.42306127308882</v>
      </c>
      <c r="C228" s="918">
        <f t="shared" ref="C228" si="267">100*B228/$B$8</f>
        <v>334.94440263854199</v>
      </c>
      <c r="D228" s="1036">
        <f t="shared" ref="D228" si="268">100*((B228/B227)-1)</f>
        <v>0.48339352937871727</v>
      </c>
      <c r="E228" s="1036">
        <f t="shared" ref="E228" si="269">100*((B228/$B$220)-1)</f>
        <v>0.79483780718985209</v>
      </c>
      <c r="F228" s="1037">
        <f t="shared" ref="F228" si="270">100*((B228/B216)-1)</f>
        <v>-0.96362992956594562</v>
      </c>
      <c r="G228" s="1038">
        <f t="shared" ref="G228" si="271">100*(B228/B204-1)</f>
        <v>8.1110828454899355</v>
      </c>
      <c r="H228" s="861">
        <f t="shared" si="156"/>
        <v>1.2270241386269127</v>
      </c>
    </row>
    <row r="229" spans="1:8">
      <c r="A229" s="1032" t="str">
        <f>'Seg_ATEGO 2426'!A229</f>
        <v>SETEMBRO|18</v>
      </c>
      <c r="B229" s="918">
        <f>geral!O1616</f>
        <v>945.99390293222211</v>
      </c>
      <c r="C229" s="918">
        <f t="shared" ref="C229" si="272">100*B229/$B$8</f>
        <v>339.45525438934339</v>
      </c>
      <c r="D229" s="1036">
        <f t="shared" ref="D229" si="273">100*((B229/B228)-1)</f>
        <v>1.346746419783984</v>
      </c>
      <c r="E229" s="1036">
        <f t="shared" ref="E229" si="274">100*((B229/$B$220)-1)</f>
        <v>2.1522886766852434</v>
      </c>
      <c r="F229" s="1037">
        <f t="shared" ref="F229" si="275">100*((B229/B217)-1)</f>
        <v>0.53060270368108231</v>
      </c>
      <c r="G229" s="1038">
        <f t="shared" ref="G229" si="276">100*(B229/B205-1)</f>
        <v>9.5735737523453324</v>
      </c>
      <c r="H229" s="861">
        <f t="shared" si="156"/>
        <v>1.2107188261816606</v>
      </c>
    </row>
    <row r="230" spans="1:8">
      <c r="A230" s="1032" t="str">
        <f>'Seg_ATEGO 2426'!A230</f>
        <v>OUTUBRO|18</v>
      </c>
      <c r="B230" s="918">
        <f>geral!O1617</f>
        <v>964.66781413665547</v>
      </c>
      <c r="C230" s="918">
        <f t="shared" ref="C230" si="277">100*B230/$B$8</f>
        <v>346.1560980826236</v>
      </c>
      <c r="D230" s="1036">
        <f t="shared" ref="D230" si="278">100*((B230/B229)-1)</f>
        <v>1.9739991078749464</v>
      </c>
      <c r="E230" s="1036">
        <f t="shared" ref="E230" si="279">100*((B230/$B$220)-1)</f>
        <v>4.1687739438368343</v>
      </c>
      <c r="F230" s="1037">
        <f t="shared" ref="F230" si="280">100*((B230/B218)-1)</f>
        <v>2.532461445278722</v>
      </c>
      <c r="G230" s="1038">
        <f t="shared" ref="G230" si="281">100*(B230/B206-1)</f>
        <v>11.862812910745046</v>
      </c>
      <c r="H230" s="861">
        <f t="shared" si="156"/>
        <v>1.1872818922212525</v>
      </c>
    </row>
    <row r="231" spans="1:8">
      <c r="A231" s="1032" t="str">
        <f>'Seg_ATEGO 2426'!A231</f>
        <v>NOVEMBRO|18</v>
      </c>
      <c r="B231" s="918">
        <f>geral!O1618</f>
        <v>964.66781413665547</v>
      </c>
      <c r="C231" s="918">
        <f t="shared" ref="C231" si="282">100*B231/$B$8</f>
        <v>346.1560980826236</v>
      </c>
      <c r="D231" s="1036">
        <f t="shared" ref="D231" si="283">100*((B231/B230)-1)</f>
        <v>0</v>
      </c>
      <c r="E231" s="1036">
        <f t="shared" ref="E231" si="284">100*((B231/$B$220)-1)</f>
        <v>4.1687739438368343</v>
      </c>
      <c r="F231" s="1037">
        <f t="shared" ref="F231" si="285">100*((B231/B219)-1)</f>
        <v>3.1010333700194792</v>
      </c>
      <c r="G231" s="1038">
        <f t="shared" ref="G231" si="286">100*(B231/B207-1)</f>
        <v>11.302376678506487</v>
      </c>
      <c r="H231" s="861">
        <f t="shared" si="156"/>
        <v>1.1872818922212525</v>
      </c>
    </row>
    <row r="232" spans="1:8">
      <c r="A232" s="1032" t="str">
        <f>'Seg_ATEGO 2426'!A232</f>
        <v>DEZEMBRO|18</v>
      </c>
      <c r="B232" s="918">
        <f>geral!O1619</f>
        <v>974.74842107002223</v>
      </c>
      <c r="C232" s="918">
        <f t="shared" ref="C232" si="287">100*B232/$B$8</f>
        <v>349.77336768696074</v>
      </c>
      <c r="D232" s="1036">
        <f t="shared" ref="D232" si="288">100*((B232/B231)-1)</f>
        <v>1.0449821986015628</v>
      </c>
      <c r="E232" s="1036">
        <f t="shared" ref="E232" si="289">100*((B232/$B$220)-1)</f>
        <v>5.2573190880514264</v>
      </c>
      <c r="F232" s="1037">
        <f t="shared" ref="F232" si="290">100*((B232/B220)-1)</f>
        <v>5.2573190880514264</v>
      </c>
      <c r="G232" s="1038">
        <f t="shared" ref="G232" si="291">100*(B232/B208-1)</f>
        <v>10.676822097930238</v>
      </c>
      <c r="H232" s="861">
        <f t="shared" si="156"/>
        <v>1.1750033167284621</v>
      </c>
    </row>
    <row r="233" spans="1:8">
      <c r="A233" s="1032" t="str">
        <f>'Seg_ATEGO 2426'!A233</f>
        <v>JANEIRO|19</v>
      </c>
      <c r="B233" s="918">
        <f>geral!Q1608</f>
        <v>982.6807019356221</v>
      </c>
      <c r="C233" s="918">
        <f t="shared" ref="C233" si="292">100*B233/$B$8</f>
        <v>352.61974376906204</v>
      </c>
      <c r="D233" s="1036">
        <f t="shared" ref="D233" si="293">100*((B233/B232)-1)</f>
        <v>0.81377724694258191</v>
      </c>
      <c r="E233" s="1036">
        <f t="shared" ref="E233:E238" si="294">100*((B233/$B$232)-1)</f>
        <v>0.81377724694258191</v>
      </c>
      <c r="F233" s="1037">
        <f t="shared" ref="F233" si="295">100*((B233/B221)-1)</f>
        <v>6.3875229879046369</v>
      </c>
      <c r="G233" s="1038">
        <f t="shared" ref="G233" si="296">100*(B233/B209-1)</f>
        <v>11.05264389323799</v>
      </c>
      <c r="H233" s="861">
        <f t="shared" si="156"/>
        <v>1.1655185916209652</v>
      </c>
    </row>
    <row r="234" spans="1:8">
      <c r="A234" s="1032" t="str">
        <f>'Seg_ATEGO 2426'!A234</f>
        <v>FEVEREIRO|19</v>
      </c>
      <c r="B234" s="918">
        <f>geral!Q1609</f>
        <v>996.65056899798526</v>
      </c>
      <c r="C234" s="918">
        <f t="shared" ref="C234" si="297">100*B234/$B$8</f>
        <v>357.63261410864976</v>
      </c>
      <c r="D234" s="1036">
        <f t="shared" ref="D234" si="298">100*((B234/B233)-1)</f>
        <v>1.4216079581949925</v>
      </c>
      <c r="E234" s="1036">
        <f t="shared" si="294"/>
        <v>2.2469539272420791</v>
      </c>
      <c r="F234" s="1037">
        <f t="shared" ref="F234" si="299">100*((B234/B222)-1)</f>
        <v>6.9936496755967026</v>
      </c>
      <c r="G234" s="1038">
        <f t="shared" ref="G234" si="300">100*(B234/B210-1)</f>
        <v>11.764086509692717</v>
      </c>
      <c r="H234" s="861">
        <f t="shared" si="156"/>
        <v>1.1491817326554128</v>
      </c>
    </row>
    <row r="235" spans="1:8">
      <c r="A235" s="1032" t="str">
        <f>'Seg_ATEGO 2426'!A235</f>
        <v>MARÇO|19</v>
      </c>
      <c r="B235" s="918">
        <f>geral!Q1610</f>
        <v>1015.9912020855187</v>
      </c>
      <c r="C235" s="918">
        <f t="shared" ref="C235" si="301">100*B235/$B$8</f>
        <v>364.57270061917563</v>
      </c>
      <c r="D235" s="1036">
        <f t="shared" ref="D235" si="302">100*((B235/B234)-1)</f>
        <v>1.9405630909314686</v>
      </c>
      <c r="E235" s="1036">
        <f t="shared" si="294"/>
        <v>4.2311205767558535</v>
      </c>
      <c r="F235" s="1037">
        <f t="shared" ref="F235" si="303">100*((B235/B223)-1)</f>
        <v>9.6784879269188995</v>
      </c>
      <c r="G235" s="1038">
        <f t="shared" ref="G235" si="304">100*(B235/B211-1)</f>
        <v>12.385352259752702</v>
      </c>
      <c r="H235" s="861">
        <f t="shared" si="156"/>
        <v>1.127305655188835</v>
      </c>
    </row>
    <row r="236" spans="1:8">
      <c r="A236" s="1032" t="str">
        <f>'Seg_ATEGO 2426'!A236</f>
        <v>ABRIL|19</v>
      </c>
      <c r="B236" s="918">
        <f>geral!Q1611</f>
        <v>999.363044351452</v>
      </c>
      <c r="C236" s="918">
        <f t="shared" ref="C236" si="305">100*B236/$B$8</f>
        <v>358.60594386086262</v>
      </c>
      <c r="D236" s="1036">
        <f t="shared" ref="D236" si="306">100*((B236/B235)-1)</f>
        <v>-1.6366438705309849</v>
      </c>
      <c r="E236" s="1036">
        <f t="shared" si="294"/>
        <v>2.5252283306506085</v>
      </c>
      <c r="F236" s="1037">
        <f t="shared" ref="F236" si="307">100*((B236/B224)-1)</f>
        <v>7.0708556392370392</v>
      </c>
      <c r="G236" s="1038">
        <f t="shared" ref="G236" si="308">100*(B236/B212-1)</f>
        <v>10.566215804341915</v>
      </c>
      <c r="H236" s="861">
        <f t="shared" si="156"/>
        <v>1.1460626187917369</v>
      </c>
    </row>
    <row r="237" spans="1:8">
      <c r="A237" s="1032" t="str">
        <f>'Seg_ATEGO 2426'!A237</f>
        <v>MAIO|19</v>
      </c>
      <c r="B237" s="918">
        <f>geral!Q1612</f>
        <v>1004.7879950583856</v>
      </c>
      <c r="C237" s="918">
        <f t="shared" ref="C237" si="309">100*B237/$B$8</f>
        <v>360.55260336528835</v>
      </c>
      <c r="D237" s="1036">
        <f t="shared" ref="D237" si="310">100*((B237/B236)-1)</f>
        <v>0.5428408362302628</v>
      </c>
      <c r="E237" s="1036">
        <f t="shared" si="294"/>
        <v>3.0817771374677116</v>
      </c>
      <c r="F237" s="1037">
        <f t="shared" ref="F237" si="311">100*((B237/B225)-1)</f>
        <v>7.9460129356566656</v>
      </c>
      <c r="G237" s="1038">
        <f t="shared" ref="G237" si="312">100*(B237/B213-1)</f>
        <v>11.648586175688425</v>
      </c>
      <c r="H237" s="861">
        <f t="shared" si="156"/>
        <v>1.1398749122859051</v>
      </c>
    </row>
    <row r="238" spans="1:8">
      <c r="A238" s="1032" t="str">
        <f>'Seg_ATEGO 2426'!A238</f>
        <v>JUNHO|19</v>
      </c>
      <c r="B238" s="918">
        <f>geral!Q1613</f>
        <v>1004.799392013652</v>
      </c>
      <c r="C238" s="918">
        <f t="shared" ref="C238" si="313">100*B238/$B$8</f>
        <v>360.55669298609587</v>
      </c>
      <c r="D238" s="1036">
        <f t="shared" ref="D238" si="314">100*((B238/B237)-1)</f>
        <v>1.1342646729861627E-3</v>
      </c>
      <c r="E238" s="1036">
        <f t="shared" si="294"/>
        <v>3.0829463576500737</v>
      </c>
      <c r="F238" s="1037">
        <f t="shared" ref="F238" si="315">100*((B238/B226)-1)</f>
        <v>7.0208157070215993</v>
      </c>
      <c r="G238" s="1038">
        <f t="shared" ref="G238" si="316">100*(B238/B214-1)</f>
        <v>9.0211270221103987</v>
      </c>
      <c r="H238" s="861">
        <f t="shared" si="156"/>
        <v>1.1398619832341084</v>
      </c>
    </row>
    <row r="239" spans="1:8">
      <c r="A239" s="1032" t="str">
        <f>'Seg_ATEGO 2426'!A239</f>
        <v>JULHO|19</v>
      </c>
      <c r="B239" s="918">
        <f>geral!Q1614</f>
        <v>1018.8575363350855</v>
      </c>
      <c r="C239" s="918">
        <f t="shared" ref="C239" si="317">100*B239/$B$8</f>
        <v>365.60124025229129</v>
      </c>
      <c r="D239" s="1036">
        <f t="shared" ref="D239" si="318">100*((B239/B238)-1)</f>
        <v>1.3990996046743698</v>
      </c>
      <c r="E239" s="1036">
        <f t="shared" ref="E239" si="319">100*((B239/$B$232)-1)</f>
        <v>4.5251794526266265</v>
      </c>
      <c r="F239" s="1037">
        <f t="shared" ref="F239" si="320">100*((B239/B227)-1)</f>
        <v>9.6804514710604259</v>
      </c>
      <c r="G239" s="1038">
        <f t="shared" ref="G239" si="321">100*(B239/B215-1)</f>
        <v>8.9426512312229534</v>
      </c>
      <c r="H239" s="861">
        <f t="shared" si="156"/>
        <v>1.1241342257259672</v>
      </c>
    </row>
    <row r="240" spans="1:8">
      <c r="A240" s="1032" t="str">
        <f>'Seg_ATEGO 2426'!A240</f>
        <v>AGOSTO|19</v>
      </c>
      <c r="B240" s="918">
        <f>geral!Q1615</f>
        <v>1030.009457063519</v>
      </c>
      <c r="C240" s="918">
        <f t="shared" ref="C240" si="322">100*B240/$B$8</f>
        <v>369.60293421254448</v>
      </c>
      <c r="D240" s="1036">
        <f t="shared" ref="D240" si="323">100*((B240/B239)-1)</f>
        <v>1.094551527640264</v>
      </c>
      <c r="E240" s="1036">
        <f t="shared" ref="E240" si="324">100*((B240/$B$232)-1)</f>
        <v>5.6692614010940723</v>
      </c>
      <c r="F240" s="1037">
        <f t="shared" ref="F240" si="325">100*((B240/B228)-1)</f>
        <v>10.347547623121356</v>
      </c>
      <c r="G240" s="1038">
        <f t="shared" ref="G240" si="326">100*(B240/B216-1)</f>
        <v>9.2842056276829297</v>
      </c>
      <c r="H240" s="861">
        <f t="shared" si="156"/>
        <v>1.1119632153653876</v>
      </c>
    </row>
    <row r="241" spans="1:8">
      <c r="A241" s="1032" t="str">
        <f>'Seg_ATEGO 2426'!A241</f>
        <v>SETEMBRO|19</v>
      </c>
      <c r="B241" s="918">
        <f>geral!Q1616</f>
        <v>1039.4746284124856</v>
      </c>
      <c r="C241" s="918">
        <f t="shared" ref="C241" si="327">100*B241/$B$8</f>
        <v>372.99936429327028</v>
      </c>
      <c r="D241" s="1036">
        <f t="shared" ref="D241" si="328">100*((B241/B240)-1)</f>
        <v>0.91894023730141328</v>
      </c>
      <c r="E241" s="1036">
        <f t="shared" ref="E241" si="329">100*((B241/$B$232)-1)</f>
        <v>6.6402987625679533</v>
      </c>
      <c r="F241" s="1037">
        <f t="shared" ref="F241" si="330">100*((B241/B229)-1)</f>
        <v>9.8817471434550228</v>
      </c>
      <c r="G241" s="1038">
        <f t="shared" ref="G241" si="331">100*(B241/B217-1)</f>
        <v>10.464782664650208</v>
      </c>
      <c r="H241" s="861">
        <f t="shared" si="156"/>
        <v>1.1018379827916449</v>
      </c>
    </row>
    <row r="242" spans="1:8">
      <c r="A242" s="1032" t="str">
        <f>'Seg_ATEGO 2426'!A242</f>
        <v>OUTUBRO|19</v>
      </c>
      <c r="B242" s="918">
        <f>geral!Q1617</f>
        <v>1040.9505341195188</v>
      </c>
      <c r="C242" s="918">
        <f t="shared" ref="C242" si="332">100*B242/$B$8</f>
        <v>373.5289701878566</v>
      </c>
      <c r="D242" s="1036">
        <f t="shared" ref="D242" si="333">100*((B242/B241)-1)</f>
        <v>0.14198573651453827</v>
      </c>
      <c r="E242" s="1036">
        <f t="shared" ref="E242" si="334">100*((B242/$B$232)-1)</f>
        <v>6.7917127761872864</v>
      </c>
      <c r="F242" s="1037">
        <f t="shared" ref="F242" si="335">100*((B242/B230)-1)</f>
        <v>7.9076671642801522</v>
      </c>
      <c r="G242" s="1038">
        <f t="shared" ref="G242" si="336">100*(B242/B218-1)</f>
        <v>10.640387231715231</v>
      </c>
      <c r="H242" s="861">
        <f t="shared" si="156"/>
        <v>1.1002757481669192</v>
      </c>
    </row>
    <row r="243" spans="1:8">
      <c r="A243" s="1032" t="str">
        <f>'Seg_ATEGO 2426'!A243</f>
        <v>NOVEMBRO|19</v>
      </c>
      <c r="B243" s="918">
        <f>geral!Q1618</f>
        <v>1029.3997199567523</v>
      </c>
      <c r="C243" s="918">
        <f t="shared" ref="C243" si="337">100*B243/$B$8</f>
        <v>369.38413949933692</v>
      </c>
      <c r="D243" s="1036">
        <f t="shared" ref="D243" si="338">100*((B243/B242)-1)</f>
        <v>-1.1096410236761889</v>
      </c>
      <c r="E243" s="1036">
        <f t="shared" ref="E243" si="339">100*((B243/$B$232)-1)</f>
        <v>5.606708121336279</v>
      </c>
      <c r="F243" s="1037">
        <f t="shared" ref="F243" si="340">100*((B243/B231)-1)</f>
        <v>6.710279421733345</v>
      </c>
      <c r="G243" s="1038">
        <f t="shared" ref="G243" si="341">100*(B243/B219-1)</f>
        <v>10.019400795842337</v>
      </c>
      <c r="H243" s="861">
        <f t="shared" si="156"/>
        <v>1.1126218567275559</v>
      </c>
    </row>
    <row r="244" spans="1:8">
      <c r="A244" s="1032" t="str">
        <f>'Seg_ATEGO 2426'!A244</f>
        <v>DEZEMBRO|19</v>
      </c>
      <c r="B244" s="918">
        <f>geral!Q1619</f>
        <v>1048.3699519981189</v>
      </c>
      <c r="C244" s="918">
        <f t="shared" ref="C244" si="342">100*B244/$B$8</f>
        <v>376.1913133336152</v>
      </c>
      <c r="D244" s="1036">
        <f t="shared" ref="D244" si="343">100*((B244/B243)-1)</f>
        <v>1.8428441035678311</v>
      </c>
      <c r="E244" s="1036">
        <f t="shared" ref="E244" si="344">100*((B244/$B$232)-1)</f>
        <v>7.5528751149223972</v>
      </c>
      <c r="F244" s="1037">
        <f t="shared" ref="F244" si="345">100*((B244/B232)-1)</f>
        <v>7.5528751149223972</v>
      </c>
      <c r="G244" s="1038">
        <f t="shared" ref="G244" si="346">100*(B244/B220-1)</f>
        <v>13.207272948087322</v>
      </c>
      <c r="H244" s="861">
        <f t="shared" si="156"/>
        <v>1.092488987833145</v>
      </c>
    </row>
    <row r="245" spans="1:8">
      <c r="A245" s="1032" t="str">
        <f>'Seg_ATEGO 2426'!A245</f>
        <v>JANEIRO|20</v>
      </c>
      <c r="B245" s="918">
        <f>geral!S1608</f>
        <v>1030.7274652453186</v>
      </c>
      <c r="C245" s="918">
        <f t="shared" ref="C245" si="347">100*B245/$B$8</f>
        <v>369.86058032342419</v>
      </c>
      <c r="D245" s="1036">
        <f t="shared" ref="D245" si="348">100*((B245/B244)-1)</f>
        <v>-1.6828493337847972</v>
      </c>
      <c r="E245" s="1036">
        <f t="shared" ref="E245:E250" si="349">100*((B245/$B$244)-1)</f>
        <v>-1.6828493337847972</v>
      </c>
      <c r="F245" s="1037">
        <f t="shared" ref="F245" si="350">100*((B245/B233)-1)</f>
        <v>4.8893565544797069</v>
      </c>
      <c r="G245" s="1038">
        <f t="shared" ref="G245" si="351">100*(B245/B221-1)</f>
        <v>11.589188316262344</v>
      </c>
      <c r="H245" s="861">
        <f t="shared" si="156"/>
        <v>1.111188618089761</v>
      </c>
    </row>
    <row r="246" spans="1:8">
      <c r="A246" s="1032" t="str">
        <f>'Seg_ATEGO 2426'!A246</f>
        <v>FEVEREIRO|20</v>
      </c>
      <c r="B246" s="918">
        <f>geral!S1609</f>
        <v>1046.7759174195942</v>
      </c>
      <c r="C246" s="918">
        <f t="shared" ref="C246" si="352">100*B246/$B$8</f>
        <v>375.61931872383889</v>
      </c>
      <c r="D246" s="1036">
        <f t="shared" ref="D246" si="353">100*((B246/B245)-1)</f>
        <v>1.5570024779009817</v>
      </c>
      <c r="E246" s="1036">
        <f t="shared" si="349"/>
        <v>-0.15204886171018561</v>
      </c>
      <c r="F246" s="1037">
        <f t="shared" ref="F246" si="354">100*((B246/B234)-1)</f>
        <v>5.0293804048096913</v>
      </c>
      <c r="G246" s="1038">
        <f t="shared" ref="G246" si="355">100*(B246/B222-1)</f>
        <v>12.374767326771895</v>
      </c>
      <c r="H246" s="861">
        <f t="shared" si="156"/>
        <v>1.0941526344592123</v>
      </c>
    </row>
    <row r="247" spans="1:8">
      <c r="A247" s="1032" t="str">
        <f>'Seg_ATEGO 2426'!A247</f>
        <v>MARÇO|20</v>
      </c>
      <c r="B247" s="918">
        <f>geral!S1610</f>
        <v>1062.1504100743275</v>
      </c>
      <c r="C247" s="918">
        <f t="shared" ref="C247" si="356">100*B247/$B$8</f>
        <v>381.136217193314</v>
      </c>
      <c r="D247" s="1036">
        <f t="shared" ref="D247" si="357">100*((B247/B246)-1)</f>
        <v>1.4687472647090472</v>
      </c>
      <c r="E247" s="1036">
        <f t="shared" si="349"/>
        <v>1.3144651895014681</v>
      </c>
      <c r="F247" s="1037">
        <f t="shared" ref="F247" si="358">100*((B247/B235)-1)</f>
        <v>4.5432684745751795</v>
      </c>
      <c r="G247" s="1038">
        <f t="shared" ref="G247" si="359">100*(B247/B223-1)</f>
        <v>14.661476092293357</v>
      </c>
      <c r="H247" s="861">
        <f t="shared" si="156"/>
        <v>1.0783149136598829</v>
      </c>
    </row>
    <row r="248" spans="1:8">
      <c r="A248" s="1032" t="str">
        <f>'Seg_ATEGO 2426'!A248</f>
        <v>ABRIL|20</v>
      </c>
      <c r="B248" s="918">
        <f>geral!S1611</f>
        <v>1069.5071446989607</v>
      </c>
      <c r="C248" s="918">
        <f t="shared" ref="C248" si="360">100*B248/$B$8</f>
        <v>383.77606742463064</v>
      </c>
      <c r="D248" s="1036">
        <f t="shared" ref="D248" si="361">100*((B248/B247)-1)</f>
        <v>0.69262644488536917</v>
      </c>
      <c r="E248" s="1036">
        <f t="shared" si="349"/>
        <v>2.0161959678981489</v>
      </c>
      <c r="F248" s="1037">
        <f t="shared" ref="F248" si="362">100*((B248/B236)-1)</f>
        <v>7.0188807504913742</v>
      </c>
      <c r="G248" s="1038">
        <f t="shared" ref="G248" si="363">100*(B248/B224-1)</f>
        <v>14.586031315085869</v>
      </c>
      <c r="H248" s="861">
        <f t="shared" si="156"/>
        <v>1.0708975937280811</v>
      </c>
    </row>
    <row r="249" spans="1:8">
      <c r="A249" s="1032" t="str">
        <f>'Seg_ATEGO 2426'!A249</f>
        <v>MAIO|20</v>
      </c>
      <c r="B249" s="918">
        <f>geral!S1612</f>
        <v>1080.6435096395076</v>
      </c>
      <c r="C249" s="918">
        <f t="shared" ref="C249" si="364">100*B249/$B$8</f>
        <v>387.77217943142944</v>
      </c>
      <c r="D249" s="1036">
        <f t="shared" ref="D249" si="365">100*((B249/B248)-1)</f>
        <v>1.041261388083714</v>
      </c>
      <c r="E249" s="1036">
        <f t="shared" si="349"/>
        <v>3.0784512261036845</v>
      </c>
      <c r="F249" s="1037">
        <f t="shared" ref="F249" si="366">100*((B249/B237)-1)</f>
        <v>7.5494049445439693</v>
      </c>
      <c r="G249" s="1038">
        <f t="shared" ref="G249" si="367">100*(B249/B225-1)</f>
        <v>16.095294573659213</v>
      </c>
      <c r="H249" s="861">
        <f t="shared" si="156"/>
        <v>1.0598616634593769</v>
      </c>
    </row>
    <row r="250" spans="1:8">
      <c r="A250" s="1032" t="str">
        <f>'Seg_ATEGO 2426'!A250</f>
        <v>JUNHO|20</v>
      </c>
      <c r="B250" s="918">
        <f>geral!S1613</f>
        <v>1079.811531905041</v>
      </c>
      <c r="C250" s="918">
        <f t="shared" ref="C250" si="368">100*B250/$B$8</f>
        <v>387.4736371124734</v>
      </c>
      <c r="D250" s="1036">
        <f t="shared" ref="D250" si="369">100*((B250/B249)-1)</f>
        <v>-7.6989102053104386E-2</v>
      </c>
      <c r="E250" s="1036">
        <f t="shared" si="349"/>
        <v>2.9990920520944542</v>
      </c>
      <c r="F250" s="1037">
        <f t="shared" ref="F250" si="370">100*((B250/B238)-1)</f>
        <v>7.4653846815195823</v>
      </c>
      <c r="G250" s="1038">
        <f t="shared" ref="G250" si="371">100*(B250/B226-1)</f>
        <v>15.010331288850875</v>
      </c>
      <c r="H250" s="861">
        <f t="shared" si="156"/>
        <v>1.0606782701352264</v>
      </c>
    </row>
    <row r="251" spans="1:8">
      <c r="A251" s="1032" t="str">
        <f>'Seg_ATEGO 2426'!A251</f>
        <v>JULHO|20</v>
      </c>
      <c r="B251" s="918">
        <f>geral!S1614</f>
        <v>1080.5238416092077</v>
      </c>
      <c r="C251" s="918">
        <f t="shared" ref="C251" si="372">100*B251/$B$8</f>
        <v>387.72923841294954</v>
      </c>
      <c r="D251" s="1036">
        <f>100*((B251/B250)-1)</f>
        <v>6.5966113818949346E-2</v>
      </c>
      <c r="E251" s="1036">
        <f t="shared" ref="E251" si="373">100*((B251/$B$244)-1)</f>
        <v>3.0670365503900232</v>
      </c>
      <c r="F251" s="1037">
        <f>100*((B251/B239)-1)</f>
        <v>6.0524953759424571</v>
      </c>
      <c r="G251" s="1038">
        <f>100*(B251/B227-1)</f>
        <v>16.318855724659166</v>
      </c>
      <c r="H251" s="861">
        <f t="shared" si="156"/>
        <v>1.059979043153163</v>
      </c>
    </row>
    <row r="252" spans="1:8">
      <c r="A252" s="1032" t="str">
        <f>'Seg_ATEGO 2426'!A252</f>
        <v>AGOSTO|20</v>
      </c>
      <c r="B252" s="918">
        <f>geral!S1615</f>
        <v>1121.062811492741</v>
      </c>
      <c r="C252" s="918">
        <f t="shared" ref="C252" si="374">100*B252/$B$8</f>
        <v>402.27601962564268</v>
      </c>
      <c r="D252" s="1036">
        <f>100*((B252/B251)-1)</f>
        <v>3.7517885605521828</v>
      </c>
      <c r="E252" s="1036">
        <f t="shared" ref="E252" si="375">100*((B252/$B$244)-1)</f>
        <v>6.9338938373877168</v>
      </c>
      <c r="F252" s="1037">
        <f>100*((B252/B240)-1)</f>
        <v>8.8400503320434041</v>
      </c>
      <c r="G252" s="1038">
        <f>100*(B252/B228-1)</f>
        <v>20.102326373180858</v>
      </c>
      <c r="H252" s="926">
        <f t="shared" si="156"/>
        <v>1.0216489352706746</v>
      </c>
    </row>
    <row r="253" spans="1:8" ht="16.5" thickBot="1">
      <c r="A253" s="1046" t="str">
        <f>'Seg_ATEGO 2426'!A253</f>
        <v>SETEMBRO|20</v>
      </c>
      <c r="B253" s="1047">
        <f>geral!S1616</f>
        <v>1145.3326277331078</v>
      </c>
      <c r="C253" s="1047">
        <f t="shared" ref="C253" si="376">100*B253/$B$8</f>
        <v>410.98486713546282</v>
      </c>
      <c r="D253" s="1048">
        <f>100*((B253/B252)-1)</f>
        <v>2.1648935270674574</v>
      </c>
      <c r="E253" s="1048">
        <f t="shared" ref="E253" si="377">100*((B253/$B$244)-1)</f>
        <v>9.2488987833144964</v>
      </c>
      <c r="F253" s="1051">
        <f>100*((B253/B241)-1)</f>
        <v>10.183798279164492</v>
      </c>
      <c r="G253" s="1052">
        <f>100*(B253/B229-1)</f>
        <v>21.071882618166061</v>
      </c>
      <c r="H253" s="1053">
        <f t="shared" si="156"/>
        <v>1</v>
      </c>
    </row>
    <row r="254" spans="1:8">
      <c r="A254" s="758" t="s">
        <v>238</v>
      </c>
      <c r="B254" s="728"/>
      <c r="C254" s="728"/>
      <c r="D254" s="762"/>
      <c r="E254" s="762"/>
      <c r="F254" s="776"/>
      <c r="G254" s="763"/>
      <c r="H254" s="777"/>
    </row>
    <row r="255" spans="1:8">
      <c r="B255" s="728"/>
      <c r="C255" s="728"/>
      <c r="D255" s="762"/>
      <c r="E255" s="762"/>
      <c r="F255" s="776"/>
      <c r="G255" s="763"/>
      <c r="H255" s="777"/>
    </row>
    <row r="256" spans="1:8">
      <c r="A256" s="733"/>
      <c r="B256" s="728"/>
      <c r="C256" s="728"/>
      <c r="D256" s="762"/>
      <c r="E256" s="762"/>
      <c r="F256" s="776"/>
      <c r="G256" s="763"/>
      <c r="H256" s="777"/>
    </row>
    <row r="257" spans="1:8">
      <c r="A257" s="733"/>
      <c r="B257" s="728"/>
      <c r="C257" s="728"/>
      <c r="D257" s="762"/>
      <c r="E257" s="762"/>
      <c r="F257" s="776"/>
      <c r="G257" s="763"/>
      <c r="H257" s="777"/>
    </row>
    <row r="258" spans="1:8">
      <c r="A258" s="733"/>
      <c r="B258" s="728"/>
      <c r="C258" s="728"/>
      <c r="D258" s="762"/>
      <c r="E258" s="762"/>
      <c r="F258" s="776"/>
      <c r="G258" s="763"/>
      <c r="H258" s="777"/>
    </row>
    <row r="259" spans="1:8">
      <c r="A259" s="733"/>
      <c r="B259" s="728"/>
      <c r="C259" s="728"/>
      <c r="D259" s="762"/>
      <c r="E259" s="762"/>
      <c r="F259" s="776"/>
      <c r="G259" s="763"/>
      <c r="H259" s="777"/>
    </row>
    <row r="260" spans="1:8">
      <c r="A260" s="733"/>
      <c r="B260" s="728"/>
      <c r="C260" s="728"/>
      <c r="D260" s="762"/>
      <c r="E260" s="762"/>
      <c r="F260" s="776"/>
      <c r="G260" s="763"/>
      <c r="H260" s="777"/>
    </row>
    <row r="261" spans="1:8">
      <c r="A261" s="733"/>
      <c r="B261" s="728"/>
      <c r="C261" s="728"/>
      <c r="D261" s="762"/>
      <c r="E261" s="762"/>
      <c r="F261" s="776"/>
      <c r="G261" s="763"/>
      <c r="H261" s="777"/>
    </row>
    <row r="262" spans="1:8">
      <c r="A262" s="733"/>
      <c r="B262" s="728"/>
      <c r="C262" s="728"/>
      <c r="D262" s="762"/>
      <c r="E262" s="762"/>
      <c r="F262" s="776"/>
      <c r="G262" s="763"/>
      <c r="H262" s="777"/>
    </row>
    <row r="263" spans="1:8">
      <c r="A263" s="733"/>
      <c r="B263" s="728"/>
      <c r="C263" s="728"/>
      <c r="D263" s="762"/>
      <c r="E263" s="762"/>
      <c r="F263" s="776"/>
      <c r="G263" s="763"/>
      <c r="H263" s="777"/>
    </row>
    <row r="264" spans="1:8">
      <c r="A264" s="733"/>
      <c r="B264" s="728"/>
      <c r="C264" s="728"/>
      <c r="D264" s="762"/>
      <c r="E264" s="762"/>
      <c r="F264" s="776"/>
      <c r="G264" s="763"/>
      <c r="H264" s="777"/>
    </row>
    <row r="265" spans="1:8">
      <c r="A265" s="733"/>
      <c r="B265" s="728"/>
      <c r="C265" s="728"/>
      <c r="D265" s="762"/>
      <c r="E265" s="762"/>
      <c r="F265" s="776"/>
      <c r="G265" s="763"/>
      <c r="H265" s="777"/>
    </row>
    <row r="266" spans="1:8">
      <c r="A266" s="733"/>
      <c r="B266" s="728"/>
      <c r="C266" s="728"/>
      <c r="D266" s="762"/>
      <c r="E266" s="762"/>
      <c r="F266" s="776"/>
      <c r="G266" s="763"/>
      <c r="H266" s="777"/>
    </row>
    <row r="267" spans="1:8">
      <c r="A267" s="733"/>
      <c r="B267" s="728"/>
      <c r="C267" s="728"/>
      <c r="D267" s="762"/>
      <c r="E267" s="762"/>
      <c r="F267" s="776"/>
      <c r="G267" s="763"/>
      <c r="H267" s="777"/>
    </row>
    <row r="268" spans="1:8">
      <c r="A268" s="733"/>
      <c r="B268" s="728"/>
      <c r="C268" s="728"/>
      <c r="D268" s="762"/>
      <c r="E268" s="762"/>
      <c r="F268" s="776"/>
      <c r="G268" s="763"/>
      <c r="H268" s="777"/>
    </row>
    <row r="269" spans="1:8">
      <c r="A269" s="733"/>
      <c r="B269" s="728"/>
      <c r="C269" s="728"/>
      <c r="D269" s="762"/>
      <c r="E269" s="762"/>
      <c r="F269" s="776"/>
      <c r="G269" s="763"/>
      <c r="H269" s="777"/>
    </row>
    <row r="270" spans="1:8">
      <c r="A270" s="733"/>
      <c r="B270" s="728"/>
      <c r="C270" s="728"/>
      <c r="D270" s="762"/>
      <c r="E270" s="762"/>
      <c r="F270" s="776"/>
      <c r="G270" s="763"/>
      <c r="H270" s="777"/>
    </row>
    <row r="271" spans="1:8">
      <c r="A271" s="733"/>
      <c r="B271" s="728"/>
      <c r="C271" s="728"/>
      <c r="D271" s="762"/>
      <c r="E271" s="762"/>
      <c r="F271" s="776"/>
      <c r="G271" s="763"/>
      <c r="H271" s="777"/>
    </row>
    <row r="272" spans="1:8">
      <c r="A272" s="733"/>
      <c r="B272" s="728"/>
      <c r="C272" s="728"/>
      <c r="D272" s="762"/>
      <c r="E272" s="762"/>
      <c r="F272" s="776"/>
      <c r="G272" s="763"/>
      <c r="H272" s="777"/>
    </row>
    <row r="273" spans="1:8">
      <c r="A273" s="733"/>
      <c r="B273" s="728"/>
      <c r="C273" s="728"/>
      <c r="D273" s="762"/>
      <c r="E273" s="762"/>
      <c r="F273" s="776"/>
      <c r="G273" s="763"/>
      <c r="H273" s="777"/>
    </row>
    <row r="274" spans="1:8">
      <c r="A274" s="733"/>
      <c r="B274" s="728"/>
      <c r="C274" s="728"/>
      <c r="D274" s="762"/>
      <c r="E274" s="762"/>
      <c r="F274" s="776"/>
      <c r="G274" s="763"/>
      <c r="H274" s="777"/>
    </row>
    <row r="275" spans="1:8">
      <c r="A275" s="733"/>
      <c r="B275" s="728"/>
      <c r="C275" s="728"/>
      <c r="D275" s="762"/>
      <c r="E275" s="762"/>
      <c r="F275" s="776"/>
      <c r="G275" s="763"/>
      <c r="H275" s="777"/>
    </row>
    <row r="276" spans="1:8">
      <c r="A276" s="733"/>
      <c r="B276" s="728"/>
      <c r="C276" s="728"/>
      <c r="D276" s="762"/>
      <c r="E276" s="762"/>
      <c r="F276" s="776"/>
      <c r="G276" s="763"/>
      <c r="H276" s="777"/>
    </row>
    <row r="277" spans="1:8">
      <c r="A277" s="733"/>
      <c r="B277" s="728"/>
      <c r="C277" s="728"/>
      <c r="D277" s="762"/>
      <c r="E277" s="762"/>
      <c r="F277" s="776"/>
      <c r="G277" s="763"/>
      <c r="H277" s="777"/>
    </row>
    <row r="278" spans="1:8">
      <c r="A278" s="733"/>
      <c r="B278" s="728"/>
      <c r="C278" s="728"/>
      <c r="D278" s="762"/>
      <c r="E278" s="762"/>
      <c r="F278" s="776"/>
      <c r="G278" s="763"/>
      <c r="H278" s="777"/>
    </row>
    <row r="279" spans="1:8">
      <c r="A279" s="733"/>
      <c r="B279" s="728"/>
      <c r="C279" s="728"/>
      <c r="D279" s="762"/>
      <c r="E279" s="762"/>
      <c r="F279" s="776"/>
      <c r="G279" s="763"/>
      <c r="H279" s="777"/>
    </row>
    <row r="280" spans="1:8">
      <c r="A280" s="733"/>
      <c r="B280" s="728"/>
      <c r="C280" s="728"/>
      <c r="D280" s="762"/>
      <c r="E280" s="762"/>
      <c r="F280" s="776"/>
      <c r="G280" s="763"/>
      <c r="H280" s="777"/>
    </row>
    <row r="281" spans="1:8">
      <c r="A281" s="733"/>
      <c r="B281" s="728"/>
      <c r="C281" s="728"/>
      <c r="D281" s="762"/>
      <c r="E281" s="762"/>
      <c r="F281" s="776"/>
      <c r="G281" s="763"/>
      <c r="H281" s="777"/>
    </row>
    <row r="282" spans="1:8">
      <c r="A282" s="733"/>
      <c r="B282" s="728"/>
      <c r="C282" s="728"/>
      <c r="D282" s="762"/>
      <c r="E282" s="762"/>
      <c r="F282" s="776"/>
      <c r="G282" s="763"/>
      <c r="H282" s="777"/>
    </row>
    <row r="283" spans="1:8">
      <c r="A283" s="733"/>
      <c r="B283" s="728"/>
      <c r="C283" s="728"/>
      <c r="D283" s="762"/>
      <c r="E283" s="762"/>
      <c r="F283" s="776"/>
      <c r="G283" s="763"/>
      <c r="H283" s="777"/>
    </row>
    <row r="284" spans="1:8">
      <c r="A284" s="733"/>
      <c r="B284" s="728"/>
      <c r="C284" s="728"/>
      <c r="D284" s="762"/>
      <c r="E284" s="762"/>
      <c r="F284" s="776"/>
      <c r="G284" s="763"/>
      <c r="H284" s="777"/>
    </row>
    <row r="285" spans="1:8">
      <c r="A285" s="733"/>
      <c r="B285" s="728"/>
      <c r="C285" s="728"/>
      <c r="D285" s="762"/>
      <c r="E285" s="762"/>
      <c r="F285" s="776"/>
      <c r="G285" s="763"/>
      <c r="H285" s="777"/>
    </row>
    <row r="286" spans="1:8">
      <c r="A286" s="733"/>
      <c r="B286" s="728"/>
      <c r="C286" s="728"/>
      <c r="D286" s="762"/>
      <c r="E286" s="762"/>
      <c r="F286" s="776"/>
      <c r="G286" s="763"/>
      <c r="H286" s="777"/>
    </row>
    <row r="287" spans="1:8">
      <c r="A287" s="733"/>
      <c r="B287" s="728"/>
      <c r="C287" s="728"/>
      <c r="D287" s="762"/>
      <c r="E287" s="762"/>
      <c r="F287" s="776"/>
      <c r="G287" s="763"/>
      <c r="H287" s="777"/>
    </row>
    <row r="288" spans="1:8">
      <c r="A288" s="733"/>
      <c r="B288" s="728"/>
      <c r="C288" s="728"/>
      <c r="D288" s="762"/>
      <c r="E288" s="762"/>
      <c r="F288" s="776"/>
      <c r="G288" s="763"/>
      <c r="H288" s="777"/>
    </row>
    <row r="289" spans="1:8">
      <c r="A289" s="733"/>
      <c r="B289" s="728"/>
      <c r="C289" s="728"/>
      <c r="D289" s="762"/>
      <c r="E289" s="762"/>
      <c r="F289" s="776"/>
      <c r="G289" s="763"/>
      <c r="H289" s="777"/>
    </row>
    <row r="290" spans="1:8">
      <c r="A290" s="733"/>
      <c r="B290" s="728"/>
      <c r="C290" s="728"/>
      <c r="D290" s="762"/>
      <c r="E290" s="762"/>
      <c r="F290" s="776"/>
      <c r="G290" s="763"/>
      <c r="H290" s="777"/>
    </row>
    <row r="291" spans="1:8">
      <c r="A291" s="733"/>
      <c r="B291" s="728"/>
      <c r="C291" s="728"/>
      <c r="D291" s="762"/>
      <c r="E291" s="762"/>
      <c r="F291" s="776"/>
      <c r="G291" s="763"/>
      <c r="H291" s="777"/>
    </row>
    <row r="292" spans="1:8">
      <c r="A292" s="733"/>
      <c r="B292" s="728"/>
      <c r="C292" s="728"/>
      <c r="D292" s="762"/>
      <c r="E292" s="762"/>
      <c r="F292" s="776"/>
      <c r="G292" s="763"/>
      <c r="H292" s="777"/>
    </row>
    <row r="293" spans="1:8">
      <c r="A293" s="733"/>
      <c r="B293" s="728"/>
      <c r="C293" s="728"/>
      <c r="D293" s="762"/>
      <c r="E293" s="762"/>
      <c r="F293" s="776"/>
      <c r="G293" s="763"/>
      <c r="H293" s="777"/>
    </row>
    <row r="294" spans="1:8">
      <c r="A294" s="733"/>
      <c r="B294" s="728"/>
      <c r="C294" s="728"/>
      <c r="D294" s="762"/>
      <c r="E294" s="762"/>
      <c r="F294" s="776"/>
      <c r="G294" s="763"/>
      <c r="H294" s="777"/>
    </row>
    <row r="295" spans="1:8">
      <c r="A295" s="733"/>
      <c r="B295" s="728"/>
      <c r="C295" s="728"/>
      <c r="D295" s="762"/>
      <c r="E295" s="762"/>
      <c r="F295" s="776"/>
      <c r="G295" s="763"/>
      <c r="H295" s="777"/>
    </row>
    <row r="296" spans="1:8">
      <c r="A296" s="733"/>
      <c r="B296" s="728"/>
      <c r="C296" s="728"/>
      <c r="D296" s="762"/>
      <c r="E296" s="762"/>
      <c r="F296" s="776"/>
      <c r="G296" s="763"/>
      <c r="H296" s="777"/>
    </row>
    <row r="297" spans="1:8">
      <c r="A297" s="733"/>
      <c r="B297" s="728"/>
      <c r="C297" s="728"/>
      <c r="D297" s="762"/>
      <c r="E297" s="762"/>
      <c r="F297" s="776"/>
      <c r="G297" s="763"/>
      <c r="H297" s="777"/>
    </row>
    <row r="298" spans="1:8">
      <c r="A298" s="733"/>
      <c r="B298" s="728"/>
      <c r="C298" s="728"/>
      <c r="D298" s="762"/>
      <c r="E298" s="762"/>
      <c r="F298" s="776"/>
      <c r="G298" s="763"/>
      <c r="H298" s="777"/>
    </row>
    <row r="299" spans="1:8">
      <c r="A299" s="733"/>
      <c r="B299" s="728"/>
      <c r="C299" s="728"/>
      <c r="D299" s="762"/>
      <c r="E299" s="762"/>
      <c r="F299" s="776"/>
      <c r="G299" s="763"/>
      <c r="H299" s="777"/>
    </row>
    <row r="300" spans="1:8">
      <c r="A300" s="733"/>
      <c r="B300" s="728"/>
      <c r="C300" s="728"/>
      <c r="D300" s="762"/>
      <c r="E300" s="762"/>
      <c r="F300" s="776"/>
      <c r="G300" s="763"/>
      <c r="H300" s="777"/>
    </row>
    <row r="301" spans="1:8">
      <c r="A301" s="733"/>
      <c r="B301" s="728"/>
      <c r="C301" s="728"/>
      <c r="D301" s="762"/>
      <c r="E301" s="762"/>
      <c r="F301" s="776"/>
      <c r="G301" s="763"/>
      <c r="H301" s="777"/>
    </row>
    <row r="302" spans="1:8">
      <c r="A302" s="733"/>
      <c r="B302" s="728"/>
      <c r="C302" s="728"/>
      <c r="D302" s="762"/>
      <c r="E302" s="762"/>
      <c r="F302" s="776"/>
      <c r="G302" s="763"/>
      <c r="H302" s="777"/>
    </row>
    <row r="303" spans="1:8">
      <c r="A303" s="733"/>
      <c r="B303" s="728"/>
      <c r="C303" s="728"/>
      <c r="D303" s="762"/>
      <c r="E303" s="762"/>
      <c r="F303" s="776"/>
      <c r="G303" s="763"/>
      <c r="H303" s="777"/>
    </row>
    <row r="304" spans="1:8">
      <c r="A304" s="733"/>
      <c r="B304" s="728"/>
      <c r="C304" s="728"/>
      <c r="D304" s="762"/>
      <c r="E304" s="762"/>
      <c r="F304" s="776"/>
      <c r="G304" s="763"/>
      <c r="H304" s="777"/>
    </row>
    <row r="305" spans="1:8">
      <c r="A305" s="733"/>
      <c r="B305" s="728"/>
      <c r="C305" s="728"/>
      <c r="D305" s="762"/>
      <c r="E305" s="762"/>
      <c r="F305" s="776"/>
      <c r="G305" s="763"/>
      <c r="H305" s="777"/>
    </row>
    <row r="306" spans="1:8">
      <c r="A306" s="733"/>
      <c r="B306" s="728"/>
      <c r="C306" s="728"/>
      <c r="D306" s="762"/>
      <c r="E306" s="762"/>
      <c r="F306" s="776"/>
      <c r="G306" s="763"/>
      <c r="H306" s="777"/>
    </row>
    <row r="307" spans="1:8">
      <c r="A307" s="733"/>
      <c r="B307" s="728"/>
      <c r="C307" s="728"/>
      <c r="D307" s="762"/>
      <c r="E307" s="762"/>
      <c r="F307" s="776"/>
      <c r="G307" s="763"/>
      <c r="H307" s="777"/>
    </row>
    <row r="308" spans="1:8">
      <c r="A308" s="733"/>
      <c r="B308" s="728"/>
      <c r="C308" s="728"/>
      <c r="D308" s="762"/>
      <c r="E308" s="762"/>
      <c r="F308" s="776"/>
      <c r="G308" s="763"/>
      <c r="H308" s="777"/>
    </row>
    <row r="309" spans="1:8">
      <c r="A309" s="733"/>
      <c r="B309" s="728"/>
      <c r="C309" s="728"/>
      <c r="D309" s="762"/>
      <c r="E309" s="762"/>
      <c r="F309" s="776"/>
      <c r="G309" s="763"/>
      <c r="H309" s="777"/>
    </row>
    <row r="310" spans="1:8">
      <c r="A310" s="733"/>
      <c r="B310" s="728"/>
      <c r="C310" s="728"/>
      <c r="D310" s="762"/>
      <c r="E310" s="762"/>
      <c r="F310" s="776"/>
      <c r="G310" s="763"/>
      <c r="H310" s="777"/>
    </row>
    <row r="311" spans="1:8">
      <c r="A311" s="733"/>
      <c r="B311" s="728"/>
      <c r="C311" s="728"/>
      <c r="D311" s="762"/>
      <c r="E311" s="762"/>
      <c r="F311" s="776"/>
      <c r="G311" s="763"/>
      <c r="H311" s="777"/>
    </row>
    <row r="312" spans="1:8">
      <c r="A312" s="733"/>
      <c r="B312" s="728"/>
      <c r="C312" s="728"/>
      <c r="D312" s="762"/>
      <c r="E312" s="762"/>
      <c r="F312" s="776"/>
      <c r="G312" s="763"/>
      <c r="H312" s="777"/>
    </row>
    <row r="313" spans="1:8">
      <c r="A313" s="733"/>
      <c r="B313" s="728"/>
      <c r="C313" s="728"/>
      <c r="D313" s="762"/>
      <c r="E313" s="762"/>
      <c r="F313" s="776"/>
      <c r="G313" s="763"/>
      <c r="H313" s="777"/>
    </row>
    <row r="314" spans="1:8">
      <c r="A314" s="733"/>
      <c r="B314" s="728"/>
      <c r="C314" s="728"/>
      <c r="D314" s="762"/>
      <c r="E314" s="762"/>
      <c r="F314" s="776"/>
      <c r="G314" s="763"/>
      <c r="H314" s="777"/>
    </row>
    <row r="315" spans="1:8">
      <c r="A315" s="733"/>
      <c r="B315" s="728"/>
      <c r="C315" s="728"/>
      <c r="D315" s="762"/>
      <c r="E315" s="762"/>
      <c r="F315" s="776"/>
      <c r="G315" s="763"/>
      <c r="H315" s="777"/>
    </row>
    <row r="316" spans="1:8">
      <c r="A316" s="733"/>
      <c r="B316" s="728"/>
      <c r="C316" s="728"/>
      <c r="D316" s="762"/>
      <c r="E316" s="762"/>
      <c r="F316" s="776"/>
      <c r="G316" s="763"/>
      <c r="H316" s="777"/>
    </row>
    <row r="317" spans="1:8">
      <c r="A317" s="733"/>
      <c r="B317" s="728"/>
      <c r="C317" s="728"/>
      <c r="D317" s="762"/>
      <c r="E317" s="762"/>
      <c r="F317" s="776"/>
      <c r="G317" s="763"/>
      <c r="H317" s="777"/>
    </row>
    <row r="318" spans="1:8">
      <c r="A318" s="733"/>
      <c r="B318" s="728"/>
      <c r="C318" s="728"/>
      <c r="D318" s="762"/>
      <c r="E318" s="762"/>
      <c r="F318" s="776"/>
      <c r="G318" s="763"/>
      <c r="H318" s="777"/>
    </row>
    <row r="319" spans="1:8">
      <c r="A319" s="733"/>
      <c r="B319" s="728"/>
      <c r="C319" s="728"/>
      <c r="D319" s="762"/>
      <c r="E319" s="762"/>
      <c r="F319" s="776"/>
      <c r="G319" s="763"/>
      <c r="H319" s="777"/>
    </row>
    <row r="320" spans="1:8">
      <c r="A320" s="733"/>
      <c r="B320" s="728"/>
      <c r="C320" s="728"/>
      <c r="D320" s="762"/>
      <c r="E320" s="762"/>
      <c r="F320" s="776"/>
      <c r="G320" s="763"/>
      <c r="H320" s="777"/>
    </row>
    <row r="321" spans="1:8">
      <c r="A321" s="733"/>
      <c r="B321" s="728"/>
      <c r="C321" s="728"/>
      <c r="D321" s="762"/>
      <c r="E321" s="762"/>
      <c r="F321" s="776"/>
      <c r="G321" s="763"/>
      <c r="H321" s="777"/>
    </row>
    <row r="322" spans="1:8">
      <c r="A322" s="733"/>
    </row>
    <row r="324" spans="1:8">
      <c r="A324" s="758"/>
    </row>
  </sheetData>
  <mergeCells count="7">
    <mergeCell ref="D5:G5"/>
    <mergeCell ref="H5:H6"/>
    <mergeCell ref="A7:B7"/>
    <mergeCell ref="D4:H4"/>
    <mergeCell ref="C1:H3"/>
    <mergeCell ref="A4:C4"/>
    <mergeCell ref="A5:C5"/>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38"/>
  <dimension ref="A1:H64"/>
  <sheetViews>
    <sheetView showGridLines="0" topLeftCell="A40" workbookViewId="0">
      <selection activeCell="C57" sqref="C57"/>
    </sheetView>
  </sheetViews>
  <sheetFormatPr defaultRowHeight="15"/>
  <sheetData>
    <row r="1" spans="1:8">
      <c r="A1" s="1"/>
      <c r="B1" s="1"/>
      <c r="C1" s="1"/>
      <c r="D1" s="1"/>
      <c r="E1" s="1"/>
      <c r="F1" s="1"/>
      <c r="G1" s="1"/>
      <c r="H1" s="1"/>
    </row>
    <row r="2" spans="1:8" ht="16.5">
      <c r="A2" s="6" t="s">
        <v>178</v>
      </c>
      <c r="B2" s="6"/>
      <c r="C2" s="6"/>
      <c r="D2" s="6"/>
      <c r="E2" s="7"/>
      <c r="F2" s="7"/>
      <c r="G2" s="7"/>
      <c r="H2" s="7"/>
    </row>
    <row r="3" spans="1:8" ht="15.75">
      <c r="A3" s="2" t="s">
        <v>149</v>
      </c>
      <c r="B3" s="1"/>
      <c r="C3" s="1"/>
      <c r="D3" s="1"/>
      <c r="E3" s="1"/>
      <c r="F3" s="1"/>
      <c r="G3" s="1"/>
      <c r="H3" s="1"/>
    </row>
    <row r="4" spans="1:8" ht="60">
      <c r="A4" s="8" t="s">
        <v>67</v>
      </c>
      <c r="B4" s="43" t="s">
        <v>177</v>
      </c>
      <c r="C4" s="11" t="s">
        <v>68</v>
      </c>
      <c r="D4" s="12" t="s">
        <v>69</v>
      </c>
      <c r="E4" s="12" t="s">
        <v>65</v>
      </c>
      <c r="F4" s="12" t="s">
        <v>70</v>
      </c>
      <c r="G4" s="11" t="s">
        <v>160</v>
      </c>
      <c r="H4" s="11" t="s">
        <v>186</v>
      </c>
    </row>
    <row r="5" spans="1:8">
      <c r="A5" s="16">
        <v>36617</v>
      </c>
      <c r="B5" s="39">
        <f>+geral!C544</f>
        <v>0.1205</v>
      </c>
      <c r="C5" s="17">
        <v>100</v>
      </c>
      <c r="D5" s="17"/>
      <c r="E5" s="17"/>
      <c r="F5" s="17"/>
      <c r="G5" s="17"/>
      <c r="H5" s="39">
        <f>$B$56/B5</f>
        <v>1.6373443983402491</v>
      </c>
    </row>
    <row r="6" spans="1:8">
      <c r="A6" s="16">
        <v>36647</v>
      </c>
      <c r="B6" s="39">
        <f>+geral!C545</f>
        <v>0.1225</v>
      </c>
      <c r="C6" s="17">
        <f>100*B6/$B$5</f>
        <v>101.65975103734441</v>
      </c>
      <c r="D6" s="17">
        <f t="shared" ref="D6:D56" si="0">100*((B6/B5)-1)</f>
        <v>1.6597510373443924</v>
      </c>
      <c r="E6" s="17"/>
      <c r="F6" s="17"/>
      <c r="G6" s="17"/>
      <c r="H6" s="39">
        <f t="shared" ref="H6:H56" si="1">$B$56/B6</f>
        <v>1.6106122448979592</v>
      </c>
    </row>
    <row r="7" spans="1:8">
      <c r="A7" s="16">
        <v>36678</v>
      </c>
      <c r="B7" s="39">
        <f>+geral!C546</f>
        <v>0.12659999999999999</v>
      </c>
      <c r="C7" s="17">
        <f t="shared" ref="C7:C55" si="2">100*B7/$B$5</f>
        <v>105.06224066390041</v>
      </c>
      <c r="D7" s="17">
        <f t="shared" si="0"/>
        <v>3.3469387755101998</v>
      </c>
      <c r="E7" s="17"/>
      <c r="F7" s="17"/>
      <c r="G7" s="17"/>
      <c r="H7" s="39">
        <f t="shared" si="1"/>
        <v>1.5584518167456558</v>
      </c>
    </row>
    <row r="8" spans="1:8">
      <c r="A8" s="16">
        <v>36708</v>
      </c>
      <c r="B8" s="39">
        <f>+geral!C547</f>
        <v>0.1278</v>
      </c>
      <c r="C8" s="17">
        <f t="shared" si="2"/>
        <v>106.05809128630705</v>
      </c>
      <c r="D8" s="17">
        <f t="shared" si="0"/>
        <v>0.94786729857820884</v>
      </c>
      <c r="E8" s="17"/>
      <c r="F8" s="17"/>
      <c r="G8" s="17"/>
      <c r="H8" s="39">
        <f t="shared" si="1"/>
        <v>1.5438184663536776</v>
      </c>
    </row>
    <row r="9" spans="1:8">
      <c r="A9" s="16">
        <v>36739</v>
      </c>
      <c r="B9" s="39">
        <f>+geral!C548</f>
        <v>0.1249</v>
      </c>
      <c r="C9" s="17">
        <f t="shared" si="2"/>
        <v>103.65145228215768</v>
      </c>
      <c r="D9" s="17">
        <f t="shared" si="0"/>
        <v>-2.2691705790297334</v>
      </c>
      <c r="E9" s="17"/>
      <c r="F9" s="17"/>
      <c r="G9" s="17"/>
      <c r="H9" s="39">
        <f t="shared" si="1"/>
        <v>1.5796637309847879</v>
      </c>
    </row>
    <row r="10" spans="1:8">
      <c r="A10" s="16">
        <v>36770</v>
      </c>
      <c r="B10" s="39">
        <f>+geral!C549</f>
        <v>0.1232</v>
      </c>
      <c r="C10" s="17">
        <f t="shared" si="2"/>
        <v>102.24066390041494</v>
      </c>
      <c r="D10" s="17">
        <f t="shared" si="0"/>
        <v>-1.3610888710968716</v>
      </c>
      <c r="E10" s="17"/>
      <c r="F10" s="17"/>
      <c r="G10" s="17"/>
      <c r="H10" s="39">
        <f t="shared" si="1"/>
        <v>1.6014610389610389</v>
      </c>
    </row>
    <row r="11" spans="1:8">
      <c r="A11" s="16">
        <v>36800</v>
      </c>
      <c r="B11" s="39">
        <f>+geral!C550</f>
        <v>0.1215</v>
      </c>
      <c r="C11" s="17">
        <f t="shared" si="2"/>
        <v>100.82987551867221</v>
      </c>
      <c r="D11" s="17">
        <f t="shared" si="0"/>
        <v>-1.379870129870131</v>
      </c>
      <c r="E11" s="17"/>
      <c r="F11" s="17"/>
      <c r="G11" s="17"/>
      <c r="H11" s="39">
        <f t="shared" si="1"/>
        <v>1.6238683127572018</v>
      </c>
    </row>
    <row r="12" spans="1:8">
      <c r="A12" s="16">
        <v>36831</v>
      </c>
      <c r="B12" s="39">
        <f>+geral!C551</f>
        <v>0.122</v>
      </c>
      <c r="C12" s="17">
        <f t="shared" si="2"/>
        <v>101.24481327800829</v>
      </c>
      <c r="D12" s="17">
        <f t="shared" si="0"/>
        <v>0.4115226337448652</v>
      </c>
      <c r="E12" s="17"/>
      <c r="F12" s="17"/>
      <c r="G12" s="17"/>
      <c r="H12" s="39">
        <f t="shared" si="1"/>
        <v>1.6172131147540985</v>
      </c>
    </row>
    <row r="13" spans="1:8">
      <c r="A13" s="16">
        <v>36861</v>
      </c>
      <c r="B13" s="39">
        <f>+geral!C552</f>
        <v>0.12089999999999999</v>
      </c>
      <c r="C13" s="17">
        <f t="shared" si="2"/>
        <v>100.33195020746888</v>
      </c>
      <c r="D13" s="17">
        <f t="shared" si="0"/>
        <v>-0.90163934426229497</v>
      </c>
      <c r="E13" s="17"/>
      <c r="F13" s="17"/>
      <c r="G13" s="17"/>
      <c r="H13" s="39">
        <f t="shared" si="1"/>
        <v>1.6319272125723741</v>
      </c>
    </row>
    <row r="14" spans="1:8">
      <c r="A14" s="16">
        <v>36892</v>
      </c>
      <c r="B14" s="39">
        <f>+geral!E541</f>
        <v>0.12479999999999999</v>
      </c>
      <c r="C14" s="17">
        <f t="shared" si="2"/>
        <v>103.56846473029044</v>
      </c>
      <c r="D14" s="17">
        <f t="shared" si="0"/>
        <v>3.2258064516129004</v>
      </c>
      <c r="E14" s="17">
        <f t="shared" ref="E14:E25" si="3">100*((B14/$B$13)-1)</f>
        <v>3.2258064516129004</v>
      </c>
      <c r="F14" s="17"/>
      <c r="G14" s="17"/>
      <c r="H14" s="39">
        <f t="shared" si="1"/>
        <v>1.5809294871794872</v>
      </c>
    </row>
    <row r="15" spans="1:8">
      <c r="A15" s="16">
        <v>36923</v>
      </c>
      <c r="B15" s="39">
        <f>+geral!E542</f>
        <v>0.12429999999999999</v>
      </c>
      <c r="C15" s="17">
        <f t="shared" si="2"/>
        <v>103.15352697095436</v>
      </c>
      <c r="D15" s="17">
        <f t="shared" si="0"/>
        <v>-0.40064102564102422</v>
      </c>
      <c r="E15" s="17">
        <f t="shared" si="3"/>
        <v>2.8122415219189456</v>
      </c>
      <c r="F15" s="17"/>
      <c r="G15" s="17"/>
      <c r="H15" s="39">
        <f t="shared" si="1"/>
        <v>1.587288817377313</v>
      </c>
    </row>
    <row r="16" spans="1:8">
      <c r="A16" s="16">
        <v>36951</v>
      </c>
      <c r="B16" s="39">
        <f>+geral!E543</f>
        <v>0.1268</v>
      </c>
      <c r="C16" s="17">
        <f t="shared" si="2"/>
        <v>105.22821576763485</v>
      </c>
      <c r="D16" s="17">
        <f t="shared" si="0"/>
        <v>2.011263073209979</v>
      </c>
      <c r="E16" s="17">
        <f t="shared" si="3"/>
        <v>4.8800661703887638</v>
      </c>
      <c r="F16" s="17"/>
      <c r="G16" s="17"/>
      <c r="H16" s="39">
        <f t="shared" si="1"/>
        <v>1.5559936908517351</v>
      </c>
    </row>
    <row r="17" spans="1:8">
      <c r="A17" s="16">
        <v>36982</v>
      </c>
      <c r="B17" s="39">
        <f>+geral!E544</f>
        <v>0.13009999999999999</v>
      </c>
      <c r="C17" s="17">
        <f t="shared" si="2"/>
        <v>107.96680497925311</v>
      </c>
      <c r="D17" s="17">
        <f t="shared" si="0"/>
        <v>2.6025236593059997</v>
      </c>
      <c r="E17" s="17">
        <f t="shared" si="3"/>
        <v>7.6095947063689051</v>
      </c>
      <c r="F17" s="17">
        <f t="shared" ref="F17:F52" si="4">100*((B17/B5)-1)</f>
        <v>7.9668049792531059</v>
      </c>
      <c r="G17" s="17"/>
      <c r="H17" s="39">
        <f t="shared" si="1"/>
        <v>1.5165257494235205</v>
      </c>
    </row>
    <row r="18" spans="1:8">
      <c r="A18" s="16">
        <v>37012</v>
      </c>
      <c r="B18" s="39">
        <f>+geral!E545</f>
        <v>0.13159999999999999</v>
      </c>
      <c r="C18" s="17">
        <f t="shared" si="2"/>
        <v>109.21161825726142</v>
      </c>
      <c r="D18" s="17">
        <f t="shared" si="0"/>
        <v>1.1529592621060791</v>
      </c>
      <c r="E18" s="17">
        <f t="shared" si="3"/>
        <v>8.8502894954507916</v>
      </c>
      <c r="F18" s="17">
        <f t="shared" si="4"/>
        <v>7.4285714285714288</v>
      </c>
      <c r="G18" s="17"/>
      <c r="H18" s="39">
        <f t="shared" si="1"/>
        <v>1.4992401215805471</v>
      </c>
    </row>
    <row r="19" spans="1:8">
      <c r="A19" s="16">
        <v>37043</v>
      </c>
      <c r="B19" s="39">
        <f>+geral!E546</f>
        <v>0.13320000000000001</v>
      </c>
      <c r="C19" s="17">
        <f t="shared" si="2"/>
        <v>110.53941908713695</v>
      </c>
      <c r="D19" s="17">
        <f t="shared" si="0"/>
        <v>1.2158054711246313</v>
      </c>
      <c r="E19" s="17">
        <f t="shared" si="3"/>
        <v>10.173697270471482</v>
      </c>
      <c r="F19" s="17">
        <f t="shared" si="4"/>
        <v>5.2132701421801153</v>
      </c>
      <c r="G19" s="17"/>
      <c r="H19" s="39">
        <f t="shared" si="1"/>
        <v>1.481231231231231</v>
      </c>
    </row>
    <row r="20" spans="1:8">
      <c r="A20" s="20">
        <v>37073</v>
      </c>
      <c r="B20" s="39">
        <f>+geral!E547</f>
        <v>0.1328</v>
      </c>
      <c r="C20" s="22">
        <f t="shared" si="2"/>
        <v>110.20746887966804</v>
      </c>
      <c r="D20" s="22">
        <f t="shared" si="0"/>
        <v>-0.30030030030030463</v>
      </c>
      <c r="E20" s="22">
        <f t="shared" si="3"/>
        <v>9.8428453267163096</v>
      </c>
      <c r="F20" s="22">
        <f t="shared" si="4"/>
        <v>3.9123630672926568</v>
      </c>
      <c r="G20" s="22"/>
      <c r="H20" s="39">
        <f t="shared" si="1"/>
        <v>1.4856927710843373</v>
      </c>
    </row>
    <row r="21" spans="1:8">
      <c r="A21" s="16">
        <v>37104</v>
      </c>
      <c r="B21" s="39">
        <f>+geral!E548</f>
        <v>0.1323</v>
      </c>
      <c r="C21" s="17">
        <f t="shared" si="2"/>
        <v>109.79253112033196</v>
      </c>
      <c r="D21" s="17">
        <f t="shared" si="0"/>
        <v>-0.37650602409639022</v>
      </c>
      <c r="E21" s="17">
        <f t="shared" si="3"/>
        <v>9.4292803970223318</v>
      </c>
      <c r="F21" s="17">
        <f t="shared" si="4"/>
        <v>5.9247397918334777</v>
      </c>
      <c r="G21" s="17"/>
      <c r="H21" s="39">
        <f t="shared" si="1"/>
        <v>1.4913076341647771</v>
      </c>
    </row>
    <row r="22" spans="1:8">
      <c r="A22" s="18" t="s">
        <v>120</v>
      </c>
      <c r="B22" s="39">
        <f>+geral!E549</f>
        <v>0.13420000000000001</v>
      </c>
      <c r="C22" s="17">
        <f t="shared" si="2"/>
        <v>111.36929460580915</v>
      </c>
      <c r="D22" s="17">
        <f t="shared" si="0"/>
        <v>1.4361300075585781</v>
      </c>
      <c r="E22" s="17">
        <f t="shared" si="3"/>
        <v>11.000827129859413</v>
      </c>
      <c r="F22" s="17">
        <f t="shared" si="4"/>
        <v>8.9285714285714413</v>
      </c>
      <c r="G22" s="17"/>
      <c r="H22" s="39">
        <f t="shared" si="1"/>
        <v>1.4701937406855439</v>
      </c>
    </row>
    <row r="23" spans="1:8">
      <c r="A23" s="18" t="s">
        <v>119</v>
      </c>
      <c r="B23" s="39">
        <f>+geral!E550</f>
        <v>0.13300000000000001</v>
      </c>
      <c r="C23" s="17">
        <f t="shared" si="2"/>
        <v>110.3734439834025</v>
      </c>
      <c r="D23" s="17">
        <f t="shared" si="0"/>
        <v>-0.8941877794336861</v>
      </c>
      <c r="E23" s="17">
        <f t="shared" si="3"/>
        <v>10.008271298593897</v>
      </c>
      <c r="F23" s="17">
        <f t="shared" si="4"/>
        <v>9.4650205761316997</v>
      </c>
      <c r="G23" s="17"/>
      <c r="H23" s="39">
        <f t="shared" si="1"/>
        <v>1.4834586466165414</v>
      </c>
    </row>
    <row r="24" spans="1:8">
      <c r="A24" s="18" t="s">
        <v>131</v>
      </c>
      <c r="B24" s="39">
        <f>+geral!E551</f>
        <v>0.13070000000000001</v>
      </c>
      <c r="C24" s="17">
        <f t="shared" si="2"/>
        <v>108.46473029045644</v>
      </c>
      <c r="D24" s="17">
        <f t="shared" si="0"/>
        <v>-1.7293233082706694</v>
      </c>
      <c r="E24" s="17">
        <f t="shared" si="3"/>
        <v>8.1058726220016641</v>
      </c>
      <c r="F24" s="17">
        <f t="shared" si="4"/>
        <v>7.1311475409836067</v>
      </c>
      <c r="G24" s="17"/>
      <c r="H24" s="39">
        <f t="shared" si="1"/>
        <v>1.5095638867635806</v>
      </c>
    </row>
    <row r="25" spans="1:8">
      <c r="A25" s="18" t="s">
        <v>132</v>
      </c>
      <c r="B25" s="39">
        <f>+geral!E552</f>
        <v>0.12970000000000001</v>
      </c>
      <c r="C25" s="17">
        <f t="shared" si="2"/>
        <v>107.63485477178425</v>
      </c>
      <c r="D25" s="17">
        <f t="shared" si="0"/>
        <v>-0.76511094108645539</v>
      </c>
      <c r="E25" s="17">
        <f t="shared" si="3"/>
        <v>7.2787427626137546</v>
      </c>
      <c r="F25" s="17">
        <f t="shared" si="4"/>
        <v>7.2787427626137546</v>
      </c>
      <c r="G25" s="17"/>
      <c r="H25" s="39">
        <f t="shared" si="1"/>
        <v>1.5212027756360831</v>
      </c>
    </row>
    <row r="26" spans="1:8">
      <c r="A26" s="18" t="s">
        <v>135</v>
      </c>
      <c r="B26" s="39">
        <f>+geral!G541</f>
        <v>0.13420000000000001</v>
      </c>
      <c r="C26" s="17">
        <f t="shared" si="2"/>
        <v>111.36929460580915</v>
      </c>
      <c r="D26" s="17">
        <f t="shared" si="0"/>
        <v>3.4695451040863468</v>
      </c>
      <c r="E26" s="17">
        <f t="shared" ref="E26:E37" si="5">100*((B26/$B$25)-1)</f>
        <v>3.4695451040863468</v>
      </c>
      <c r="F26" s="17">
        <f t="shared" si="4"/>
        <v>7.5320512820512997</v>
      </c>
      <c r="G26" s="17"/>
      <c r="H26" s="39">
        <f t="shared" si="1"/>
        <v>1.4701937406855439</v>
      </c>
    </row>
    <row r="27" spans="1:8">
      <c r="A27" s="18" t="s">
        <v>136</v>
      </c>
      <c r="B27" s="39">
        <f>+geral!G542</f>
        <v>0.13650000000000001</v>
      </c>
      <c r="C27" s="17">
        <f t="shared" si="2"/>
        <v>113.2780082987552</v>
      </c>
      <c r="D27" s="17">
        <f t="shared" si="0"/>
        <v>1.7138599105812169</v>
      </c>
      <c r="E27" s="17">
        <f t="shared" si="5"/>
        <v>5.2428681572860514</v>
      </c>
      <c r="F27" s="17">
        <f t="shared" si="4"/>
        <v>9.8149637972646975</v>
      </c>
      <c r="G27" s="17"/>
      <c r="H27" s="39">
        <f t="shared" si="1"/>
        <v>1.4454212454212454</v>
      </c>
    </row>
    <row r="28" spans="1:8">
      <c r="A28" s="18" t="s">
        <v>138</v>
      </c>
      <c r="B28" s="39">
        <f>+geral!G543</f>
        <v>0.13239999999999999</v>
      </c>
      <c r="C28" s="17">
        <f t="shared" si="2"/>
        <v>109.87551867219916</v>
      </c>
      <c r="D28" s="17">
        <f t="shared" si="0"/>
        <v>-3.0036630036630152</v>
      </c>
      <c r="E28" s="17">
        <f t="shared" si="5"/>
        <v>2.0817270624517992</v>
      </c>
      <c r="F28" s="17">
        <f t="shared" si="4"/>
        <v>4.4164037854889537</v>
      </c>
      <c r="G28" s="17"/>
      <c r="H28" s="39">
        <f t="shared" si="1"/>
        <v>1.4901812688821754</v>
      </c>
    </row>
    <row r="29" spans="1:8">
      <c r="A29" s="18" t="s">
        <v>151</v>
      </c>
      <c r="B29" s="39">
        <f>+geral!G544</f>
        <v>0.13519999999999999</v>
      </c>
      <c r="C29" s="17">
        <f t="shared" si="2"/>
        <v>112.19917012448133</v>
      </c>
      <c r="D29" s="17">
        <f t="shared" si="0"/>
        <v>2.114803625377637</v>
      </c>
      <c r="E29" s="17">
        <f t="shared" si="5"/>
        <v>4.2405551272166386</v>
      </c>
      <c r="F29" s="17">
        <f t="shared" si="4"/>
        <v>3.9200614911606424</v>
      </c>
      <c r="G29" s="17">
        <f>100*(B29/B5-1)</f>
        <v>12.199170124481329</v>
      </c>
      <c r="H29" s="39">
        <f t="shared" si="1"/>
        <v>1.4593195266272192</v>
      </c>
    </row>
    <row r="30" spans="1:8">
      <c r="A30" s="35" t="s">
        <v>153</v>
      </c>
      <c r="B30" s="39">
        <f>+geral!G545</f>
        <v>0.13519999999999999</v>
      </c>
      <c r="C30" s="17">
        <f t="shared" si="2"/>
        <v>112.19917012448133</v>
      </c>
      <c r="D30" s="17">
        <f t="shared" si="0"/>
        <v>0</v>
      </c>
      <c r="E30" s="17">
        <f t="shared" si="5"/>
        <v>4.2405551272166386</v>
      </c>
      <c r="F30" s="17">
        <f t="shared" si="4"/>
        <v>2.7355623100303816</v>
      </c>
      <c r="G30" s="17">
        <f t="shared" ref="G30:G56" si="6">100*(B30/B6-1)</f>
        <v>10.367346938775501</v>
      </c>
      <c r="H30" s="39">
        <f t="shared" si="1"/>
        <v>1.4593195266272192</v>
      </c>
    </row>
    <row r="31" spans="1:8">
      <c r="A31" s="35" t="s">
        <v>154</v>
      </c>
      <c r="B31" s="39">
        <f>+geral!G546</f>
        <v>0.13789999999999999</v>
      </c>
      <c r="C31" s="17">
        <f t="shared" si="2"/>
        <v>114.43983402489626</v>
      </c>
      <c r="D31" s="17">
        <f t="shared" si="0"/>
        <v>1.9970414201183395</v>
      </c>
      <c r="E31" s="17">
        <f t="shared" si="5"/>
        <v>6.32228218966846</v>
      </c>
      <c r="F31" s="17">
        <f t="shared" si="4"/>
        <v>3.5285285285285184</v>
      </c>
      <c r="G31" s="17">
        <f t="shared" si="6"/>
        <v>8.9257503949447212</v>
      </c>
      <c r="H31" s="39">
        <f t="shared" si="1"/>
        <v>1.4307469180565628</v>
      </c>
    </row>
    <row r="32" spans="1:8">
      <c r="A32" s="35" t="s">
        <v>156</v>
      </c>
      <c r="B32" s="39">
        <f>+geral!G547</f>
        <v>0.1371</v>
      </c>
      <c r="C32" s="17">
        <f t="shared" si="2"/>
        <v>113.77593360995851</v>
      </c>
      <c r="D32" s="17">
        <f t="shared" si="0"/>
        <v>-0.58013052936910503</v>
      </c>
      <c r="E32" s="17">
        <f t="shared" si="5"/>
        <v>5.7054741711642265</v>
      </c>
      <c r="F32" s="17">
        <f t="shared" si="4"/>
        <v>3.2379518072289226</v>
      </c>
      <c r="G32" s="17">
        <f t="shared" si="6"/>
        <v>7.2769953051643244</v>
      </c>
      <c r="H32" s="39">
        <f t="shared" si="1"/>
        <v>1.4390955506929248</v>
      </c>
    </row>
    <row r="33" spans="1:8">
      <c r="A33" s="35" t="s">
        <v>157</v>
      </c>
      <c r="B33" s="39">
        <f>+geral!G548</f>
        <v>0.1363</v>
      </c>
      <c r="C33" s="17">
        <f t="shared" si="2"/>
        <v>113.11203319502076</v>
      </c>
      <c r="D33" s="17">
        <f t="shared" si="0"/>
        <v>-0.58351568198394821</v>
      </c>
      <c r="E33" s="17">
        <f t="shared" si="5"/>
        <v>5.0886661526599708</v>
      </c>
      <c r="F33" s="17">
        <f t="shared" si="4"/>
        <v>3.0234315948601598</v>
      </c>
      <c r="G33" s="17">
        <f t="shared" si="6"/>
        <v>9.1273018414731908</v>
      </c>
      <c r="H33" s="39">
        <f t="shared" si="1"/>
        <v>1.4475421863536317</v>
      </c>
    </row>
    <row r="34" spans="1:8">
      <c r="A34" s="35" t="s">
        <v>158</v>
      </c>
      <c r="B34" s="39">
        <f>+geral!G549</f>
        <v>0.13830000000000001</v>
      </c>
      <c r="C34" s="17">
        <f t="shared" si="2"/>
        <v>114.77178423236515</v>
      </c>
      <c r="D34" s="17">
        <f t="shared" si="0"/>
        <v>1.4673514306676516</v>
      </c>
      <c r="E34" s="17">
        <f t="shared" si="5"/>
        <v>6.6306861989205768</v>
      </c>
      <c r="F34" s="17">
        <f t="shared" si="4"/>
        <v>3.055141579731746</v>
      </c>
      <c r="G34" s="17">
        <f t="shared" si="6"/>
        <v>12.256493506493516</v>
      </c>
      <c r="H34" s="39">
        <f t="shared" si="1"/>
        <v>1.4266088214027477</v>
      </c>
    </row>
    <row r="35" spans="1:8">
      <c r="A35" s="38">
        <v>37530</v>
      </c>
      <c r="B35" s="39">
        <f>+geral!G550</f>
        <v>0.1416</v>
      </c>
      <c r="C35" s="17">
        <f t="shared" si="2"/>
        <v>117.51037344398341</v>
      </c>
      <c r="D35" s="17">
        <f t="shared" si="0"/>
        <v>2.386117136659438</v>
      </c>
      <c r="E35" s="17">
        <f t="shared" si="5"/>
        <v>9.1750192752505733</v>
      </c>
      <c r="F35" s="17">
        <f t="shared" si="4"/>
        <v>6.466165413533842</v>
      </c>
      <c r="G35" s="17">
        <f t="shared" si="6"/>
        <v>16.543209876543209</v>
      </c>
      <c r="H35" s="39">
        <f t="shared" si="1"/>
        <v>1.393361581920904</v>
      </c>
    </row>
    <row r="36" spans="1:8">
      <c r="A36" s="38">
        <v>37561</v>
      </c>
      <c r="B36" s="39">
        <f>+geral!G551</f>
        <v>0.14530000000000001</v>
      </c>
      <c r="C36" s="17">
        <f t="shared" si="2"/>
        <v>120.58091286307055</v>
      </c>
      <c r="D36" s="17">
        <f t="shared" si="0"/>
        <v>2.6129943502824826</v>
      </c>
      <c r="E36" s="17">
        <f t="shared" si="5"/>
        <v>12.027756360832687</v>
      </c>
      <c r="F36" s="17">
        <f t="shared" si="4"/>
        <v>11.170619739862286</v>
      </c>
      <c r="G36" s="17">
        <f t="shared" si="6"/>
        <v>19.098360655737711</v>
      </c>
      <c r="H36" s="39">
        <f t="shared" si="1"/>
        <v>1.3578802477632483</v>
      </c>
    </row>
    <row r="37" spans="1:8">
      <c r="A37" s="38">
        <v>37591</v>
      </c>
      <c r="B37" s="39">
        <f>+geral!G552</f>
        <v>0.1464</v>
      </c>
      <c r="C37" s="17">
        <f t="shared" si="2"/>
        <v>121.49377593360997</v>
      </c>
      <c r="D37" s="17">
        <f t="shared" si="0"/>
        <v>0.75705437026840627</v>
      </c>
      <c r="E37" s="17">
        <f t="shared" si="5"/>
        <v>12.875867386276019</v>
      </c>
      <c r="F37" s="17">
        <f t="shared" si="4"/>
        <v>12.875867386276019</v>
      </c>
      <c r="G37" s="17">
        <f t="shared" si="6"/>
        <v>21.091811414392069</v>
      </c>
      <c r="H37" s="39">
        <f t="shared" si="1"/>
        <v>1.3476775956284153</v>
      </c>
    </row>
    <row r="38" spans="1:8">
      <c r="A38" s="38">
        <v>37622</v>
      </c>
      <c r="B38" s="39">
        <f>+geral!I541</f>
        <v>0.15809999999999999</v>
      </c>
      <c r="C38" s="17">
        <f t="shared" si="2"/>
        <v>131.20331950207469</v>
      </c>
      <c r="D38" s="17">
        <f t="shared" si="0"/>
        <v>7.991803278688514</v>
      </c>
      <c r="E38" s="17">
        <f t="shared" ref="E38:E49" si="7">100*((B38/$B$37)-1)</f>
        <v>7.991803278688514</v>
      </c>
      <c r="F38" s="17">
        <f t="shared" si="4"/>
        <v>17.809239940387457</v>
      </c>
      <c r="G38" s="17">
        <f t="shared" si="6"/>
        <v>26.682692307692314</v>
      </c>
      <c r="H38" s="39">
        <f t="shared" si="1"/>
        <v>1.247944339025933</v>
      </c>
    </row>
    <row r="39" spans="1:8">
      <c r="A39" s="38">
        <v>37653</v>
      </c>
      <c r="B39" s="39">
        <f>+geral!I542</f>
        <v>0.15859999999999999</v>
      </c>
      <c r="C39" s="17">
        <f t="shared" si="2"/>
        <v>131.61825726141078</v>
      </c>
      <c r="D39" s="17">
        <f t="shared" si="0"/>
        <v>0.31625553447185428</v>
      </c>
      <c r="E39" s="17">
        <f t="shared" si="7"/>
        <v>8.333333333333325</v>
      </c>
      <c r="F39" s="17">
        <f t="shared" si="4"/>
        <v>16.190476190476176</v>
      </c>
      <c r="G39" s="17">
        <f t="shared" si="6"/>
        <v>27.594529364440866</v>
      </c>
      <c r="H39" s="39">
        <f t="shared" si="1"/>
        <v>1.2440100882723835</v>
      </c>
    </row>
    <row r="40" spans="1:8">
      <c r="A40" s="38">
        <v>37681</v>
      </c>
      <c r="B40" s="39">
        <f>+geral!I543</f>
        <v>0.1535</v>
      </c>
      <c r="C40" s="17">
        <f t="shared" si="2"/>
        <v>127.38589211618257</v>
      </c>
      <c r="D40" s="17">
        <f t="shared" si="0"/>
        <v>-3.21563682219419</v>
      </c>
      <c r="E40" s="17">
        <f t="shared" si="7"/>
        <v>4.8497267759562757</v>
      </c>
      <c r="F40" s="17">
        <f t="shared" si="4"/>
        <v>15.93655589123868</v>
      </c>
      <c r="G40" s="17">
        <f t="shared" si="6"/>
        <v>21.056782334384859</v>
      </c>
      <c r="H40" s="39">
        <f t="shared" si="1"/>
        <v>1.285342019543974</v>
      </c>
    </row>
    <row r="41" spans="1:8">
      <c r="A41" s="38">
        <v>37712</v>
      </c>
      <c r="B41" s="39">
        <f>+geral!I544</f>
        <v>0.15409999999999999</v>
      </c>
      <c r="C41" s="17">
        <f t="shared" si="2"/>
        <v>127.88381742738588</v>
      </c>
      <c r="D41" s="17">
        <f t="shared" si="0"/>
        <v>0.39087947882734397</v>
      </c>
      <c r="E41" s="17">
        <f t="shared" si="7"/>
        <v>5.2595628415300411</v>
      </c>
      <c r="F41" s="17">
        <f t="shared" si="4"/>
        <v>13.979289940828398</v>
      </c>
      <c r="G41" s="17">
        <f t="shared" si="6"/>
        <v>18.447348193697156</v>
      </c>
      <c r="H41" s="39">
        <f t="shared" si="1"/>
        <v>1.2803374432186894</v>
      </c>
    </row>
    <row r="42" spans="1:8">
      <c r="A42" s="38">
        <v>37742</v>
      </c>
      <c r="B42" s="39">
        <f>+geral!I545</f>
        <v>0.1555</v>
      </c>
      <c r="C42" s="17">
        <f t="shared" si="2"/>
        <v>129.04564315352698</v>
      </c>
      <c r="D42" s="17">
        <f t="shared" si="0"/>
        <v>0.90850097339389979</v>
      </c>
      <c r="E42" s="17">
        <f t="shared" si="7"/>
        <v>6.2158469945355233</v>
      </c>
      <c r="F42" s="17">
        <f t="shared" si="4"/>
        <v>15.014792899408302</v>
      </c>
      <c r="G42" s="17">
        <f t="shared" si="6"/>
        <v>18.161094224924025</v>
      </c>
      <c r="H42" s="39">
        <f t="shared" si="1"/>
        <v>1.2688102893890676</v>
      </c>
    </row>
    <row r="43" spans="1:8">
      <c r="A43" s="38">
        <v>37773</v>
      </c>
      <c r="B43" s="39">
        <f>+geral!I546</f>
        <v>0.15609999999999999</v>
      </c>
      <c r="C43" s="17">
        <f t="shared" si="2"/>
        <v>129.5435684647303</v>
      </c>
      <c r="D43" s="17">
        <f t="shared" si="0"/>
        <v>0.38585209003214604</v>
      </c>
      <c r="E43" s="17">
        <f t="shared" si="7"/>
        <v>6.6256830601092886</v>
      </c>
      <c r="F43" s="17">
        <f t="shared" si="4"/>
        <v>13.197969543147202</v>
      </c>
      <c r="G43" s="17">
        <f t="shared" si="6"/>
        <v>17.192192192192167</v>
      </c>
      <c r="H43" s="39">
        <f t="shared" si="1"/>
        <v>1.2639333760409994</v>
      </c>
    </row>
    <row r="44" spans="1:8">
      <c r="A44" s="38">
        <v>37803</v>
      </c>
      <c r="B44" s="39">
        <f>+geral!I547</f>
        <v>0.16650000000000001</v>
      </c>
      <c r="C44" s="17">
        <f t="shared" si="2"/>
        <v>138.1742738589212</v>
      </c>
      <c r="D44" s="17">
        <f t="shared" si="0"/>
        <v>6.6623959000640776</v>
      </c>
      <c r="E44" s="17">
        <f t="shared" si="7"/>
        <v>13.729508196721319</v>
      </c>
      <c r="F44" s="17">
        <f t="shared" si="4"/>
        <v>21.444201312910295</v>
      </c>
      <c r="G44" s="17">
        <f t="shared" si="6"/>
        <v>25.3765060240964</v>
      </c>
      <c r="H44" s="39">
        <f t="shared" si="1"/>
        <v>1.1849849849849849</v>
      </c>
    </row>
    <row r="45" spans="1:8">
      <c r="A45" s="38">
        <v>37834</v>
      </c>
      <c r="B45" s="39">
        <f>+geral!I548</f>
        <v>0.1646</v>
      </c>
      <c r="C45" s="17">
        <f t="shared" si="2"/>
        <v>136.59751037344398</v>
      </c>
      <c r="D45" s="17">
        <f t="shared" si="0"/>
        <v>-1.1411411411411443</v>
      </c>
      <c r="E45" s="17">
        <f t="shared" si="7"/>
        <v>12.431693989071025</v>
      </c>
      <c r="F45" s="17">
        <f t="shared" si="4"/>
        <v>20.763022743947168</v>
      </c>
      <c r="G45" s="17">
        <f t="shared" si="6"/>
        <v>24.414210128495849</v>
      </c>
      <c r="H45" s="39">
        <f t="shared" si="1"/>
        <v>1.1986634264884568</v>
      </c>
    </row>
    <row r="46" spans="1:8">
      <c r="A46" s="38">
        <v>37865</v>
      </c>
      <c r="B46" s="39">
        <f>+geral!I549</f>
        <v>0.1651</v>
      </c>
      <c r="C46" s="17">
        <f t="shared" si="2"/>
        <v>137.01244813278007</v>
      </c>
      <c r="D46" s="17">
        <f t="shared" si="0"/>
        <v>0.30376670716889542</v>
      </c>
      <c r="E46" s="17">
        <f t="shared" si="7"/>
        <v>12.773224043715835</v>
      </c>
      <c r="F46" s="17">
        <f t="shared" si="4"/>
        <v>19.378163412870553</v>
      </c>
      <c r="G46" s="17">
        <f t="shared" si="6"/>
        <v>23.025335320417263</v>
      </c>
      <c r="H46" s="39">
        <f t="shared" si="1"/>
        <v>1.1950333131435493</v>
      </c>
    </row>
    <row r="47" spans="1:8">
      <c r="A47" s="38">
        <v>37895</v>
      </c>
      <c r="B47" s="39">
        <f>+geral!I550</f>
        <v>0.1721</v>
      </c>
      <c r="C47" s="17">
        <f t="shared" si="2"/>
        <v>142.8215767634855</v>
      </c>
      <c r="D47" s="17">
        <f t="shared" si="0"/>
        <v>4.2398546335554288</v>
      </c>
      <c r="E47" s="17">
        <f t="shared" si="7"/>
        <v>17.554644808743181</v>
      </c>
      <c r="F47" s="17">
        <f t="shared" si="4"/>
        <v>21.539548022598876</v>
      </c>
      <c r="G47" s="17">
        <f t="shared" si="6"/>
        <v>29.398496240601489</v>
      </c>
      <c r="H47" s="39">
        <f t="shared" si="1"/>
        <v>1.1464264962231261</v>
      </c>
    </row>
    <row r="48" spans="1:8">
      <c r="A48" s="38">
        <v>37926</v>
      </c>
      <c r="B48" s="39">
        <f>+geral!I551</f>
        <v>0.16950000000000001</v>
      </c>
      <c r="C48" s="17">
        <f t="shared" si="2"/>
        <v>140.66390041493779</v>
      </c>
      <c r="D48" s="17">
        <f t="shared" si="0"/>
        <v>-1.510749564206848</v>
      </c>
      <c r="E48" s="17">
        <f t="shared" si="7"/>
        <v>15.778688524590168</v>
      </c>
      <c r="F48" s="17">
        <f t="shared" si="4"/>
        <v>16.655196145905027</v>
      </c>
      <c r="G48" s="17">
        <f t="shared" si="6"/>
        <v>29.68630451415455</v>
      </c>
      <c r="H48" s="39">
        <f t="shared" si="1"/>
        <v>1.1640117994100294</v>
      </c>
    </row>
    <row r="49" spans="1:8">
      <c r="A49" s="38">
        <v>37956</v>
      </c>
      <c r="B49" s="39">
        <f>+geral!I552</f>
        <v>0.16950000000000001</v>
      </c>
      <c r="C49" s="17">
        <f t="shared" si="2"/>
        <v>140.66390041493779</v>
      </c>
      <c r="D49" s="17">
        <f t="shared" si="0"/>
        <v>0</v>
      </c>
      <c r="E49" s="17">
        <f t="shared" si="7"/>
        <v>15.778688524590168</v>
      </c>
      <c r="F49" s="17">
        <f t="shared" si="4"/>
        <v>15.778688524590168</v>
      </c>
      <c r="G49" s="17">
        <f t="shared" si="6"/>
        <v>30.686198920585973</v>
      </c>
      <c r="H49" s="39">
        <f t="shared" si="1"/>
        <v>1.1640117994100294</v>
      </c>
    </row>
    <row r="50" spans="1:8">
      <c r="A50" s="38">
        <v>37987</v>
      </c>
      <c r="B50" s="39">
        <f>+geral!K541</f>
        <v>0.17430000000000001</v>
      </c>
      <c r="C50" s="17">
        <f t="shared" si="2"/>
        <v>144.64730290456433</v>
      </c>
      <c r="D50" s="17">
        <f t="shared" si="0"/>
        <v>2.831858407079646</v>
      </c>
      <c r="E50" s="17">
        <f t="shared" ref="E50:E55" si="8">100*((B50/$B$49)-1)</f>
        <v>2.831858407079646</v>
      </c>
      <c r="F50" s="17">
        <f t="shared" si="4"/>
        <v>10.246679316888052</v>
      </c>
      <c r="G50" s="17">
        <f t="shared" si="6"/>
        <v>29.880774962742173</v>
      </c>
      <c r="H50" s="39">
        <f t="shared" si="1"/>
        <v>1.131956397016638</v>
      </c>
    </row>
    <row r="51" spans="1:8">
      <c r="A51" s="38">
        <v>38018</v>
      </c>
      <c r="B51" s="39">
        <f>+geral!K542</f>
        <v>0.1779</v>
      </c>
      <c r="C51" s="17">
        <f t="shared" si="2"/>
        <v>147.63485477178423</v>
      </c>
      <c r="D51" s="17">
        <f t="shared" si="0"/>
        <v>2.06540447504302</v>
      </c>
      <c r="E51" s="17">
        <f t="shared" si="8"/>
        <v>4.9557522123893749</v>
      </c>
      <c r="F51" s="17">
        <f t="shared" si="4"/>
        <v>12.168978562421184</v>
      </c>
      <c r="G51" s="17">
        <f t="shared" si="6"/>
        <v>30.329670329670311</v>
      </c>
      <c r="H51" s="39">
        <f t="shared" si="1"/>
        <v>1.1090500281056774</v>
      </c>
    </row>
    <row r="52" spans="1:8">
      <c r="A52" s="38">
        <v>38047</v>
      </c>
      <c r="B52" s="39">
        <f>+geral!K543</f>
        <v>0.185</v>
      </c>
      <c r="C52" s="17">
        <f t="shared" si="2"/>
        <v>153.52697095435684</v>
      </c>
      <c r="D52" s="17">
        <f t="shared" si="0"/>
        <v>3.9910061832490129</v>
      </c>
      <c r="E52" s="17">
        <f t="shared" si="8"/>
        <v>9.1445427728613424</v>
      </c>
      <c r="F52" s="17">
        <f t="shared" si="4"/>
        <v>20.521172638436489</v>
      </c>
      <c r="G52" s="17">
        <f t="shared" si="6"/>
        <v>39.728096676737181</v>
      </c>
      <c r="H52" s="39">
        <f t="shared" si="1"/>
        <v>1.0664864864864865</v>
      </c>
    </row>
    <row r="53" spans="1:8">
      <c r="A53" s="38">
        <v>38078</v>
      </c>
      <c r="B53" s="39">
        <f>+geral!K544</f>
        <v>0.18490000000000001</v>
      </c>
      <c r="C53" s="17">
        <f t="shared" si="2"/>
        <v>153.44398340248964</v>
      </c>
      <c r="D53" s="17">
        <f t="shared" si="0"/>
        <v>-5.4054054054053502E-2</v>
      </c>
      <c r="E53" s="17">
        <f t="shared" si="8"/>
        <v>9.0855457227138725</v>
      </c>
      <c r="F53" s="17">
        <f>100*((B53/B41)-1)</f>
        <v>19.987021414665818</v>
      </c>
      <c r="G53" s="17">
        <f t="shared" si="6"/>
        <v>36.76035502958581</v>
      </c>
      <c r="H53" s="39">
        <f t="shared" si="1"/>
        <v>1.0670632774472688</v>
      </c>
    </row>
    <row r="54" spans="1:8">
      <c r="A54" s="38">
        <v>37742</v>
      </c>
      <c r="B54" s="39">
        <f>+geral!K545</f>
        <v>0.19020000000000001</v>
      </c>
      <c r="C54" s="17">
        <f t="shared" si="2"/>
        <v>157.84232365145229</v>
      </c>
      <c r="D54" s="17">
        <f t="shared" si="0"/>
        <v>2.8664142779881052</v>
      </c>
      <c r="E54" s="17">
        <f t="shared" si="8"/>
        <v>12.212389380530976</v>
      </c>
      <c r="F54" s="17">
        <f>100*((B54/B42)-1)</f>
        <v>22.315112540192938</v>
      </c>
      <c r="G54" s="17">
        <f t="shared" si="6"/>
        <v>40.680473372781087</v>
      </c>
      <c r="H54" s="39">
        <f t="shared" si="1"/>
        <v>1.03732912723449</v>
      </c>
    </row>
    <row r="55" spans="1:8">
      <c r="A55" s="49">
        <v>38139</v>
      </c>
      <c r="B55" s="50">
        <f>+geral!K546</f>
        <v>0.19470000000000001</v>
      </c>
      <c r="C55" s="22">
        <f t="shared" si="2"/>
        <v>161.57676348547722</v>
      </c>
      <c r="D55" s="22">
        <f t="shared" si="0"/>
        <v>2.3659305993690927</v>
      </c>
      <c r="E55" s="22">
        <f t="shared" si="8"/>
        <v>14.867256637168147</v>
      </c>
      <c r="F55" s="22">
        <f>100*((B55/B43)-1)</f>
        <v>24.72773862908393</v>
      </c>
      <c r="G55" s="22">
        <f t="shared" si="6"/>
        <v>41.189267585206693</v>
      </c>
      <c r="H55" s="39">
        <f t="shared" si="1"/>
        <v>1.0133538777606574</v>
      </c>
    </row>
    <row r="56" spans="1:8">
      <c r="A56" s="38">
        <v>38169</v>
      </c>
      <c r="B56" s="39">
        <f>+geral!K547</f>
        <v>0.1973</v>
      </c>
      <c r="C56" s="17">
        <f>100*B56/$B$5</f>
        <v>163.7344398340249</v>
      </c>
      <c r="D56" s="17">
        <f t="shared" si="0"/>
        <v>1.335387776065744</v>
      </c>
      <c r="E56" s="17">
        <f>100*((B56/$B$49)-1)</f>
        <v>16.40117994100294</v>
      </c>
      <c r="F56" s="17">
        <f>100*((B56/B44)-1)</f>
        <v>18.498498498498495</v>
      </c>
      <c r="G56" s="17">
        <f t="shared" si="6"/>
        <v>43.90955506929248</v>
      </c>
      <c r="H56" s="39">
        <f t="shared" si="1"/>
        <v>1</v>
      </c>
    </row>
    <row r="57" spans="1:8">
      <c r="A57" s="54" t="s">
        <v>164</v>
      </c>
      <c r="B57" s="55"/>
      <c r="C57" s="21"/>
      <c r="D57" s="21"/>
      <c r="E57" s="21"/>
      <c r="F57" s="21"/>
      <c r="G57" s="21"/>
      <c r="H57" s="21"/>
    </row>
    <row r="58" spans="1:8">
      <c r="A58" s="51"/>
      <c r="B58" s="52"/>
      <c r="C58" s="21"/>
      <c r="D58" s="21"/>
      <c r="E58" s="21"/>
      <c r="F58" s="21"/>
      <c r="G58" s="21"/>
      <c r="H58" s="21"/>
    </row>
    <row r="59" spans="1:8">
      <c r="A59" s="53"/>
      <c r="B59" s="34"/>
      <c r="C59" s="21"/>
      <c r="D59" s="21"/>
      <c r="E59" s="21"/>
      <c r="F59" s="21"/>
      <c r="G59" s="21"/>
      <c r="H59" s="21"/>
    </row>
    <row r="60" spans="1:8">
      <c r="B60" s="34"/>
    </row>
    <row r="61" spans="1:8">
      <c r="B61" s="34"/>
    </row>
    <row r="62" spans="1:8">
      <c r="B62" s="34"/>
    </row>
    <row r="63" spans="1:8">
      <c r="B63" s="34"/>
    </row>
    <row r="64" spans="1:8">
      <c r="B64" s="34"/>
    </row>
  </sheetData>
  <phoneticPr fontId="0" type="noConversion"/>
  <pageMargins left="0.78740157499999996" right="0.78740157499999996" top="0.984251969" bottom="0.984251969"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39"/>
  <dimension ref="A2:L126"/>
  <sheetViews>
    <sheetView showGridLines="0" showOutlineSymbols="0" topLeftCell="A115" zoomScaleNormal="87" workbookViewId="0">
      <selection activeCell="A134" sqref="A134"/>
    </sheetView>
  </sheetViews>
  <sheetFormatPr defaultColWidth="11.6640625" defaultRowHeight="15"/>
  <cols>
    <col min="1" max="3" width="8.77734375" style="1" customWidth="1"/>
    <col min="4" max="7" width="9.77734375" style="1" customWidth="1"/>
    <col min="8" max="16384" width="11.6640625" style="1"/>
  </cols>
  <sheetData>
    <row r="2" spans="1:12" ht="18">
      <c r="A2" s="4" t="s">
        <v>72</v>
      </c>
      <c r="B2" s="4"/>
      <c r="C2" s="4"/>
      <c r="D2" s="4"/>
    </row>
    <row r="3" spans="1:12" ht="15.75">
      <c r="A3" s="2" t="s">
        <v>149</v>
      </c>
    </row>
    <row r="4" spans="1:12" ht="63">
      <c r="A4" s="8" t="s">
        <v>67</v>
      </c>
      <c r="B4" s="9" t="s">
        <v>71</v>
      </c>
      <c r="C4" s="8" t="s">
        <v>68</v>
      </c>
      <c r="D4" s="10" t="s">
        <v>69</v>
      </c>
      <c r="E4" s="10" t="s">
        <v>65</v>
      </c>
      <c r="F4" s="42" t="s">
        <v>70</v>
      </c>
      <c r="G4" s="8" t="s">
        <v>160</v>
      </c>
      <c r="H4" s="8" t="s">
        <v>186</v>
      </c>
      <c r="I4" s="21"/>
      <c r="J4" s="21"/>
      <c r="K4" s="21"/>
      <c r="L4" s="21"/>
    </row>
    <row r="5" spans="1:12">
      <c r="A5" s="16">
        <v>34516</v>
      </c>
      <c r="B5" s="24">
        <f>+geral!C202</f>
        <v>249.36</v>
      </c>
      <c r="C5" s="17">
        <v>100</v>
      </c>
      <c r="D5" s="17"/>
      <c r="E5" s="17"/>
      <c r="F5" s="17"/>
      <c r="G5" s="17"/>
      <c r="H5" s="39">
        <f>$B$125/B5</f>
        <v>3.9603785691369904</v>
      </c>
    </row>
    <row r="6" spans="1:12">
      <c r="A6" s="16">
        <v>34547</v>
      </c>
      <c r="B6" s="24">
        <f>+geral!C203</f>
        <v>249.36</v>
      </c>
      <c r="C6" s="17">
        <v>100</v>
      </c>
      <c r="D6" s="17">
        <f t="shared" ref="D6:D70" si="0">100*((B6/B5)-1)</f>
        <v>0</v>
      </c>
      <c r="E6" s="17"/>
      <c r="F6" s="17"/>
      <c r="G6" s="17"/>
      <c r="H6" s="39">
        <f t="shared" ref="H6:H69" si="1">$B$125/B6</f>
        <v>3.9603785691369904</v>
      </c>
    </row>
    <row r="7" spans="1:12">
      <c r="A7" s="16">
        <v>34578</v>
      </c>
      <c r="B7" s="24">
        <f>+geral!C204</f>
        <v>269.7</v>
      </c>
      <c r="C7" s="17">
        <f t="shared" ref="C7:C70" si="2">100*B7/$B$5</f>
        <v>108.15688161693936</v>
      </c>
      <c r="D7" s="17">
        <f t="shared" si="0"/>
        <v>8.1568816169393479</v>
      </c>
      <c r="E7" s="17"/>
      <c r="F7" s="17"/>
      <c r="G7" s="17"/>
      <c r="H7" s="39">
        <f t="shared" si="1"/>
        <v>3.6616981831664814</v>
      </c>
    </row>
    <row r="8" spans="1:12">
      <c r="A8" s="16">
        <v>34608</v>
      </c>
      <c r="B8" s="24">
        <f>+geral!C205</f>
        <v>279.27999999999997</v>
      </c>
      <c r="C8" s="17">
        <f t="shared" si="2"/>
        <v>111.99871671478984</v>
      </c>
      <c r="D8" s="17">
        <f t="shared" si="0"/>
        <v>3.5520949202817897</v>
      </c>
      <c r="E8" s="17"/>
      <c r="F8" s="17"/>
      <c r="G8" s="17"/>
      <c r="H8" s="39">
        <f t="shared" si="1"/>
        <v>3.5360928100830709</v>
      </c>
    </row>
    <row r="9" spans="1:12">
      <c r="A9" s="16">
        <v>34639</v>
      </c>
      <c r="B9" s="24">
        <f>+geral!C206</f>
        <v>279.27999999999997</v>
      </c>
      <c r="C9" s="17">
        <f t="shared" si="2"/>
        <v>111.99871671478984</v>
      </c>
      <c r="D9" s="17">
        <f t="shared" si="0"/>
        <v>0</v>
      </c>
      <c r="E9" s="17"/>
      <c r="F9" s="17"/>
      <c r="G9" s="17"/>
      <c r="H9" s="39">
        <f t="shared" si="1"/>
        <v>3.5360928100830709</v>
      </c>
    </row>
    <row r="10" spans="1:12">
      <c r="A10" s="16">
        <v>34669</v>
      </c>
      <c r="B10" s="24">
        <f>+geral!C207</f>
        <v>304.27999999999997</v>
      </c>
      <c r="C10" s="17">
        <f t="shared" si="2"/>
        <v>122.0243824189926</v>
      </c>
      <c r="D10" s="17">
        <f t="shared" si="0"/>
        <v>8.9515898023488916</v>
      </c>
      <c r="E10" s="17"/>
      <c r="F10" s="17"/>
      <c r="G10" s="17"/>
      <c r="H10" s="39">
        <f t="shared" si="1"/>
        <v>3.2455632969633235</v>
      </c>
    </row>
    <row r="11" spans="1:12">
      <c r="A11" s="16">
        <v>34700</v>
      </c>
      <c r="B11" s="24">
        <f>+geral!E196</f>
        <v>304.27999999999997</v>
      </c>
      <c r="C11" s="17">
        <f t="shared" si="2"/>
        <v>122.0243824189926</v>
      </c>
      <c r="D11" s="17">
        <f t="shared" si="0"/>
        <v>0</v>
      </c>
      <c r="E11" s="17">
        <f t="shared" ref="E11:E22" si="3">100*((B11/$B$10)-1)</f>
        <v>0</v>
      </c>
      <c r="F11" s="17"/>
      <c r="G11" s="17"/>
      <c r="H11" s="39">
        <f t="shared" si="1"/>
        <v>3.2455632969633235</v>
      </c>
    </row>
    <row r="12" spans="1:12">
      <c r="A12" s="16">
        <v>34731</v>
      </c>
      <c r="B12" s="24">
        <f>+geral!E197</f>
        <v>346.27</v>
      </c>
      <c r="C12" s="17">
        <f t="shared" si="2"/>
        <v>138.86349053577158</v>
      </c>
      <c r="D12" s="17">
        <f t="shared" si="0"/>
        <v>13.799789667411599</v>
      </c>
      <c r="E12" s="17">
        <f t="shared" si="3"/>
        <v>13.799789667411599</v>
      </c>
      <c r="F12" s="17"/>
      <c r="G12" s="17"/>
      <c r="H12" s="39">
        <f t="shared" si="1"/>
        <v>2.8519941086435439</v>
      </c>
    </row>
    <row r="13" spans="1:12">
      <c r="A13" s="16">
        <v>34759</v>
      </c>
      <c r="B13" s="24">
        <f>+geral!E198</f>
        <v>346.27</v>
      </c>
      <c r="C13" s="17">
        <f t="shared" si="2"/>
        <v>138.86349053577158</v>
      </c>
      <c r="D13" s="17">
        <f t="shared" si="0"/>
        <v>0</v>
      </c>
      <c r="E13" s="17">
        <f t="shared" si="3"/>
        <v>13.799789667411599</v>
      </c>
      <c r="F13" s="17"/>
      <c r="G13" s="17"/>
      <c r="H13" s="39">
        <f t="shared" si="1"/>
        <v>2.8519941086435439</v>
      </c>
    </row>
    <row r="14" spans="1:12">
      <c r="A14" s="16">
        <v>34790</v>
      </c>
      <c r="B14" s="24">
        <f>+geral!E199</f>
        <v>346.27</v>
      </c>
      <c r="C14" s="17">
        <f t="shared" si="2"/>
        <v>138.86349053577158</v>
      </c>
      <c r="D14" s="17">
        <f t="shared" si="0"/>
        <v>0</v>
      </c>
      <c r="E14" s="17">
        <f t="shared" si="3"/>
        <v>13.799789667411599</v>
      </c>
      <c r="F14" s="17"/>
      <c r="G14" s="17"/>
      <c r="H14" s="39">
        <f t="shared" si="1"/>
        <v>2.8519941086435439</v>
      </c>
    </row>
    <row r="15" spans="1:12">
      <c r="A15" s="16">
        <v>34820</v>
      </c>
      <c r="B15" s="24">
        <f>+geral!E200</f>
        <v>405.52</v>
      </c>
      <c r="C15" s="17">
        <f t="shared" si="2"/>
        <v>162.62431825473212</v>
      </c>
      <c r="D15" s="17">
        <f t="shared" si="0"/>
        <v>17.110925000721977</v>
      </c>
      <c r="E15" s="17">
        <f t="shared" si="3"/>
        <v>33.27198632838175</v>
      </c>
      <c r="F15" s="17"/>
      <c r="G15" s="17"/>
      <c r="H15" s="39">
        <f t="shared" si="1"/>
        <v>2.4352929571907675</v>
      </c>
    </row>
    <row r="16" spans="1:12">
      <c r="A16" s="16">
        <v>38504</v>
      </c>
      <c r="B16" s="24">
        <f>+geral!E201</f>
        <v>405.42</v>
      </c>
      <c r="C16" s="17">
        <f t="shared" si="2"/>
        <v>162.5842155919153</v>
      </c>
      <c r="D16" s="17">
        <f t="shared" si="0"/>
        <v>-2.46596961925305E-2</v>
      </c>
      <c r="E16" s="17">
        <f t="shared" si="3"/>
        <v>33.239121861443422</v>
      </c>
      <c r="F16" s="17"/>
      <c r="G16" s="17"/>
      <c r="H16" s="39">
        <f t="shared" si="1"/>
        <v>2.4358936411622514</v>
      </c>
    </row>
    <row r="17" spans="1:8">
      <c r="A17" s="16">
        <v>34881</v>
      </c>
      <c r="B17" s="24">
        <f>+geral!E202</f>
        <v>405.52</v>
      </c>
      <c r="C17" s="17">
        <f t="shared" si="2"/>
        <v>162.62431825473212</v>
      </c>
      <c r="D17" s="17">
        <f t="shared" si="0"/>
        <v>2.466577869861819E-2</v>
      </c>
      <c r="E17" s="17">
        <f t="shared" si="3"/>
        <v>33.27198632838175</v>
      </c>
      <c r="F17" s="17">
        <f>100*((B17/B5)-1)</f>
        <v>62.624318254732088</v>
      </c>
      <c r="G17" s="17"/>
      <c r="H17" s="39">
        <f t="shared" si="1"/>
        <v>2.4352929571907675</v>
      </c>
    </row>
    <row r="18" spans="1:8">
      <c r="A18" s="16">
        <v>34912</v>
      </c>
      <c r="B18" s="24">
        <f>+geral!E203</f>
        <v>405.52</v>
      </c>
      <c r="C18" s="17">
        <f t="shared" si="2"/>
        <v>162.62431825473212</v>
      </c>
      <c r="D18" s="17">
        <f t="shared" si="0"/>
        <v>0</v>
      </c>
      <c r="E18" s="17">
        <f t="shared" si="3"/>
        <v>33.27198632838175</v>
      </c>
      <c r="F18" s="17">
        <f t="shared" ref="F18:F81" si="4">100*((B18/B6)-1)</f>
        <v>62.624318254732088</v>
      </c>
      <c r="G18" s="17"/>
      <c r="H18" s="39">
        <f t="shared" si="1"/>
        <v>2.4352929571907675</v>
      </c>
    </row>
    <row r="19" spans="1:8">
      <c r="A19" s="16">
        <v>34943</v>
      </c>
      <c r="B19" s="24">
        <f>+geral!E204</f>
        <v>405.53</v>
      </c>
      <c r="C19" s="17">
        <f t="shared" si="2"/>
        <v>162.6283285210138</v>
      </c>
      <c r="D19" s="17">
        <f t="shared" si="0"/>
        <v>2.4659696192586011E-3</v>
      </c>
      <c r="E19" s="17">
        <f t="shared" si="3"/>
        <v>33.275272775075578</v>
      </c>
      <c r="F19" s="17">
        <f t="shared" si="4"/>
        <v>50.363366703744902</v>
      </c>
      <c r="G19" s="17"/>
      <c r="H19" s="39">
        <f t="shared" si="1"/>
        <v>2.4352329050871697</v>
      </c>
    </row>
    <row r="20" spans="1:8">
      <c r="A20" s="16">
        <v>34973</v>
      </c>
      <c r="B20" s="24">
        <f>+geral!E205</f>
        <v>405.52</v>
      </c>
      <c r="C20" s="17">
        <f t="shared" si="2"/>
        <v>162.62431825473212</v>
      </c>
      <c r="D20" s="17">
        <f t="shared" si="0"/>
        <v>-2.4659088106893101E-3</v>
      </c>
      <c r="E20" s="17">
        <f t="shared" si="3"/>
        <v>33.27198632838175</v>
      </c>
      <c r="F20" s="17">
        <f t="shared" si="4"/>
        <v>45.201947865941008</v>
      </c>
      <c r="G20" s="17"/>
      <c r="H20" s="39">
        <f t="shared" si="1"/>
        <v>2.4352929571907675</v>
      </c>
    </row>
    <row r="21" spans="1:8">
      <c r="A21" s="16">
        <v>35004</v>
      </c>
      <c r="B21" s="24">
        <f>+geral!E206</f>
        <v>405.52</v>
      </c>
      <c r="C21" s="17">
        <f t="shared" si="2"/>
        <v>162.62431825473212</v>
      </c>
      <c r="D21" s="17">
        <f t="shared" si="0"/>
        <v>0</v>
      </c>
      <c r="E21" s="17">
        <f t="shared" si="3"/>
        <v>33.27198632838175</v>
      </c>
      <c r="F21" s="17">
        <f t="shared" si="4"/>
        <v>45.201947865941008</v>
      </c>
      <c r="G21" s="17"/>
      <c r="H21" s="39">
        <f t="shared" si="1"/>
        <v>2.4352929571907675</v>
      </c>
    </row>
    <row r="22" spans="1:8">
      <c r="A22" s="16">
        <v>35034</v>
      </c>
      <c r="B22" s="24">
        <f>+geral!E207</f>
        <v>405.52</v>
      </c>
      <c r="C22" s="17">
        <f t="shared" si="2"/>
        <v>162.62431825473212</v>
      </c>
      <c r="D22" s="17">
        <f t="shared" si="0"/>
        <v>0</v>
      </c>
      <c r="E22" s="17">
        <f t="shared" si="3"/>
        <v>33.27198632838175</v>
      </c>
      <c r="F22" s="17">
        <f t="shared" si="4"/>
        <v>33.27198632838175</v>
      </c>
      <c r="G22" s="17"/>
      <c r="H22" s="39">
        <f t="shared" si="1"/>
        <v>2.4352929571907675</v>
      </c>
    </row>
    <row r="23" spans="1:8">
      <c r="A23" s="16">
        <v>35065</v>
      </c>
      <c r="B23" s="24">
        <f>+geral!G196</f>
        <v>405.52</v>
      </c>
      <c r="C23" s="17">
        <f t="shared" si="2"/>
        <v>162.62431825473212</v>
      </c>
      <c r="D23" s="17">
        <f t="shared" si="0"/>
        <v>0</v>
      </c>
      <c r="E23" s="17">
        <f>100*((B23/$B$22)-1)</f>
        <v>0</v>
      </c>
      <c r="F23" s="17">
        <f t="shared" si="4"/>
        <v>33.27198632838175</v>
      </c>
      <c r="G23" s="17"/>
      <c r="H23" s="39">
        <f t="shared" si="1"/>
        <v>2.4352929571907675</v>
      </c>
    </row>
    <row r="24" spans="1:8">
      <c r="A24" s="16">
        <v>35096</v>
      </c>
      <c r="B24" s="24">
        <f>+geral!G197</f>
        <v>405.52</v>
      </c>
      <c r="C24" s="17">
        <f t="shared" si="2"/>
        <v>162.62431825473212</v>
      </c>
      <c r="D24" s="17">
        <f t="shared" si="0"/>
        <v>0</v>
      </c>
      <c r="E24" s="17">
        <f t="shared" ref="E24:E34" si="5">100*((B24/$B$22)-1)</f>
        <v>0</v>
      </c>
      <c r="F24" s="17">
        <f t="shared" si="4"/>
        <v>17.110925000721977</v>
      </c>
      <c r="G24" s="17"/>
      <c r="H24" s="39">
        <f t="shared" si="1"/>
        <v>2.4352929571907675</v>
      </c>
    </row>
    <row r="25" spans="1:8">
      <c r="A25" s="16">
        <v>35125</v>
      </c>
      <c r="B25" s="24">
        <f>+geral!G198</f>
        <v>405.52</v>
      </c>
      <c r="C25" s="17">
        <f t="shared" si="2"/>
        <v>162.62431825473212</v>
      </c>
      <c r="D25" s="17">
        <f t="shared" si="0"/>
        <v>0</v>
      </c>
      <c r="E25" s="17">
        <f t="shared" si="5"/>
        <v>0</v>
      </c>
      <c r="F25" s="17">
        <f t="shared" si="4"/>
        <v>17.110925000721977</v>
      </c>
      <c r="G25" s="17"/>
      <c r="H25" s="39">
        <f t="shared" si="1"/>
        <v>2.4352929571907675</v>
      </c>
    </row>
    <row r="26" spans="1:8">
      <c r="A26" s="16">
        <v>35156</v>
      </c>
      <c r="B26" s="24">
        <f>+geral!G199</f>
        <v>405.52</v>
      </c>
      <c r="C26" s="17">
        <f t="shared" si="2"/>
        <v>162.62431825473212</v>
      </c>
      <c r="D26" s="17">
        <f t="shared" si="0"/>
        <v>0</v>
      </c>
      <c r="E26" s="17">
        <f t="shared" si="5"/>
        <v>0</v>
      </c>
      <c r="F26" s="17">
        <f t="shared" si="4"/>
        <v>17.110925000721977</v>
      </c>
      <c r="G26" s="17"/>
      <c r="H26" s="39">
        <f t="shared" si="1"/>
        <v>2.4352929571907675</v>
      </c>
    </row>
    <row r="27" spans="1:8">
      <c r="A27" s="16">
        <v>35186</v>
      </c>
      <c r="B27" s="24">
        <f>+geral!G200</f>
        <v>405.52</v>
      </c>
      <c r="C27" s="17">
        <f t="shared" si="2"/>
        <v>162.62431825473212</v>
      </c>
      <c r="D27" s="17">
        <f t="shared" si="0"/>
        <v>0</v>
      </c>
      <c r="E27" s="17">
        <f t="shared" si="5"/>
        <v>0</v>
      </c>
      <c r="F27" s="17">
        <f t="shared" si="4"/>
        <v>0</v>
      </c>
      <c r="G27" s="17"/>
      <c r="H27" s="39">
        <f t="shared" si="1"/>
        <v>2.4352929571907675</v>
      </c>
    </row>
    <row r="28" spans="1:8">
      <c r="A28" s="16">
        <v>35217</v>
      </c>
      <c r="B28" s="24">
        <f>+geral!G201</f>
        <v>429.85</v>
      </c>
      <c r="C28" s="17">
        <f t="shared" si="2"/>
        <v>172.38129611806224</v>
      </c>
      <c r="D28" s="17">
        <f t="shared" si="0"/>
        <v>5.9997040836456961</v>
      </c>
      <c r="E28" s="17">
        <f t="shared" si="5"/>
        <v>5.9997040836456961</v>
      </c>
      <c r="F28" s="17">
        <f t="shared" si="4"/>
        <v>6.0258497360761609</v>
      </c>
      <c r="G28" s="17"/>
      <c r="H28" s="39">
        <f t="shared" si="1"/>
        <v>2.2974525997440964</v>
      </c>
    </row>
    <row r="29" spans="1:8">
      <c r="A29" s="16">
        <v>35247</v>
      </c>
      <c r="B29" s="24">
        <f>+geral!G202</f>
        <v>451.34</v>
      </c>
      <c r="C29" s="17">
        <f t="shared" si="2"/>
        <v>180.99935835739493</v>
      </c>
      <c r="D29" s="17">
        <f t="shared" si="0"/>
        <v>4.9994184017680521</v>
      </c>
      <c r="E29" s="17">
        <f t="shared" si="5"/>
        <v>11.299072795423148</v>
      </c>
      <c r="F29" s="17">
        <f t="shared" si="4"/>
        <v>11.299072795423148</v>
      </c>
      <c r="G29" s="17"/>
      <c r="H29" s="39">
        <f t="shared" si="1"/>
        <v>2.1880622147383346</v>
      </c>
    </row>
    <row r="30" spans="1:8">
      <c r="A30" s="16">
        <v>35278</v>
      </c>
      <c r="B30" s="24">
        <f>+geral!G203</f>
        <v>451.34</v>
      </c>
      <c r="C30" s="17">
        <f t="shared" si="2"/>
        <v>180.99935835739493</v>
      </c>
      <c r="D30" s="17">
        <f t="shared" si="0"/>
        <v>0</v>
      </c>
      <c r="E30" s="17">
        <f t="shared" si="5"/>
        <v>11.299072795423148</v>
      </c>
      <c r="F30" s="17">
        <f t="shared" si="4"/>
        <v>11.299072795423148</v>
      </c>
      <c r="G30" s="17">
        <f>100*(B29/B5-1)</f>
        <v>80.999358357394911</v>
      </c>
      <c r="H30" s="39">
        <f t="shared" si="1"/>
        <v>2.1880622147383346</v>
      </c>
    </row>
    <row r="31" spans="1:8">
      <c r="A31" s="16">
        <v>35309</v>
      </c>
      <c r="B31" s="24">
        <f>+geral!G204</f>
        <v>451.34</v>
      </c>
      <c r="C31" s="17">
        <f t="shared" si="2"/>
        <v>180.99935835739493</v>
      </c>
      <c r="D31" s="17">
        <f t="shared" si="0"/>
        <v>0</v>
      </c>
      <c r="E31" s="17">
        <f t="shared" si="5"/>
        <v>11.299072795423148</v>
      </c>
      <c r="F31" s="17">
        <f t="shared" si="4"/>
        <v>11.296328261780886</v>
      </c>
      <c r="G31" s="17">
        <f t="shared" ref="G31:G94" si="6">100*(B30/B6-1)</f>
        <v>80.999358357394911</v>
      </c>
      <c r="H31" s="39">
        <f t="shared" si="1"/>
        <v>2.1880622147383346</v>
      </c>
    </row>
    <row r="32" spans="1:8">
      <c r="A32" s="16">
        <v>35339</v>
      </c>
      <c r="B32" s="24">
        <f>+geral!G205</f>
        <v>451.34</v>
      </c>
      <c r="C32" s="17">
        <f t="shared" si="2"/>
        <v>180.99935835739493</v>
      </c>
      <c r="D32" s="17">
        <f t="shared" si="0"/>
        <v>0</v>
      </c>
      <c r="E32" s="17">
        <f t="shared" si="5"/>
        <v>11.299072795423148</v>
      </c>
      <c r="F32" s="17">
        <f t="shared" si="4"/>
        <v>11.299072795423148</v>
      </c>
      <c r="G32" s="17">
        <f t="shared" si="6"/>
        <v>67.348906192065257</v>
      </c>
      <c r="H32" s="39">
        <f t="shared" si="1"/>
        <v>2.1880622147383346</v>
      </c>
    </row>
    <row r="33" spans="1:8">
      <c r="A33" s="16">
        <v>35370</v>
      </c>
      <c r="B33" s="24">
        <f>+geral!G206</f>
        <v>473.91</v>
      </c>
      <c r="C33" s="17">
        <f t="shared" si="2"/>
        <v>190.05052935514917</v>
      </c>
      <c r="D33" s="17">
        <f t="shared" si="0"/>
        <v>5.0006646873753891</v>
      </c>
      <c r="E33" s="17">
        <f t="shared" si="5"/>
        <v>16.864766226080107</v>
      </c>
      <c r="F33" s="17">
        <f t="shared" si="4"/>
        <v>16.864766226080107</v>
      </c>
      <c r="G33" s="17">
        <f t="shared" si="6"/>
        <v>61.608421655686051</v>
      </c>
      <c r="H33" s="39">
        <f t="shared" si="1"/>
        <v>2.0838555843936608</v>
      </c>
    </row>
    <row r="34" spans="1:8">
      <c r="A34" s="16">
        <v>35400</v>
      </c>
      <c r="B34" s="24">
        <f>+geral!G207</f>
        <v>473.91</v>
      </c>
      <c r="C34" s="17">
        <f t="shared" si="2"/>
        <v>190.05052935514917</v>
      </c>
      <c r="D34" s="17">
        <f t="shared" si="0"/>
        <v>0</v>
      </c>
      <c r="E34" s="17">
        <f t="shared" si="5"/>
        <v>16.864766226080107</v>
      </c>
      <c r="F34" s="17">
        <f t="shared" si="4"/>
        <v>16.864766226080107</v>
      </c>
      <c r="G34" s="17">
        <f t="shared" si="6"/>
        <v>69.689916929246664</v>
      </c>
      <c r="H34" s="39">
        <f t="shared" si="1"/>
        <v>2.0838555843936608</v>
      </c>
    </row>
    <row r="35" spans="1:8">
      <c r="A35" s="16">
        <v>35431</v>
      </c>
      <c r="B35" s="24">
        <f>+geral!I196</f>
        <v>473.91</v>
      </c>
      <c r="C35" s="17">
        <f t="shared" si="2"/>
        <v>190.05052935514917</v>
      </c>
      <c r="D35" s="17">
        <f t="shared" si="0"/>
        <v>0</v>
      </c>
      <c r="E35" s="17">
        <f>100*((B35/$B$34)-1)</f>
        <v>0</v>
      </c>
      <c r="F35" s="17">
        <f t="shared" si="4"/>
        <v>16.864766226080107</v>
      </c>
      <c r="G35" s="17">
        <f t="shared" si="6"/>
        <v>55.747995267516792</v>
      </c>
      <c r="H35" s="39">
        <f t="shared" si="1"/>
        <v>2.0838555843936608</v>
      </c>
    </row>
    <row r="36" spans="1:8">
      <c r="A36" s="16">
        <v>35462</v>
      </c>
      <c r="B36" s="24">
        <f>+geral!I197</f>
        <v>473.91</v>
      </c>
      <c r="C36" s="17">
        <f t="shared" si="2"/>
        <v>190.05052935514917</v>
      </c>
      <c r="D36" s="17">
        <f t="shared" si="0"/>
        <v>0</v>
      </c>
      <c r="E36" s="17">
        <f t="shared" ref="E36:E46" si="7">100*((B36/$B$34)-1)</f>
        <v>0</v>
      </c>
      <c r="F36" s="17">
        <f t="shared" si="4"/>
        <v>16.864766226080107</v>
      </c>
      <c r="G36" s="17">
        <f t="shared" si="6"/>
        <v>55.747995267516792</v>
      </c>
      <c r="H36" s="39">
        <f t="shared" si="1"/>
        <v>2.0838555843936608</v>
      </c>
    </row>
    <row r="37" spans="1:8">
      <c r="A37" s="16">
        <v>35490</v>
      </c>
      <c r="B37" s="24">
        <f>+geral!I198</f>
        <v>473.91</v>
      </c>
      <c r="C37" s="17">
        <f t="shared" si="2"/>
        <v>190.05052935514917</v>
      </c>
      <c r="D37" s="17">
        <f t="shared" si="0"/>
        <v>0</v>
      </c>
      <c r="E37" s="17">
        <f t="shared" si="7"/>
        <v>0</v>
      </c>
      <c r="F37" s="17">
        <f t="shared" si="4"/>
        <v>16.864766226080107</v>
      </c>
      <c r="G37" s="17">
        <f t="shared" si="6"/>
        <v>36.861408727293757</v>
      </c>
      <c r="H37" s="39">
        <f t="shared" si="1"/>
        <v>2.0838555843936608</v>
      </c>
    </row>
    <row r="38" spans="1:8">
      <c r="A38" s="16">
        <v>35521</v>
      </c>
      <c r="B38" s="24">
        <f>+geral!I199</f>
        <v>473.91</v>
      </c>
      <c r="C38" s="17">
        <f t="shared" si="2"/>
        <v>190.05052935514917</v>
      </c>
      <c r="D38" s="17">
        <f t="shared" si="0"/>
        <v>0</v>
      </c>
      <c r="E38" s="17">
        <f t="shared" si="7"/>
        <v>0</v>
      </c>
      <c r="F38" s="17">
        <f t="shared" si="4"/>
        <v>16.864766226080107</v>
      </c>
      <c r="G38" s="17">
        <f t="shared" si="6"/>
        <v>36.861408727293757</v>
      </c>
      <c r="H38" s="39">
        <f t="shared" si="1"/>
        <v>2.0838555843936608</v>
      </c>
    </row>
    <row r="39" spans="1:8">
      <c r="A39" s="16">
        <v>35551</v>
      </c>
      <c r="B39" s="24">
        <f>+geral!I200</f>
        <v>473.91</v>
      </c>
      <c r="C39" s="17">
        <f t="shared" si="2"/>
        <v>190.05052935514917</v>
      </c>
      <c r="D39" s="17">
        <f t="shared" si="0"/>
        <v>0</v>
      </c>
      <c r="E39" s="17">
        <f t="shared" si="7"/>
        <v>0</v>
      </c>
      <c r="F39" s="17">
        <f t="shared" si="4"/>
        <v>16.864766226080107</v>
      </c>
      <c r="G39" s="17">
        <f t="shared" si="6"/>
        <v>36.861408727293757</v>
      </c>
      <c r="H39" s="39">
        <f t="shared" si="1"/>
        <v>2.0838555843936608</v>
      </c>
    </row>
    <row r="40" spans="1:8">
      <c r="A40" s="16">
        <v>35582</v>
      </c>
      <c r="B40" s="24">
        <f>+geral!I201</f>
        <v>509.45</v>
      </c>
      <c r="C40" s="17">
        <f t="shared" si="2"/>
        <v>204.30301572024382</v>
      </c>
      <c r="D40" s="17">
        <f t="shared" si="0"/>
        <v>7.4993142157793624</v>
      </c>
      <c r="E40" s="17">
        <f t="shared" si="7"/>
        <v>7.4993142157793624</v>
      </c>
      <c r="F40" s="17">
        <f t="shared" si="4"/>
        <v>18.518087705013375</v>
      </c>
      <c r="G40" s="17">
        <f t="shared" si="6"/>
        <v>16.864766226080107</v>
      </c>
      <c r="H40" s="39">
        <f t="shared" si="1"/>
        <v>1.938482677397193</v>
      </c>
    </row>
    <row r="41" spans="1:8">
      <c r="A41" s="16">
        <v>35612</v>
      </c>
      <c r="B41" s="24">
        <f>+geral!I202</f>
        <v>509.45</v>
      </c>
      <c r="C41" s="17">
        <f t="shared" si="2"/>
        <v>204.30301572024382</v>
      </c>
      <c r="D41" s="17">
        <f t="shared" si="0"/>
        <v>0</v>
      </c>
      <c r="E41" s="17">
        <f t="shared" si="7"/>
        <v>7.4993142157793624</v>
      </c>
      <c r="F41" s="17">
        <f t="shared" si="4"/>
        <v>12.874994460938538</v>
      </c>
      <c r="G41" s="17">
        <f t="shared" si="6"/>
        <v>25.65980958018843</v>
      </c>
      <c r="H41" s="39">
        <f t="shared" si="1"/>
        <v>1.938482677397193</v>
      </c>
    </row>
    <row r="42" spans="1:8">
      <c r="A42" s="16">
        <v>35643</v>
      </c>
      <c r="B42" s="24">
        <f>+geral!I203</f>
        <v>509.45</v>
      </c>
      <c r="C42" s="17">
        <f t="shared" si="2"/>
        <v>204.30301572024382</v>
      </c>
      <c r="D42" s="17">
        <f t="shared" si="0"/>
        <v>0</v>
      </c>
      <c r="E42" s="17">
        <f t="shared" si="7"/>
        <v>7.4993142157793624</v>
      </c>
      <c r="F42" s="17">
        <f t="shared" si="4"/>
        <v>12.874994460938538</v>
      </c>
      <c r="G42" s="17">
        <f t="shared" si="6"/>
        <v>25.628822252909856</v>
      </c>
      <c r="H42" s="39">
        <f t="shared" si="1"/>
        <v>1.938482677397193</v>
      </c>
    </row>
    <row r="43" spans="1:8">
      <c r="A43" s="16">
        <v>35674</v>
      </c>
      <c r="B43" s="24">
        <f>+geral!I204</f>
        <v>509.45</v>
      </c>
      <c r="C43" s="17">
        <f t="shared" si="2"/>
        <v>204.30301572024382</v>
      </c>
      <c r="D43" s="17">
        <f t="shared" si="0"/>
        <v>0</v>
      </c>
      <c r="E43" s="17">
        <f t="shared" si="7"/>
        <v>7.4993142157793624</v>
      </c>
      <c r="F43" s="17">
        <f t="shared" si="4"/>
        <v>12.874994460938538</v>
      </c>
      <c r="G43" s="17">
        <f t="shared" si="6"/>
        <v>25.628822252909856</v>
      </c>
      <c r="H43" s="39">
        <f t="shared" si="1"/>
        <v>1.938482677397193</v>
      </c>
    </row>
    <row r="44" spans="1:8">
      <c r="A44" s="16">
        <v>35704</v>
      </c>
      <c r="B44" s="24">
        <f>+geral!I205</f>
        <v>509.45</v>
      </c>
      <c r="C44" s="17">
        <f t="shared" si="2"/>
        <v>204.30301572024382</v>
      </c>
      <c r="D44" s="17">
        <f t="shared" si="0"/>
        <v>0</v>
      </c>
      <c r="E44" s="17">
        <f t="shared" si="7"/>
        <v>7.4993142157793624</v>
      </c>
      <c r="F44" s="17">
        <f t="shared" si="4"/>
        <v>12.874994460938538</v>
      </c>
      <c r="G44" s="17">
        <f t="shared" si="6"/>
        <v>25.625724360713154</v>
      </c>
      <c r="H44" s="39">
        <f t="shared" si="1"/>
        <v>1.938482677397193</v>
      </c>
    </row>
    <row r="45" spans="1:8">
      <c r="A45" s="16">
        <v>35735</v>
      </c>
      <c r="B45" s="24">
        <f>+geral!I206</f>
        <v>509.45</v>
      </c>
      <c r="C45" s="17">
        <f t="shared" si="2"/>
        <v>204.30301572024382</v>
      </c>
      <c r="D45" s="17">
        <f t="shared" si="0"/>
        <v>0</v>
      </c>
      <c r="E45" s="17">
        <f t="shared" si="7"/>
        <v>7.4993142157793624</v>
      </c>
      <c r="F45" s="17">
        <f t="shared" si="4"/>
        <v>7.4993142157793624</v>
      </c>
      <c r="G45" s="17">
        <f t="shared" si="6"/>
        <v>25.628822252909856</v>
      </c>
      <c r="H45" s="39">
        <f t="shared" si="1"/>
        <v>1.938482677397193</v>
      </c>
    </row>
    <row r="46" spans="1:8">
      <c r="A46" s="16">
        <v>35765</v>
      </c>
      <c r="B46" s="24">
        <f>+geral!I207</f>
        <v>509.45</v>
      </c>
      <c r="C46" s="17">
        <f t="shared" si="2"/>
        <v>204.30301572024382</v>
      </c>
      <c r="D46" s="17">
        <f t="shared" si="0"/>
        <v>0</v>
      </c>
      <c r="E46" s="17">
        <f t="shared" si="7"/>
        <v>7.4993142157793624</v>
      </c>
      <c r="F46" s="17">
        <f t="shared" si="4"/>
        <v>7.4993142157793624</v>
      </c>
      <c r="G46" s="17">
        <f t="shared" si="6"/>
        <v>25.628822252909856</v>
      </c>
      <c r="H46" s="39">
        <f t="shared" si="1"/>
        <v>1.938482677397193</v>
      </c>
    </row>
    <row r="47" spans="1:8">
      <c r="A47" s="16">
        <v>35796</v>
      </c>
      <c r="B47" s="24">
        <f>+geral!K196</f>
        <v>509.45</v>
      </c>
      <c r="C47" s="17">
        <f t="shared" si="2"/>
        <v>204.30301572024382</v>
      </c>
      <c r="D47" s="17">
        <f t="shared" si="0"/>
        <v>0</v>
      </c>
      <c r="E47" s="17">
        <f>100*((B47/$B$46)-1)</f>
        <v>0</v>
      </c>
      <c r="F47" s="17">
        <f t="shared" si="4"/>
        <v>7.4993142157793624</v>
      </c>
      <c r="G47" s="17">
        <f t="shared" si="6"/>
        <v>25.628822252909856</v>
      </c>
      <c r="H47" s="39">
        <f t="shared" si="1"/>
        <v>1.938482677397193</v>
      </c>
    </row>
    <row r="48" spans="1:8">
      <c r="A48" s="16">
        <v>35827</v>
      </c>
      <c r="B48" s="24">
        <f>+geral!K197</f>
        <v>509.45</v>
      </c>
      <c r="C48" s="17">
        <f t="shared" si="2"/>
        <v>204.30301572024382</v>
      </c>
      <c r="D48" s="17">
        <f t="shared" si="0"/>
        <v>0</v>
      </c>
      <c r="E48" s="17">
        <f t="shared" ref="E48:E58" si="8">100*((B48/$B$46)-1)</f>
        <v>0</v>
      </c>
      <c r="F48" s="17">
        <f t="shared" si="4"/>
        <v>7.4993142157793624</v>
      </c>
      <c r="G48" s="17">
        <f t="shared" si="6"/>
        <v>25.628822252909856</v>
      </c>
      <c r="H48" s="39">
        <f t="shared" si="1"/>
        <v>1.938482677397193</v>
      </c>
    </row>
    <row r="49" spans="1:8">
      <c r="A49" s="16">
        <v>35855</v>
      </c>
      <c r="B49" s="24">
        <f>+geral!K198</f>
        <v>509.45</v>
      </c>
      <c r="C49" s="17">
        <f t="shared" si="2"/>
        <v>204.30301572024382</v>
      </c>
      <c r="D49" s="17">
        <f t="shared" si="0"/>
        <v>0</v>
      </c>
      <c r="E49" s="17">
        <f t="shared" si="8"/>
        <v>0</v>
      </c>
      <c r="F49" s="17">
        <f t="shared" si="4"/>
        <v>7.4993142157793624</v>
      </c>
      <c r="G49" s="17">
        <f t="shared" si="6"/>
        <v>25.628822252909856</v>
      </c>
      <c r="H49" s="39">
        <f t="shared" si="1"/>
        <v>1.938482677397193</v>
      </c>
    </row>
    <row r="50" spans="1:8">
      <c r="A50" s="16">
        <v>35886</v>
      </c>
      <c r="B50" s="24">
        <f>+geral!K199</f>
        <v>509.45</v>
      </c>
      <c r="C50" s="17">
        <f t="shared" si="2"/>
        <v>204.30301572024382</v>
      </c>
      <c r="D50" s="17">
        <f t="shared" si="0"/>
        <v>0</v>
      </c>
      <c r="E50" s="17">
        <f t="shared" si="8"/>
        <v>0</v>
      </c>
      <c r="F50" s="17">
        <f t="shared" si="4"/>
        <v>7.4993142157793624</v>
      </c>
      <c r="G50" s="17">
        <f t="shared" si="6"/>
        <v>25.628822252909856</v>
      </c>
      <c r="H50" s="39">
        <f t="shared" si="1"/>
        <v>1.938482677397193</v>
      </c>
    </row>
    <row r="51" spans="1:8">
      <c r="A51" s="16">
        <v>35916</v>
      </c>
      <c r="B51" s="24">
        <f>+geral!K200</f>
        <v>509.45</v>
      </c>
      <c r="C51" s="17">
        <f t="shared" si="2"/>
        <v>204.30301572024382</v>
      </c>
      <c r="D51" s="17">
        <f t="shared" si="0"/>
        <v>0</v>
      </c>
      <c r="E51" s="17">
        <f t="shared" si="8"/>
        <v>0</v>
      </c>
      <c r="F51" s="17">
        <f t="shared" si="4"/>
        <v>7.4993142157793624</v>
      </c>
      <c r="G51" s="17">
        <f t="shared" si="6"/>
        <v>25.628822252909856</v>
      </c>
      <c r="H51" s="39">
        <f t="shared" si="1"/>
        <v>1.938482677397193</v>
      </c>
    </row>
    <row r="52" spans="1:8">
      <c r="A52" s="16">
        <v>35947</v>
      </c>
      <c r="B52" s="24">
        <f>+geral!K201</f>
        <v>509.45</v>
      </c>
      <c r="C52" s="17">
        <f t="shared" si="2"/>
        <v>204.30301572024382</v>
      </c>
      <c r="D52" s="17">
        <f t="shared" si="0"/>
        <v>0</v>
      </c>
      <c r="E52" s="17">
        <f t="shared" si="8"/>
        <v>0</v>
      </c>
      <c r="F52" s="17">
        <f t="shared" si="4"/>
        <v>0</v>
      </c>
      <c r="G52" s="17">
        <f t="shared" si="6"/>
        <v>25.628822252909856</v>
      </c>
      <c r="H52" s="39">
        <f t="shared" si="1"/>
        <v>1.938482677397193</v>
      </c>
    </row>
    <row r="53" spans="1:8">
      <c r="A53" s="16">
        <v>35977</v>
      </c>
      <c r="B53" s="24">
        <f>+geral!K202</f>
        <v>509.45</v>
      </c>
      <c r="C53" s="17">
        <f t="shared" si="2"/>
        <v>204.30301572024382</v>
      </c>
      <c r="D53" s="17">
        <f t="shared" si="0"/>
        <v>0</v>
      </c>
      <c r="E53" s="17">
        <f t="shared" si="8"/>
        <v>0</v>
      </c>
      <c r="F53" s="17">
        <f t="shared" si="4"/>
        <v>0</v>
      </c>
      <c r="G53" s="17">
        <f t="shared" si="6"/>
        <v>18.518087705013375</v>
      </c>
      <c r="H53" s="39">
        <f t="shared" si="1"/>
        <v>1.938482677397193</v>
      </c>
    </row>
    <row r="54" spans="1:8">
      <c r="A54" s="16">
        <v>36008</v>
      </c>
      <c r="B54" s="24">
        <f>+geral!K203</f>
        <v>529.83000000000004</v>
      </c>
      <c r="C54" s="17">
        <f t="shared" si="2"/>
        <v>212.47593840230994</v>
      </c>
      <c r="D54" s="17">
        <f t="shared" si="0"/>
        <v>4.0003925802335916</v>
      </c>
      <c r="E54" s="17">
        <f t="shared" si="8"/>
        <v>4.0003925802335916</v>
      </c>
      <c r="F54" s="17">
        <f t="shared" si="4"/>
        <v>4.0003925802335916</v>
      </c>
      <c r="G54" s="17">
        <f t="shared" si="6"/>
        <v>12.874994460938538</v>
      </c>
      <c r="H54" s="39">
        <f t="shared" si="1"/>
        <v>1.863918615404941</v>
      </c>
    </row>
    <row r="55" spans="1:8">
      <c r="A55" s="16">
        <v>36039</v>
      </c>
      <c r="B55" s="24">
        <f>+geral!K204</f>
        <v>529.83000000000004</v>
      </c>
      <c r="C55" s="17">
        <f t="shared" si="2"/>
        <v>212.47593840230994</v>
      </c>
      <c r="D55" s="17">
        <f t="shared" si="0"/>
        <v>0</v>
      </c>
      <c r="E55" s="17">
        <f t="shared" si="8"/>
        <v>4.0003925802335916</v>
      </c>
      <c r="F55" s="17">
        <f t="shared" si="4"/>
        <v>4.0003925802335916</v>
      </c>
      <c r="G55" s="17">
        <f t="shared" si="6"/>
        <v>17.390437364293</v>
      </c>
      <c r="H55" s="39">
        <f t="shared" si="1"/>
        <v>1.863918615404941</v>
      </c>
    </row>
    <row r="56" spans="1:8">
      <c r="A56" s="16">
        <v>36069</v>
      </c>
      <c r="B56" s="24">
        <f>+geral!K205</f>
        <v>529.83000000000004</v>
      </c>
      <c r="C56" s="17">
        <f t="shared" si="2"/>
        <v>212.47593840230994</v>
      </c>
      <c r="D56" s="17">
        <f t="shared" si="0"/>
        <v>0</v>
      </c>
      <c r="E56" s="17">
        <f t="shared" si="8"/>
        <v>4.0003925802335916</v>
      </c>
      <c r="F56" s="17">
        <f t="shared" si="4"/>
        <v>4.0003925802335916</v>
      </c>
      <c r="G56" s="17">
        <f t="shared" si="6"/>
        <v>17.390437364293</v>
      </c>
      <c r="H56" s="39">
        <f t="shared" si="1"/>
        <v>1.863918615404941</v>
      </c>
    </row>
    <row r="57" spans="1:8">
      <c r="A57" s="16">
        <v>36100</v>
      </c>
      <c r="B57" s="24">
        <f>+geral!K206</f>
        <v>529.83000000000004</v>
      </c>
      <c r="C57" s="17">
        <f t="shared" si="2"/>
        <v>212.47593840230994</v>
      </c>
      <c r="D57" s="17">
        <f t="shared" si="0"/>
        <v>0</v>
      </c>
      <c r="E57" s="17">
        <f t="shared" si="8"/>
        <v>4.0003925802335916</v>
      </c>
      <c r="F57" s="17">
        <f t="shared" si="4"/>
        <v>4.0003925802335916</v>
      </c>
      <c r="G57" s="17">
        <f t="shared" si="6"/>
        <v>17.390437364293</v>
      </c>
      <c r="H57" s="39">
        <f t="shared" si="1"/>
        <v>1.863918615404941</v>
      </c>
    </row>
    <row r="58" spans="1:8">
      <c r="A58" s="16">
        <v>36130</v>
      </c>
      <c r="B58" s="24">
        <f>+geral!K207</f>
        <v>529.83000000000004</v>
      </c>
      <c r="C58" s="17">
        <f t="shared" si="2"/>
        <v>212.47593840230994</v>
      </c>
      <c r="D58" s="17">
        <f t="shared" si="0"/>
        <v>0</v>
      </c>
      <c r="E58" s="17">
        <f t="shared" si="8"/>
        <v>4.0003925802335916</v>
      </c>
      <c r="F58" s="17">
        <f t="shared" si="4"/>
        <v>4.0003925802335916</v>
      </c>
      <c r="G58" s="17">
        <f t="shared" si="6"/>
        <v>11.79970880546939</v>
      </c>
      <c r="H58" s="39">
        <f t="shared" si="1"/>
        <v>1.863918615404941</v>
      </c>
    </row>
    <row r="59" spans="1:8">
      <c r="A59" s="16">
        <v>36161</v>
      </c>
      <c r="B59" s="24">
        <f>+geral!M196</f>
        <v>529.83000000000004</v>
      </c>
      <c r="C59" s="17">
        <f t="shared" si="2"/>
        <v>212.47593840230994</v>
      </c>
      <c r="D59" s="17">
        <f t="shared" si="0"/>
        <v>0</v>
      </c>
      <c r="E59" s="17">
        <f>100*((B59/$B$58)-1)</f>
        <v>0</v>
      </c>
      <c r="F59" s="17">
        <f t="shared" si="4"/>
        <v>4.0003925802335916</v>
      </c>
      <c r="G59" s="17">
        <f t="shared" si="6"/>
        <v>11.79970880546939</v>
      </c>
      <c r="H59" s="39">
        <f t="shared" si="1"/>
        <v>1.863918615404941</v>
      </c>
    </row>
    <row r="60" spans="1:8">
      <c r="A60" s="16">
        <v>36192</v>
      </c>
      <c r="B60" s="24">
        <f>+geral!M197</f>
        <v>529.83000000000004</v>
      </c>
      <c r="C60" s="17">
        <f t="shared" si="2"/>
        <v>212.47593840230994</v>
      </c>
      <c r="D60" s="17">
        <f t="shared" si="0"/>
        <v>0</v>
      </c>
      <c r="E60" s="17">
        <f t="shared" ref="E60:E70" si="9">100*((B60/$B$58)-1)</f>
        <v>0</v>
      </c>
      <c r="F60" s="17">
        <f t="shared" si="4"/>
        <v>4.0003925802335916</v>
      </c>
      <c r="G60" s="17">
        <f t="shared" si="6"/>
        <v>11.79970880546939</v>
      </c>
      <c r="H60" s="39">
        <f t="shared" si="1"/>
        <v>1.863918615404941</v>
      </c>
    </row>
    <row r="61" spans="1:8">
      <c r="A61" s="16">
        <v>36220</v>
      </c>
      <c r="B61" s="24">
        <f>+geral!M198</f>
        <v>529.83000000000004</v>
      </c>
      <c r="C61" s="17">
        <f t="shared" si="2"/>
        <v>212.47593840230994</v>
      </c>
      <c r="D61" s="17">
        <f t="shared" si="0"/>
        <v>0</v>
      </c>
      <c r="E61" s="17">
        <f t="shared" si="9"/>
        <v>0</v>
      </c>
      <c r="F61" s="17">
        <f t="shared" si="4"/>
        <v>4.0003925802335916</v>
      </c>
      <c r="G61" s="17">
        <f t="shared" si="6"/>
        <v>11.79970880546939</v>
      </c>
      <c r="H61" s="39">
        <f t="shared" si="1"/>
        <v>1.863918615404941</v>
      </c>
    </row>
    <row r="62" spans="1:8">
      <c r="A62" s="16">
        <v>36251</v>
      </c>
      <c r="B62" s="24">
        <f>+geral!M199</f>
        <v>529.83000000000004</v>
      </c>
      <c r="C62" s="17">
        <f t="shared" si="2"/>
        <v>212.47593840230994</v>
      </c>
      <c r="D62" s="17">
        <f t="shared" si="0"/>
        <v>0</v>
      </c>
      <c r="E62" s="17">
        <f t="shared" si="9"/>
        <v>0</v>
      </c>
      <c r="F62" s="17">
        <f t="shared" si="4"/>
        <v>4.0003925802335916</v>
      </c>
      <c r="G62" s="17">
        <f t="shared" si="6"/>
        <v>11.79970880546939</v>
      </c>
      <c r="H62" s="39">
        <f t="shared" si="1"/>
        <v>1.863918615404941</v>
      </c>
    </row>
    <row r="63" spans="1:8">
      <c r="A63" s="16">
        <v>36281</v>
      </c>
      <c r="B63" s="24">
        <f>+geral!M200</f>
        <v>529.83000000000004</v>
      </c>
      <c r="C63" s="17">
        <f t="shared" si="2"/>
        <v>212.47593840230994</v>
      </c>
      <c r="D63" s="17">
        <f t="shared" si="0"/>
        <v>0</v>
      </c>
      <c r="E63" s="17">
        <f t="shared" si="9"/>
        <v>0</v>
      </c>
      <c r="F63" s="17">
        <f t="shared" si="4"/>
        <v>4.0003925802335916</v>
      </c>
      <c r="G63" s="17">
        <f t="shared" si="6"/>
        <v>11.79970880546939</v>
      </c>
      <c r="H63" s="39">
        <f t="shared" si="1"/>
        <v>1.863918615404941</v>
      </c>
    </row>
    <row r="64" spans="1:8">
      <c r="A64" s="16">
        <v>36312</v>
      </c>
      <c r="B64" s="24">
        <f>+geral!M201</f>
        <v>545.72</v>
      </c>
      <c r="C64" s="17">
        <f t="shared" si="2"/>
        <v>218.84825152390118</v>
      </c>
      <c r="D64" s="17">
        <f t="shared" si="0"/>
        <v>2.999075175056154</v>
      </c>
      <c r="E64" s="17">
        <f t="shared" si="9"/>
        <v>2.999075175056154</v>
      </c>
      <c r="F64" s="17">
        <f t="shared" si="4"/>
        <v>7.11944253606831</v>
      </c>
      <c r="G64" s="17">
        <f t="shared" si="6"/>
        <v>11.79970880546939</v>
      </c>
      <c r="H64" s="39">
        <f t="shared" si="1"/>
        <v>1.8096459722934837</v>
      </c>
    </row>
    <row r="65" spans="1:8">
      <c r="A65" s="16">
        <v>36342</v>
      </c>
      <c r="B65" s="24">
        <f>+geral!M202</f>
        <v>545.72</v>
      </c>
      <c r="C65" s="17">
        <f t="shared" si="2"/>
        <v>218.84825152390118</v>
      </c>
      <c r="D65" s="17">
        <f t="shared" si="0"/>
        <v>0</v>
      </c>
      <c r="E65" s="17">
        <f t="shared" si="9"/>
        <v>2.999075175056154</v>
      </c>
      <c r="F65" s="17">
        <f t="shared" si="4"/>
        <v>7.11944253606831</v>
      </c>
      <c r="G65" s="17">
        <f t="shared" si="6"/>
        <v>7.11944253606831</v>
      </c>
      <c r="H65" s="39">
        <f t="shared" si="1"/>
        <v>1.8096459722934837</v>
      </c>
    </row>
    <row r="66" spans="1:8">
      <c r="A66" s="16">
        <v>36373</v>
      </c>
      <c r="B66" s="24">
        <f>+geral!M203</f>
        <v>545.72</v>
      </c>
      <c r="C66" s="17">
        <f t="shared" si="2"/>
        <v>218.84825152390118</v>
      </c>
      <c r="D66" s="17">
        <f t="shared" si="0"/>
        <v>0</v>
      </c>
      <c r="E66" s="17">
        <f t="shared" si="9"/>
        <v>2.999075175056154</v>
      </c>
      <c r="F66" s="17">
        <f t="shared" si="4"/>
        <v>2.999075175056154</v>
      </c>
      <c r="G66" s="17">
        <f t="shared" si="6"/>
        <v>7.11944253606831</v>
      </c>
      <c r="H66" s="39">
        <f t="shared" si="1"/>
        <v>1.8096459722934837</v>
      </c>
    </row>
    <row r="67" spans="1:8">
      <c r="A67" s="16">
        <v>36404</v>
      </c>
      <c r="B67" s="24">
        <f>+geral!M204</f>
        <v>545.72</v>
      </c>
      <c r="C67" s="17">
        <f t="shared" si="2"/>
        <v>218.84825152390118</v>
      </c>
      <c r="D67" s="17">
        <f t="shared" si="0"/>
        <v>0</v>
      </c>
      <c r="E67" s="17">
        <f t="shared" si="9"/>
        <v>2.999075175056154</v>
      </c>
      <c r="F67" s="17">
        <f t="shared" si="4"/>
        <v>2.999075175056154</v>
      </c>
      <c r="G67" s="17">
        <f t="shared" si="6"/>
        <v>7.11944253606831</v>
      </c>
      <c r="H67" s="39">
        <f t="shared" si="1"/>
        <v>1.8096459722934837</v>
      </c>
    </row>
    <row r="68" spans="1:8">
      <c r="A68" s="16">
        <v>36434</v>
      </c>
      <c r="B68" s="24">
        <f>+geral!M205</f>
        <v>545.72</v>
      </c>
      <c r="C68" s="17">
        <f t="shared" si="2"/>
        <v>218.84825152390118</v>
      </c>
      <c r="D68" s="17">
        <f t="shared" si="0"/>
        <v>0</v>
      </c>
      <c r="E68" s="17">
        <f t="shared" si="9"/>
        <v>2.999075175056154</v>
      </c>
      <c r="F68" s="17">
        <f t="shared" si="4"/>
        <v>2.999075175056154</v>
      </c>
      <c r="G68" s="17">
        <f t="shared" si="6"/>
        <v>7.11944253606831</v>
      </c>
      <c r="H68" s="39">
        <f t="shared" si="1"/>
        <v>1.8096459722934837</v>
      </c>
    </row>
    <row r="69" spans="1:8">
      <c r="A69" s="16">
        <v>36465</v>
      </c>
      <c r="B69" s="24">
        <f>+geral!M206</f>
        <v>545.72</v>
      </c>
      <c r="C69" s="17">
        <f t="shared" si="2"/>
        <v>218.84825152390118</v>
      </c>
      <c r="D69" s="17">
        <f t="shared" si="0"/>
        <v>0</v>
      </c>
      <c r="E69" s="17">
        <f t="shared" si="9"/>
        <v>2.999075175056154</v>
      </c>
      <c r="F69" s="17">
        <f t="shared" si="4"/>
        <v>2.999075175056154</v>
      </c>
      <c r="G69" s="17">
        <f t="shared" si="6"/>
        <v>7.11944253606831</v>
      </c>
      <c r="H69" s="39">
        <f t="shared" si="1"/>
        <v>1.8096459722934837</v>
      </c>
    </row>
    <row r="70" spans="1:8">
      <c r="A70" s="16">
        <v>36495</v>
      </c>
      <c r="B70" s="24">
        <f>+geral!M207</f>
        <v>545.72</v>
      </c>
      <c r="C70" s="17">
        <f t="shared" si="2"/>
        <v>218.84825152390118</v>
      </c>
      <c r="D70" s="17">
        <f t="shared" si="0"/>
        <v>0</v>
      </c>
      <c r="E70" s="17">
        <f t="shared" si="9"/>
        <v>2.999075175056154</v>
      </c>
      <c r="F70" s="17">
        <f t="shared" si="4"/>
        <v>2.999075175056154</v>
      </c>
      <c r="G70" s="17">
        <f t="shared" si="6"/>
        <v>7.11944253606831</v>
      </c>
      <c r="H70" s="39">
        <f t="shared" ref="H70:H125" si="10">$B$125/B70</f>
        <v>1.8096459722934837</v>
      </c>
    </row>
    <row r="71" spans="1:8">
      <c r="A71" s="16">
        <v>36526</v>
      </c>
      <c r="B71" s="17">
        <f>+geral!C212</f>
        <v>545.72</v>
      </c>
      <c r="C71" s="17">
        <f t="shared" ref="C71:C88" si="11">100*B71/$B$5</f>
        <v>218.84825152390118</v>
      </c>
      <c r="D71" s="17">
        <f t="shared" ref="D71:D83" si="12">100*((B71/B70)-1)</f>
        <v>0</v>
      </c>
      <c r="E71" s="17">
        <f>100*((B71/$B$70)-1)</f>
        <v>0</v>
      </c>
      <c r="F71" s="17">
        <f t="shared" si="4"/>
        <v>2.999075175056154</v>
      </c>
      <c r="G71" s="17">
        <f t="shared" si="6"/>
        <v>7.11944253606831</v>
      </c>
      <c r="H71" s="39">
        <f t="shared" si="10"/>
        <v>1.8096459722934837</v>
      </c>
    </row>
    <row r="72" spans="1:8">
      <c r="A72" s="16">
        <v>36557</v>
      </c>
      <c r="B72" s="17">
        <f>+geral!C213</f>
        <v>545.72</v>
      </c>
      <c r="C72" s="17">
        <f t="shared" si="11"/>
        <v>218.84825152390118</v>
      </c>
      <c r="D72" s="17">
        <f t="shared" si="12"/>
        <v>0</v>
      </c>
      <c r="E72" s="17">
        <f t="shared" ref="E72:E82" si="13">100*((B72/$B$70)-1)</f>
        <v>0</v>
      </c>
      <c r="F72" s="17">
        <f t="shared" si="4"/>
        <v>2.999075175056154</v>
      </c>
      <c r="G72" s="17">
        <f t="shared" si="6"/>
        <v>7.11944253606831</v>
      </c>
      <c r="H72" s="39">
        <f t="shared" si="10"/>
        <v>1.8096459722934837</v>
      </c>
    </row>
    <row r="73" spans="1:8">
      <c r="A73" s="16">
        <v>36586</v>
      </c>
      <c r="B73" s="17">
        <f>+geral!C214</f>
        <v>545.72</v>
      </c>
      <c r="C73" s="17">
        <f t="shared" si="11"/>
        <v>218.84825152390118</v>
      </c>
      <c r="D73" s="17">
        <f t="shared" si="12"/>
        <v>0</v>
      </c>
      <c r="E73" s="17">
        <f t="shared" si="13"/>
        <v>0</v>
      </c>
      <c r="F73" s="17">
        <f t="shared" si="4"/>
        <v>2.999075175056154</v>
      </c>
      <c r="G73" s="17">
        <f t="shared" si="6"/>
        <v>7.11944253606831</v>
      </c>
      <c r="H73" s="39">
        <f t="shared" si="10"/>
        <v>1.8096459722934837</v>
      </c>
    </row>
    <row r="74" spans="1:8">
      <c r="A74" s="16">
        <v>36617</v>
      </c>
      <c r="B74" s="17">
        <f>+geral!C215</f>
        <v>671.26</v>
      </c>
      <c r="C74" s="17">
        <f t="shared" si="11"/>
        <v>269.19313442412573</v>
      </c>
      <c r="D74" s="17">
        <f t="shared" si="12"/>
        <v>23.004471157370077</v>
      </c>
      <c r="E74" s="17">
        <f t="shared" si="13"/>
        <v>23.004471157370077</v>
      </c>
      <c r="F74" s="17">
        <f t="shared" si="4"/>
        <v>26.69346771605985</v>
      </c>
      <c r="G74" s="17">
        <f t="shared" si="6"/>
        <v>7.11944253606831</v>
      </c>
      <c r="H74" s="39">
        <f t="shared" si="10"/>
        <v>1.4712034085153294</v>
      </c>
    </row>
    <row r="75" spans="1:8">
      <c r="A75" s="16">
        <v>36647</v>
      </c>
      <c r="B75" s="17">
        <f>+geral!C216</f>
        <v>671.26</v>
      </c>
      <c r="C75" s="17">
        <f t="shared" si="11"/>
        <v>269.19313442412573</v>
      </c>
      <c r="D75" s="17">
        <f t="shared" si="12"/>
        <v>0</v>
      </c>
      <c r="E75" s="17">
        <f t="shared" si="13"/>
        <v>23.004471157370077</v>
      </c>
      <c r="F75" s="17">
        <f t="shared" si="4"/>
        <v>26.69346771605985</v>
      </c>
      <c r="G75" s="17">
        <f t="shared" si="6"/>
        <v>31.76170379821377</v>
      </c>
      <c r="H75" s="39">
        <f t="shared" si="10"/>
        <v>1.4712034085153294</v>
      </c>
    </row>
    <row r="76" spans="1:8">
      <c r="A76" s="16">
        <v>36678</v>
      </c>
      <c r="B76" s="17">
        <f>+geral!C217</f>
        <v>698.11</v>
      </c>
      <c r="C76" s="17">
        <f t="shared" si="11"/>
        <v>279.96069939043952</v>
      </c>
      <c r="D76" s="17">
        <f t="shared" si="12"/>
        <v>3.9999404105711678</v>
      </c>
      <c r="E76" s="17">
        <f t="shared" si="13"/>
        <v>27.92457670600308</v>
      </c>
      <c r="F76" s="17">
        <f t="shared" si="4"/>
        <v>27.92457670600308</v>
      </c>
      <c r="G76" s="17">
        <f t="shared" si="6"/>
        <v>31.76170379821377</v>
      </c>
      <c r="H76" s="39">
        <f t="shared" si="10"/>
        <v>1.4146194725759549</v>
      </c>
    </row>
    <row r="77" spans="1:8">
      <c r="A77" s="16">
        <v>36708</v>
      </c>
      <c r="B77" s="17">
        <f>+geral!C218</f>
        <v>698.11</v>
      </c>
      <c r="C77" s="17">
        <f t="shared" si="11"/>
        <v>279.96069939043952</v>
      </c>
      <c r="D77" s="17">
        <f t="shared" si="12"/>
        <v>0</v>
      </c>
      <c r="E77" s="17">
        <f t="shared" si="13"/>
        <v>27.92457670600308</v>
      </c>
      <c r="F77" s="17">
        <f t="shared" si="4"/>
        <v>27.92457670600308</v>
      </c>
      <c r="G77" s="17">
        <f t="shared" si="6"/>
        <v>37.032093434095593</v>
      </c>
      <c r="H77" s="39">
        <f t="shared" si="10"/>
        <v>1.4146194725759549</v>
      </c>
    </row>
    <row r="78" spans="1:8">
      <c r="A78" s="16">
        <v>36739</v>
      </c>
      <c r="B78" s="17">
        <f>+geral!C219</f>
        <v>698.11</v>
      </c>
      <c r="C78" s="17">
        <f t="shared" si="11"/>
        <v>279.96069939043952</v>
      </c>
      <c r="D78" s="17">
        <f t="shared" si="12"/>
        <v>0</v>
      </c>
      <c r="E78" s="17">
        <f t="shared" si="13"/>
        <v>27.92457670600308</v>
      </c>
      <c r="F78" s="17">
        <f t="shared" si="4"/>
        <v>27.92457670600308</v>
      </c>
      <c r="G78" s="17">
        <f t="shared" si="6"/>
        <v>37.032093434095593</v>
      </c>
      <c r="H78" s="39">
        <f t="shared" si="10"/>
        <v>1.4146194725759549</v>
      </c>
    </row>
    <row r="79" spans="1:8">
      <c r="A79" s="16">
        <v>36770</v>
      </c>
      <c r="B79" s="17">
        <f>+geral!C220</f>
        <v>698.11</v>
      </c>
      <c r="C79" s="17">
        <f t="shared" si="11"/>
        <v>279.96069939043952</v>
      </c>
      <c r="D79" s="17">
        <f t="shared" si="12"/>
        <v>0</v>
      </c>
      <c r="E79" s="17">
        <f t="shared" si="13"/>
        <v>27.92457670600308</v>
      </c>
      <c r="F79" s="17">
        <f t="shared" si="4"/>
        <v>27.92457670600308</v>
      </c>
      <c r="G79" s="17">
        <f t="shared" si="6"/>
        <v>31.761130928788472</v>
      </c>
      <c r="H79" s="39">
        <f t="shared" si="10"/>
        <v>1.4146194725759549</v>
      </c>
    </row>
    <row r="80" spans="1:8">
      <c r="A80" s="16">
        <v>36800</v>
      </c>
      <c r="B80" s="17">
        <f>+geral!C221</f>
        <v>698.11</v>
      </c>
      <c r="C80" s="17">
        <f t="shared" si="11"/>
        <v>279.96069939043952</v>
      </c>
      <c r="D80" s="17">
        <f t="shared" si="12"/>
        <v>0</v>
      </c>
      <c r="E80" s="17">
        <f t="shared" si="13"/>
        <v>27.92457670600308</v>
      </c>
      <c r="F80" s="17">
        <f t="shared" si="4"/>
        <v>27.92457670600308</v>
      </c>
      <c r="G80" s="17">
        <f t="shared" si="6"/>
        <v>31.761130928788472</v>
      </c>
      <c r="H80" s="39">
        <f t="shared" si="10"/>
        <v>1.4146194725759549</v>
      </c>
    </row>
    <row r="81" spans="1:8">
      <c r="A81" s="16">
        <v>36831</v>
      </c>
      <c r="B81" s="17">
        <f>+geral!C222</f>
        <v>698.11</v>
      </c>
      <c r="C81" s="17">
        <f t="shared" si="11"/>
        <v>279.96069939043952</v>
      </c>
      <c r="D81" s="17">
        <f t="shared" si="12"/>
        <v>0</v>
      </c>
      <c r="E81" s="17">
        <f t="shared" si="13"/>
        <v>27.92457670600308</v>
      </c>
      <c r="F81" s="17">
        <f t="shared" si="4"/>
        <v>27.92457670600308</v>
      </c>
      <c r="G81" s="17">
        <f t="shared" si="6"/>
        <v>31.761130928788472</v>
      </c>
      <c r="H81" s="39">
        <f t="shared" si="10"/>
        <v>1.4146194725759549</v>
      </c>
    </row>
    <row r="82" spans="1:8">
      <c r="A82" s="16">
        <v>36861</v>
      </c>
      <c r="B82" s="17">
        <f>+geral!C223</f>
        <v>698.11</v>
      </c>
      <c r="C82" s="17">
        <f t="shared" si="11"/>
        <v>279.96069939043952</v>
      </c>
      <c r="D82" s="17">
        <f t="shared" si="12"/>
        <v>0</v>
      </c>
      <c r="E82" s="17">
        <f t="shared" si="13"/>
        <v>27.92457670600308</v>
      </c>
      <c r="F82" s="17">
        <f t="shared" ref="F82:F87" si="14">100*((B82/B70)-1)</f>
        <v>27.92457670600308</v>
      </c>
      <c r="G82" s="17">
        <f t="shared" si="6"/>
        <v>31.761130928788472</v>
      </c>
      <c r="H82" s="39">
        <f t="shared" si="10"/>
        <v>1.4146194725759549</v>
      </c>
    </row>
    <row r="83" spans="1:8">
      <c r="A83" s="16">
        <v>36892</v>
      </c>
      <c r="B83" s="23">
        <f>+geral!E212</f>
        <v>698.11</v>
      </c>
      <c r="C83" s="17">
        <f t="shared" si="11"/>
        <v>279.96069939043952</v>
      </c>
      <c r="D83" s="17">
        <f t="shared" si="12"/>
        <v>0</v>
      </c>
      <c r="E83" s="17">
        <f t="shared" ref="E83:E88" si="15">100*((B83/$B$82)-1)</f>
        <v>0</v>
      </c>
      <c r="F83" s="17">
        <f t="shared" si="14"/>
        <v>27.92457670600308</v>
      </c>
      <c r="G83" s="17">
        <f t="shared" si="6"/>
        <v>31.761130928788472</v>
      </c>
      <c r="H83" s="39">
        <f t="shared" si="10"/>
        <v>1.4146194725759549</v>
      </c>
    </row>
    <row r="84" spans="1:8">
      <c r="A84" s="16">
        <v>36923</v>
      </c>
      <c r="B84" s="23">
        <f>+geral!E213</f>
        <v>698.11</v>
      </c>
      <c r="C84" s="17">
        <f t="shared" si="11"/>
        <v>279.96069939043952</v>
      </c>
      <c r="D84" s="17">
        <f t="shared" ref="D84:D89" si="16">100*((B84/B83)-1)</f>
        <v>0</v>
      </c>
      <c r="E84" s="17">
        <f t="shared" si="15"/>
        <v>0</v>
      </c>
      <c r="F84" s="17">
        <f t="shared" si="14"/>
        <v>27.92457670600308</v>
      </c>
      <c r="G84" s="17">
        <f t="shared" si="6"/>
        <v>31.761130928788472</v>
      </c>
      <c r="H84" s="39">
        <f t="shared" si="10"/>
        <v>1.4146194725759549</v>
      </c>
    </row>
    <row r="85" spans="1:8">
      <c r="A85" s="16">
        <v>36951</v>
      </c>
      <c r="B85" s="23">
        <f>+geral!E214</f>
        <v>698.11</v>
      </c>
      <c r="C85" s="17">
        <f t="shared" si="11"/>
        <v>279.96069939043952</v>
      </c>
      <c r="D85" s="17">
        <f t="shared" si="16"/>
        <v>0</v>
      </c>
      <c r="E85" s="17">
        <f t="shared" si="15"/>
        <v>0</v>
      </c>
      <c r="F85" s="17">
        <f t="shared" si="14"/>
        <v>27.92457670600308</v>
      </c>
      <c r="G85" s="17">
        <f t="shared" si="6"/>
        <v>31.761130928788472</v>
      </c>
      <c r="H85" s="39">
        <f t="shared" si="10"/>
        <v>1.4146194725759549</v>
      </c>
    </row>
    <row r="86" spans="1:8">
      <c r="A86" s="16">
        <v>36982</v>
      </c>
      <c r="B86" s="23">
        <f>+geral!E215</f>
        <v>698.11</v>
      </c>
      <c r="C86" s="17">
        <f t="shared" si="11"/>
        <v>279.96069939043952</v>
      </c>
      <c r="D86" s="17">
        <f t="shared" si="16"/>
        <v>0</v>
      </c>
      <c r="E86" s="17">
        <f t="shared" si="15"/>
        <v>0</v>
      </c>
      <c r="F86" s="17">
        <f t="shared" si="14"/>
        <v>3.9999404105711678</v>
      </c>
      <c r="G86" s="17">
        <f t="shared" si="6"/>
        <v>31.761130928788472</v>
      </c>
      <c r="H86" s="39">
        <f t="shared" si="10"/>
        <v>1.4146194725759549</v>
      </c>
    </row>
    <row r="87" spans="1:8">
      <c r="A87" s="16">
        <v>37012</v>
      </c>
      <c r="B87" s="23">
        <f>+geral!E216</f>
        <v>750.21</v>
      </c>
      <c r="C87" s="17">
        <f t="shared" si="11"/>
        <v>300.85418671799806</v>
      </c>
      <c r="D87" s="17">
        <f t="shared" si="16"/>
        <v>7.4630072624658039</v>
      </c>
      <c r="E87" s="17">
        <f t="shared" si="15"/>
        <v>7.4630072624658039</v>
      </c>
      <c r="F87" s="17">
        <f t="shared" si="14"/>
        <v>11.761463516372196</v>
      </c>
      <c r="G87" s="17">
        <f t="shared" si="6"/>
        <v>31.761130928788472</v>
      </c>
      <c r="H87" s="39">
        <f t="shared" si="10"/>
        <v>1.3163780808040415</v>
      </c>
    </row>
    <row r="88" spans="1:8">
      <c r="A88" s="16">
        <v>37043</v>
      </c>
      <c r="B88" s="23">
        <f>+geral!E217</f>
        <v>750.21</v>
      </c>
      <c r="C88" s="17">
        <f t="shared" si="11"/>
        <v>300.85418671799806</v>
      </c>
      <c r="D88" s="17">
        <f t="shared" si="16"/>
        <v>0</v>
      </c>
      <c r="E88" s="17">
        <f t="shared" si="15"/>
        <v>7.4630072624658039</v>
      </c>
      <c r="F88" s="17">
        <f t="shared" ref="F88:F93" si="17">100*((B88/B76)-1)</f>
        <v>7.4630072624658039</v>
      </c>
      <c r="G88" s="17">
        <f t="shared" si="6"/>
        <v>41.59447369911102</v>
      </c>
      <c r="H88" s="39">
        <f t="shared" si="10"/>
        <v>1.3163780808040415</v>
      </c>
    </row>
    <row r="89" spans="1:8">
      <c r="A89" s="16">
        <v>37073</v>
      </c>
      <c r="B89" s="23">
        <f>+geral!E218</f>
        <v>750.21</v>
      </c>
      <c r="C89" s="17">
        <f t="shared" ref="C89:C94" si="18">100*B89/$B$5</f>
        <v>300.85418671799806</v>
      </c>
      <c r="D89" s="17">
        <f t="shared" si="16"/>
        <v>0</v>
      </c>
      <c r="E89" s="17">
        <f t="shared" ref="E89:E94" si="19">100*((B89/$B$82)-1)</f>
        <v>7.4630072624658039</v>
      </c>
      <c r="F89" s="17">
        <f t="shared" si="17"/>
        <v>7.4630072624658039</v>
      </c>
      <c r="G89" s="17">
        <f t="shared" si="6"/>
        <v>37.471597156050727</v>
      </c>
      <c r="H89" s="39">
        <f t="shared" si="10"/>
        <v>1.3163780808040415</v>
      </c>
    </row>
    <row r="90" spans="1:8">
      <c r="A90" s="16">
        <v>37104</v>
      </c>
      <c r="B90" s="23">
        <f>+geral!E219</f>
        <v>750.21</v>
      </c>
      <c r="C90" s="17">
        <f t="shared" si="18"/>
        <v>300.85418671799806</v>
      </c>
      <c r="D90" s="17">
        <f t="shared" ref="D90:D95" si="20">100*((B90/B89)-1)</f>
        <v>0</v>
      </c>
      <c r="E90" s="17">
        <f t="shared" si="19"/>
        <v>7.4630072624658039</v>
      </c>
      <c r="F90" s="17">
        <f t="shared" si="17"/>
        <v>7.4630072624658039</v>
      </c>
      <c r="G90" s="17">
        <f t="shared" si="6"/>
        <v>37.471597156050727</v>
      </c>
      <c r="H90" s="39">
        <f t="shared" si="10"/>
        <v>1.3163780808040415</v>
      </c>
    </row>
    <row r="91" spans="1:8">
      <c r="A91" s="16">
        <v>37135</v>
      </c>
      <c r="B91" s="23">
        <f>+geral!E220</f>
        <v>750.21</v>
      </c>
      <c r="C91" s="17">
        <f t="shared" si="18"/>
        <v>300.85418671799806</v>
      </c>
      <c r="D91" s="17">
        <f t="shared" si="20"/>
        <v>0</v>
      </c>
      <c r="E91" s="17">
        <f t="shared" si="19"/>
        <v>7.4630072624658039</v>
      </c>
      <c r="F91" s="17">
        <f t="shared" si="17"/>
        <v>7.4630072624658039</v>
      </c>
      <c r="G91" s="17">
        <f t="shared" si="6"/>
        <v>37.471597156050727</v>
      </c>
      <c r="H91" s="39">
        <f t="shared" si="10"/>
        <v>1.3163780808040415</v>
      </c>
    </row>
    <row r="92" spans="1:8">
      <c r="A92" s="18" t="s">
        <v>119</v>
      </c>
      <c r="B92" s="23">
        <f>+geral!E221</f>
        <v>750.21</v>
      </c>
      <c r="C92" s="17">
        <f t="shared" si="18"/>
        <v>300.85418671799806</v>
      </c>
      <c r="D92" s="17">
        <f t="shared" si="20"/>
        <v>0</v>
      </c>
      <c r="E92" s="17">
        <f t="shared" si="19"/>
        <v>7.4630072624658039</v>
      </c>
      <c r="F92" s="17">
        <f t="shared" si="17"/>
        <v>7.4630072624658039</v>
      </c>
      <c r="G92" s="17">
        <f t="shared" si="6"/>
        <v>37.471597156050727</v>
      </c>
      <c r="H92" s="39">
        <f t="shared" si="10"/>
        <v>1.3163780808040415</v>
      </c>
    </row>
    <row r="93" spans="1:8">
      <c r="A93" s="18" t="s">
        <v>131</v>
      </c>
      <c r="B93" s="23">
        <f>+geral!E222</f>
        <v>750.21</v>
      </c>
      <c r="C93" s="17">
        <f t="shared" si="18"/>
        <v>300.85418671799806</v>
      </c>
      <c r="D93" s="17">
        <f t="shared" si="20"/>
        <v>0</v>
      </c>
      <c r="E93" s="17">
        <f t="shared" si="19"/>
        <v>7.4630072624658039</v>
      </c>
      <c r="F93" s="17">
        <f t="shared" si="17"/>
        <v>7.4630072624658039</v>
      </c>
      <c r="G93" s="17">
        <f t="shared" si="6"/>
        <v>37.471597156050727</v>
      </c>
      <c r="H93" s="39">
        <f t="shared" si="10"/>
        <v>1.3163780808040415</v>
      </c>
    </row>
    <row r="94" spans="1:8">
      <c r="A94" s="18" t="s">
        <v>132</v>
      </c>
      <c r="B94" s="23">
        <f>+geral!E223</f>
        <v>750.21</v>
      </c>
      <c r="C94" s="17">
        <f t="shared" si="18"/>
        <v>300.85418671799806</v>
      </c>
      <c r="D94" s="17">
        <f t="shared" si="20"/>
        <v>0</v>
      </c>
      <c r="E94" s="17">
        <f t="shared" si="19"/>
        <v>7.4630072624658039</v>
      </c>
      <c r="F94" s="17">
        <f t="shared" ref="F94:F99" si="21">100*((B94/B82)-1)</f>
        <v>7.4630072624658039</v>
      </c>
      <c r="G94" s="17">
        <f t="shared" si="6"/>
        <v>37.471597156050727</v>
      </c>
      <c r="H94" s="39">
        <f t="shared" si="10"/>
        <v>1.3163780808040415</v>
      </c>
    </row>
    <row r="95" spans="1:8">
      <c r="A95" s="18" t="s">
        <v>135</v>
      </c>
      <c r="B95" s="23">
        <f>+geral!G212</f>
        <v>750.21</v>
      </c>
      <c r="C95" s="17">
        <f t="shared" ref="C95:C106" si="22">100*B95/$B$5</f>
        <v>300.85418671799806</v>
      </c>
      <c r="D95" s="17">
        <f t="shared" si="20"/>
        <v>0</v>
      </c>
      <c r="E95" s="17">
        <f t="shared" ref="E95:E100" si="23">100*((B95/$B$94)-1)</f>
        <v>0</v>
      </c>
      <c r="F95" s="17">
        <f t="shared" si="21"/>
        <v>7.4630072624658039</v>
      </c>
      <c r="G95" s="17">
        <f t="shared" ref="G95:G107" si="24">100*(B94/B70-1)</f>
        <v>37.471597156050727</v>
      </c>
      <c r="H95" s="39">
        <f t="shared" si="10"/>
        <v>1.3163780808040415</v>
      </c>
    </row>
    <row r="96" spans="1:8">
      <c r="A96" s="18" t="s">
        <v>136</v>
      </c>
      <c r="B96" s="23">
        <f>+geral!G213</f>
        <v>750.21</v>
      </c>
      <c r="C96" s="17">
        <f t="shared" si="22"/>
        <v>300.85418671799806</v>
      </c>
      <c r="D96" s="17">
        <f t="shared" ref="D96:D101" si="25">100*((B96/B95)-1)</f>
        <v>0</v>
      </c>
      <c r="E96" s="17">
        <f t="shared" si="23"/>
        <v>0</v>
      </c>
      <c r="F96" s="17">
        <f t="shared" si="21"/>
        <v>7.4630072624658039</v>
      </c>
      <c r="G96" s="17">
        <f t="shared" si="24"/>
        <v>37.471597156050727</v>
      </c>
      <c r="H96" s="39">
        <f t="shared" si="10"/>
        <v>1.3163780808040415</v>
      </c>
    </row>
    <row r="97" spans="1:9">
      <c r="A97" s="18" t="s">
        <v>138</v>
      </c>
      <c r="B97" s="23">
        <f>+geral!G214</f>
        <v>750.21</v>
      </c>
      <c r="C97" s="17">
        <f t="shared" si="22"/>
        <v>300.85418671799806</v>
      </c>
      <c r="D97" s="17">
        <f t="shared" si="25"/>
        <v>0</v>
      </c>
      <c r="E97" s="17">
        <f t="shared" si="23"/>
        <v>0</v>
      </c>
      <c r="F97" s="17">
        <f t="shared" si="21"/>
        <v>7.4630072624658039</v>
      </c>
      <c r="G97" s="17">
        <f t="shared" si="24"/>
        <v>37.471597156050727</v>
      </c>
      <c r="H97" s="39">
        <f t="shared" si="10"/>
        <v>1.3163780808040415</v>
      </c>
    </row>
    <row r="98" spans="1:9">
      <c r="A98" s="18" t="s">
        <v>151</v>
      </c>
      <c r="B98" s="23">
        <f>+geral!G215</f>
        <v>750.21</v>
      </c>
      <c r="C98" s="17">
        <f t="shared" si="22"/>
        <v>300.85418671799806</v>
      </c>
      <c r="D98" s="17">
        <f t="shared" si="25"/>
        <v>0</v>
      </c>
      <c r="E98" s="17">
        <f t="shared" si="23"/>
        <v>0</v>
      </c>
      <c r="F98" s="17">
        <f t="shared" si="21"/>
        <v>7.4630072624658039</v>
      </c>
      <c r="G98" s="17">
        <f t="shared" si="24"/>
        <v>37.471597156050727</v>
      </c>
      <c r="H98" s="39">
        <f t="shared" si="10"/>
        <v>1.3163780808040415</v>
      </c>
    </row>
    <row r="99" spans="1:9">
      <c r="A99" s="18" t="s">
        <v>153</v>
      </c>
      <c r="B99" s="23">
        <f>+geral!G216</f>
        <v>806.47</v>
      </c>
      <c r="C99" s="17">
        <f t="shared" si="22"/>
        <v>323.41594481873597</v>
      </c>
      <c r="D99" s="17">
        <f t="shared" si="25"/>
        <v>7.4992335479399097</v>
      </c>
      <c r="E99" s="17">
        <f t="shared" si="23"/>
        <v>7.4992335479399097</v>
      </c>
      <c r="F99" s="17">
        <f t="shared" si="21"/>
        <v>7.4992335479399097</v>
      </c>
      <c r="G99" s="17">
        <f t="shared" si="24"/>
        <v>11.761463516372196</v>
      </c>
      <c r="H99" s="39">
        <f t="shared" si="10"/>
        <v>1.2245464803402482</v>
      </c>
    </row>
    <row r="100" spans="1:9">
      <c r="A100" s="18" t="s">
        <v>154</v>
      </c>
      <c r="B100" s="23">
        <f>+geral!G217</f>
        <v>806.47</v>
      </c>
      <c r="C100" s="17">
        <f t="shared" si="22"/>
        <v>323.41594481873597</v>
      </c>
      <c r="D100" s="17">
        <f t="shared" si="25"/>
        <v>0</v>
      </c>
      <c r="E100" s="17">
        <f t="shared" si="23"/>
        <v>7.4992335479399097</v>
      </c>
      <c r="F100" s="17">
        <f t="shared" ref="F100:F105" si="26">100*((B100/B88)-1)</f>
        <v>7.4992335479399097</v>
      </c>
      <c r="G100" s="17">
        <f t="shared" si="24"/>
        <v>20.142716682060602</v>
      </c>
      <c r="H100" s="39">
        <f t="shared" si="10"/>
        <v>1.2245464803402482</v>
      </c>
    </row>
    <row r="101" spans="1:9">
      <c r="A101" s="36" t="s">
        <v>156</v>
      </c>
      <c r="B101" s="37">
        <f>+geral!G218</f>
        <v>806.47</v>
      </c>
      <c r="C101" s="22">
        <f t="shared" si="22"/>
        <v>323.41594481873597</v>
      </c>
      <c r="D101" s="22">
        <f t="shared" si="25"/>
        <v>0</v>
      </c>
      <c r="E101" s="22">
        <f t="shared" ref="E101:E106" si="27">100*((B101/$B$94)-1)</f>
        <v>7.4992335479399097</v>
      </c>
      <c r="F101" s="22">
        <f t="shared" si="26"/>
        <v>7.4992335479399097</v>
      </c>
      <c r="G101" s="17">
        <f t="shared" si="24"/>
        <v>15.52190915471774</v>
      </c>
      <c r="H101" s="39">
        <f t="shared" si="10"/>
        <v>1.2245464803402482</v>
      </c>
      <c r="I101" s="5"/>
    </row>
    <row r="102" spans="1:9">
      <c r="A102" s="18" t="s">
        <v>157</v>
      </c>
      <c r="B102" s="23">
        <f>+geral!G219</f>
        <v>806.47</v>
      </c>
      <c r="C102" s="17">
        <f t="shared" si="22"/>
        <v>323.41594481873597</v>
      </c>
      <c r="D102" s="17">
        <f t="shared" ref="D102:D107" si="28">100*((B102/B101)-1)</f>
        <v>0</v>
      </c>
      <c r="E102" s="17">
        <f t="shared" si="27"/>
        <v>7.4992335479399097</v>
      </c>
      <c r="F102" s="17">
        <f t="shared" si="26"/>
        <v>7.4992335479399097</v>
      </c>
      <c r="G102" s="17">
        <f t="shared" si="24"/>
        <v>15.52190915471774</v>
      </c>
      <c r="H102" s="39">
        <f t="shared" si="10"/>
        <v>1.2245464803402482</v>
      </c>
    </row>
    <row r="103" spans="1:9">
      <c r="A103" s="38">
        <v>37500</v>
      </c>
      <c r="B103" s="23">
        <f>+geral!G220</f>
        <v>806.47</v>
      </c>
      <c r="C103" s="17">
        <f t="shared" si="22"/>
        <v>323.41594481873597</v>
      </c>
      <c r="D103" s="17">
        <f t="shared" si="28"/>
        <v>0</v>
      </c>
      <c r="E103" s="17">
        <f t="shared" si="27"/>
        <v>7.4992335479399097</v>
      </c>
      <c r="F103" s="17">
        <f t="shared" si="26"/>
        <v>7.4992335479399097</v>
      </c>
      <c r="G103" s="17">
        <f t="shared" si="24"/>
        <v>15.52190915471774</v>
      </c>
      <c r="H103" s="39">
        <f t="shared" si="10"/>
        <v>1.2245464803402482</v>
      </c>
    </row>
    <row r="104" spans="1:9">
      <c r="A104" s="38">
        <v>37530</v>
      </c>
      <c r="B104" s="23">
        <f>+geral!G221</f>
        <v>812.45</v>
      </c>
      <c r="C104" s="17">
        <f t="shared" si="22"/>
        <v>325.81408405518124</v>
      </c>
      <c r="D104" s="17">
        <f t="shared" si="28"/>
        <v>0.74150309372946754</v>
      </c>
      <c r="E104" s="17">
        <f t="shared" si="27"/>
        <v>8.2963436904333498</v>
      </c>
      <c r="F104" s="17">
        <f t="shared" si="26"/>
        <v>8.2963436904333498</v>
      </c>
      <c r="G104" s="17">
        <f t="shared" si="24"/>
        <v>15.52190915471774</v>
      </c>
      <c r="H104" s="39">
        <f t="shared" si="10"/>
        <v>1.2155332635854512</v>
      </c>
    </row>
    <row r="105" spans="1:9">
      <c r="A105" s="38">
        <v>37561</v>
      </c>
      <c r="B105" s="23">
        <f>+geral!G222</f>
        <v>812.45</v>
      </c>
      <c r="C105" s="17">
        <f t="shared" si="22"/>
        <v>325.81408405518124</v>
      </c>
      <c r="D105" s="17">
        <f t="shared" si="28"/>
        <v>0</v>
      </c>
      <c r="E105" s="17">
        <f t="shared" si="27"/>
        <v>8.2963436904333498</v>
      </c>
      <c r="F105" s="17">
        <f t="shared" si="26"/>
        <v>8.2963436904333498</v>
      </c>
      <c r="G105" s="17">
        <f t="shared" si="24"/>
        <v>16.378507685035302</v>
      </c>
      <c r="H105" s="39">
        <f t="shared" si="10"/>
        <v>1.2155332635854512</v>
      </c>
    </row>
    <row r="106" spans="1:9">
      <c r="A106" s="38">
        <v>37591</v>
      </c>
      <c r="B106" s="23">
        <f>+geral!G223</f>
        <v>812.45</v>
      </c>
      <c r="C106" s="17">
        <f t="shared" si="22"/>
        <v>325.81408405518124</v>
      </c>
      <c r="D106" s="17">
        <f t="shared" si="28"/>
        <v>0</v>
      </c>
      <c r="E106" s="17">
        <f t="shared" si="27"/>
        <v>8.2963436904333498</v>
      </c>
      <c r="F106" s="17">
        <f t="shared" ref="F106:F111" si="29">100*((B106/B94)-1)</f>
        <v>8.2963436904333498</v>
      </c>
      <c r="G106" s="17">
        <f t="shared" si="24"/>
        <v>16.378507685035302</v>
      </c>
      <c r="H106" s="39">
        <f t="shared" si="10"/>
        <v>1.2155332635854512</v>
      </c>
    </row>
    <row r="107" spans="1:9">
      <c r="A107" s="38">
        <v>37622</v>
      </c>
      <c r="B107" s="24">
        <f>+geral!I212</f>
        <v>812.45</v>
      </c>
      <c r="C107" s="17">
        <f t="shared" ref="C107:C125" si="30">100*B107/$B$5</f>
        <v>325.81408405518124</v>
      </c>
      <c r="D107" s="17">
        <f t="shared" si="28"/>
        <v>0</v>
      </c>
      <c r="E107" s="17">
        <f t="shared" ref="E107:E112" si="31">100*((B107/$B$106)-1)</f>
        <v>0</v>
      </c>
      <c r="F107" s="17">
        <f t="shared" si="29"/>
        <v>8.2963436904333498</v>
      </c>
      <c r="G107" s="17">
        <f t="shared" si="24"/>
        <v>16.378507685035302</v>
      </c>
      <c r="H107" s="39">
        <f t="shared" si="10"/>
        <v>1.2155332635854512</v>
      </c>
    </row>
    <row r="108" spans="1:9">
      <c r="A108" s="38">
        <v>37653</v>
      </c>
      <c r="B108" s="24">
        <f>+geral!I213</f>
        <v>812.45</v>
      </c>
      <c r="C108" s="17">
        <f t="shared" si="30"/>
        <v>325.81408405518124</v>
      </c>
      <c r="D108" s="17">
        <f t="shared" ref="D108:D113" si="32">100*((B108/B107)-1)</f>
        <v>0</v>
      </c>
      <c r="E108" s="17">
        <f t="shared" si="31"/>
        <v>0</v>
      </c>
      <c r="F108" s="17">
        <f t="shared" si="29"/>
        <v>8.2963436904333498</v>
      </c>
      <c r="G108" s="17">
        <f t="shared" ref="G108:G113" si="33">100*(B107/B83-1)</f>
        <v>16.378507685035302</v>
      </c>
      <c r="H108" s="39">
        <f t="shared" si="10"/>
        <v>1.2155332635854512</v>
      </c>
    </row>
    <row r="109" spans="1:9">
      <c r="A109" s="38">
        <v>37681</v>
      </c>
      <c r="B109" s="24">
        <f>+geral!I214</f>
        <v>818.48</v>
      </c>
      <c r="C109" s="17">
        <f t="shared" si="30"/>
        <v>328.23227462303493</v>
      </c>
      <c r="D109" s="17">
        <f t="shared" si="32"/>
        <v>0.74219951997045452</v>
      </c>
      <c r="E109" s="17">
        <f t="shared" si="31"/>
        <v>0.74219951997045452</v>
      </c>
      <c r="F109" s="17">
        <f t="shared" si="29"/>
        <v>9.1001186334493056</v>
      </c>
      <c r="G109" s="17">
        <f t="shared" si="33"/>
        <v>16.378507685035302</v>
      </c>
      <c r="H109" s="39">
        <f t="shared" si="10"/>
        <v>1.2065780471117191</v>
      </c>
    </row>
    <row r="110" spans="1:9">
      <c r="A110" s="38">
        <v>37712</v>
      </c>
      <c r="B110" s="24">
        <f>+geral!I215</f>
        <v>818.48</v>
      </c>
      <c r="C110" s="17">
        <f t="shared" si="30"/>
        <v>328.23227462303493</v>
      </c>
      <c r="D110" s="17">
        <f t="shared" si="32"/>
        <v>0</v>
      </c>
      <c r="E110" s="17">
        <f t="shared" si="31"/>
        <v>0.74219951997045452</v>
      </c>
      <c r="F110" s="17">
        <f t="shared" si="29"/>
        <v>9.1001186334493056</v>
      </c>
      <c r="G110" s="17">
        <f t="shared" si="33"/>
        <v>17.242268410422422</v>
      </c>
      <c r="H110" s="39">
        <f t="shared" si="10"/>
        <v>1.2065780471117191</v>
      </c>
    </row>
    <row r="111" spans="1:9">
      <c r="A111" s="38">
        <v>37742</v>
      </c>
      <c r="B111" s="24">
        <f>+geral!I216</f>
        <v>876.1</v>
      </c>
      <c r="C111" s="17">
        <f t="shared" si="30"/>
        <v>351.33942893808148</v>
      </c>
      <c r="D111" s="17">
        <f t="shared" si="32"/>
        <v>7.0398787997263179</v>
      </c>
      <c r="E111" s="17">
        <f t="shared" si="31"/>
        <v>7.8343282663548397</v>
      </c>
      <c r="F111" s="17">
        <f t="shared" si="29"/>
        <v>8.633923146552247</v>
      </c>
      <c r="G111" s="17">
        <f t="shared" si="33"/>
        <v>17.242268410422422</v>
      </c>
      <c r="H111" s="39">
        <f t="shared" si="10"/>
        <v>1.1272229197580184</v>
      </c>
    </row>
    <row r="112" spans="1:9">
      <c r="A112" s="38">
        <v>37773</v>
      </c>
      <c r="B112" s="24">
        <f>+geral!I217</f>
        <v>876.1</v>
      </c>
      <c r="C112" s="17">
        <f t="shared" si="30"/>
        <v>351.33942893808148</v>
      </c>
      <c r="D112" s="17">
        <f t="shared" si="32"/>
        <v>0</v>
      </c>
      <c r="E112" s="17">
        <f t="shared" si="31"/>
        <v>7.8343282663548397</v>
      </c>
      <c r="F112" s="17">
        <f t="shared" ref="F112:F117" si="34">100*((B112/B100)-1)</f>
        <v>8.633923146552247</v>
      </c>
      <c r="G112" s="17">
        <f t="shared" si="33"/>
        <v>16.780634755601763</v>
      </c>
      <c r="H112" s="39">
        <f t="shared" si="10"/>
        <v>1.1272229197580184</v>
      </c>
    </row>
    <row r="113" spans="1:8">
      <c r="A113" s="38">
        <v>37803</v>
      </c>
      <c r="B113" s="24">
        <f>+geral!I218</f>
        <v>917.84</v>
      </c>
      <c r="C113" s="17">
        <f t="shared" si="30"/>
        <v>368.07828039781839</v>
      </c>
      <c r="D113" s="17">
        <f t="shared" si="32"/>
        <v>4.764296313206251</v>
      </c>
      <c r="E113" s="17">
        <f t="shared" ref="E113:E118" si="35">100*((B113/$B$106)-1)</f>
        <v>12.971875192319526</v>
      </c>
      <c r="F113" s="17">
        <f t="shared" si="34"/>
        <v>13.80956514191476</v>
      </c>
      <c r="G113" s="17">
        <f t="shared" si="33"/>
        <v>16.780634755601763</v>
      </c>
      <c r="H113" s="39">
        <f t="shared" si="10"/>
        <v>1.0759609517998778</v>
      </c>
    </row>
    <row r="114" spans="1:8">
      <c r="A114" s="38">
        <v>37834</v>
      </c>
      <c r="B114" s="24">
        <f>+geral!I219</f>
        <v>917.84</v>
      </c>
      <c r="C114" s="17">
        <f t="shared" si="30"/>
        <v>368.07828039781839</v>
      </c>
      <c r="D114" s="17">
        <f t="shared" ref="D114:D119" si="36">100*((B114/B113)-1)</f>
        <v>0</v>
      </c>
      <c r="E114" s="17">
        <f t="shared" si="35"/>
        <v>12.971875192319526</v>
      </c>
      <c r="F114" s="17">
        <f t="shared" si="34"/>
        <v>13.80956514191476</v>
      </c>
      <c r="G114" s="17">
        <f t="shared" ref="G114:G119" si="37">100*(B114/B89-1)</f>
        <v>22.34441023180176</v>
      </c>
      <c r="H114" s="39">
        <f t="shared" si="10"/>
        <v>1.0759609517998778</v>
      </c>
    </row>
    <row r="115" spans="1:8">
      <c r="A115" s="38">
        <v>37865</v>
      </c>
      <c r="B115" s="24">
        <f>+geral!I220</f>
        <v>917.34</v>
      </c>
      <c r="C115" s="17">
        <f t="shared" si="30"/>
        <v>367.87776708373434</v>
      </c>
      <c r="D115" s="17">
        <f t="shared" si="36"/>
        <v>-5.4475725616665027E-2</v>
      </c>
      <c r="E115" s="17">
        <f t="shared" si="35"/>
        <v>12.910332943565761</v>
      </c>
      <c r="F115" s="17">
        <f t="shared" si="34"/>
        <v>13.747566555482527</v>
      </c>
      <c r="G115" s="17">
        <f t="shared" si="37"/>
        <v>22.277762226576559</v>
      </c>
      <c r="H115" s="39">
        <f t="shared" si="10"/>
        <v>1.0765474088124358</v>
      </c>
    </row>
    <row r="116" spans="1:8">
      <c r="A116" s="38">
        <v>37895</v>
      </c>
      <c r="B116" s="24">
        <f>+geral!I221</f>
        <v>924.72</v>
      </c>
      <c r="C116" s="17">
        <f t="shared" si="30"/>
        <v>370.837343599615</v>
      </c>
      <c r="D116" s="17">
        <f t="shared" si="36"/>
        <v>0.80449996729674567</v>
      </c>
      <c r="E116" s="17">
        <f t="shared" si="35"/>
        <v>13.818696535171382</v>
      </c>
      <c r="F116" s="17">
        <f t="shared" si="34"/>
        <v>13.818696535171382</v>
      </c>
      <c r="G116" s="17">
        <f t="shared" si="37"/>
        <v>23.261486783700569</v>
      </c>
      <c r="H116" s="39">
        <f t="shared" si="10"/>
        <v>1.0679557055108573</v>
      </c>
    </row>
    <row r="117" spans="1:8">
      <c r="A117" s="38">
        <v>37926</v>
      </c>
      <c r="B117" s="24">
        <f>+geral!I222</f>
        <v>924.72</v>
      </c>
      <c r="C117" s="17">
        <f t="shared" si="30"/>
        <v>370.837343599615</v>
      </c>
      <c r="D117" s="17">
        <f t="shared" si="36"/>
        <v>0</v>
      </c>
      <c r="E117" s="17">
        <f t="shared" si="35"/>
        <v>13.818696535171382</v>
      </c>
      <c r="F117" s="17">
        <f t="shared" si="34"/>
        <v>13.818696535171382</v>
      </c>
      <c r="G117" s="17">
        <f t="shared" si="37"/>
        <v>23.261486783700569</v>
      </c>
      <c r="H117" s="39">
        <f t="shared" si="10"/>
        <v>1.0679557055108573</v>
      </c>
    </row>
    <row r="118" spans="1:8">
      <c r="A118" s="38">
        <v>37956</v>
      </c>
      <c r="B118" s="24">
        <f>+geral!I223</f>
        <v>924.72</v>
      </c>
      <c r="C118" s="17">
        <f t="shared" si="30"/>
        <v>370.837343599615</v>
      </c>
      <c r="D118" s="17">
        <f t="shared" si="36"/>
        <v>0</v>
      </c>
      <c r="E118" s="17">
        <f t="shared" si="35"/>
        <v>13.818696535171382</v>
      </c>
      <c r="F118" s="17">
        <f t="shared" ref="F118:F123" si="38">100*((B118/B106)-1)</f>
        <v>13.818696535171382</v>
      </c>
      <c r="G118" s="17">
        <f t="shared" si="37"/>
        <v>23.261486783700569</v>
      </c>
      <c r="H118" s="39">
        <f t="shared" si="10"/>
        <v>1.0679557055108573</v>
      </c>
    </row>
    <row r="119" spans="1:8">
      <c r="A119" s="38">
        <v>37987</v>
      </c>
      <c r="B119" s="24">
        <f>+geral!K212</f>
        <v>924.72</v>
      </c>
      <c r="C119" s="17">
        <f t="shared" si="30"/>
        <v>370.837343599615</v>
      </c>
      <c r="D119" s="17">
        <f t="shared" si="36"/>
        <v>0</v>
      </c>
      <c r="E119" s="17">
        <f t="shared" ref="E119:E124" si="39">100*((B119/$B$118)-1)</f>
        <v>0</v>
      </c>
      <c r="F119" s="17">
        <f t="shared" si="38"/>
        <v>13.818696535171382</v>
      </c>
      <c r="G119" s="17">
        <f t="shared" si="37"/>
        <v>23.261486783700569</v>
      </c>
      <c r="H119" s="39">
        <f t="shared" si="10"/>
        <v>1.0679557055108573</v>
      </c>
    </row>
    <row r="120" spans="1:8">
      <c r="A120" s="38">
        <v>38018</v>
      </c>
      <c r="B120" s="24">
        <f>+geral!K213</f>
        <v>924.72</v>
      </c>
      <c r="C120" s="17">
        <f t="shared" si="30"/>
        <v>370.837343599615</v>
      </c>
      <c r="D120" s="17">
        <f t="shared" ref="D120:D125" si="40">100*((B120/B119)-1)</f>
        <v>0</v>
      </c>
      <c r="E120" s="17">
        <f t="shared" si="39"/>
        <v>0</v>
      </c>
      <c r="F120" s="17">
        <f t="shared" si="38"/>
        <v>13.818696535171382</v>
      </c>
      <c r="G120" s="17">
        <f t="shared" ref="G120:G125" si="41">100*(B120/B95-1)</f>
        <v>23.261486783700569</v>
      </c>
      <c r="H120" s="39">
        <f t="shared" si="10"/>
        <v>1.0679557055108573</v>
      </c>
    </row>
    <row r="121" spans="1:8">
      <c r="A121" s="38">
        <v>38047</v>
      </c>
      <c r="B121" s="24">
        <f>+geral!K214</f>
        <v>931.66</v>
      </c>
      <c r="C121" s="17">
        <f t="shared" si="30"/>
        <v>373.6204683991017</v>
      </c>
      <c r="D121" s="17">
        <f t="shared" si="40"/>
        <v>0.75049744787609729</v>
      </c>
      <c r="E121" s="17">
        <f t="shared" si="39"/>
        <v>0.75049744787609729</v>
      </c>
      <c r="F121" s="17">
        <f t="shared" si="38"/>
        <v>13.828071547258336</v>
      </c>
      <c r="G121" s="17">
        <f t="shared" si="41"/>
        <v>24.186561096226388</v>
      </c>
      <c r="H121" s="39">
        <f t="shared" si="10"/>
        <v>1.060000429341176</v>
      </c>
    </row>
    <row r="122" spans="1:8">
      <c r="A122" s="38">
        <v>38078</v>
      </c>
      <c r="B122" s="24">
        <f>+geral!K215</f>
        <v>931.66</v>
      </c>
      <c r="C122" s="17">
        <f t="shared" si="30"/>
        <v>373.6204683991017</v>
      </c>
      <c r="D122" s="17">
        <f t="shared" si="40"/>
        <v>0</v>
      </c>
      <c r="E122" s="17">
        <f t="shared" si="39"/>
        <v>0.75049744787609729</v>
      </c>
      <c r="F122" s="17">
        <f t="shared" si="38"/>
        <v>13.828071547258336</v>
      </c>
      <c r="G122" s="17">
        <f t="shared" si="41"/>
        <v>24.186561096226388</v>
      </c>
      <c r="H122" s="39">
        <f t="shared" si="10"/>
        <v>1.060000429341176</v>
      </c>
    </row>
    <row r="123" spans="1:8">
      <c r="A123" s="38">
        <v>38108</v>
      </c>
      <c r="B123" s="24">
        <f>+geral!K216</f>
        <v>987.56</v>
      </c>
      <c r="C123" s="17">
        <f t="shared" si="30"/>
        <v>396.03785691369904</v>
      </c>
      <c r="D123" s="17">
        <f t="shared" si="40"/>
        <v>6.0000429341175998</v>
      </c>
      <c r="E123" s="17">
        <f t="shared" si="39"/>
        <v>6.7955705510857278</v>
      </c>
      <c r="F123" s="17">
        <f t="shared" si="38"/>
        <v>12.722291975801836</v>
      </c>
      <c r="G123" s="17">
        <f t="shared" si="41"/>
        <v>31.637808080404149</v>
      </c>
      <c r="H123" s="39">
        <f t="shared" si="10"/>
        <v>1</v>
      </c>
    </row>
    <row r="124" spans="1:8">
      <c r="A124" s="38">
        <v>38139</v>
      </c>
      <c r="B124" s="24">
        <f>+geral!K217</f>
        <v>987.56</v>
      </c>
      <c r="C124" s="17">
        <f t="shared" si="30"/>
        <v>396.03785691369904</v>
      </c>
      <c r="D124" s="17">
        <f t="shared" si="40"/>
        <v>0</v>
      </c>
      <c r="E124" s="17">
        <f t="shared" si="39"/>
        <v>6.7955705510857278</v>
      </c>
      <c r="F124" s="17">
        <f>100*((B124/B112)-1)</f>
        <v>12.722291975801836</v>
      </c>
      <c r="G124" s="17">
        <f t="shared" si="41"/>
        <v>22.454648034024814</v>
      </c>
      <c r="H124" s="39">
        <f t="shared" si="10"/>
        <v>1</v>
      </c>
    </row>
    <row r="125" spans="1:8">
      <c r="A125" s="38">
        <v>38169</v>
      </c>
      <c r="B125" s="24">
        <f>+geral!K218</f>
        <v>987.56</v>
      </c>
      <c r="C125" s="17">
        <f t="shared" si="30"/>
        <v>396.03785691369904</v>
      </c>
      <c r="D125" s="17">
        <f t="shared" si="40"/>
        <v>0</v>
      </c>
      <c r="E125" s="17">
        <f>100*((B125/$B$118)-1)</f>
        <v>6.7955705510857278</v>
      </c>
      <c r="F125" s="17">
        <f>100*((B125/B113)-1)</f>
        <v>7.5960951799877829</v>
      </c>
      <c r="G125" s="17">
        <f t="shared" si="41"/>
        <v>22.454648034024814</v>
      </c>
      <c r="H125" s="39">
        <f t="shared" si="10"/>
        <v>1</v>
      </c>
    </row>
    <row r="126" spans="1:8">
      <c r="A126" s="54" t="s">
        <v>164</v>
      </c>
      <c r="B126" s="56"/>
      <c r="C126" s="17"/>
      <c r="D126" s="17"/>
      <c r="E126" s="17"/>
      <c r="F126" s="17"/>
      <c r="G126" s="17"/>
      <c r="H126" s="17"/>
    </row>
  </sheetData>
  <phoneticPr fontId="0" type="noConversion"/>
  <printOptions gridLines="1"/>
  <pageMargins left="0.5" right="0.5" top="0.50069444444444444" bottom="0.5" header="0" footer="0"/>
  <pageSetup orientation="landscape" horizontalDpi="300" verticalDpi="300" r:id="rId1"/>
  <headerFooter alignWithMargins="0">
    <oddHeader>&amp;C&amp;F</oddHeader>
    <oddFooter>&amp;CP 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pageSetUpPr fitToPage="1"/>
  </sheetPr>
  <dimension ref="A1:L412"/>
  <sheetViews>
    <sheetView showGridLines="0" zoomScaleNormal="100" workbookViewId="0">
      <pane ySplit="2295" topLeftCell="A98" activePane="bottomLeft"/>
      <selection activeCell="E164" sqref="E164"/>
      <selection pane="bottomLeft" activeCell="I111" sqref="I111"/>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11" ht="21" customHeight="1">
      <c r="B1" s="708"/>
      <c r="C1" s="1417" t="s">
        <v>385</v>
      </c>
      <c r="D1" s="1417" t="s">
        <v>346</v>
      </c>
      <c r="E1" s="1417"/>
      <c r="F1" s="1417"/>
      <c r="G1" s="1417"/>
      <c r="H1" s="1417"/>
    </row>
    <row r="2" spans="1:11" ht="15" customHeight="1">
      <c r="A2" s="708"/>
      <c r="B2" s="708"/>
      <c r="C2" s="1417"/>
      <c r="D2" s="1417"/>
      <c r="E2" s="1417"/>
      <c r="F2" s="1417"/>
      <c r="G2" s="1417"/>
      <c r="H2" s="1417"/>
    </row>
    <row r="3" spans="1:11" ht="15" customHeight="1" thickBot="1">
      <c r="A3" s="708"/>
      <c r="B3" s="708"/>
      <c r="C3" s="1418"/>
      <c r="D3" s="1418"/>
      <c r="E3" s="1418"/>
      <c r="F3" s="1418"/>
      <c r="G3" s="1418"/>
      <c r="H3" s="1418"/>
    </row>
    <row r="4" spans="1:11" ht="17.25" customHeight="1" thickBot="1">
      <c r="A4" s="1429" t="s">
        <v>348</v>
      </c>
      <c r="B4" s="1430"/>
      <c r="C4" s="1431"/>
      <c r="D4" s="1432" t="s">
        <v>349</v>
      </c>
      <c r="E4" s="1433"/>
      <c r="F4" s="1433"/>
      <c r="G4" s="1433"/>
      <c r="H4" s="1434"/>
    </row>
    <row r="5" spans="1:11" ht="15" customHeight="1" thickBot="1">
      <c r="A5" s="1421" t="s">
        <v>274</v>
      </c>
      <c r="B5" s="1422"/>
      <c r="C5" s="1423"/>
      <c r="D5" s="1424" t="s">
        <v>275</v>
      </c>
      <c r="E5" s="1425"/>
      <c r="F5" s="1425"/>
      <c r="G5" s="1426"/>
      <c r="H5" s="1427" t="s">
        <v>186</v>
      </c>
    </row>
    <row r="6" spans="1:11" ht="15.75" customHeight="1" thickBot="1">
      <c r="A6" s="831" t="s">
        <v>341</v>
      </c>
      <c r="B6" s="781" t="s">
        <v>64</v>
      </c>
      <c r="C6" s="781" t="s">
        <v>68</v>
      </c>
      <c r="D6" s="781" t="s">
        <v>342</v>
      </c>
      <c r="E6" s="781" t="s">
        <v>343</v>
      </c>
      <c r="F6" s="781" t="s">
        <v>344</v>
      </c>
      <c r="G6" s="781" t="s">
        <v>345</v>
      </c>
      <c r="H6" s="1428"/>
    </row>
    <row r="7" spans="1:11" ht="15.75" customHeight="1" thickBot="1">
      <c r="A7" s="1435" t="s">
        <v>347</v>
      </c>
      <c r="B7" s="1436"/>
      <c r="C7" s="956"/>
      <c r="D7" s="956"/>
      <c r="E7" s="956"/>
      <c r="F7" s="956"/>
      <c r="G7" s="956"/>
      <c r="H7" s="957"/>
    </row>
    <row r="8" spans="1:11">
      <c r="A8" s="1013" t="s">
        <v>497</v>
      </c>
      <c r="B8" s="864">
        <f>[117]ÓLEOS!$F$18</f>
        <v>2.0892000000000004</v>
      </c>
      <c r="C8" s="865">
        <f>100*B8/$B$8</f>
        <v>100</v>
      </c>
      <c r="D8" s="852"/>
      <c r="E8" s="852"/>
      <c r="F8" s="852"/>
      <c r="G8" s="866"/>
      <c r="H8" s="867">
        <f>$B$110/B8</f>
        <v>1.647999234156615</v>
      </c>
      <c r="I8" s="718"/>
      <c r="J8" s="718"/>
      <c r="K8" s="718"/>
    </row>
    <row r="9" spans="1:11">
      <c r="A9" s="1014" t="s">
        <v>498</v>
      </c>
      <c r="B9" s="868">
        <f>[118]ÓLEOS!$F$18</f>
        <v>2.0456000000000003</v>
      </c>
      <c r="C9" s="869">
        <f t="shared" ref="C9:C30" si="0">100*B9/$B$8</f>
        <v>97.91307677579934</v>
      </c>
      <c r="D9" s="858">
        <f t="shared" ref="D9:D29" si="1">100*((B9/B8)-1)</f>
        <v>-2.0869232242006541</v>
      </c>
      <c r="E9" s="858">
        <f>100*((B9/$B$8)-1)</f>
        <v>-2.0869232242006541</v>
      </c>
      <c r="F9" s="857"/>
      <c r="G9" s="870"/>
      <c r="H9" s="871">
        <f>$B$110/B9</f>
        <v>1.6831247555729369</v>
      </c>
      <c r="I9" s="718"/>
      <c r="J9" s="718"/>
      <c r="K9" s="718"/>
    </row>
    <row r="10" spans="1:11">
      <c r="A10" s="1014" t="s">
        <v>499</v>
      </c>
      <c r="B10" s="868">
        <f>[119]ÓLEOS!$F$18</f>
        <v>2.069</v>
      </c>
      <c r="C10" s="869">
        <f t="shared" si="0"/>
        <v>99.033122726402439</v>
      </c>
      <c r="D10" s="858">
        <f t="shared" si="1"/>
        <v>1.1439186546734259</v>
      </c>
      <c r="E10" s="858">
        <f t="shared" ref="E10:E17" si="2">100*((B10/$B$8)-1)</f>
        <v>-0.96687727359756614</v>
      </c>
      <c r="F10" s="857"/>
      <c r="G10" s="870"/>
      <c r="H10" s="871">
        <f t="shared" ref="H10:H73" si="3">$B$110/B10</f>
        <v>1.664088931851136</v>
      </c>
      <c r="I10" s="718"/>
      <c r="J10" s="718"/>
      <c r="K10" s="718"/>
    </row>
    <row r="11" spans="1:11">
      <c r="A11" s="1014" t="s">
        <v>500</v>
      </c>
      <c r="B11" s="868">
        <f>[120]ÓLEOS!$F$18</f>
        <v>2.0751999999999997</v>
      </c>
      <c r="C11" s="869">
        <f t="shared" si="0"/>
        <v>99.329887038100679</v>
      </c>
      <c r="D11" s="858">
        <f t="shared" si="1"/>
        <v>0.29966167230544016</v>
      </c>
      <c r="E11" s="858">
        <f t="shared" si="2"/>
        <v>-0.67011296189932734</v>
      </c>
      <c r="F11" s="857"/>
      <c r="G11" s="870"/>
      <c r="H11" s="871">
        <f t="shared" si="3"/>
        <v>1.6591171935235163</v>
      </c>
      <c r="I11" s="718"/>
      <c r="J11" s="718"/>
      <c r="K11" s="718"/>
    </row>
    <row r="12" spans="1:11">
      <c r="A12" s="1014" t="s">
        <v>501</v>
      </c>
      <c r="B12" s="868">
        <f>[57]ÓLEOS!$F$18</f>
        <v>2.1390000000000002</v>
      </c>
      <c r="C12" s="869">
        <f t="shared" si="0"/>
        <v>102.3836875358989</v>
      </c>
      <c r="D12" s="858">
        <f t="shared" si="1"/>
        <v>3.0744024672320958</v>
      </c>
      <c r="E12" s="858">
        <f t="shared" si="2"/>
        <v>2.383687535898904</v>
      </c>
      <c r="F12" s="857"/>
      <c r="G12" s="870"/>
      <c r="H12" s="871">
        <f t="shared" si="3"/>
        <v>1.6096306685366994</v>
      </c>
      <c r="I12" s="718"/>
      <c r="J12" s="718"/>
      <c r="K12" s="718"/>
    </row>
    <row r="13" spans="1:11">
      <c r="A13" s="1014" t="s">
        <v>502</v>
      </c>
      <c r="B13" s="868">
        <f>[66]ÓLEOS!$F$18</f>
        <v>2.1471999999999993</v>
      </c>
      <c r="C13" s="869">
        <f t="shared" si="0"/>
        <v>102.77618227072558</v>
      </c>
      <c r="D13" s="858">
        <f t="shared" si="1"/>
        <v>0.38335670874236616</v>
      </c>
      <c r="E13" s="858">
        <f t="shared" si="2"/>
        <v>2.7761822707255801</v>
      </c>
      <c r="F13" s="857"/>
      <c r="G13" s="870"/>
      <c r="H13" s="871">
        <f t="shared" si="3"/>
        <v>1.6034836065573779</v>
      </c>
      <c r="I13" s="718"/>
      <c r="J13" s="718"/>
      <c r="K13" s="718"/>
    </row>
    <row r="14" spans="1:11">
      <c r="A14" s="1014" t="s">
        <v>503</v>
      </c>
      <c r="B14" s="868">
        <f>[75]ÓLEOS!$F$18</f>
        <v>2.1471999999999993</v>
      </c>
      <c r="C14" s="869">
        <f t="shared" si="0"/>
        <v>102.77618227072558</v>
      </c>
      <c r="D14" s="858">
        <f t="shared" si="1"/>
        <v>0</v>
      </c>
      <c r="E14" s="858">
        <f t="shared" si="2"/>
        <v>2.7761822707255801</v>
      </c>
      <c r="F14" s="857"/>
      <c r="G14" s="870"/>
      <c r="H14" s="871">
        <f t="shared" si="3"/>
        <v>1.6034836065573779</v>
      </c>
      <c r="I14" s="718"/>
      <c r="J14" s="718"/>
      <c r="K14" s="718"/>
    </row>
    <row r="15" spans="1:11">
      <c r="A15" s="1014" t="s">
        <v>504</v>
      </c>
      <c r="B15" s="868">
        <f>[83]ÓLEOS!$F$18</f>
        <v>2.1772</v>
      </c>
      <c r="C15" s="869">
        <f t="shared" si="0"/>
        <v>104.21213861765267</v>
      </c>
      <c r="D15" s="858">
        <f t="shared" si="1"/>
        <v>1.3971684053651678</v>
      </c>
      <c r="E15" s="858">
        <f t="shared" si="2"/>
        <v>4.212138617652661</v>
      </c>
      <c r="F15" s="857"/>
      <c r="G15" s="870"/>
      <c r="H15" s="871">
        <f t="shared" si="3"/>
        <v>1.5813889399228369</v>
      </c>
      <c r="I15" s="718"/>
      <c r="J15" s="718"/>
      <c r="K15" s="718"/>
    </row>
    <row r="16" spans="1:11">
      <c r="A16" s="1014" t="s">
        <v>505</v>
      </c>
      <c r="B16" s="868">
        <f>[91]ÓLEOS!$F$18</f>
        <v>2.1970000000000001</v>
      </c>
      <c r="C16" s="869">
        <f t="shared" si="0"/>
        <v>105.15986980662453</v>
      </c>
      <c r="D16" s="858">
        <f t="shared" si="1"/>
        <v>0.90942494947638952</v>
      </c>
      <c r="E16" s="858">
        <f t="shared" si="2"/>
        <v>5.1598698066245285</v>
      </c>
      <c r="F16" s="857"/>
      <c r="G16" s="870"/>
      <c r="H16" s="871">
        <f t="shared" si="3"/>
        <v>1.5671370050068276</v>
      </c>
      <c r="I16" s="769"/>
      <c r="J16" s="718"/>
      <c r="K16" s="718"/>
    </row>
    <row r="17" spans="1:11">
      <c r="A17" s="1014" t="s">
        <v>506</v>
      </c>
      <c r="B17" s="868">
        <f>[99]ÓLEOS!$F$18</f>
        <v>2.1991999999999998</v>
      </c>
      <c r="C17" s="869">
        <f t="shared" si="0"/>
        <v>105.26517327206584</v>
      </c>
      <c r="D17" s="858">
        <f t="shared" si="1"/>
        <v>0.10013654984069031</v>
      </c>
      <c r="E17" s="858">
        <f t="shared" si="2"/>
        <v>5.2651732720658373</v>
      </c>
      <c r="F17" s="857"/>
      <c r="G17" s="870"/>
      <c r="H17" s="871">
        <f t="shared" si="3"/>
        <v>1.565569297926519</v>
      </c>
      <c r="I17" s="769"/>
      <c r="J17" s="718"/>
      <c r="K17" s="718"/>
    </row>
    <row r="18" spans="1:11">
      <c r="A18" s="1014" t="s">
        <v>507</v>
      </c>
      <c r="B18" s="868">
        <f>[9]ÓLEOS!$F$18</f>
        <v>2.2429999999999999</v>
      </c>
      <c r="C18" s="869">
        <f t="shared" si="0"/>
        <v>107.36166953857933</v>
      </c>
      <c r="D18" s="858">
        <f t="shared" si="1"/>
        <v>1.9916333212077086</v>
      </c>
      <c r="E18" s="858">
        <f t="shared" ref="E18:E29" si="4">100*((B18/$B$17)-1)</f>
        <v>1.9916333212077086</v>
      </c>
      <c r="F18" s="857"/>
      <c r="G18" s="870"/>
      <c r="H18" s="871">
        <f t="shared" si="3"/>
        <v>1.5349977708426219</v>
      </c>
      <c r="I18" s="769"/>
      <c r="J18" s="718"/>
      <c r="K18" s="718"/>
    </row>
    <row r="19" spans="1:11">
      <c r="A19" s="1014" t="s">
        <v>508</v>
      </c>
      <c r="B19" s="868">
        <f>[17]ÓLEOS!$F$18</f>
        <v>2.3359999999999999</v>
      </c>
      <c r="C19" s="869">
        <f t="shared" si="0"/>
        <v>111.81313421405321</v>
      </c>
      <c r="D19" s="858">
        <f t="shared" si="1"/>
        <v>4.1462327240303187</v>
      </c>
      <c r="E19" s="858">
        <f t="shared" si="4"/>
        <v>6.2204437977446458</v>
      </c>
      <c r="F19" s="857"/>
      <c r="G19" s="870"/>
      <c r="H19" s="871">
        <f t="shared" si="3"/>
        <v>1.4738869863013702</v>
      </c>
      <c r="I19" s="769"/>
      <c r="J19" s="718"/>
      <c r="K19" s="718"/>
    </row>
    <row r="20" spans="1:11">
      <c r="A20" s="1014" t="s">
        <v>509</v>
      </c>
      <c r="B20" s="868">
        <f>[25]ÓLEOS!$F$18</f>
        <v>2.4119999999999999</v>
      </c>
      <c r="C20" s="869">
        <f t="shared" si="0"/>
        <v>115.45089029293507</v>
      </c>
      <c r="D20" s="858">
        <f t="shared" si="1"/>
        <v>3.2534246575342429</v>
      </c>
      <c r="E20" s="858">
        <f t="shared" si="4"/>
        <v>9.676245907602766</v>
      </c>
      <c r="F20" s="872">
        <f t="shared" ref="F20:F29" si="5">100*((B20/B8)-1)</f>
        <v>15.450890292935071</v>
      </c>
      <c r="G20" s="860"/>
      <c r="H20" s="871">
        <f t="shared" si="3"/>
        <v>1.4274461028192373</v>
      </c>
      <c r="I20" s="769"/>
      <c r="J20" s="718"/>
      <c r="K20" s="718"/>
    </row>
    <row r="21" spans="1:11">
      <c r="A21" s="1014" t="s">
        <v>510</v>
      </c>
      <c r="B21" s="868">
        <f>[33]ÓLEOS!$F$18</f>
        <v>2.423</v>
      </c>
      <c r="C21" s="869">
        <f t="shared" si="0"/>
        <v>115.97740762014166</v>
      </c>
      <c r="D21" s="858">
        <f t="shared" si="1"/>
        <v>0.4560530679933672</v>
      </c>
      <c r="E21" s="858">
        <f t="shared" si="4"/>
        <v>10.176427791924336</v>
      </c>
      <c r="F21" s="872">
        <f t="shared" si="5"/>
        <v>18.449354712553756</v>
      </c>
      <c r="G21" s="860"/>
      <c r="H21" s="871">
        <f t="shared" si="3"/>
        <v>1.4209657449442841</v>
      </c>
      <c r="I21" s="769"/>
      <c r="J21" s="718"/>
      <c r="K21" s="718"/>
    </row>
    <row r="22" spans="1:11">
      <c r="A22" s="1014" t="s">
        <v>511</v>
      </c>
      <c r="B22" s="868">
        <f>[41]ÓLEOS!$F$18</f>
        <v>2.431</v>
      </c>
      <c r="C22" s="869">
        <f t="shared" si="0"/>
        <v>116.36032931265554</v>
      </c>
      <c r="D22" s="858">
        <f t="shared" si="1"/>
        <v>0.33016921172099867</v>
      </c>
      <c r="E22" s="858">
        <f t="shared" si="4"/>
        <v>10.540196435067317</v>
      </c>
      <c r="F22" s="872">
        <f t="shared" si="5"/>
        <v>17.496375060415659</v>
      </c>
      <c r="G22" s="860"/>
      <c r="H22" s="871">
        <f t="shared" si="3"/>
        <v>1.4162895927601811</v>
      </c>
      <c r="I22" s="769"/>
      <c r="J22" s="718"/>
      <c r="K22" s="718"/>
    </row>
    <row r="23" spans="1:11">
      <c r="A23" s="1014" t="s">
        <v>512</v>
      </c>
      <c r="B23" s="868">
        <f>[49]ÓLEOS!$F$18</f>
        <v>2.4350000000000001</v>
      </c>
      <c r="C23" s="869">
        <f t="shared" si="0"/>
        <v>116.55179015891248</v>
      </c>
      <c r="D23" s="858">
        <f t="shared" si="1"/>
        <v>0.16454134101193674</v>
      </c>
      <c r="E23" s="858">
        <f t="shared" si="4"/>
        <v>10.722080756638785</v>
      </c>
      <c r="F23" s="872">
        <f t="shared" si="5"/>
        <v>17.338087895142664</v>
      </c>
      <c r="G23" s="860"/>
      <c r="H23" s="871">
        <f t="shared" si="3"/>
        <v>1.4139630390143738</v>
      </c>
      <c r="I23" s="718"/>
      <c r="J23" s="718"/>
      <c r="K23" s="718"/>
    </row>
    <row r="24" spans="1:11">
      <c r="A24" s="1014" t="s">
        <v>513</v>
      </c>
      <c r="B24" s="868">
        <f>[58]ÓLEOS!$F$18</f>
        <v>2.4409999999999998</v>
      </c>
      <c r="C24" s="869">
        <f t="shared" si="0"/>
        <v>116.83898142829788</v>
      </c>
      <c r="D24" s="858">
        <f t="shared" si="1"/>
        <v>0.24640657084187279</v>
      </c>
      <c r="E24" s="858">
        <f t="shared" si="4"/>
        <v>10.99490723899601</v>
      </c>
      <c r="F24" s="872">
        <f t="shared" si="5"/>
        <v>14.118747078073856</v>
      </c>
      <c r="G24" s="860"/>
      <c r="H24" s="871">
        <f t="shared" si="3"/>
        <v>1.4104875051208523</v>
      </c>
      <c r="I24" s="718"/>
      <c r="J24" s="718"/>
      <c r="K24" s="718"/>
    </row>
    <row r="25" spans="1:11">
      <c r="A25" s="1014" t="s">
        <v>514</v>
      </c>
      <c r="B25" s="868">
        <f>[67]ÓLEOS!$F$18</f>
        <v>2.4329999999999998</v>
      </c>
      <c r="C25" s="869">
        <f t="shared" si="0"/>
        <v>116.456059735784</v>
      </c>
      <c r="D25" s="858">
        <f t="shared" si="1"/>
        <v>-0.32773453502662475</v>
      </c>
      <c r="E25" s="858">
        <f t="shared" si="4"/>
        <v>10.631138595853029</v>
      </c>
      <c r="F25" s="872">
        <f t="shared" si="5"/>
        <v>13.310357675111796</v>
      </c>
      <c r="G25" s="860"/>
      <c r="H25" s="871">
        <f t="shared" si="3"/>
        <v>1.4151253596383069</v>
      </c>
      <c r="I25" s="718"/>
      <c r="J25" s="718"/>
      <c r="K25" s="718"/>
    </row>
    <row r="26" spans="1:11">
      <c r="A26" s="1014" t="s">
        <v>515</v>
      </c>
      <c r="B26" s="868">
        <f>[76]ÓLEOS!$F$18</f>
        <v>2.4319999999999999</v>
      </c>
      <c r="C26" s="869">
        <f t="shared" si="0"/>
        <v>116.40819452421977</v>
      </c>
      <c r="D26" s="858">
        <f t="shared" si="1"/>
        <v>-4.110152075625928E-2</v>
      </c>
      <c r="E26" s="858">
        <f t="shared" si="4"/>
        <v>10.585667515460173</v>
      </c>
      <c r="F26" s="872">
        <f t="shared" si="5"/>
        <v>13.26378539493296</v>
      </c>
      <c r="G26" s="860"/>
      <c r="H26" s="871">
        <f t="shared" si="3"/>
        <v>1.4157072368421055</v>
      </c>
      <c r="I26" s="718"/>
      <c r="J26" s="718"/>
      <c r="K26" s="718"/>
    </row>
    <row r="27" spans="1:11">
      <c r="A27" s="1014" t="s">
        <v>516</v>
      </c>
      <c r="B27" s="868">
        <f>[84]ÓLEOS!$F$18</f>
        <v>2.4300000000000002</v>
      </c>
      <c r="C27" s="869">
        <f t="shared" si="0"/>
        <v>116.31246410109132</v>
      </c>
      <c r="D27" s="858">
        <f t="shared" si="1"/>
        <v>-8.2236842105254393E-2</v>
      </c>
      <c r="E27" s="858">
        <f t="shared" si="4"/>
        <v>10.49472535467444</v>
      </c>
      <c r="F27" s="872">
        <f t="shared" si="5"/>
        <v>11.611243799375348</v>
      </c>
      <c r="G27" s="860"/>
      <c r="H27" s="871">
        <f t="shared" si="3"/>
        <v>1.4168724279835392</v>
      </c>
      <c r="I27" s="718"/>
      <c r="J27" s="718"/>
      <c r="K27" s="718"/>
    </row>
    <row r="28" spans="1:11">
      <c r="A28" s="1014" t="s">
        <v>517</v>
      </c>
      <c r="B28" s="868">
        <f>[92]ÓLEOS!$F$18</f>
        <v>2.4289999999999998</v>
      </c>
      <c r="C28" s="869">
        <f t="shared" si="0"/>
        <v>116.26459888952706</v>
      </c>
      <c r="D28" s="858">
        <f t="shared" si="1"/>
        <v>-4.1152263374499842E-2</v>
      </c>
      <c r="E28" s="858">
        <f t="shared" si="4"/>
        <v>10.449254274281561</v>
      </c>
      <c r="F28" s="872">
        <f t="shared" si="5"/>
        <v>10.559854346836595</v>
      </c>
      <c r="G28" s="860"/>
      <c r="H28" s="871">
        <f t="shared" si="3"/>
        <v>1.4174557431041583</v>
      </c>
      <c r="I28" s="718"/>
      <c r="J28" s="718"/>
      <c r="K28" s="718"/>
    </row>
    <row r="29" spans="1:11">
      <c r="A29" s="1014" t="s">
        <v>518</v>
      </c>
      <c r="B29" s="868">
        <f>[100]ÓLEOS!$F$18</f>
        <v>2.5790000000000002</v>
      </c>
      <c r="C29" s="869">
        <f t="shared" si="0"/>
        <v>123.44438062416235</v>
      </c>
      <c r="D29" s="858">
        <f t="shared" si="1"/>
        <v>6.1753808151502776</v>
      </c>
      <c r="E29" s="858">
        <f t="shared" si="4"/>
        <v>17.269916333212088</v>
      </c>
      <c r="F29" s="872">
        <f t="shared" si="5"/>
        <v>17.269916333212088</v>
      </c>
      <c r="G29" s="860"/>
      <c r="H29" s="871">
        <f t="shared" si="3"/>
        <v>1.3350135711516093</v>
      </c>
      <c r="I29" s="718"/>
      <c r="J29" s="718"/>
      <c r="K29" s="718"/>
    </row>
    <row r="30" spans="1:11">
      <c r="A30" s="1014" t="s">
        <v>519</v>
      </c>
      <c r="B30" s="868">
        <f>[10]ÓLEOS!$F$18</f>
        <v>2.59</v>
      </c>
      <c r="C30" s="869">
        <f t="shared" si="0"/>
        <v>123.97089795136893</v>
      </c>
      <c r="D30" s="858">
        <f t="shared" ref="D30:D35" si="6">100*((B30/B29)-1)</f>
        <v>0.42652190771614862</v>
      </c>
      <c r="E30" s="858">
        <f t="shared" ref="E30:E35" si="7">100*((B30/$B$29)-1)</f>
        <v>0.42652190771614862</v>
      </c>
      <c r="F30" s="872">
        <f t="shared" ref="F30:F35" si="8">100*((B30/B18)-1)</f>
        <v>15.470352206865812</v>
      </c>
      <c r="G30" s="860"/>
      <c r="H30" s="871">
        <f t="shared" si="3"/>
        <v>1.3293436293436296</v>
      </c>
      <c r="I30" s="769"/>
      <c r="J30" s="718"/>
      <c r="K30" s="718"/>
    </row>
    <row r="31" spans="1:11">
      <c r="A31" s="1014" t="s">
        <v>520</v>
      </c>
      <c r="B31" s="868">
        <f>[18]ÓLEOS!$F$18</f>
        <v>2.593</v>
      </c>
      <c r="C31" s="869">
        <f t="shared" ref="C31:C36" si="9">100*B31/$B$8</f>
        <v>124.11449358606163</v>
      </c>
      <c r="D31" s="858">
        <f t="shared" si="6"/>
        <v>0.11583011583011782</v>
      </c>
      <c r="E31" s="858">
        <f t="shared" si="7"/>
        <v>0.54284606436603156</v>
      </c>
      <c r="F31" s="872">
        <f t="shared" si="8"/>
        <v>11.001712328767121</v>
      </c>
      <c r="G31" s="860"/>
      <c r="H31" s="871">
        <f t="shared" si="3"/>
        <v>1.327805630543772</v>
      </c>
      <c r="I31" s="718"/>
      <c r="J31" s="718"/>
      <c r="K31" s="718"/>
    </row>
    <row r="32" spans="1:11">
      <c r="A32" s="1014" t="s">
        <v>521</v>
      </c>
      <c r="B32" s="868">
        <f>[26]ÓLEOS!$F$18</f>
        <v>2.6</v>
      </c>
      <c r="C32" s="869">
        <f t="shared" si="9"/>
        <v>124.44955006701127</v>
      </c>
      <c r="D32" s="858">
        <f t="shared" si="6"/>
        <v>0.26995757809487042</v>
      </c>
      <c r="E32" s="858">
        <f t="shared" si="7"/>
        <v>0.81426909654904733</v>
      </c>
      <c r="F32" s="872">
        <f t="shared" si="8"/>
        <v>7.7943615257048071</v>
      </c>
      <c r="G32" s="860">
        <f t="shared" ref="G32:G37" si="10">100*((C32/C8)-1)</f>
        <v>24.449550067011284</v>
      </c>
      <c r="H32" s="871">
        <f t="shared" si="3"/>
        <v>1.3242307692307693</v>
      </c>
      <c r="I32" s="718"/>
      <c r="J32" s="718"/>
      <c r="K32" s="718"/>
    </row>
    <row r="33" spans="1:11">
      <c r="A33" s="1014" t="s">
        <v>522</v>
      </c>
      <c r="B33" s="868">
        <f>[34]ÓLEOS!$F$18</f>
        <v>2.6059999999999994</v>
      </c>
      <c r="C33" s="869">
        <f t="shared" si="9"/>
        <v>124.73674133639666</v>
      </c>
      <c r="D33" s="858">
        <f t="shared" si="6"/>
        <v>0.23076923076921219</v>
      </c>
      <c r="E33" s="858">
        <f t="shared" si="7"/>
        <v>1.0469174098487466</v>
      </c>
      <c r="F33" s="872">
        <f t="shared" si="8"/>
        <v>7.5526207181180194</v>
      </c>
      <c r="G33" s="860">
        <f t="shared" si="10"/>
        <v>27.395385217051206</v>
      </c>
      <c r="H33" s="871">
        <f t="shared" si="3"/>
        <v>1.321181887950883</v>
      </c>
      <c r="I33" s="718"/>
      <c r="J33" s="718"/>
      <c r="K33" s="718"/>
    </row>
    <row r="34" spans="1:11">
      <c r="A34" s="1014" t="s">
        <v>523</v>
      </c>
      <c r="B34" s="868">
        <f>[42]ÓLEOS!$F$18</f>
        <v>2.6080000000000001</v>
      </c>
      <c r="C34" s="869">
        <f t="shared" si="9"/>
        <v>124.83247175952516</v>
      </c>
      <c r="D34" s="858">
        <f t="shared" si="6"/>
        <v>7.6745970836555877E-2</v>
      </c>
      <c r="E34" s="858">
        <f t="shared" si="7"/>
        <v>1.1244668476153574</v>
      </c>
      <c r="F34" s="872">
        <f t="shared" si="8"/>
        <v>7.2809543397778675</v>
      </c>
      <c r="G34" s="860">
        <f t="shared" si="10"/>
        <v>26.051232479458687</v>
      </c>
      <c r="H34" s="871">
        <f t="shared" si="3"/>
        <v>1.3201687116564418</v>
      </c>
      <c r="I34" s="718"/>
      <c r="J34" s="718"/>
      <c r="K34" s="718"/>
    </row>
    <row r="35" spans="1:11">
      <c r="A35" s="1014" t="s">
        <v>524</v>
      </c>
      <c r="B35" s="868">
        <f>[50]ÓLEOS!$F$18</f>
        <v>2.61</v>
      </c>
      <c r="C35" s="869">
        <f t="shared" si="9"/>
        <v>124.92820218265362</v>
      </c>
      <c r="D35" s="858">
        <f t="shared" si="6"/>
        <v>7.6687116564411184E-2</v>
      </c>
      <c r="E35" s="858">
        <f t="shared" si="7"/>
        <v>1.2020162853819238</v>
      </c>
      <c r="F35" s="872">
        <f t="shared" si="8"/>
        <v>7.186858316221767</v>
      </c>
      <c r="G35" s="860">
        <f t="shared" si="10"/>
        <v>25.771010023130316</v>
      </c>
      <c r="H35" s="871">
        <f t="shared" si="3"/>
        <v>1.3191570881226056</v>
      </c>
      <c r="I35" s="718"/>
      <c r="J35" s="718"/>
      <c r="K35" s="718"/>
    </row>
    <row r="36" spans="1:11">
      <c r="A36" s="1014" t="s">
        <v>525</v>
      </c>
      <c r="B36" s="868">
        <f>[59]ÓLEOS!$F$18</f>
        <v>2.61</v>
      </c>
      <c r="C36" s="869">
        <f t="shared" si="9"/>
        <v>124.92820218265362</v>
      </c>
      <c r="D36" s="858">
        <f t="shared" ref="D36:D41" si="11">100*((B36/B35)-1)</f>
        <v>0</v>
      </c>
      <c r="E36" s="858">
        <f t="shared" ref="E36:E41" si="12">100*((B36/$B$29)-1)</f>
        <v>1.2020162853819238</v>
      </c>
      <c r="F36" s="872">
        <f t="shared" ref="F36:F41" si="13">100*((B36/B24)-1)</f>
        <v>6.923392052437527</v>
      </c>
      <c r="G36" s="860">
        <f t="shared" si="10"/>
        <v>22.019635343618503</v>
      </c>
      <c r="H36" s="871">
        <f t="shared" si="3"/>
        <v>1.3191570881226056</v>
      </c>
      <c r="I36" s="718"/>
      <c r="J36" s="718"/>
      <c r="K36" s="718"/>
    </row>
    <row r="37" spans="1:11">
      <c r="A37" s="1014" t="s">
        <v>526</v>
      </c>
      <c r="B37" s="868">
        <f>[68]ÓLEOS!$F$18</f>
        <v>2.6380000000000003</v>
      </c>
      <c r="C37" s="869">
        <f t="shared" ref="C37:C42" si="14">100*B37/$B$8</f>
        <v>126.26842810645221</v>
      </c>
      <c r="D37" s="858">
        <f t="shared" si="11"/>
        <v>1.0727969348659272</v>
      </c>
      <c r="E37" s="858">
        <f t="shared" si="12"/>
        <v>2.2877084141140092</v>
      </c>
      <c r="F37" s="872">
        <f t="shared" si="13"/>
        <v>8.425811755034962</v>
      </c>
      <c r="G37" s="860">
        <f t="shared" si="10"/>
        <v>22.857675111773503</v>
      </c>
      <c r="H37" s="871">
        <f t="shared" si="3"/>
        <v>1.3051554207733131</v>
      </c>
      <c r="I37" s="718"/>
      <c r="J37" s="718"/>
      <c r="K37" s="718"/>
    </row>
    <row r="38" spans="1:11">
      <c r="A38" s="1014" t="s">
        <v>527</v>
      </c>
      <c r="B38" s="868">
        <f>[77]ÓLEOS!$F$18</f>
        <v>2.64</v>
      </c>
      <c r="C38" s="869">
        <f t="shared" si="14"/>
        <v>126.36415852958068</v>
      </c>
      <c r="D38" s="858">
        <f t="shared" si="11"/>
        <v>7.5815011372237784E-2</v>
      </c>
      <c r="E38" s="858">
        <f t="shared" si="12"/>
        <v>2.3652578518805756</v>
      </c>
      <c r="F38" s="872">
        <f t="shared" si="13"/>
        <v>8.5526315789473664</v>
      </c>
      <c r="G38" s="860">
        <f t="shared" ref="G38:G43" si="15">100*((C38/C14)-1)</f>
        <v>22.950819672131196</v>
      </c>
      <c r="H38" s="871">
        <f t="shared" si="3"/>
        <v>1.3041666666666667</v>
      </c>
      <c r="I38" s="718"/>
      <c r="J38" s="718"/>
      <c r="K38" s="718"/>
    </row>
    <row r="39" spans="1:11">
      <c r="A39" s="1014" t="s">
        <v>528</v>
      </c>
      <c r="B39" s="868">
        <f>[85]ÓLEOS!$F$18</f>
        <v>2.64</v>
      </c>
      <c r="C39" s="869">
        <f t="shared" si="14"/>
        <v>126.36415852958068</v>
      </c>
      <c r="D39" s="858">
        <f t="shared" si="11"/>
        <v>0</v>
      </c>
      <c r="E39" s="858">
        <f t="shared" si="12"/>
        <v>2.3652578518805756</v>
      </c>
      <c r="F39" s="872">
        <f t="shared" si="13"/>
        <v>8.6419753086419693</v>
      </c>
      <c r="G39" s="860">
        <f t="shared" si="15"/>
        <v>21.256659930185549</v>
      </c>
      <c r="H39" s="871">
        <f t="shared" si="3"/>
        <v>1.3041666666666667</v>
      </c>
      <c r="I39" s="718"/>
      <c r="J39" s="718"/>
      <c r="K39" s="718"/>
    </row>
    <row r="40" spans="1:11">
      <c r="A40" s="1014" t="s">
        <v>529</v>
      </c>
      <c r="B40" s="868">
        <f>[93]ÓLEOS!$F$18</f>
        <v>2.7510000000000003</v>
      </c>
      <c r="C40" s="869">
        <f t="shared" si="14"/>
        <v>131.67719701321079</v>
      </c>
      <c r="D40" s="858">
        <f t="shared" si="11"/>
        <v>4.2045454545454719</v>
      </c>
      <c r="E40" s="858">
        <f t="shared" si="12"/>
        <v>6.6692516479255559</v>
      </c>
      <c r="F40" s="872">
        <f t="shared" si="13"/>
        <v>13.25648414985594</v>
      </c>
      <c r="G40" s="860">
        <f t="shared" si="15"/>
        <v>25.216203914428782</v>
      </c>
      <c r="H40" s="871">
        <f t="shared" si="3"/>
        <v>1.2515448927662669</v>
      </c>
      <c r="I40" s="718"/>
      <c r="J40" s="718"/>
      <c r="K40" s="718"/>
    </row>
    <row r="41" spans="1:11">
      <c r="A41" s="1014" t="s">
        <v>530</v>
      </c>
      <c r="B41" s="868">
        <f>[101]ÓLEOS!$F$18</f>
        <v>2.7570000000000006</v>
      </c>
      <c r="C41" s="869">
        <f t="shared" si="14"/>
        <v>131.96438828259622</v>
      </c>
      <c r="D41" s="858">
        <f t="shared" si="11"/>
        <v>0.21810250817884125</v>
      </c>
      <c r="E41" s="858">
        <f t="shared" si="12"/>
        <v>6.9018999612252996</v>
      </c>
      <c r="F41" s="872">
        <f t="shared" si="13"/>
        <v>6.9018999612252996</v>
      </c>
      <c r="G41" s="860">
        <f t="shared" si="15"/>
        <v>25.363768643143004</v>
      </c>
      <c r="H41" s="871">
        <f t="shared" si="3"/>
        <v>1.2488211824446862</v>
      </c>
      <c r="I41" s="718"/>
      <c r="J41" s="718"/>
      <c r="K41" s="718"/>
    </row>
    <row r="42" spans="1:11">
      <c r="A42" s="1014" t="s">
        <v>531</v>
      </c>
      <c r="B42" s="868">
        <f>[11]ÓLEOS!$F$18</f>
        <v>2.7669999999999999</v>
      </c>
      <c r="C42" s="869">
        <f t="shared" si="14"/>
        <v>132.44304039823854</v>
      </c>
      <c r="D42" s="858">
        <f t="shared" ref="D42:D47" si="16">100*((B42/B41)-1)</f>
        <v>0.36271309394266815</v>
      </c>
      <c r="E42" s="858">
        <f t="shared" ref="E42:E47" si="17">100*((B42/$B$41)-1)</f>
        <v>0.36271309394266815</v>
      </c>
      <c r="F42" s="872">
        <f t="shared" ref="F42:F47" si="18">100*((B42/B30)-1)</f>
        <v>6.8339768339768403</v>
      </c>
      <c r="G42" s="860">
        <f t="shared" si="15"/>
        <v>23.361569326794474</v>
      </c>
      <c r="H42" s="871">
        <f t="shared" si="3"/>
        <v>1.2443079147090714</v>
      </c>
      <c r="I42" s="718"/>
      <c r="J42" s="718"/>
      <c r="K42" s="718"/>
    </row>
    <row r="43" spans="1:11">
      <c r="A43" s="1014" t="s">
        <v>649</v>
      </c>
      <c r="B43" s="868">
        <f>[19]ÓLEOS!$F$18</f>
        <v>2.9550000000000005</v>
      </c>
      <c r="C43" s="869">
        <f t="shared" ref="C43:C48" si="19">100*B43/$B$8</f>
        <v>141.44170017231477</v>
      </c>
      <c r="D43" s="858">
        <f t="shared" si="16"/>
        <v>6.7943621250452058</v>
      </c>
      <c r="E43" s="858">
        <f t="shared" si="17"/>
        <v>7.1817192600652779</v>
      </c>
      <c r="F43" s="872">
        <f t="shared" si="18"/>
        <v>13.960663324334766</v>
      </c>
      <c r="G43" s="860">
        <f t="shared" si="15"/>
        <v>26.498287671232902</v>
      </c>
      <c r="H43" s="871">
        <f t="shared" si="3"/>
        <v>1.1651438240270726</v>
      </c>
      <c r="I43" s="718"/>
      <c r="J43" s="718"/>
      <c r="K43" s="718"/>
    </row>
    <row r="44" spans="1:11">
      <c r="A44" s="1014" t="s">
        <v>650</v>
      </c>
      <c r="B44" s="868">
        <f>[27]ÓLEOS!$F$18</f>
        <v>2.9570000000000003</v>
      </c>
      <c r="C44" s="869">
        <f t="shared" si="19"/>
        <v>141.53743059544323</v>
      </c>
      <c r="D44" s="858">
        <f t="shared" si="16"/>
        <v>6.7681895093052447E-2</v>
      </c>
      <c r="E44" s="858">
        <f t="shared" si="17"/>
        <v>7.2542618788538071</v>
      </c>
      <c r="F44" s="872">
        <f t="shared" si="18"/>
        <v>13.730769230769235</v>
      </c>
      <c r="G44" s="860">
        <f t="shared" ref="G44:G49" si="20">100*((C44/C20)-1)</f>
        <v>22.595356550580448</v>
      </c>
      <c r="H44" s="871">
        <f t="shared" si="3"/>
        <v>1.1643557659790329</v>
      </c>
      <c r="I44" s="718"/>
      <c r="J44" s="718"/>
      <c r="K44" s="718"/>
    </row>
    <row r="45" spans="1:11">
      <c r="A45" s="1014" t="s">
        <v>652</v>
      </c>
      <c r="B45" s="868">
        <f>[35]ÓLEOS!$F$18</f>
        <v>2.9580000000000006</v>
      </c>
      <c r="C45" s="869">
        <f t="shared" si="19"/>
        <v>141.58529580700747</v>
      </c>
      <c r="D45" s="858">
        <f t="shared" si="16"/>
        <v>3.3818058843437804E-2</v>
      </c>
      <c r="E45" s="858">
        <f t="shared" si="17"/>
        <v>7.290533188248105</v>
      </c>
      <c r="F45" s="872">
        <f t="shared" si="18"/>
        <v>13.507290867229527</v>
      </c>
      <c r="G45" s="860">
        <f t="shared" si="20"/>
        <v>22.08006603384236</v>
      </c>
      <c r="H45" s="871">
        <f t="shared" si="3"/>
        <v>1.1639621365787693</v>
      </c>
      <c r="I45" s="718"/>
      <c r="J45" s="718"/>
      <c r="K45" s="718"/>
    </row>
    <row r="46" spans="1:11">
      <c r="A46" s="1014" t="s">
        <v>653</v>
      </c>
      <c r="B46" s="868">
        <f>[43]ÓLEOS!$F$18</f>
        <v>2.956</v>
      </c>
      <c r="C46" s="869">
        <f t="shared" si="19"/>
        <v>141.48956538387898</v>
      </c>
      <c r="D46" s="858">
        <f t="shared" si="16"/>
        <v>-6.7613252197451512E-2</v>
      </c>
      <c r="E46" s="858">
        <f t="shared" si="17"/>
        <v>7.2179905694595314</v>
      </c>
      <c r="F46" s="872">
        <f t="shared" si="18"/>
        <v>13.343558282208591</v>
      </c>
      <c r="G46" s="860">
        <f t="shared" si="20"/>
        <v>21.596051007815721</v>
      </c>
      <c r="H46" s="871">
        <f t="shared" si="3"/>
        <v>1.164749661705007</v>
      </c>
      <c r="I46" s="718"/>
      <c r="J46" s="718"/>
      <c r="K46" s="718"/>
    </row>
    <row r="47" spans="1:11">
      <c r="A47" s="1014" t="s">
        <v>654</v>
      </c>
      <c r="B47" s="868">
        <f>[51]ÓLEOS!$F$18</f>
        <v>2.9570000000000003</v>
      </c>
      <c r="C47" s="869">
        <f t="shared" si="19"/>
        <v>141.53743059544323</v>
      </c>
      <c r="D47" s="858">
        <f t="shared" si="16"/>
        <v>3.3829499323423384E-2</v>
      </c>
      <c r="E47" s="858">
        <f t="shared" si="17"/>
        <v>7.2542618788538071</v>
      </c>
      <c r="F47" s="872">
        <f t="shared" si="18"/>
        <v>13.29501915708815</v>
      </c>
      <c r="G47" s="860">
        <f t="shared" si="20"/>
        <v>21.437371663244377</v>
      </c>
      <c r="H47" s="871">
        <f t="shared" si="3"/>
        <v>1.1643557659790329</v>
      </c>
      <c r="I47" s="718"/>
      <c r="J47" s="718"/>
      <c r="K47" s="718"/>
    </row>
    <row r="48" spans="1:11">
      <c r="A48" s="1014" t="s">
        <v>657</v>
      </c>
      <c r="B48" s="868">
        <f>[60]ÓLEOS!$F$18</f>
        <v>2.9520000000000004</v>
      </c>
      <c r="C48" s="869">
        <f t="shared" si="19"/>
        <v>141.29810453762204</v>
      </c>
      <c r="D48" s="858">
        <f t="shared" ref="D48:D53" si="21">100*((B48/B47)-1)</f>
        <v>-0.1690902942171113</v>
      </c>
      <c r="E48" s="858">
        <f t="shared" ref="E48:E53" si="22">100*((B48/$B$41)-1)</f>
        <v>7.0729053318824731</v>
      </c>
      <c r="F48" s="872">
        <f t="shared" ref="F48:F53" si="23">100*((B48/B36)-1)</f>
        <v>13.103448275862096</v>
      </c>
      <c r="G48" s="860">
        <f t="shared" si="20"/>
        <v>20.934043424825898</v>
      </c>
      <c r="H48" s="871">
        <f t="shared" si="3"/>
        <v>1.1663279132791329</v>
      </c>
      <c r="I48" s="718"/>
      <c r="J48" s="718"/>
      <c r="K48" s="718"/>
    </row>
    <row r="49" spans="1:11">
      <c r="A49" s="1014" t="str">
        <f>Diesel_S500!B261</f>
        <v>AGOSTO|15</v>
      </c>
      <c r="B49" s="868">
        <f>[69]ÓLEOS!$F$18</f>
        <v>2.9510000000000001</v>
      </c>
      <c r="C49" s="869">
        <f t="shared" ref="C49:C54" si="24">100*B49/$B$8</f>
        <v>141.25023932605779</v>
      </c>
      <c r="D49" s="858">
        <f t="shared" si="21"/>
        <v>-3.3875338753397433E-2</v>
      </c>
      <c r="E49" s="858">
        <f t="shared" si="22"/>
        <v>7.0366340224881974</v>
      </c>
      <c r="F49" s="872">
        <f t="shared" si="23"/>
        <v>11.865049279757379</v>
      </c>
      <c r="G49" s="860">
        <f t="shared" si="20"/>
        <v>21.290587751746838</v>
      </c>
      <c r="H49" s="871">
        <f t="shared" si="3"/>
        <v>1.1667231446967132</v>
      </c>
      <c r="I49" s="718"/>
      <c r="J49" s="718"/>
      <c r="K49" s="718"/>
    </row>
    <row r="50" spans="1:11">
      <c r="A50" s="1032" t="str">
        <f>Diesel_S500!B262</f>
        <v>SETEMBRO|15</v>
      </c>
      <c r="B50" s="1072">
        <f>[78]ÓLEOS!$F$18</f>
        <v>2.9600000000000004</v>
      </c>
      <c r="C50" s="1073">
        <f t="shared" si="24"/>
        <v>141.68102623013593</v>
      </c>
      <c r="D50" s="858">
        <f t="shared" si="21"/>
        <v>0.30498136225010075</v>
      </c>
      <c r="E50" s="919">
        <f t="shared" si="22"/>
        <v>7.3630758070366342</v>
      </c>
      <c r="F50" s="1074">
        <f t="shared" si="23"/>
        <v>12.121212121212132</v>
      </c>
      <c r="G50" s="921">
        <f t="shared" ref="G50:G55" si="25">100*((C50/C26)-1)</f>
        <v>21.71052631578949</v>
      </c>
      <c r="H50" s="871">
        <f t="shared" si="3"/>
        <v>1.1631756756756757</v>
      </c>
      <c r="I50" s="718"/>
      <c r="J50" s="718"/>
      <c r="K50" s="718"/>
    </row>
    <row r="51" spans="1:11">
      <c r="A51" s="1032" t="str">
        <f>Diesel_S500!B263</f>
        <v>OUTUBRO|15</v>
      </c>
      <c r="B51" s="1072">
        <f>[86]ÓLEOS!$F$18</f>
        <v>3.0830000000000006</v>
      </c>
      <c r="C51" s="1073">
        <f t="shared" si="24"/>
        <v>147.56844725253686</v>
      </c>
      <c r="D51" s="858">
        <f t="shared" si="21"/>
        <v>4.1554054054054212</v>
      </c>
      <c r="E51" s="919">
        <f t="shared" si="22"/>
        <v>11.824446862531746</v>
      </c>
      <c r="F51" s="1074">
        <f t="shared" si="23"/>
        <v>16.780303030303045</v>
      </c>
      <c r="G51" s="921">
        <f t="shared" si="25"/>
        <v>26.872427983539104</v>
      </c>
      <c r="H51" s="871">
        <f t="shared" si="3"/>
        <v>1.1167693804735646</v>
      </c>
      <c r="I51" s="718"/>
      <c r="J51" s="718"/>
      <c r="K51" s="718"/>
    </row>
    <row r="52" spans="1:11">
      <c r="A52" s="1032" t="str">
        <f>Diesel_S500!B264</f>
        <v>NOVEMBRO|15</v>
      </c>
      <c r="B52" s="1072">
        <f>[94]ÓLEOS!$F$18</f>
        <v>3.1230000000000007</v>
      </c>
      <c r="C52" s="1073">
        <f t="shared" si="24"/>
        <v>149.48305571510627</v>
      </c>
      <c r="D52" s="858">
        <f t="shared" si="21"/>
        <v>1.2974375608173938</v>
      </c>
      <c r="E52" s="919">
        <f t="shared" si="22"/>
        <v>13.275299238302507</v>
      </c>
      <c r="F52" s="1074">
        <f t="shared" si="23"/>
        <v>13.522355507088335</v>
      </c>
      <c r="G52" s="921">
        <f t="shared" si="25"/>
        <v>28.571428571428605</v>
      </c>
      <c r="H52" s="871">
        <f t="shared" si="3"/>
        <v>1.1024655779699006</v>
      </c>
      <c r="I52" s="718"/>
      <c r="J52" s="718"/>
      <c r="K52" s="718"/>
    </row>
    <row r="53" spans="1:11">
      <c r="A53" s="1032" t="str">
        <f>Diesel_S500!B265</f>
        <v>DEZEMBRO|15</v>
      </c>
      <c r="B53" s="1072">
        <f>[102]ÓLEOS!$F$18</f>
        <v>3.1290000000000004</v>
      </c>
      <c r="C53" s="1073">
        <f t="shared" si="24"/>
        <v>149.77024698449165</v>
      </c>
      <c r="D53" s="858">
        <f t="shared" si="21"/>
        <v>0.19212295869355245</v>
      </c>
      <c r="E53" s="919">
        <f t="shared" si="22"/>
        <v>13.492927094668117</v>
      </c>
      <c r="F53" s="1074">
        <f t="shared" si="23"/>
        <v>13.492927094668117</v>
      </c>
      <c r="G53" s="921">
        <f t="shared" si="25"/>
        <v>21.326095385808451</v>
      </c>
      <c r="H53" s="871">
        <f t="shared" si="3"/>
        <v>1.1003515500159795</v>
      </c>
      <c r="I53" s="718"/>
      <c r="J53" s="718"/>
      <c r="K53" s="718"/>
    </row>
    <row r="54" spans="1:11">
      <c r="A54" s="1032" t="str">
        <f>Diesel_S500!B266</f>
        <v>JANEIRO|16</v>
      </c>
      <c r="B54" s="1072">
        <f>[12]ÓLEOS!$F$18</f>
        <v>3.1559999999999997</v>
      </c>
      <c r="C54" s="1073">
        <f t="shared" si="24"/>
        <v>151.06260769672596</v>
      </c>
      <c r="D54" s="858">
        <f t="shared" ref="D54" si="26">100*((B54/B53)-1)</f>
        <v>0.86289549376794561</v>
      </c>
      <c r="E54" s="919">
        <f t="shared" ref="E54:E59" si="27">100*((B54/$B$53)-1)</f>
        <v>0.86289549376794561</v>
      </c>
      <c r="F54" s="1074">
        <f t="shared" ref="F54" si="28">100*((B54/B42)-1)</f>
        <v>14.058547162992397</v>
      </c>
      <c r="G54" s="921">
        <f t="shared" si="25"/>
        <v>21.853281853281835</v>
      </c>
      <c r="H54" s="871">
        <f t="shared" si="3"/>
        <v>1.0909378960709761</v>
      </c>
      <c r="I54" s="718"/>
      <c r="J54" s="718"/>
      <c r="K54" s="718"/>
    </row>
    <row r="55" spans="1:11">
      <c r="A55" s="1032" t="str">
        <f>Diesel_S500!B267</f>
        <v>FEVEREIRO|16</v>
      </c>
      <c r="B55" s="1072">
        <f>[20]ÓLEOS!$F$18</f>
        <v>3.16</v>
      </c>
      <c r="C55" s="1073">
        <f t="shared" ref="C55" si="29">100*B55/$B$8</f>
        <v>151.25406854298294</v>
      </c>
      <c r="D55" s="858">
        <f t="shared" ref="D55" si="30">100*((B55/B54)-1)</f>
        <v>0.12674271229404788</v>
      </c>
      <c r="E55" s="919">
        <f t="shared" si="27"/>
        <v>0.99073186321507745</v>
      </c>
      <c r="F55" s="1074">
        <f t="shared" ref="F55" si="31">100*((B55/B43)-1)</f>
        <v>6.9373942470388972</v>
      </c>
      <c r="G55" s="921">
        <f t="shared" si="25"/>
        <v>21.866563825684548</v>
      </c>
      <c r="H55" s="871">
        <f t="shared" si="3"/>
        <v>1.0895569620253165</v>
      </c>
      <c r="I55" s="718"/>
      <c r="J55" s="718"/>
      <c r="K55" s="718"/>
    </row>
    <row r="56" spans="1:11">
      <c r="A56" s="1032" t="str">
        <f>Diesel_S500!B268</f>
        <v>MARÇO|16</v>
      </c>
      <c r="B56" s="1072">
        <f>[28]ÓLEOS!$F$18</f>
        <v>3.1629999999999998</v>
      </c>
      <c r="C56" s="1073">
        <f t="shared" ref="C56" si="32">100*B56/$B$8</f>
        <v>151.39766417767561</v>
      </c>
      <c r="D56" s="858">
        <f t="shared" ref="D56" si="33">100*((B56/B55)-1)</f>
        <v>9.493670886076E-2</v>
      </c>
      <c r="E56" s="919">
        <f t="shared" si="27"/>
        <v>1.0866091403003875</v>
      </c>
      <c r="F56" s="1074">
        <f t="shared" ref="F56" si="34">100*((B56/B44)-1)</f>
        <v>6.9665201217449901</v>
      </c>
      <c r="G56" s="921">
        <f t="shared" ref="G56" si="35">100*((C56/C32)-1)</f>
        <v>21.653846153846136</v>
      </c>
      <c r="H56" s="871">
        <f t="shared" si="3"/>
        <v>1.0885235535883657</v>
      </c>
      <c r="I56" s="718"/>
      <c r="J56" s="718"/>
      <c r="K56" s="718"/>
    </row>
    <row r="57" spans="1:11">
      <c r="A57" s="1032" t="str">
        <f>Diesel_S500!B269</f>
        <v>ABRIL|16</v>
      </c>
      <c r="B57" s="1072">
        <f>[36]ÓLEOS!$F$18</f>
        <v>3.1640000000000006</v>
      </c>
      <c r="C57" s="1073">
        <f t="shared" ref="C57" si="36">100*B57/$B$8</f>
        <v>151.44552938923988</v>
      </c>
      <c r="D57" s="858">
        <f t="shared" ref="D57" si="37">100*((B57/B56)-1)</f>
        <v>3.1615554853003935E-2</v>
      </c>
      <c r="E57" s="919">
        <f t="shared" si="27"/>
        <v>1.1185682326621871</v>
      </c>
      <c r="F57" s="1074">
        <f t="shared" ref="F57" si="38">100*((B57/B45)-1)</f>
        <v>6.964164976335363</v>
      </c>
      <c r="G57" s="921">
        <f t="shared" ref="G57" si="39">100*((C57/C33)-1)</f>
        <v>21.412125863392205</v>
      </c>
      <c r="H57" s="871">
        <f t="shared" si="3"/>
        <v>1.0881795195954487</v>
      </c>
      <c r="I57" s="718"/>
      <c r="J57" s="718"/>
      <c r="K57" s="718"/>
    </row>
    <row r="58" spans="1:11">
      <c r="A58" s="1032" t="str">
        <f>Diesel_S500!B270</f>
        <v>MAIO|16</v>
      </c>
      <c r="B58" s="1072">
        <f>[44]ÓLEOS!$F$18</f>
        <v>3.1580000000000004</v>
      </c>
      <c r="C58" s="1073">
        <f t="shared" ref="C58" si="40">100*B58/$B$8</f>
        <v>151.15833811985448</v>
      </c>
      <c r="D58" s="919">
        <f t="shared" ref="D58:D63" si="41">100*((B58/B57)-1)</f>
        <v>-0.18963337547408532</v>
      </c>
      <c r="E58" s="919">
        <f t="shared" si="27"/>
        <v>0.92681367849152263</v>
      </c>
      <c r="F58" s="1074">
        <f t="shared" ref="F58:F63" si="42">100*((B58/B46)-1)</f>
        <v>6.8335588633288369</v>
      </c>
      <c r="G58" s="921">
        <f t="shared" ref="G58:G63" si="43">100*((C58/C34)-1)</f>
        <v>21.088957055214721</v>
      </c>
      <c r="H58" s="871">
        <f t="shared" si="3"/>
        <v>1.0902469917669411</v>
      </c>
      <c r="I58" s="718"/>
      <c r="J58" s="718"/>
      <c r="K58" s="718"/>
    </row>
    <row r="59" spans="1:11">
      <c r="A59" s="1032" t="str">
        <f>Diesel_S500!B271</f>
        <v>JUNHO|16</v>
      </c>
      <c r="B59" s="1072">
        <f>[52]ÓLEOS!$F$18</f>
        <v>3.1589999999999994</v>
      </c>
      <c r="C59" s="1073">
        <f t="shared" ref="C59" si="44">100*B59/$B$8</f>
        <v>151.20620333141866</v>
      </c>
      <c r="D59" s="919">
        <f t="shared" si="41"/>
        <v>3.1665611146269868E-2</v>
      </c>
      <c r="E59" s="919">
        <f t="shared" si="27"/>
        <v>0.95877277085327783</v>
      </c>
      <c r="F59" s="1074">
        <f t="shared" si="42"/>
        <v>6.8312478863712833</v>
      </c>
      <c r="G59" s="921">
        <f t="shared" si="43"/>
        <v>21.034482758620676</v>
      </c>
      <c r="H59" s="871">
        <f t="shared" si="3"/>
        <v>1.0899018676796459</v>
      </c>
      <c r="I59" s="718"/>
      <c r="J59" s="718"/>
      <c r="K59" s="718"/>
    </row>
    <row r="60" spans="1:11">
      <c r="A60" s="1032" t="str">
        <f>Diesel_S500!B272</f>
        <v>JULHO|16</v>
      </c>
      <c r="B60" s="1072">
        <f>[61]ÓLEOS!$F$18</f>
        <v>3.1520000000000006</v>
      </c>
      <c r="C60" s="1073">
        <f t="shared" ref="C60" si="45">100*B60/$B$8</f>
        <v>150.87114685046907</v>
      </c>
      <c r="D60" s="919">
        <f t="shared" si="41"/>
        <v>-0.22158911047795993</v>
      </c>
      <c r="E60" s="919">
        <f t="shared" ref="E60" si="46">100*((B60/$B$53)-1)</f>
        <v>0.73505912432088039</v>
      </c>
      <c r="F60" s="1074">
        <f t="shared" si="42"/>
        <v>6.7750677506775103</v>
      </c>
      <c r="G60" s="921">
        <f t="shared" si="43"/>
        <v>20.766283524904239</v>
      </c>
      <c r="H60" s="871">
        <f t="shared" si="3"/>
        <v>1.0923223350253806</v>
      </c>
      <c r="I60" s="718"/>
      <c r="J60" s="718"/>
      <c r="K60" s="718"/>
    </row>
    <row r="61" spans="1:11">
      <c r="A61" s="1032" t="str">
        <f>Diesel_S500!B273</f>
        <v>AGOSTO|16</v>
      </c>
      <c r="B61" s="1072">
        <f>[70]ÓLEOS!$F$18</f>
        <v>3.1499999999999995</v>
      </c>
      <c r="C61" s="1073">
        <f t="shared" ref="C61" si="47">100*B61/$B$8</f>
        <v>150.77541642734056</v>
      </c>
      <c r="D61" s="919">
        <f t="shared" si="41"/>
        <v>-6.3451776649781078E-2</v>
      </c>
      <c r="E61" s="919">
        <f t="shared" ref="E61" si="48">100*((B61/$B$53)-1)</f>
        <v>0.67114093959728116</v>
      </c>
      <c r="F61" s="1074">
        <f t="shared" si="42"/>
        <v>6.7434767875296231</v>
      </c>
      <c r="G61" s="921">
        <f t="shared" si="43"/>
        <v>19.408642911296425</v>
      </c>
      <c r="H61" s="871">
        <f t="shared" si="3"/>
        <v>1.0930158730158734</v>
      </c>
      <c r="I61" s="718"/>
      <c r="J61" s="718"/>
      <c r="K61" s="718"/>
    </row>
    <row r="62" spans="1:11">
      <c r="A62" s="1032" t="str">
        <f>Diesel_S500!B274</f>
        <v>SETEMBRO|16</v>
      </c>
      <c r="B62" s="1072">
        <f>[79]ÓLEOS!$F$18</f>
        <v>3.1490000000000005</v>
      </c>
      <c r="C62" s="1073">
        <f t="shared" ref="C62" si="49">100*B62/$B$8</f>
        <v>150.72755121577637</v>
      </c>
      <c r="D62" s="919">
        <f t="shared" si="41"/>
        <v>-3.1746031746004988E-2</v>
      </c>
      <c r="E62" s="919">
        <f t="shared" ref="E62" si="50">100*((B62/$B$53)-1)</f>
        <v>0.63918184723554816</v>
      </c>
      <c r="F62" s="1074">
        <f t="shared" si="42"/>
        <v>6.3851351351351449</v>
      </c>
      <c r="G62" s="921">
        <f t="shared" si="43"/>
        <v>19.28030303030306</v>
      </c>
      <c r="H62" s="871">
        <f t="shared" si="3"/>
        <v>1.0933629723721816</v>
      </c>
      <c r="I62" s="718"/>
      <c r="J62" s="718"/>
      <c r="K62" s="718"/>
    </row>
    <row r="63" spans="1:11">
      <c r="A63" s="1032" t="str">
        <f>Diesel_S500!B275</f>
        <v>OUTUBRO|16</v>
      </c>
      <c r="B63" s="1072">
        <f>[87]ÓLEOS!$F$18</f>
        <v>3.1469999999999994</v>
      </c>
      <c r="C63" s="1073">
        <f t="shared" ref="C63" si="51">100*B63/$B$8</f>
        <v>150.63182079264783</v>
      </c>
      <c r="D63" s="919">
        <f t="shared" si="41"/>
        <v>-6.3512226103557001E-2</v>
      </c>
      <c r="E63" s="919">
        <f t="shared" ref="E63" si="52">100*((B63/$B$53)-1)</f>
        <v>0.57526366251194894</v>
      </c>
      <c r="F63" s="1074">
        <f t="shared" si="42"/>
        <v>2.0759000973077812</v>
      </c>
      <c r="G63" s="921">
        <f t="shared" si="43"/>
        <v>19.204545454545418</v>
      </c>
      <c r="H63" s="871">
        <f t="shared" si="3"/>
        <v>1.0940578328566892</v>
      </c>
      <c r="I63" s="718"/>
      <c r="J63" s="718"/>
      <c r="K63" s="718"/>
    </row>
    <row r="64" spans="1:11">
      <c r="A64" s="1032" t="str">
        <f>Diesel_S500!B276</f>
        <v>NOVEMBRO|16</v>
      </c>
      <c r="B64" s="1072">
        <f>[95]ÓLEOS!$F$18</f>
        <v>3.1280000000000001</v>
      </c>
      <c r="C64" s="1073">
        <f t="shared" ref="C64" si="53">100*B64/$B$8</f>
        <v>149.72238177292741</v>
      </c>
      <c r="D64" s="919">
        <f t="shared" ref="D64" si="54">100*((B64/B63)-1)</f>
        <v>-0.60374960279628853</v>
      </c>
      <c r="E64" s="919">
        <f t="shared" ref="E64" si="55">100*((B64/$B$53)-1)</f>
        <v>-3.195909236178851E-2</v>
      </c>
      <c r="F64" s="1074">
        <f t="shared" ref="F64" si="56">100*((B64/B52)-1)</f>
        <v>0.16010246557796037</v>
      </c>
      <c r="G64" s="921">
        <f t="shared" ref="G64" si="57">100*((C64/C40)-1)</f>
        <v>13.704107597237346</v>
      </c>
      <c r="H64" s="871">
        <f t="shared" si="3"/>
        <v>1.1007033248081843</v>
      </c>
      <c r="I64" s="718"/>
      <c r="J64" s="718"/>
      <c r="K64" s="718"/>
    </row>
    <row r="65" spans="1:11">
      <c r="A65" s="1032" t="str">
        <f>Diesel_S500!B277</f>
        <v>DEZEMBRO|16</v>
      </c>
      <c r="B65" s="1072">
        <f>[103]ÓLEOS!$F$18</f>
        <v>3.1900000000000004</v>
      </c>
      <c r="C65" s="1073">
        <f t="shared" ref="C65" si="58">100*B65/$B$8</f>
        <v>152.69002488991001</v>
      </c>
      <c r="D65" s="919">
        <f t="shared" ref="D65" si="59">100*((B65/B64)-1)</f>
        <v>1.9820971867007708</v>
      </c>
      <c r="E65" s="919">
        <f t="shared" ref="E65" si="60">100*((B65/$B$53)-1)</f>
        <v>1.9495046340683997</v>
      </c>
      <c r="F65" s="1074">
        <f t="shared" ref="F65" si="61">100*((B65/B53)-1)</f>
        <v>1.9495046340683997</v>
      </c>
      <c r="G65" s="921">
        <f t="shared" ref="G65" si="62">100*((C65/C41)-1)</f>
        <v>15.705476967718512</v>
      </c>
      <c r="H65" s="871">
        <f t="shared" si="3"/>
        <v>1.0793103448275863</v>
      </c>
      <c r="I65" s="718"/>
      <c r="J65" s="718"/>
      <c r="K65" s="718"/>
    </row>
    <row r="66" spans="1:11">
      <c r="A66" s="1032" t="str">
        <f>Diesel_S500!B278</f>
        <v>JANEIRO|17</v>
      </c>
      <c r="B66" s="1072">
        <f>[13]ÓLEOS!$F$18</f>
        <v>3.262</v>
      </c>
      <c r="C66" s="1073">
        <f t="shared" ref="C66" si="63">100*B66/$B$8</f>
        <v>156.1363201225349</v>
      </c>
      <c r="D66" s="919">
        <f t="shared" ref="D66" si="64">100*((B66/B65)-1)</f>
        <v>2.2570532915360486</v>
      </c>
      <c r="E66" s="919">
        <f t="shared" ref="E66:E71" si="65">100*((B66/$B$65)-1)</f>
        <v>2.2570532915360486</v>
      </c>
      <c r="F66" s="1074">
        <f t="shared" ref="F66" si="66">100*((B66/B54)-1)</f>
        <v>3.3586818757921577</v>
      </c>
      <c r="G66" s="921">
        <f t="shared" ref="G66" si="67">100*((C66/C42)-1)</f>
        <v>17.889410914347657</v>
      </c>
      <c r="H66" s="871">
        <f t="shared" si="3"/>
        <v>1.055487431023912</v>
      </c>
      <c r="I66" s="718"/>
      <c r="J66" s="718"/>
      <c r="K66" s="718"/>
    </row>
    <row r="67" spans="1:11">
      <c r="A67" s="1032" t="str">
        <f>Diesel_S500!B279</f>
        <v>FEVEREIRO|17</v>
      </c>
      <c r="B67" s="1072">
        <f>[21]ÓLEOS!$F$18</f>
        <v>3.238</v>
      </c>
      <c r="C67" s="1073">
        <f t="shared" ref="C67" si="68">100*B67/$B$8</f>
        <v>154.98755504499329</v>
      </c>
      <c r="D67" s="919">
        <f t="shared" ref="D67" si="69">100*((B67/B66)-1)</f>
        <v>-0.73574494175352445</v>
      </c>
      <c r="E67" s="919">
        <f t="shared" si="65"/>
        <v>1.5047021943573435</v>
      </c>
      <c r="F67" s="1074">
        <f t="shared" ref="F67" si="70">100*((B67/B55)-1)</f>
        <v>2.4683544303797378</v>
      </c>
      <c r="G67" s="921">
        <f t="shared" ref="G67" si="71">100*((C67/C43)-1)</f>
        <v>9.5769881556683423</v>
      </c>
      <c r="H67" s="871">
        <f t="shared" si="3"/>
        <v>1.0633106856084005</v>
      </c>
      <c r="I67" s="718"/>
      <c r="J67" s="718"/>
      <c r="K67" s="718"/>
    </row>
    <row r="68" spans="1:11">
      <c r="A68" s="1032" t="str">
        <f>Diesel_S500!B280</f>
        <v>MARÇO|17</v>
      </c>
      <c r="B68" s="1072">
        <f>[29]ÓLEOS!$F$18</f>
        <v>3.1750000000000003</v>
      </c>
      <c r="C68" s="1073">
        <f t="shared" ref="C68" si="72">100*B68/$B$8</f>
        <v>151.97204671644647</v>
      </c>
      <c r="D68" s="919">
        <f t="shared" ref="D68" si="73">100*((B68/B67)-1)</f>
        <v>-1.9456454601605833</v>
      </c>
      <c r="E68" s="919">
        <f t="shared" si="65"/>
        <v>-0.47021943573668512</v>
      </c>
      <c r="F68" s="1074">
        <f t="shared" ref="F68" si="74">100*((B68/B56)-1)</f>
        <v>0.37938665823586959</v>
      </c>
      <c r="G68" s="921">
        <f t="shared" ref="G68" si="75">100*((C68/C44)-1)</f>
        <v>7.3723368278660661</v>
      </c>
      <c r="H68" s="871">
        <f t="shared" si="3"/>
        <v>1.0844094488188978</v>
      </c>
      <c r="I68" s="718"/>
      <c r="J68" s="718"/>
      <c r="K68" s="718"/>
    </row>
    <row r="69" spans="1:11">
      <c r="A69" s="1032" t="str">
        <f>Diesel_S500!B281</f>
        <v>ABRIL|17</v>
      </c>
      <c r="B69" s="1072">
        <f>[37]ÓLEOS!$F$18</f>
        <v>3.1539999999999999</v>
      </c>
      <c r="C69" s="1073">
        <f t="shared" ref="C69" si="76">100*B69/$B$8</f>
        <v>150.9668772735975</v>
      </c>
      <c r="D69" s="919">
        <f t="shared" ref="D69" si="77">100*((B69/B68)-1)</f>
        <v>-0.66141732283465648</v>
      </c>
      <c r="E69" s="919">
        <f t="shared" si="65"/>
        <v>-1.1285266457680354</v>
      </c>
      <c r="F69" s="1074">
        <f t="shared" ref="F69" si="78">100*((B69/B57)-1)</f>
        <v>-0.316055625790157</v>
      </c>
      <c r="G69" s="921">
        <f t="shared" ref="G69" si="79">100*((C69/C45)-1)</f>
        <v>6.6260987153481832</v>
      </c>
      <c r="H69" s="871">
        <f t="shared" si="3"/>
        <v>1.0916296766011415</v>
      </c>
      <c r="I69" s="718"/>
      <c r="J69" s="718"/>
      <c r="K69" s="718"/>
    </row>
    <row r="70" spans="1:11">
      <c r="A70" s="1032" t="str">
        <f>Diesel_S500!B282</f>
        <v>MAIO|17</v>
      </c>
      <c r="B70" s="1072">
        <f>[45]ÓLEOS!$F$18</f>
        <v>3.1520000000000006</v>
      </c>
      <c r="C70" s="1073">
        <f t="shared" ref="C70" si="80">100*B70/$B$8</f>
        <v>150.87114685046907</v>
      </c>
      <c r="D70" s="919">
        <f t="shared" ref="D70" si="81">100*((B70/B69)-1)</f>
        <v>-6.3411540900426555E-2</v>
      </c>
      <c r="E70" s="919">
        <f t="shared" si="65"/>
        <v>-1.1912225705329127</v>
      </c>
      <c r="F70" s="1074">
        <f t="shared" ref="F70" si="82">100*((B70/B58)-1)</f>
        <v>-0.18999366687776353</v>
      </c>
      <c r="G70" s="921">
        <f t="shared" ref="G70" si="83">100*((C70/C46)-1)</f>
        <v>6.6305818673883632</v>
      </c>
      <c r="H70" s="871">
        <f t="shared" si="3"/>
        <v>1.0923223350253806</v>
      </c>
      <c r="I70" s="718"/>
      <c r="J70" s="718"/>
      <c r="K70" s="718"/>
    </row>
    <row r="71" spans="1:11">
      <c r="A71" s="1032" t="str">
        <f>Diesel_S500!B283</f>
        <v>JUNHO|17</v>
      </c>
      <c r="B71" s="1072">
        <f>[53]ÓLEOS!$F$18</f>
        <v>3.0979999999999994</v>
      </c>
      <c r="C71" s="1073">
        <f t="shared" ref="C71" si="84">100*B71/$B$8</f>
        <v>148.28642542600033</v>
      </c>
      <c r="D71" s="919">
        <f t="shared" ref="D71" si="85">100*((B71/B70)-1)</f>
        <v>-1.7131979695431787</v>
      </c>
      <c r="E71" s="919">
        <f t="shared" si="65"/>
        <v>-2.884012539184988</v>
      </c>
      <c r="F71" s="1074">
        <f t="shared" ref="F71" si="86">100*((B71/B59)-1)</f>
        <v>-1.9309908198797077</v>
      </c>
      <c r="G71" s="921">
        <f t="shared" ref="G71" si="87">100*((C71/C47)-1)</f>
        <v>4.7683462969225321</v>
      </c>
      <c r="H71" s="871">
        <f t="shared" si="3"/>
        <v>1.111362169141382</v>
      </c>
      <c r="I71" s="718"/>
      <c r="J71" s="718"/>
      <c r="K71" s="718"/>
    </row>
    <row r="72" spans="1:11">
      <c r="A72" s="1032" t="str">
        <f>Diesel_S500!B284</f>
        <v>JULHO|17</v>
      </c>
      <c r="B72" s="1072">
        <f>[62]ÓLEOS!$F$18</f>
        <v>3.1849999999999996</v>
      </c>
      <c r="C72" s="1073">
        <f t="shared" ref="C72" si="88">100*B72/$B$8</f>
        <v>152.45069883208879</v>
      </c>
      <c r="D72" s="919">
        <f t="shared" ref="D72" si="89">100*((B72/B71)-1)</f>
        <v>2.8082633957391856</v>
      </c>
      <c r="E72" s="919">
        <f t="shared" ref="E72" si="90">100*((B72/$B$65)-1)</f>
        <v>-0.15673981191225428</v>
      </c>
      <c r="F72" s="1074">
        <f t="shared" ref="F72" si="91">100*((B72/B60)-1)</f>
        <v>1.0469543147207716</v>
      </c>
      <c r="G72" s="921">
        <f t="shared" ref="G72" si="92">100*((C72/C48)-1)</f>
        <v>7.8929539295392814</v>
      </c>
      <c r="H72" s="871">
        <f t="shared" si="3"/>
        <v>1.0810047095761384</v>
      </c>
      <c r="I72" s="718"/>
      <c r="J72" s="718"/>
      <c r="K72" s="718"/>
    </row>
    <row r="73" spans="1:11">
      <c r="A73" s="1032" t="str">
        <f>Diesel_S500!B285</f>
        <v>AGOSTO|17</v>
      </c>
      <c r="B73" s="1072">
        <f>[71]ÓLEOS!$F$18</f>
        <v>3.2459999999999996</v>
      </c>
      <c r="C73" s="1073">
        <f t="shared" ref="C73" si="93">100*B73/$B$8</f>
        <v>155.37047673750715</v>
      </c>
      <c r="D73" s="919">
        <f t="shared" ref="D73" si="94">100*((B73/B72)-1)</f>
        <v>1.9152276295133497</v>
      </c>
      <c r="E73" s="919">
        <f t="shared" ref="E73" si="95">100*((B73/$B$65)-1)</f>
        <v>1.7554858934168971</v>
      </c>
      <c r="F73" s="1074">
        <f t="shared" ref="F73" si="96">100*((B73/B61)-1)</f>
        <v>3.0476190476190546</v>
      </c>
      <c r="G73" s="921">
        <f t="shared" ref="G73" si="97">100*((C73/C49)-1)</f>
        <v>9.9966113181972247</v>
      </c>
      <c r="H73" s="871">
        <f t="shared" si="3"/>
        <v>1.0606900800985832</v>
      </c>
      <c r="I73" s="718"/>
      <c r="J73" s="718"/>
      <c r="K73" s="718"/>
    </row>
    <row r="74" spans="1:11">
      <c r="A74" s="1032" t="str">
        <f>Diesel_S500!B286</f>
        <v>SETEMBRO|17</v>
      </c>
      <c r="B74" s="1072">
        <f>[80]ÓLEOS!$F$18</f>
        <v>3.3329999999999993</v>
      </c>
      <c r="C74" s="1073">
        <f t="shared" ref="C74" si="98">100*B74/$B$8</f>
        <v>159.53475014359557</v>
      </c>
      <c r="D74" s="919">
        <f t="shared" ref="D74" si="99">100*((B74/B73)-1)</f>
        <v>2.6802218114602594</v>
      </c>
      <c r="E74" s="919">
        <f t="shared" ref="E74" si="100">100*((B74/$B$65)-1)</f>
        <v>4.4827586206896308</v>
      </c>
      <c r="F74" s="1074">
        <f t="shared" ref="F74" si="101">100*((B74/B62)-1)</f>
        <v>5.8431248015242465</v>
      </c>
      <c r="G74" s="921">
        <f t="shared" ref="G74" si="102">100*((C74/C50)-1)</f>
        <v>12.601351351351319</v>
      </c>
      <c r="H74" s="871">
        <f t="shared" ref="H74:H110" si="103">$B$110/B74</f>
        <v>1.0330033003300334</v>
      </c>
      <c r="I74" s="718"/>
      <c r="J74" s="718"/>
      <c r="K74" s="718"/>
    </row>
    <row r="75" spans="1:11">
      <c r="A75" s="1032" t="str">
        <f>Diesel_S500!B287</f>
        <v>OUTUBRO|17</v>
      </c>
      <c r="B75" s="1072">
        <f>[88]ÓLEOS!$F$18</f>
        <v>3.343</v>
      </c>
      <c r="C75" s="1073">
        <f t="shared" ref="C75" si="104">100*B75/$B$8</f>
        <v>160.01340225923795</v>
      </c>
      <c r="D75" s="919">
        <f t="shared" ref="D75" si="105">100*((B75/B74)-1)</f>
        <v>0.30003000300031779</v>
      </c>
      <c r="E75" s="919">
        <f t="shared" ref="E75" si="106">100*((B75/$B$65)-1)</f>
        <v>4.796238244514095</v>
      </c>
      <c r="F75" s="1074">
        <f t="shared" ref="F75" si="107">100*((B75/B63)-1)</f>
        <v>6.2281537972672663</v>
      </c>
      <c r="G75" s="921">
        <f t="shared" ref="G75" si="108">100*((C75/C51)-1)</f>
        <v>8.4333441453129829</v>
      </c>
      <c r="H75" s="871">
        <f t="shared" si="103"/>
        <v>1.0299132515704459</v>
      </c>
      <c r="I75" s="718"/>
      <c r="J75" s="718"/>
      <c r="K75" s="718"/>
    </row>
    <row r="76" spans="1:11">
      <c r="A76" s="1032" t="str">
        <f>Diesel_S500!B288</f>
        <v>NOVEMBRO|17</v>
      </c>
      <c r="B76" s="1072">
        <f>[96]ÓLEOS!$F$18</f>
        <v>3.4329999999999998</v>
      </c>
      <c r="C76" s="1073">
        <f t="shared" ref="C76" si="109">100*B76/$B$8</f>
        <v>164.32127130001911</v>
      </c>
      <c r="D76" s="919">
        <f t="shared" ref="D76" si="110">100*((B76/B75)-1)</f>
        <v>2.6921926413401076</v>
      </c>
      <c r="E76" s="919">
        <f t="shared" ref="E76" si="111">100*((B76/$B$65)-1)</f>
        <v>7.6175548589341613</v>
      </c>
      <c r="F76" s="1074">
        <f t="shared" ref="F76" si="112">100*((B76/B64)-1)</f>
        <v>9.7506393861892526</v>
      </c>
      <c r="G76" s="921">
        <f t="shared" ref="G76" si="113">100*((C76/C52)-1)</f>
        <v>9.9263528658340974</v>
      </c>
      <c r="H76" s="871">
        <f t="shared" si="103"/>
        <v>1.0029129041654532</v>
      </c>
      <c r="I76" s="718"/>
      <c r="J76" s="718"/>
      <c r="K76" s="718"/>
    </row>
    <row r="77" spans="1:11">
      <c r="A77" s="1032" t="str">
        <f>Diesel_S500!B289</f>
        <v>DEZEMBRO|17</v>
      </c>
      <c r="B77" s="1072">
        <f>[104]ÓLEOS!$F$18</f>
        <v>3.4639999999999995</v>
      </c>
      <c r="C77" s="1073">
        <f t="shared" ref="C77" si="114">100*B77/$B$8</f>
        <v>165.80509285851039</v>
      </c>
      <c r="D77" s="919">
        <f t="shared" ref="D77" si="115">100*((B77/B76)-1)</f>
        <v>0.90300029129040116</v>
      </c>
      <c r="E77" s="919">
        <f t="shared" ref="E77" si="116">100*((B77/$B$65)-1)</f>
        <v>8.5893416927899313</v>
      </c>
      <c r="F77" s="1074">
        <f t="shared" ref="F77" si="117">100*((B77/B65)-1)</f>
        <v>8.5893416927899313</v>
      </c>
      <c r="G77" s="921">
        <f t="shared" ref="G77" si="118">100*((C77/C53)-1)</f>
        <v>10.706295941195254</v>
      </c>
      <c r="H77" s="871">
        <f t="shared" si="103"/>
        <v>0.99393764434180165</v>
      </c>
      <c r="I77" s="718"/>
      <c r="J77" s="718"/>
      <c r="K77" s="718"/>
    </row>
    <row r="78" spans="1:11">
      <c r="A78" s="1032" t="str">
        <f>Diesel_S500!B290</f>
        <v>JANEIRO|18</v>
      </c>
      <c r="B78" s="1072">
        <f>[14]ÓLEOS!$F$18</f>
        <v>3.5010000000000003</v>
      </c>
      <c r="C78" s="1073">
        <f t="shared" ref="C78" si="119">100*B78/$B$8</f>
        <v>167.57610568638711</v>
      </c>
      <c r="D78" s="919">
        <f t="shared" ref="D78" si="120">100*((B78/B77)-1)</f>
        <v>1.068129330254064</v>
      </c>
      <c r="E78" s="919">
        <f t="shared" ref="E78:E83" si="121">100*((B78/$B$77)-1)</f>
        <v>1.068129330254064</v>
      </c>
      <c r="F78" s="1074">
        <f t="shared" ref="F78" si="122">100*((B78/B66)-1)</f>
        <v>7.3267933782955375</v>
      </c>
      <c r="G78" s="921">
        <f t="shared" ref="G78" si="123">100*((C78/C54)-1)</f>
        <v>10.931558935361242</v>
      </c>
      <c r="H78" s="871">
        <f t="shared" si="103"/>
        <v>0.98343330477006574</v>
      </c>
      <c r="I78" s="718"/>
      <c r="J78" s="718"/>
      <c r="K78" s="718"/>
    </row>
    <row r="79" spans="1:11">
      <c r="A79" s="1032" t="str">
        <f>Diesel_S500!B291</f>
        <v>FEVEREIRO|18</v>
      </c>
      <c r="B79" s="1072">
        <f>[22]ÓLEOS!$F$18</f>
        <v>3.5079999999999996</v>
      </c>
      <c r="C79" s="1073">
        <f t="shared" ref="C79" si="124">100*B79/$B$8</f>
        <v>167.91116216733673</v>
      </c>
      <c r="D79" s="919">
        <f t="shared" ref="D79" si="125">100*((B79/B78)-1)</f>
        <v>0.19994287346469797</v>
      </c>
      <c r="E79" s="919">
        <f t="shared" si="121"/>
        <v>1.2702078521940052</v>
      </c>
      <c r="F79" s="1074">
        <f t="shared" ref="F79" si="126">100*((B79/B67)-1)</f>
        <v>8.3384805435453799</v>
      </c>
      <c r="G79" s="921">
        <f t="shared" ref="G79" si="127">100*((C79/C55)-1)</f>
        <v>11.012658227848092</v>
      </c>
      <c r="H79" s="871">
        <f t="shared" si="103"/>
        <v>0.98147092360319299</v>
      </c>
      <c r="I79" s="718"/>
      <c r="J79" s="718"/>
      <c r="K79" s="718"/>
    </row>
    <row r="80" spans="1:11">
      <c r="A80" s="1032" t="str">
        <f>Diesel_S500!B292</f>
        <v>MARÇO|18</v>
      </c>
      <c r="B80" s="1072">
        <f>[30]ÓLEOS!$F$18</f>
        <v>3.5040000000000004</v>
      </c>
      <c r="C80" s="1073">
        <f t="shared" ref="C80" si="128">100*B80/$B$8</f>
        <v>167.71970132107981</v>
      </c>
      <c r="D80" s="919">
        <f t="shared" ref="D80" si="129">100*((B80/B79)-1)</f>
        <v>-0.11402508551878743</v>
      </c>
      <c r="E80" s="919">
        <f t="shared" si="121"/>
        <v>1.1547344110854674</v>
      </c>
      <c r="F80" s="1074">
        <f t="shared" ref="F80" si="130">100*((B80/B68)-1)</f>
        <v>10.362204724409452</v>
      </c>
      <c r="G80" s="921">
        <f t="shared" ref="G80" si="131">100*((C80/C56)-1)</f>
        <v>10.780904204868813</v>
      </c>
      <c r="H80" s="871">
        <f t="shared" si="103"/>
        <v>0.98259132420091322</v>
      </c>
      <c r="I80" s="718"/>
      <c r="J80" s="718"/>
      <c r="K80" s="718"/>
    </row>
    <row r="81" spans="1:11">
      <c r="A81" s="1032" t="str">
        <f>Diesel_S500!B293</f>
        <v>ABRIL|18</v>
      </c>
      <c r="B81" s="1072">
        <f>[38]ÓLEOS!$F$18</f>
        <v>3.5550000000000002</v>
      </c>
      <c r="C81" s="1073">
        <f t="shared" ref="C81" si="132">100*B81/$B$8</f>
        <v>170.16082711085579</v>
      </c>
      <c r="D81" s="919">
        <f t="shared" ref="D81" si="133">100*((B81/B80)-1)</f>
        <v>1.4554794520547754</v>
      </c>
      <c r="E81" s="919">
        <f t="shared" si="121"/>
        <v>2.6270207852194138</v>
      </c>
      <c r="F81" s="1074">
        <f t="shared" ref="F81" si="134">100*((B81/B69)-1)</f>
        <v>12.714013950539016</v>
      </c>
      <c r="G81" s="921">
        <f t="shared" ref="G81" si="135">100*((C81/C57)-1)</f>
        <v>12.35777496839443</v>
      </c>
      <c r="H81" s="871">
        <f t="shared" si="103"/>
        <v>0.96849507735583695</v>
      </c>
      <c r="I81" s="718"/>
      <c r="J81" s="718"/>
      <c r="K81" s="718"/>
    </row>
    <row r="82" spans="1:11">
      <c r="A82" s="1032" t="str">
        <f>Diesel_S500!B294</f>
        <v>MAIO|18</v>
      </c>
      <c r="B82" s="1072">
        <f>[46]ÓLEOS!$F$18</f>
        <v>3.863</v>
      </c>
      <c r="C82" s="1073">
        <f t="shared" ref="C82" si="136">100*B82/$B$8</f>
        <v>184.90331227264022</v>
      </c>
      <c r="D82" s="919">
        <f t="shared" ref="D82" si="137">100*((B82/B81)-1)</f>
        <v>8.6638537271448648</v>
      </c>
      <c r="E82" s="919">
        <f t="shared" si="121"/>
        <v>11.518475750577384</v>
      </c>
      <c r="F82" s="1074">
        <f t="shared" ref="F82" si="138">100*((B82/B70)-1)</f>
        <v>22.557106598984756</v>
      </c>
      <c r="G82" s="921">
        <f t="shared" ref="G82" si="139">100*((C82/C58)-1)</f>
        <v>22.324255858138066</v>
      </c>
      <c r="H82" s="871">
        <f t="shared" si="103"/>
        <v>0.89127621019932712</v>
      </c>
      <c r="I82" s="718"/>
      <c r="J82" s="718"/>
      <c r="K82" s="718"/>
    </row>
    <row r="83" spans="1:11">
      <c r="A83" s="1032" t="str">
        <f>Diesel_S500!B295</f>
        <v>JUNHO|18</v>
      </c>
      <c r="B83" s="1072">
        <f>[54]ÓLEOS!$F$18</f>
        <v>3.4649999999999999</v>
      </c>
      <c r="C83" s="1073">
        <f t="shared" ref="C83" si="140">100*B83/$B$8</f>
        <v>165.85295807007464</v>
      </c>
      <c r="D83" s="919">
        <f t="shared" ref="D83" si="141">100*((B83/B82)-1)</f>
        <v>-10.302873414444736</v>
      </c>
      <c r="E83" s="919">
        <f t="shared" si="121"/>
        <v>2.8868360277156668E-2</v>
      </c>
      <c r="F83" s="1074">
        <f t="shared" ref="F83" si="142">100*((B83/B71)-1)</f>
        <v>11.846352485474521</v>
      </c>
      <c r="G83" s="921">
        <f t="shared" ref="G83" si="143">100*((C83/C59)-1)</f>
        <v>9.6866096866097031</v>
      </c>
      <c r="H83" s="871">
        <f t="shared" si="103"/>
        <v>0.99365079365079378</v>
      </c>
      <c r="I83" s="718"/>
      <c r="J83" s="718"/>
      <c r="K83" s="718"/>
    </row>
    <row r="84" spans="1:11">
      <c r="A84" s="1032" t="str">
        <f>Diesel_S500!B296</f>
        <v>JULHO|18</v>
      </c>
      <c r="B84" s="1072">
        <f>[63]ÓLEOS!$F$18</f>
        <v>3.456</v>
      </c>
      <c r="C84" s="1073">
        <f t="shared" ref="C84" si="144">100*B84/$B$8</f>
        <v>165.42217116599653</v>
      </c>
      <c r="D84" s="919">
        <f t="shared" ref="D84" si="145">100*((B84/B83)-1)</f>
        <v>-0.25974025974025983</v>
      </c>
      <c r="E84" s="919">
        <f t="shared" ref="E84" si="146">100*((B84/$B$77)-1)</f>
        <v>-0.23094688221707571</v>
      </c>
      <c r="F84" s="1074">
        <f t="shared" ref="F84" si="147">100*((B84/B72)-1)</f>
        <v>8.508634222919941</v>
      </c>
      <c r="G84" s="921">
        <f t="shared" ref="G84" si="148">100*((C84/C60)-1)</f>
        <v>9.644670050761416</v>
      </c>
      <c r="H84" s="871">
        <f t="shared" si="103"/>
        <v>0.99623842592592604</v>
      </c>
      <c r="I84" s="718"/>
      <c r="J84" s="718"/>
      <c r="K84" s="718"/>
    </row>
    <row r="85" spans="1:11">
      <c r="A85" s="1032" t="str">
        <f>Diesel_S500!B297</f>
        <v>AGOSTO|18</v>
      </c>
      <c r="B85" s="1072">
        <f>[72]ÓLEOS!$F$18</f>
        <v>3.448999999999999</v>
      </c>
      <c r="C85" s="1073">
        <f t="shared" ref="C85" si="149">100*B85/$B$8</f>
        <v>165.08711468504683</v>
      </c>
      <c r="D85" s="919">
        <f t="shared" ref="D85" si="150">100*((B85/B84)-1)</f>
        <v>-0.20254629629632426</v>
      </c>
      <c r="E85" s="919">
        <f t="shared" ref="E85" si="151">100*((B85/$B$77)-1)</f>
        <v>-0.43302540415706137</v>
      </c>
      <c r="F85" s="1074">
        <f t="shared" ref="F85" si="152">100*((B85/B73)-1)</f>
        <v>6.2538508934072423</v>
      </c>
      <c r="G85" s="921">
        <f t="shared" ref="G85" si="153">100*((C85/C61)-1)</f>
        <v>9.492063492063485</v>
      </c>
      <c r="H85" s="871">
        <f t="shared" si="103"/>
        <v>0.99826036532328255</v>
      </c>
      <c r="I85" s="718"/>
      <c r="J85" s="718"/>
      <c r="K85" s="718"/>
    </row>
    <row r="86" spans="1:11">
      <c r="A86" s="1032" t="str">
        <f>Diesel_S500!B298</f>
        <v>SETEMBRO|18</v>
      </c>
      <c r="B86" s="1072">
        <f>[81]ÓLEOS!$F$18</f>
        <v>3.7319999999999998</v>
      </c>
      <c r="C86" s="1073">
        <f t="shared" ref="C86" si="154">100*B86/$B$8</f>
        <v>178.6329695577254</v>
      </c>
      <c r="D86" s="919">
        <f t="shared" ref="D86" si="155">100*((B86/B85)-1)</f>
        <v>8.2052768918527299</v>
      </c>
      <c r="E86" s="919">
        <f t="shared" ref="E86" si="156">100*((B86/$B$77)-1)</f>
        <v>7.7367205542725248</v>
      </c>
      <c r="F86" s="1074">
        <f t="shared" ref="F86" si="157">100*((B86/B74)-1)</f>
        <v>11.971197119711995</v>
      </c>
      <c r="G86" s="921">
        <f t="shared" ref="G86" si="158">100*((C86/C62)-1)</f>
        <v>18.513813909177479</v>
      </c>
      <c r="H86" s="871">
        <f t="shared" si="103"/>
        <v>0.92256162915326922</v>
      </c>
      <c r="I86" s="718"/>
      <c r="J86" s="718"/>
      <c r="K86" s="718"/>
    </row>
    <row r="87" spans="1:11">
      <c r="A87" s="1032" t="str">
        <f>Diesel_S500!B299</f>
        <v>OUTUBRO|18</v>
      </c>
      <c r="B87" s="1072">
        <f>[89]ÓLEOS!$F$18</f>
        <v>3.7989999999999999</v>
      </c>
      <c r="C87" s="1073">
        <f t="shared" ref="C87" si="159">100*B87/$B$8</f>
        <v>181.83993873252916</v>
      </c>
      <c r="D87" s="919">
        <f t="shared" ref="D87" si="160">100*((B87/B86)-1)</f>
        <v>1.7952840300107242</v>
      </c>
      <c r="E87" s="919">
        <f t="shared" ref="E87" si="161">100*((B87/$B$77)-1)</f>
        <v>9.670900692840668</v>
      </c>
      <c r="F87" s="1074">
        <f t="shared" ref="F87" si="162">100*((B87/B75)-1)</f>
        <v>13.640442716123236</v>
      </c>
      <c r="G87" s="921">
        <f t="shared" ref="G87" si="163">100*((C87/C63)-1)</f>
        <v>20.718144264378815</v>
      </c>
      <c r="H87" s="871">
        <f t="shared" si="103"/>
        <v>0.90629112924453814</v>
      </c>
      <c r="I87" s="718"/>
      <c r="J87" s="718"/>
      <c r="K87" s="718"/>
    </row>
    <row r="88" spans="1:11">
      <c r="A88" s="1032" t="str">
        <f>Diesel_S500!B300</f>
        <v>NOVEMBRO|18</v>
      </c>
      <c r="B88" s="1072">
        <f>[97]ÓLEOS!$F$18</f>
        <v>3.737000000000001</v>
      </c>
      <c r="C88" s="1073">
        <f t="shared" ref="C88" si="164">100*B88/$B$8</f>
        <v>178.87229561554665</v>
      </c>
      <c r="D88" s="919">
        <f t="shared" ref="D88" si="165">100*((B88/B87)-1)</f>
        <v>-1.6320084232692489</v>
      </c>
      <c r="E88" s="919">
        <f t="shared" ref="E88" si="166">100*((B88/$B$77)-1)</f>
        <v>7.8810623556582415</v>
      </c>
      <c r="F88" s="1074">
        <f t="shared" ref="F88" si="167">100*((B88/B76)-1)</f>
        <v>8.8552286629770336</v>
      </c>
      <c r="G88" s="921">
        <f t="shared" ref="G88" si="168">100*((C88/C64)-1)</f>
        <v>19.469309462915653</v>
      </c>
      <c r="H88" s="871">
        <f t="shared" si="103"/>
        <v>0.92132726786192121</v>
      </c>
      <c r="I88" s="718"/>
      <c r="J88" s="718"/>
      <c r="K88" s="718"/>
    </row>
    <row r="89" spans="1:11">
      <c r="A89" s="1032" t="str">
        <f>Diesel_S500!B301</f>
        <v>DEZEMBRO|18</v>
      </c>
      <c r="B89" s="1072">
        <f>[105]ÓLEOS!$F$18</f>
        <v>3.5629999999999997</v>
      </c>
      <c r="C89" s="1073">
        <f t="shared" ref="C89" si="169">100*B89/$B$8</f>
        <v>170.54374880336965</v>
      </c>
      <c r="D89" s="919">
        <f t="shared" ref="D89" si="170">100*((B89/B88)-1)</f>
        <v>-4.6561412898046939</v>
      </c>
      <c r="E89" s="919">
        <f t="shared" ref="E89" si="171">100*((B89/$B$77)-1)</f>
        <v>2.8579676674364896</v>
      </c>
      <c r="F89" s="1074">
        <f t="shared" ref="F89" si="172">100*((B89/B77)-1)</f>
        <v>2.8579676674364896</v>
      </c>
      <c r="G89" s="921">
        <f t="shared" ref="G89" si="173">100*((C89/C65)-1)</f>
        <v>11.692789968651995</v>
      </c>
      <c r="H89" s="871">
        <f t="shared" si="103"/>
        <v>0.9663205164187485</v>
      </c>
      <c r="I89" s="718"/>
      <c r="J89" s="718"/>
      <c r="K89" s="718"/>
    </row>
    <row r="90" spans="1:11">
      <c r="A90" s="1032" t="str">
        <f>Diesel_S500!B302</f>
        <v>JANEIRO|19</v>
      </c>
      <c r="B90" s="1072">
        <f>[15]ÓLEOS!$F$18</f>
        <v>3.5399999999999996</v>
      </c>
      <c r="C90" s="1073">
        <f t="shared" ref="C90" si="174">100*B90/$B$8</f>
        <v>169.44284893739226</v>
      </c>
      <c r="D90" s="919">
        <f t="shared" ref="D90" si="175">100*((B90/B89)-1)</f>
        <v>-0.64552343530732692</v>
      </c>
      <c r="E90" s="919">
        <f t="shared" ref="E90:E95" si="176">100*((B90/$B$89)-1)</f>
        <v>-0.64552343530732692</v>
      </c>
      <c r="F90" s="1074">
        <f t="shared" ref="F90" si="177">100*((B90/B78)-1)</f>
        <v>1.1139674378748632</v>
      </c>
      <c r="G90" s="921">
        <f t="shared" ref="G90" si="178">100*((C90/C66)-1)</f>
        <v>8.5223789086450008</v>
      </c>
      <c r="H90" s="871">
        <f t="shared" si="103"/>
        <v>0.97259887005649748</v>
      </c>
      <c r="I90" s="718"/>
      <c r="J90" s="718"/>
      <c r="K90" s="718"/>
    </row>
    <row r="91" spans="1:11">
      <c r="A91" s="1032" t="str">
        <f>Diesel_S500!B303</f>
        <v>FEVEREIRO|19</v>
      </c>
      <c r="B91" s="1072">
        <f>[23]ÓLEOS!$F$18</f>
        <v>3.5459999999999998</v>
      </c>
      <c r="C91" s="1073">
        <f t="shared" ref="C91" si="179">100*B91/$B$8</f>
        <v>169.73004020677766</v>
      </c>
      <c r="D91" s="919">
        <f t="shared" ref="D91" si="180">100*((B91/B90)-1)</f>
        <v>0.16949152542373724</v>
      </c>
      <c r="E91" s="919">
        <f t="shared" si="176"/>
        <v>-0.47712601740106386</v>
      </c>
      <c r="F91" s="1074">
        <f t="shared" ref="F91" si="181">100*((B91/B79)-1)</f>
        <v>1.0832383124287359</v>
      </c>
      <c r="G91" s="921">
        <f t="shared" ref="G91" si="182">100*((C91/C67)-1)</f>
        <v>9.5120444718961963</v>
      </c>
      <c r="H91" s="871">
        <f t="shared" si="103"/>
        <v>0.97095318668922748</v>
      </c>
      <c r="I91" s="718"/>
      <c r="J91" s="718"/>
      <c r="K91" s="718"/>
    </row>
    <row r="92" spans="1:11">
      <c r="A92" s="1032" t="str">
        <f>Diesel_S500!B304</f>
        <v>MARÇO|19</v>
      </c>
      <c r="B92" s="1072">
        <f>[31]ÓLEOS!$F$18</f>
        <v>3.637999999999999</v>
      </c>
      <c r="C92" s="1073">
        <f t="shared" ref="C92" si="183">100*B92/$B$8</f>
        <v>174.13363967068727</v>
      </c>
      <c r="D92" s="919">
        <f t="shared" ref="D92" si="184">100*((B92/B91)-1)</f>
        <v>2.5944726452340472</v>
      </c>
      <c r="E92" s="919">
        <f t="shared" si="176"/>
        <v>2.1049677238282216</v>
      </c>
      <c r="F92" s="1074">
        <f t="shared" ref="F92" si="185">100*((B92/B80)-1)</f>
        <v>3.8242009132419597</v>
      </c>
      <c r="G92" s="921">
        <f t="shared" ref="G92" si="186">100*((C92/C68)-1)</f>
        <v>14.582677165354285</v>
      </c>
      <c r="H92" s="871">
        <f t="shared" si="103"/>
        <v>0.9463991203958223</v>
      </c>
      <c r="I92" s="718"/>
      <c r="J92" s="718"/>
      <c r="K92" s="718"/>
    </row>
    <row r="93" spans="1:11">
      <c r="A93" s="1032" t="str">
        <f>Diesel_S500!B305</f>
        <v>ABRIL|19</v>
      </c>
      <c r="B93" s="1072">
        <f>[39]ÓLEOS!$F$18</f>
        <v>3.6949999999999998</v>
      </c>
      <c r="C93" s="1073">
        <f t="shared" ref="C93" si="187">100*B93/$B$8</f>
        <v>176.86195672984871</v>
      </c>
      <c r="D93" s="919">
        <f t="shared" ref="D93" si="188">100*((B93/B92)-1)</f>
        <v>1.5667949422760064</v>
      </c>
      <c r="E93" s="919">
        <f t="shared" si="176"/>
        <v>3.7047431939376985</v>
      </c>
      <c r="F93" s="1074">
        <f t="shared" ref="F93" si="189">100*((B93/B81)-1)</f>
        <v>3.9381153305203753</v>
      </c>
      <c r="G93" s="921">
        <f t="shared" ref="G93" si="190">100*((C93/C69)-1)</f>
        <v>17.152821813570075</v>
      </c>
      <c r="H93" s="871">
        <f t="shared" si="103"/>
        <v>0.93179972936400557</v>
      </c>
      <c r="I93" s="718"/>
      <c r="J93" s="718"/>
      <c r="K93" s="718"/>
    </row>
    <row r="94" spans="1:11">
      <c r="A94" s="1032" t="str">
        <f>Diesel_S500!B306</f>
        <v>MAIO|19</v>
      </c>
      <c r="B94" s="1072">
        <f>[47]ÓLEOS!$F$18</f>
        <v>3.7340000000000009</v>
      </c>
      <c r="C94" s="1073">
        <f t="shared" ref="C94" si="191">100*B94/$B$8</f>
        <v>178.72869998085392</v>
      </c>
      <c r="D94" s="919">
        <f t="shared" ref="D94" si="192">100*((B94/B93)-1)</f>
        <v>1.0554803788904277</v>
      </c>
      <c r="E94" s="919">
        <f t="shared" si="176"/>
        <v>4.7993264103284083</v>
      </c>
      <c r="F94" s="1074">
        <f t="shared" ref="F94" si="193">100*((B94/B82)-1)</f>
        <v>-3.3393735438777883</v>
      </c>
      <c r="G94" s="921">
        <f t="shared" ref="G94" si="194">100*((C94/C70)-1)</f>
        <v>18.464467005076159</v>
      </c>
      <c r="H94" s="871">
        <f t="shared" si="103"/>
        <v>0.92206748794858051</v>
      </c>
      <c r="I94" s="718"/>
      <c r="J94" s="718"/>
      <c r="K94" s="718"/>
    </row>
    <row r="95" spans="1:11">
      <c r="A95" s="1032" t="str">
        <f>Diesel_S500!B307</f>
        <v>JUNHO|19</v>
      </c>
      <c r="B95" s="1072">
        <f>[55]ÓLEOS!$F$18</f>
        <v>3.6619999999999995</v>
      </c>
      <c r="C95" s="1073">
        <f t="shared" ref="C95" si="195">100*B95/$B$8</f>
        <v>175.28240474822891</v>
      </c>
      <c r="D95" s="919">
        <f t="shared" ref="D95" si="196">100*((B95/B94)-1)</f>
        <v>-1.9282271023031927</v>
      </c>
      <c r="E95" s="919">
        <f t="shared" si="176"/>
        <v>2.7785573954532738</v>
      </c>
      <c r="F95" s="1074">
        <f t="shared" ref="F95" si="197">100*((B95/B83)-1)</f>
        <v>5.6854256854256713</v>
      </c>
      <c r="G95" s="921">
        <f t="shared" ref="G95" si="198">100*((C95/C71)-1)</f>
        <v>18.20529373789541</v>
      </c>
      <c r="H95" s="871">
        <f t="shared" si="103"/>
        <v>0.94019661387220121</v>
      </c>
      <c r="I95" s="718"/>
      <c r="J95" s="718"/>
      <c r="K95" s="718"/>
    </row>
    <row r="96" spans="1:11">
      <c r="A96" s="1032" t="str">
        <f>Diesel_S500!B308</f>
        <v>JULHO|19</v>
      </c>
      <c r="B96" s="1072">
        <f>[64]ÓLEOS!$F$18</f>
        <v>3.6230000000000007</v>
      </c>
      <c r="C96" s="1073">
        <f t="shared" ref="C96" si="199">100*B96/$B$8</f>
        <v>173.41566149722382</v>
      </c>
      <c r="D96" s="919">
        <f t="shared" ref="D96" si="200">100*((B96/B95)-1)</f>
        <v>-1.0649918077552889</v>
      </c>
      <c r="E96" s="919">
        <f t="shared" ref="E96" si="201">100*((B96/$B$89)-1)</f>
        <v>1.6839741790626084</v>
      </c>
      <c r="F96" s="1074">
        <f t="shared" ref="F96" si="202">100*((B96/B84)-1)</f>
        <v>4.8321759259259522</v>
      </c>
      <c r="G96" s="921">
        <f t="shared" ref="G96" si="203">100*((C96/C72)-1)</f>
        <v>13.751962323390931</v>
      </c>
      <c r="H96" s="871">
        <f t="shared" si="103"/>
        <v>0.95031741650565826</v>
      </c>
      <c r="I96" s="718"/>
      <c r="J96" s="718"/>
      <c r="K96" s="718"/>
    </row>
    <row r="97" spans="1:12">
      <c r="A97" s="1032" t="str">
        <f>Diesel_S500!B309</f>
        <v>AGOSTO|19</v>
      </c>
      <c r="B97" s="1072">
        <f>[73]ÓLEOS!$F$18</f>
        <v>3.6090000000000009</v>
      </c>
      <c r="C97" s="1073">
        <f t="shared" ref="C97" si="204">100*B97/$B$8</f>
        <v>172.74554853532453</v>
      </c>
      <c r="D97" s="919">
        <f t="shared" ref="D97" si="205">100*((B97/B96)-1)</f>
        <v>-0.38642009384487475</v>
      </c>
      <c r="E97" s="919">
        <f t="shared" ref="E97" si="206">100*((B97/$B$89)-1)</f>
        <v>1.291046870614676</v>
      </c>
      <c r="F97" s="1074">
        <f t="shared" ref="F97" si="207">100*((B97/B85)-1)</f>
        <v>4.6390258045810873</v>
      </c>
      <c r="G97" s="921">
        <f t="shared" ref="G97" si="208">100*((C97/C73)-1)</f>
        <v>11.182994454713512</v>
      </c>
      <c r="H97" s="871">
        <f t="shared" si="103"/>
        <v>0.95400387919091156</v>
      </c>
      <c r="I97" s="718"/>
      <c r="J97" s="718"/>
      <c r="K97" s="718"/>
    </row>
    <row r="98" spans="1:12">
      <c r="A98" s="1032" t="str">
        <f>Diesel_S500!B310</f>
        <v>SETEMBRO|19</v>
      </c>
      <c r="B98" s="1072">
        <f>[82]ÓLEOS!$F$18</f>
        <v>3.7489999999999997</v>
      </c>
      <c r="C98" s="1073">
        <f t="shared" ref="C98" si="209">100*B98/$B$8</f>
        <v>179.4466781543174</v>
      </c>
      <c r="D98" s="919">
        <f t="shared" ref="D98" si="210">100*((B98/B97)-1)</f>
        <v>3.87919091160982</v>
      </c>
      <c r="E98" s="919">
        <f t="shared" ref="E98" si="211">100*((B98/$B$89)-1)</f>
        <v>5.2203199550940216</v>
      </c>
      <c r="F98" s="1074">
        <f t="shared" ref="F98" si="212">100*((B98/B86)-1)</f>
        <v>0.45551982851017581</v>
      </c>
      <c r="G98" s="921">
        <f t="shared" ref="G98" si="213">100*((C98/C74)-1)</f>
        <v>12.481248124812506</v>
      </c>
      <c r="H98" s="871">
        <f t="shared" si="103"/>
        <v>0.91837823419578579</v>
      </c>
      <c r="I98" s="718"/>
      <c r="J98" s="718"/>
      <c r="K98" s="718"/>
    </row>
    <row r="99" spans="1:12">
      <c r="A99" s="1032" t="str">
        <f>Diesel_S500!B311</f>
        <v>OUTUBRO|19</v>
      </c>
      <c r="B99" s="1072">
        <f>[90]ÓLEOS!$F$18</f>
        <v>3.7850000000000001</v>
      </c>
      <c r="C99" s="1073">
        <f t="shared" ref="C99" si="214">100*B99/$B$8</f>
        <v>181.16982577062987</v>
      </c>
      <c r="D99" s="919">
        <f t="shared" ref="D99" si="215">100*((B99/B98)-1)</f>
        <v>0.96025606828489263</v>
      </c>
      <c r="E99" s="919">
        <f t="shared" ref="E99" si="216">100*((B99/$B$89)-1)</f>
        <v>6.2307044625315777</v>
      </c>
      <c r="F99" s="1074">
        <f t="shared" ref="F99" si="217">100*((B99/B87)-1)</f>
        <v>-0.36851803106080494</v>
      </c>
      <c r="G99" s="921">
        <f t="shared" ref="G99" si="218">100*((C99/C75)-1)</f>
        <v>13.221657194137016</v>
      </c>
      <c r="H99" s="871">
        <f t="shared" si="103"/>
        <v>0.90964332892998689</v>
      </c>
      <c r="I99" s="718"/>
      <c r="J99" s="718"/>
      <c r="K99" s="718"/>
    </row>
    <row r="100" spans="1:12">
      <c r="A100" s="1032" t="str">
        <f>Diesel_S500!B312</f>
        <v>NOVEMBRO|19</v>
      </c>
      <c r="B100" s="1072">
        <f>[98]ÓLEOS!$F$18</f>
        <v>3.7850000000000001</v>
      </c>
      <c r="C100" s="1073">
        <f t="shared" ref="C100" si="219">100*B100/$B$8</f>
        <v>181.16982577062987</v>
      </c>
      <c r="D100" s="919">
        <f t="shared" ref="D100" si="220">100*((B100/B99)-1)</f>
        <v>0</v>
      </c>
      <c r="E100" s="919">
        <f t="shared" ref="E100" si="221">100*((B100/$B$89)-1)</f>
        <v>6.2307044625315777</v>
      </c>
      <c r="F100" s="1074">
        <f t="shared" ref="F100" si="222">100*((B100/B88)-1)</f>
        <v>1.284452769601252</v>
      </c>
      <c r="G100" s="921">
        <f t="shared" ref="G100" si="223">100*((C100/C76)-1)</f>
        <v>10.253422662394417</v>
      </c>
      <c r="H100" s="871">
        <f t="shared" si="103"/>
        <v>0.90964332892998689</v>
      </c>
      <c r="I100" s="718"/>
      <c r="J100" s="718"/>
      <c r="K100" s="718"/>
    </row>
    <row r="101" spans="1:12">
      <c r="A101" s="1032" t="str">
        <f>Diesel_S500!B313</f>
        <v>DEZEMBRO|19</v>
      </c>
      <c r="B101" s="1072">
        <f>[106]ÓLEOS!$F$18</f>
        <v>3.8219999999999996</v>
      </c>
      <c r="C101" s="1073">
        <f t="shared" ref="C101" si="224">100*B101/$B$8</f>
        <v>182.94083859850656</v>
      </c>
      <c r="D101" s="919">
        <f t="shared" ref="D101" si="225">100*((B101/B100)-1)</f>
        <v>0.97754293262879433</v>
      </c>
      <c r="E101" s="919">
        <f t="shared" ref="E101" si="226">100*((B101/$B$89)-1)</f>
        <v>7.269155206286837</v>
      </c>
      <c r="F101" s="1074">
        <f t="shared" ref="F101" si="227">100*((B101/B89)-1)</f>
        <v>7.269155206286837</v>
      </c>
      <c r="G101" s="921">
        <f t="shared" ref="G101" si="228">100*((C101/C77)-1)</f>
        <v>10.334872979214783</v>
      </c>
      <c r="H101" s="871">
        <f t="shared" si="103"/>
        <v>0.90083725798011538</v>
      </c>
      <c r="I101" s="718"/>
      <c r="J101" s="718"/>
      <c r="K101" s="718"/>
    </row>
    <row r="102" spans="1:12">
      <c r="A102" s="1032" t="str">
        <f>Diesel_S500!B314</f>
        <v>JANEIRO|20</v>
      </c>
      <c r="B102" s="1072">
        <f>[16]ÓLEOS!$F$18</f>
        <v>3.8660000000000001</v>
      </c>
      <c r="C102" s="1073">
        <f t="shared" ref="C102" si="229">100*B102/$B$8</f>
        <v>185.04690790733292</v>
      </c>
      <c r="D102" s="919">
        <f t="shared" ref="D102" si="230">100*((B102/B101)-1)</f>
        <v>1.151229722658309</v>
      </c>
      <c r="E102" s="919">
        <f t="shared" ref="E102:E107" si="231">100*((B102/$B$101)-1)</f>
        <v>1.151229722658309</v>
      </c>
      <c r="F102" s="1074">
        <f t="shared" ref="F102" si="232">100*((B102/B90)-1)</f>
        <v>9.2090395480226128</v>
      </c>
      <c r="G102" s="921">
        <f t="shared" ref="G102" si="233">100*((C102/C78)-1)</f>
        <v>10.425592687803476</v>
      </c>
      <c r="H102" s="871">
        <f t="shared" si="103"/>
        <v>0.89058458354888781</v>
      </c>
      <c r="I102" s="718"/>
      <c r="J102" s="718"/>
      <c r="K102" s="718"/>
    </row>
    <row r="103" spans="1:12">
      <c r="A103" s="1032" t="str">
        <f>Diesel_S500!B315</f>
        <v>FEVEREIRO|20</v>
      </c>
      <c r="B103" s="1072">
        <f>[24]ÓLEOS!$F$18</f>
        <v>3.762999999999999</v>
      </c>
      <c r="C103" s="1073">
        <f t="shared" ref="C103" si="234">100*B103/$B$8</f>
        <v>180.11679111621666</v>
      </c>
      <c r="D103" s="919">
        <f t="shared" ref="D103" si="235">100*((B103/B102)-1)</f>
        <v>-2.6642524573202597</v>
      </c>
      <c r="E103" s="919">
        <f t="shared" si="231"/>
        <v>-1.5436944008372699</v>
      </c>
      <c r="F103" s="1074">
        <f t="shared" ref="F103" si="236">100*((B103/B91)-1)</f>
        <v>6.119571347997721</v>
      </c>
      <c r="G103" s="921">
        <f t="shared" ref="G103" si="237">100*((C103/C79)-1)</f>
        <v>7.2690992018243916</v>
      </c>
      <c r="H103" s="871">
        <f t="shared" si="103"/>
        <v>0.91496146691469604</v>
      </c>
      <c r="I103" s="718"/>
      <c r="J103" s="718"/>
      <c r="K103" s="718"/>
    </row>
    <row r="104" spans="1:12">
      <c r="A104" s="1032" t="str">
        <f>Diesel_S500!B316</f>
        <v>MARÇO|20</v>
      </c>
      <c r="B104" s="1072">
        <f>[32]ÓLEOS!$F$18</f>
        <v>3.59</v>
      </c>
      <c r="C104" s="1073">
        <f t="shared" ref="C104" si="238">100*B104/$B$8</f>
        <v>171.83610951560402</v>
      </c>
      <c r="D104" s="919">
        <f t="shared" ref="D104" si="239">100*((B104/B103)-1)</f>
        <v>-4.5973956949242449</v>
      </c>
      <c r="E104" s="919">
        <f t="shared" si="231"/>
        <v>-6.070120355834641</v>
      </c>
      <c r="F104" s="1074">
        <f t="shared" ref="F104" si="240">100*((B104/B92)-1)</f>
        <v>-1.3194062671797457</v>
      </c>
      <c r="G104" s="921">
        <f t="shared" ref="G104" si="241">100*((C104/C80)-1)</f>
        <v>2.4543378995433685</v>
      </c>
      <c r="H104" s="871">
        <f t="shared" si="103"/>
        <v>0.9590529247910865</v>
      </c>
      <c r="I104" s="718"/>
      <c r="J104" s="718"/>
      <c r="K104" s="718"/>
    </row>
    <row r="105" spans="1:12">
      <c r="A105" s="1032" t="str">
        <f>Diesel_S500!B317</f>
        <v>ABRIL|20</v>
      </c>
      <c r="B105" s="1072">
        <f>[40]ÓLEOS!$F$18</f>
        <v>3.301000000000001</v>
      </c>
      <c r="C105" s="1073">
        <f t="shared" ref="C105" si="242">100*B105/$B$8</f>
        <v>158.00306337354013</v>
      </c>
      <c r="D105" s="919">
        <f>100*((B105/B104)-1)</f>
        <v>-8.0501392757659893</v>
      </c>
      <c r="E105" s="919">
        <f t="shared" si="231"/>
        <v>-13.631606488749314</v>
      </c>
      <c r="F105" s="1074">
        <f t="shared" ref="F105" si="243">100*((B105/B93)-1)</f>
        <v>-10.663058186738805</v>
      </c>
      <c r="G105" s="921">
        <f t="shared" ref="G105" si="244">100*((C105/C81)-1)</f>
        <v>-7.1448663853726835</v>
      </c>
      <c r="H105" s="871">
        <f t="shared" si="103"/>
        <v>1.0430172674946985</v>
      </c>
      <c r="I105" s="718"/>
      <c r="J105" s="718"/>
      <c r="K105" s="718"/>
    </row>
    <row r="106" spans="1:12">
      <c r="A106" s="1032" t="str">
        <f>Diesel_S500!B318</f>
        <v>MAIO|20</v>
      </c>
      <c r="B106" s="1072">
        <f>[48]ÓLEOS!$F$18</f>
        <v>3.1059999999999994</v>
      </c>
      <c r="C106" s="1073">
        <f t="shared" ref="C106" si="245">100*B106/$B$8</f>
        <v>148.66934711851422</v>
      </c>
      <c r="D106" s="919">
        <f>100*((B106/B105)-1)</f>
        <v>-5.9073008179340025</v>
      </c>
      <c r="E106" s="919">
        <f t="shared" si="231"/>
        <v>-18.733647305075884</v>
      </c>
      <c r="F106" s="1074">
        <f t="shared" ref="F106" si="246">100*((B106/B94)-1)</f>
        <v>-16.818425281199822</v>
      </c>
      <c r="G106" s="921">
        <f t="shared" ref="G106" si="247">100*((C106/C82)-1)</f>
        <v>-19.596168780740364</v>
      </c>
      <c r="H106" s="871">
        <f t="shared" si="103"/>
        <v>1.1084996780424987</v>
      </c>
      <c r="I106" s="718"/>
      <c r="J106" s="718"/>
      <c r="K106" s="718"/>
    </row>
    <row r="107" spans="1:12">
      <c r="A107" s="1032" t="str">
        <f>Diesel_S500!B319</f>
        <v>JUNHO|20</v>
      </c>
      <c r="B107" s="1072">
        <f>[56]ÓLEOS!$F$18</f>
        <v>3.23</v>
      </c>
      <c r="C107" s="1073">
        <f t="shared" ref="C107" si="248">100*B107/$B$8</f>
        <v>154.6046333524794</v>
      </c>
      <c r="D107" s="919">
        <f>100*((B107/B106)-1)</f>
        <v>3.9922730199613898</v>
      </c>
      <c r="E107" s="919">
        <f t="shared" si="231"/>
        <v>-15.489272632129769</v>
      </c>
      <c r="F107" s="1074">
        <f t="shared" ref="F107" si="249">100*((B107/B95)-1)</f>
        <v>-11.796832332058971</v>
      </c>
      <c r="G107" s="921">
        <f t="shared" ref="G107" si="250">100*((C107/C83)-1)</f>
        <v>-6.7821067821067782</v>
      </c>
      <c r="H107" s="871">
        <f t="shared" si="103"/>
        <v>1.0659442724458206</v>
      </c>
      <c r="I107" s="718"/>
      <c r="J107" s="718"/>
      <c r="K107" s="718"/>
    </row>
    <row r="108" spans="1:12">
      <c r="A108" s="1032" t="str">
        <f>Diesel_S500!B320</f>
        <v>JULHO|20</v>
      </c>
      <c r="B108" s="1072">
        <f>[65]ÓLEOS!$F$18</f>
        <v>3.4039999999999999</v>
      </c>
      <c r="C108" s="1073">
        <f t="shared" ref="C108" si="251">100*B108/$B$8</f>
        <v>162.93318016465628</v>
      </c>
      <c r="D108" s="919">
        <f>100*((B108/B107)-1)</f>
        <v>5.3869969040247767</v>
      </c>
      <c r="E108" s="919">
        <f t="shared" ref="E108" si="252">100*((B108/$B$101)-1)</f>
        <v>-10.936682365253791</v>
      </c>
      <c r="F108" s="1074">
        <f t="shared" ref="F108" si="253">100*((B108/B96)-1)</f>
        <v>-6.0447143251449287</v>
      </c>
      <c r="G108" s="921">
        <f t="shared" ref="G108" si="254">100*((C108/C84)-1)</f>
        <v>-1.5046296296296502</v>
      </c>
      <c r="H108" s="871">
        <f t="shared" si="103"/>
        <v>1.0114571092831963</v>
      </c>
      <c r="I108" s="718"/>
      <c r="J108" s="718"/>
      <c r="K108" s="718"/>
    </row>
    <row r="109" spans="1:12">
      <c r="A109" s="1605" t="str">
        <f>Diesel_S500!B321</f>
        <v>AGOSTO|20</v>
      </c>
      <c r="B109" s="1606">
        <f>[74]ÓLEOS!$F$18</f>
        <v>3.4430000000000005</v>
      </c>
      <c r="C109" s="1607">
        <f t="shared" ref="C109" si="255">100*B109/$B$8</f>
        <v>164.79992341566151</v>
      </c>
      <c r="D109" s="1608">
        <f>100*((B109/B108)-1)</f>
        <v>1.1457109283196321</v>
      </c>
      <c r="E109" s="1608">
        <f t="shared" ref="E109" si="256">100*((B109/$B$101)-1)</f>
        <v>-9.9162742019884611</v>
      </c>
      <c r="F109" s="1609">
        <f t="shared" ref="F109" si="257">100*((B109/B97)-1)</f>
        <v>-4.5996120809088437</v>
      </c>
      <c r="G109" s="1610">
        <f t="shared" ref="G109" si="258">100*((C109/C85)-1)</f>
        <v>-0.17396346767173387</v>
      </c>
      <c r="H109" s="1075">
        <f t="shared" si="103"/>
        <v>1</v>
      </c>
      <c r="I109" s="718"/>
      <c r="J109" s="718"/>
      <c r="K109" s="718"/>
    </row>
    <row r="110" spans="1:12" ht="16.5" thickBot="1">
      <c r="A110" s="1046" t="str">
        <f>Diesel_S500!B322</f>
        <v>SETEMBRO|20</v>
      </c>
      <c r="B110" s="1061">
        <f>[123]ÓLEOS!$F$18</f>
        <v>3.4430000000000005</v>
      </c>
      <c r="C110" s="1065">
        <f t="shared" ref="C110" si="259">100*B110/$B$8</f>
        <v>164.79992341566151</v>
      </c>
      <c r="D110" s="1062">
        <f>100*((B110/B109)-1)</f>
        <v>0</v>
      </c>
      <c r="E110" s="1062">
        <f t="shared" ref="E110" si="260">100*((B110/$B$101)-1)</f>
        <v>-9.9162742019884611</v>
      </c>
      <c r="F110" s="1611">
        <f t="shared" ref="F110" si="261">100*((B110/B98)-1)</f>
        <v>-8.1621765804214199</v>
      </c>
      <c r="G110" s="1064">
        <f t="shared" ref="G110" si="262">100*((C110/C86)-1)</f>
        <v>-7.743837084673066</v>
      </c>
      <c r="H110" s="1066">
        <f t="shared" si="103"/>
        <v>1</v>
      </c>
      <c r="I110" s="718"/>
      <c r="J110" s="718"/>
      <c r="K110" s="718"/>
    </row>
    <row r="111" spans="1:12">
      <c r="A111" s="758" t="s">
        <v>238</v>
      </c>
      <c r="B111" s="759"/>
      <c r="C111" s="759"/>
      <c r="D111" s="759"/>
      <c r="E111" s="759"/>
      <c r="F111" s="759"/>
      <c r="G111" s="759"/>
      <c r="H111" s="759"/>
      <c r="I111" s="759"/>
      <c r="J111" s="759"/>
      <c r="K111" s="759"/>
      <c r="L111" s="759"/>
    </row>
    <row r="112" spans="1:12">
      <c r="A112" s="764"/>
      <c r="B112" s="759"/>
      <c r="C112" s="759"/>
      <c r="D112" s="759"/>
      <c r="E112" s="759"/>
      <c r="F112" s="759"/>
      <c r="G112" s="759"/>
      <c r="H112" s="759"/>
      <c r="I112" s="759"/>
      <c r="J112" s="759"/>
      <c r="K112" s="759"/>
      <c r="L112" s="759"/>
    </row>
    <row r="113" spans="1:12">
      <c r="B113" s="759"/>
      <c r="C113" s="759"/>
      <c r="D113" s="759"/>
      <c r="E113" s="759"/>
      <c r="F113" s="759"/>
      <c r="G113" s="759"/>
      <c r="H113" s="759"/>
      <c r="I113" s="759"/>
      <c r="J113" s="759"/>
      <c r="K113" s="759"/>
      <c r="L113" s="759"/>
    </row>
    <row r="114" spans="1:12">
      <c r="A114" s="765"/>
      <c r="B114" s="759"/>
      <c r="C114" s="759"/>
      <c r="D114" s="759"/>
      <c r="E114" s="759"/>
      <c r="F114" s="759"/>
      <c r="G114" s="759"/>
      <c r="H114" s="759"/>
      <c r="I114" s="759"/>
      <c r="J114" s="759"/>
      <c r="K114" s="759"/>
      <c r="L114" s="759"/>
    </row>
    <row r="115" spans="1:12">
      <c r="B115" s="759"/>
      <c r="C115" s="759"/>
      <c r="D115" s="759"/>
      <c r="E115" s="759"/>
      <c r="F115" s="759"/>
      <c r="G115" s="759"/>
      <c r="H115" s="759"/>
      <c r="I115" s="759"/>
      <c r="J115" s="759"/>
      <c r="K115" s="759"/>
      <c r="L115" s="759"/>
    </row>
    <row r="116" spans="1:12">
      <c r="B116" s="759"/>
      <c r="C116" s="759"/>
      <c r="D116" s="759"/>
      <c r="E116" s="759"/>
      <c r="F116" s="759"/>
      <c r="G116" s="759"/>
      <c r="H116" s="759"/>
      <c r="I116" s="759"/>
      <c r="J116" s="759"/>
      <c r="K116" s="759"/>
      <c r="L116" s="759"/>
    </row>
    <row r="117" spans="1:12">
      <c r="A117" s="766"/>
      <c r="B117" s="759"/>
      <c r="C117" s="759"/>
      <c r="D117" s="759"/>
      <c r="E117" s="759"/>
      <c r="F117" s="759"/>
      <c r="G117" s="759"/>
      <c r="H117" s="759"/>
      <c r="I117" s="759"/>
      <c r="J117" s="759"/>
      <c r="K117" s="759"/>
      <c r="L117" s="759"/>
    </row>
    <row r="118" spans="1:12">
      <c r="A118" s="766"/>
      <c r="B118" s="767"/>
      <c r="C118" s="767"/>
      <c r="D118" s="768"/>
      <c r="E118" s="767"/>
      <c r="F118" s="759"/>
      <c r="G118" s="759"/>
      <c r="H118" s="759"/>
      <c r="I118" s="759"/>
      <c r="J118" s="759"/>
      <c r="K118" s="759"/>
      <c r="L118" s="759"/>
    </row>
    <row r="119" spans="1:12">
      <c r="B119" s="759"/>
      <c r="C119" s="759"/>
      <c r="D119" s="759"/>
      <c r="E119" s="759"/>
      <c r="F119" s="759"/>
      <c r="G119" s="759"/>
      <c r="H119" s="759"/>
      <c r="I119" s="759"/>
      <c r="J119" s="759"/>
      <c r="K119" s="759"/>
      <c r="L119" s="759"/>
    </row>
    <row r="120" spans="1:12">
      <c r="B120" s="759"/>
      <c r="C120" s="759"/>
      <c r="D120" s="759"/>
      <c r="E120" s="759"/>
      <c r="F120" s="759"/>
      <c r="G120" s="759"/>
      <c r="H120" s="759"/>
      <c r="I120" s="759"/>
      <c r="J120" s="759"/>
      <c r="K120" s="759"/>
      <c r="L120" s="759"/>
    </row>
    <row r="121" spans="1:12">
      <c r="B121" s="759"/>
      <c r="C121" s="759"/>
      <c r="D121" s="759"/>
      <c r="E121" s="759"/>
      <c r="F121" s="759"/>
      <c r="G121" s="759"/>
      <c r="H121" s="759"/>
      <c r="I121" s="759"/>
      <c r="J121" s="759"/>
      <c r="K121" s="759"/>
      <c r="L121" s="759"/>
    </row>
    <row r="122" spans="1:12">
      <c r="B122" s="759"/>
      <c r="C122" s="759"/>
      <c r="D122" s="759"/>
      <c r="E122" s="759"/>
      <c r="F122" s="759"/>
      <c r="G122" s="759"/>
      <c r="H122" s="759"/>
      <c r="I122" s="759"/>
      <c r="J122" s="759"/>
      <c r="K122" s="759"/>
      <c r="L122" s="759"/>
    </row>
    <row r="123" spans="1:12">
      <c r="B123" s="759"/>
      <c r="C123" s="759"/>
      <c r="D123" s="759"/>
      <c r="E123" s="759"/>
      <c r="F123" s="759"/>
      <c r="G123" s="759"/>
      <c r="H123" s="759"/>
      <c r="I123" s="759"/>
      <c r="J123" s="759"/>
      <c r="K123" s="759"/>
      <c r="L123" s="759"/>
    </row>
    <row r="124" spans="1:12">
      <c r="B124" s="759"/>
      <c r="C124" s="759"/>
      <c r="D124" s="759"/>
      <c r="E124" s="759"/>
      <c r="F124" s="759"/>
      <c r="G124" s="759"/>
      <c r="H124" s="759"/>
      <c r="I124" s="759"/>
      <c r="J124" s="759"/>
      <c r="K124" s="759"/>
      <c r="L124" s="759"/>
    </row>
    <row r="125" spans="1:12">
      <c r="B125" s="759"/>
      <c r="C125" s="759"/>
      <c r="D125" s="759"/>
      <c r="E125" s="759"/>
      <c r="F125" s="759"/>
      <c r="G125" s="759"/>
      <c r="H125" s="759"/>
      <c r="I125" s="759"/>
      <c r="J125" s="759"/>
      <c r="K125" s="759"/>
      <c r="L125" s="759"/>
    </row>
    <row r="126" spans="1:12">
      <c r="B126" s="759"/>
      <c r="C126" s="759"/>
      <c r="D126" s="759"/>
      <c r="E126" s="759"/>
      <c r="F126" s="759"/>
      <c r="G126" s="759"/>
      <c r="H126" s="759"/>
      <c r="I126" s="759"/>
      <c r="J126" s="759"/>
      <c r="K126" s="759"/>
      <c r="L126" s="759"/>
    </row>
    <row r="127" spans="1:12">
      <c r="B127" s="759"/>
      <c r="C127" s="759"/>
      <c r="D127" s="759"/>
      <c r="E127" s="759"/>
      <c r="F127" s="759"/>
      <c r="G127" s="759"/>
      <c r="H127" s="759"/>
      <c r="I127" s="759"/>
      <c r="J127" s="759"/>
      <c r="K127" s="759"/>
      <c r="L127" s="759"/>
    </row>
    <row r="128" spans="1:12">
      <c r="B128" s="759"/>
      <c r="C128" s="759"/>
      <c r="D128" s="759"/>
      <c r="E128" s="759"/>
      <c r="F128" s="759"/>
      <c r="G128" s="759"/>
      <c r="H128" s="759"/>
      <c r="I128" s="759"/>
      <c r="J128" s="759"/>
      <c r="K128" s="759"/>
      <c r="L128" s="759"/>
    </row>
    <row r="129" spans="1:12">
      <c r="B129" s="759"/>
      <c r="C129" s="759"/>
      <c r="D129" s="759"/>
      <c r="E129" s="759"/>
      <c r="F129" s="759"/>
      <c r="G129" s="759"/>
      <c r="H129" s="759"/>
      <c r="I129" s="759"/>
      <c r="J129" s="759"/>
      <c r="K129" s="759"/>
      <c r="L129" s="759"/>
    </row>
    <row r="130" spans="1:12">
      <c r="B130" s="759"/>
      <c r="C130" s="759"/>
      <c r="D130" s="759"/>
      <c r="E130" s="759"/>
      <c r="F130" s="759"/>
      <c r="G130" s="759"/>
      <c r="H130" s="759"/>
      <c r="I130" s="759"/>
      <c r="J130" s="759"/>
      <c r="K130" s="759"/>
      <c r="L130" s="759"/>
    </row>
    <row r="131" spans="1:12">
      <c r="A131" s="765"/>
      <c r="B131" s="759"/>
      <c r="C131" s="759"/>
      <c r="D131" s="759"/>
      <c r="E131" s="759"/>
      <c r="F131" s="759"/>
      <c r="G131" s="759"/>
      <c r="H131" s="759"/>
      <c r="I131" s="759"/>
      <c r="J131" s="759"/>
      <c r="K131" s="759"/>
      <c r="L131" s="759"/>
    </row>
    <row r="132" spans="1:12">
      <c r="B132" s="759"/>
      <c r="C132" s="759"/>
      <c r="D132" s="759"/>
      <c r="E132" s="759"/>
      <c r="F132" s="759"/>
      <c r="G132" s="759"/>
      <c r="H132" s="759"/>
      <c r="I132" s="759"/>
      <c r="J132" s="759"/>
      <c r="K132" s="759"/>
      <c r="L132" s="759"/>
    </row>
    <row r="133" spans="1:12">
      <c r="B133" s="759"/>
      <c r="C133" s="759"/>
      <c r="D133" s="759"/>
      <c r="E133" s="759"/>
      <c r="F133" s="759"/>
      <c r="G133" s="759"/>
      <c r="H133" s="759"/>
      <c r="I133" s="759"/>
      <c r="J133" s="759"/>
      <c r="K133" s="759"/>
      <c r="L133" s="759"/>
    </row>
    <row r="134" spans="1:12">
      <c r="A134" s="766"/>
      <c r="B134" s="759"/>
      <c r="C134" s="759"/>
      <c r="D134" s="759"/>
      <c r="E134" s="759"/>
      <c r="F134" s="759"/>
      <c r="G134" s="759"/>
      <c r="H134" s="759"/>
      <c r="I134" s="759"/>
      <c r="J134" s="759"/>
      <c r="K134" s="759"/>
      <c r="L134" s="759"/>
    </row>
    <row r="135" spans="1:12">
      <c r="A135" s="766"/>
      <c r="B135" s="767"/>
      <c r="C135" s="767"/>
      <c r="D135" s="768"/>
      <c r="E135" s="767"/>
      <c r="F135" s="759"/>
      <c r="G135" s="759"/>
      <c r="H135" s="759"/>
      <c r="I135" s="759"/>
      <c r="J135" s="759"/>
      <c r="K135" s="759"/>
      <c r="L135" s="759"/>
    </row>
    <row r="136" spans="1:12">
      <c r="B136" s="759"/>
      <c r="C136" s="759"/>
      <c r="D136" s="759"/>
      <c r="E136" s="759"/>
      <c r="F136" s="759"/>
      <c r="G136" s="759"/>
      <c r="H136" s="759"/>
      <c r="I136" s="759"/>
      <c r="J136" s="759"/>
      <c r="K136" s="759"/>
      <c r="L136" s="759"/>
    </row>
    <row r="137" spans="1:12">
      <c r="B137" s="759"/>
      <c r="C137" s="759"/>
      <c r="D137" s="759"/>
      <c r="E137" s="759"/>
      <c r="F137" s="759"/>
      <c r="G137" s="759"/>
      <c r="H137" s="759"/>
      <c r="I137" s="759"/>
      <c r="J137" s="759"/>
      <c r="K137" s="759"/>
      <c r="L137" s="759"/>
    </row>
    <row r="138" spans="1:12">
      <c r="B138" s="759"/>
      <c r="C138" s="759"/>
      <c r="D138" s="759"/>
      <c r="E138" s="759"/>
      <c r="F138" s="759"/>
      <c r="G138" s="759"/>
      <c r="H138" s="759"/>
      <c r="I138" s="759"/>
      <c r="J138" s="759"/>
      <c r="K138" s="759"/>
      <c r="L138" s="759"/>
    </row>
    <row r="139" spans="1:12">
      <c r="B139" s="759"/>
      <c r="C139" s="759"/>
      <c r="D139" s="759"/>
      <c r="E139" s="759"/>
      <c r="F139" s="759"/>
      <c r="G139" s="759"/>
      <c r="H139" s="759"/>
      <c r="I139" s="759"/>
      <c r="J139" s="759"/>
      <c r="K139" s="759"/>
      <c r="L139" s="759"/>
    </row>
    <row r="140" spans="1:12">
      <c r="B140" s="759"/>
      <c r="C140" s="759"/>
      <c r="D140" s="759"/>
      <c r="E140" s="759"/>
      <c r="F140" s="759"/>
      <c r="G140" s="759"/>
      <c r="H140" s="759"/>
      <c r="I140" s="759"/>
      <c r="J140" s="759"/>
      <c r="K140" s="759"/>
      <c r="L140" s="759"/>
    </row>
    <row r="141" spans="1:12">
      <c r="B141" s="759"/>
      <c r="C141" s="759"/>
      <c r="D141" s="759"/>
      <c r="E141" s="759"/>
      <c r="F141" s="759"/>
      <c r="G141" s="759"/>
      <c r="H141" s="759"/>
      <c r="I141" s="759"/>
      <c r="J141" s="759"/>
      <c r="K141" s="759"/>
      <c r="L141" s="759"/>
    </row>
    <row r="142" spans="1:12">
      <c r="B142" s="759"/>
      <c r="C142" s="759"/>
      <c r="D142" s="759"/>
      <c r="E142" s="759"/>
      <c r="F142" s="759"/>
      <c r="G142" s="759"/>
      <c r="H142" s="759"/>
      <c r="I142" s="759"/>
      <c r="J142" s="759"/>
      <c r="K142" s="759"/>
      <c r="L142" s="759"/>
    </row>
    <row r="143" spans="1:12">
      <c r="B143" s="759"/>
      <c r="C143" s="759"/>
      <c r="D143" s="759"/>
      <c r="E143" s="759"/>
      <c r="F143" s="759"/>
      <c r="G143" s="759"/>
      <c r="H143" s="759"/>
      <c r="I143" s="759"/>
      <c r="J143" s="759"/>
      <c r="K143" s="759"/>
      <c r="L143" s="759"/>
    </row>
    <row r="144" spans="1:12">
      <c r="B144" s="759"/>
      <c r="C144" s="759"/>
      <c r="D144" s="759"/>
      <c r="E144" s="759"/>
      <c r="F144" s="759"/>
      <c r="G144" s="759"/>
      <c r="H144" s="759"/>
      <c r="I144" s="759"/>
      <c r="J144" s="759"/>
      <c r="K144" s="759"/>
      <c r="L144" s="759"/>
    </row>
    <row r="145" spans="1:12">
      <c r="B145" s="759"/>
      <c r="C145" s="759"/>
      <c r="D145" s="759"/>
      <c r="E145" s="759"/>
      <c r="F145" s="759"/>
      <c r="G145" s="759"/>
      <c r="H145" s="759"/>
      <c r="I145" s="759"/>
      <c r="J145" s="759"/>
      <c r="K145" s="759"/>
      <c r="L145" s="759"/>
    </row>
    <row r="146" spans="1:12">
      <c r="B146" s="759"/>
      <c r="C146" s="759"/>
      <c r="D146" s="759"/>
      <c r="E146" s="759"/>
      <c r="F146" s="759"/>
      <c r="G146" s="759"/>
      <c r="H146" s="759"/>
      <c r="I146" s="759"/>
      <c r="J146" s="759"/>
      <c r="K146" s="759"/>
      <c r="L146" s="759"/>
    </row>
    <row r="147" spans="1:12">
      <c r="B147" s="759"/>
      <c r="C147" s="759"/>
      <c r="D147" s="759"/>
      <c r="E147" s="759"/>
      <c r="F147" s="759"/>
      <c r="G147" s="759"/>
      <c r="H147" s="759"/>
      <c r="I147" s="759"/>
      <c r="J147" s="759"/>
      <c r="K147" s="759"/>
      <c r="L147" s="759"/>
    </row>
    <row r="148" spans="1:12">
      <c r="A148" s="765"/>
      <c r="B148" s="759"/>
      <c r="C148" s="759"/>
      <c r="D148" s="759"/>
      <c r="E148" s="759"/>
      <c r="F148" s="759"/>
      <c r="G148" s="759"/>
      <c r="H148" s="759"/>
      <c r="I148" s="759"/>
      <c r="J148" s="759"/>
      <c r="K148" s="759"/>
      <c r="L148" s="759"/>
    </row>
    <row r="149" spans="1:12">
      <c r="B149" s="759"/>
      <c r="C149" s="759"/>
      <c r="D149" s="759"/>
      <c r="E149" s="759"/>
      <c r="F149" s="759"/>
      <c r="G149" s="759"/>
      <c r="H149" s="759"/>
      <c r="I149" s="759"/>
      <c r="J149" s="759"/>
      <c r="K149" s="759"/>
      <c r="L149" s="759"/>
    </row>
    <row r="150" spans="1:12">
      <c r="B150" s="759"/>
      <c r="C150" s="759"/>
      <c r="D150" s="759"/>
      <c r="E150" s="759"/>
      <c r="F150" s="759"/>
      <c r="G150" s="759"/>
      <c r="H150" s="759"/>
      <c r="I150" s="759"/>
      <c r="J150" s="759"/>
      <c r="K150" s="759"/>
      <c r="L150" s="759"/>
    </row>
    <row r="151" spans="1:12">
      <c r="B151" s="759"/>
      <c r="C151" s="759"/>
      <c r="D151" s="759"/>
      <c r="E151" s="759"/>
      <c r="F151" s="759"/>
      <c r="G151" s="759"/>
      <c r="H151" s="759"/>
      <c r="I151" s="759"/>
      <c r="J151" s="759"/>
      <c r="K151" s="759"/>
      <c r="L151" s="759"/>
    </row>
    <row r="152" spans="1:12">
      <c r="B152" s="759"/>
      <c r="C152" s="759"/>
      <c r="D152" s="759"/>
      <c r="E152" s="759"/>
      <c r="F152" s="759"/>
      <c r="G152" s="759"/>
      <c r="H152" s="759"/>
      <c r="I152" s="759"/>
      <c r="J152" s="759"/>
      <c r="K152" s="759"/>
      <c r="L152" s="759"/>
    </row>
    <row r="153" spans="1:12">
      <c r="B153" s="759"/>
      <c r="C153" s="759"/>
      <c r="D153" s="759"/>
      <c r="E153" s="759"/>
      <c r="F153" s="759"/>
      <c r="G153" s="759"/>
      <c r="H153" s="759"/>
      <c r="I153" s="759"/>
      <c r="J153" s="759"/>
      <c r="K153" s="759"/>
      <c r="L153" s="759"/>
    </row>
    <row r="154" spans="1:12">
      <c r="B154" s="759"/>
      <c r="C154" s="759"/>
      <c r="D154" s="759"/>
      <c r="E154" s="759"/>
      <c r="F154" s="759"/>
      <c r="G154" s="759"/>
      <c r="H154" s="759"/>
      <c r="I154" s="759"/>
      <c r="J154" s="759"/>
      <c r="K154" s="759"/>
      <c r="L154" s="759"/>
    </row>
    <row r="155" spans="1:12">
      <c r="B155" s="759"/>
      <c r="C155" s="759"/>
      <c r="D155" s="759"/>
      <c r="E155" s="759"/>
      <c r="F155" s="759"/>
      <c r="G155" s="759"/>
      <c r="H155" s="759"/>
      <c r="I155" s="759"/>
      <c r="J155" s="759"/>
      <c r="K155" s="759"/>
      <c r="L155" s="759"/>
    </row>
    <row r="156" spans="1:12">
      <c r="B156" s="759"/>
      <c r="C156" s="759"/>
      <c r="D156" s="759"/>
      <c r="E156" s="759"/>
      <c r="F156" s="759"/>
      <c r="G156" s="759"/>
      <c r="H156" s="759"/>
      <c r="I156" s="759"/>
      <c r="J156" s="759"/>
      <c r="K156" s="759"/>
      <c r="L156" s="759"/>
    </row>
    <row r="157" spans="1:12">
      <c r="B157" s="759"/>
      <c r="C157" s="759"/>
      <c r="D157" s="759"/>
      <c r="E157" s="759"/>
      <c r="F157" s="759"/>
      <c r="G157" s="759"/>
      <c r="H157" s="759"/>
      <c r="I157" s="759"/>
      <c r="J157" s="759"/>
      <c r="K157" s="759"/>
      <c r="L157" s="759"/>
    </row>
    <row r="158" spans="1:12">
      <c r="B158" s="759"/>
      <c r="C158" s="759"/>
      <c r="D158" s="759"/>
      <c r="E158" s="759"/>
      <c r="F158" s="759"/>
      <c r="G158" s="759"/>
      <c r="H158" s="759"/>
      <c r="I158" s="759"/>
      <c r="J158" s="759"/>
      <c r="K158" s="759"/>
      <c r="L158" s="759"/>
    </row>
    <row r="159" spans="1:12">
      <c r="B159" s="759"/>
      <c r="C159" s="759"/>
      <c r="D159" s="759"/>
      <c r="E159" s="759"/>
      <c r="F159" s="759"/>
      <c r="G159" s="759"/>
      <c r="H159" s="759"/>
      <c r="I159" s="759"/>
      <c r="J159" s="759"/>
      <c r="K159" s="759"/>
      <c r="L159" s="759"/>
    </row>
    <row r="160" spans="1:12">
      <c r="B160" s="759"/>
      <c r="C160" s="759"/>
      <c r="D160" s="759"/>
      <c r="E160" s="759"/>
      <c r="F160" s="759"/>
      <c r="G160" s="759"/>
      <c r="H160" s="759"/>
      <c r="I160" s="759"/>
      <c r="J160" s="759"/>
      <c r="K160" s="759"/>
      <c r="L160" s="759"/>
    </row>
    <row r="161" spans="2:12">
      <c r="B161" s="759"/>
      <c r="C161" s="759"/>
      <c r="D161" s="759"/>
      <c r="E161" s="759"/>
      <c r="F161" s="759"/>
      <c r="G161" s="759"/>
      <c r="H161" s="759"/>
      <c r="I161" s="759"/>
      <c r="J161" s="759"/>
      <c r="K161" s="759"/>
      <c r="L161" s="759"/>
    </row>
    <row r="162" spans="2:12">
      <c r="B162" s="759"/>
      <c r="C162" s="759"/>
      <c r="D162" s="759"/>
      <c r="E162" s="759"/>
      <c r="F162" s="759"/>
      <c r="G162" s="759"/>
      <c r="H162" s="759"/>
      <c r="I162" s="759"/>
      <c r="J162" s="759"/>
      <c r="K162" s="759"/>
      <c r="L162" s="759"/>
    </row>
    <row r="163" spans="2:12">
      <c r="B163" s="759"/>
      <c r="C163" s="759"/>
      <c r="D163" s="759"/>
      <c r="E163" s="759"/>
      <c r="F163" s="759"/>
      <c r="G163" s="759"/>
      <c r="H163" s="759"/>
      <c r="I163" s="759"/>
      <c r="J163" s="759"/>
      <c r="K163" s="759"/>
      <c r="L163" s="759"/>
    </row>
    <row r="164" spans="2:12">
      <c r="B164" s="759"/>
      <c r="C164" s="759"/>
      <c r="D164" s="759"/>
      <c r="E164" s="759"/>
      <c r="F164" s="759"/>
      <c r="G164" s="759"/>
      <c r="H164" s="759"/>
      <c r="I164" s="759"/>
      <c r="J164" s="759"/>
      <c r="K164" s="759"/>
      <c r="L164" s="759"/>
    </row>
    <row r="165" spans="2:12">
      <c r="B165" s="759"/>
      <c r="C165" s="759"/>
      <c r="D165" s="759"/>
      <c r="E165" s="759"/>
      <c r="F165" s="759"/>
      <c r="G165" s="759"/>
      <c r="H165" s="759"/>
      <c r="I165" s="759"/>
      <c r="J165" s="759"/>
      <c r="K165" s="759"/>
      <c r="L165" s="759"/>
    </row>
    <row r="166" spans="2:12">
      <c r="B166" s="759"/>
      <c r="C166" s="759"/>
      <c r="D166" s="759"/>
      <c r="E166" s="759"/>
      <c r="F166" s="759"/>
      <c r="G166" s="759"/>
      <c r="H166" s="759"/>
      <c r="I166" s="759"/>
      <c r="J166" s="759"/>
      <c r="K166" s="759"/>
      <c r="L166" s="759"/>
    </row>
    <row r="167" spans="2:12">
      <c r="B167" s="759"/>
      <c r="C167" s="759"/>
      <c r="D167" s="759"/>
      <c r="E167" s="759"/>
      <c r="F167" s="759"/>
      <c r="G167" s="759"/>
      <c r="H167" s="759"/>
      <c r="I167" s="759"/>
      <c r="J167" s="759"/>
      <c r="K167" s="759"/>
      <c r="L167" s="759"/>
    </row>
    <row r="168" spans="2:12">
      <c r="B168" s="759"/>
      <c r="C168" s="759"/>
      <c r="D168" s="759"/>
      <c r="E168" s="759"/>
      <c r="F168" s="759"/>
      <c r="G168" s="759"/>
      <c r="H168" s="759"/>
      <c r="I168" s="759"/>
      <c r="J168" s="759"/>
      <c r="K168" s="759"/>
      <c r="L168" s="759"/>
    </row>
    <row r="169" spans="2:12">
      <c r="B169" s="759"/>
      <c r="C169" s="759"/>
      <c r="D169" s="759"/>
      <c r="E169" s="759"/>
      <c r="F169" s="759"/>
      <c r="G169" s="759"/>
      <c r="H169" s="759"/>
      <c r="I169" s="759"/>
      <c r="J169" s="759"/>
      <c r="K169" s="759"/>
      <c r="L169" s="759"/>
    </row>
    <row r="170" spans="2:12">
      <c r="B170" s="759"/>
      <c r="C170" s="759"/>
      <c r="D170" s="759"/>
      <c r="E170" s="759"/>
      <c r="F170" s="759"/>
      <c r="G170" s="759"/>
      <c r="H170" s="759"/>
      <c r="I170" s="759"/>
      <c r="J170" s="759"/>
      <c r="K170" s="759"/>
      <c r="L170" s="759"/>
    </row>
    <row r="171" spans="2:12">
      <c r="B171" s="759"/>
      <c r="C171" s="759"/>
      <c r="D171" s="759"/>
      <c r="E171" s="759"/>
      <c r="F171" s="759"/>
      <c r="G171" s="759"/>
      <c r="H171" s="759"/>
      <c r="I171" s="759"/>
      <c r="J171" s="759"/>
      <c r="K171" s="759"/>
      <c r="L171" s="759"/>
    </row>
    <row r="172" spans="2:12">
      <c r="B172" s="759"/>
      <c r="C172" s="759"/>
      <c r="D172" s="759"/>
      <c r="E172" s="759"/>
      <c r="F172" s="759"/>
      <c r="G172" s="759"/>
      <c r="H172" s="759"/>
      <c r="I172" s="759"/>
      <c r="J172" s="759"/>
      <c r="K172" s="759"/>
      <c r="L172" s="759"/>
    </row>
    <row r="173" spans="2:12">
      <c r="B173" s="759"/>
      <c r="C173" s="759"/>
      <c r="D173" s="759"/>
      <c r="E173" s="759"/>
      <c r="F173" s="759"/>
      <c r="G173" s="759"/>
      <c r="H173" s="759"/>
      <c r="I173" s="759"/>
      <c r="J173" s="759"/>
      <c r="K173" s="759"/>
      <c r="L173" s="759"/>
    </row>
    <row r="174" spans="2:12">
      <c r="B174" s="759"/>
      <c r="C174" s="759"/>
      <c r="D174" s="759"/>
      <c r="E174" s="759"/>
      <c r="F174" s="759"/>
      <c r="G174" s="759"/>
      <c r="H174" s="759"/>
      <c r="I174" s="759"/>
      <c r="J174" s="759"/>
      <c r="K174" s="759"/>
      <c r="L174" s="759"/>
    </row>
    <row r="175" spans="2:12">
      <c r="B175" s="759"/>
      <c r="C175" s="759"/>
      <c r="D175" s="759"/>
      <c r="E175" s="759"/>
      <c r="F175" s="759"/>
      <c r="G175" s="759"/>
      <c r="H175" s="759"/>
      <c r="I175" s="759"/>
      <c r="J175" s="759"/>
      <c r="K175" s="759"/>
      <c r="L175" s="759"/>
    </row>
    <row r="176" spans="2:12">
      <c r="B176" s="759"/>
      <c r="C176" s="759"/>
      <c r="D176" s="759"/>
      <c r="E176" s="759"/>
      <c r="F176" s="759"/>
      <c r="G176" s="759"/>
      <c r="H176" s="759"/>
      <c r="I176" s="759"/>
      <c r="J176" s="759"/>
      <c r="K176" s="759"/>
      <c r="L176" s="759"/>
    </row>
    <row r="177" spans="2:12">
      <c r="B177" s="759"/>
      <c r="C177" s="759"/>
      <c r="D177" s="759"/>
      <c r="E177" s="759"/>
      <c r="F177" s="759"/>
      <c r="G177" s="759"/>
      <c r="H177" s="759"/>
      <c r="I177" s="759"/>
      <c r="J177" s="759"/>
      <c r="K177" s="759"/>
      <c r="L177" s="759"/>
    </row>
    <row r="178" spans="2:12">
      <c r="B178" s="759"/>
      <c r="C178" s="759"/>
      <c r="D178" s="759"/>
      <c r="E178" s="759"/>
      <c r="F178" s="759"/>
      <c r="G178" s="759"/>
      <c r="H178" s="759"/>
      <c r="I178" s="759"/>
      <c r="J178" s="759"/>
      <c r="K178" s="759"/>
      <c r="L178" s="759"/>
    </row>
    <row r="179" spans="2:12">
      <c r="B179" s="759"/>
      <c r="C179" s="759"/>
      <c r="D179" s="759"/>
      <c r="E179" s="759"/>
      <c r="F179" s="759"/>
      <c r="G179" s="759"/>
      <c r="H179" s="759"/>
      <c r="I179" s="759"/>
      <c r="J179" s="759"/>
      <c r="K179" s="759"/>
      <c r="L179" s="759"/>
    </row>
    <row r="180" spans="2:12">
      <c r="B180" s="759"/>
      <c r="C180" s="759"/>
      <c r="D180" s="759"/>
      <c r="E180" s="759"/>
      <c r="F180" s="759"/>
      <c r="G180" s="759"/>
      <c r="H180" s="759"/>
      <c r="I180" s="759"/>
      <c r="J180" s="759"/>
      <c r="K180" s="759"/>
      <c r="L180" s="759"/>
    </row>
    <row r="181" spans="2:12">
      <c r="B181" s="759"/>
      <c r="C181" s="759"/>
      <c r="D181" s="759"/>
      <c r="E181" s="759"/>
      <c r="F181" s="759"/>
      <c r="G181" s="759"/>
      <c r="H181" s="759"/>
      <c r="I181" s="759"/>
      <c r="J181" s="759"/>
      <c r="K181" s="759"/>
      <c r="L181" s="759"/>
    </row>
    <row r="182" spans="2:12">
      <c r="B182" s="759"/>
      <c r="C182" s="759"/>
      <c r="D182" s="759"/>
      <c r="E182" s="759"/>
      <c r="F182" s="759"/>
      <c r="G182" s="759"/>
      <c r="H182" s="759"/>
      <c r="I182" s="759"/>
      <c r="J182" s="759"/>
      <c r="K182" s="759"/>
      <c r="L182" s="759"/>
    </row>
    <row r="183" spans="2:12">
      <c r="B183" s="759"/>
      <c r="C183" s="759"/>
      <c r="D183" s="759"/>
      <c r="E183" s="759"/>
      <c r="F183" s="759"/>
      <c r="G183" s="759"/>
      <c r="H183" s="759"/>
      <c r="I183" s="759"/>
      <c r="J183" s="759"/>
      <c r="K183" s="759"/>
      <c r="L183" s="759"/>
    </row>
    <row r="184" spans="2:12">
      <c r="B184" s="759"/>
      <c r="C184" s="759"/>
      <c r="D184" s="759"/>
      <c r="E184" s="759"/>
      <c r="F184" s="759"/>
      <c r="G184" s="759"/>
      <c r="H184" s="759"/>
      <c r="I184" s="759"/>
      <c r="J184" s="759"/>
      <c r="K184" s="759"/>
      <c r="L184" s="759"/>
    </row>
    <row r="185" spans="2:12">
      <c r="B185" s="759"/>
      <c r="C185" s="759"/>
      <c r="D185" s="759"/>
      <c r="E185" s="759"/>
      <c r="F185" s="759"/>
      <c r="G185" s="759"/>
      <c r="H185" s="759"/>
      <c r="I185" s="759"/>
      <c r="J185" s="759"/>
      <c r="K185" s="759"/>
      <c r="L185" s="759"/>
    </row>
    <row r="186" spans="2:12">
      <c r="B186" s="759"/>
      <c r="C186" s="759"/>
      <c r="D186" s="759"/>
      <c r="E186" s="759"/>
      <c r="F186" s="759"/>
      <c r="G186" s="759"/>
      <c r="H186" s="759"/>
      <c r="I186" s="759"/>
      <c r="J186" s="759"/>
      <c r="K186" s="759"/>
      <c r="L186" s="759"/>
    </row>
    <row r="187" spans="2:12">
      <c r="B187" s="759"/>
      <c r="C187" s="759"/>
      <c r="D187" s="759"/>
      <c r="E187" s="759"/>
      <c r="F187" s="759"/>
      <c r="G187" s="759"/>
      <c r="H187" s="759"/>
      <c r="I187" s="759"/>
      <c r="J187" s="759"/>
      <c r="K187" s="759"/>
      <c r="L187" s="759"/>
    </row>
    <row r="188" spans="2:12">
      <c r="B188" s="759"/>
      <c r="C188" s="759"/>
      <c r="D188" s="759"/>
      <c r="E188" s="759"/>
      <c r="F188" s="759"/>
      <c r="G188" s="759"/>
      <c r="H188" s="759"/>
      <c r="I188" s="759"/>
      <c r="J188" s="759"/>
      <c r="K188" s="759"/>
      <c r="L188" s="759"/>
    </row>
    <row r="189" spans="2:12">
      <c r="B189" s="759"/>
      <c r="C189" s="759"/>
      <c r="D189" s="759"/>
      <c r="E189" s="759"/>
      <c r="F189" s="759"/>
      <c r="G189" s="759"/>
      <c r="H189" s="759"/>
      <c r="I189" s="759"/>
      <c r="J189" s="759"/>
      <c r="K189" s="759"/>
      <c r="L189" s="759"/>
    </row>
    <row r="190" spans="2:12">
      <c r="B190" s="759"/>
      <c r="C190" s="759"/>
      <c r="D190" s="759"/>
      <c r="E190" s="759"/>
      <c r="F190" s="759"/>
      <c r="G190" s="759"/>
      <c r="H190" s="759"/>
      <c r="I190" s="759"/>
      <c r="J190" s="759"/>
      <c r="K190" s="759"/>
      <c r="L190" s="759"/>
    </row>
    <row r="191" spans="2:12">
      <c r="B191" s="759"/>
      <c r="C191" s="759"/>
      <c r="D191" s="759"/>
      <c r="E191" s="759"/>
      <c r="F191" s="759"/>
      <c r="G191" s="759"/>
      <c r="H191" s="759"/>
      <c r="I191" s="759"/>
      <c r="J191" s="759"/>
      <c r="K191" s="759"/>
      <c r="L191" s="759"/>
    </row>
    <row r="192" spans="2:12">
      <c r="B192" s="759"/>
      <c r="C192" s="759"/>
      <c r="D192" s="759"/>
      <c r="E192" s="759"/>
      <c r="F192" s="759"/>
      <c r="G192" s="759"/>
      <c r="H192" s="759"/>
      <c r="I192" s="759"/>
      <c r="J192" s="759"/>
      <c r="K192" s="759"/>
      <c r="L192" s="759"/>
    </row>
    <row r="193" spans="2:12">
      <c r="B193" s="759"/>
      <c r="C193" s="759"/>
      <c r="D193" s="759"/>
      <c r="E193" s="759"/>
      <c r="F193" s="759"/>
      <c r="G193" s="759"/>
      <c r="H193" s="759"/>
      <c r="I193" s="759"/>
      <c r="J193" s="759"/>
      <c r="K193" s="759"/>
      <c r="L193" s="759"/>
    </row>
    <row r="194" spans="2:12">
      <c r="B194" s="759"/>
      <c r="C194" s="759"/>
      <c r="D194" s="759"/>
      <c r="E194" s="759"/>
      <c r="F194" s="759"/>
      <c r="G194" s="759"/>
      <c r="H194" s="759"/>
      <c r="I194" s="759"/>
      <c r="J194" s="759"/>
      <c r="K194" s="759"/>
      <c r="L194" s="759"/>
    </row>
    <row r="195" spans="2:12">
      <c r="B195" s="759"/>
      <c r="C195" s="759"/>
      <c r="D195" s="759"/>
      <c r="E195" s="759"/>
      <c r="F195" s="759"/>
      <c r="G195" s="759"/>
      <c r="H195" s="759"/>
      <c r="I195" s="759"/>
      <c r="J195" s="759"/>
      <c r="K195" s="759"/>
      <c r="L195" s="759"/>
    </row>
    <row r="196" spans="2:12">
      <c r="B196" s="759"/>
      <c r="C196" s="759"/>
      <c r="D196" s="759"/>
      <c r="E196" s="759"/>
      <c r="F196" s="759"/>
      <c r="G196" s="759"/>
      <c r="H196" s="759"/>
      <c r="I196" s="759"/>
      <c r="J196" s="759"/>
      <c r="K196" s="759"/>
      <c r="L196" s="759"/>
    </row>
    <row r="197" spans="2:12">
      <c r="B197" s="759"/>
      <c r="C197" s="759"/>
      <c r="D197" s="759"/>
      <c r="E197" s="759"/>
      <c r="F197" s="759"/>
      <c r="G197" s="759"/>
      <c r="H197" s="759"/>
      <c r="I197" s="759"/>
      <c r="J197" s="759"/>
      <c r="K197" s="759"/>
      <c r="L197" s="759"/>
    </row>
    <row r="198" spans="2:12">
      <c r="B198" s="759"/>
      <c r="C198" s="759"/>
      <c r="D198" s="759"/>
      <c r="E198" s="759"/>
      <c r="F198" s="759"/>
      <c r="G198" s="759"/>
      <c r="H198" s="759"/>
      <c r="I198" s="759"/>
      <c r="J198" s="759"/>
      <c r="K198" s="759"/>
      <c r="L198" s="759"/>
    </row>
    <row r="199" spans="2:12">
      <c r="B199" s="759"/>
      <c r="C199" s="759"/>
      <c r="D199" s="759"/>
      <c r="E199" s="759"/>
      <c r="F199" s="759"/>
      <c r="G199" s="759"/>
      <c r="H199" s="759"/>
      <c r="I199" s="759"/>
      <c r="J199" s="759"/>
      <c r="K199" s="759"/>
      <c r="L199" s="759"/>
    </row>
    <row r="200" spans="2:12">
      <c r="B200" s="759"/>
      <c r="C200" s="759"/>
      <c r="D200" s="759"/>
      <c r="E200" s="759"/>
      <c r="F200" s="759"/>
      <c r="G200" s="759"/>
      <c r="H200" s="759"/>
      <c r="I200" s="759"/>
      <c r="J200" s="759"/>
      <c r="K200" s="759"/>
      <c r="L200" s="759"/>
    </row>
    <row r="201" spans="2:12">
      <c r="B201" s="759"/>
      <c r="C201" s="759"/>
      <c r="D201" s="759"/>
      <c r="E201" s="759"/>
      <c r="F201" s="759"/>
      <c r="G201" s="759"/>
      <c r="H201" s="759"/>
      <c r="I201" s="759"/>
      <c r="J201" s="759"/>
      <c r="K201" s="759"/>
      <c r="L201" s="759"/>
    </row>
    <row r="202" spans="2:12">
      <c r="B202" s="759"/>
      <c r="C202" s="759"/>
      <c r="D202" s="759"/>
      <c r="E202" s="759"/>
      <c r="F202" s="759"/>
      <c r="G202" s="759"/>
      <c r="H202" s="759"/>
      <c r="I202" s="759"/>
      <c r="J202" s="759"/>
      <c r="K202" s="759"/>
      <c r="L202" s="759"/>
    </row>
    <row r="203" spans="2:12">
      <c r="B203" s="759"/>
      <c r="C203" s="759"/>
      <c r="D203" s="759"/>
      <c r="E203" s="759"/>
      <c r="F203" s="759"/>
      <c r="G203" s="759"/>
      <c r="H203" s="759"/>
      <c r="I203" s="759"/>
      <c r="J203" s="759"/>
      <c r="K203" s="759"/>
      <c r="L203" s="759"/>
    </row>
    <row r="204" spans="2:12">
      <c r="B204" s="759"/>
      <c r="C204" s="759"/>
      <c r="D204" s="759"/>
      <c r="E204" s="759"/>
      <c r="F204" s="759"/>
      <c r="G204" s="759"/>
      <c r="H204" s="759"/>
      <c r="I204" s="759"/>
      <c r="J204" s="759"/>
      <c r="K204" s="759"/>
      <c r="L204" s="759"/>
    </row>
    <row r="205" spans="2:12">
      <c r="B205" s="759"/>
      <c r="C205" s="759"/>
      <c r="D205" s="759"/>
      <c r="E205" s="759"/>
      <c r="F205" s="759"/>
      <c r="G205" s="759"/>
      <c r="H205" s="759"/>
      <c r="I205" s="759"/>
      <c r="J205" s="759"/>
      <c r="K205" s="759"/>
      <c r="L205" s="759"/>
    </row>
    <row r="206" spans="2:12">
      <c r="B206" s="759"/>
      <c r="C206" s="759"/>
      <c r="D206" s="759"/>
      <c r="E206" s="759"/>
      <c r="F206" s="759"/>
      <c r="G206" s="759"/>
      <c r="H206" s="759"/>
      <c r="I206" s="759"/>
      <c r="J206" s="759"/>
      <c r="K206" s="759"/>
      <c r="L206" s="759"/>
    </row>
    <row r="207" spans="2:12">
      <c r="B207" s="759"/>
      <c r="C207" s="759"/>
      <c r="D207" s="759"/>
      <c r="E207" s="759"/>
      <c r="F207" s="759"/>
      <c r="G207" s="759"/>
      <c r="H207" s="759"/>
      <c r="I207" s="759"/>
      <c r="J207" s="759"/>
      <c r="K207" s="759"/>
      <c r="L207" s="759"/>
    </row>
    <row r="208" spans="2:12">
      <c r="B208" s="759"/>
      <c r="C208" s="759"/>
      <c r="D208" s="759"/>
      <c r="E208" s="759"/>
      <c r="F208" s="759"/>
      <c r="G208" s="759"/>
      <c r="H208" s="759"/>
      <c r="I208" s="759"/>
      <c r="J208" s="759"/>
      <c r="K208" s="759"/>
      <c r="L208" s="759"/>
    </row>
    <row r="209" spans="2:12">
      <c r="B209" s="759"/>
      <c r="C209" s="759"/>
      <c r="D209" s="759"/>
      <c r="E209" s="759"/>
      <c r="F209" s="759"/>
      <c r="G209" s="759"/>
      <c r="H209" s="759"/>
      <c r="I209" s="759"/>
      <c r="J209" s="759"/>
      <c r="K209" s="759"/>
      <c r="L209" s="759"/>
    </row>
    <row r="210" spans="2:12">
      <c r="B210" s="759"/>
      <c r="C210" s="759"/>
      <c r="D210" s="759"/>
      <c r="E210" s="759"/>
      <c r="F210" s="759"/>
      <c r="G210" s="759"/>
      <c r="H210" s="759"/>
      <c r="I210" s="759"/>
      <c r="J210" s="759"/>
      <c r="K210" s="759"/>
      <c r="L210" s="759"/>
    </row>
    <row r="211" spans="2:12">
      <c r="B211" s="759"/>
      <c r="C211" s="759"/>
      <c r="D211" s="759"/>
      <c r="E211" s="759"/>
      <c r="F211" s="759"/>
      <c r="G211" s="759"/>
      <c r="H211" s="759"/>
      <c r="I211" s="759"/>
      <c r="J211" s="759"/>
      <c r="K211" s="759"/>
      <c r="L211" s="759"/>
    </row>
    <row r="212" spans="2:12">
      <c r="B212" s="759"/>
      <c r="C212" s="759"/>
      <c r="D212" s="759"/>
      <c r="E212" s="759"/>
      <c r="F212" s="759"/>
      <c r="G212" s="759"/>
      <c r="H212" s="759"/>
      <c r="I212" s="759"/>
      <c r="J212" s="759"/>
      <c r="K212" s="759"/>
      <c r="L212" s="759"/>
    </row>
    <row r="213" spans="2:12">
      <c r="B213" s="759"/>
      <c r="C213" s="759"/>
      <c r="D213" s="759"/>
      <c r="E213" s="759"/>
      <c r="F213" s="759"/>
      <c r="G213" s="759"/>
      <c r="H213" s="759"/>
      <c r="I213" s="759"/>
      <c r="J213" s="759"/>
      <c r="K213" s="759"/>
      <c r="L213" s="759"/>
    </row>
    <row r="214" spans="2:12">
      <c r="B214" s="759"/>
      <c r="C214" s="759"/>
      <c r="D214" s="759"/>
      <c r="E214" s="759"/>
      <c r="F214" s="759"/>
      <c r="G214" s="759"/>
      <c r="H214" s="759"/>
      <c r="I214" s="759"/>
      <c r="J214" s="759"/>
      <c r="K214" s="759"/>
      <c r="L214" s="759"/>
    </row>
    <row r="215" spans="2:12">
      <c r="B215" s="759"/>
      <c r="C215" s="759"/>
      <c r="D215" s="759"/>
      <c r="E215" s="759"/>
      <c r="F215" s="759"/>
      <c r="G215" s="759"/>
      <c r="H215" s="759"/>
      <c r="I215" s="759"/>
      <c r="J215" s="759"/>
      <c r="K215" s="759"/>
      <c r="L215" s="759"/>
    </row>
    <row r="216" spans="2:12">
      <c r="B216" s="759"/>
      <c r="C216" s="759"/>
      <c r="D216" s="759"/>
      <c r="E216" s="759"/>
      <c r="F216" s="759"/>
      <c r="G216" s="759"/>
      <c r="H216" s="759"/>
      <c r="I216" s="759"/>
      <c r="J216" s="759"/>
      <c r="K216" s="759"/>
      <c r="L216" s="759"/>
    </row>
    <row r="217" spans="2:12">
      <c r="B217" s="759"/>
      <c r="C217" s="759"/>
      <c r="D217" s="759"/>
      <c r="E217" s="759"/>
      <c r="F217" s="759"/>
      <c r="G217" s="759"/>
      <c r="H217" s="759"/>
      <c r="I217" s="759"/>
      <c r="J217" s="759"/>
      <c r="K217" s="759"/>
      <c r="L217" s="759"/>
    </row>
    <row r="218" spans="2:12">
      <c r="B218" s="759"/>
      <c r="C218" s="759"/>
      <c r="D218" s="759"/>
      <c r="E218" s="759"/>
      <c r="F218" s="759"/>
      <c r="G218" s="759"/>
      <c r="H218" s="759"/>
      <c r="I218" s="759"/>
      <c r="J218" s="759"/>
      <c r="K218" s="759"/>
      <c r="L218" s="759"/>
    </row>
    <row r="219" spans="2:12">
      <c r="B219" s="759"/>
      <c r="C219" s="759"/>
      <c r="D219" s="759"/>
      <c r="E219" s="759"/>
      <c r="F219" s="759"/>
      <c r="G219" s="759"/>
      <c r="H219" s="759"/>
      <c r="I219" s="759"/>
      <c r="J219" s="759"/>
      <c r="K219" s="759"/>
      <c r="L219" s="759"/>
    </row>
    <row r="220" spans="2:12">
      <c r="B220" s="759"/>
      <c r="C220" s="759"/>
      <c r="D220" s="759"/>
      <c r="E220" s="759"/>
      <c r="F220" s="759"/>
      <c r="G220" s="759"/>
      <c r="H220" s="759"/>
      <c r="I220" s="759"/>
      <c r="J220" s="759"/>
      <c r="K220" s="759"/>
      <c r="L220" s="759"/>
    </row>
    <row r="221" spans="2:12">
      <c r="B221" s="759"/>
      <c r="C221" s="759"/>
      <c r="D221" s="759"/>
      <c r="E221" s="759"/>
      <c r="F221" s="759"/>
      <c r="G221" s="759"/>
      <c r="H221" s="759"/>
      <c r="I221" s="759"/>
      <c r="J221" s="759"/>
      <c r="K221" s="759"/>
      <c r="L221" s="759"/>
    </row>
    <row r="222" spans="2:12">
      <c r="B222" s="759"/>
      <c r="C222" s="759"/>
      <c r="D222" s="759"/>
      <c r="E222" s="759"/>
      <c r="F222" s="759"/>
      <c r="G222" s="759"/>
      <c r="H222" s="759"/>
      <c r="I222" s="759"/>
      <c r="J222" s="759"/>
      <c r="K222" s="759"/>
      <c r="L222" s="759"/>
    </row>
    <row r="223" spans="2:12">
      <c r="B223" s="759"/>
      <c r="C223" s="759"/>
      <c r="D223" s="759"/>
      <c r="E223" s="759"/>
      <c r="F223" s="759"/>
      <c r="G223" s="759"/>
      <c r="H223" s="759"/>
      <c r="I223" s="759"/>
      <c r="J223" s="759"/>
      <c r="K223" s="759"/>
      <c r="L223" s="759"/>
    </row>
    <row r="224" spans="2:12">
      <c r="B224" s="759"/>
      <c r="C224" s="759"/>
      <c r="D224" s="759"/>
      <c r="E224" s="759"/>
      <c r="F224" s="759"/>
      <c r="G224" s="759"/>
      <c r="H224" s="759"/>
      <c r="I224" s="759"/>
      <c r="J224" s="759"/>
      <c r="K224" s="759"/>
      <c r="L224" s="759"/>
    </row>
    <row r="225" spans="2:12">
      <c r="B225" s="759"/>
      <c r="C225" s="759"/>
      <c r="D225" s="759"/>
      <c r="E225" s="759"/>
      <c r="F225" s="759"/>
      <c r="G225" s="759"/>
      <c r="H225" s="759"/>
      <c r="I225" s="759"/>
      <c r="J225" s="759"/>
      <c r="K225" s="759"/>
      <c r="L225" s="759"/>
    </row>
    <row r="226" spans="2:12">
      <c r="B226" s="759"/>
      <c r="C226" s="759"/>
      <c r="D226" s="759"/>
      <c r="E226" s="759"/>
      <c r="F226" s="759"/>
      <c r="G226" s="759"/>
      <c r="H226" s="759"/>
      <c r="I226" s="759"/>
      <c r="J226" s="759"/>
      <c r="K226" s="759"/>
      <c r="L226" s="759"/>
    </row>
    <row r="227" spans="2:12">
      <c r="B227" s="759"/>
      <c r="C227" s="759"/>
      <c r="D227" s="759"/>
      <c r="E227" s="759"/>
      <c r="F227" s="759"/>
      <c r="G227" s="759"/>
      <c r="H227" s="759"/>
      <c r="I227" s="759"/>
      <c r="J227" s="759"/>
      <c r="K227" s="759"/>
      <c r="L227" s="759"/>
    </row>
    <row r="228" spans="2:12">
      <c r="B228" s="759"/>
      <c r="C228" s="759"/>
      <c r="D228" s="759"/>
      <c r="E228" s="759"/>
      <c r="F228" s="759"/>
      <c r="G228" s="759"/>
      <c r="H228" s="759"/>
      <c r="I228" s="759"/>
      <c r="J228" s="759"/>
      <c r="K228" s="759"/>
      <c r="L228" s="759"/>
    </row>
    <row r="229" spans="2:12">
      <c r="B229" s="759"/>
      <c r="C229" s="759"/>
      <c r="D229" s="759"/>
      <c r="E229" s="759"/>
      <c r="F229" s="759"/>
      <c r="G229" s="759"/>
      <c r="H229" s="759"/>
      <c r="I229" s="759"/>
      <c r="J229" s="759"/>
      <c r="K229" s="759"/>
      <c r="L229" s="759"/>
    </row>
    <row r="230" spans="2:12">
      <c r="B230" s="759"/>
      <c r="C230" s="759"/>
      <c r="D230" s="759"/>
      <c r="E230" s="759"/>
      <c r="F230" s="759"/>
      <c r="G230" s="759"/>
      <c r="H230" s="759"/>
      <c r="I230" s="759"/>
      <c r="J230" s="759"/>
      <c r="K230" s="759"/>
      <c r="L230" s="759"/>
    </row>
    <row r="231" spans="2:12">
      <c r="B231" s="759"/>
      <c r="C231" s="759"/>
      <c r="D231" s="759"/>
      <c r="E231" s="759"/>
      <c r="F231" s="759"/>
      <c r="G231" s="759"/>
      <c r="H231" s="759"/>
      <c r="I231" s="759"/>
      <c r="J231" s="759"/>
      <c r="K231" s="759"/>
      <c r="L231" s="759"/>
    </row>
    <row r="232" spans="2:12">
      <c r="B232" s="759"/>
      <c r="C232" s="759"/>
      <c r="D232" s="759"/>
      <c r="E232" s="759"/>
      <c r="F232" s="759"/>
      <c r="G232" s="759"/>
      <c r="H232" s="759"/>
      <c r="I232" s="759"/>
      <c r="J232" s="759"/>
      <c r="K232" s="759"/>
      <c r="L232" s="759"/>
    </row>
    <row r="233" spans="2:12">
      <c r="B233" s="759"/>
      <c r="C233" s="759"/>
      <c r="D233" s="759"/>
      <c r="E233" s="759"/>
      <c r="F233" s="759"/>
      <c r="G233" s="759"/>
      <c r="H233" s="759"/>
      <c r="I233" s="759"/>
      <c r="J233" s="759"/>
      <c r="K233" s="759"/>
      <c r="L233" s="759"/>
    </row>
    <row r="234" spans="2:12">
      <c r="B234" s="759"/>
      <c r="C234" s="759"/>
      <c r="D234" s="759"/>
      <c r="E234" s="759"/>
      <c r="F234" s="759"/>
      <c r="G234" s="759"/>
      <c r="H234" s="759"/>
      <c r="I234" s="759"/>
      <c r="J234" s="759"/>
      <c r="K234" s="759"/>
      <c r="L234" s="759"/>
    </row>
    <row r="235" spans="2:12">
      <c r="B235" s="759"/>
      <c r="C235" s="759"/>
      <c r="D235" s="759"/>
      <c r="E235" s="759"/>
      <c r="F235" s="759"/>
      <c r="G235" s="759"/>
      <c r="H235" s="759"/>
      <c r="I235" s="759"/>
      <c r="J235" s="759"/>
      <c r="K235" s="759"/>
      <c r="L235" s="759"/>
    </row>
    <row r="236" spans="2:12">
      <c r="B236" s="759"/>
      <c r="C236" s="759"/>
      <c r="D236" s="759"/>
      <c r="E236" s="759"/>
      <c r="F236" s="759"/>
      <c r="G236" s="759"/>
      <c r="H236" s="759"/>
      <c r="I236" s="759"/>
      <c r="J236" s="759"/>
      <c r="K236" s="759"/>
      <c r="L236" s="759"/>
    </row>
    <row r="237" spans="2:12">
      <c r="B237" s="759"/>
      <c r="C237" s="759"/>
      <c r="D237" s="759"/>
      <c r="E237" s="759"/>
      <c r="F237" s="759"/>
      <c r="G237" s="759"/>
      <c r="H237" s="759"/>
      <c r="I237" s="759"/>
      <c r="J237" s="759"/>
      <c r="K237" s="759"/>
      <c r="L237" s="759"/>
    </row>
    <row r="238" spans="2:12">
      <c r="B238" s="759"/>
      <c r="C238" s="759"/>
      <c r="D238" s="759"/>
      <c r="E238" s="759"/>
      <c r="F238" s="759"/>
      <c r="G238" s="759"/>
      <c r="H238" s="759"/>
      <c r="I238" s="759"/>
      <c r="J238" s="759"/>
      <c r="K238" s="759"/>
      <c r="L238" s="759"/>
    </row>
    <row r="239" spans="2:12">
      <c r="B239" s="759"/>
      <c r="C239" s="759"/>
      <c r="D239" s="759"/>
      <c r="E239" s="759"/>
      <c r="F239" s="759"/>
      <c r="G239" s="759"/>
      <c r="H239" s="759"/>
      <c r="I239" s="759"/>
      <c r="J239" s="759"/>
      <c r="K239" s="759"/>
      <c r="L239" s="759"/>
    </row>
    <row r="240" spans="2:12">
      <c r="B240" s="759"/>
      <c r="C240" s="759"/>
      <c r="D240" s="759"/>
      <c r="E240" s="759"/>
      <c r="F240" s="759"/>
      <c r="G240" s="759"/>
      <c r="H240" s="759"/>
      <c r="I240" s="759"/>
      <c r="J240" s="759"/>
      <c r="K240" s="759"/>
      <c r="L240" s="759"/>
    </row>
    <row r="241" spans="2:12">
      <c r="B241" s="759"/>
      <c r="C241" s="759"/>
      <c r="D241" s="759"/>
      <c r="E241" s="759"/>
      <c r="F241" s="759"/>
      <c r="G241" s="759"/>
      <c r="H241" s="759"/>
      <c r="I241" s="759"/>
      <c r="J241" s="759"/>
      <c r="K241" s="759"/>
      <c r="L241" s="759"/>
    </row>
    <row r="242" spans="2:12">
      <c r="B242" s="759"/>
      <c r="C242" s="759"/>
      <c r="D242" s="759"/>
      <c r="E242" s="759"/>
      <c r="F242" s="759"/>
      <c r="G242" s="759"/>
      <c r="H242" s="759"/>
      <c r="I242" s="759"/>
      <c r="J242" s="759"/>
      <c r="K242" s="759"/>
      <c r="L242" s="759"/>
    </row>
    <row r="243" spans="2:12">
      <c r="B243" s="759"/>
      <c r="C243" s="759"/>
      <c r="D243" s="759"/>
      <c r="E243" s="759"/>
      <c r="F243" s="759"/>
      <c r="G243" s="759"/>
      <c r="H243" s="759"/>
      <c r="I243" s="759"/>
      <c r="J243" s="759"/>
      <c r="K243" s="759"/>
      <c r="L243" s="759"/>
    </row>
    <row r="244" spans="2:12">
      <c r="B244" s="759"/>
      <c r="C244" s="759"/>
      <c r="D244" s="759"/>
      <c r="E244" s="759"/>
      <c r="F244" s="759"/>
      <c r="G244" s="759"/>
      <c r="H244" s="759"/>
      <c r="I244" s="759"/>
      <c r="J244" s="759"/>
      <c r="K244" s="759"/>
      <c r="L244" s="759"/>
    </row>
    <row r="245" spans="2:12">
      <c r="B245" s="759"/>
      <c r="C245" s="759"/>
      <c r="D245" s="759"/>
      <c r="E245" s="759"/>
      <c r="F245" s="759"/>
      <c r="G245" s="759"/>
      <c r="H245" s="759"/>
      <c r="I245" s="759"/>
      <c r="J245" s="759"/>
      <c r="K245" s="759"/>
      <c r="L245" s="759"/>
    </row>
    <row r="246" spans="2:12">
      <c r="B246" s="759"/>
      <c r="C246" s="759"/>
      <c r="D246" s="759"/>
      <c r="E246" s="759"/>
      <c r="F246" s="759"/>
      <c r="G246" s="759"/>
      <c r="H246" s="759"/>
      <c r="I246" s="759"/>
      <c r="J246" s="759"/>
      <c r="K246" s="759"/>
      <c r="L246" s="759"/>
    </row>
    <row r="247" spans="2:12">
      <c r="B247" s="759"/>
      <c r="C247" s="759"/>
      <c r="D247" s="759"/>
      <c r="E247" s="759"/>
      <c r="F247" s="759"/>
      <c r="G247" s="759"/>
      <c r="H247" s="759"/>
      <c r="I247" s="759"/>
      <c r="J247" s="759"/>
      <c r="K247" s="759"/>
      <c r="L247" s="759"/>
    </row>
    <row r="248" spans="2:12">
      <c r="B248" s="759"/>
      <c r="C248" s="759"/>
      <c r="D248" s="759"/>
      <c r="E248" s="759"/>
      <c r="F248" s="759"/>
      <c r="G248" s="759"/>
      <c r="H248" s="759"/>
      <c r="I248" s="759"/>
      <c r="J248" s="759"/>
      <c r="K248" s="759"/>
      <c r="L248" s="759"/>
    </row>
    <row r="249" spans="2:12">
      <c r="B249" s="759"/>
      <c r="C249" s="759"/>
      <c r="D249" s="759"/>
      <c r="E249" s="759"/>
      <c r="F249" s="759"/>
      <c r="G249" s="759"/>
      <c r="H249" s="759"/>
      <c r="I249" s="759"/>
      <c r="J249" s="759"/>
      <c r="K249" s="759"/>
      <c r="L249" s="759"/>
    </row>
    <row r="250" spans="2:12">
      <c r="B250" s="759"/>
      <c r="C250" s="759"/>
      <c r="D250" s="759"/>
      <c r="E250" s="759"/>
      <c r="F250" s="759"/>
      <c r="G250" s="759"/>
      <c r="H250" s="759"/>
      <c r="I250" s="759"/>
      <c r="J250" s="759"/>
      <c r="K250" s="759"/>
      <c r="L250" s="759"/>
    </row>
    <row r="251" spans="2:12">
      <c r="B251" s="759"/>
      <c r="C251" s="759"/>
      <c r="D251" s="759"/>
      <c r="E251" s="759"/>
      <c r="F251" s="759"/>
      <c r="G251" s="759"/>
      <c r="H251" s="759"/>
      <c r="I251" s="759"/>
      <c r="J251" s="759"/>
      <c r="K251" s="759"/>
      <c r="L251" s="759"/>
    </row>
    <row r="252" spans="2:12">
      <c r="B252" s="759"/>
      <c r="C252" s="759"/>
      <c r="D252" s="759"/>
      <c r="E252" s="759"/>
      <c r="F252" s="759"/>
      <c r="G252" s="759"/>
      <c r="H252" s="759"/>
      <c r="I252" s="759"/>
      <c r="J252" s="759"/>
      <c r="K252" s="759"/>
      <c r="L252" s="759"/>
    </row>
    <row r="253" spans="2:12">
      <c r="B253" s="759"/>
      <c r="C253" s="759"/>
      <c r="D253" s="759"/>
      <c r="E253" s="759"/>
      <c r="F253" s="759"/>
      <c r="G253" s="759"/>
      <c r="H253" s="759"/>
      <c r="I253" s="759"/>
      <c r="J253" s="759"/>
      <c r="K253" s="759"/>
      <c r="L253" s="759"/>
    </row>
    <row r="254" spans="2:12">
      <c r="B254" s="759"/>
      <c r="C254" s="759"/>
      <c r="D254" s="759"/>
      <c r="E254" s="759"/>
      <c r="F254" s="759"/>
      <c r="G254" s="759"/>
      <c r="H254" s="759"/>
      <c r="I254" s="759"/>
      <c r="J254" s="759"/>
      <c r="K254" s="759"/>
      <c r="L254" s="759"/>
    </row>
    <row r="255" spans="2:12">
      <c r="B255" s="759"/>
      <c r="C255" s="759"/>
      <c r="D255" s="759"/>
      <c r="E255" s="759"/>
      <c r="F255" s="759"/>
      <c r="G255" s="759"/>
      <c r="H255" s="759"/>
      <c r="I255" s="759"/>
      <c r="J255" s="759"/>
      <c r="K255" s="759"/>
      <c r="L255" s="759"/>
    </row>
    <row r="256" spans="2:12">
      <c r="B256" s="759"/>
      <c r="C256" s="759"/>
      <c r="D256" s="759"/>
      <c r="E256" s="759"/>
      <c r="F256" s="759"/>
      <c r="G256" s="759"/>
      <c r="H256" s="759"/>
      <c r="I256" s="759"/>
      <c r="J256" s="759"/>
      <c r="K256" s="759"/>
      <c r="L256" s="759"/>
    </row>
    <row r="257" spans="2:12">
      <c r="B257" s="759"/>
      <c r="C257" s="759"/>
      <c r="D257" s="759"/>
      <c r="E257" s="759"/>
      <c r="F257" s="759"/>
      <c r="G257" s="759"/>
      <c r="H257" s="759"/>
      <c r="I257" s="759"/>
      <c r="J257" s="759"/>
      <c r="K257" s="759"/>
      <c r="L257" s="759"/>
    </row>
    <row r="258" spans="2:12">
      <c r="B258" s="759"/>
      <c r="C258" s="759"/>
      <c r="D258" s="759"/>
      <c r="E258" s="759"/>
      <c r="F258" s="759"/>
      <c r="G258" s="759"/>
      <c r="H258" s="759"/>
      <c r="I258" s="759"/>
      <c r="J258" s="759"/>
      <c r="K258" s="759"/>
      <c r="L258" s="759"/>
    </row>
    <row r="259" spans="2:12">
      <c r="B259" s="759"/>
      <c r="C259" s="759"/>
      <c r="D259" s="759"/>
      <c r="E259" s="759"/>
      <c r="F259" s="759"/>
      <c r="G259" s="759"/>
      <c r="H259" s="759"/>
      <c r="I259" s="759"/>
      <c r="J259" s="759"/>
      <c r="K259" s="759"/>
      <c r="L259" s="759"/>
    </row>
    <row r="260" spans="2:12">
      <c r="B260" s="759"/>
      <c r="C260" s="759"/>
      <c r="D260" s="759"/>
      <c r="E260" s="759"/>
      <c r="F260" s="759"/>
      <c r="G260" s="759"/>
      <c r="H260" s="759"/>
      <c r="I260" s="759"/>
      <c r="J260" s="759"/>
      <c r="K260" s="759"/>
      <c r="L260" s="759"/>
    </row>
    <row r="261" spans="2:12">
      <c r="B261" s="759"/>
      <c r="C261" s="759"/>
      <c r="D261" s="759"/>
      <c r="E261" s="759"/>
      <c r="F261" s="759"/>
      <c r="G261" s="759"/>
      <c r="H261" s="759"/>
      <c r="I261" s="759"/>
      <c r="J261" s="759"/>
      <c r="K261" s="759"/>
      <c r="L261" s="759"/>
    </row>
    <row r="262" spans="2:12">
      <c r="B262" s="759"/>
      <c r="C262" s="759"/>
      <c r="D262" s="759"/>
      <c r="E262" s="759"/>
      <c r="F262" s="759"/>
      <c r="G262" s="759"/>
      <c r="H262" s="759"/>
      <c r="I262" s="759"/>
      <c r="J262" s="759"/>
      <c r="K262" s="759"/>
      <c r="L262" s="759"/>
    </row>
    <row r="263" spans="2:12">
      <c r="B263" s="759"/>
      <c r="C263" s="759"/>
      <c r="D263" s="759"/>
      <c r="E263" s="759"/>
      <c r="F263" s="759"/>
      <c r="G263" s="759"/>
      <c r="H263" s="759"/>
      <c r="I263" s="759"/>
      <c r="J263" s="759"/>
      <c r="K263" s="759"/>
      <c r="L263" s="759"/>
    </row>
    <row r="264" spans="2:12">
      <c r="B264" s="759"/>
      <c r="C264" s="759"/>
      <c r="D264" s="759"/>
      <c r="E264" s="759"/>
      <c r="F264" s="759"/>
      <c r="G264" s="759"/>
      <c r="H264" s="759"/>
      <c r="I264" s="759"/>
      <c r="J264" s="759"/>
      <c r="K264" s="759"/>
      <c r="L264" s="759"/>
    </row>
    <row r="265" spans="2:12">
      <c r="B265" s="759"/>
      <c r="C265" s="759"/>
      <c r="D265" s="759"/>
      <c r="E265" s="759"/>
      <c r="F265" s="759"/>
      <c r="G265" s="759"/>
      <c r="H265" s="759"/>
      <c r="I265" s="759"/>
      <c r="J265" s="759"/>
      <c r="K265" s="759"/>
      <c r="L265" s="759"/>
    </row>
    <row r="266" spans="2:12">
      <c r="B266" s="759"/>
      <c r="C266" s="759"/>
      <c r="D266" s="759"/>
      <c r="E266" s="759"/>
      <c r="F266" s="759"/>
      <c r="G266" s="759"/>
      <c r="H266" s="759"/>
      <c r="I266" s="759"/>
      <c r="J266" s="759"/>
      <c r="K266" s="759"/>
      <c r="L266" s="759"/>
    </row>
    <row r="267" spans="2:12">
      <c r="B267" s="759"/>
      <c r="C267" s="759"/>
      <c r="D267" s="759"/>
      <c r="E267" s="759"/>
      <c r="F267" s="759"/>
      <c r="G267" s="759"/>
      <c r="H267" s="759"/>
      <c r="I267" s="759"/>
      <c r="J267" s="759"/>
      <c r="K267" s="759"/>
      <c r="L267" s="759"/>
    </row>
    <row r="268" spans="2:12">
      <c r="B268" s="759"/>
      <c r="C268" s="759"/>
      <c r="D268" s="759"/>
      <c r="E268" s="759"/>
      <c r="F268" s="759"/>
      <c r="G268" s="759"/>
      <c r="H268" s="759"/>
      <c r="I268" s="759"/>
      <c r="J268" s="759"/>
      <c r="K268" s="759"/>
      <c r="L268" s="759"/>
    </row>
    <row r="269" spans="2:12">
      <c r="B269" s="759"/>
      <c r="C269" s="759"/>
      <c r="D269" s="759"/>
      <c r="E269" s="759"/>
      <c r="F269" s="759"/>
      <c r="G269" s="759"/>
      <c r="H269" s="759"/>
      <c r="I269" s="759"/>
      <c r="J269" s="759"/>
      <c r="K269" s="759"/>
      <c r="L269" s="759"/>
    </row>
    <row r="270" spans="2:12">
      <c r="B270" s="759"/>
      <c r="C270" s="759"/>
      <c r="D270" s="759"/>
      <c r="E270" s="759"/>
      <c r="F270" s="759"/>
      <c r="G270" s="759"/>
      <c r="H270" s="759"/>
      <c r="I270" s="759"/>
      <c r="J270" s="759"/>
      <c r="K270" s="759"/>
      <c r="L270" s="759"/>
    </row>
    <row r="271" spans="2:12">
      <c r="B271" s="759"/>
      <c r="C271" s="759"/>
      <c r="D271" s="759"/>
      <c r="E271" s="759"/>
      <c r="F271" s="759"/>
      <c r="G271" s="759"/>
      <c r="H271" s="759"/>
      <c r="I271" s="759"/>
      <c r="J271" s="759"/>
      <c r="K271" s="759"/>
      <c r="L271" s="759"/>
    </row>
    <row r="272" spans="2:12">
      <c r="B272" s="759"/>
      <c r="C272" s="759"/>
      <c r="D272" s="759"/>
      <c r="E272" s="759"/>
      <c r="F272" s="759"/>
      <c r="G272" s="759"/>
      <c r="H272" s="759"/>
      <c r="I272" s="759"/>
      <c r="J272" s="759"/>
      <c r="K272" s="759"/>
      <c r="L272" s="759"/>
    </row>
    <row r="273" spans="2:12">
      <c r="B273" s="759"/>
      <c r="C273" s="759"/>
      <c r="D273" s="759"/>
      <c r="E273" s="759"/>
      <c r="F273" s="759"/>
      <c r="G273" s="759"/>
      <c r="H273" s="759"/>
      <c r="I273" s="759"/>
      <c r="J273" s="759"/>
      <c r="K273" s="759"/>
      <c r="L273" s="759"/>
    </row>
    <row r="274" spans="2:12">
      <c r="B274" s="759"/>
      <c r="C274" s="759"/>
      <c r="D274" s="759"/>
      <c r="E274" s="759"/>
      <c r="F274" s="759"/>
      <c r="G274" s="759"/>
      <c r="H274" s="759"/>
      <c r="I274" s="759"/>
      <c r="J274" s="759"/>
      <c r="K274" s="759"/>
      <c r="L274" s="759"/>
    </row>
    <row r="275" spans="2:12">
      <c r="B275" s="759"/>
      <c r="C275" s="759"/>
      <c r="D275" s="759"/>
      <c r="E275" s="759"/>
      <c r="F275" s="759"/>
      <c r="G275" s="759"/>
      <c r="H275" s="759"/>
      <c r="I275" s="759"/>
      <c r="J275" s="759"/>
      <c r="K275" s="759"/>
      <c r="L275" s="759"/>
    </row>
    <row r="276" spans="2:12">
      <c r="B276" s="759"/>
      <c r="C276" s="759"/>
      <c r="D276" s="759"/>
      <c r="E276" s="759"/>
      <c r="F276" s="759"/>
      <c r="G276" s="759"/>
      <c r="H276" s="759"/>
      <c r="I276" s="759"/>
      <c r="J276" s="759"/>
      <c r="K276" s="759"/>
      <c r="L276" s="759"/>
    </row>
    <row r="277" spans="2:12">
      <c r="B277" s="759"/>
      <c r="C277" s="759"/>
      <c r="D277" s="759"/>
      <c r="E277" s="759"/>
      <c r="F277" s="759"/>
      <c r="G277" s="759"/>
      <c r="H277" s="759"/>
      <c r="I277" s="759"/>
      <c r="J277" s="759"/>
      <c r="K277" s="759"/>
      <c r="L277" s="759"/>
    </row>
    <row r="278" spans="2:12">
      <c r="B278" s="759"/>
      <c r="C278" s="759"/>
      <c r="D278" s="759"/>
      <c r="E278" s="759"/>
      <c r="F278" s="759"/>
      <c r="G278" s="759"/>
      <c r="H278" s="759"/>
      <c r="I278" s="759"/>
      <c r="J278" s="759"/>
      <c r="K278" s="759"/>
      <c r="L278" s="759"/>
    </row>
    <row r="279" spans="2:12">
      <c r="B279" s="759"/>
      <c r="C279" s="759"/>
      <c r="D279" s="759"/>
      <c r="E279" s="759"/>
      <c r="F279" s="759"/>
      <c r="G279" s="759"/>
      <c r="H279" s="759"/>
      <c r="I279" s="759"/>
      <c r="J279" s="759"/>
      <c r="K279" s="759"/>
      <c r="L279" s="759"/>
    </row>
    <row r="280" spans="2:12">
      <c r="B280" s="759"/>
      <c r="C280" s="759"/>
      <c r="D280" s="759"/>
      <c r="E280" s="759"/>
      <c r="F280" s="759"/>
      <c r="G280" s="759"/>
      <c r="H280" s="759"/>
      <c r="I280" s="759"/>
      <c r="J280" s="759"/>
      <c r="K280" s="759"/>
      <c r="L280" s="759"/>
    </row>
    <row r="281" spans="2:12">
      <c r="B281" s="759"/>
      <c r="C281" s="759"/>
      <c r="D281" s="759"/>
      <c r="E281" s="759"/>
      <c r="F281" s="759"/>
      <c r="G281" s="759"/>
      <c r="H281" s="759"/>
      <c r="I281" s="759"/>
      <c r="J281" s="759"/>
      <c r="K281" s="759"/>
      <c r="L281" s="759"/>
    </row>
    <row r="282" spans="2:12">
      <c r="B282" s="759"/>
      <c r="C282" s="759"/>
      <c r="D282" s="759"/>
      <c r="E282" s="759"/>
      <c r="F282" s="759"/>
      <c r="G282" s="759"/>
      <c r="H282" s="759"/>
      <c r="I282" s="759"/>
      <c r="J282" s="759"/>
      <c r="K282" s="759"/>
      <c r="L282" s="759"/>
    </row>
    <row r="283" spans="2:12">
      <c r="B283" s="759"/>
      <c r="C283" s="759"/>
      <c r="D283" s="759"/>
      <c r="E283" s="759"/>
      <c r="F283" s="759"/>
      <c r="G283" s="759"/>
      <c r="H283" s="759"/>
      <c r="I283" s="759"/>
      <c r="J283" s="759"/>
      <c r="K283" s="759"/>
      <c r="L283" s="759"/>
    </row>
    <row r="284" spans="2:12">
      <c r="B284" s="759"/>
      <c r="C284" s="759"/>
      <c r="D284" s="759"/>
      <c r="E284" s="759"/>
      <c r="F284" s="759"/>
      <c r="G284" s="759"/>
      <c r="H284" s="759"/>
      <c r="I284" s="759"/>
      <c r="J284" s="759"/>
      <c r="K284" s="759"/>
      <c r="L284" s="759"/>
    </row>
    <row r="285" spans="2:12">
      <c r="B285" s="759"/>
      <c r="C285" s="759"/>
      <c r="D285" s="759"/>
      <c r="E285" s="759"/>
      <c r="F285" s="759"/>
      <c r="G285" s="759"/>
      <c r="H285" s="759"/>
      <c r="I285" s="759"/>
      <c r="J285" s="759"/>
      <c r="K285" s="759"/>
      <c r="L285" s="759"/>
    </row>
    <row r="286" spans="2:12">
      <c r="B286" s="759"/>
      <c r="C286" s="759"/>
      <c r="D286" s="759"/>
      <c r="E286" s="759"/>
      <c r="F286" s="759"/>
      <c r="G286" s="759"/>
      <c r="H286" s="759"/>
      <c r="I286" s="759"/>
      <c r="J286" s="759"/>
      <c r="K286" s="759"/>
      <c r="L286" s="759"/>
    </row>
    <row r="287" spans="2:12">
      <c r="B287" s="759"/>
      <c r="C287" s="759"/>
      <c r="D287" s="759"/>
      <c r="E287" s="759"/>
      <c r="F287" s="759"/>
      <c r="G287" s="759"/>
      <c r="H287" s="759"/>
      <c r="I287" s="759"/>
      <c r="J287" s="759"/>
      <c r="K287" s="759"/>
      <c r="L287" s="759"/>
    </row>
    <row r="288" spans="2:12">
      <c r="B288" s="759"/>
      <c r="C288" s="759"/>
      <c r="D288" s="759"/>
      <c r="E288" s="759"/>
      <c r="F288" s="759"/>
      <c r="G288" s="759"/>
      <c r="H288" s="759"/>
      <c r="I288" s="759"/>
      <c r="J288" s="759"/>
      <c r="K288" s="759"/>
      <c r="L288" s="759"/>
    </row>
    <row r="289" spans="2:12">
      <c r="B289" s="759"/>
      <c r="C289" s="759"/>
      <c r="D289" s="759"/>
      <c r="E289" s="759"/>
      <c r="F289" s="759"/>
      <c r="G289" s="759"/>
      <c r="H289" s="759"/>
      <c r="I289" s="759"/>
      <c r="J289" s="759"/>
      <c r="K289" s="759"/>
      <c r="L289" s="759"/>
    </row>
    <row r="290" spans="2:12">
      <c r="B290" s="759"/>
      <c r="C290" s="759"/>
      <c r="D290" s="759"/>
      <c r="E290" s="759"/>
      <c r="F290" s="759"/>
      <c r="G290" s="759"/>
      <c r="H290" s="759"/>
      <c r="I290" s="759"/>
      <c r="J290" s="759"/>
      <c r="K290" s="759"/>
      <c r="L290" s="759"/>
    </row>
    <row r="291" spans="2:12">
      <c r="B291" s="759"/>
      <c r="C291" s="759"/>
      <c r="D291" s="759"/>
      <c r="E291" s="759"/>
      <c r="F291" s="759"/>
      <c r="G291" s="759"/>
      <c r="H291" s="759"/>
      <c r="I291" s="759"/>
      <c r="J291" s="759"/>
      <c r="K291" s="759"/>
      <c r="L291" s="759"/>
    </row>
    <row r="292" spans="2:12">
      <c r="B292" s="759"/>
      <c r="C292" s="759"/>
      <c r="D292" s="759"/>
      <c r="E292" s="759"/>
      <c r="F292" s="759"/>
      <c r="G292" s="759"/>
      <c r="H292" s="759"/>
      <c r="I292" s="759"/>
      <c r="J292" s="759"/>
      <c r="K292" s="759"/>
      <c r="L292" s="759"/>
    </row>
    <row r="293" spans="2:12">
      <c r="B293" s="759"/>
      <c r="C293" s="759"/>
      <c r="D293" s="759"/>
      <c r="E293" s="759"/>
      <c r="F293" s="759"/>
      <c r="G293" s="759"/>
      <c r="H293" s="759"/>
      <c r="I293" s="759"/>
      <c r="J293" s="759"/>
      <c r="K293" s="759"/>
      <c r="L293" s="759"/>
    </row>
    <row r="294" spans="2:12">
      <c r="B294" s="759"/>
      <c r="C294" s="759"/>
      <c r="D294" s="759"/>
      <c r="E294" s="759"/>
      <c r="F294" s="759"/>
      <c r="G294" s="759"/>
      <c r="H294" s="759"/>
      <c r="I294" s="759"/>
      <c r="J294" s="759"/>
      <c r="K294" s="759"/>
      <c r="L294" s="759"/>
    </row>
    <row r="295" spans="2:12">
      <c r="B295" s="759"/>
      <c r="C295" s="759"/>
      <c r="D295" s="759"/>
      <c r="E295" s="759"/>
      <c r="F295" s="759"/>
      <c r="G295" s="759"/>
      <c r="H295" s="759"/>
      <c r="I295" s="759"/>
      <c r="J295" s="759"/>
      <c r="K295" s="759"/>
      <c r="L295" s="759"/>
    </row>
    <row r="296" spans="2:12">
      <c r="B296" s="759"/>
      <c r="C296" s="759"/>
      <c r="D296" s="759"/>
      <c r="E296" s="759"/>
      <c r="F296" s="759"/>
      <c r="G296" s="759"/>
      <c r="H296" s="759"/>
      <c r="I296" s="759"/>
      <c r="J296" s="759"/>
      <c r="K296" s="759"/>
      <c r="L296" s="759"/>
    </row>
    <row r="297" spans="2:12">
      <c r="B297" s="759"/>
      <c r="C297" s="759"/>
      <c r="D297" s="759"/>
      <c r="E297" s="759"/>
      <c r="F297" s="759"/>
      <c r="G297" s="759"/>
      <c r="H297" s="759"/>
      <c r="I297" s="759"/>
      <c r="J297" s="759"/>
      <c r="K297" s="759"/>
      <c r="L297" s="759"/>
    </row>
    <row r="298" spans="2:12">
      <c r="B298" s="759"/>
      <c r="C298" s="759"/>
      <c r="D298" s="759"/>
      <c r="E298" s="759"/>
      <c r="F298" s="759"/>
      <c r="G298" s="759"/>
      <c r="H298" s="759"/>
      <c r="I298" s="759"/>
      <c r="J298" s="759"/>
      <c r="K298" s="759"/>
      <c r="L298" s="759"/>
    </row>
    <row r="299" spans="2:12">
      <c r="B299" s="759"/>
      <c r="C299" s="759"/>
      <c r="D299" s="759"/>
      <c r="E299" s="759"/>
      <c r="F299" s="759"/>
      <c r="G299" s="759"/>
      <c r="H299" s="759"/>
      <c r="I299" s="759"/>
      <c r="J299" s="759"/>
      <c r="K299" s="759"/>
      <c r="L299" s="759"/>
    </row>
    <row r="300" spans="2:12">
      <c r="B300" s="759"/>
      <c r="C300" s="759"/>
      <c r="D300" s="759"/>
      <c r="E300" s="759"/>
      <c r="F300" s="759"/>
      <c r="G300" s="759"/>
      <c r="H300" s="759"/>
      <c r="I300" s="759"/>
      <c r="J300" s="759"/>
      <c r="K300" s="759"/>
      <c r="L300" s="759"/>
    </row>
    <row r="301" spans="2:12">
      <c r="B301" s="759"/>
      <c r="C301" s="759"/>
      <c r="D301" s="759"/>
      <c r="E301" s="759"/>
      <c r="F301" s="759"/>
      <c r="G301" s="759"/>
      <c r="H301" s="759"/>
      <c r="I301" s="759"/>
      <c r="J301" s="759"/>
      <c r="K301" s="759"/>
      <c r="L301" s="759"/>
    </row>
    <row r="302" spans="2:12">
      <c r="B302" s="759"/>
      <c r="C302" s="759"/>
      <c r="D302" s="759"/>
      <c r="E302" s="759"/>
      <c r="F302" s="759"/>
      <c r="G302" s="759"/>
      <c r="H302" s="759"/>
      <c r="I302" s="759"/>
      <c r="J302" s="759"/>
      <c r="K302" s="759"/>
      <c r="L302" s="759"/>
    </row>
    <row r="303" spans="2:12">
      <c r="B303" s="759"/>
      <c r="C303" s="759"/>
      <c r="D303" s="759"/>
      <c r="E303" s="759"/>
      <c r="F303" s="759"/>
      <c r="G303" s="759"/>
      <c r="H303" s="759"/>
      <c r="I303" s="759"/>
      <c r="J303" s="759"/>
      <c r="K303" s="759"/>
      <c r="L303" s="759"/>
    </row>
    <row r="304" spans="2:12">
      <c r="B304" s="759"/>
      <c r="C304" s="759"/>
      <c r="D304" s="759"/>
      <c r="E304" s="759"/>
      <c r="F304" s="759"/>
      <c r="G304" s="759"/>
      <c r="H304" s="759"/>
      <c r="I304" s="759"/>
      <c r="J304" s="759"/>
      <c r="K304" s="759"/>
      <c r="L304" s="759"/>
    </row>
    <row r="305" spans="2:12">
      <c r="B305" s="759"/>
      <c r="C305" s="759"/>
      <c r="D305" s="759"/>
      <c r="E305" s="759"/>
      <c r="F305" s="759"/>
      <c r="G305" s="759"/>
      <c r="H305" s="759"/>
      <c r="I305" s="759"/>
      <c r="J305" s="759"/>
      <c r="K305" s="759"/>
      <c r="L305" s="759"/>
    </row>
    <row r="306" spans="2:12">
      <c r="B306" s="759"/>
      <c r="C306" s="759"/>
      <c r="D306" s="759"/>
      <c r="E306" s="759"/>
      <c r="F306" s="759"/>
      <c r="G306" s="759"/>
      <c r="H306" s="759"/>
      <c r="I306" s="759"/>
      <c r="J306" s="759"/>
      <c r="K306" s="759"/>
      <c r="L306" s="759"/>
    </row>
    <row r="307" spans="2:12">
      <c r="B307" s="759"/>
      <c r="C307" s="759"/>
      <c r="D307" s="759"/>
      <c r="E307" s="759"/>
      <c r="F307" s="759"/>
      <c r="G307" s="759"/>
      <c r="H307" s="759"/>
      <c r="I307" s="759"/>
      <c r="J307" s="759"/>
      <c r="K307" s="759"/>
      <c r="L307" s="759"/>
    </row>
    <row r="308" spans="2:12">
      <c r="B308" s="759"/>
      <c r="C308" s="759"/>
      <c r="D308" s="759"/>
      <c r="E308" s="759"/>
      <c r="F308" s="759"/>
      <c r="G308" s="759"/>
      <c r="H308" s="759"/>
      <c r="I308" s="759"/>
      <c r="J308" s="759"/>
      <c r="K308" s="759"/>
      <c r="L308" s="759"/>
    </row>
    <row r="309" spans="2:12">
      <c r="B309" s="759"/>
      <c r="C309" s="759"/>
      <c r="D309" s="759"/>
      <c r="E309" s="759"/>
      <c r="F309" s="759"/>
      <c r="G309" s="759"/>
      <c r="H309" s="759"/>
      <c r="I309" s="759"/>
      <c r="J309" s="759"/>
      <c r="K309" s="759"/>
      <c r="L309" s="759"/>
    </row>
    <row r="310" spans="2:12">
      <c r="B310" s="759"/>
      <c r="C310" s="759"/>
      <c r="D310" s="759"/>
      <c r="E310" s="759"/>
      <c r="F310" s="759"/>
      <c r="G310" s="759"/>
      <c r="H310" s="759"/>
      <c r="I310" s="759"/>
      <c r="J310" s="759"/>
      <c r="K310" s="759"/>
      <c r="L310" s="759"/>
    </row>
    <row r="311" spans="2:12">
      <c r="B311" s="759"/>
      <c r="C311" s="759"/>
      <c r="D311" s="759"/>
      <c r="E311" s="759"/>
      <c r="F311" s="759"/>
      <c r="G311" s="759"/>
      <c r="H311" s="759"/>
      <c r="I311" s="759"/>
      <c r="J311" s="759"/>
      <c r="K311" s="759"/>
      <c r="L311" s="759"/>
    </row>
    <row r="312" spans="2:12">
      <c r="B312" s="759"/>
      <c r="C312" s="759"/>
      <c r="D312" s="759"/>
      <c r="E312" s="759"/>
      <c r="F312" s="759"/>
      <c r="G312" s="759"/>
      <c r="H312" s="759"/>
      <c r="I312" s="759"/>
      <c r="J312" s="759"/>
      <c r="K312" s="759"/>
      <c r="L312" s="759"/>
    </row>
    <row r="313" spans="2:12">
      <c r="B313" s="759"/>
      <c r="C313" s="759"/>
      <c r="D313" s="759"/>
      <c r="E313" s="759"/>
      <c r="F313" s="759"/>
      <c r="G313" s="759"/>
      <c r="H313" s="759"/>
      <c r="I313" s="759"/>
      <c r="J313" s="759"/>
      <c r="K313" s="759"/>
      <c r="L313" s="759"/>
    </row>
    <row r="314" spans="2:12">
      <c r="B314" s="759"/>
      <c r="C314" s="759"/>
      <c r="D314" s="759"/>
      <c r="E314" s="759"/>
      <c r="F314" s="759"/>
      <c r="G314" s="759"/>
      <c r="H314" s="759"/>
      <c r="I314" s="759"/>
      <c r="J314" s="759"/>
      <c r="K314" s="759"/>
      <c r="L314" s="759"/>
    </row>
    <row r="315" spans="2:12">
      <c r="B315" s="759"/>
      <c r="C315" s="759"/>
      <c r="D315" s="759"/>
      <c r="E315" s="759"/>
      <c r="F315" s="759"/>
      <c r="G315" s="759"/>
      <c r="H315" s="759"/>
      <c r="I315" s="759"/>
      <c r="J315" s="759"/>
      <c r="K315" s="759"/>
      <c r="L315" s="759"/>
    </row>
    <row r="316" spans="2:12">
      <c r="B316" s="759"/>
      <c r="C316" s="759"/>
      <c r="D316" s="759"/>
      <c r="E316" s="759"/>
      <c r="F316" s="759"/>
      <c r="G316" s="759"/>
      <c r="H316" s="759"/>
      <c r="I316" s="759"/>
      <c r="J316" s="759"/>
      <c r="K316" s="759"/>
      <c r="L316" s="759"/>
    </row>
    <row r="317" spans="2:12">
      <c r="B317" s="759"/>
      <c r="C317" s="759"/>
      <c r="D317" s="759"/>
      <c r="E317" s="759"/>
      <c r="F317" s="759"/>
      <c r="G317" s="759"/>
      <c r="H317" s="759"/>
      <c r="I317" s="759"/>
      <c r="J317" s="759"/>
      <c r="K317" s="759"/>
      <c r="L317" s="759"/>
    </row>
    <row r="318" spans="2:12">
      <c r="B318" s="759"/>
      <c r="C318" s="759"/>
      <c r="D318" s="759"/>
      <c r="E318" s="759"/>
      <c r="F318" s="759"/>
      <c r="G318" s="759"/>
      <c r="H318" s="759"/>
      <c r="I318" s="759"/>
      <c r="J318" s="759"/>
      <c r="K318" s="759"/>
      <c r="L318" s="759"/>
    </row>
    <row r="319" spans="2:12">
      <c r="B319" s="759"/>
      <c r="C319" s="759"/>
      <c r="D319" s="759"/>
      <c r="E319" s="759"/>
      <c r="F319" s="759"/>
      <c r="G319" s="759"/>
      <c r="H319" s="759"/>
      <c r="I319" s="759"/>
      <c r="J319" s="759"/>
      <c r="K319" s="759"/>
      <c r="L319" s="759"/>
    </row>
    <row r="320" spans="2:12">
      <c r="B320" s="759"/>
      <c r="C320" s="759"/>
      <c r="D320" s="759"/>
      <c r="E320" s="759"/>
      <c r="F320" s="759"/>
      <c r="G320" s="759"/>
      <c r="H320" s="759"/>
      <c r="I320" s="759"/>
      <c r="J320" s="759"/>
      <c r="K320" s="759"/>
      <c r="L320" s="759"/>
    </row>
    <row r="321" spans="2:12">
      <c r="B321" s="759"/>
      <c r="C321" s="759"/>
      <c r="D321" s="759"/>
      <c r="E321" s="759"/>
      <c r="F321" s="759"/>
      <c r="G321" s="759"/>
      <c r="H321" s="759"/>
      <c r="I321" s="759"/>
      <c r="J321" s="759"/>
      <c r="K321" s="759"/>
      <c r="L321" s="759"/>
    </row>
    <row r="322" spans="2:12">
      <c r="B322" s="759"/>
      <c r="C322" s="759"/>
      <c r="D322" s="759"/>
      <c r="E322" s="759"/>
      <c r="F322" s="759"/>
      <c r="G322" s="759"/>
      <c r="H322" s="759"/>
      <c r="I322" s="759"/>
      <c r="J322" s="759"/>
      <c r="K322" s="759"/>
      <c r="L322" s="759"/>
    </row>
    <row r="323" spans="2:12">
      <c r="B323" s="759"/>
      <c r="C323" s="759"/>
      <c r="D323" s="759"/>
      <c r="E323" s="759"/>
      <c r="F323" s="759"/>
      <c r="G323" s="759"/>
      <c r="H323" s="759"/>
      <c r="I323" s="759"/>
      <c r="J323" s="759"/>
      <c r="K323" s="759"/>
      <c r="L323" s="759"/>
    </row>
    <row r="324" spans="2:12">
      <c r="B324" s="759"/>
      <c r="C324" s="759"/>
      <c r="D324" s="759"/>
      <c r="E324" s="759"/>
      <c r="F324" s="759"/>
      <c r="G324" s="759"/>
      <c r="H324" s="759"/>
      <c r="I324" s="759"/>
      <c r="J324" s="759"/>
      <c r="K324" s="759"/>
      <c r="L324" s="759"/>
    </row>
    <row r="325" spans="2:12">
      <c r="B325" s="759"/>
      <c r="C325" s="759"/>
      <c r="D325" s="759"/>
      <c r="E325" s="759"/>
      <c r="F325" s="759"/>
      <c r="G325" s="759"/>
      <c r="H325" s="759"/>
      <c r="I325" s="759"/>
      <c r="J325" s="759"/>
      <c r="K325" s="759"/>
      <c r="L325" s="759"/>
    </row>
    <row r="326" spans="2:12">
      <c r="B326" s="759"/>
      <c r="C326" s="759"/>
      <c r="D326" s="759"/>
      <c r="E326" s="759"/>
      <c r="F326" s="759"/>
      <c r="G326" s="759"/>
      <c r="H326" s="759"/>
      <c r="I326" s="759"/>
      <c r="J326" s="759"/>
      <c r="K326" s="759"/>
      <c r="L326" s="759"/>
    </row>
    <row r="327" spans="2:12">
      <c r="B327" s="759"/>
      <c r="C327" s="759"/>
      <c r="D327" s="759"/>
      <c r="E327" s="759"/>
      <c r="F327" s="759"/>
      <c r="G327" s="759"/>
      <c r="H327" s="759"/>
      <c r="I327" s="759"/>
      <c r="J327" s="759"/>
      <c r="K327" s="759"/>
      <c r="L327" s="759"/>
    </row>
    <row r="328" spans="2:12">
      <c r="B328" s="759"/>
      <c r="C328" s="759"/>
      <c r="D328" s="759"/>
      <c r="E328" s="759"/>
      <c r="F328" s="759"/>
      <c r="G328" s="759"/>
      <c r="H328" s="759"/>
      <c r="I328" s="759"/>
      <c r="J328" s="759"/>
      <c r="K328" s="759"/>
      <c r="L328" s="759"/>
    </row>
    <row r="329" spans="2:12">
      <c r="B329" s="759"/>
      <c r="C329" s="759"/>
      <c r="D329" s="759"/>
      <c r="E329" s="759"/>
      <c r="F329" s="759"/>
      <c r="G329" s="759"/>
      <c r="H329" s="759"/>
      <c r="I329" s="759"/>
      <c r="J329" s="759"/>
      <c r="K329" s="759"/>
      <c r="L329" s="759"/>
    </row>
    <row r="330" spans="2:12">
      <c r="B330" s="759"/>
      <c r="C330" s="759"/>
      <c r="D330" s="759"/>
      <c r="E330" s="759"/>
      <c r="F330" s="759"/>
      <c r="G330" s="759"/>
      <c r="H330" s="759"/>
      <c r="I330" s="759"/>
      <c r="J330" s="759"/>
      <c r="K330" s="759"/>
      <c r="L330" s="759"/>
    </row>
    <row r="331" spans="2:12">
      <c r="B331" s="759"/>
      <c r="C331" s="759"/>
      <c r="D331" s="759"/>
      <c r="E331" s="759"/>
      <c r="F331" s="759"/>
      <c r="G331" s="759"/>
      <c r="H331" s="759"/>
      <c r="I331" s="759"/>
      <c r="J331" s="759"/>
      <c r="K331" s="759"/>
      <c r="L331" s="759"/>
    </row>
    <row r="332" spans="2:12">
      <c r="B332" s="759"/>
      <c r="C332" s="759"/>
      <c r="D332" s="759"/>
      <c r="E332" s="759"/>
      <c r="F332" s="759"/>
      <c r="G332" s="759"/>
      <c r="H332" s="759"/>
      <c r="I332" s="759"/>
      <c r="J332" s="759"/>
      <c r="K332" s="759"/>
      <c r="L332" s="759"/>
    </row>
    <row r="333" spans="2:12">
      <c r="B333" s="759"/>
      <c r="C333" s="759"/>
      <c r="D333" s="759"/>
      <c r="E333" s="759"/>
      <c r="F333" s="759"/>
      <c r="G333" s="759"/>
      <c r="H333" s="759"/>
      <c r="I333" s="759"/>
      <c r="J333" s="759"/>
      <c r="K333" s="759"/>
      <c r="L333" s="759"/>
    </row>
    <row r="334" spans="2:12">
      <c r="B334" s="759"/>
      <c r="C334" s="759"/>
      <c r="D334" s="759"/>
      <c r="E334" s="759"/>
      <c r="F334" s="759"/>
      <c r="G334" s="759"/>
      <c r="H334" s="759"/>
      <c r="I334" s="759"/>
      <c r="J334" s="759"/>
      <c r="K334" s="759"/>
      <c r="L334" s="759"/>
    </row>
    <row r="335" spans="2:12">
      <c r="B335" s="759"/>
      <c r="C335" s="759"/>
      <c r="D335" s="759"/>
      <c r="E335" s="759"/>
      <c r="F335" s="759"/>
      <c r="G335" s="759"/>
      <c r="H335" s="759"/>
      <c r="I335" s="759"/>
      <c r="J335" s="759"/>
      <c r="K335" s="759"/>
      <c r="L335" s="759"/>
    </row>
    <row r="336" spans="2:12">
      <c r="B336" s="759"/>
      <c r="C336" s="759"/>
      <c r="D336" s="759"/>
      <c r="E336" s="759"/>
      <c r="F336" s="759"/>
      <c r="G336" s="759"/>
      <c r="H336" s="759"/>
      <c r="I336" s="759"/>
      <c r="J336" s="759"/>
      <c r="K336" s="759"/>
      <c r="L336" s="759"/>
    </row>
    <row r="337" spans="2:12">
      <c r="B337" s="759"/>
      <c r="C337" s="759"/>
      <c r="D337" s="759"/>
      <c r="E337" s="759"/>
      <c r="F337" s="759"/>
      <c r="G337" s="759"/>
      <c r="H337" s="759"/>
      <c r="I337" s="759"/>
      <c r="J337" s="759"/>
      <c r="K337" s="759"/>
      <c r="L337" s="759"/>
    </row>
    <row r="338" spans="2:12">
      <c r="B338" s="759"/>
      <c r="C338" s="759"/>
      <c r="D338" s="759"/>
      <c r="E338" s="759"/>
      <c r="F338" s="759"/>
      <c r="G338" s="759"/>
      <c r="H338" s="759"/>
      <c r="I338" s="759"/>
      <c r="J338" s="759"/>
      <c r="K338" s="759"/>
      <c r="L338" s="759"/>
    </row>
    <row r="339" spans="2:12">
      <c r="B339" s="759"/>
      <c r="C339" s="759"/>
      <c r="D339" s="759"/>
      <c r="E339" s="759"/>
      <c r="F339" s="759"/>
      <c r="G339" s="759"/>
      <c r="H339" s="759"/>
      <c r="I339" s="759"/>
      <c r="J339" s="759"/>
      <c r="K339" s="759"/>
      <c r="L339" s="759"/>
    </row>
    <row r="340" spans="2:12">
      <c r="B340" s="759"/>
      <c r="C340" s="759"/>
      <c r="D340" s="759"/>
      <c r="E340" s="759"/>
      <c r="F340" s="759"/>
      <c r="G340" s="759"/>
      <c r="H340" s="759"/>
      <c r="I340" s="759"/>
      <c r="J340" s="759"/>
      <c r="K340" s="759"/>
      <c r="L340" s="759"/>
    </row>
    <row r="341" spans="2:12">
      <c r="B341" s="759"/>
      <c r="C341" s="759"/>
      <c r="D341" s="759"/>
      <c r="E341" s="759"/>
      <c r="F341" s="759"/>
      <c r="G341" s="759"/>
      <c r="H341" s="759"/>
      <c r="I341" s="759"/>
      <c r="J341" s="759"/>
      <c r="K341" s="759"/>
      <c r="L341" s="759"/>
    </row>
    <row r="342" spans="2:12">
      <c r="B342" s="759"/>
      <c r="C342" s="759"/>
      <c r="D342" s="759"/>
      <c r="E342" s="759"/>
      <c r="F342" s="759"/>
      <c r="G342" s="759"/>
      <c r="H342" s="759"/>
      <c r="I342" s="759"/>
      <c r="J342" s="759"/>
      <c r="K342" s="759"/>
      <c r="L342" s="759"/>
    </row>
    <row r="343" spans="2:12">
      <c r="B343" s="759"/>
      <c r="C343" s="759"/>
      <c r="D343" s="759"/>
      <c r="E343" s="759"/>
      <c r="F343" s="759"/>
      <c r="G343" s="759"/>
      <c r="H343" s="759"/>
      <c r="I343" s="759"/>
      <c r="J343" s="759"/>
      <c r="K343" s="759"/>
      <c r="L343" s="759"/>
    </row>
    <row r="344" spans="2:12">
      <c r="B344" s="759"/>
      <c r="C344" s="759"/>
      <c r="D344" s="759"/>
      <c r="E344" s="759"/>
      <c r="F344" s="759"/>
      <c r="G344" s="759"/>
      <c r="H344" s="759"/>
      <c r="I344" s="759"/>
      <c r="J344" s="759"/>
      <c r="K344" s="759"/>
      <c r="L344" s="759"/>
    </row>
    <row r="345" spans="2:12">
      <c r="B345" s="759"/>
      <c r="C345" s="759"/>
      <c r="D345" s="759"/>
      <c r="E345" s="759"/>
      <c r="F345" s="759"/>
      <c r="G345" s="759"/>
      <c r="H345" s="759"/>
      <c r="I345" s="759"/>
      <c r="J345" s="759"/>
      <c r="K345" s="759"/>
      <c r="L345" s="759"/>
    </row>
    <row r="346" spans="2:12">
      <c r="B346" s="759"/>
      <c r="C346" s="759"/>
      <c r="D346" s="759"/>
      <c r="E346" s="759"/>
      <c r="F346" s="759"/>
      <c r="G346" s="759"/>
      <c r="H346" s="759"/>
      <c r="I346" s="759"/>
      <c r="J346" s="759"/>
      <c r="K346" s="759"/>
      <c r="L346" s="759"/>
    </row>
    <row r="347" spans="2:12">
      <c r="B347" s="759"/>
      <c r="C347" s="759"/>
      <c r="D347" s="759"/>
      <c r="E347" s="759"/>
      <c r="F347" s="759"/>
      <c r="G347" s="759"/>
      <c r="H347" s="759"/>
      <c r="I347" s="759"/>
      <c r="J347" s="759"/>
      <c r="K347" s="759"/>
      <c r="L347" s="759"/>
    </row>
    <row r="348" spans="2:12">
      <c r="B348" s="759"/>
      <c r="C348" s="759"/>
      <c r="D348" s="759"/>
      <c r="E348" s="759"/>
      <c r="F348" s="759"/>
      <c r="G348" s="759"/>
      <c r="H348" s="759"/>
      <c r="I348" s="759"/>
      <c r="J348" s="759"/>
      <c r="K348" s="759"/>
      <c r="L348" s="759"/>
    </row>
    <row r="349" spans="2:12">
      <c r="B349" s="759"/>
      <c r="C349" s="759"/>
      <c r="D349" s="759"/>
      <c r="E349" s="759"/>
      <c r="F349" s="759"/>
      <c r="G349" s="759"/>
      <c r="H349" s="759"/>
      <c r="I349" s="759"/>
      <c r="J349" s="759"/>
      <c r="K349" s="759"/>
      <c r="L349" s="759"/>
    </row>
    <row r="350" spans="2:12">
      <c r="B350" s="759"/>
      <c r="C350" s="759"/>
      <c r="D350" s="759"/>
      <c r="E350" s="759"/>
      <c r="F350" s="759"/>
      <c r="G350" s="759"/>
      <c r="H350" s="759"/>
      <c r="I350" s="759"/>
      <c r="J350" s="759"/>
      <c r="K350" s="759"/>
      <c r="L350" s="759"/>
    </row>
    <row r="351" spans="2:12">
      <c r="B351" s="759"/>
      <c r="C351" s="759"/>
      <c r="D351" s="759"/>
      <c r="E351" s="759"/>
      <c r="F351" s="759"/>
      <c r="G351" s="759"/>
      <c r="H351" s="759"/>
      <c r="I351" s="759"/>
      <c r="J351" s="759"/>
      <c r="K351" s="759"/>
      <c r="L351" s="759"/>
    </row>
    <row r="352" spans="2:12">
      <c r="B352" s="759"/>
      <c r="C352" s="759"/>
      <c r="D352" s="759"/>
      <c r="E352" s="759"/>
      <c r="F352" s="759"/>
      <c r="G352" s="759"/>
      <c r="H352" s="759"/>
      <c r="I352" s="759"/>
      <c r="J352" s="759"/>
      <c r="K352" s="759"/>
      <c r="L352" s="759"/>
    </row>
    <row r="353" spans="2:12">
      <c r="B353" s="759"/>
      <c r="C353" s="759"/>
      <c r="D353" s="759"/>
      <c r="E353" s="759"/>
      <c r="F353" s="759"/>
      <c r="G353" s="759"/>
      <c r="H353" s="759"/>
      <c r="I353" s="759"/>
      <c r="J353" s="759"/>
      <c r="K353" s="759"/>
      <c r="L353" s="759"/>
    </row>
    <row r="354" spans="2:12">
      <c r="B354" s="759"/>
      <c r="C354" s="759"/>
      <c r="D354" s="759"/>
      <c r="E354" s="759"/>
      <c r="F354" s="759"/>
      <c r="G354" s="759"/>
      <c r="H354" s="759"/>
      <c r="I354" s="759"/>
      <c r="J354" s="759"/>
      <c r="K354" s="759"/>
      <c r="L354" s="759"/>
    </row>
    <row r="355" spans="2:12">
      <c r="B355" s="759"/>
      <c r="C355" s="759"/>
      <c r="D355" s="759"/>
      <c r="E355" s="759"/>
      <c r="F355" s="759"/>
      <c r="G355" s="759"/>
      <c r="H355" s="759"/>
      <c r="I355" s="759"/>
      <c r="J355" s="759"/>
      <c r="K355" s="759"/>
      <c r="L355" s="759"/>
    </row>
    <row r="356" spans="2:12">
      <c r="B356" s="759"/>
      <c r="C356" s="759"/>
      <c r="D356" s="759"/>
      <c r="E356" s="759"/>
      <c r="F356" s="759"/>
      <c r="G356" s="759"/>
      <c r="H356" s="759"/>
      <c r="I356" s="759"/>
      <c r="J356" s="759"/>
      <c r="K356" s="759"/>
      <c r="L356" s="759"/>
    </row>
    <row r="357" spans="2:12">
      <c r="B357" s="759"/>
      <c r="C357" s="759"/>
      <c r="D357" s="759"/>
      <c r="E357" s="759"/>
      <c r="F357" s="759"/>
      <c r="G357" s="759"/>
      <c r="H357" s="759"/>
      <c r="I357" s="759"/>
      <c r="J357" s="759"/>
      <c r="K357" s="759"/>
      <c r="L357" s="759"/>
    </row>
    <row r="358" spans="2:12">
      <c r="B358" s="759"/>
      <c r="C358" s="759"/>
      <c r="D358" s="759"/>
      <c r="E358" s="759"/>
      <c r="F358" s="759"/>
      <c r="G358" s="759"/>
      <c r="H358" s="759"/>
      <c r="I358" s="759"/>
      <c r="J358" s="759"/>
      <c r="K358" s="759"/>
      <c r="L358" s="759"/>
    </row>
    <row r="359" spans="2:12">
      <c r="B359" s="759"/>
      <c r="C359" s="759"/>
      <c r="D359" s="759"/>
      <c r="E359" s="759"/>
      <c r="F359" s="759"/>
      <c r="G359" s="759"/>
      <c r="H359" s="759"/>
      <c r="I359" s="759"/>
      <c r="J359" s="759"/>
      <c r="K359" s="759"/>
      <c r="L359" s="759"/>
    </row>
    <row r="360" spans="2:12">
      <c r="B360" s="759"/>
      <c r="C360" s="759"/>
      <c r="D360" s="759"/>
      <c r="E360" s="759"/>
      <c r="F360" s="759"/>
      <c r="G360" s="759"/>
      <c r="H360" s="759"/>
      <c r="I360" s="759"/>
      <c r="J360" s="759"/>
      <c r="K360" s="759"/>
      <c r="L360" s="759"/>
    </row>
    <row r="361" spans="2:12">
      <c r="B361" s="759"/>
      <c r="C361" s="759"/>
      <c r="D361" s="759"/>
      <c r="E361" s="759"/>
      <c r="F361" s="759"/>
      <c r="G361" s="759"/>
      <c r="H361" s="759"/>
      <c r="I361" s="759"/>
      <c r="J361" s="759"/>
      <c r="K361" s="759"/>
      <c r="L361" s="759"/>
    </row>
    <row r="362" spans="2:12">
      <c r="B362" s="759"/>
      <c r="C362" s="759"/>
      <c r="D362" s="759"/>
      <c r="E362" s="759"/>
      <c r="F362" s="759"/>
      <c r="G362" s="759"/>
      <c r="H362" s="759"/>
      <c r="I362" s="759"/>
      <c r="J362" s="759"/>
      <c r="K362" s="759"/>
      <c r="L362" s="759"/>
    </row>
    <row r="363" spans="2:12">
      <c r="B363" s="759"/>
      <c r="C363" s="759"/>
      <c r="D363" s="759"/>
      <c r="E363" s="759"/>
      <c r="F363" s="759"/>
      <c r="G363" s="759"/>
      <c r="H363" s="759"/>
      <c r="I363" s="759"/>
      <c r="J363" s="759"/>
      <c r="K363" s="759"/>
      <c r="L363" s="759"/>
    </row>
    <row r="364" spans="2:12">
      <c r="B364" s="759"/>
      <c r="C364" s="759"/>
      <c r="D364" s="759"/>
      <c r="E364" s="759"/>
      <c r="F364" s="759"/>
      <c r="G364" s="759"/>
      <c r="H364" s="759"/>
      <c r="I364" s="759"/>
      <c r="J364" s="759"/>
      <c r="K364" s="759"/>
      <c r="L364" s="759"/>
    </row>
    <row r="365" spans="2:12">
      <c r="B365" s="759"/>
      <c r="C365" s="759"/>
      <c r="D365" s="759"/>
      <c r="E365" s="759"/>
      <c r="F365" s="759"/>
      <c r="G365" s="759"/>
      <c r="H365" s="759"/>
      <c r="I365" s="759"/>
      <c r="J365" s="759"/>
      <c r="K365" s="759"/>
      <c r="L365" s="759"/>
    </row>
    <row r="366" spans="2:12">
      <c r="B366" s="759"/>
      <c r="C366" s="759"/>
      <c r="D366" s="759"/>
      <c r="E366" s="759"/>
      <c r="F366" s="759"/>
      <c r="G366" s="759"/>
      <c r="H366" s="759"/>
      <c r="I366" s="759"/>
      <c r="J366" s="759"/>
      <c r="K366" s="759"/>
      <c r="L366" s="759"/>
    </row>
    <row r="367" spans="2:12">
      <c r="B367" s="759"/>
      <c r="C367" s="759"/>
      <c r="D367" s="759"/>
      <c r="E367" s="759"/>
      <c r="F367" s="759"/>
      <c r="G367" s="759"/>
      <c r="H367" s="759"/>
      <c r="I367" s="759"/>
      <c r="J367" s="759"/>
      <c r="K367" s="759"/>
      <c r="L367" s="759"/>
    </row>
    <row r="368" spans="2:12">
      <c r="B368" s="759"/>
      <c r="C368" s="759"/>
      <c r="D368" s="759"/>
      <c r="E368" s="759"/>
      <c r="F368" s="759"/>
      <c r="G368" s="759"/>
      <c r="H368" s="759"/>
      <c r="I368" s="759"/>
      <c r="J368" s="759"/>
      <c r="K368" s="759"/>
      <c r="L368" s="759"/>
    </row>
    <row r="369" spans="2:12">
      <c r="B369" s="759"/>
      <c r="C369" s="759"/>
      <c r="D369" s="759"/>
      <c r="E369" s="759"/>
      <c r="F369" s="759"/>
      <c r="G369" s="759"/>
      <c r="H369" s="759"/>
      <c r="I369" s="759"/>
      <c r="J369" s="759"/>
      <c r="K369" s="759"/>
      <c r="L369" s="759"/>
    </row>
    <row r="370" spans="2:12">
      <c r="B370" s="759"/>
      <c r="C370" s="759"/>
      <c r="D370" s="759"/>
      <c r="E370" s="759"/>
      <c r="F370" s="759"/>
      <c r="G370" s="759"/>
      <c r="H370" s="759"/>
      <c r="I370" s="759"/>
      <c r="J370" s="759"/>
      <c r="K370" s="759"/>
      <c r="L370" s="759"/>
    </row>
    <row r="371" spans="2:12">
      <c r="B371" s="759"/>
      <c r="C371" s="759"/>
      <c r="D371" s="759"/>
      <c r="E371" s="759"/>
      <c r="F371" s="759"/>
      <c r="G371" s="759"/>
      <c r="H371" s="759"/>
      <c r="I371" s="759"/>
      <c r="J371" s="759"/>
      <c r="K371" s="759"/>
      <c r="L371" s="759"/>
    </row>
    <row r="372" spans="2:12">
      <c r="B372" s="759"/>
      <c r="C372" s="759"/>
      <c r="D372" s="759"/>
      <c r="E372" s="759"/>
      <c r="F372" s="759"/>
      <c r="G372" s="759"/>
      <c r="H372" s="759"/>
      <c r="I372" s="759"/>
      <c r="J372" s="759"/>
      <c r="K372" s="759"/>
      <c r="L372" s="759"/>
    </row>
    <row r="373" spans="2:12">
      <c r="B373" s="759"/>
      <c r="C373" s="759"/>
      <c r="D373" s="759"/>
      <c r="E373" s="759"/>
      <c r="F373" s="759"/>
      <c r="G373" s="759"/>
      <c r="H373" s="759"/>
      <c r="I373" s="759"/>
      <c r="J373" s="759"/>
      <c r="K373" s="759"/>
      <c r="L373" s="759"/>
    </row>
    <row r="374" spans="2:12">
      <c r="B374" s="759"/>
      <c r="C374" s="759"/>
      <c r="D374" s="759"/>
      <c r="E374" s="759"/>
      <c r="F374" s="759"/>
      <c r="G374" s="759"/>
      <c r="H374" s="759"/>
      <c r="I374" s="759"/>
      <c r="J374" s="759"/>
      <c r="K374" s="759"/>
      <c r="L374" s="759"/>
    </row>
    <row r="375" spans="2:12">
      <c r="B375" s="759"/>
      <c r="C375" s="759"/>
      <c r="D375" s="759"/>
      <c r="E375" s="759"/>
      <c r="F375" s="759"/>
      <c r="G375" s="759"/>
      <c r="H375" s="759"/>
      <c r="I375" s="759"/>
      <c r="J375" s="759"/>
      <c r="K375" s="759"/>
      <c r="L375" s="759"/>
    </row>
    <row r="376" spans="2:12">
      <c r="B376" s="759"/>
      <c r="C376" s="759"/>
      <c r="D376" s="759"/>
      <c r="E376" s="759"/>
      <c r="F376" s="759"/>
      <c r="G376" s="759"/>
      <c r="H376" s="759"/>
      <c r="I376" s="759"/>
      <c r="J376" s="759"/>
      <c r="K376" s="759"/>
      <c r="L376" s="759"/>
    </row>
    <row r="377" spans="2:12">
      <c r="B377" s="759"/>
      <c r="C377" s="759"/>
      <c r="D377" s="759"/>
      <c r="E377" s="759"/>
      <c r="F377" s="759"/>
      <c r="G377" s="759"/>
      <c r="H377" s="759"/>
      <c r="I377" s="759"/>
      <c r="J377" s="759"/>
      <c r="K377" s="759"/>
      <c r="L377" s="759"/>
    </row>
    <row r="378" spans="2:12">
      <c r="B378" s="759"/>
      <c r="C378" s="759"/>
      <c r="D378" s="759"/>
      <c r="E378" s="759"/>
      <c r="F378" s="759"/>
      <c r="G378" s="759"/>
      <c r="H378" s="759"/>
      <c r="I378" s="759"/>
      <c r="J378" s="759"/>
      <c r="K378" s="759"/>
      <c r="L378" s="759"/>
    </row>
    <row r="379" spans="2:12">
      <c r="B379" s="759"/>
      <c r="C379" s="759"/>
      <c r="D379" s="759"/>
      <c r="E379" s="759"/>
      <c r="F379" s="759"/>
      <c r="G379" s="759"/>
      <c r="H379" s="759"/>
      <c r="I379" s="759"/>
      <c r="J379" s="759"/>
      <c r="K379" s="759"/>
      <c r="L379" s="759"/>
    </row>
    <row r="380" spans="2:12">
      <c r="B380" s="759"/>
      <c r="C380" s="759"/>
      <c r="D380" s="759"/>
      <c r="E380" s="759"/>
      <c r="F380" s="759"/>
      <c r="G380" s="759"/>
      <c r="H380" s="759"/>
      <c r="I380" s="759"/>
      <c r="J380" s="759"/>
      <c r="K380" s="759"/>
      <c r="L380" s="759"/>
    </row>
    <row r="381" spans="2:12">
      <c r="B381" s="759"/>
      <c r="C381" s="759"/>
      <c r="D381" s="759"/>
      <c r="E381" s="759"/>
      <c r="F381" s="759"/>
      <c r="G381" s="759"/>
      <c r="H381" s="759"/>
      <c r="I381" s="759"/>
      <c r="J381" s="759"/>
      <c r="K381" s="759"/>
      <c r="L381" s="759"/>
    </row>
    <row r="382" spans="2:12">
      <c r="B382" s="759"/>
      <c r="C382" s="759"/>
      <c r="D382" s="759"/>
      <c r="E382" s="759"/>
      <c r="F382" s="759"/>
      <c r="G382" s="759"/>
      <c r="H382" s="759"/>
      <c r="I382" s="759"/>
      <c r="J382" s="759"/>
      <c r="K382" s="759"/>
      <c r="L382" s="759"/>
    </row>
    <row r="383" spans="2:12">
      <c r="B383" s="759"/>
      <c r="C383" s="759"/>
      <c r="D383" s="759"/>
      <c r="E383" s="759"/>
      <c r="F383" s="759"/>
      <c r="G383" s="759"/>
      <c r="H383" s="759"/>
      <c r="I383" s="759"/>
      <c r="J383" s="759"/>
      <c r="K383" s="759"/>
      <c r="L383" s="759"/>
    </row>
    <row r="384" spans="2:12">
      <c r="B384" s="759"/>
      <c r="C384" s="759"/>
      <c r="D384" s="759"/>
      <c r="E384" s="759"/>
      <c r="F384" s="759"/>
      <c r="G384" s="759"/>
      <c r="H384" s="759"/>
      <c r="I384" s="759"/>
      <c r="J384" s="759"/>
      <c r="K384" s="759"/>
      <c r="L384" s="759"/>
    </row>
    <row r="385" spans="2:12">
      <c r="B385" s="759"/>
      <c r="C385" s="759"/>
      <c r="D385" s="759"/>
      <c r="E385" s="759"/>
      <c r="F385" s="759"/>
      <c r="G385" s="759"/>
      <c r="H385" s="759"/>
      <c r="I385" s="759"/>
      <c r="J385" s="759"/>
      <c r="K385" s="759"/>
      <c r="L385" s="759"/>
    </row>
    <row r="386" spans="2:12">
      <c r="B386" s="759"/>
      <c r="C386" s="759"/>
      <c r="D386" s="759"/>
      <c r="E386" s="759"/>
      <c r="F386" s="759"/>
      <c r="G386" s="759"/>
      <c r="H386" s="759"/>
      <c r="I386" s="759"/>
      <c r="J386" s="759"/>
      <c r="K386" s="759"/>
      <c r="L386" s="759"/>
    </row>
    <row r="387" spans="2:12">
      <c r="B387" s="759"/>
      <c r="C387" s="759"/>
      <c r="D387" s="759"/>
      <c r="E387" s="759"/>
      <c r="F387" s="759"/>
      <c r="G387" s="759"/>
      <c r="H387" s="759"/>
      <c r="I387" s="759"/>
      <c r="J387" s="759"/>
      <c r="K387" s="759"/>
      <c r="L387" s="759"/>
    </row>
    <row r="388" spans="2:12">
      <c r="B388" s="759"/>
      <c r="C388" s="759"/>
      <c r="D388" s="759"/>
      <c r="E388" s="759"/>
      <c r="F388" s="759"/>
      <c r="G388" s="759"/>
      <c r="H388" s="759"/>
      <c r="I388" s="759"/>
      <c r="J388" s="759"/>
      <c r="K388" s="759"/>
      <c r="L388" s="759"/>
    </row>
    <row r="389" spans="2:12">
      <c r="B389" s="759"/>
      <c r="C389" s="759"/>
      <c r="D389" s="759"/>
      <c r="E389" s="759"/>
      <c r="F389" s="759"/>
      <c r="G389" s="759"/>
      <c r="H389" s="759"/>
      <c r="I389" s="759"/>
      <c r="J389" s="759"/>
      <c r="K389" s="759"/>
      <c r="L389" s="759"/>
    </row>
    <row r="390" spans="2:12">
      <c r="B390" s="759"/>
      <c r="C390" s="759"/>
      <c r="D390" s="759"/>
      <c r="E390" s="759"/>
      <c r="F390" s="759"/>
      <c r="G390" s="759"/>
      <c r="H390" s="759"/>
      <c r="I390" s="759"/>
      <c r="J390" s="759"/>
      <c r="K390" s="759"/>
      <c r="L390" s="759"/>
    </row>
    <row r="391" spans="2:12">
      <c r="B391" s="759"/>
      <c r="C391" s="759"/>
      <c r="D391" s="759"/>
      <c r="E391" s="759"/>
      <c r="F391" s="759"/>
      <c r="G391" s="759"/>
      <c r="H391" s="759"/>
      <c r="I391" s="759"/>
      <c r="J391" s="759"/>
      <c r="K391" s="759"/>
      <c r="L391" s="759"/>
    </row>
    <row r="392" spans="2:12">
      <c r="B392" s="759"/>
      <c r="C392" s="759"/>
      <c r="D392" s="759"/>
      <c r="E392" s="759"/>
      <c r="F392" s="759"/>
      <c r="G392" s="759"/>
      <c r="H392" s="759"/>
      <c r="I392" s="759"/>
      <c r="J392" s="759"/>
      <c r="K392" s="759"/>
      <c r="L392" s="759"/>
    </row>
    <row r="393" spans="2:12">
      <c r="B393" s="759"/>
      <c r="C393" s="759"/>
      <c r="D393" s="759"/>
      <c r="E393" s="759"/>
      <c r="F393" s="759"/>
      <c r="G393" s="759"/>
      <c r="H393" s="759"/>
      <c r="I393" s="759"/>
      <c r="J393" s="759"/>
      <c r="K393" s="759"/>
      <c r="L393" s="759"/>
    </row>
    <row r="394" spans="2:12">
      <c r="B394" s="759"/>
      <c r="C394" s="759"/>
      <c r="D394" s="759"/>
      <c r="E394" s="759"/>
      <c r="F394" s="759"/>
      <c r="G394" s="759"/>
      <c r="H394" s="759"/>
      <c r="I394" s="759"/>
      <c r="J394" s="759"/>
      <c r="K394" s="759"/>
      <c r="L394" s="759"/>
    </row>
    <row r="395" spans="2:12">
      <c r="B395" s="759"/>
      <c r="C395" s="759"/>
      <c r="D395" s="759"/>
      <c r="E395" s="759"/>
      <c r="F395" s="759"/>
      <c r="G395" s="759"/>
      <c r="H395" s="759"/>
      <c r="I395" s="759"/>
      <c r="J395" s="759"/>
      <c r="K395" s="759"/>
      <c r="L395" s="759"/>
    </row>
    <row r="396" spans="2:12">
      <c r="B396" s="759"/>
      <c r="C396" s="759"/>
      <c r="D396" s="759"/>
      <c r="E396" s="759"/>
      <c r="F396" s="759"/>
      <c r="G396" s="759"/>
      <c r="H396" s="759"/>
      <c r="I396" s="759"/>
      <c r="J396" s="759"/>
      <c r="K396" s="759"/>
      <c r="L396" s="759"/>
    </row>
    <row r="397" spans="2:12">
      <c r="B397" s="759"/>
      <c r="C397" s="759"/>
      <c r="D397" s="759"/>
      <c r="E397" s="759"/>
      <c r="F397" s="759"/>
      <c r="G397" s="759"/>
      <c r="H397" s="759"/>
      <c r="I397" s="759"/>
      <c r="J397" s="759"/>
      <c r="K397" s="759"/>
      <c r="L397" s="759"/>
    </row>
    <row r="398" spans="2:12">
      <c r="B398" s="759"/>
      <c r="C398" s="759"/>
      <c r="D398" s="759"/>
      <c r="E398" s="759"/>
      <c r="F398" s="759"/>
      <c r="G398" s="759"/>
      <c r="H398" s="759"/>
      <c r="I398" s="759"/>
      <c r="J398" s="759"/>
      <c r="K398" s="759"/>
      <c r="L398" s="759"/>
    </row>
    <row r="399" spans="2:12">
      <c r="B399" s="759"/>
      <c r="C399" s="759"/>
      <c r="D399" s="759"/>
      <c r="E399" s="759"/>
      <c r="F399" s="759"/>
      <c r="G399" s="759"/>
      <c r="H399" s="759"/>
      <c r="I399" s="759"/>
      <c r="J399" s="759"/>
      <c r="K399" s="759"/>
      <c r="L399" s="759"/>
    </row>
    <row r="400" spans="2:12">
      <c r="B400" s="759"/>
      <c r="C400" s="759"/>
      <c r="D400" s="759"/>
      <c r="E400" s="759"/>
      <c r="F400" s="759"/>
      <c r="G400" s="759"/>
      <c r="H400" s="759"/>
      <c r="I400" s="759"/>
      <c r="J400" s="759"/>
      <c r="K400" s="759"/>
      <c r="L400" s="759"/>
    </row>
    <row r="401" spans="2:12">
      <c r="B401" s="759"/>
      <c r="C401" s="759"/>
      <c r="D401" s="759"/>
      <c r="E401" s="759"/>
      <c r="F401" s="759"/>
      <c r="G401" s="759"/>
      <c r="H401" s="759"/>
      <c r="I401" s="759"/>
      <c r="J401" s="759"/>
      <c r="K401" s="759"/>
      <c r="L401" s="759"/>
    </row>
    <row r="402" spans="2:12">
      <c r="B402" s="759"/>
      <c r="C402" s="759"/>
      <c r="D402" s="759"/>
      <c r="E402" s="759"/>
      <c r="F402" s="759"/>
      <c r="G402" s="759"/>
      <c r="H402" s="759"/>
      <c r="I402" s="759"/>
      <c r="J402" s="759"/>
      <c r="K402" s="759"/>
      <c r="L402" s="759"/>
    </row>
    <row r="403" spans="2:12">
      <c r="B403" s="759"/>
      <c r="C403" s="759"/>
      <c r="D403" s="759"/>
      <c r="E403" s="759"/>
      <c r="F403" s="759"/>
      <c r="G403" s="759"/>
      <c r="H403" s="759"/>
      <c r="I403" s="759"/>
      <c r="J403" s="759"/>
      <c r="K403" s="759"/>
      <c r="L403" s="759"/>
    </row>
    <row r="404" spans="2:12">
      <c r="B404" s="759"/>
      <c r="C404" s="759"/>
      <c r="D404" s="759"/>
      <c r="E404" s="759"/>
      <c r="F404" s="759"/>
      <c r="G404" s="759"/>
      <c r="H404" s="759"/>
      <c r="I404" s="759"/>
      <c r="J404" s="759"/>
      <c r="K404" s="759"/>
      <c r="L404" s="759"/>
    </row>
    <row r="405" spans="2:12">
      <c r="B405" s="759"/>
      <c r="C405" s="759"/>
      <c r="D405" s="759"/>
      <c r="E405" s="759"/>
      <c r="F405" s="759"/>
      <c r="G405" s="759"/>
      <c r="H405" s="759"/>
      <c r="I405" s="759"/>
      <c r="J405" s="759"/>
      <c r="K405" s="759"/>
      <c r="L405" s="759"/>
    </row>
    <row r="406" spans="2:12">
      <c r="B406" s="759"/>
      <c r="C406" s="759"/>
      <c r="D406" s="759"/>
      <c r="E406" s="759"/>
      <c r="F406" s="759"/>
      <c r="G406" s="759"/>
      <c r="H406" s="759"/>
      <c r="I406" s="759"/>
      <c r="J406" s="759"/>
      <c r="K406" s="759"/>
      <c r="L406" s="759"/>
    </row>
    <row r="407" spans="2:12">
      <c r="B407" s="759"/>
      <c r="C407" s="759"/>
      <c r="D407" s="759"/>
      <c r="E407" s="759"/>
      <c r="F407" s="759"/>
      <c r="G407" s="759"/>
      <c r="H407" s="759"/>
      <c r="I407" s="759"/>
      <c r="J407" s="759"/>
      <c r="K407" s="759"/>
      <c r="L407" s="759"/>
    </row>
    <row r="408" spans="2:12">
      <c r="B408" s="759"/>
      <c r="C408" s="759"/>
      <c r="D408" s="759"/>
      <c r="E408" s="759"/>
      <c r="F408" s="759"/>
      <c r="G408" s="759"/>
      <c r="H408" s="759"/>
      <c r="I408" s="759"/>
      <c r="J408" s="759"/>
      <c r="K408" s="759"/>
      <c r="L408" s="759"/>
    </row>
    <row r="409" spans="2:12">
      <c r="B409" s="759"/>
      <c r="C409" s="759"/>
      <c r="D409" s="759"/>
      <c r="E409" s="759"/>
      <c r="F409" s="759"/>
      <c r="G409" s="759"/>
      <c r="H409" s="759"/>
      <c r="I409" s="759"/>
      <c r="J409" s="759"/>
      <c r="K409" s="759"/>
      <c r="L409" s="759"/>
    </row>
    <row r="410" spans="2:12">
      <c r="B410" s="759"/>
      <c r="C410" s="759"/>
      <c r="D410" s="759"/>
      <c r="E410" s="759"/>
      <c r="F410" s="759"/>
      <c r="G410" s="759"/>
      <c r="H410" s="759"/>
      <c r="I410" s="759"/>
      <c r="J410" s="759"/>
      <c r="K410" s="759"/>
      <c r="L410" s="759"/>
    </row>
    <row r="411" spans="2:12">
      <c r="B411" s="759"/>
      <c r="C411" s="759"/>
      <c r="D411" s="759"/>
      <c r="E411" s="759"/>
      <c r="F411" s="759"/>
      <c r="G411" s="759"/>
      <c r="H411" s="759"/>
      <c r="I411" s="759"/>
      <c r="J411" s="759"/>
      <c r="K411" s="759"/>
      <c r="L411" s="759"/>
    </row>
    <row r="412" spans="2:12">
      <c r="B412" s="759"/>
      <c r="C412" s="759"/>
      <c r="D412" s="759"/>
      <c r="E412" s="759"/>
      <c r="F412" s="759"/>
      <c r="G412" s="759"/>
      <c r="H412" s="759"/>
      <c r="I412" s="759"/>
      <c r="J412" s="759"/>
      <c r="K412" s="759"/>
      <c r="L412" s="759"/>
    </row>
  </sheetData>
  <mergeCells count="7">
    <mergeCell ref="C1:H3"/>
    <mergeCell ref="A7:B7"/>
    <mergeCell ref="A4:C4"/>
    <mergeCell ref="D4:H4"/>
    <mergeCell ref="A5:C5"/>
    <mergeCell ref="D5:G5"/>
    <mergeCell ref="H5:H6"/>
  </mergeCells>
  <printOptions horizontalCentered="1" verticalCentered="1"/>
  <pageMargins left="0.70866141732283472" right="0.70866141732283472" top="0.74803149606299213" bottom="0.74803149606299213" header="0.31496062992125984" footer="0.31496062992125984"/>
  <pageSetup paperSize="9" scale="43" orientation="portrait" r:id="rId1"/>
  <headerFooter>
    <oddFooter>&amp;L&amp;"Calibri,Regular"&amp;K184782&amp;F&amp;C&amp;"Calibri,Regular"&amp;K184782&amp;A&amp;R&amp;"Calibri,Regular"&amp;K184782&amp;P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40"/>
  <dimension ref="A2:H139"/>
  <sheetViews>
    <sheetView showGridLines="0" showOutlineSymbols="0" topLeftCell="A56" zoomScale="90" zoomScaleNormal="87" workbookViewId="0">
      <selection activeCell="D85" sqref="D85"/>
    </sheetView>
  </sheetViews>
  <sheetFormatPr defaultColWidth="11.6640625" defaultRowHeight="15"/>
  <cols>
    <col min="1" max="1" width="8.77734375" style="1" customWidth="1"/>
    <col min="2" max="2" width="10.77734375" style="1" customWidth="1"/>
    <col min="3" max="3" width="12" style="1" customWidth="1"/>
    <col min="4" max="4" width="9.77734375" style="1" customWidth="1"/>
    <col min="5" max="5" width="12" style="1" customWidth="1"/>
    <col min="6" max="7" width="9.77734375" style="1" customWidth="1"/>
    <col min="8" max="8" width="12.5546875" style="1" customWidth="1"/>
    <col min="9" max="16384" width="11.6640625" style="1"/>
  </cols>
  <sheetData>
    <row r="2" spans="1:8" ht="16.5">
      <c r="A2" s="6" t="s">
        <v>169</v>
      </c>
      <c r="B2" s="6"/>
      <c r="C2" s="6"/>
      <c r="D2" s="6"/>
      <c r="E2" s="7"/>
      <c r="F2" s="7"/>
      <c r="G2" s="7"/>
    </row>
    <row r="3" spans="1:8" ht="15.75">
      <c r="A3" s="2" t="s">
        <v>149</v>
      </c>
    </row>
    <row r="4" spans="1:8" ht="45">
      <c r="A4" s="11" t="s">
        <v>67</v>
      </c>
      <c r="B4" s="43" t="s">
        <v>76</v>
      </c>
      <c r="C4" s="11" t="s">
        <v>68</v>
      </c>
      <c r="D4" s="12" t="s">
        <v>69</v>
      </c>
      <c r="E4" s="12" t="s">
        <v>65</v>
      </c>
      <c r="F4" s="12" t="s">
        <v>70</v>
      </c>
      <c r="G4" s="11" t="s">
        <v>160</v>
      </c>
      <c r="H4" s="11" t="s">
        <v>186</v>
      </c>
    </row>
    <row r="5" spans="1:8">
      <c r="A5" s="16">
        <v>34516</v>
      </c>
      <c r="B5" s="24">
        <f>+geral!C304</f>
        <v>46158</v>
      </c>
      <c r="C5" s="17">
        <v>100</v>
      </c>
      <c r="D5" s="17"/>
      <c r="E5" s="17"/>
      <c r="F5" s="17"/>
      <c r="G5" s="17"/>
      <c r="H5" s="39">
        <f>B$70/B5</f>
        <v>1.2023917847393735</v>
      </c>
    </row>
    <row r="6" spans="1:8">
      <c r="A6" s="16">
        <v>34547</v>
      </c>
      <c r="B6" s="24">
        <f>+geral!C305</f>
        <v>46750.67</v>
      </c>
      <c r="C6" s="17">
        <v>100</v>
      </c>
      <c r="D6" s="17">
        <f t="shared" ref="D6:D70" si="0">100*((B6/B5)-1)</f>
        <v>1.2840027730837589</v>
      </c>
      <c r="E6" s="17"/>
      <c r="F6" s="17"/>
      <c r="G6" s="17"/>
      <c r="H6" s="39">
        <f t="shared" ref="H6:H69" si="1">B$70/B6</f>
        <v>1.1871487617182812</v>
      </c>
    </row>
    <row r="7" spans="1:8">
      <c r="A7" s="16">
        <v>34578</v>
      </c>
      <c r="B7" s="24">
        <f>+geral!C306</f>
        <v>51573.599999999999</v>
      </c>
      <c r="C7" s="17">
        <f t="shared" ref="C7:C70" si="2">100*B7/$B$6</f>
        <v>110.31627995919631</v>
      </c>
      <c r="D7" s="17">
        <f t="shared" si="0"/>
        <v>10.316279959196306</v>
      </c>
      <c r="E7" s="17"/>
      <c r="F7" s="17"/>
      <c r="G7" s="17"/>
      <c r="H7" s="39">
        <f t="shared" si="1"/>
        <v>1.0761319744985807</v>
      </c>
    </row>
    <row r="8" spans="1:8">
      <c r="A8" s="16">
        <v>34608</v>
      </c>
      <c r="B8" s="24">
        <f>+geral!C307</f>
        <v>61132.78</v>
      </c>
      <c r="C8" s="17">
        <f t="shared" si="2"/>
        <v>130.76343077008309</v>
      </c>
      <c r="D8" s="17">
        <f t="shared" si="0"/>
        <v>18.535025672049276</v>
      </c>
      <c r="E8" s="17"/>
      <c r="F8" s="17"/>
      <c r="G8" s="17"/>
      <c r="H8" s="39">
        <f t="shared" si="1"/>
        <v>0.90785990756513935</v>
      </c>
    </row>
    <row r="9" spans="1:8">
      <c r="A9" s="16">
        <v>34639</v>
      </c>
      <c r="B9" s="24">
        <f>+geral!C308</f>
        <v>62003</v>
      </c>
      <c r="C9" s="17">
        <f t="shared" si="2"/>
        <v>132.6248372483218</v>
      </c>
      <c r="D9" s="17">
        <f t="shared" si="0"/>
        <v>1.423491619389794</v>
      </c>
      <c r="E9" s="17"/>
      <c r="F9" s="17"/>
      <c r="G9" s="17"/>
      <c r="H9" s="39">
        <f t="shared" si="1"/>
        <v>0.89511797816234695</v>
      </c>
    </row>
    <row r="10" spans="1:8">
      <c r="A10" s="16">
        <v>34669</v>
      </c>
      <c r="B10" s="24">
        <f>+geral!C309</f>
        <v>61306.89</v>
      </c>
      <c r="C10" s="17">
        <f t="shared" si="2"/>
        <v>131.13585324017816</v>
      </c>
      <c r="D10" s="17">
        <f t="shared" si="0"/>
        <v>-1.1227037401416062</v>
      </c>
      <c r="E10" s="17"/>
      <c r="F10" s="17"/>
      <c r="G10" s="17"/>
      <c r="H10" s="39">
        <f t="shared" si="1"/>
        <v>0.90528160864137786</v>
      </c>
    </row>
    <row r="11" spans="1:8">
      <c r="A11" s="16">
        <v>34700</v>
      </c>
      <c r="B11" s="24">
        <f>+geral!E298</f>
        <v>62703.33</v>
      </c>
      <c r="C11" s="17">
        <f t="shared" si="2"/>
        <v>134.12284786506802</v>
      </c>
      <c r="D11" s="17">
        <f t="shared" si="0"/>
        <v>2.2777863956237265</v>
      </c>
      <c r="E11" s="17">
        <f>100*((B11/$B$10)-1)</f>
        <v>2.2777863956237265</v>
      </c>
      <c r="F11" s="17"/>
      <c r="G11" s="17"/>
      <c r="H11" s="39">
        <f t="shared" si="1"/>
        <v>0.88512045532509998</v>
      </c>
    </row>
    <row r="12" spans="1:8">
      <c r="A12" s="16">
        <v>34731</v>
      </c>
      <c r="B12" s="24">
        <f>+geral!E299</f>
        <v>62703.67</v>
      </c>
      <c r="C12" s="17">
        <f t="shared" si="2"/>
        <v>134.1235751273725</v>
      </c>
      <c r="D12" s="17">
        <f t="shared" si="0"/>
        <v>5.4223595460367591E-4</v>
      </c>
      <c r="E12" s="17">
        <f t="shared" ref="E12:E22" si="3">100*((B12/$B$10)-1)</f>
        <v>2.2783409825551493</v>
      </c>
      <c r="F12" s="17"/>
      <c r="G12" s="17"/>
      <c r="H12" s="39">
        <f t="shared" si="1"/>
        <v>0.8851156559097737</v>
      </c>
    </row>
    <row r="13" spans="1:8">
      <c r="A13" s="16">
        <v>34759</v>
      </c>
      <c r="B13" s="24">
        <f>+geral!E300</f>
        <v>65712.89</v>
      </c>
      <c r="C13" s="17">
        <f t="shared" si="2"/>
        <v>140.56031710347682</v>
      </c>
      <c r="D13" s="17">
        <f t="shared" si="0"/>
        <v>4.7991130343726374</v>
      </c>
      <c r="E13" s="17">
        <f t="shared" si="3"/>
        <v>7.1867941759890197</v>
      </c>
      <c r="F13" s="17"/>
      <c r="G13" s="17"/>
      <c r="H13" s="39">
        <f t="shared" si="1"/>
        <v>0.84458315560310926</v>
      </c>
    </row>
    <row r="14" spans="1:8">
      <c r="A14" s="16">
        <v>34790</v>
      </c>
      <c r="B14" s="24">
        <f>+geral!E301</f>
        <v>65677</v>
      </c>
      <c r="C14" s="17">
        <f t="shared" si="2"/>
        <v>140.48354815021904</v>
      </c>
      <c r="D14" s="17">
        <f t="shared" si="0"/>
        <v>-5.4616377395666493E-2</v>
      </c>
      <c r="E14" s="17">
        <f t="shared" si="3"/>
        <v>7.1282526319635497</v>
      </c>
      <c r="F14" s="17"/>
      <c r="G14" s="17"/>
      <c r="H14" s="39">
        <f t="shared" si="1"/>
        <v>0.84504468839928737</v>
      </c>
    </row>
    <row r="15" spans="1:8">
      <c r="A15" s="16">
        <v>34820</v>
      </c>
      <c r="B15" s="24">
        <f>+geral!E302</f>
        <v>65677</v>
      </c>
      <c r="C15" s="17">
        <f t="shared" si="2"/>
        <v>140.48354815021904</v>
      </c>
      <c r="D15" s="17">
        <f t="shared" si="0"/>
        <v>0</v>
      </c>
      <c r="E15" s="17">
        <f t="shared" si="3"/>
        <v>7.1282526319635497</v>
      </c>
      <c r="F15" s="17"/>
      <c r="G15" s="17"/>
      <c r="H15" s="39">
        <f t="shared" si="1"/>
        <v>0.84504468839928737</v>
      </c>
    </row>
    <row r="16" spans="1:8">
      <c r="A16" s="16">
        <v>38504</v>
      </c>
      <c r="B16" s="24">
        <f>+geral!E303</f>
        <v>65677</v>
      </c>
      <c r="C16" s="17">
        <f t="shared" si="2"/>
        <v>140.48354815021904</v>
      </c>
      <c r="D16" s="17">
        <f t="shared" si="0"/>
        <v>0</v>
      </c>
      <c r="E16" s="17">
        <f t="shared" si="3"/>
        <v>7.1282526319635497</v>
      </c>
      <c r="F16" s="17"/>
      <c r="G16" s="17"/>
      <c r="H16" s="39">
        <f t="shared" si="1"/>
        <v>0.84504468839928737</v>
      </c>
    </row>
    <row r="17" spans="1:8">
      <c r="A17" s="16">
        <v>34881</v>
      </c>
      <c r="B17" s="24">
        <f>+geral!E304</f>
        <v>57647</v>
      </c>
      <c r="C17" s="17">
        <f t="shared" si="2"/>
        <v>123.30732372391668</v>
      </c>
      <c r="D17" s="17">
        <f t="shared" si="0"/>
        <v>-12.226502428551855</v>
      </c>
      <c r="E17" s="17">
        <f t="shared" si="3"/>
        <v>-5.9697857777486369</v>
      </c>
      <c r="F17" s="17">
        <f>100*((B17/B5)-1)</f>
        <v>24.890593179947128</v>
      </c>
      <c r="G17" s="17"/>
      <c r="H17" s="39">
        <f t="shared" si="1"/>
        <v>0.96275608444498417</v>
      </c>
    </row>
    <row r="18" spans="1:8">
      <c r="A18" s="16">
        <v>34912</v>
      </c>
      <c r="B18" s="24">
        <f>+geral!E305</f>
        <v>57647</v>
      </c>
      <c r="C18" s="17">
        <f t="shared" si="2"/>
        <v>123.30732372391668</v>
      </c>
      <c r="D18" s="17">
        <f t="shared" si="0"/>
        <v>0</v>
      </c>
      <c r="E18" s="17">
        <f t="shared" si="3"/>
        <v>-5.9697857777486369</v>
      </c>
      <c r="F18" s="17">
        <f t="shared" ref="F18:F73" si="4">100*((B18/B6)-1)</f>
        <v>23.307323723916685</v>
      </c>
      <c r="G18" s="17"/>
      <c r="H18" s="39">
        <f t="shared" si="1"/>
        <v>0.96275608444498417</v>
      </c>
    </row>
    <row r="19" spans="1:8">
      <c r="A19" s="16">
        <v>34943</v>
      </c>
      <c r="B19" s="24">
        <f>+geral!E306</f>
        <v>57647.09</v>
      </c>
      <c r="C19" s="17">
        <f t="shared" si="2"/>
        <v>123.3075162345267</v>
      </c>
      <c r="D19" s="17">
        <f t="shared" si="0"/>
        <v>1.5612260828579139E-4</v>
      </c>
      <c r="E19" s="17">
        <f t="shared" si="3"/>
        <v>-5.9696389753256192</v>
      </c>
      <c r="F19" s="17">
        <f t="shared" si="4"/>
        <v>11.776354569004299</v>
      </c>
      <c r="G19" s="17"/>
      <c r="H19" s="39">
        <f t="shared" si="1"/>
        <v>0.96275458136742031</v>
      </c>
    </row>
    <row r="20" spans="1:8">
      <c r="A20" s="16">
        <v>34973</v>
      </c>
      <c r="B20" s="24">
        <f>+geral!E307</f>
        <v>56500</v>
      </c>
      <c r="C20" s="17">
        <f t="shared" si="2"/>
        <v>120.85388294969891</v>
      </c>
      <c r="D20" s="17">
        <f t="shared" si="0"/>
        <v>-1.989848923857207</v>
      </c>
      <c r="E20" s="17">
        <f t="shared" si="3"/>
        <v>-7.8407011022741502</v>
      </c>
      <c r="F20" s="17">
        <f t="shared" si="4"/>
        <v>-7.5782256262515784</v>
      </c>
      <c r="G20" s="17"/>
      <c r="H20" s="39">
        <f t="shared" si="1"/>
        <v>0.98230088495575218</v>
      </c>
    </row>
    <row r="21" spans="1:8">
      <c r="A21" s="16">
        <v>35004</v>
      </c>
      <c r="B21" s="24">
        <f>+geral!E308</f>
        <v>53000</v>
      </c>
      <c r="C21" s="17">
        <f t="shared" si="2"/>
        <v>113.36735922715118</v>
      </c>
      <c r="D21" s="17">
        <f t="shared" si="0"/>
        <v>-6.1946902654867237</v>
      </c>
      <c r="E21" s="17">
        <f t="shared" si="3"/>
        <v>-13.549684219832391</v>
      </c>
      <c r="F21" s="17">
        <f t="shared" si="4"/>
        <v>-14.520265148460554</v>
      </c>
      <c r="G21" s="17"/>
      <c r="H21" s="39">
        <f t="shared" si="1"/>
        <v>1.0471698113207548</v>
      </c>
    </row>
    <row r="22" spans="1:8">
      <c r="A22" s="16">
        <v>35034</v>
      </c>
      <c r="B22" s="24">
        <f>+geral!E309</f>
        <v>53000</v>
      </c>
      <c r="C22" s="17">
        <f t="shared" si="2"/>
        <v>113.36735922715118</v>
      </c>
      <c r="D22" s="17">
        <f t="shared" si="0"/>
        <v>0</v>
      </c>
      <c r="E22" s="17">
        <f t="shared" si="3"/>
        <v>-13.549684219832391</v>
      </c>
      <c r="F22" s="17">
        <f t="shared" si="4"/>
        <v>-13.549684219832391</v>
      </c>
      <c r="G22" s="17"/>
      <c r="H22" s="39">
        <f t="shared" si="1"/>
        <v>1.0471698113207548</v>
      </c>
    </row>
    <row r="23" spans="1:8">
      <c r="A23" s="16">
        <v>35065</v>
      </c>
      <c r="B23" s="24">
        <f>+geral!G298</f>
        <v>53000</v>
      </c>
      <c r="C23" s="17">
        <f t="shared" si="2"/>
        <v>113.36735922715118</v>
      </c>
      <c r="D23" s="17">
        <f t="shared" si="0"/>
        <v>0</v>
      </c>
      <c r="E23" s="17">
        <f>100*((B23/$B$22)-1)</f>
        <v>0</v>
      </c>
      <c r="F23" s="17">
        <f t="shared" si="4"/>
        <v>-15.474983545530996</v>
      </c>
      <c r="G23" s="17"/>
      <c r="H23" s="39">
        <f t="shared" si="1"/>
        <v>1.0471698113207548</v>
      </c>
    </row>
    <row r="24" spans="1:8">
      <c r="A24" s="16">
        <v>35096</v>
      </c>
      <c r="B24" s="24">
        <f>+geral!G299</f>
        <v>52180</v>
      </c>
      <c r="C24" s="17">
        <f t="shared" si="2"/>
        <v>111.61337366929715</v>
      </c>
      <c r="D24" s="17">
        <f t="shared" si="0"/>
        <v>-1.5471698113207588</v>
      </c>
      <c r="E24" s="17">
        <f t="shared" ref="E24:E34" si="5">100*((B24/$B$22)-1)</f>
        <v>-1.5471698113207588</v>
      </c>
      <c r="F24" s="17">
        <f t="shared" si="4"/>
        <v>-16.783180314645051</v>
      </c>
      <c r="G24" s="17"/>
      <c r="H24" s="39">
        <f t="shared" si="1"/>
        <v>1.0636259103104637</v>
      </c>
    </row>
    <row r="25" spans="1:8">
      <c r="A25" s="16">
        <v>35125</v>
      </c>
      <c r="B25" s="24">
        <f>+geral!G300</f>
        <v>51972.75</v>
      </c>
      <c r="C25" s="17">
        <f t="shared" si="2"/>
        <v>111.17006451458343</v>
      </c>
      <c r="D25" s="17">
        <f t="shared" si="0"/>
        <v>-0.39718282866998411</v>
      </c>
      <c r="E25" s="17">
        <f t="shared" si="5"/>
        <v>-1.9382075471698124</v>
      </c>
      <c r="F25" s="17">
        <f t="shared" si="4"/>
        <v>-20.909352792123435</v>
      </c>
      <c r="G25" s="17"/>
      <c r="H25" s="39">
        <f t="shared" si="1"/>
        <v>1.0678672958425328</v>
      </c>
    </row>
    <row r="26" spans="1:8">
      <c r="A26" s="16">
        <v>35156</v>
      </c>
      <c r="B26" s="24">
        <f>+geral!G301</f>
        <v>51400</v>
      </c>
      <c r="C26" s="17">
        <f t="shared" si="2"/>
        <v>109.94494838255794</v>
      </c>
      <c r="D26" s="17">
        <f t="shared" si="0"/>
        <v>-1.1020198084573218</v>
      </c>
      <c r="E26" s="17">
        <f t="shared" si="5"/>
        <v>-3.0188679245283012</v>
      </c>
      <c r="F26" s="17">
        <f t="shared" si="4"/>
        <v>-21.738203632930862</v>
      </c>
      <c r="G26" s="17"/>
      <c r="H26" s="39">
        <f t="shared" si="1"/>
        <v>1.0797665369649805</v>
      </c>
    </row>
    <row r="27" spans="1:8">
      <c r="A27" s="16">
        <v>35186</v>
      </c>
      <c r="B27" s="24">
        <f>+geral!G302</f>
        <v>52272</v>
      </c>
      <c r="C27" s="17">
        <f t="shared" si="2"/>
        <v>111.81016229286126</v>
      </c>
      <c r="D27" s="17">
        <f t="shared" si="0"/>
        <v>1.6964980544747155</v>
      </c>
      <c r="E27" s="17">
        <f t="shared" si="5"/>
        <v>-1.3735849056603744</v>
      </c>
      <c r="F27" s="17">
        <f t="shared" si="4"/>
        <v>-20.410493780166572</v>
      </c>
      <c r="G27" s="17"/>
      <c r="H27" s="39">
        <f t="shared" si="1"/>
        <v>1.0617539026629936</v>
      </c>
    </row>
    <row r="28" spans="1:8">
      <c r="A28" s="16">
        <v>35217</v>
      </c>
      <c r="B28" s="24">
        <f>+geral!G303</f>
        <v>50800</v>
      </c>
      <c r="C28" s="17">
        <f t="shared" si="2"/>
        <v>108.66154431583547</v>
      </c>
      <c r="D28" s="17">
        <f t="shared" si="0"/>
        <v>-2.8160391796755446</v>
      </c>
      <c r="E28" s="17">
        <f t="shared" si="5"/>
        <v>-4.1509433962264142</v>
      </c>
      <c r="F28" s="17">
        <f t="shared" si="4"/>
        <v>-22.651765458227391</v>
      </c>
      <c r="G28" s="17"/>
      <c r="H28" s="39">
        <f t="shared" si="1"/>
        <v>1.0925196850393701</v>
      </c>
    </row>
    <row r="29" spans="1:8">
      <c r="A29" s="16">
        <v>35247</v>
      </c>
      <c r="B29" s="24">
        <f>+geral!G304</f>
        <v>49580</v>
      </c>
      <c r="C29" s="17">
        <f t="shared" si="2"/>
        <v>106.05195604683313</v>
      </c>
      <c r="D29" s="17">
        <f t="shared" si="0"/>
        <v>-2.4015748031496087</v>
      </c>
      <c r="E29" s="17">
        <f t="shared" si="5"/>
        <v>-6.4528301886792487</v>
      </c>
      <c r="F29" s="17">
        <f t="shared" si="4"/>
        <v>-13.993789789581424</v>
      </c>
      <c r="G29" s="17">
        <f>100*(B29/B5-1)</f>
        <v>7.4136661033840312</v>
      </c>
      <c r="H29" s="39">
        <f t="shared" si="1"/>
        <v>1.1194029850746268</v>
      </c>
    </row>
    <row r="30" spans="1:8">
      <c r="A30" s="16">
        <v>35278</v>
      </c>
      <c r="B30" s="24">
        <f>+geral!G305</f>
        <v>49733.33</v>
      </c>
      <c r="C30" s="17">
        <f t="shared" si="2"/>
        <v>106.37992995608406</v>
      </c>
      <c r="D30" s="17">
        <f t="shared" si="0"/>
        <v>0.30925776522792159</v>
      </c>
      <c r="E30" s="17">
        <f t="shared" si="5"/>
        <v>-6.1635283018867888</v>
      </c>
      <c r="F30" s="17">
        <f t="shared" si="4"/>
        <v>-13.727808905927452</v>
      </c>
      <c r="G30" s="17">
        <f t="shared" ref="G30:G72" si="6">100*(B30/B6-1)</f>
        <v>6.3799299560840517</v>
      </c>
      <c r="H30" s="39">
        <f t="shared" si="1"/>
        <v>1.1159518174230441</v>
      </c>
    </row>
    <row r="31" spans="1:8">
      <c r="A31" s="16">
        <v>35309</v>
      </c>
      <c r="B31" s="24">
        <f>+geral!G306</f>
        <v>50120</v>
      </c>
      <c r="C31" s="17">
        <f t="shared" si="2"/>
        <v>107.20701970688334</v>
      </c>
      <c r="D31" s="17">
        <f t="shared" si="0"/>
        <v>0.77748664728463091</v>
      </c>
      <c r="E31" s="17">
        <f t="shared" si="5"/>
        <v>-5.4339622641509493</v>
      </c>
      <c r="F31" s="17">
        <f t="shared" si="4"/>
        <v>-13.057189877234043</v>
      </c>
      <c r="G31" s="17">
        <f t="shared" si="6"/>
        <v>-2.8184962849209683</v>
      </c>
      <c r="H31" s="39">
        <f t="shared" si="1"/>
        <v>1.107342378292099</v>
      </c>
    </row>
    <row r="32" spans="1:8">
      <c r="A32" s="16">
        <v>35339</v>
      </c>
      <c r="B32" s="24">
        <f>+geral!G307</f>
        <v>49350</v>
      </c>
      <c r="C32" s="17">
        <f t="shared" si="2"/>
        <v>105.55998448792285</v>
      </c>
      <c r="D32" s="17">
        <f t="shared" si="0"/>
        <v>-1.5363128491620137</v>
      </c>
      <c r="E32" s="17">
        <f t="shared" si="5"/>
        <v>-6.8867924528301927</v>
      </c>
      <c r="F32" s="17">
        <f t="shared" si="4"/>
        <v>-12.65486725663717</v>
      </c>
      <c r="G32" s="17">
        <f t="shared" si="6"/>
        <v>-19.274078489478153</v>
      </c>
      <c r="H32" s="39">
        <f t="shared" si="1"/>
        <v>1.1246200607902737</v>
      </c>
    </row>
    <row r="33" spans="1:8">
      <c r="A33" s="16">
        <v>35370</v>
      </c>
      <c r="B33" s="24">
        <f>+geral!G308</f>
        <v>47100</v>
      </c>
      <c r="C33" s="17">
        <f t="shared" si="2"/>
        <v>100.74721923771361</v>
      </c>
      <c r="D33" s="17">
        <f t="shared" si="0"/>
        <v>-4.5592705167173282</v>
      </c>
      <c r="E33" s="17">
        <f t="shared" si="5"/>
        <v>-11.13207547169811</v>
      </c>
      <c r="F33" s="17">
        <f t="shared" si="4"/>
        <v>-11.13207547169811</v>
      </c>
      <c r="G33" s="17">
        <f t="shared" si="6"/>
        <v>-24.035933745141371</v>
      </c>
      <c r="H33" s="39">
        <f t="shared" si="1"/>
        <v>1.1783439490445859</v>
      </c>
    </row>
    <row r="34" spans="1:8">
      <c r="A34" s="16">
        <v>35400</v>
      </c>
      <c r="B34" s="24">
        <f>+geral!G309</f>
        <v>48000</v>
      </c>
      <c r="C34" s="17">
        <f t="shared" si="2"/>
        <v>102.6723253377973</v>
      </c>
      <c r="D34" s="17">
        <f t="shared" si="0"/>
        <v>1.9108280254777066</v>
      </c>
      <c r="E34" s="17">
        <f t="shared" si="5"/>
        <v>-9.4339622641509422</v>
      </c>
      <c r="F34" s="17">
        <f t="shared" si="4"/>
        <v>-9.4339622641509422</v>
      </c>
      <c r="G34" s="17">
        <f t="shared" si="6"/>
        <v>-21.705374387772725</v>
      </c>
      <c r="H34" s="39">
        <f t="shared" si="1"/>
        <v>1.15625</v>
      </c>
    </row>
    <row r="35" spans="1:8">
      <c r="A35" s="16">
        <v>35431</v>
      </c>
      <c r="B35" s="24">
        <f>+geral!I298</f>
        <v>48880</v>
      </c>
      <c r="C35" s="17">
        <f t="shared" si="2"/>
        <v>104.55465130232359</v>
      </c>
      <c r="D35" s="17">
        <f t="shared" si="0"/>
        <v>1.8333333333333313</v>
      </c>
      <c r="E35" s="17">
        <f>100*((B35/$B$34)-1)</f>
        <v>1.8333333333333313</v>
      </c>
      <c r="F35" s="17">
        <f t="shared" si="4"/>
        <v>-7.7735849056603801</v>
      </c>
      <c r="G35" s="17">
        <f t="shared" si="6"/>
        <v>-22.045607466142549</v>
      </c>
      <c r="H35" s="39">
        <f t="shared" si="1"/>
        <v>1.1354337152209493</v>
      </c>
    </row>
    <row r="36" spans="1:8">
      <c r="A36" s="16">
        <v>35462</v>
      </c>
      <c r="B36" s="24">
        <f>+geral!I299</f>
        <v>48400</v>
      </c>
      <c r="C36" s="17">
        <f t="shared" si="2"/>
        <v>103.52792804894561</v>
      </c>
      <c r="D36" s="17">
        <f t="shared" si="0"/>
        <v>-0.98199672667758087</v>
      </c>
      <c r="E36" s="17">
        <f t="shared" ref="E36:E46" si="7">100*((B36/$B$34)-1)</f>
        <v>0.83333333333333037</v>
      </c>
      <c r="F36" s="17">
        <f t="shared" si="4"/>
        <v>-7.2441548486009921</v>
      </c>
      <c r="G36" s="17">
        <f t="shared" si="6"/>
        <v>-22.811535592733247</v>
      </c>
      <c r="H36" s="39">
        <f t="shared" si="1"/>
        <v>1.1466942148760331</v>
      </c>
    </row>
    <row r="37" spans="1:8">
      <c r="A37" s="16">
        <v>35490</v>
      </c>
      <c r="B37" s="24">
        <f>+geral!I300</f>
        <v>48400</v>
      </c>
      <c r="C37" s="17">
        <f t="shared" si="2"/>
        <v>103.52792804894561</v>
      </c>
      <c r="D37" s="17">
        <f t="shared" si="0"/>
        <v>0</v>
      </c>
      <c r="E37" s="17">
        <f t="shared" si="7"/>
        <v>0.83333333333333037</v>
      </c>
      <c r="F37" s="17">
        <f t="shared" si="4"/>
        <v>-6.8742754616601953</v>
      </c>
      <c r="G37" s="17">
        <f t="shared" si="6"/>
        <v>-26.346261745602728</v>
      </c>
      <c r="H37" s="39">
        <f t="shared" si="1"/>
        <v>1.1466942148760331</v>
      </c>
    </row>
    <row r="38" spans="1:8">
      <c r="A38" s="16">
        <v>35521</v>
      </c>
      <c r="B38" s="24">
        <f>+geral!I301</f>
        <v>48400</v>
      </c>
      <c r="C38" s="17">
        <f t="shared" si="2"/>
        <v>103.52792804894561</v>
      </c>
      <c r="D38" s="17">
        <f t="shared" si="0"/>
        <v>0</v>
      </c>
      <c r="E38" s="17">
        <f t="shared" si="7"/>
        <v>0.83333333333333037</v>
      </c>
      <c r="F38" s="17">
        <f t="shared" si="4"/>
        <v>-5.8365758754863828</v>
      </c>
      <c r="G38" s="17">
        <f t="shared" si="6"/>
        <v>-26.306012759413488</v>
      </c>
      <c r="H38" s="39">
        <f t="shared" si="1"/>
        <v>1.1466942148760331</v>
      </c>
    </row>
    <row r="39" spans="1:8">
      <c r="A39" s="16">
        <v>35551</v>
      </c>
      <c r="B39" s="24">
        <f>+geral!I302</f>
        <v>49900</v>
      </c>
      <c r="C39" s="17">
        <f t="shared" si="2"/>
        <v>106.73643821575178</v>
      </c>
      <c r="D39" s="17">
        <f t="shared" si="0"/>
        <v>3.0991735537190035</v>
      </c>
      <c r="E39" s="17">
        <f t="shared" si="7"/>
        <v>3.9583333333333304</v>
      </c>
      <c r="F39" s="17">
        <f t="shared" si="4"/>
        <v>-4.5378022650749976</v>
      </c>
      <c r="G39" s="17">
        <f t="shared" si="6"/>
        <v>-24.022108196172177</v>
      </c>
      <c r="H39" s="39">
        <f t="shared" si="1"/>
        <v>1.1122244488977955</v>
      </c>
    </row>
    <row r="40" spans="1:8">
      <c r="A40" s="16">
        <v>35582</v>
      </c>
      <c r="B40" s="24">
        <f>+geral!I303</f>
        <v>49950</v>
      </c>
      <c r="C40" s="17">
        <f t="shared" si="2"/>
        <v>106.84338855464532</v>
      </c>
      <c r="D40" s="17">
        <f t="shared" si="0"/>
        <v>0.10020040080160886</v>
      </c>
      <c r="E40" s="17">
        <f t="shared" si="7"/>
        <v>4.0624999999999911</v>
      </c>
      <c r="F40" s="17">
        <f t="shared" si="4"/>
        <v>-1.6732283464566899</v>
      </c>
      <c r="G40" s="17">
        <f t="shared" si="6"/>
        <v>-23.94597804406413</v>
      </c>
      <c r="H40" s="39">
        <f t="shared" si="1"/>
        <v>1.1111111111111112</v>
      </c>
    </row>
    <row r="41" spans="1:8">
      <c r="A41" s="16">
        <v>35612</v>
      </c>
      <c r="B41" s="24">
        <f>+geral!I304</f>
        <v>51000</v>
      </c>
      <c r="C41" s="17">
        <f t="shared" si="2"/>
        <v>109.08934567140963</v>
      </c>
      <c r="D41" s="17">
        <f t="shared" si="0"/>
        <v>2.1021021021021102</v>
      </c>
      <c r="E41" s="17">
        <f t="shared" si="7"/>
        <v>6.25</v>
      </c>
      <c r="F41" s="17">
        <f t="shared" si="4"/>
        <v>2.8640580879386812</v>
      </c>
      <c r="G41" s="17">
        <f t="shared" si="6"/>
        <v>-11.530521969920382</v>
      </c>
      <c r="H41" s="39">
        <f t="shared" si="1"/>
        <v>1.088235294117647</v>
      </c>
    </row>
    <row r="42" spans="1:8">
      <c r="A42" s="16">
        <v>35643</v>
      </c>
      <c r="B42" s="24">
        <f>+geral!I305</f>
        <v>51000</v>
      </c>
      <c r="C42" s="17">
        <f t="shared" si="2"/>
        <v>109.08934567140963</v>
      </c>
      <c r="D42" s="17">
        <f t="shared" si="0"/>
        <v>0</v>
      </c>
      <c r="E42" s="17">
        <f t="shared" si="7"/>
        <v>6.25</v>
      </c>
      <c r="F42" s="17">
        <f t="shared" si="4"/>
        <v>2.5469237631986497</v>
      </c>
      <c r="G42" s="17">
        <f t="shared" si="6"/>
        <v>-11.530521969920382</v>
      </c>
      <c r="H42" s="39">
        <f t="shared" si="1"/>
        <v>1.088235294117647</v>
      </c>
    </row>
    <row r="43" spans="1:8">
      <c r="A43" s="16">
        <v>35674</v>
      </c>
      <c r="B43" s="24">
        <f>+geral!I306</f>
        <v>51000</v>
      </c>
      <c r="C43" s="17">
        <f t="shared" si="2"/>
        <v>109.08934567140963</v>
      </c>
      <c r="D43" s="17">
        <f t="shared" si="0"/>
        <v>0</v>
      </c>
      <c r="E43" s="17">
        <f t="shared" si="7"/>
        <v>6.25</v>
      </c>
      <c r="F43" s="17">
        <f t="shared" si="4"/>
        <v>1.7557861133280062</v>
      </c>
      <c r="G43" s="17">
        <f t="shared" si="6"/>
        <v>-11.530660090561373</v>
      </c>
      <c r="H43" s="39">
        <f t="shared" si="1"/>
        <v>1.088235294117647</v>
      </c>
    </row>
    <row r="44" spans="1:8">
      <c r="A44" s="16">
        <v>35704</v>
      </c>
      <c r="B44" s="24">
        <f>+geral!I307</f>
        <v>51000</v>
      </c>
      <c r="C44" s="17">
        <f t="shared" si="2"/>
        <v>109.08934567140963</v>
      </c>
      <c r="D44" s="17">
        <f t="shared" si="0"/>
        <v>0</v>
      </c>
      <c r="E44" s="17">
        <f t="shared" si="7"/>
        <v>6.25</v>
      </c>
      <c r="F44" s="17">
        <f t="shared" si="4"/>
        <v>3.3434650455927084</v>
      </c>
      <c r="G44" s="17">
        <f t="shared" si="6"/>
        <v>-9.7345132743362868</v>
      </c>
      <c r="H44" s="39">
        <f t="shared" si="1"/>
        <v>1.088235294117647</v>
      </c>
    </row>
    <row r="45" spans="1:8">
      <c r="A45" s="16">
        <v>35735</v>
      </c>
      <c r="B45" s="24">
        <f>+geral!I308</f>
        <v>51000</v>
      </c>
      <c r="C45" s="17">
        <f t="shared" si="2"/>
        <v>109.08934567140963</v>
      </c>
      <c r="D45" s="17">
        <f t="shared" si="0"/>
        <v>0</v>
      </c>
      <c r="E45" s="17">
        <f t="shared" si="7"/>
        <v>6.25</v>
      </c>
      <c r="F45" s="17">
        <f t="shared" si="4"/>
        <v>8.2802547770700627</v>
      </c>
      <c r="G45" s="17">
        <f t="shared" si="6"/>
        <v>-3.7735849056603765</v>
      </c>
      <c r="H45" s="39">
        <f t="shared" si="1"/>
        <v>1.088235294117647</v>
      </c>
    </row>
    <row r="46" spans="1:8">
      <c r="A46" s="16">
        <v>35765</v>
      </c>
      <c r="B46" s="24">
        <f>+geral!I309</f>
        <v>50495.5</v>
      </c>
      <c r="C46" s="17">
        <f t="shared" si="2"/>
        <v>108.01021675197383</v>
      </c>
      <c r="D46" s="17">
        <f t="shared" si="0"/>
        <v>-0.98921568627451384</v>
      </c>
      <c r="E46" s="17">
        <f t="shared" si="7"/>
        <v>5.1989583333333256</v>
      </c>
      <c r="F46" s="17">
        <f t="shared" si="4"/>
        <v>5.1989583333333256</v>
      </c>
      <c r="G46" s="17">
        <f t="shared" si="6"/>
        <v>-4.7254716981132034</v>
      </c>
      <c r="H46" s="39">
        <f t="shared" si="1"/>
        <v>1.0991078412927884</v>
      </c>
    </row>
    <row r="47" spans="1:8">
      <c r="A47" s="16">
        <v>35796</v>
      </c>
      <c r="B47" s="24">
        <f>+geral!K298</f>
        <v>50612.81</v>
      </c>
      <c r="C47" s="17">
        <f t="shared" si="2"/>
        <v>108.26114363708585</v>
      </c>
      <c r="D47" s="17">
        <f t="shared" si="0"/>
        <v>0.23231773128298272</v>
      </c>
      <c r="E47" s="17">
        <f>100*((B47/$B$46)-1)</f>
        <v>0.23231773128298272</v>
      </c>
      <c r="F47" s="17">
        <f t="shared" si="4"/>
        <v>3.5450286415711796</v>
      </c>
      <c r="G47" s="17">
        <f t="shared" si="6"/>
        <v>-4.5041320754717002</v>
      </c>
      <c r="H47" s="39">
        <f t="shared" si="1"/>
        <v>1.0965603371952675</v>
      </c>
    </row>
    <row r="48" spans="1:8">
      <c r="A48" s="16">
        <v>35827</v>
      </c>
      <c r="B48" s="24">
        <f>+geral!K299</f>
        <v>49069.7</v>
      </c>
      <c r="C48" s="17">
        <f t="shared" si="2"/>
        <v>104.96042088808568</v>
      </c>
      <c r="D48" s="17">
        <f t="shared" si="0"/>
        <v>-3.0488526521250225</v>
      </c>
      <c r="E48" s="17">
        <f t="shared" ref="E48:E58" si="8">100*((B48/$B$46)-1)</f>
        <v>-2.8236179461536226</v>
      </c>
      <c r="F48" s="17">
        <f t="shared" si="4"/>
        <v>1.3836776859504019</v>
      </c>
      <c r="G48" s="17">
        <f t="shared" si="6"/>
        <v>-5.9607129168263722</v>
      </c>
      <c r="H48" s="39">
        <f t="shared" si="1"/>
        <v>1.131044208544173</v>
      </c>
    </row>
    <row r="49" spans="1:8">
      <c r="A49" s="16">
        <v>35855</v>
      </c>
      <c r="B49" s="24">
        <f>+geral!K300</f>
        <v>49081.01</v>
      </c>
      <c r="C49" s="17">
        <f t="shared" si="2"/>
        <v>104.98461305474339</v>
      </c>
      <c r="D49" s="17">
        <f t="shared" si="0"/>
        <v>2.3048846844386794E-2</v>
      </c>
      <c r="E49" s="17">
        <f t="shared" si="8"/>
        <v>-2.8012199106851043</v>
      </c>
      <c r="F49" s="17">
        <f t="shared" si="4"/>
        <v>1.4070454545454636</v>
      </c>
      <c r="G49" s="17">
        <f t="shared" si="6"/>
        <v>-5.5639541875309622</v>
      </c>
      <c r="H49" s="39">
        <f t="shared" si="1"/>
        <v>1.1307835759696061</v>
      </c>
    </row>
    <row r="50" spans="1:8">
      <c r="A50" s="16">
        <v>35886</v>
      </c>
      <c r="B50" s="24">
        <f>+geral!K301</f>
        <v>49904.17</v>
      </c>
      <c r="C50" s="17">
        <f t="shared" si="2"/>
        <v>106.7453578740155</v>
      </c>
      <c r="D50" s="17">
        <f t="shared" si="0"/>
        <v>1.677145600711949</v>
      </c>
      <c r="E50" s="17">
        <f t="shared" si="8"/>
        <v>-1.1710548464714754</v>
      </c>
      <c r="F50" s="17">
        <f t="shared" si="4"/>
        <v>3.1077892561983456</v>
      </c>
      <c r="G50" s="17">
        <f t="shared" si="6"/>
        <v>-2.9101750972762686</v>
      </c>
      <c r="H50" s="39">
        <f t="shared" si="1"/>
        <v>1.1121315112544703</v>
      </c>
    </row>
    <row r="51" spans="1:8">
      <c r="A51" s="16">
        <v>35916</v>
      </c>
      <c r="B51" s="24">
        <f>+geral!K302</f>
        <v>50026</v>
      </c>
      <c r="C51" s="17">
        <f t="shared" si="2"/>
        <v>107.00595306976349</v>
      </c>
      <c r="D51" s="17">
        <f t="shared" si="0"/>
        <v>0.2441278955245707</v>
      </c>
      <c r="E51" s="17">
        <f t="shared" si="8"/>
        <v>-0.92978582249902963</v>
      </c>
      <c r="F51" s="17">
        <f t="shared" si="4"/>
        <v>0.25250501002003212</v>
      </c>
      <c r="G51" s="17">
        <f t="shared" si="6"/>
        <v>-4.2967554331190705</v>
      </c>
      <c r="H51" s="39">
        <f t="shared" si="1"/>
        <v>1.1094230999880061</v>
      </c>
    </row>
    <row r="52" spans="1:8">
      <c r="A52" s="16">
        <v>35947</v>
      </c>
      <c r="B52" s="24">
        <f>+geral!K303</f>
        <v>49758</v>
      </c>
      <c r="C52" s="17">
        <f t="shared" si="2"/>
        <v>106.43269925329413</v>
      </c>
      <c r="D52" s="17">
        <f t="shared" si="0"/>
        <v>-0.53572142485907026</v>
      </c>
      <c r="E52" s="17">
        <f t="shared" si="8"/>
        <v>-1.460526185501676</v>
      </c>
      <c r="F52" s="17">
        <f t="shared" si="4"/>
        <v>-0.38438438438438416</v>
      </c>
      <c r="G52" s="17">
        <f t="shared" si="6"/>
        <v>-2.0511811023622095</v>
      </c>
      <c r="H52" s="39">
        <f t="shared" si="1"/>
        <v>1.1153985288797781</v>
      </c>
    </row>
    <row r="53" spans="1:8">
      <c r="A53" s="16">
        <v>35977</v>
      </c>
      <c r="B53" s="24">
        <f>+geral!K304</f>
        <v>50177.5</v>
      </c>
      <c r="C53" s="17">
        <f t="shared" si="2"/>
        <v>107.33001259661091</v>
      </c>
      <c r="D53" s="17">
        <f t="shared" si="0"/>
        <v>0.84308050966679371</v>
      </c>
      <c r="E53" s="17">
        <f t="shared" si="8"/>
        <v>-0.62975908744343778</v>
      </c>
      <c r="F53" s="17">
        <f t="shared" si="4"/>
        <v>-1.6127450980392144</v>
      </c>
      <c r="G53" s="17">
        <f t="shared" si="6"/>
        <v>1.2051230334812368</v>
      </c>
      <c r="H53" s="39">
        <f t="shared" si="1"/>
        <v>1.1060734392905187</v>
      </c>
    </row>
    <row r="54" spans="1:8">
      <c r="A54" s="16">
        <v>36008</v>
      </c>
      <c r="B54" s="24">
        <f>+geral!K305</f>
        <v>49682.49</v>
      </c>
      <c r="C54" s="17">
        <f t="shared" si="2"/>
        <v>106.2711828514971</v>
      </c>
      <c r="D54" s="17">
        <f t="shared" si="0"/>
        <v>-0.98651786159135169</v>
      </c>
      <c r="E54" s="17">
        <f t="shared" si="8"/>
        <v>-1.6100642631521667</v>
      </c>
      <c r="F54" s="17">
        <f t="shared" si="4"/>
        <v>-2.5833529411764755</v>
      </c>
      <c r="G54" s="17">
        <f t="shared" si="6"/>
        <v>-0.10222520792394496</v>
      </c>
      <c r="H54" s="39">
        <f t="shared" si="1"/>
        <v>1.1170937688509575</v>
      </c>
    </row>
    <row r="55" spans="1:8">
      <c r="A55" s="16">
        <v>36039</v>
      </c>
      <c r="B55" s="24">
        <f>+geral!K306</f>
        <v>50430</v>
      </c>
      <c r="C55" s="17">
        <f t="shared" si="2"/>
        <v>107.8701118080233</v>
      </c>
      <c r="D55" s="17">
        <f t="shared" si="0"/>
        <v>1.504574348024823</v>
      </c>
      <c r="E55" s="17">
        <f t="shared" si="8"/>
        <v>-0.12971452901743286</v>
      </c>
      <c r="F55" s="17">
        <f t="shared" si="4"/>
        <v>-1.1176470588235343</v>
      </c>
      <c r="G55" s="17">
        <f t="shared" si="6"/>
        <v>0.61851556264964636</v>
      </c>
      <c r="H55" s="39">
        <f t="shared" si="1"/>
        <v>1.1005353955978585</v>
      </c>
    </row>
    <row r="56" spans="1:8">
      <c r="A56" s="16">
        <v>36069</v>
      </c>
      <c r="B56" s="24">
        <f>+geral!K307</f>
        <v>50190</v>
      </c>
      <c r="C56" s="17">
        <f t="shared" si="2"/>
        <v>107.35675018133431</v>
      </c>
      <c r="D56" s="17">
        <f t="shared" si="0"/>
        <v>-0.47590719809637028</v>
      </c>
      <c r="E56" s="17">
        <f t="shared" si="8"/>
        <v>-0.60500440633324271</v>
      </c>
      <c r="F56" s="17">
        <f t="shared" si="4"/>
        <v>-1.5882352941176459</v>
      </c>
      <c r="G56" s="17">
        <f t="shared" si="6"/>
        <v>1.7021276595744705</v>
      </c>
      <c r="H56" s="39">
        <f t="shared" si="1"/>
        <v>1.1057979677226539</v>
      </c>
    </row>
    <row r="57" spans="1:8">
      <c r="A57" s="16">
        <v>36100</v>
      </c>
      <c r="B57" s="24">
        <f>+geral!K308</f>
        <v>50271.94</v>
      </c>
      <c r="C57" s="17">
        <f t="shared" si="2"/>
        <v>107.53202039671304</v>
      </c>
      <c r="D57" s="17">
        <f t="shared" si="0"/>
        <v>0.16325961346881357</v>
      </c>
      <c r="E57" s="17">
        <f t="shared" si="8"/>
        <v>-0.44273252071966862</v>
      </c>
      <c r="F57" s="17">
        <f t="shared" si="4"/>
        <v>-1.4275686274509813</v>
      </c>
      <c r="G57" s="17">
        <f t="shared" si="6"/>
        <v>6.7344798301486319</v>
      </c>
      <c r="H57" s="39">
        <f t="shared" si="1"/>
        <v>1.1039955887916797</v>
      </c>
    </row>
    <row r="58" spans="1:8">
      <c r="A58" s="16">
        <v>36130</v>
      </c>
      <c r="B58" s="24">
        <f>+geral!K309</f>
        <v>48738.33</v>
      </c>
      <c r="C58" s="17">
        <f t="shared" si="2"/>
        <v>104.25161821210263</v>
      </c>
      <c r="D58" s="17">
        <f t="shared" si="0"/>
        <v>-3.050628243111364</v>
      </c>
      <c r="E58" s="17">
        <f t="shared" si="8"/>
        <v>-3.4798546405125141</v>
      </c>
      <c r="F58" s="17">
        <f t="shared" si="4"/>
        <v>-3.4798546405125141</v>
      </c>
      <c r="G58" s="17">
        <f t="shared" si="6"/>
        <v>1.53818750000001</v>
      </c>
      <c r="H58" s="39">
        <f t="shared" si="1"/>
        <v>1.1387341338942061</v>
      </c>
    </row>
    <row r="59" spans="1:8">
      <c r="A59" s="16">
        <v>36161</v>
      </c>
      <c r="B59" s="24">
        <f>+geral!M298</f>
        <v>50412</v>
      </c>
      <c r="C59" s="17">
        <f t="shared" si="2"/>
        <v>107.83160968602162</v>
      </c>
      <c r="D59" s="17">
        <f t="shared" si="0"/>
        <v>3.4339912754499435</v>
      </c>
      <c r="E59" s="17">
        <f>100*((B59/$B$58)-1)</f>
        <v>3.4339912754499435</v>
      </c>
      <c r="F59" s="17">
        <f t="shared" si="4"/>
        <v>-0.39675726362554675</v>
      </c>
      <c r="G59" s="17">
        <f t="shared" si="6"/>
        <v>3.1342062193125964</v>
      </c>
      <c r="H59" s="39">
        <f t="shared" si="1"/>
        <v>1.1009283503927636</v>
      </c>
    </row>
    <row r="60" spans="1:8">
      <c r="A60" s="16">
        <v>36192</v>
      </c>
      <c r="B60" s="24">
        <f>+geral!M299</f>
        <v>51702</v>
      </c>
      <c r="C60" s="17">
        <f t="shared" si="2"/>
        <v>110.59092842947491</v>
      </c>
      <c r="D60" s="17">
        <f t="shared" si="0"/>
        <v>2.5589145441561545</v>
      </c>
      <c r="E60" s="17">
        <f t="shared" ref="E60:E70" si="9">100*((B60/$B$58)-1)</f>
        <v>6.0807787217986409</v>
      </c>
      <c r="F60" s="17">
        <f t="shared" si="4"/>
        <v>5.3644102164879914</v>
      </c>
      <c r="G60" s="17">
        <f t="shared" si="6"/>
        <v>6.8223140495867751</v>
      </c>
      <c r="H60" s="39">
        <f t="shared" si="1"/>
        <v>1.0734594406405942</v>
      </c>
    </row>
    <row r="61" spans="1:8">
      <c r="A61" s="16">
        <v>36220</v>
      </c>
      <c r="B61" s="24">
        <f>+geral!M300</f>
        <v>54371.33</v>
      </c>
      <c r="C61" s="17">
        <f t="shared" si="2"/>
        <v>116.30064339184872</v>
      </c>
      <c r="D61" s="17">
        <f t="shared" si="0"/>
        <v>5.1629143940273181</v>
      </c>
      <c r="E61" s="17">
        <f t="shared" si="9"/>
        <v>11.557638515722646</v>
      </c>
      <c r="F61" s="17">
        <f t="shared" si="4"/>
        <v>10.778751293015354</v>
      </c>
      <c r="G61" s="17">
        <f t="shared" si="6"/>
        <v>12.337458677685964</v>
      </c>
      <c r="H61" s="39">
        <f t="shared" si="1"/>
        <v>1.0207585505081447</v>
      </c>
    </row>
    <row r="62" spans="1:8">
      <c r="A62" s="16">
        <v>36251</v>
      </c>
      <c r="B62" s="24">
        <f>+geral!M301</f>
        <v>53998</v>
      </c>
      <c r="C62" s="17">
        <f t="shared" si="2"/>
        <v>115.50208799146623</v>
      </c>
      <c r="D62" s="17">
        <f t="shared" si="0"/>
        <v>-0.68663025164181768</v>
      </c>
      <c r="E62" s="17">
        <f t="shared" si="9"/>
        <v>10.791650021656451</v>
      </c>
      <c r="F62" s="17">
        <f t="shared" si="4"/>
        <v>8.2033826030970971</v>
      </c>
      <c r="G62" s="17">
        <f t="shared" si="6"/>
        <v>11.56611570247934</v>
      </c>
      <c r="H62" s="39">
        <f t="shared" si="1"/>
        <v>1.0278158450312975</v>
      </c>
    </row>
    <row r="63" spans="1:8">
      <c r="A63" s="16">
        <v>36281</v>
      </c>
      <c r="B63" s="24">
        <f>+geral!M302</f>
        <v>54140</v>
      </c>
      <c r="C63" s="17">
        <f t="shared" si="2"/>
        <v>115.80582695392387</v>
      </c>
      <c r="D63" s="17">
        <f t="shared" si="0"/>
        <v>0.26297270269268758</v>
      </c>
      <c r="E63" s="17">
        <f t="shared" si="9"/>
        <v>11.083001818076244</v>
      </c>
      <c r="F63" s="17">
        <f t="shared" si="4"/>
        <v>8.2237236636948818</v>
      </c>
      <c r="G63" s="17">
        <f t="shared" si="6"/>
        <v>8.4969939879759426</v>
      </c>
      <c r="H63" s="39">
        <f t="shared" si="1"/>
        <v>1.0251200591060214</v>
      </c>
    </row>
    <row r="64" spans="1:8">
      <c r="A64" s="16">
        <v>36312</v>
      </c>
      <c r="B64" s="24">
        <f>+geral!M303</f>
        <v>54331.25</v>
      </c>
      <c r="C64" s="17">
        <f t="shared" si="2"/>
        <v>116.21491200019166</v>
      </c>
      <c r="D64" s="17">
        <f t="shared" si="0"/>
        <v>0.35325083117843104</v>
      </c>
      <c r="E64" s="17">
        <f t="shared" si="9"/>
        <v>11.475403445296539</v>
      </c>
      <c r="F64" s="17">
        <f t="shared" si="4"/>
        <v>9.1909843643233291</v>
      </c>
      <c r="G64" s="17">
        <f t="shared" si="6"/>
        <v>8.7712712712712637</v>
      </c>
      <c r="H64" s="39">
        <f t="shared" si="1"/>
        <v>1.021511561026113</v>
      </c>
    </row>
    <row r="65" spans="1:8">
      <c r="A65" s="16">
        <v>36342</v>
      </c>
      <c r="B65" s="24">
        <f>+geral!M304</f>
        <v>53700</v>
      </c>
      <c r="C65" s="17">
        <f t="shared" si="2"/>
        <v>114.86466397166073</v>
      </c>
      <c r="D65" s="17">
        <f t="shared" si="0"/>
        <v>-1.161854365581505</v>
      </c>
      <c r="E65" s="17">
        <f t="shared" si="9"/>
        <v>10.180221603817774</v>
      </c>
      <c r="F65" s="17">
        <f t="shared" si="4"/>
        <v>7.0200787205420667</v>
      </c>
      <c r="G65" s="17">
        <f t="shared" si="6"/>
        <v>5.2941176470588269</v>
      </c>
      <c r="H65" s="39">
        <f t="shared" si="1"/>
        <v>1.0335195530726258</v>
      </c>
    </row>
    <row r="66" spans="1:8">
      <c r="A66" s="16">
        <v>36373</v>
      </c>
      <c r="B66" s="24">
        <f>+geral!M305</f>
        <v>52880</v>
      </c>
      <c r="C66" s="17">
        <f t="shared" si="2"/>
        <v>113.1106784138067</v>
      </c>
      <c r="D66" s="17">
        <f t="shared" si="0"/>
        <v>-1.5270018621973969</v>
      </c>
      <c r="E66" s="17">
        <f t="shared" si="9"/>
        <v>8.4977675681542575</v>
      </c>
      <c r="F66" s="17">
        <f t="shared" si="4"/>
        <v>6.4358891834930265</v>
      </c>
      <c r="G66" s="17">
        <f t="shared" si="6"/>
        <v>3.6862745098039218</v>
      </c>
      <c r="H66" s="39">
        <f t="shared" si="1"/>
        <v>1.0495461422087746</v>
      </c>
    </row>
    <row r="67" spans="1:8">
      <c r="A67" s="16">
        <v>36404</v>
      </c>
      <c r="B67" s="24">
        <f>+geral!M306</f>
        <v>53750</v>
      </c>
      <c r="C67" s="17">
        <f t="shared" si="2"/>
        <v>114.97161431055427</v>
      </c>
      <c r="D67" s="17">
        <f t="shared" si="0"/>
        <v>1.6452344931921381</v>
      </c>
      <c r="E67" s="17">
        <f t="shared" si="9"/>
        <v>10.282810264528951</v>
      </c>
      <c r="F67" s="17">
        <f t="shared" si="4"/>
        <v>6.5833829069998018</v>
      </c>
      <c r="G67" s="17">
        <f t="shared" si="6"/>
        <v>5.3921568627451011</v>
      </c>
      <c r="H67" s="39">
        <f t="shared" si="1"/>
        <v>1.0325581395348837</v>
      </c>
    </row>
    <row r="68" spans="1:8">
      <c r="A68" s="16">
        <v>36434</v>
      </c>
      <c r="B68" s="24">
        <f>+geral!M307</f>
        <v>55200</v>
      </c>
      <c r="C68" s="17">
        <f t="shared" si="2"/>
        <v>118.0731741384669</v>
      </c>
      <c r="D68" s="17">
        <f t="shared" si="0"/>
        <v>2.6976744186046453</v>
      </c>
      <c r="E68" s="17">
        <f t="shared" si="9"/>
        <v>13.257881425153473</v>
      </c>
      <c r="F68" s="17">
        <f t="shared" si="4"/>
        <v>9.982068141063948</v>
      </c>
      <c r="G68" s="17">
        <f t="shared" si="6"/>
        <v>8.2352941176470509</v>
      </c>
      <c r="H68" s="39">
        <f t="shared" si="1"/>
        <v>1.0054347826086956</v>
      </c>
    </row>
    <row r="69" spans="1:8">
      <c r="A69" s="16">
        <v>36465</v>
      </c>
      <c r="B69" s="24">
        <f>+geral!M308</f>
        <v>56340</v>
      </c>
      <c r="C69" s="17">
        <f t="shared" si="2"/>
        <v>120.51164186523958</v>
      </c>
      <c r="D69" s="17">
        <f t="shared" si="0"/>
        <v>2.0652173913043415</v>
      </c>
      <c r="E69" s="17">
        <f t="shared" si="9"/>
        <v>15.596902889368591</v>
      </c>
      <c r="F69" s="17">
        <f t="shared" si="4"/>
        <v>12.070471121663484</v>
      </c>
      <c r="G69" s="17">
        <f t="shared" si="6"/>
        <v>10.47058823529412</v>
      </c>
      <c r="H69" s="39">
        <f t="shared" si="1"/>
        <v>0.98509052183173584</v>
      </c>
    </row>
    <row r="70" spans="1:8">
      <c r="A70" s="16">
        <v>36495</v>
      </c>
      <c r="B70" s="24">
        <f>+geral!M309</f>
        <v>55500</v>
      </c>
      <c r="C70" s="17">
        <f t="shared" si="2"/>
        <v>118.71487617182812</v>
      </c>
      <c r="D70" s="17">
        <f t="shared" si="0"/>
        <v>-1.4909478168264156</v>
      </c>
      <c r="E70" s="17">
        <f t="shared" si="9"/>
        <v>13.873413389420609</v>
      </c>
      <c r="F70" s="17">
        <f t="shared" si="4"/>
        <v>13.873413389420609</v>
      </c>
      <c r="G70" s="17">
        <f t="shared" si="6"/>
        <v>9.9107841292788379</v>
      </c>
      <c r="H70" s="39">
        <f>B$70/B70</f>
        <v>1</v>
      </c>
    </row>
    <row r="71" spans="1:8">
      <c r="A71" s="16">
        <v>36526</v>
      </c>
      <c r="B71" s="24">
        <f>+geral!M310</f>
        <v>0</v>
      </c>
      <c r="C71" s="17">
        <f>100*B71/$B$6</f>
        <v>0</v>
      </c>
      <c r="D71" s="17">
        <f>100*((B71/B70)-1)</f>
        <v>-100</v>
      </c>
      <c r="E71" s="17">
        <f>100*((B71/$B$70)-1)</f>
        <v>-100</v>
      </c>
      <c r="F71" s="17">
        <f t="shared" si="4"/>
        <v>-100</v>
      </c>
      <c r="G71" s="17">
        <f t="shared" si="6"/>
        <v>-100</v>
      </c>
      <c r="H71" s="39" t="e">
        <f>#REF!/B71</f>
        <v>#REF!</v>
      </c>
    </row>
    <row r="72" spans="1:8">
      <c r="A72" s="16">
        <v>36557</v>
      </c>
      <c r="B72" s="24">
        <f>+geral!M311</f>
        <v>0</v>
      </c>
      <c r="C72" s="17">
        <f>100*B72/$B$6</f>
        <v>0</v>
      </c>
      <c r="D72" s="17" t="e">
        <f>100*((B72/B71)-1)</f>
        <v>#DIV/0!</v>
      </c>
      <c r="E72" s="17">
        <f>100*((B72/$B$70)-1)</f>
        <v>-100</v>
      </c>
      <c r="F72" s="17">
        <f t="shared" si="4"/>
        <v>-100</v>
      </c>
      <c r="G72" s="17">
        <f t="shared" si="6"/>
        <v>-100</v>
      </c>
      <c r="H72" s="39" t="e">
        <f>#REF!/B72</f>
        <v>#REF!</v>
      </c>
    </row>
    <row r="73" spans="1:8">
      <c r="A73" s="16">
        <v>36586</v>
      </c>
      <c r="B73" s="24">
        <f>+geral!M312</f>
        <v>0</v>
      </c>
      <c r="C73" s="17">
        <f>100*B73/$B$6</f>
        <v>0</v>
      </c>
      <c r="D73" s="17" t="e">
        <f>100*((B73/B72)-1)</f>
        <v>#DIV/0!</v>
      </c>
      <c r="E73" s="17">
        <f>100*((B73/$B$70)-1)</f>
        <v>-100</v>
      </c>
      <c r="F73" s="17">
        <f t="shared" si="4"/>
        <v>-100</v>
      </c>
      <c r="G73" s="17">
        <f>100*(B73/B49-1)</f>
        <v>-100</v>
      </c>
      <c r="H73" s="39" t="e">
        <f>#REF!/B73</f>
        <v>#REF!</v>
      </c>
    </row>
    <row r="74" spans="1:8">
      <c r="A74" s="57">
        <v>36617</v>
      </c>
      <c r="B74" s="47" t="s">
        <v>117</v>
      </c>
      <c r="C74" s="48"/>
      <c r="D74" s="48"/>
      <c r="E74" s="48"/>
      <c r="F74" s="48"/>
      <c r="G74" s="21"/>
      <c r="H74" s="39"/>
    </row>
    <row r="75" spans="1:8">
      <c r="A75" s="5"/>
      <c r="B75" s="5"/>
      <c r="C75" s="5"/>
      <c r="D75" s="5"/>
      <c r="E75" s="5"/>
      <c r="F75" s="5"/>
      <c r="G75" s="5"/>
      <c r="H75" s="5"/>
    </row>
    <row r="76" spans="1:8">
      <c r="A76" s="5"/>
      <c r="B76" s="5"/>
      <c r="C76" s="5"/>
      <c r="D76" s="5"/>
      <c r="E76" s="5"/>
      <c r="F76" s="5"/>
      <c r="G76" s="5"/>
      <c r="H76" s="5"/>
    </row>
    <row r="137" spans="1:2">
      <c r="B137" s="62">
        <f>+geral!M938</f>
        <v>1378.32</v>
      </c>
    </row>
    <row r="139" spans="1:2">
      <c r="A139" s="59"/>
      <c r="B139" s="59"/>
    </row>
  </sheetData>
  <phoneticPr fontId="0" type="noConversion"/>
  <printOptions gridLines="1"/>
  <pageMargins left="0.5" right="0.5" top="0.50069444444444444" bottom="0.5" header="0" footer="0"/>
  <pageSetup orientation="landscape" horizontalDpi="300" verticalDpi="300" r:id="rId1"/>
  <headerFooter alignWithMargins="0">
    <oddHeader>&amp;C&amp;F</oddHeader>
    <oddFooter>&amp;CP gina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41"/>
  <dimension ref="A2:H139"/>
  <sheetViews>
    <sheetView showGridLines="0" showOutlineSymbols="0" topLeftCell="A30" zoomScaleNormal="87" workbookViewId="0">
      <selection activeCell="B46" sqref="B46"/>
    </sheetView>
  </sheetViews>
  <sheetFormatPr defaultColWidth="11.6640625" defaultRowHeight="15"/>
  <cols>
    <col min="1" max="1" width="8.77734375" style="1" customWidth="1"/>
    <col min="2" max="2" width="10.77734375" style="1" customWidth="1"/>
    <col min="3" max="3" width="8.77734375" style="1" customWidth="1"/>
    <col min="4" max="7" width="9.77734375" style="1" customWidth="1"/>
    <col min="8" max="16384" width="11.6640625" style="1"/>
  </cols>
  <sheetData>
    <row r="2" spans="1:8" ht="16.5">
      <c r="A2" s="6" t="s">
        <v>114</v>
      </c>
      <c r="B2" s="6"/>
      <c r="C2" s="6"/>
      <c r="D2" s="6"/>
      <c r="E2" s="6"/>
      <c r="F2" s="15">
        <v>36586</v>
      </c>
      <c r="G2" s="15"/>
      <c r="H2" s="2"/>
    </row>
    <row r="3" spans="1:8" ht="15.75">
      <c r="A3" s="2" t="s">
        <v>129</v>
      </c>
    </row>
    <row r="4" spans="1:8" ht="63">
      <c r="A4" s="8" t="s">
        <v>67</v>
      </c>
      <c r="B4" s="9" t="s">
        <v>76</v>
      </c>
      <c r="C4" s="8" t="s">
        <v>68</v>
      </c>
      <c r="D4" s="10" t="s">
        <v>69</v>
      </c>
      <c r="E4" s="10" t="s">
        <v>65</v>
      </c>
      <c r="F4" s="42" t="s">
        <v>70</v>
      </c>
      <c r="G4" s="8" t="s">
        <v>160</v>
      </c>
      <c r="H4" s="8" t="s">
        <v>186</v>
      </c>
    </row>
    <row r="5" spans="1:8">
      <c r="A5" s="16">
        <v>36617</v>
      </c>
      <c r="B5" s="24">
        <f>+geral!C318</f>
        <v>74750</v>
      </c>
      <c r="C5" s="25">
        <v>100</v>
      </c>
      <c r="D5" s="25"/>
      <c r="E5" s="25"/>
      <c r="F5" s="40"/>
      <c r="G5" s="40"/>
      <c r="H5" s="39">
        <f>$B$39/B5</f>
        <v>1.2721150501672243</v>
      </c>
    </row>
    <row r="6" spans="1:8">
      <c r="A6" s="16">
        <v>36647</v>
      </c>
      <c r="B6" s="24">
        <f>+geral!C319</f>
        <v>74875</v>
      </c>
      <c r="C6" s="25">
        <f>100*B6/$B$5</f>
        <v>100.16722408026756</v>
      </c>
      <c r="D6" s="25">
        <f>100*((B6/B5)-1)</f>
        <v>0.16722408026756952</v>
      </c>
      <c r="E6" s="25"/>
      <c r="F6" s="40"/>
      <c r="G6" s="40"/>
      <c r="H6" s="39">
        <f t="shared" ref="H6:H39" si="0">$B$39/B6</f>
        <v>1.2699913188647747</v>
      </c>
    </row>
    <row r="7" spans="1:8">
      <c r="A7" s="16">
        <v>36678</v>
      </c>
      <c r="B7" s="24">
        <f>+geral!C320</f>
        <v>77600.83</v>
      </c>
      <c r="C7" s="25">
        <f t="shared" ref="C7:C17" si="1">100*B7/$B$5</f>
        <v>103.81381939799331</v>
      </c>
      <c r="D7" s="25">
        <f t="shared" ref="D7:D14" si="2">100*((B7/B6)-1)</f>
        <v>3.6405075125208741</v>
      </c>
      <c r="E7" s="25"/>
      <c r="F7" s="40"/>
      <c r="G7" s="40"/>
      <c r="H7" s="39">
        <f t="shared" si="0"/>
        <v>1.2253812233709356</v>
      </c>
    </row>
    <row r="8" spans="1:8">
      <c r="A8" s="16">
        <v>36708</v>
      </c>
      <c r="B8" s="24">
        <f>+geral!C321</f>
        <v>77300</v>
      </c>
      <c r="C8" s="25">
        <f>100*B8/$B$5</f>
        <v>103.4113712374582</v>
      </c>
      <c r="D8" s="25">
        <f t="shared" si="2"/>
        <v>-0.38766337937364836</v>
      </c>
      <c r="E8" s="25"/>
      <c r="F8" s="40"/>
      <c r="G8" s="40"/>
      <c r="H8" s="39">
        <f t="shared" si="0"/>
        <v>1.2301500646830532</v>
      </c>
    </row>
    <row r="9" spans="1:8">
      <c r="A9" s="16">
        <v>36739</v>
      </c>
      <c r="B9" s="24">
        <f>+geral!C322</f>
        <v>74750</v>
      </c>
      <c r="C9" s="25">
        <f t="shared" si="1"/>
        <v>100</v>
      </c>
      <c r="D9" s="25">
        <f>100*((B9/B8)-1)</f>
        <v>-3.2988357050452777</v>
      </c>
      <c r="E9" s="25"/>
      <c r="F9" s="40"/>
      <c r="G9" s="40"/>
      <c r="H9" s="39">
        <f t="shared" si="0"/>
        <v>1.2721150501672243</v>
      </c>
    </row>
    <row r="10" spans="1:8">
      <c r="A10" s="16">
        <v>36770</v>
      </c>
      <c r="B10" s="24">
        <f>+geral!C323</f>
        <v>73888.89</v>
      </c>
      <c r="C10" s="25">
        <f t="shared" si="1"/>
        <v>98.848013377926421</v>
      </c>
      <c r="D10" s="25">
        <f t="shared" si="2"/>
        <v>-1.1519866220735753</v>
      </c>
      <c r="E10" s="25"/>
      <c r="F10" s="40"/>
      <c r="G10" s="40"/>
      <c r="H10" s="39">
        <f t="shared" si="0"/>
        <v>1.2869404317753319</v>
      </c>
    </row>
    <row r="11" spans="1:8">
      <c r="A11" s="16">
        <v>36800</v>
      </c>
      <c r="B11" s="24">
        <f>+geral!C324</f>
        <v>73375</v>
      </c>
      <c r="C11" s="25">
        <f t="shared" si="1"/>
        <v>98.160535117056853</v>
      </c>
      <c r="D11" s="25">
        <f t="shared" si="2"/>
        <v>-0.69549021510540987</v>
      </c>
      <c r="E11" s="25"/>
      <c r="F11" s="40"/>
      <c r="G11" s="40"/>
      <c r="H11" s="39">
        <f t="shared" si="0"/>
        <v>1.2959536626916526</v>
      </c>
    </row>
    <row r="12" spans="1:8">
      <c r="A12" s="16">
        <v>36831</v>
      </c>
      <c r="B12" s="24">
        <f>+geral!C325</f>
        <v>73142.86</v>
      </c>
      <c r="C12" s="25">
        <f t="shared" si="1"/>
        <v>97.849979933110362</v>
      </c>
      <c r="D12" s="25">
        <f t="shared" si="2"/>
        <v>-0.31637478705280886</v>
      </c>
      <c r="E12" s="25"/>
      <c r="F12" s="40"/>
      <c r="G12" s="40"/>
      <c r="H12" s="39">
        <f t="shared" si="0"/>
        <v>1.3000667460911428</v>
      </c>
    </row>
    <row r="13" spans="1:8">
      <c r="A13" s="16">
        <v>36861</v>
      </c>
      <c r="B13" s="24">
        <f>+geral!C326</f>
        <v>73900</v>
      </c>
      <c r="C13" s="25">
        <f>100*B13/$B$5</f>
        <v>98.862876254180605</v>
      </c>
      <c r="D13" s="25">
        <f t="shared" si="2"/>
        <v>1.0351523033143684</v>
      </c>
      <c r="E13" s="25"/>
      <c r="F13" s="40"/>
      <c r="G13" s="40"/>
      <c r="H13" s="39">
        <f t="shared" si="0"/>
        <v>1.286746955345061</v>
      </c>
    </row>
    <row r="14" spans="1:8">
      <c r="A14" s="16">
        <v>36892</v>
      </c>
      <c r="B14" s="24">
        <f>+geral!E315</f>
        <v>74600</v>
      </c>
      <c r="C14" s="25">
        <f t="shared" si="1"/>
        <v>99.799331103678924</v>
      </c>
      <c r="D14" s="25">
        <f t="shared" si="2"/>
        <v>0.94722598105547728</v>
      </c>
      <c r="E14" s="25">
        <f t="shared" ref="E14:E19" si="3">100*((B14/$B$13)-1)</f>
        <v>0.94722598105547728</v>
      </c>
      <c r="F14" s="40"/>
      <c r="G14" s="40"/>
      <c r="H14" s="39">
        <f t="shared" si="0"/>
        <v>1.2746729222520108</v>
      </c>
    </row>
    <row r="15" spans="1:8">
      <c r="A15" s="16">
        <v>36923</v>
      </c>
      <c r="B15" s="24">
        <f>+geral!E316</f>
        <v>74375</v>
      </c>
      <c r="C15" s="25">
        <f t="shared" si="1"/>
        <v>99.498327759197323</v>
      </c>
      <c r="D15" s="25">
        <f t="shared" ref="D15:D20" si="4">100*((B15/B14)-1)</f>
        <v>-0.30160857908847483</v>
      </c>
      <c r="E15" s="25">
        <f t="shared" si="3"/>
        <v>0.64276048714480005</v>
      </c>
      <c r="F15" s="40"/>
      <c r="G15" s="40"/>
      <c r="H15" s="39">
        <f t="shared" si="0"/>
        <v>1.2785290756302521</v>
      </c>
    </row>
    <row r="16" spans="1:8">
      <c r="A16" s="30" t="s">
        <v>92</v>
      </c>
      <c r="B16" s="24">
        <f>+geral!E317</f>
        <v>76900</v>
      </c>
      <c r="C16" s="25">
        <f t="shared" si="1"/>
        <v>102.876254180602</v>
      </c>
      <c r="D16" s="25">
        <f t="shared" si="4"/>
        <v>3.3949579831932697</v>
      </c>
      <c r="E16" s="25">
        <f t="shared" si="3"/>
        <v>4.0595399188092074</v>
      </c>
      <c r="F16" s="41"/>
      <c r="G16" s="41"/>
      <c r="H16" s="39">
        <f t="shared" si="0"/>
        <v>1.2365487646293889</v>
      </c>
    </row>
    <row r="17" spans="1:8">
      <c r="A17" s="26">
        <v>36982</v>
      </c>
      <c r="B17" s="24">
        <f>+geral!E318</f>
        <v>78800</v>
      </c>
      <c r="C17" s="25">
        <f t="shared" si="1"/>
        <v>105.41806020066889</v>
      </c>
      <c r="D17" s="25">
        <f t="shared" si="4"/>
        <v>2.4707412223667014</v>
      </c>
      <c r="E17" s="25">
        <f t="shared" si="3"/>
        <v>6.6305818673883632</v>
      </c>
      <c r="F17" s="40">
        <f t="shared" ref="F17:F22" si="5">100*((B17/B5)-1)</f>
        <v>5.418060200668906</v>
      </c>
      <c r="G17" s="40"/>
      <c r="H17" s="39">
        <f t="shared" si="0"/>
        <v>1.2067335025380712</v>
      </c>
    </row>
    <row r="18" spans="1:8">
      <c r="A18" s="26">
        <v>37012</v>
      </c>
      <c r="B18" s="24">
        <f>+geral!E319</f>
        <v>79760</v>
      </c>
      <c r="C18" s="25">
        <f t="shared" ref="C18:C39" si="6">100*B18/$B$5</f>
        <v>106.70234113712375</v>
      </c>
      <c r="D18" s="25">
        <f t="shared" si="4"/>
        <v>1.2182741116751217</v>
      </c>
      <c r="E18" s="25">
        <f t="shared" si="3"/>
        <v>7.9296346414073016</v>
      </c>
      <c r="F18" s="40">
        <f t="shared" si="5"/>
        <v>6.524207011686145</v>
      </c>
      <c r="G18" s="40"/>
      <c r="H18" s="39">
        <f t="shared" si="0"/>
        <v>1.1922091273821465</v>
      </c>
    </row>
    <row r="19" spans="1:8">
      <c r="A19" s="26">
        <v>37043</v>
      </c>
      <c r="B19" s="24">
        <f>+geral!E320</f>
        <v>79600</v>
      </c>
      <c r="C19" s="25">
        <f t="shared" si="6"/>
        <v>106.48829431438126</v>
      </c>
      <c r="D19" s="25">
        <f t="shared" si="4"/>
        <v>-0.20060180541624506</v>
      </c>
      <c r="E19" s="25">
        <f t="shared" si="3"/>
        <v>7.7131258457374896</v>
      </c>
      <c r="F19" s="40">
        <f t="shared" si="5"/>
        <v>2.5762224450434301</v>
      </c>
      <c r="G19" s="40"/>
      <c r="H19" s="39">
        <f t="shared" si="0"/>
        <v>1.1946055276381911</v>
      </c>
    </row>
    <row r="20" spans="1:8">
      <c r="A20" s="26">
        <v>37073</v>
      </c>
      <c r="B20" s="24">
        <f>+geral!E321</f>
        <v>80800</v>
      </c>
      <c r="C20" s="25">
        <f t="shared" si="6"/>
        <v>108.09364548494983</v>
      </c>
      <c r="D20" s="25">
        <f t="shared" si="4"/>
        <v>1.5075376884422065</v>
      </c>
      <c r="E20" s="25">
        <f t="shared" ref="E20:E25" si="7">100*((B20/$B$13)-1)</f>
        <v>9.3369418132611681</v>
      </c>
      <c r="F20" s="40">
        <f t="shared" si="5"/>
        <v>4.5278137128072382</v>
      </c>
      <c r="G20" s="40"/>
      <c r="H20" s="39">
        <f t="shared" si="0"/>
        <v>1.1768638613861386</v>
      </c>
    </row>
    <row r="21" spans="1:8">
      <c r="A21" s="26">
        <v>37104</v>
      </c>
      <c r="B21" s="24">
        <f>+geral!E322</f>
        <v>80300</v>
      </c>
      <c r="C21" s="25">
        <f t="shared" si="6"/>
        <v>107.4247491638796</v>
      </c>
      <c r="D21" s="25">
        <f t="shared" ref="D21:D26" si="8">100*((B21/B20)-1)</f>
        <v>-0.61881188118811936</v>
      </c>
      <c r="E21" s="25">
        <f t="shared" si="7"/>
        <v>8.6603518267929669</v>
      </c>
      <c r="F21" s="40">
        <f t="shared" si="5"/>
        <v>7.424749163879607</v>
      </c>
      <c r="G21" s="40"/>
      <c r="H21" s="39">
        <f t="shared" si="0"/>
        <v>1.1841917808219178</v>
      </c>
    </row>
    <row r="22" spans="1:8">
      <c r="A22" s="26">
        <v>37135</v>
      </c>
      <c r="B22" s="24">
        <f>+geral!E323</f>
        <v>81400</v>
      </c>
      <c r="C22" s="25">
        <f t="shared" si="6"/>
        <v>108.89632107023411</v>
      </c>
      <c r="D22" s="25">
        <f t="shared" si="8"/>
        <v>1.3698630136986356</v>
      </c>
      <c r="E22" s="25">
        <f t="shared" si="7"/>
        <v>10.148849797022997</v>
      </c>
      <c r="F22" s="40">
        <f t="shared" si="5"/>
        <v>10.165411877211849</v>
      </c>
      <c r="G22" s="40"/>
      <c r="H22" s="39">
        <f t="shared" si="0"/>
        <v>1.1681891891891893</v>
      </c>
    </row>
    <row r="23" spans="1:8">
      <c r="A23" s="18" t="s">
        <v>119</v>
      </c>
      <c r="B23" s="24">
        <f>+geral!E324</f>
        <v>80600</v>
      </c>
      <c r="C23" s="25">
        <f t="shared" si="6"/>
        <v>107.82608695652173</v>
      </c>
      <c r="D23" s="25">
        <f t="shared" si="8"/>
        <v>-0.98280098280097983</v>
      </c>
      <c r="E23" s="25">
        <f t="shared" si="7"/>
        <v>9.066305818673893</v>
      </c>
      <c r="F23" s="40">
        <f t="shared" ref="F23:F28" si="9">100*((B23/B11)-1)</f>
        <v>9.8466780238500853</v>
      </c>
      <c r="G23" s="40"/>
      <c r="H23" s="39">
        <f t="shared" si="0"/>
        <v>1.1797841191066998</v>
      </c>
    </row>
    <row r="24" spans="1:8">
      <c r="A24" s="18" t="s">
        <v>131</v>
      </c>
      <c r="B24" s="24">
        <f>+geral!E325</f>
        <v>79910</v>
      </c>
      <c r="C24" s="25">
        <f t="shared" si="6"/>
        <v>106.90301003344482</v>
      </c>
      <c r="D24" s="25">
        <f t="shared" si="8"/>
        <v>-0.85607940446650321</v>
      </c>
      <c r="E24" s="25">
        <f t="shared" si="7"/>
        <v>8.1326116373477753</v>
      </c>
      <c r="F24" s="40">
        <f t="shared" si="9"/>
        <v>9.2519488573457487</v>
      </c>
      <c r="G24" s="40"/>
      <c r="H24" s="39">
        <f t="shared" si="0"/>
        <v>1.1899712176198223</v>
      </c>
    </row>
    <row r="25" spans="1:8">
      <c r="A25" s="18" t="s">
        <v>132</v>
      </c>
      <c r="B25" s="24">
        <f>+geral!E326</f>
        <v>78375</v>
      </c>
      <c r="C25" s="25">
        <f t="shared" si="6"/>
        <v>104.84949832775919</v>
      </c>
      <c r="D25" s="25">
        <f t="shared" si="8"/>
        <v>-1.9209110249030159</v>
      </c>
      <c r="E25" s="25">
        <f t="shared" si="7"/>
        <v>6.0554803788903877</v>
      </c>
      <c r="F25" s="40">
        <f t="shared" si="9"/>
        <v>6.0554803788903877</v>
      </c>
      <c r="G25" s="40"/>
      <c r="H25" s="39">
        <f t="shared" si="0"/>
        <v>1.2132771929824562</v>
      </c>
    </row>
    <row r="26" spans="1:8">
      <c r="A26" s="18" t="s">
        <v>135</v>
      </c>
      <c r="B26" s="24">
        <f>+geral!G315</f>
        <v>81420</v>
      </c>
      <c r="C26" s="25">
        <f t="shared" si="6"/>
        <v>108.92307692307692</v>
      </c>
      <c r="D26" s="25">
        <f t="shared" si="8"/>
        <v>3.8851674641148248</v>
      </c>
      <c r="E26" s="25">
        <f t="shared" ref="E26:E31" si="10">100*((B26/$B$25)-1)</f>
        <v>3.8851674641148248</v>
      </c>
      <c r="F26" s="40">
        <f t="shared" si="9"/>
        <v>9.1420911528150128</v>
      </c>
      <c r="G26" s="40"/>
      <c r="H26" s="39">
        <f t="shared" si="0"/>
        <v>1.1679022353230166</v>
      </c>
    </row>
    <row r="27" spans="1:8">
      <c r="A27" s="18" t="s">
        <v>136</v>
      </c>
      <c r="B27" s="24">
        <f>+geral!G316</f>
        <v>83000</v>
      </c>
      <c r="C27" s="25">
        <f t="shared" si="6"/>
        <v>111.03678929765886</v>
      </c>
      <c r="D27" s="25">
        <f t="shared" ref="D27:D32" si="11">100*((B27/B26)-1)</f>
        <v>1.9405551461557424</v>
      </c>
      <c r="E27" s="25">
        <f t="shared" si="10"/>
        <v>5.901116427432207</v>
      </c>
      <c r="F27" s="40">
        <f t="shared" si="9"/>
        <v>11.596638655462188</v>
      </c>
      <c r="G27" s="40"/>
      <c r="H27" s="39">
        <f t="shared" si="0"/>
        <v>1.1456698795180724</v>
      </c>
    </row>
    <row r="28" spans="1:8">
      <c r="A28" s="18" t="s">
        <v>138</v>
      </c>
      <c r="B28" s="24">
        <f>+geral!G317</f>
        <v>80140</v>
      </c>
      <c r="C28" s="25">
        <f t="shared" si="6"/>
        <v>107.21070234113712</v>
      </c>
      <c r="D28" s="25">
        <f t="shared" si="11"/>
        <v>-3.4457831325301225</v>
      </c>
      <c r="E28" s="25">
        <f t="shared" si="10"/>
        <v>2.2519936204146829</v>
      </c>
      <c r="F28" s="40">
        <f t="shared" si="9"/>
        <v>4.2132639791937487</v>
      </c>
      <c r="G28" s="40"/>
      <c r="H28" s="39">
        <f t="shared" si="0"/>
        <v>1.1865560269528326</v>
      </c>
    </row>
    <row r="29" spans="1:8">
      <c r="A29" s="18" t="s">
        <v>151</v>
      </c>
      <c r="B29" s="24">
        <f>+geral!G318</f>
        <v>82300</v>
      </c>
      <c r="C29" s="25">
        <f t="shared" si="6"/>
        <v>110.10033444816054</v>
      </c>
      <c r="D29" s="25">
        <f t="shared" si="11"/>
        <v>2.6952832543049698</v>
      </c>
      <c r="E29" s="25">
        <f t="shared" si="10"/>
        <v>5.0079744816586835</v>
      </c>
      <c r="F29" s="40">
        <f t="shared" ref="F29:F34" si="12">100*((B29/B17)-1)</f>
        <v>4.4416243654822329</v>
      </c>
      <c r="G29" s="40">
        <f>100*(B29/B5-1)</f>
        <v>10.100334448160542</v>
      </c>
      <c r="H29" s="39">
        <f t="shared" si="0"/>
        <v>1.1554143377885784</v>
      </c>
    </row>
    <row r="30" spans="1:8">
      <c r="A30" s="18" t="s">
        <v>153</v>
      </c>
      <c r="B30" s="24">
        <f>+geral!G319</f>
        <v>83310</v>
      </c>
      <c r="C30" s="25">
        <f t="shared" si="6"/>
        <v>111.45150501672241</v>
      </c>
      <c r="D30" s="25">
        <f t="shared" si="11"/>
        <v>1.2272174969623295</v>
      </c>
      <c r="E30" s="25">
        <f t="shared" si="10"/>
        <v>6.2966507177033559</v>
      </c>
      <c r="F30" s="40">
        <f t="shared" si="12"/>
        <v>4.4508525576730129</v>
      </c>
      <c r="G30" s="40">
        <f t="shared" ref="G30:G38" si="13">100*(B30/B6-1)</f>
        <v>11.265442404006688</v>
      </c>
      <c r="H30" s="39">
        <f t="shared" si="0"/>
        <v>1.1414067939022927</v>
      </c>
    </row>
    <row r="31" spans="1:8">
      <c r="A31" s="18" t="s">
        <v>154</v>
      </c>
      <c r="B31" s="24">
        <f>+geral!G320</f>
        <v>83620</v>
      </c>
      <c r="C31" s="25">
        <f t="shared" si="6"/>
        <v>111.86622073578596</v>
      </c>
      <c r="D31" s="25">
        <f t="shared" si="11"/>
        <v>0.37210418917297261</v>
      </c>
      <c r="E31" s="25">
        <f t="shared" si="10"/>
        <v>6.6921850079744827</v>
      </c>
      <c r="F31" s="40">
        <f t="shared" si="12"/>
        <v>5.0502512562814017</v>
      </c>
      <c r="G31" s="40">
        <f t="shared" si="13"/>
        <v>7.7565794077202543</v>
      </c>
      <c r="H31" s="39">
        <f t="shared" si="0"/>
        <v>1.1371753169098302</v>
      </c>
    </row>
    <row r="32" spans="1:8">
      <c r="A32" s="18" t="s">
        <v>156</v>
      </c>
      <c r="B32" s="24">
        <f>+geral!G321</f>
        <v>83100</v>
      </c>
      <c r="C32" s="25">
        <f t="shared" si="6"/>
        <v>111.17056856187291</v>
      </c>
      <c r="D32" s="25">
        <f t="shared" si="11"/>
        <v>-0.62186079885194756</v>
      </c>
      <c r="E32" s="25">
        <f t="shared" ref="E32:E37" si="14">100*((B32/$B$25)-1)</f>
        <v>6.0287081339712945</v>
      </c>
      <c r="F32" s="40">
        <f t="shared" si="12"/>
        <v>2.846534653465338</v>
      </c>
      <c r="G32" s="40">
        <f t="shared" si="13"/>
        <v>7.5032341526519941</v>
      </c>
      <c r="H32" s="39">
        <f t="shared" si="0"/>
        <v>1.1442912154031288</v>
      </c>
    </row>
    <row r="33" spans="1:8">
      <c r="A33" s="18" t="s">
        <v>157</v>
      </c>
      <c r="B33" s="24">
        <f>+geral!G322</f>
        <v>83080</v>
      </c>
      <c r="C33" s="25">
        <f t="shared" si="6"/>
        <v>111.1438127090301</v>
      </c>
      <c r="D33" s="25">
        <f t="shared" ref="D33:D39" si="15">100*((B33/B32)-1)</f>
        <v>-2.4067388688331359E-2</v>
      </c>
      <c r="E33" s="25">
        <f t="shared" si="14"/>
        <v>6.003189792663477</v>
      </c>
      <c r="F33" s="40">
        <f t="shared" si="12"/>
        <v>3.4620174346201793</v>
      </c>
      <c r="G33" s="40">
        <f t="shared" si="13"/>
        <v>11.14381270903011</v>
      </c>
      <c r="H33" s="39">
        <f t="shared" si="0"/>
        <v>1.144566682715455</v>
      </c>
    </row>
    <row r="34" spans="1:8">
      <c r="A34" s="16">
        <v>37500</v>
      </c>
      <c r="B34" s="24">
        <f>+geral!G323</f>
        <v>84500</v>
      </c>
      <c r="C34" s="25">
        <f t="shared" si="6"/>
        <v>113.04347826086956</v>
      </c>
      <c r="D34" s="25">
        <f t="shared" si="15"/>
        <v>1.7091959557053338</v>
      </c>
      <c r="E34" s="25">
        <f t="shared" si="14"/>
        <v>7.8149920255183414</v>
      </c>
      <c r="F34" s="40">
        <f t="shared" si="12"/>
        <v>3.8083538083538038</v>
      </c>
      <c r="G34" s="40">
        <f t="shared" si="13"/>
        <v>14.360900535926312</v>
      </c>
      <c r="H34" s="39">
        <f t="shared" si="0"/>
        <v>1.1253325443786983</v>
      </c>
    </row>
    <row r="35" spans="1:8">
      <c r="A35" s="16">
        <v>37530</v>
      </c>
      <c r="B35" s="24">
        <f>+geral!G324</f>
        <v>85940</v>
      </c>
      <c r="C35" s="25">
        <f t="shared" si="6"/>
        <v>114.96989966555184</v>
      </c>
      <c r="D35" s="25">
        <f t="shared" si="15"/>
        <v>1.7041420118343087</v>
      </c>
      <c r="E35" s="25">
        <f t="shared" si="14"/>
        <v>9.6523125996810233</v>
      </c>
      <c r="F35" s="40">
        <f>100*((B35/B23)-1)</f>
        <v>6.6253101736972742</v>
      </c>
      <c r="G35" s="40">
        <f t="shared" si="13"/>
        <v>17.124361158432698</v>
      </c>
      <c r="H35" s="39">
        <f t="shared" si="0"/>
        <v>1.1064766115894811</v>
      </c>
    </row>
    <row r="36" spans="1:8">
      <c r="A36" s="16">
        <v>37561</v>
      </c>
      <c r="B36" s="24">
        <f>+geral!G325</f>
        <v>87640</v>
      </c>
      <c r="C36" s="25">
        <f t="shared" si="6"/>
        <v>117.24414715719064</v>
      </c>
      <c r="D36" s="25">
        <f t="shared" si="15"/>
        <v>1.9781242727484383</v>
      </c>
      <c r="E36" s="25">
        <f t="shared" si="14"/>
        <v>11.821371610845288</v>
      </c>
      <c r="F36" s="40">
        <f>100*((B36/B24)-1)</f>
        <v>9.6733825553747987</v>
      </c>
      <c r="G36" s="40">
        <f t="shared" si="13"/>
        <v>19.820307819519222</v>
      </c>
      <c r="H36" s="39">
        <f t="shared" si="0"/>
        <v>1.0850136923779097</v>
      </c>
    </row>
    <row r="37" spans="1:8">
      <c r="A37" s="16">
        <v>37591</v>
      </c>
      <c r="B37" s="24">
        <f>+geral!G326</f>
        <v>87750</v>
      </c>
      <c r="C37" s="25">
        <f t="shared" si="6"/>
        <v>117.39130434782609</v>
      </c>
      <c r="D37" s="25">
        <f t="shared" si="15"/>
        <v>0.12551346417160048</v>
      </c>
      <c r="E37" s="25">
        <f t="shared" si="14"/>
        <v>11.961722488038284</v>
      </c>
      <c r="F37" s="40">
        <f>100*((B37/B25)-1)</f>
        <v>11.961722488038284</v>
      </c>
      <c r="G37" s="40">
        <f t="shared" si="13"/>
        <v>18.741542625169139</v>
      </c>
      <c r="H37" s="39">
        <f t="shared" si="0"/>
        <v>1.0836535612535614</v>
      </c>
    </row>
    <row r="38" spans="1:8">
      <c r="A38" s="16">
        <v>37622</v>
      </c>
      <c r="B38" s="24">
        <f>+geral!I315</f>
        <v>94840</v>
      </c>
      <c r="C38" s="25">
        <f t="shared" si="6"/>
        <v>126.876254180602</v>
      </c>
      <c r="D38" s="25">
        <f t="shared" si="15"/>
        <v>8.0797720797720842</v>
      </c>
      <c r="E38" s="25">
        <f>100*((B38/$B$37)-1)</f>
        <v>8.0797720797720842</v>
      </c>
      <c r="F38" s="40">
        <f>100*((B38/B26)-1)</f>
        <v>16.482436747727824</v>
      </c>
      <c r="G38" s="40">
        <f t="shared" si="13"/>
        <v>27.131367292225207</v>
      </c>
      <c r="H38" s="39">
        <f t="shared" si="0"/>
        <v>1.0026423450021089</v>
      </c>
    </row>
    <row r="39" spans="1:8">
      <c r="A39" s="16">
        <v>37653</v>
      </c>
      <c r="B39" s="24">
        <f>+geral!I316</f>
        <v>95090.6</v>
      </c>
      <c r="C39" s="25">
        <f t="shared" si="6"/>
        <v>127.21150501672241</v>
      </c>
      <c r="D39" s="25">
        <f t="shared" si="15"/>
        <v>0.26423450021089145</v>
      </c>
      <c r="E39" s="25">
        <f>100*((B39/$B$37)-1)</f>
        <v>8.3653561253561382</v>
      </c>
      <c r="F39" s="40">
        <f>100*((B39/B27)-1)</f>
        <v>14.566987951807242</v>
      </c>
      <c r="G39" s="40">
        <f>100*(B39/B15-1)</f>
        <v>27.852907563025209</v>
      </c>
      <c r="H39" s="39">
        <f t="shared" si="0"/>
        <v>1</v>
      </c>
    </row>
    <row r="40" spans="1:8">
      <c r="A40" s="20"/>
      <c r="B40" s="32"/>
      <c r="C40" s="19"/>
      <c r="D40" s="19"/>
      <c r="E40" s="19"/>
      <c r="F40" s="19"/>
      <c r="G40" s="19"/>
      <c r="H40" s="21"/>
    </row>
    <row r="41" spans="1:8" ht="15.75">
      <c r="A41" s="44" t="s">
        <v>164</v>
      </c>
      <c r="B41" s="44"/>
      <c r="C41" s="5"/>
      <c r="D41" s="5"/>
      <c r="E41" s="5"/>
      <c r="F41" s="19"/>
      <c r="G41" s="19"/>
    </row>
    <row r="42" spans="1:8">
      <c r="A42" s="5"/>
      <c r="B42" s="5"/>
      <c r="C42" s="5"/>
      <c r="D42" s="5"/>
      <c r="E42" s="5"/>
      <c r="F42" s="19"/>
      <c r="G42" s="19"/>
    </row>
    <row r="43" spans="1:8">
      <c r="A43" s="5"/>
      <c r="B43" s="5"/>
      <c r="C43" s="5"/>
      <c r="D43" s="5"/>
      <c r="E43" s="5"/>
      <c r="F43" s="19"/>
      <c r="G43" s="19"/>
    </row>
    <row r="44" spans="1:8">
      <c r="A44" s="5"/>
      <c r="B44" s="5"/>
      <c r="C44" s="5"/>
      <c r="D44" s="5"/>
      <c r="E44" s="5"/>
      <c r="F44" s="19"/>
      <c r="G44" s="19"/>
    </row>
    <row r="45" spans="1:8">
      <c r="A45" s="5"/>
      <c r="B45" s="5"/>
      <c r="C45" s="5"/>
      <c r="D45" s="5"/>
      <c r="E45" s="5"/>
      <c r="F45" s="19"/>
      <c r="G45" s="19"/>
    </row>
    <row r="46" spans="1:8">
      <c r="A46" s="5"/>
      <c r="B46" s="5"/>
      <c r="C46" s="5"/>
      <c r="D46" s="5"/>
      <c r="E46" s="5"/>
      <c r="F46" s="19"/>
      <c r="G46" s="19"/>
    </row>
    <row r="47" spans="1:8">
      <c r="A47" s="5"/>
      <c r="B47" s="5"/>
      <c r="C47" s="5"/>
      <c r="D47" s="5"/>
      <c r="E47" s="5"/>
      <c r="F47" s="19"/>
      <c r="G47" s="19"/>
    </row>
    <row r="48" spans="1:8">
      <c r="A48" s="5"/>
      <c r="B48" s="5"/>
      <c r="C48" s="5"/>
      <c r="D48" s="5"/>
      <c r="E48" s="5"/>
      <c r="F48" s="19"/>
      <c r="G48" s="19"/>
    </row>
    <row r="49" spans="1:7">
      <c r="A49" s="5"/>
      <c r="B49" s="5"/>
      <c r="C49" s="5"/>
      <c r="D49" s="5"/>
      <c r="E49" s="5"/>
      <c r="F49" s="19"/>
      <c r="G49" s="19"/>
    </row>
    <row r="50" spans="1:7">
      <c r="A50" s="5"/>
      <c r="B50" s="5"/>
      <c r="C50" s="5"/>
      <c r="D50" s="5"/>
      <c r="E50" s="5"/>
      <c r="F50" s="19"/>
      <c r="G50" s="19"/>
    </row>
    <row r="51" spans="1:7">
      <c r="F51" s="3"/>
      <c r="G51" s="3"/>
    </row>
    <row r="52" spans="1:7">
      <c r="F52" s="3"/>
      <c r="G52" s="3"/>
    </row>
    <row r="53" spans="1:7">
      <c r="F53" s="3"/>
      <c r="G53" s="3"/>
    </row>
    <row r="137" spans="1:2">
      <c r="B137" s="62">
        <f>+geral!M938</f>
        <v>1378.32</v>
      </c>
    </row>
    <row r="139" spans="1:2">
      <c r="A139" s="59"/>
      <c r="B139" s="59"/>
    </row>
  </sheetData>
  <phoneticPr fontId="0" type="noConversion"/>
  <printOptions gridLines="1"/>
  <pageMargins left="0.5" right="0.5" top="0.50069444444444444" bottom="0.5" header="0" footer="0"/>
  <pageSetup orientation="landscape" horizontalDpi="300" verticalDpi="300" r:id="rId1"/>
  <headerFooter alignWithMargins="0">
    <oddHeader>&amp;C&amp;F</oddHeader>
    <oddFooter>&amp;CP gina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42"/>
  <dimension ref="A1:H91"/>
  <sheetViews>
    <sheetView showGridLines="0" topLeftCell="A72" workbookViewId="0">
      <selection activeCell="A72" sqref="A72"/>
    </sheetView>
  </sheetViews>
  <sheetFormatPr defaultRowHeight="15"/>
  <cols>
    <col min="1" max="2" width="9.77734375" customWidth="1"/>
    <col min="3" max="7" width="8.77734375" customWidth="1"/>
    <col min="8" max="8" width="10.77734375" customWidth="1"/>
  </cols>
  <sheetData>
    <row r="1" spans="1:8">
      <c r="A1" s="1"/>
      <c r="B1" s="1"/>
      <c r="C1" s="1"/>
      <c r="D1" s="1"/>
      <c r="E1" s="1"/>
      <c r="F1" s="1"/>
      <c r="G1" s="1"/>
    </row>
    <row r="2" spans="1:8" ht="16.5">
      <c r="A2" s="6" t="s">
        <v>80</v>
      </c>
      <c r="B2" s="6"/>
      <c r="C2" s="6"/>
      <c r="D2" s="6"/>
      <c r="E2" s="7"/>
      <c r="F2" s="7"/>
      <c r="G2" s="7"/>
    </row>
    <row r="3" spans="1:8" ht="15.75">
      <c r="A3" s="2" t="s">
        <v>149</v>
      </c>
      <c r="B3" s="1"/>
      <c r="C3" s="1"/>
      <c r="D3" s="1"/>
      <c r="E3" s="1"/>
      <c r="F3" s="1"/>
      <c r="G3" s="1"/>
    </row>
    <row r="4" spans="1:8" ht="63">
      <c r="A4" s="8" t="s">
        <v>67</v>
      </c>
      <c r="B4" s="8" t="s">
        <v>76</v>
      </c>
      <c r="C4" s="8" t="s">
        <v>68</v>
      </c>
      <c r="D4" s="10" t="s">
        <v>69</v>
      </c>
      <c r="E4" s="10" t="s">
        <v>65</v>
      </c>
      <c r="F4" s="10" t="s">
        <v>70</v>
      </c>
      <c r="G4" s="8" t="s">
        <v>160</v>
      </c>
      <c r="H4" s="8" t="s">
        <v>186</v>
      </c>
    </row>
    <row r="5" spans="1:8">
      <c r="A5" s="16">
        <v>34516</v>
      </c>
      <c r="B5" s="24">
        <f>+geral!C672</f>
        <v>25.86</v>
      </c>
      <c r="C5" s="17">
        <v>100</v>
      </c>
      <c r="D5" s="17"/>
      <c r="E5" s="17"/>
      <c r="F5" s="17"/>
      <c r="G5" s="17"/>
      <c r="H5" s="39">
        <f>B$73/B5</f>
        <v>1.1299303944315544</v>
      </c>
    </row>
    <row r="6" spans="1:8">
      <c r="A6" s="16">
        <v>34547</v>
      </c>
      <c r="B6" s="24">
        <f>+geral!C673</f>
        <v>24.12</v>
      </c>
      <c r="C6" s="17">
        <v>100</v>
      </c>
      <c r="D6" s="17">
        <f t="shared" ref="D6:D70" si="0">100*((B6/B5)-1)</f>
        <v>-6.728538283062635</v>
      </c>
      <c r="E6" s="17"/>
      <c r="F6" s="17"/>
      <c r="G6" s="17"/>
      <c r="H6" s="39">
        <f t="shared" ref="H6:H69" si="1">B$73/B6</f>
        <v>1.2114427860696517</v>
      </c>
    </row>
    <row r="7" spans="1:8">
      <c r="A7" s="16">
        <v>34578</v>
      </c>
      <c r="B7" s="24">
        <f>+geral!C674</f>
        <v>23.92</v>
      </c>
      <c r="C7" s="17">
        <f t="shared" ref="C7:C70" si="2">100*B7/$B$6</f>
        <v>99.170812603648415</v>
      </c>
      <c r="D7" s="17">
        <f t="shared" si="0"/>
        <v>-0.82918739635157168</v>
      </c>
      <c r="E7" s="17"/>
      <c r="F7" s="17"/>
      <c r="G7" s="17"/>
      <c r="H7" s="39">
        <f t="shared" si="1"/>
        <v>1.221571906354515</v>
      </c>
    </row>
    <row r="8" spans="1:8">
      <c r="A8" s="16">
        <v>34608</v>
      </c>
      <c r="B8" s="24">
        <f>+geral!C675</f>
        <v>23.7</v>
      </c>
      <c r="C8" s="17">
        <f t="shared" si="2"/>
        <v>98.258706467661682</v>
      </c>
      <c r="D8" s="17">
        <f t="shared" si="0"/>
        <v>-0.91973244147157684</v>
      </c>
      <c r="E8" s="17"/>
      <c r="F8" s="17"/>
      <c r="G8" s="17"/>
      <c r="H8" s="39">
        <f t="shared" si="1"/>
        <v>1.2329113924050632</v>
      </c>
    </row>
    <row r="9" spans="1:8">
      <c r="A9" s="16">
        <v>34639</v>
      </c>
      <c r="B9" s="24">
        <f>+geral!C676</f>
        <v>25.43</v>
      </c>
      <c r="C9" s="17">
        <f t="shared" si="2"/>
        <v>105.43117744610281</v>
      </c>
      <c r="D9" s="17">
        <f t="shared" si="0"/>
        <v>7.2995780590717319</v>
      </c>
      <c r="E9" s="17"/>
      <c r="F9" s="17"/>
      <c r="G9" s="17"/>
      <c r="H9" s="39">
        <f t="shared" si="1"/>
        <v>1.1490365709791583</v>
      </c>
    </row>
    <row r="10" spans="1:8">
      <c r="A10" s="16">
        <v>34669</v>
      </c>
      <c r="B10" s="24">
        <f>+geral!C677</f>
        <v>25</v>
      </c>
      <c r="C10" s="17">
        <f t="shared" si="2"/>
        <v>103.64842454394693</v>
      </c>
      <c r="D10" s="17">
        <f t="shared" si="0"/>
        <v>-1.6909162406606337</v>
      </c>
      <c r="E10" s="17"/>
      <c r="F10" s="17"/>
      <c r="G10" s="17"/>
      <c r="H10" s="39">
        <f t="shared" si="1"/>
        <v>1.1688000000000001</v>
      </c>
    </row>
    <row r="11" spans="1:8">
      <c r="A11" s="16">
        <v>34700</v>
      </c>
      <c r="B11" s="24">
        <f>+geral!E666</f>
        <v>25.17</v>
      </c>
      <c r="C11" s="17">
        <f t="shared" si="2"/>
        <v>104.35323383084577</v>
      </c>
      <c r="D11" s="17">
        <f t="shared" si="0"/>
        <v>0.68000000000001393</v>
      </c>
      <c r="E11" s="17">
        <f>100*((B11/$B$10)-1)</f>
        <v>0.68000000000001393</v>
      </c>
      <c r="F11" s="17"/>
      <c r="G11" s="17"/>
      <c r="H11" s="39">
        <f t="shared" si="1"/>
        <v>1.1609058402860548</v>
      </c>
    </row>
    <row r="12" spans="1:8">
      <c r="A12" s="16">
        <v>34731</v>
      </c>
      <c r="B12" s="24">
        <f>+geral!E667</f>
        <v>26.62</v>
      </c>
      <c r="C12" s="17">
        <f t="shared" si="2"/>
        <v>110.36484245439469</v>
      </c>
      <c r="D12" s="17">
        <f t="shared" si="0"/>
        <v>5.7608263806118387</v>
      </c>
      <c r="E12" s="17">
        <f t="shared" ref="E12:E22" si="3">100*((B12/$B$10)-1)</f>
        <v>6.4799999999999969</v>
      </c>
      <c r="F12" s="17"/>
      <c r="G12" s="17"/>
      <c r="H12" s="39">
        <f t="shared" si="1"/>
        <v>1.0976709241172051</v>
      </c>
    </row>
    <row r="13" spans="1:8">
      <c r="A13" s="16">
        <v>34759</v>
      </c>
      <c r="B13" s="24">
        <f>+geral!E668</f>
        <v>24.95</v>
      </c>
      <c r="C13" s="17">
        <f t="shared" si="2"/>
        <v>103.44112769485903</v>
      </c>
      <c r="D13" s="17">
        <f t="shared" si="0"/>
        <v>-6.2734785875281807</v>
      </c>
      <c r="E13" s="17">
        <f t="shared" si="3"/>
        <v>-0.20000000000000018</v>
      </c>
      <c r="F13" s="17"/>
      <c r="G13" s="17"/>
      <c r="H13" s="39">
        <f t="shared" si="1"/>
        <v>1.1711422845691382</v>
      </c>
    </row>
    <row r="14" spans="1:8">
      <c r="A14" s="16">
        <v>34790</v>
      </c>
      <c r="B14" s="24">
        <f>+geral!E669</f>
        <v>27.72</v>
      </c>
      <c r="C14" s="17">
        <f t="shared" si="2"/>
        <v>114.92537313432835</v>
      </c>
      <c r="D14" s="17">
        <f t="shared" si="0"/>
        <v>11.10220440881764</v>
      </c>
      <c r="E14" s="17">
        <f t="shared" si="3"/>
        <v>10.88</v>
      </c>
      <c r="F14" s="17"/>
      <c r="G14" s="17"/>
      <c r="H14" s="39">
        <f t="shared" si="1"/>
        <v>1.0541125541125542</v>
      </c>
    </row>
    <row r="15" spans="1:8">
      <c r="A15" s="16">
        <v>34820</v>
      </c>
      <c r="B15" s="24">
        <f>+geral!E670</f>
        <v>30.15</v>
      </c>
      <c r="C15" s="17">
        <f t="shared" si="2"/>
        <v>125</v>
      </c>
      <c r="D15" s="17">
        <f t="shared" si="0"/>
        <v>8.7662337662337553</v>
      </c>
      <c r="E15" s="17">
        <f t="shared" si="3"/>
        <v>20.599999999999994</v>
      </c>
      <c r="F15" s="17"/>
      <c r="G15" s="17"/>
      <c r="H15" s="39">
        <f t="shared" si="1"/>
        <v>0.96915422885572144</v>
      </c>
    </row>
    <row r="16" spans="1:8">
      <c r="A16" s="16">
        <v>38504</v>
      </c>
      <c r="B16" s="24">
        <f>+geral!E671</f>
        <v>27.28</v>
      </c>
      <c r="C16" s="17">
        <f t="shared" si="2"/>
        <v>113.10116086235489</v>
      </c>
      <c r="D16" s="17">
        <f t="shared" si="0"/>
        <v>-9.5190713101160789</v>
      </c>
      <c r="E16" s="17">
        <f t="shared" si="3"/>
        <v>9.1199999999999939</v>
      </c>
      <c r="F16" s="17"/>
      <c r="G16" s="17"/>
      <c r="H16" s="39">
        <f t="shared" si="1"/>
        <v>1.0711143695014662</v>
      </c>
    </row>
    <row r="17" spans="1:8">
      <c r="A17" s="16">
        <v>34881</v>
      </c>
      <c r="B17" s="24">
        <f>+geral!E672</f>
        <v>29.32</v>
      </c>
      <c r="C17" s="17">
        <f t="shared" si="2"/>
        <v>121.55887230514095</v>
      </c>
      <c r="D17" s="17">
        <f t="shared" si="0"/>
        <v>7.4780058651026327</v>
      </c>
      <c r="E17" s="17">
        <f t="shared" si="3"/>
        <v>17.280000000000008</v>
      </c>
      <c r="F17" s="17">
        <f t="shared" ref="F17:F48" si="4">100*((B17/B5)-1)</f>
        <v>13.379737045630314</v>
      </c>
      <c r="G17" s="17"/>
      <c r="H17" s="39">
        <f t="shared" si="1"/>
        <v>0.99658935879945421</v>
      </c>
    </row>
    <row r="18" spans="1:8">
      <c r="A18" s="16">
        <v>34912</v>
      </c>
      <c r="B18" s="24">
        <f>+geral!E673</f>
        <v>28.53</v>
      </c>
      <c r="C18" s="17">
        <f t="shared" si="2"/>
        <v>118.28358208955224</v>
      </c>
      <c r="D18" s="17">
        <f t="shared" si="0"/>
        <v>-2.6944065484311053</v>
      </c>
      <c r="E18" s="17">
        <f t="shared" si="3"/>
        <v>14.12</v>
      </c>
      <c r="F18" s="17">
        <f t="shared" si="4"/>
        <v>18.28358208955223</v>
      </c>
      <c r="G18" s="17"/>
      <c r="H18" s="39">
        <f t="shared" si="1"/>
        <v>1.0241850683491061</v>
      </c>
    </row>
    <row r="19" spans="1:8">
      <c r="A19" s="16">
        <v>34943</v>
      </c>
      <c r="B19" s="24">
        <f>+geral!E674</f>
        <v>27.53</v>
      </c>
      <c r="C19" s="17">
        <f t="shared" si="2"/>
        <v>114.13764510779436</v>
      </c>
      <c r="D19" s="17">
        <f t="shared" si="0"/>
        <v>-3.5050823694356859</v>
      </c>
      <c r="E19" s="17">
        <f t="shared" si="3"/>
        <v>10.119999999999996</v>
      </c>
      <c r="F19" s="17">
        <f t="shared" si="4"/>
        <v>15.09197324414715</v>
      </c>
      <c r="G19" s="17"/>
      <c r="H19" s="39">
        <f t="shared" si="1"/>
        <v>1.0613875771885215</v>
      </c>
    </row>
    <row r="20" spans="1:8">
      <c r="A20" s="16">
        <v>34973</v>
      </c>
      <c r="B20" s="24">
        <f>+geral!E675</f>
        <v>28.41</v>
      </c>
      <c r="C20" s="17">
        <f t="shared" si="2"/>
        <v>117.78606965174129</v>
      </c>
      <c r="D20" s="17">
        <f t="shared" si="0"/>
        <v>3.1965128950236066</v>
      </c>
      <c r="E20" s="17">
        <f t="shared" si="3"/>
        <v>13.640000000000008</v>
      </c>
      <c r="F20" s="17">
        <f t="shared" si="4"/>
        <v>19.873417721518983</v>
      </c>
      <c r="G20" s="17"/>
      <c r="H20" s="39">
        <f t="shared" si="1"/>
        <v>1.0285110876451953</v>
      </c>
    </row>
    <row r="21" spans="1:8">
      <c r="A21" s="16">
        <v>35004</v>
      </c>
      <c r="B21" s="24">
        <f>+geral!E676</f>
        <v>25.54</v>
      </c>
      <c r="C21" s="17">
        <f t="shared" si="2"/>
        <v>105.88723051409619</v>
      </c>
      <c r="D21" s="17">
        <f t="shared" si="0"/>
        <v>-10.102076733544529</v>
      </c>
      <c r="E21" s="17">
        <f t="shared" si="3"/>
        <v>2.1600000000000064</v>
      </c>
      <c r="F21" s="17">
        <f t="shared" si="4"/>
        <v>0.4325599685411019</v>
      </c>
      <c r="G21" s="17"/>
      <c r="H21" s="39">
        <f t="shared" si="1"/>
        <v>1.1440877055599061</v>
      </c>
    </row>
    <row r="22" spans="1:8">
      <c r="A22" s="16">
        <v>35034</v>
      </c>
      <c r="B22" s="24">
        <f>+geral!E677</f>
        <v>26.22</v>
      </c>
      <c r="C22" s="17">
        <f t="shared" si="2"/>
        <v>108.70646766169153</v>
      </c>
      <c r="D22" s="17">
        <f t="shared" si="0"/>
        <v>2.6624902114330551</v>
      </c>
      <c r="E22" s="17">
        <f t="shared" si="3"/>
        <v>4.8799999999999955</v>
      </c>
      <c r="F22" s="17">
        <f t="shared" si="4"/>
        <v>4.8799999999999955</v>
      </c>
      <c r="G22" s="17"/>
      <c r="H22" s="39">
        <f t="shared" si="1"/>
        <v>1.1144164759725401</v>
      </c>
    </row>
    <row r="23" spans="1:8">
      <c r="A23" s="16">
        <v>35065</v>
      </c>
      <c r="B23" s="24">
        <f>+geral!G666</f>
        <v>26.97</v>
      </c>
      <c r="C23" s="17">
        <f t="shared" si="2"/>
        <v>111.81592039800995</v>
      </c>
      <c r="D23" s="17">
        <f t="shared" si="0"/>
        <v>2.8604118993134975</v>
      </c>
      <c r="E23" s="17">
        <f>100*((B23/$B$22)-1)</f>
        <v>2.8604118993134975</v>
      </c>
      <c r="F23" s="17">
        <f t="shared" si="4"/>
        <v>7.151370679380209</v>
      </c>
      <c r="G23" s="17"/>
      <c r="H23" s="39">
        <f t="shared" si="1"/>
        <v>1.0834260289210234</v>
      </c>
    </row>
    <row r="24" spans="1:8">
      <c r="A24" s="16">
        <v>35096</v>
      </c>
      <c r="B24" s="24">
        <f>+geral!G667</f>
        <v>26.62</v>
      </c>
      <c r="C24" s="17">
        <f t="shared" si="2"/>
        <v>110.36484245439469</v>
      </c>
      <c r="D24" s="17">
        <f t="shared" si="0"/>
        <v>-1.2977382276603611</v>
      </c>
      <c r="E24" s="17">
        <f t="shared" ref="E24:E34" si="5">100*((B24/$B$22)-1)</f>
        <v>1.5255530129672179</v>
      </c>
      <c r="F24" s="17">
        <f t="shared" si="4"/>
        <v>0</v>
      </c>
      <c r="G24" s="17"/>
      <c r="H24" s="39">
        <f t="shared" si="1"/>
        <v>1.0976709241172051</v>
      </c>
    </row>
    <row r="25" spans="1:8">
      <c r="A25" s="16">
        <v>35125</v>
      </c>
      <c r="B25" s="24">
        <f>+geral!G668</f>
        <v>24.04</v>
      </c>
      <c r="C25" s="17">
        <f t="shared" si="2"/>
        <v>99.668325041459369</v>
      </c>
      <c r="D25" s="17">
        <f t="shared" si="0"/>
        <v>-9.6919609316303621</v>
      </c>
      <c r="E25" s="17">
        <f t="shared" si="5"/>
        <v>-8.3142639206712392</v>
      </c>
      <c r="F25" s="17">
        <f t="shared" si="4"/>
        <v>-3.6472945891783626</v>
      </c>
      <c r="G25" s="17"/>
      <c r="H25" s="39">
        <f t="shared" si="1"/>
        <v>1.2154742096505824</v>
      </c>
    </row>
    <row r="26" spans="1:8">
      <c r="A26" s="16">
        <v>35156</v>
      </c>
      <c r="B26" s="24">
        <f>+geral!G669</f>
        <v>25.899376075731503</v>
      </c>
      <c r="C26" s="17">
        <f t="shared" si="2"/>
        <v>107.37718107683044</v>
      </c>
      <c r="D26" s="17">
        <f t="shared" si="0"/>
        <v>7.7345094664372116</v>
      </c>
      <c r="E26" s="17">
        <f t="shared" si="5"/>
        <v>-1.2228219842429278</v>
      </c>
      <c r="F26" s="17">
        <f t="shared" si="4"/>
        <v>-6.5679073747059729</v>
      </c>
      <c r="G26" s="17"/>
      <c r="H26" s="39">
        <f t="shared" si="1"/>
        <v>1.1282125065313839</v>
      </c>
    </row>
    <row r="27" spans="1:8">
      <c r="A27" s="16">
        <v>35186</v>
      </c>
      <c r="B27" s="24">
        <f>+geral!G670</f>
        <v>29.63</v>
      </c>
      <c r="C27" s="17">
        <f t="shared" si="2"/>
        <v>122.8441127694859</v>
      </c>
      <c r="D27" s="17">
        <f t="shared" si="0"/>
        <v>14.404300371406254</v>
      </c>
      <c r="E27" s="17">
        <f t="shared" si="5"/>
        <v>13.005339435545382</v>
      </c>
      <c r="F27" s="17">
        <f t="shared" si="4"/>
        <v>-1.7247097844112713</v>
      </c>
      <c r="G27" s="17"/>
      <c r="H27" s="39">
        <f t="shared" si="1"/>
        <v>0.98616267296658788</v>
      </c>
    </row>
    <row r="28" spans="1:8">
      <c r="A28" s="16">
        <v>35217</v>
      </c>
      <c r="B28" s="24">
        <f>+geral!G671</f>
        <v>25.59</v>
      </c>
      <c r="C28" s="17">
        <f t="shared" si="2"/>
        <v>106.09452736318407</v>
      </c>
      <c r="D28" s="17">
        <f t="shared" si="0"/>
        <v>-13.634829564630435</v>
      </c>
      <c r="E28" s="17">
        <f t="shared" si="5"/>
        <v>-2.4027459954233388</v>
      </c>
      <c r="F28" s="17">
        <f t="shared" si="4"/>
        <v>-6.1950146627566038</v>
      </c>
      <c r="G28" s="17"/>
      <c r="H28" s="39">
        <f t="shared" si="1"/>
        <v>1.1418522860492379</v>
      </c>
    </row>
    <row r="29" spans="1:8">
      <c r="A29" s="16">
        <v>35247</v>
      </c>
      <c r="B29" s="24">
        <f>+geral!G672</f>
        <v>25.29</v>
      </c>
      <c r="C29" s="17">
        <f t="shared" si="2"/>
        <v>104.85074626865671</v>
      </c>
      <c r="D29" s="17">
        <f t="shared" si="0"/>
        <v>-1.1723329425556872</v>
      </c>
      <c r="E29" s="17">
        <f t="shared" si="5"/>
        <v>-3.5469107551487356</v>
      </c>
      <c r="F29" s="17">
        <f t="shared" si="4"/>
        <v>-13.74488403819919</v>
      </c>
      <c r="G29" s="17">
        <f>100*(B29/B5-1)</f>
        <v>-2.2041763341067333</v>
      </c>
      <c r="H29" s="39">
        <f t="shared" si="1"/>
        <v>1.1553973902728352</v>
      </c>
    </row>
    <row r="30" spans="1:8">
      <c r="A30" s="16">
        <v>35278</v>
      </c>
      <c r="B30" s="24">
        <f>+geral!G673</f>
        <v>25.62</v>
      </c>
      <c r="C30" s="17">
        <f t="shared" si="2"/>
        <v>106.21890547263681</v>
      </c>
      <c r="D30" s="17">
        <f t="shared" si="0"/>
        <v>1.3048635824436605</v>
      </c>
      <c r="E30" s="17">
        <f t="shared" si="5"/>
        <v>-2.2883295194507935</v>
      </c>
      <c r="F30" s="17">
        <f t="shared" si="4"/>
        <v>-10.199789695057838</v>
      </c>
      <c r="G30" s="17">
        <f t="shared" ref="G30:G73" si="6">100*(B30/B6-1)</f>
        <v>6.2189054726368154</v>
      </c>
      <c r="H30" s="39">
        <f t="shared" si="1"/>
        <v>1.1405152224824355</v>
      </c>
    </row>
    <row r="31" spans="1:8">
      <c r="A31" s="16">
        <v>35309</v>
      </c>
      <c r="B31" s="24">
        <f>+geral!G674</f>
        <v>26.58</v>
      </c>
      <c r="C31" s="17">
        <f t="shared" si="2"/>
        <v>110.19900497512437</v>
      </c>
      <c r="D31" s="17">
        <f t="shared" si="0"/>
        <v>3.7470725995315979</v>
      </c>
      <c r="E31" s="17">
        <f t="shared" si="5"/>
        <v>1.3729977116704761</v>
      </c>
      <c r="F31" s="17">
        <f t="shared" si="4"/>
        <v>-3.4507809662186806</v>
      </c>
      <c r="G31" s="17">
        <f t="shared" si="6"/>
        <v>11.120401337792618</v>
      </c>
      <c r="H31" s="39">
        <f t="shared" si="1"/>
        <v>1.0993227990970655</v>
      </c>
    </row>
    <row r="32" spans="1:8">
      <c r="A32" s="16">
        <v>35339</v>
      </c>
      <c r="B32" s="24">
        <f>+geral!G675</f>
        <v>27.8</v>
      </c>
      <c r="C32" s="17">
        <f t="shared" si="2"/>
        <v>115.25704809286898</v>
      </c>
      <c r="D32" s="17">
        <f t="shared" si="0"/>
        <v>4.5899172310007508</v>
      </c>
      <c r="E32" s="17">
        <f t="shared" si="5"/>
        <v>6.0259344012204563</v>
      </c>
      <c r="F32" s="17">
        <f t="shared" si="4"/>
        <v>-2.1471312917986651</v>
      </c>
      <c r="G32" s="17">
        <f t="shared" si="6"/>
        <v>17.299578059071742</v>
      </c>
      <c r="H32" s="39">
        <f t="shared" si="1"/>
        <v>1.0510791366906473</v>
      </c>
    </row>
    <row r="33" spans="1:8">
      <c r="A33" s="16">
        <v>35370</v>
      </c>
      <c r="B33" s="24">
        <f>+geral!G676</f>
        <v>25</v>
      </c>
      <c r="C33" s="17">
        <f t="shared" si="2"/>
        <v>103.64842454394693</v>
      </c>
      <c r="D33" s="17">
        <f t="shared" si="0"/>
        <v>-10.07194244604317</v>
      </c>
      <c r="E33" s="17">
        <f t="shared" si="5"/>
        <v>-4.652936689549958</v>
      </c>
      <c r="F33" s="17">
        <f t="shared" si="4"/>
        <v>-2.1143304620203529</v>
      </c>
      <c r="G33" s="17">
        <f t="shared" si="6"/>
        <v>-1.6909162406606337</v>
      </c>
      <c r="H33" s="39">
        <f t="shared" si="1"/>
        <v>1.1688000000000001</v>
      </c>
    </row>
    <row r="34" spans="1:8">
      <c r="A34" s="16">
        <v>35400</v>
      </c>
      <c r="B34" s="24">
        <f>+geral!G677</f>
        <v>26.5</v>
      </c>
      <c r="C34" s="17">
        <f t="shared" si="2"/>
        <v>109.86733001658375</v>
      </c>
      <c r="D34" s="17">
        <f t="shared" si="0"/>
        <v>6.0000000000000053</v>
      </c>
      <c r="E34" s="17">
        <f t="shared" si="5"/>
        <v>1.067887109077037</v>
      </c>
      <c r="F34" s="17">
        <f t="shared" si="4"/>
        <v>1.067887109077037</v>
      </c>
      <c r="G34" s="17">
        <f t="shared" si="6"/>
        <v>6.0000000000000053</v>
      </c>
      <c r="H34" s="39">
        <f t="shared" si="1"/>
        <v>1.1026415094339623</v>
      </c>
    </row>
    <row r="35" spans="1:8">
      <c r="A35" s="16">
        <v>35431</v>
      </c>
      <c r="B35" s="24">
        <f>+geral!I666</f>
        <v>25.17</v>
      </c>
      <c r="C35" s="17">
        <f t="shared" si="2"/>
        <v>104.35323383084577</v>
      </c>
      <c r="D35" s="17">
        <f t="shared" si="0"/>
        <v>-5.0188679245282923</v>
      </c>
      <c r="E35" s="17">
        <f>100*((B35/$B$34)-1)</f>
        <v>-5.0188679245282923</v>
      </c>
      <c r="F35" s="17">
        <f t="shared" si="4"/>
        <v>-6.6740823136818612</v>
      </c>
      <c r="G35" s="17">
        <f t="shared" si="6"/>
        <v>0</v>
      </c>
      <c r="H35" s="39">
        <f t="shared" si="1"/>
        <v>1.1609058402860548</v>
      </c>
    </row>
    <row r="36" spans="1:8">
      <c r="A36" s="16">
        <v>35462</v>
      </c>
      <c r="B36" s="24">
        <f>+geral!I667</f>
        <v>26.5</v>
      </c>
      <c r="C36" s="17">
        <f t="shared" si="2"/>
        <v>109.86733001658375</v>
      </c>
      <c r="D36" s="17">
        <f t="shared" si="0"/>
        <v>5.2840683353198248</v>
      </c>
      <c r="E36" s="17">
        <f t="shared" ref="E36:E46" si="7">100*((B36/$B$34)-1)</f>
        <v>0</v>
      </c>
      <c r="F36" s="17">
        <f t="shared" si="4"/>
        <v>-0.45078888054095323</v>
      </c>
      <c r="G36" s="17">
        <f t="shared" si="6"/>
        <v>-0.45078888054095323</v>
      </c>
      <c r="H36" s="39">
        <f t="shared" si="1"/>
        <v>1.1026415094339623</v>
      </c>
    </row>
    <row r="37" spans="1:8">
      <c r="A37" s="16">
        <v>35490</v>
      </c>
      <c r="B37" s="24">
        <f>+geral!I668</f>
        <v>26.29</v>
      </c>
      <c r="C37" s="17">
        <f t="shared" si="2"/>
        <v>108.99668325041459</v>
      </c>
      <c r="D37" s="17">
        <f t="shared" si="0"/>
        <v>-0.79245283018868351</v>
      </c>
      <c r="E37" s="17">
        <f t="shared" si="7"/>
        <v>-0.79245283018868351</v>
      </c>
      <c r="F37" s="17">
        <f t="shared" si="4"/>
        <v>9.3594009983360991</v>
      </c>
      <c r="G37" s="17">
        <f t="shared" si="6"/>
        <v>5.3707414829659239</v>
      </c>
      <c r="H37" s="39">
        <f t="shared" si="1"/>
        <v>1.111449220235831</v>
      </c>
    </row>
    <row r="38" spans="1:8">
      <c r="A38" s="16">
        <v>35521</v>
      </c>
      <c r="B38" s="24">
        <f>+geral!I669</f>
        <v>25.905999999999999</v>
      </c>
      <c r="C38" s="17">
        <f t="shared" si="2"/>
        <v>107.40464344941957</v>
      </c>
      <c r="D38" s="17">
        <f t="shared" si="0"/>
        <v>-1.4606314187904146</v>
      </c>
      <c r="E38" s="17">
        <f t="shared" si="7"/>
        <v>-2.2415094339622632</v>
      </c>
      <c r="F38" s="17">
        <f t="shared" si="4"/>
        <v>2.5575613285533372E-2</v>
      </c>
      <c r="G38" s="17">
        <f t="shared" si="6"/>
        <v>-6.5440115440115409</v>
      </c>
      <c r="H38" s="39">
        <f t="shared" si="1"/>
        <v>1.1279240330425384</v>
      </c>
    </row>
    <row r="39" spans="1:8">
      <c r="A39" s="16">
        <v>35551</v>
      </c>
      <c r="B39" s="24">
        <f>+geral!I670</f>
        <v>25.45</v>
      </c>
      <c r="C39" s="17">
        <f t="shared" si="2"/>
        <v>105.51409618573797</v>
      </c>
      <c r="D39" s="17">
        <f t="shared" si="0"/>
        <v>-1.7602099899637125</v>
      </c>
      <c r="E39" s="17">
        <f t="shared" si="7"/>
        <v>-3.9622641509433953</v>
      </c>
      <c r="F39" s="17">
        <f t="shared" si="4"/>
        <v>-14.107323658454273</v>
      </c>
      <c r="G39" s="17">
        <f t="shared" si="6"/>
        <v>-15.588723051409614</v>
      </c>
      <c r="H39" s="39">
        <f t="shared" si="1"/>
        <v>1.1481335952848724</v>
      </c>
    </row>
    <row r="40" spans="1:8">
      <c r="A40" s="16">
        <v>35582</v>
      </c>
      <c r="B40" s="24">
        <f>+geral!I671</f>
        <v>25.2</v>
      </c>
      <c r="C40" s="17">
        <f t="shared" si="2"/>
        <v>104.4776119402985</v>
      </c>
      <c r="D40" s="17">
        <f t="shared" si="0"/>
        <v>-0.98231827111984193</v>
      </c>
      <c r="E40" s="17">
        <f t="shared" si="7"/>
        <v>-4.9056603773584895</v>
      </c>
      <c r="F40" s="17">
        <f t="shared" si="4"/>
        <v>-1.5240328253223967</v>
      </c>
      <c r="G40" s="17">
        <f t="shared" si="6"/>
        <v>-7.6246334310850479</v>
      </c>
      <c r="H40" s="39">
        <f t="shared" si="1"/>
        <v>1.1595238095238094</v>
      </c>
    </row>
    <row r="41" spans="1:8">
      <c r="A41" s="16">
        <v>35612</v>
      </c>
      <c r="B41" s="24">
        <f>+geral!I672</f>
        <v>24.92</v>
      </c>
      <c r="C41" s="17">
        <f t="shared" si="2"/>
        <v>103.3167495854063</v>
      </c>
      <c r="D41" s="17">
        <f t="shared" si="0"/>
        <v>-1.1111111111110961</v>
      </c>
      <c r="E41" s="17">
        <f t="shared" si="7"/>
        <v>-5.962264150943386</v>
      </c>
      <c r="F41" s="17">
        <f t="shared" si="4"/>
        <v>-1.4630288651640844</v>
      </c>
      <c r="G41" s="17">
        <f t="shared" si="6"/>
        <v>-15.006821282401084</v>
      </c>
      <c r="H41" s="39">
        <f t="shared" si="1"/>
        <v>1.1725521669341892</v>
      </c>
    </row>
    <row r="42" spans="1:8">
      <c r="A42" s="16">
        <v>35643</v>
      </c>
      <c r="B42" s="24">
        <f>+geral!I673</f>
        <v>25.28</v>
      </c>
      <c r="C42" s="17">
        <f t="shared" si="2"/>
        <v>104.80928689883913</v>
      </c>
      <c r="D42" s="17">
        <f t="shared" si="0"/>
        <v>1.4446227929374</v>
      </c>
      <c r="E42" s="17">
        <f t="shared" si="7"/>
        <v>-4.6037735849056567</v>
      </c>
      <c r="F42" s="17">
        <f t="shared" si="4"/>
        <v>-1.3270882123341154</v>
      </c>
      <c r="G42" s="17">
        <f t="shared" si="6"/>
        <v>-11.391517700665965</v>
      </c>
      <c r="H42" s="39">
        <f t="shared" si="1"/>
        <v>1.1558544303797467</v>
      </c>
    </row>
    <row r="43" spans="1:8">
      <c r="A43" s="16">
        <v>35674</v>
      </c>
      <c r="B43" s="24">
        <f>+geral!I674</f>
        <v>26.87</v>
      </c>
      <c r="C43" s="17">
        <f t="shared" si="2"/>
        <v>111.40132669983416</v>
      </c>
      <c r="D43" s="17">
        <f t="shared" si="0"/>
        <v>6.2895569620253111</v>
      </c>
      <c r="E43" s="17">
        <f t="shared" si="7"/>
        <v>1.3962264150943371</v>
      </c>
      <c r="F43" s="17">
        <f t="shared" si="4"/>
        <v>1.0910458991723271</v>
      </c>
      <c r="G43" s="17">
        <f t="shared" si="6"/>
        <v>-2.3973846712677105</v>
      </c>
      <c r="H43" s="39">
        <f t="shared" si="1"/>
        <v>1.087458131745441</v>
      </c>
    </row>
    <row r="44" spans="1:8">
      <c r="A44" s="16">
        <v>35704</v>
      </c>
      <c r="B44" s="24">
        <f>+geral!I675</f>
        <v>26.71</v>
      </c>
      <c r="C44" s="17">
        <f t="shared" si="2"/>
        <v>110.7379767827529</v>
      </c>
      <c r="D44" s="17">
        <f t="shared" si="0"/>
        <v>-0.59545962039448952</v>
      </c>
      <c r="E44" s="17">
        <f t="shared" si="7"/>
        <v>0.79245283018867241</v>
      </c>
      <c r="F44" s="17">
        <f t="shared" si="4"/>
        <v>-3.920863309352518</v>
      </c>
      <c r="G44" s="17">
        <f t="shared" si="6"/>
        <v>-5.9838085181274199</v>
      </c>
      <c r="H44" s="39">
        <f t="shared" si="1"/>
        <v>1.0939722950205915</v>
      </c>
    </row>
    <row r="45" spans="1:8">
      <c r="A45" s="16">
        <v>35735</v>
      </c>
      <c r="B45" s="24">
        <f>+geral!I676</f>
        <v>24.46</v>
      </c>
      <c r="C45" s="17">
        <f t="shared" si="2"/>
        <v>101.40961857379767</v>
      </c>
      <c r="D45" s="17">
        <f t="shared" si="0"/>
        <v>-8.4238113066267282</v>
      </c>
      <c r="E45" s="17">
        <f t="shared" si="7"/>
        <v>-7.6981132075471637</v>
      </c>
      <c r="F45" s="17">
        <f t="shared" si="4"/>
        <v>-2.1599999999999953</v>
      </c>
      <c r="G45" s="17">
        <f t="shared" si="6"/>
        <v>-4.2286609240407174</v>
      </c>
      <c r="H45" s="39">
        <f t="shared" si="1"/>
        <v>1.1946034341782501</v>
      </c>
    </row>
    <row r="46" spans="1:8">
      <c r="A46" s="16">
        <v>35765</v>
      </c>
      <c r="B46" s="24">
        <f>+geral!I677</f>
        <v>25.8</v>
      </c>
      <c r="C46" s="17">
        <f t="shared" si="2"/>
        <v>106.96517412935323</v>
      </c>
      <c r="D46" s="17">
        <f t="shared" si="0"/>
        <v>5.4783319705641764</v>
      </c>
      <c r="E46" s="17">
        <f t="shared" si="7"/>
        <v>-2.6415094339622636</v>
      </c>
      <c r="F46" s="17">
        <f t="shared" si="4"/>
        <v>-2.6415094339622636</v>
      </c>
      <c r="G46" s="17">
        <f t="shared" si="6"/>
        <v>-1.6018306636155555</v>
      </c>
      <c r="H46" s="39">
        <f t="shared" si="1"/>
        <v>1.1325581395348836</v>
      </c>
    </row>
    <row r="47" spans="1:8">
      <c r="A47" s="16">
        <v>35796</v>
      </c>
      <c r="B47" s="24">
        <f>+geral!K666</f>
        <v>25.83</v>
      </c>
      <c r="C47" s="17">
        <f t="shared" si="2"/>
        <v>107.08955223880596</v>
      </c>
      <c r="D47" s="17">
        <f t="shared" si="0"/>
        <v>0.11627906976743319</v>
      </c>
      <c r="E47" s="17">
        <f>100*((B47/$B$46)-1)</f>
        <v>0.11627906976743319</v>
      </c>
      <c r="F47" s="17">
        <f t="shared" si="4"/>
        <v>2.6221692491060544</v>
      </c>
      <c r="G47" s="17">
        <f t="shared" si="6"/>
        <v>-4.2269187986651913</v>
      </c>
      <c r="H47" s="39">
        <f t="shared" si="1"/>
        <v>1.1312427409988386</v>
      </c>
    </row>
    <row r="48" spans="1:8">
      <c r="A48" s="16">
        <v>35827</v>
      </c>
      <c r="B48" s="24">
        <f>+geral!K667</f>
        <v>25.08</v>
      </c>
      <c r="C48" s="17">
        <f t="shared" si="2"/>
        <v>103.98009950248756</v>
      </c>
      <c r="D48" s="17">
        <f t="shared" si="0"/>
        <v>-2.9036004645760727</v>
      </c>
      <c r="E48" s="17">
        <f>100*((B48/$B$46)-1)</f>
        <v>-2.7906976744186185</v>
      </c>
      <c r="F48" s="17">
        <f t="shared" si="4"/>
        <v>-5.3584905660377435</v>
      </c>
      <c r="G48" s="17">
        <f t="shared" si="6"/>
        <v>-5.7851239669421624</v>
      </c>
      <c r="H48" s="39">
        <f t="shared" si="1"/>
        <v>1.1650717703349283</v>
      </c>
    </row>
    <row r="49" spans="1:8">
      <c r="A49" s="16">
        <v>35855</v>
      </c>
      <c r="B49" s="24">
        <f>+geral!K668</f>
        <v>24.49</v>
      </c>
      <c r="C49" s="17">
        <f t="shared" si="2"/>
        <v>101.53399668325041</v>
      </c>
      <c r="D49" s="17">
        <f t="shared" si="0"/>
        <v>-2.3524720893141948</v>
      </c>
      <c r="E49" s="17">
        <f t="shared" ref="E49:E58" si="8">100*((B49/$B$46)-1)</f>
        <v>-5.0775193798449747</v>
      </c>
      <c r="F49" s="17">
        <f t="shared" ref="F49:F73" si="9">100*((B49/B37)-1)</f>
        <v>-6.8467097755800737</v>
      </c>
      <c r="G49" s="17">
        <f t="shared" si="6"/>
        <v>1.8718801996672196</v>
      </c>
      <c r="H49" s="39">
        <f t="shared" si="1"/>
        <v>1.1931400571661903</v>
      </c>
    </row>
    <row r="50" spans="1:8">
      <c r="A50" s="16">
        <v>35886</v>
      </c>
      <c r="B50" s="24">
        <f>+geral!K669</f>
        <v>25.85</v>
      </c>
      <c r="C50" s="17">
        <f t="shared" si="2"/>
        <v>107.17247097844113</v>
      </c>
      <c r="D50" s="17">
        <f t="shared" si="0"/>
        <v>5.5532870559412029</v>
      </c>
      <c r="E50" s="17">
        <f t="shared" si="8"/>
        <v>0.19379844961240345</v>
      </c>
      <c r="F50" s="17">
        <f t="shared" si="9"/>
        <v>-0.21616613911834559</v>
      </c>
      <c r="G50" s="17">
        <f t="shared" si="6"/>
        <v>-0.19064581164860428</v>
      </c>
      <c r="H50" s="39">
        <f t="shared" si="1"/>
        <v>1.1303675048355899</v>
      </c>
    </row>
    <row r="51" spans="1:8">
      <c r="A51" s="16">
        <v>35916</v>
      </c>
      <c r="B51" s="24">
        <f>+geral!K670</f>
        <v>24</v>
      </c>
      <c r="C51" s="17">
        <f t="shared" si="2"/>
        <v>99.502487562189046</v>
      </c>
      <c r="D51" s="17">
        <f t="shared" si="0"/>
        <v>-7.1566731141199273</v>
      </c>
      <c r="E51" s="17">
        <f t="shared" si="8"/>
        <v>-6.9767441860465134</v>
      </c>
      <c r="F51" s="17">
        <f t="shared" si="9"/>
        <v>-5.6974459724950854</v>
      </c>
      <c r="G51" s="17">
        <f t="shared" si="6"/>
        <v>-19.001012487343903</v>
      </c>
      <c r="H51" s="39">
        <f t="shared" si="1"/>
        <v>1.2175</v>
      </c>
    </row>
    <row r="52" spans="1:8">
      <c r="A52" s="16">
        <v>35947</v>
      </c>
      <c r="B52" s="24">
        <f>+geral!K671</f>
        <v>24.9</v>
      </c>
      <c r="C52" s="17">
        <f t="shared" si="2"/>
        <v>103.23383084577114</v>
      </c>
      <c r="D52" s="17">
        <f t="shared" si="0"/>
        <v>3.7499999999999867</v>
      </c>
      <c r="E52" s="17">
        <f t="shared" si="8"/>
        <v>-3.488372093023262</v>
      </c>
      <c r="F52" s="17">
        <f t="shared" si="9"/>
        <v>-1.1904761904761973</v>
      </c>
      <c r="G52" s="17">
        <f t="shared" si="6"/>
        <v>-2.6963657678780839</v>
      </c>
      <c r="H52" s="39">
        <f t="shared" si="1"/>
        <v>1.1734939759036145</v>
      </c>
    </row>
    <row r="53" spans="1:8">
      <c r="A53" s="16">
        <v>35977</v>
      </c>
      <c r="B53" s="24">
        <f>+geral!K672</f>
        <v>25.6</v>
      </c>
      <c r="C53" s="17">
        <f t="shared" si="2"/>
        <v>106.13598673300166</v>
      </c>
      <c r="D53" s="17">
        <f t="shared" si="0"/>
        <v>2.8112449799196915</v>
      </c>
      <c r="E53" s="17">
        <f t="shared" si="8"/>
        <v>-0.77519379844961378</v>
      </c>
      <c r="F53" s="17">
        <f t="shared" si="9"/>
        <v>2.7287319422150791</v>
      </c>
      <c r="G53" s="17">
        <f t="shared" si="6"/>
        <v>1.2257809410834319</v>
      </c>
      <c r="H53" s="39">
        <f t="shared" si="1"/>
        <v>1.14140625</v>
      </c>
    </row>
    <row r="54" spans="1:8">
      <c r="A54" s="16">
        <v>36008</v>
      </c>
      <c r="B54" s="24">
        <f>+geral!K673</f>
        <v>26.41</v>
      </c>
      <c r="C54" s="17">
        <f t="shared" si="2"/>
        <v>109.49419568822553</v>
      </c>
      <c r="D54" s="17">
        <f t="shared" si="0"/>
        <v>3.1640624999999867</v>
      </c>
      <c r="E54" s="17">
        <f t="shared" si="8"/>
        <v>2.3643410852713265</v>
      </c>
      <c r="F54" s="17">
        <f t="shared" si="9"/>
        <v>4.4699367088607556</v>
      </c>
      <c r="G54" s="17">
        <f t="shared" si="6"/>
        <v>3.0835284933645513</v>
      </c>
      <c r="H54" s="39">
        <f t="shared" si="1"/>
        <v>1.106399091253313</v>
      </c>
    </row>
    <row r="55" spans="1:8">
      <c r="A55" s="16">
        <v>36039</v>
      </c>
      <c r="B55" s="24">
        <f>+geral!K674</f>
        <v>24.62</v>
      </c>
      <c r="C55" s="17">
        <f t="shared" si="2"/>
        <v>102.07296849087894</v>
      </c>
      <c r="D55" s="17">
        <f t="shared" si="0"/>
        <v>-6.7777357061719057</v>
      </c>
      <c r="E55" s="17">
        <f t="shared" si="8"/>
        <v>-4.5736434108527124</v>
      </c>
      <c r="F55" s="17">
        <f t="shared" si="9"/>
        <v>-8.3736509117975473</v>
      </c>
      <c r="G55" s="17">
        <f t="shared" si="6"/>
        <v>-7.3739653875093953</v>
      </c>
      <c r="H55" s="39">
        <f t="shared" si="1"/>
        <v>1.1868399675060926</v>
      </c>
    </row>
    <row r="56" spans="1:8">
      <c r="A56" s="16">
        <v>36069</v>
      </c>
      <c r="B56" s="24">
        <f>+geral!K675</f>
        <v>24.91</v>
      </c>
      <c r="C56" s="17">
        <f t="shared" si="2"/>
        <v>103.27529021558873</v>
      </c>
      <c r="D56" s="17">
        <f t="shared" si="0"/>
        <v>1.1779041429731851</v>
      </c>
      <c r="E56" s="17">
        <f t="shared" si="8"/>
        <v>-3.4496124031007769</v>
      </c>
      <c r="F56" s="17">
        <f t="shared" si="9"/>
        <v>-6.7390490453013925</v>
      </c>
      <c r="G56" s="17">
        <f t="shared" si="6"/>
        <v>-10.395683453237414</v>
      </c>
      <c r="H56" s="39">
        <f t="shared" si="1"/>
        <v>1.1730228823765556</v>
      </c>
    </row>
    <row r="57" spans="1:8">
      <c r="A57" s="16">
        <v>36100</v>
      </c>
      <c r="B57" s="24">
        <f>+geral!K676</f>
        <v>26.46</v>
      </c>
      <c r="C57" s="17">
        <f t="shared" si="2"/>
        <v>109.70149253731343</v>
      </c>
      <c r="D57" s="17">
        <f t="shared" si="0"/>
        <v>6.2224006423123202</v>
      </c>
      <c r="E57" s="17">
        <f t="shared" si="8"/>
        <v>2.5581395348837299</v>
      </c>
      <c r="F57" s="17">
        <f t="shared" si="9"/>
        <v>8.1766148814390824</v>
      </c>
      <c r="G57" s="17">
        <f t="shared" si="6"/>
        <v>5.8400000000000007</v>
      </c>
      <c r="H57" s="39">
        <f t="shared" si="1"/>
        <v>1.1043083900226756</v>
      </c>
    </row>
    <row r="58" spans="1:8">
      <c r="A58" s="16">
        <v>36130</v>
      </c>
      <c r="B58" s="24">
        <f>+geral!K677</f>
        <v>26.7</v>
      </c>
      <c r="C58" s="17">
        <f t="shared" si="2"/>
        <v>110.69651741293532</v>
      </c>
      <c r="D58" s="17">
        <f t="shared" si="0"/>
        <v>0.90702947845804349</v>
      </c>
      <c r="E58" s="17">
        <f t="shared" si="8"/>
        <v>3.4883720930232398</v>
      </c>
      <c r="F58" s="17">
        <f t="shared" si="9"/>
        <v>3.4883720930232398</v>
      </c>
      <c r="G58" s="17">
        <f t="shared" si="6"/>
        <v>0.7547169811320753</v>
      </c>
      <c r="H58" s="39">
        <f t="shared" si="1"/>
        <v>1.0943820224719101</v>
      </c>
    </row>
    <row r="59" spans="1:8">
      <c r="A59" s="16">
        <v>36161</v>
      </c>
      <c r="B59" s="24">
        <f>+geral!M666</f>
        <v>25.52</v>
      </c>
      <c r="C59" s="17">
        <f t="shared" si="2"/>
        <v>105.80431177446103</v>
      </c>
      <c r="D59" s="17">
        <f t="shared" si="0"/>
        <v>-4.4194756554307162</v>
      </c>
      <c r="E59" s="17">
        <f>100*((B59/$B$58)-1)</f>
        <v>-4.4194756554307162</v>
      </c>
      <c r="F59" s="17">
        <f t="shared" si="9"/>
        <v>-1.2001548586914379</v>
      </c>
      <c r="G59" s="17">
        <f t="shared" si="6"/>
        <v>1.3905442987683703</v>
      </c>
      <c r="H59" s="39">
        <f t="shared" si="1"/>
        <v>1.1449843260188088</v>
      </c>
    </row>
    <row r="60" spans="1:8">
      <c r="A60" s="16">
        <v>36192</v>
      </c>
      <c r="B60" s="24">
        <f>+geral!M667</f>
        <v>25.14</v>
      </c>
      <c r="C60" s="17">
        <f t="shared" si="2"/>
        <v>104.22885572139303</v>
      </c>
      <c r="D60" s="17">
        <f t="shared" si="0"/>
        <v>-1.4890282131661436</v>
      </c>
      <c r="E60" s="17">
        <f t="shared" ref="E60:E70" si="10">100*((B60/$B$58)-1)</f>
        <v>-5.8426966292134725</v>
      </c>
      <c r="F60" s="17">
        <f t="shared" si="9"/>
        <v>0.23923444976077235</v>
      </c>
      <c r="G60" s="17">
        <f t="shared" si="6"/>
        <v>-5.1320754716981165</v>
      </c>
      <c r="H60" s="39">
        <f t="shared" si="1"/>
        <v>1.162291169451074</v>
      </c>
    </row>
    <row r="61" spans="1:8">
      <c r="A61" s="16">
        <v>36220</v>
      </c>
      <c r="B61" s="24">
        <f>+geral!M668</f>
        <v>27.46</v>
      </c>
      <c r="C61" s="17">
        <f t="shared" si="2"/>
        <v>113.84742951907131</v>
      </c>
      <c r="D61" s="17">
        <f t="shared" si="0"/>
        <v>9.2283214001590999</v>
      </c>
      <c r="E61" s="17">
        <f t="shared" si="10"/>
        <v>2.8464419475655589</v>
      </c>
      <c r="F61" s="17">
        <f t="shared" si="9"/>
        <v>12.127398938342182</v>
      </c>
      <c r="G61" s="17">
        <f t="shared" si="6"/>
        <v>4.4503613541270415</v>
      </c>
      <c r="H61" s="39">
        <f t="shared" si="1"/>
        <v>1.064093226511289</v>
      </c>
    </row>
    <row r="62" spans="1:8">
      <c r="A62" s="16">
        <v>36251</v>
      </c>
      <c r="B62" s="24">
        <f>+geral!M669</f>
        <v>27.2</v>
      </c>
      <c r="C62" s="17">
        <f t="shared" si="2"/>
        <v>112.76948590381426</v>
      </c>
      <c r="D62" s="17">
        <f t="shared" si="0"/>
        <v>-0.94683175528040842</v>
      </c>
      <c r="E62" s="17">
        <f t="shared" si="10"/>
        <v>1.8726591760299671</v>
      </c>
      <c r="F62" s="17">
        <f t="shared" si="9"/>
        <v>5.2224371373307488</v>
      </c>
      <c r="G62" s="17">
        <f t="shared" si="6"/>
        <v>4.9949818574847482</v>
      </c>
      <c r="H62" s="39">
        <f t="shared" si="1"/>
        <v>1.0742647058823529</v>
      </c>
    </row>
    <row r="63" spans="1:8">
      <c r="A63" s="16">
        <v>36281</v>
      </c>
      <c r="B63" s="24">
        <f>+geral!M670</f>
        <v>27.41</v>
      </c>
      <c r="C63" s="17">
        <f t="shared" si="2"/>
        <v>113.64013266998342</v>
      </c>
      <c r="D63" s="17">
        <f t="shared" si="0"/>
        <v>0.77205882352942012</v>
      </c>
      <c r="E63" s="17">
        <f t="shared" si="10"/>
        <v>2.6591760299625511</v>
      </c>
      <c r="F63" s="17">
        <f t="shared" si="9"/>
        <v>14.208333333333334</v>
      </c>
      <c r="G63" s="17">
        <f t="shared" si="6"/>
        <v>7.701375245579567</v>
      </c>
      <c r="H63" s="39">
        <f t="shared" si="1"/>
        <v>1.0660342940532652</v>
      </c>
    </row>
    <row r="64" spans="1:8">
      <c r="A64" s="16">
        <v>36312</v>
      </c>
      <c r="B64" s="24">
        <f>+geral!M671</f>
        <v>27.59</v>
      </c>
      <c r="C64" s="17">
        <f t="shared" si="2"/>
        <v>114.38640132669983</v>
      </c>
      <c r="D64" s="17">
        <f t="shared" si="0"/>
        <v>0.65669463699380426</v>
      </c>
      <c r="E64" s="17">
        <f t="shared" si="10"/>
        <v>3.3333333333333437</v>
      </c>
      <c r="F64" s="17">
        <f t="shared" si="9"/>
        <v>10.803212851405618</v>
      </c>
      <c r="G64" s="17">
        <f t="shared" si="6"/>
        <v>9.4841269841269948</v>
      </c>
      <c r="H64" s="39">
        <f t="shared" si="1"/>
        <v>1.0590793765857194</v>
      </c>
    </row>
    <row r="65" spans="1:8">
      <c r="A65" s="16">
        <v>36342</v>
      </c>
      <c r="B65" s="24">
        <f>+geral!M672</f>
        <v>28.66</v>
      </c>
      <c r="C65" s="17">
        <f t="shared" si="2"/>
        <v>118.82255389718075</v>
      </c>
      <c r="D65" s="17">
        <f t="shared" si="0"/>
        <v>3.8782167451975269</v>
      </c>
      <c r="E65" s="17">
        <f t="shared" si="10"/>
        <v>7.3408239700374578</v>
      </c>
      <c r="F65" s="17">
        <f t="shared" si="9"/>
        <v>11.953124999999986</v>
      </c>
      <c r="G65" s="17">
        <f t="shared" si="6"/>
        <v>15.008025682182978</v>
      </c>
      <c r="H65" s="39">
        <f t="shared" si="1"/>
        <v>1.0195394277739009</v>
      </c>
    </row>
    <row r="66" spans="1:8">
      <c r="A66" s="16">
        <v>36373</v>
      </c>
      <c r="B66" s="24">
        <f>+geral!M673</f>
        <v>29.37</v>
      </c>
      <c r="C66" s="17">
        <f t="shared" si="2"/>
        <v>121.76616915422885</v>
      </c>
      <c r="D66" s="17">
        <f t="shared" si="0"/>
        <v>2.4773203070481475</v>
      </c>
      <c r="E66" s="17">
        <f t="shared" si="10"/>
        <v>10.000000000000009</v>
      </c>
      <c r="F66" s="17">
        <f t="shared" si="9"/>
        <v>11.20787580461946</v>
      </c>
      <c r="G66" s="17">
        <f t="shared" si="6"/>
        <v>16.178797468354421</v>
      </c>
      <c r="H66" s="39">
        <f t="shared" si="1"/>
        <v>0.99489274770173641</v>
      </c>
    </row>
    <row r="67" spans="1:8">
      <c r="A67" s="16">
        <v>36404</v>
      </c>
      <c r="B67" s="24">
        <f>+geral!M674</f>
        <v>28.59</v>
      </c>
      <c r="C67" s="17">
        <f t="shared" si="2"/>
        <v>118.53233830845771</v>
      </c>
      <c r="D67" s="17">
        <f t="shared" si="0"/>
        <v>-2.6557711950970453</v>
      </c>
      <c r="E67" s="17">
        <f t="shared" si="10"/>
        <v>7.0786516853932557</v>
      </c>
      <c r="F67" s="17">
        <f t="shared" si="9"/>
        <v>16.125101543460584</v>
      </c>
      <c r="G67" s="17">
        <f t="shared" si="6"/>
        <v>6.4011909192407845</v>
      </c>
      <c r="H67" s="39">
        <f t="shared" si="1"/>
        <v>1.0220356768100733</v>
      </c>
    </row>
    <row r="68" spans="1:8">
      <c r="A68" s="16">
        <v>36434</v>
      </c>
      <c r="B68" s="24">
        <f>+geral!M675</f>
        <v>29.22</v>
      </c>
      <c r="C68" s="17">
        <f t="shared" si="2"/>
        <v>121.14427860696517</v>
      </c>
      <c r="D68" s="17">
        <f t="shared" si="0"/>
        <v>2.2035676810073346</v>
      </c>
      <c r="E68" s="17">
        <f t="shared" si="10"/>
        <v>9.4382022471910076</v>
      </c>
      <c r="F68" s="17">
        <f t="shared" si="9"/>
        <v>17.30228823765556</v>
      </c>
      <c r="G68" s="17">
        <f t="shared" si="6"/>
        <v>9.3972295020591456</v>
      </c>
      <c r="H68" s="39">
        <f t="shared" si="1"/>
        <v>1</v>
      </c>
    </row>
    <row r="69" spans="1:8">
      <c r="A69" s="16">
        <v>36465</v>
      </c>
      <c r="B69" s="24">
        <f>+geral!M676</f>
        <v>29.29</v>
      </c>
      <c r="C69" s="17">
        <f t="shared" si="2"/>
        <v>121.43449419568822</v>
      </c>
      <c r="D69" s="17">
        <f t="shared" si="0"/>
        <v>0.23956194387406704</v>
      </c>
      <c r="E69" s="17">
        <f t="shared" si="10"/>
        <v>9.7003745318352088</v>
      </c>
      <c r="F69" s="17">
        <f t="shared" si="9"/>
        <v>10.695389266817834</v>
      </c>
      <c r="G69" s="17">
        <f t="shared" si="6"/>
        <v>19.746524938675392</v>
      </c>
      <c r="H69" s="39">
        <f t="shared" si="1"/>
        <v>0.99761010583817</v>
      </c>
    </row>
    <row r="70" spans="1:8">
      <c r="A70" s="16">
        <v>36495</v>
      </c>
      <c r="B70" s="24">
        <f>+geral!M677</f>
        <v>28.56</v>
      </c>
      <c r="C70" s="17">
        <f t="shared" si="2"/>
        <v>118.40796019900498</v>
      </c>
      <c r="D70" s="17">
        <f t="shared" si="0"/>
        <v>-2.4923181973369735</v>
      </c>
      <c r="E70" s="17">
        <f t="shared" si="10"/>
        <v>6.9662921348314644</v>
      </c>
      <c r="F70" s="17">
        <f t="shared" si="9"/>
        <v>6.9662921348314644</v>
      </c>
      <c r="G70" s="17">
        <f t="shared" si="6"/>
        <v>10.697674418604652</v>
      </c>
      <c r="H70" s="39">
        <f>B$73/B70</f>
        <v>1.0231092436974789</v>
      </c>
    </row>
    <row r="71" spans="1:8">
      <c r="A71" s="16">
        <v>36526</v>
      </c>
      <c r="B71" s="24">
        <f>+geral!O666</f>
        <v>30.7</v>
      </c>
      <c r="C71" s="17">
        <f>100*B71/$B$6</f>
        <v>127.28026533996683</v>
      </c>
      <c r="D71" s="17">
        <f>100*((B71/B70)-1)</f>
        <v>7.4929971988795474</v>
      </c>
      <c r="E71" s="17">
        <f>100*((B71/$B$70)-1)</f>
        <v>7.4929971988795474</v>
      </c>
      <c r="F71" s="17">
        <f t="shared" si="9"/>
        <v>20.297805642633236</v>
      </c>
      <c r="G71" s="17">
        <f t="shared" si="6"/>
        <v>18.854045683313991</v>
      </c>
      <c r="H71" s="39">
        <f>B$73/B71</f>
        <v>0.95179153094462543</v>
      </c>
    </row>
    <row r="72" spans="1:8">
      <c r="A72" s="16">
        <v>36557</v>
      </c>
      <c r="B72" s="24">
        <f>+geral!O667</f>
        <v>28.5</v>
      </c>
      <c r="C72" s="17">
        <f>100*B72/$B$6</f>
        <v>118.15920398009949</v>
      </c>
      <c r="D72" s="17">
        <f>100*((B72/B71)-1)</f>
        <v>-7.1661237785016318</v>
      </c>
      <c r="E72" s="17">
        <f>100*((B72/$B$70)-1)</f>
        <v>-0.21008403361344463</v>
      </c>
      <c r="F72" s="17">
        <f t="shared" si="9"/>
        <v>13.365155131264906</v>
      </c>
      <c r="G72" s="17">
        <f t="shared" si="6"/>
        <v>13.636363636363647</v>
      </c>
      <c r="H72" s="39">
        <f>B$73/B72</f>
        <v>1.0252631578947369</v>
      </c>
    </row>
    <row r="73" spans="1:8">
      <c r="A73" s="16">
        <v>36586</v>
      </c>
      <c r="B73" s="24">
        <f>+geral!O668</f>
        <v>29.22</v>
      </c>
      <c r="C73" s="17">
        <f>100*B73/$B$6</f>
        <v>121.14427860696517</v>
      </c>
      <c r="D73" s="17">
        <f>100*((B73/B72)-1)</f>
        <v>2.5263157894736876</v>
      </c>
      <c r="E73" s="17">
        <f>100*((B73/$B$70)-1)</f>
        <v>2.3109243697478909</v>
      </c>
      <c r="F73" s="17">
        <f t="shared" si="9"/>
        <v>6.4093226511289014</v>
      </c>
      <c r="G73" s="17">
        <f t="shared" si="6"/>
        <v>19.314005716619032</v>
      </c>
      <c r="H73" s="39">
        <f>B$73/B73</f>
        <v>1</v>
      </c>
    </row>
    <row r="74" spans="1:8">
      <c r="A74" s="57">
        <v>36617</v>
      </c>
      <c r="B74" s="58" t="s">
        <v>118</v>
      </c>
      <c r="C74" s="58"/>
      <c r="D74" s="58"/>
      <c r="E74" s="58"/>
      <c r="F74" s="58"/>
      <c r="G74" s="48"/>
      <c r="H74" s="39"/>
    </row>
    <row r="75" spans="1:8" ht="15.75">
      <c r="B75" s="2"/>
      <c r="G75" s="21"/>
      <c r="H75" s="39"/>
    </row>
    <row r="76" spans="1:8">
      <c r="A76" s="14"/>
    </row>
    <row r="77" spans="1:8">
      <c r="A77" s="14"/>
    </row>
    <row r="78" spans="1:8">
      <c r="A78" s="14"/>
    </row>
    <row r="79" spans="1:8">
      <c r="A79" s="14"/>
    </row>
    <row r="80" spans="1:8">
      <c r="A80" s="14"/>
    </row>
    <row r="81" spans="1:1">
      <c r="A81" s="14"/>
    </row>
    <row r="82" spans="1:1">
      <c r="A82" s="14"/>
    </row>
    <row r="83" spans="1:1">
      <c r="A83" s="14"/>
    </row>
    <row r="84" spans="1:1">
      <c r="A84" s="14"/>
    </row>
    <row r="85" spans="1:1">
      <c r="A85" s="14"/>
    </row>
    <row r="86" spans="1:1">
      <c r="A86" s="14"/>
    </row>
    <row r="87" spans="1:1">
      <c r="A87" s="14"/>
    </row>
    <row r="88" spans="1:1">
      <c r="A88" s="14"/>
    </row>
    <row r="89" spans="1:1">
      <c r="A89" s="14"/>
    </row>
    <row r="90" spans="1:1">
      <c r="A90" s="14"/>
    </row>
    <row r="91" spans="1:1">
      <c r="A91" s="14"/>
    </row>
  </sheetData>
  <phoneticPr fontId="0"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43"/>
  <dimension ref="A2:H197"/>
  <sheetViews>
    <sheetView showGridLines="0" showOutlineSymbols="0" topLeftCell="A94" zoomScaleNormal="87" workbookViewId="0">
      <selection activeCell="A111" sqref="A111"/>
    </sheetView>
  </sheetViews>
  <sheetFormatPr defaultColWidth="11.6640625" defaultRowHeight="15"/>
  <cols>
    <col min="1" max="1" width="7.77734375" style="1" customWidth="1"/>
    <col min="2" max="2" width="9.77734375" style="1" customWidth="1"/>
    <col min="3" max="3" width="8.77734375" style="1" customWidth="1"/>
    <col min="4" max="7" width="9.77734375" style="1" customWidth="1"/>
    <col min="8" max="16384" width="11.6640625" style="1"/>
  </cols>
  <sheetData>
    <row r="2" spans="1:8" ht="16.5">
      <c r="A2" s="6" t="s">
        <v>78</v>
      </c>
      <c r="B2" s="6"/>
      <c r="C2" s="6"/>
      <c r="D2" s="6"/>
      <c r="E2" s="7"/>
      <c r="F2" s="7"/>
      <c r="G2" s="7"/>
    </row>
    <row r="3" spans="1:8" ht="15.75">
      <c r="A3" s="2" t="s">
        <v>149</v>
      </c>
    </row>
    <row r="4" spans="1:8" ht="63">
      <c r="A4" s="8" t="s">
        <v>67</v>
      </c>
      <c r="B4" s="8" t="s">
        <v>76</v>
      </c>
      <c r="C4" s="8" t="s">
        <v>68</v>
      </c>
      <c r="D4" s="10" t="s">
        <v>69</v>
      </c>
      <c r="E4" s="10" t="s">
        <v>65</v>
      </c>
      <c r="F4" s="42" t="s">
        <v>70</v>
      </c>
      <c r="G4" s="8" t="s">
        <v>160</v>
      </c>
      <c r="H4" s="8" t="s">
        <v>186</v>
      </c>
    </row>
    <row r="5" spans="1:8">
      <c r="A5" s="16">
        <v>34516</v>
      </c>
      <c r="B5" s="24">
        <f>+geral!C450</f>
        <v>5337.5</v>
      </c>
      <c r="C5" s="17">
        <v>100</v>
      </c>
      <c r="D5" s="17"/>
      <c r="E5" s="17"/>
      <c r="F5" s="17"/>
      <c r="G5" s="17"/>
      <c r="H5" s="39">
        <f>$B$108/B5</f>
        <v>1.7386416861826699</v>
      </c>
    </row>
    <row r="6" spans="1:8">
      <c r="A6" s="16">
        <v>34547</v>
      </c>
      <c r="B6" s="24">
        <f>+geral!C451</f>
        <v>5461.67</v>
      </c>
      <c r="C6" s="17">
        <v>100</v>
      </c>
      <c r="D6" s="17">
        <f t="shared" ref="D6:D70" si="0">100*((B6/B5)-1)</f>
        <v>2.3263700234191997</v>
      </c>
      <c r="E6" s="17"/>
      <c r="F6" s="17"/>
      <c r="G6" s="17"/>
      <c r="H6" s="39">
        <f t="shared" ref="H6:H69" si="1">$B$108/B6</f>
        <v>1.6991140072541915</v>
      </c>
    </row>
    <row r="7" spans="1:8">
      <c r="A7" s="16">
        <v>34578</v>
      </c>
      <c r="B7" s="24">
        <f>+geral!C452</f>
        <v>5360</v>
      </c>
      <c r="C7" s="17">
        <f t="shared" ref="C7:C70" si="2">100*B7/$B$6</f>
        <v>98.138481453474853</v>
      </c>
      <c r="D7" s="17">
        <f t="shared" si="0"/>
        <v>-1.8615185465251538</v>
      </c>
      <c r="E7" s="17"/>
      <c r="F7" s="17"/>
      <c r="G7" s="17"/>
      <c r="H7" s="39">
        <f t="shared" si="1"/>
        <v>1.7313432835820894</v>
      </c>
    </row>
    <row r="8" spans="1:8">
      <c r="A8" s="16">
        <v>34608</v>
      </c>
      <c r="B8" s="24">
        <f>+geral!C453</f>
        <v>5659.9</v>
      </c>
      <c r="C8" s="17">
        <f t="shared" si="2"/>
        <v>103.62947596614222</v>
      </c>
      <c r="D8" s="17">
        <f t="shared" si="0"/>
        <v>5.5951492537313463</v>
      </c>
      <c r="E8" s="17"/>
      <c r="F8" s="17"/>
      <c r="G8" s="17"/>
      <c r="H8" s="39">
        <f t="shared" si="1"/>
        <v>1.6396049400166082</v>
      </c>
    </row>
    <row r="9" spans="1:8">
      <c r="A9" s="16">
        <v>34639</v>
      </c>
      <c r="B9" s="24">
        <f>+geral!C454</f>
        <v>5640</v>
      </c>
      <c r="C9" s="17">
        <f t="shared" si="2"/>
        <v>103.26511854432802</v>
      </c>
      <c r="D9" s="17">
        <f t="shared" si="0"/>
        <v>-0.35159631795613766</v>
      </c>
      <c r="E9" s="17"/>
      <c r="F9" s="17"/>
      <c r="G9" s="17"/>
      <c r="H9" s="39">
        <f t="shared" si="1"/>
        <v>1.6453900709219857</v>
      </c>
    </row>
    <row r="10" spans="1:8">
      <c r="A10" s="16">
        <v>34669</v>
      </c>
      <c r="B10" s="24">
        <f>+geral!C455</f>
        <v>6012</v>
      </c>
      <c r="C10" s="17">
        <f t="shared" si="2"/>
        <v>110.07622210789008</v>
      </c>
      <c r="D10" s="17">
        <f t="shared" si="0"/>
        <v>6.5957446808510678</v>
      </c>
      <c r="E10" s="17"/>
      <c r="F10" s="17"/>
      <c r="G10" s="17"/>
      <c r="H10" s="39">
        <f t="shared" si="1"/>
        <v>1.5435795076513639</v>
      </c>
    </row>
    <row r="11" spans="1:8">
      <c r="A11" s="16">
        <v>34700</v>
      </c>
      <c r="B11" s="24">
        <f>+geral!E444</f>
        <v>6100</v>
      </c>
      <c r="C11" s="17">
        <f t="shared" si="2"/>
        <v>111.6874509078725</v>
      </c>
      <c r="D11" s="17">
        <f>100*((B11/B10)-1)</f>
        <v>1.4637391882900808</v>
      </c>
      <c r="E11" s="17">
        <f t="shared" ref="E11:E22" si="3">100*((B11/$B$11)-1)</f>
        <v>0</v>
      </c>
      <c r="F11" s="17"/>
      <c r="G11" s="17"/>
      <c r="H11" s="39">
        <f t="shared" si="1"/>
        <v>1.521311475409836</v>
      </c>
    </row>
    <row r="12" spans="1:8">
      <c r="A12" s="16">
        <v>34731</v>
      </c>
      <c r="B12" s="24">
        <f>+geral!E445</f>
        <v>6540</v>
      </c>
      <c r="C12" s="17">
        <f t="shared" si="2"/>
        <v>119.74359490778461</v>
      </c>
      <c r="D12" s="17">
        <f t="shared" si="0"/>
        <v>7.2131147540983598</v>
      </c>
      <c r="E12" s="17">
        <f t="shared" si="3"/>
        <v>7.2131147540983598</v>
      </c>
      <c r="F12" s="17"/>
      <c r="G12" s="17"/>
      <c r="H12" s="39">
        <f t="shared" si="1"/>
        <v>1.418960244648318</v>
      </c>
    </row>
    <row r="13" spans="1:8">
      <c r="A13" s="16">
        <v>34759</v>
      </c>
      <c r="B13" s="24">
        <f>+geral!E446</f>
        <v>6460</v>
      </c>
      <c r="C13" s="17">
        <f t="shared" si="2"/>
        <v>118.27884145325514</v>
      </c>
      <c r="D13" s="17">
        <f t="shared" si="0"/>
        <v>-1.2232415902140636</v>
      </c>
      <c r="E13" s="17">
        <f t="shared" si="3"/>
        <v>5.9016393442622883</v>
      </c>
      <c r="F13" s="17"/>
      <c r="G13" s="17"/>
      <c r="H13" s="39">
        <f t="shared" si="1"/>
        <v>1.436532507739938</v>
      </c>
    </row>
    <row r="14" spans="1:8">
      <c r="A14" s="16">
        <v>34790</v>
      </c>
      <c r="B14" s="24">
        <f>+geral!E447</f>
        <v>6675</v>
      </c>
      <c r="C14" s="17">
        <f t="shared" si="2"/>
        <v>122.2153663623031</v>
      </c>
      <c r="D14" s="17">
        <f t="shared" si="0"/>
        <v>3.3281733746129971</v>
      </c>
      <c r="E14" s="17">
        <f t="shared" si="3"/>
        <v>9.426229508196716</v>
      </c>
      <c r="F14" s="17"/>
      <c r="G14" s="17"/>
      <c r="H14" s="39">
        <f t="shared" si="1"/>
        <v>1.3902621722846442</v>
      </c>
    </row>
    <row r="15" spans="1:8">
      <c r="A15" s="16">
        <v>34820</v>
      </c>
      <c r="B15" s="24">
        <f>+geral!E448</f>
        <v>6400</v>
      </c>
      <c r="C15" s="17">
        <f t="shared" si="2"/>
        <v>117.18027636235803</v>
      </c>
      <c r="D15" s="17">
        <f t="shared" si="0"/>
        <v>-4.1198501872659161</v>
      </c>
      <c r="E15" s="17">
        <f t="shared" si="3"/>
        <v>4.9180327868852514</v>
      </c>
      <c r="F15" s="17"/>
      <c r="G15" s="17"/>
      <c r="H15" s="39">
        <f t="shared" si="1"/>
        <v>1.45</v>
      </c>
    </row>
    <row r="16" spans="1:8">
      <c r="A16" s="16">
        <v>38504</v>
      </c>
      <c r="B16" s="24">
        <f>+geral!E449</f>
        <v>6660</v>
      </c>
      <c r="C16" s="17">
        <f t="shared" si="2"/>
        <v>121.94072508957883</v>
      </c>
      <c r="D16" s="17">
        <f t="shared" si="0"/>
        <v>4.0624999999999911</v>
      </c>
      <c r="E16" s="17">
        <f t="shared" si="3"/>
        <v>9.180327868852455</v>
      </c>
      <c r="F16" s="17"/>
      <c r="G16" s="17"/>
      <c r="H16" s="39">
        <f t="shared" si="1"/>
        <v>1.3933933933933933</v>
      </c>
    </row>
    <row r="17" spans="1:8">
      <c r="A17" s="16">
        <v>34881</v>
      </c>
      <c r="B17" s="24">
        <f>+geral!E450</f>
        <v>6766.67</v>
      </c>
      <c r="C17" s="17">
        <f t="shared" si="2"/>
        <v>123.89379072701206</v>
      </c>
      <c r="D17" s="17">
        <f t="shared" si="0"/>
        <v>1.6016516516516477</v>
      </c>
      <c r="E17" s="17">
        <f t="shared" si="3"/>
        <v>10.929016393442614</v>
      </c>
      <c r="F17" s="17">
        <f>100*((B17/B5)-1)</f>
        <v>26.776018735362996</v>
      </c>
      <c r="G17" s="17"/>
      <c r="H17" s="39">
        <f t="shared" si="1"/>
        <v>1.3714278958483272</v>
      </c>
    </row>
    <row r="18" spans="1:8">
      <c r="A18" s="16">
        <v>34912</v>
      </c>
      <c r="B18" s="24">
        <f>+geral!E451</f>
        <v>6260</v>
      </c>
      <c r="C18" s="17">
        <f t="shared" si="2"/>
        <v>114.61695781693145</v>
      </c>
      <c r="D18" s="17">
        <f t="shared" si="0"/>
        <v>-7.487730301610684</v>
      </c>
      <c r="E18" s="17">
        <f t="shared" si="3"/>
        <v>2.6229508196721207</v>
      </c>
      <c r="F18" s="17">
        <f t="shared" ref="F18:F81" si="4">100*((B18/B6)-1)</f>
        <v>14.616957816931443</v>
      </c>
      <c r="G18" s="17"/>
      <c r="H18" s="39">
        <f t="shared" si="1"/>
        <v>1.4824281150159744</v>
      </c>
    </row>
    <row r="19" spans="1:8">
      <c r="A19" s="16">
        <v>34943</v>
      </c>
      <c r="B19" s="24">
        <f>+geral!E452</f>
        <v>6325.71</v>
      </c>
      <c r="C19" s="17">
        <f t="shared" si="2"/>
        <v>115.82006968564559</v>
      </c>
      <c r="D19" s="17">
        <f t="shared" si="0"/>
        <v>1.049680511182105</v>
      </c>
      <c r="E19" s="17">
        <f t="shared" si="3"/>
        <v>3.700163934426226</v>
      </c>
      <c r="F19" s="17">
        <f t="shared" si="4"/>
        <v>18.016977611940298</v>
      </c>
      <c r="G19" s="17"/>
      <c r="H19" s="39">
        <f t="shared" si="1"/>
        <v>1.4670289975354545</v>
      </c>
    </row>
    <row r="20" spans="1:8">
      <c r="A20" s="16">
        <v>34973</v>
      </c>
      <c r="B20" s="24">
        <f>+geral!E453</f>
        <v>6140</v>
      </c>
      <c r="C20" s="17">
        <f t="shared" si="2"/>
        <v>112.41982763513724</v>
      </c>
      <c r="D20" s="17">
        <f t="shared" si="0"/>
        <v>-2.9357969303050568</v>
      </c>
      <c r="E20" s="17">
        <f t="shared" si="3"/>
        <v>0.65573770491802463</v>
      </c>
      <c r="F20" s="17">
        <f t="shared" si="4"/>
        <v>8.4824820226505828</v>
      </c>
      <c r="G20" s="17"/>
      <c r="H20" s="39">
        <f t="shared" si="1"/>
        <v>1.5114006514657981</v>
      </c>
    </row>
    <row r="21" spans="1:8">
      <c r="A21" s="16">
        <v>35004</v>
      </c>
      <c r="B21" s="24">
        <f>+geral!E454</f>
        <v>6174</v>
      </c>
      <c r="C21" s="17">
        <f t="shared" si="2"/>
        <v>113.04234785331226</v>
      </c>
      <c r="D21" s="17">
        <f t="shared" si="0"/>
        <v>0.5537459283387669</v>
      </c>
      <c r="E21" s="17">
        <f t="shared" si="3"/>
        <v>1.2131147540983545</v>
      </c>
      <c r="F21" s="17">
        <f t="shared" si="4"/>
        <v>9.4680851063829721</v>
      </c>
      <c r="G21" s="17"/>
      <c r="H21" s="39">
        <f t="shared" si="1"/>
        <v>1.5030774214447684</v>
      </c>
    </row>
    <row r="22" spans="1:8">
      <c r="A22" s="16">
        <v>35034</v>
      </c>
      <c r="B22" s="24">
        <f>+geral!E455</f>
        <v>6040</v>
      </c>
      <c r="C22" s="17">
        <f t="shared" si="2"/>
        <v>110.58888581697539</v>
      </c>
      <c r="D22" s="17">
        <f>100*((B22/B21)-1)</f>
        <v>-2.1703919663103366</v>
      </c>
      <c r="E22" s="17">
        <f t="shared" si="3"/>
        <v>-0.98360655737704805</v>
      </c>
      <c r="F22" s="17">
        <f t="shared" si="4"/>
        <v>0.46573519627410853</v>
      </c>
      <c r="G22" s="17"/>
      <c r="H22" s="39">
        <f t="shared" si="1"/>
        <v>1.5364238410596027</v>
      </c>
    </row>
    <row r="23" spans="1:8">
      <c r="A23" s="16">
        <v>35065</v>
      </c>
      <c r="B23" s="24">
        <f>+geral!G444</f>
        <v>6167.5</v>
      </c>
      <c r="C23" s="17">
        <f t="shared" si="2"/>
        <v>112.92333663513175</v>
      </c>
      <c r="D23" s="17">
        <f t="shared" si="0"/>
        <v>2.1109271523178874</v>
      </c>
      <c r="E23" s="17">
        <f>100*((B23/$B$23)-1)</f>
        <v>0</v>
      </c>
      <c r="F23" s="17">
        <f t="shared" si="4"/>
        <v>1.1065573770491888</v>
      </c>
      <c r="G23" s="17"/>
      <c r="H23" s="39">
        <f t="shared" si="1"/>
        <v>1.5046615322253749</v>
      </c>
    </row>
    <row r="24" spans="1:8">
      <c r="A24" s="16">
        <v>35096</v>
      </c>
      <c r="B24" s="24">
        <f>+geral!G445</f>
        <v>6175</v>
      </c>
      <c r="C24" s="17">
        <f t="shared" si="2"/>
        <v>113.06065727149388</v>
      </c>
      <c r="D24" s="17">
        <f t="shared" si="0"/>
        <v>0.1216051884880498</v>
      </c>
      <c r="E24" s="17">
        <f t="shared" ref="E24:E34" si="5">100*((B24/$B$23)-1)</f>
        <v>0.1216051884880498</v>
      </c>
      <c r="F24" s="17">
        <f t="shared" si="4"/>
        <v>-5.5810397553516804</v>
      </c>
      <c r="G24" s="17"/>
      <c r="H24" s="39">
        <f t="shared" si="1"/>
        <v>1.5028340080971661</v>
      </c>
    </row>
    <row r="25" spans="1:8">
      <c r="A25" s="16">
        <v>35125</v>
      </c>
      <c r="B25" s="24">
        <f>+geral!G446</f>
        <v>6225</v>
      </c>
      <c r="C25" s="17">
        <f t="shared" si="2"/>
        <v>113.9761281805748</v>
      </c>
      <c r="D25" s="17">
        <f t="shared" si="0"/>
        <v>0.80971659919029104</v>
      </c>
      <c r="E25" s="17">
        <f t="shared" si="5"/>
        <v>0.93230644507498184</v>
      </c>
      <c r="F25" s="17">
        <f t="shared" si="4"/>
        <v>-3.6377708978328149</v>
      </c>
      <c r="G25" s="17"/>
      <c r="H25" s="39">
        <f t="shared" si="1"/>
        <v>1.4907630522088353</v>
      </c>
    </row>
    <row r="26" spans="1:8">
      <c r="A26" s="16">
        <v>35156</v>
      </c>
      <c r="B26" s="24">
        <f>+geral!G447</f>
        <v>6112.5</v>
      </c>
      <c r="C26" s="17">
        <f t="shared" si="2"/>
        <v>111.91631863514273</v>
      </c>
      <c r="D26" s="17">
        <f t="shared" si="0"/>
        <v>-1.8072289156626509</v>
      </c>
      <c r="E26" s="17">
        <f t="shared" si="5"/>
        <v>-0.89177138224564301</v>
      </c>
      <c r="F26" s="17">
        <f t="shared" si="4"/>
        <v>-8.4269662921348303</v>
      </c>
      <c r="G26" s="17"/>
      <c r="H26" s="39">
        <f t="shared" si="1"/>
        <v>1.5182004089979551</v>
      </c>
    </row>
    <row r="27" spans="1:8">
      <c r="A27" s="16">
        <v>35186</v>
      </c>
      <c r="B27" s="24">
        <f>+geral!G448</f>
        <v>5987.5</v>
      </c>
      <c r="C27" s="17">
        <f t="shared" si="2"/>
        <v>109.62764136244043</v>
      </c>
      <c r="D27" s="17">
        <f t="shared" si="0"/>
        <v>-2.0449897750511203</v>
      </c>
      <c r="E27" s="17">
        <f t="shared" si="5"/>
        <v>-2.9185245237130064</v>
      </c>
      <c r="F27" s="17">
        <f t="shared" si="4"/>
        <v>-6.4453125</v>
      </c>
      <c r="G27" s="17"/>
      <c r="H27" s="39">
        <f t="shared" si="1"/>
        <v>1.5498956158663884</v>
      </c>
    </row>
    <row r="28" spans="1:8">
      <c r="A28" s="16">
        <v>35217</v>
      </c>
      <c r="B28" s="24">
        <f>+geral!G449</f>
        <v>6237.5</v>
      </c>
      <c r="C28" s="17">
        <f t="shared" si="2"/>
        <v>114.20499590784503</v>
      </c>
      <c r="D28" s="17">
        <f t="shared" si="0"/>
        <v>4.175365344467652</v>
      </c>
      <c r="E28" s="17">
        <f t="shared" si="5"/>
        <v>1.1349817592217315</v>
      </c>
      <c r="F28" s="17">
        <f t="shared" si="4"/>
        <v>-6.3438438438438443</v>
      </c>
      <c r="G28" s="17"/>
      <c r="H28" s="39">
        <f t="shared" si="1"/>
        <v>1.4877755511022044</v>
      </c>
    </row>
    <row r="29" spans="1:8">
      <c r="A29" s="16">
        <v>35247</v>
      </c>
      <c r="B29" s="24">
        <f>+geral!G450</f>
        <v>5883.33</v>
      </c>
      <c r="C29" s="17">
        <f t="shared" si="2"/>
        <v>107.72034927046123</v>
      </c>
      <c r="D29" s="17">
        <f t="shared" si="0"/>
        <v>-5.6780761523046124</v>
      </c>
      <c r="E29" s="17">
        <f t="shared" si="5"/>
        <v>-4.6075395216862542</v>
      </c>
      <c r="F29" s="17">
        <f t="shared" si="4"/>
        <v>-13.054279283606263</v>
      </c>
      <c r="G29" s="17">
        <f>100*(B29/B5-1)</f>
        <v>10.22632318501171</v>
      </c>
      <c r="H29" s="39">
        <f t="shared" si="1"/>
        <v>1.5773380041575094</v>
      </c>
    </row>
    <row r="30" spans="1:8">
      <c r="A30" s="16">
        <v>35278</v>
      </c>
      <c r="B30" s="24">
        <f>+geral!G451</f>
        <v>5990</v>
      </c>
      <c r="C30" s="17">
        <f t="shared" si="2"/>
        <v>109.67341490789447</v>
      </c>
      <c r="D30" s="17">
        <f t="shared" si="0"/>
        <v>1.8130888459426897</v>
      </c>
      <c r="E30" s="17">
        <f t="shared" si="5"/>
        <v>-2.8779894608836676</v>
      </c>
      <c r="F30" s="17">
        <f t="shared" si="4"/>
        <v>-4.3130990415335413</v>
      </c>
      <c r="G30" s="17">
        <f t="shared" ref="G30:G93" si="6">100*(B30/B6-1)</f>
        <v>9.6734149078944611</v>
      </c>
      <c r="H30" s="39">
        <f t="shared" si="1"/>
        <v>1.5492487479131887</v>
      </c>
    </row>
    <row r="31" spans="1:8">
      <c r="A31" s="16">
        <v>35309</v>
      </c>
      <c r="B31" s="24">
        <f>+geral!G452</f>
        <v>5960</v>
      </c>
      <c r="C31" s="17">
        <f t="shared" si="2"/>
        <v>109.12413236244592</v>
      </c>
      <c r="D31" s="17">
        <f t="shared" si="0"/>
        <v>-0.5008347245408995</v>
      </c>
      <c r="E31" s="17">
        <f t="shared" si="5"/>
        <v>-3.3644102148358335</v>
      </c>
      <c r="F31" s="17">
        <f t="shared" si="4"/>
        <v>-5.7813273134557193</v>
      </c>
      <c r="G31" s="17">
        <f t="shared" si="6"/>
        <v>11.194029850746269</v>
      </c>
      <c r="H31" s="39">
        <f t="shared" si="1"/>
        <v>1.5570469798657718</v>
      </c>
    </row>
    <row r="32" spans="1:8">
      <c r="A32" s="16">
        <v>35339</v>
      </c>
      <c r="B32" s="24">
        <f>+geral!G453</f>
        <v>6062.5</v>
      </c>
      <c r="C32" s="17">
        <f t="shared" si="2"/>
        <v>111.00084772606181</v>
      </c>
      <c r="D32" s="17">
        <f t="shared" si="0"/>
        <v>1.719798657718119</v>
      </c>
      <c r="E32" s="17">
        <f t="shared" si="5"/>
        <v>-1.7024726388325861</v>
      </c>
      <c r="F32" s="17">
        <f t="shared" si="4"/>
        <v>-1.2622149837133501</v>
      </c>
      <c r="G32" s="17">
        <f t="shared" si="6"/>
        <v>7.1131998798565466</v>
      </c>
      <c r="H32" s="39">
        <f t="shared" si="1"/>
        <v>1.5307216494845362</v>
      </c>
    </row>
    <row r="33" spans="1:8">
      <c r="A33" s="16">
        <v>35370</v>
      </c>
      <c r="B33" s="24">
        <f>+geral!G454</f>
        <v>6090</v>
      </c>
      <c r="C33" s="17">
        <f t="shared" si="2"/>
        <v>111.50435672605632</v>
      </c>
      <c r="D33" s="17">
        <f t="shared" si="0"/>
        <v>0.45360824742268768</v>
      </c>
      <c r="E33" s="17">
        <f t="shared" si="5"/>
        <v>-1.2565869477097702</v>
      </c>
      <c r="F33" s="17">
        <f t="shared" si="4"/>
        <v>-1.3605442176870763</v>
      </c>
      <c r="G33" s="17">
        <f t="shared" si="6"/>
        <v>7.9787234042553168</v>
      </c>
      <c r="H33" s="39">
        <f t="shared" si="1"/>
        <v>1.5238095238095237</v>
      </c>
    </row>
    <row r="34" spans="1:8">
      <c r="A34" s="16">
        <v>35400</v>
      </c>
      <c r="B34" s="24">
        <f>+geral!G455</f>
        <v>6125</v>
      </c>
      <c r="C34" s="17">
        <f t="shared" si="2"/>
        <v>112.14518636241296</v>
      </c>
      <c r="D34" s="17">
        <f t="shared" si="0"/>
        <v>0.57471264367816577</v>
      </c>
      <c r="E34" s="17">
        <f t="shared" si="5"/>
        <v>-0.68909606809890445</v>
      </c>
      <c r="F34" s="17">
        <f t="shared" si="4"/>
        <v>1.4072847682119249</v>
      </c>
      <c r="G34" s="17">
        <f t="shared" si="6"/>
        <v>1.8795741849634062</v>
      </c>
      <c r="H34" s="39">
        <f t="shared" si="1"/>
        <v>1.5151020408163265</v>
      </c>
    </row>
    <row r="35" spans="1:8">
      <c r="A35" s="16">
        <v>35431</v>
      </c>
      <c r="B35" s="24">
        <f>+geral!I444</f>
        <v>5912.5</v>
      </c>
      <c r="C35" s="17">
        <f t="shared" si="2"/>
        <v>108.25443499881904</v>
      </c>
      <c r="D35" s="17">
        <f t="shared" si="0"/>
        <v>-3.469387755102038</v>
      </c>
      <c r="E35" s="17">
        <f>100*((B35/$B$35)-1)</f>
        <v>0</v>
      </c>
      <c r="F35" s="17">
        <f t="shared" si="4"/>
        <v>-4.1345764085934373</v>
      </c>
      <c r="G35" s="17">
        <f t="shared" si="6"/>
        <v>-3.0737704918032738</v>
      </c>
      <c r="H35" s="39">
        <f t="shared" si="1"/>
        <v>1.569556025369979</v>
      </c>
    </row>
    <row r="36" spans="1:8">
      <c r="A36" s="16">
        <v>35462</v>
      </c>
      <c r="B36" s="24">
        <f>+geral!I445</f>
        <v>6137.5</v>
      </c>
      <c r="C36" s="17">
        <f t="shared" si="2"/>
        <v>112.37405408968318</v>
      </c>
      <c r="D36" s="17">
        <f t="shared" si="0"/>
        <v>3.8054968287526414</v>
      </c>
      <c r="E36" s="17">
        <f t="shared" ref="E36:E46" si="7">100*((B36/$B$35)-1)</f>
        <v>3.8054968287526414</v>
      </c>
      <c r="F36" s="17">
        <f t="shared" si="4"/>
        <v>-0.60728744939271273</v>
      </c>
      <c r="G36" s="17">
        <f t="shared" si="6"/>
        <v>-6.1544342507645293</v>
      </c>
      <c r="H36" s="39">
        <f t="shared" si="1"/>
        <v>1.5120162932790224</v>
      </c>
    </row>
    <row r="37" spans="1:8">
      <c r="A37" s="16">
        <v>35490</v>
      </c>
      <c r="B37" s="24">
        <f>+geral!I446</f>
        <v>6025</v>
      </c>
      <c r="C37" s="17">
        <f t="shared" si="2"/>
        <v>110.31424454425111</v>
      </c>
      <c r="D37" s="17">
        <f t="shared" si="0"/>
        <v>-1.8329938900203624</v>
      </c>
      <c r="E37" s="17">
        <f t="shared" si="7"/>
        <v>1.9027484143763207</v>
      </c>
      <c r="F37" s="17">
        <f t="shared" si="4"/>
        <v>-3.2128514056224855</v>
      </c>
      <c r="G37" s="17">
        <f t="shared" si="6"/>
        <v>-6.7337461300309602</v>
      </c>
      <c r="H37" s="39">
        <f t="shared" si="1"/>
        <v>1.5402489626556017</v>
      </c>
    </row>
    <row r="38" spans="1:8">
      <c r="A38" s="16">
        <v>35521</v>
      </c>
      <c r="B38" s="24">
        <f>+geral!I447</f>
        <v>5887.5</v>
      </c>
      <c r="C38" s="17">
        <f t="shared" si="2"/>
        <v>107.79669954427858</v>
      </c>
      <c r="D38" s="17">
        <f t="shared" si="0"/>
        <v>-2.2821576763485507</v>
      </c>
      <c r="E38" s="17">
        <f t="shared" si="7"/>
        <v>-0.42283298097252064</v>
      </c>
      <c r="F38" s="17">
        <f t="shared" si="4"/>
        <v>-3.6809815950920255</v>
      </c>
      <c r="G38" s="17">
        <f t="shared" si="6"/>
        <v>-11.79775280898876</v>
      </c>
      <c r="H38" s="39">
        <f t="shared" si="1"/>
        <v>1.5762208067940553</v>
      </c>
    </row>
    <row r="39" spans="1:8">
      <c r="A39" s="16">
        <v>35551</v>
      </c>
      <c r="B39" s="24">
        <f>+geral!I448</f>
        <v>6175</v>
      </c>
      <c r="C39" s="17">
        <f t="shared" si="2"/>
        <v>113.06065727149388</v>
      </c>
      <c r="D39" s="17">
        <f t="shared" si="0"/>
        <v>4.8832271762208057</v>
      </c>
      <c r="E39" s="17">
        <f t="shared" si="7"/>
        <v>4.4397463002114224</v>
      </c>
      <c r="F39" s="17">
        <f t="shared" si="4"/>
        <v>3.1315240083507279</v>
      </c>
      <c r="G39" s="17">
        <f t="shared" si="6"/>
        <v>-3.515625</v>
      </c>
      <c r="H39" s="39">
        <f t="shared" si="1"/>
        <v>1.5028340080971661</v>
      </c>
    </row>
    <row r="40" spans="1:8">
      <c r="A40" s="16">
        <v>35582</v>
      </c>
      <c r="B40" s="24">
        <f>+geral!I449</f>
        <v>6050</v>
      </c>
      <c r="C40" s="17">
        <f t="shared" si="2"/>
        <v>110.77197999879158</v>
      </c>
      <c r="D40" s="17">
        <f t="shared" si="0"/>
        <v>-2.0242914979757054</v>
      </c>
      <c r="E40" s="17">
        <f t="shared" si="7"/>
        <v>2.3255813953488413</v>
      </c>
      <c r="F40" s="17">
        <f t="shared" si="4"/>
        <v>-3.0060120240480992</v>
      </c>
      <c r="G40" s="17">
        <f t="shared" si="6"/>
        <v>-9.1591591591591577</v>
      </c>
      <c r="H40" s="39">
        <f t="shared" si="1"/>
        <v>1.5338842975206612</v>
      </c>
    </row>
    <row r="41" spans="1:8">
      <c r="A41" s="16">
        <v>35612</v>
      </c>
      <c r="B41" s="24">
        <f>+geral!I450</f>
        <v>6240</v>
      </c>
      <c r="C41" s="17">
        <f t="shared" si="2"/>
        <v>114.25076945329909</v>
      </c>
      <c r="D41" s="17">
        <f t="shared" si="0"/>
        <v>3.140495867768589</v>
      </c>
      <c r="E41" s="17">
        <f t="shared" si="7"/>
        <v>5.5391120507399583</v>
      </c>
      <c r="F41" s="17">
        <f t="shared" si="4"/>
        <v>6.0623830381773658</v>
      </c>
      <c r="G41" s="17">
        <f t="shared" si="6"/>
        <v>-7.7832966584745584</v>
      </c>
      <c r="H41" s="39">
        <f t="shared" si="1"/>
        <v>1.4871794871794872</v>
      </c>
    </row>
    <row r="42" spans="1:8">
      <c r="A42" s="16">
        <v>35643</v>
      </c>
      <c r="B42" s="24">
        <f>+geral!I451</f>
        <v>6220</v>
      </c>
      <c r="C42" s="17">
        <f t="shared" si="2"/>
        <v>113.88458108966671</v>
      </c>
      <c r="D42" s="17">
        <f t="shared" si="0"/>
        <v>-0.32051282051281937</v>
      </c>
      <c r="E42" s="17">
        <f t="shared" si="7"/>
        <v>5.2008456659619506</v>
      </c>
      <c r="F42" s="17">
        <f t="shared" si="4"/>
        <v>3.8397328881469184</v>
      </c>
      <c r="G42" s="17">
        <f t="shared" si="6"/>
        <v>-0.6389776357827448</v>
      </c>
      <c r="H42" s="39">
        <f t="shared" si="1"/>
        <v>1.4919614147909968</v>
      </c>
    </row>
    <row r="43" spans="1:8">
      <c r="A43" s="16">
        <v>35674</v>
      </c>
      <c r="B43" s="24">
        <f>+geral!I452</f>
        <v>6150</v>
      </c>
      <c r="C43" s="17">
        <f t="shared" si="2"/>
        <v>112.60292181695343</v>
      </c>
      <c r="D43" s="17">
        <f t="shared" si="0"/>
        <v>-1.12540192926045</v>
      </c>
      <c r="E43" s="17">
        <f t="shared" si="7"/>
        <v>4.0169133192389017</v>
      </c>
      <c r="F43" s="17">
        <f t="shared" si="4"/>
        <v>3.187919463087252</v>
      </c>
      <c r="G43" s="17">
        <f t="shared" si="6"/>
        <v>-2.7777119090189095</v>
      </c>
      <c r="H43" s="39">
        <f t="shared" si="1"/>
        <v>1.5089430894308944</v>
      </c>
    </row>
    <row r="44" spans="1:8">
      <c r="A44" s="16">
        <v>35704</v>
      </c>
      <c r="B44" s="24">
        <f>+geral!I453</f>
        <v>6280</v>
      </c>
      <c r="C44" s="17">
        <f t="shared" si="2"/>
        <v>114.98314618056382</v>
      </c>
      <c r="D44" s="17">
        <f t="shared" si="0"/>
        <v>2.1138211382113914</v>
      </c>
      <c r="E44" s="17">
        <f t="shared" si="7"/>
        <v>6.2156448202959735</v>
      </c>
      <c r="F44" s="17">
        <f t="shared" si="4"/>
        <v>3.5876288659793865</v>
      </c>
      <c r="G44" s="17">
        <f t="shared" si="6"/>
        <v>2.2801302931596101</v>
      </c>
      <c r="H44" s="39">
        <f t="shared" si="1"/>
        <v>1.4777070063694266</v>
      </c>
    </row>
    <row r="45" spans="1:8">
      <c r="A45" s="16">
        <v>35735</v>
      </c>
      <c r="B45" s="24">
        <f>+geral!I454</f>
        <v>6150</v>
      </c>
      <c r="C45" s="17">
        <f t="shared" si="2"/>
        <v>112.60292181695343</v>
      </c>
      <c r="D45" s="17">
        <f t="shared" si="0"/>
        <v>-2.070063694267521</v>
      </c>
      <c r="E45" s="17">
        <f t="shared" si="7"/>
        <v>4.0169133192389017</v>
      </c>
      <c r="F45" s="17">
        <f t="shared" si="4"/>
        <v>0.98522167487684609</v>
      </c>
      <c r="G45" s="17">
        <f t="shared" si="6"/>
        <v>-0.38872691933916625</v>
      </c>
      <c r="H45" s="39">
        <f t="shared" si="1"/>
        <v>1.5089430894308944</v>
      </c>
    </row>
    <row r="46" spans="1:8">
      <c r="A46" s="16">
        <v>35765</v>
      </c>
      <c r="B46" s="24">
        <f>+geral!I455</f>
        <v>6214</v>
      </c>
      <c r="C46" s="17">
        <f t="shared" si="2"/>
        <v>113.774724580577</v>
      </c>
      <c r="D46" s="17">
        <f t="shared" si="0"/>
        <v>1.0406504065040734</v>
      </c>
      <c r="E46" s="17">
        <f t="shared" si="7"/>
        <v>5.0993657505285395</v>
      </c>
      <c r="F46" s="17">
        <f t="shared" si="4"/>
        <v>1.4530612244898045</v>
      </c>
      <c r="G46" s="17">
        <f t="shared" si="6"/>
        <v>2.8807947019867441</v>
      </c>
      <c r="H46" s="39">
        <f t="shared" si="1"/>
        <v>1.4934019954940456</v>
      </c>
    </row>
    <row r="47" spans="1:8">
      <c r="A47" s="16">
        <v>35796</v>
      </c>
      <c r="B47" s="24">
        <f>+geral!K444</f>
        <v>6125</v>
      </c>
      <c r="C47" s="17">
        <f t="shared" si="2"/>
        <v>112.14518636241296</v>
      </c>
      <c r="D47" s="17">
        <f>100*((B47/B46)-1)</f>
        <v>-1.4322497586095939</v>
      </c>
      <c r="E47" s="17">
        <f>100*((B47/$B$47)-1)</f>
        <v>0</v>
      </c>
      <c r="F47" s="17">
        <f t="shared" si="4"/>
        <v>3.5940803382663811</v>
      </c>
      <c r="G47" s="17">
        <f t="shared" si="6"/>
        <v>-0.68909606809890445</v>
      </c>
      <c r="H47" s="39">
        <f t="shared" si="1"/>
        <v>1.5151020408163265</v>
      </c>
    </row>
    <row r="48" spans="1:8">
      <c r="A48" s="16">
        <v>35827</v>
      </c>
      <c r="B48" s="24">
        <f>+geral!K445</f>
        <v>6200</v>
      </c>
      <c r="C48" s="17">
        <f t="shared" si="2"/>
        <v>113.51839272603435</v>
      </c>
      <c r="D48" s="17">
        <f t="shared" si="0"/>
        <v>1.2244897959183598</v>
      </c>
      <c r="E48" s="17">
        <f t="shared" ref="E48:E58" si="8">100*((B48/$B$47)-1)</f>
        <v>1.2244897959183598</v>
      </c>
      <c r="F48" s="17">
        <f t="shared" si="4"/>
        <v>1.0183299389002087</v>
      </c>
      <c r="G48" s="17">
        <f t="shared" si="6"/>
        <v>0.40485829959513442</v>
      </c>
      <c r="H48" s="39">
        <f t="shared" si="1"/>
        <v>1.4967741935483871</v>
      </c>
    </row>
    <row r="49" spans="1:8">
      <c r="A49" s="16">
        <v>35855</v>
      </c>
      <c r="B49" s="24">
        <f>+geral!K446</f>
        <v>6225</v>
      </c>
      <c r="C49" s="17">
        <f t="shared" si="2"/>
        <v>113.9761281805748</v>
      </c>
      <c r="D49" s="17">
        <f t="shared" si="0"/>
        <v>0.40322580645162365</v>
      </c>
      <c r="E49" s="17">
        <f t="shared" si="8"/>
        <v>1.6326530612244872</v>
      </c>
      <c r="F49" s="17">
        <f t="shared" si="4"/>
        <v>3.3195020746888071</v>
      </c>
      <c r="G49" s="17">
        <f t="shared" si="6"/>
        <v>0</v>
      </c>
      <c r="H49" s="39">
        <f t="shared" si="1"/>
        <v>1.4907630522088353</v>
      </c>
    </row>
    <row r="50" spans="1:8">
      <c r="A50" s="16">
        <v>35886</v>
      </c>
      <c r="B50" s="24">
        <f>+geral!K447</f>
        <v>6426</v>
      </c>
      <c r="C50" s="17">
        <f t="shared" si="2"/>
        <v>117.65632123508011</v>
      </c>
      <c r="D50" s="17">
        <f t="shared" si="0"/>
        <v>3.2289156626505999</v>
      </c>
      <c r="E50" s="17">
        <f t="shared" si="8"/>
        <v>4.9142857142857155</v>
      </c>
      <c r="F50" s="17">
        <f t="shared" si="4"/>
        <v>9.1464968152866319</v>
      </c>
      <c r="G50" s="17">
        <f t="shared" si="6"/>
        <v>5.1288343558282268</v>
      </c>
      <c r="H50" s="39">
        <f t="shared" si="1"/>
        <v>1.4441332088390912</v>
      </c>
    </row>
    <row r="51" spans="1:8">
      <c r="A51" s="16">
        <v>35916</v>
      </c>
      <c r="B51" s="24">
        <f>+geral!K448</f>
        <v>6425</v>
      </c>
      <c r="C51" s="17">
        <f t="shared" si="2"/>
        <v>117.6380118168985</v>
      </c>
      <c r="D51" s="17">
        <f t="shared" si="0"/>
        <v>-1.5561780267658865E-2</v>
      </c>
      <c r="E51" s="17">
        <f t="shared" si="8"/>
        <v>4.8979591836734615</v>
      </c>
      <c r="F51" s="17">
        <f t="shared" si="4"/>
        <v>4.0485829959514108</v>
      </c>
      <c r="G51" s="17">
        <f t="shared" si="6"/>
        <v>7.3068893528183798</v>
      </c>
      <c r="H51" s="39">
        <f t="shared" si="1"/>
        <v>1.4443579766536965</v>
      </c>
    </row>
    <row r="52" spans="1:8">
      <c r="A52" s="16">
        <v>35947</v>
      </c>
      <c r="B52" s="24">
        <f>+geral!K449</f>
        <v>6383.33</v>
      </c>
      <c r="C52" s="17">
        <f t="shared" si="2"/>
        <v>116.87505836127045</v>
      </c>
      <c r="D52" s="17">
        <f t="shared" si="0"/>
        <v>-0.64856031128405212</v>
      </c>
      <c r="E52" s="17">
        <f t="shared" si="8"/>
        <v>4.2176326530612318</v>
      </c>
      <c r="F52" s="17">
        <f t="shared" si="4"/>
        <v>5.5095867768595097</v>
      </c>
      <c r="G52" s="17">
        <f t="shared" si="6"/>
        <v>2.3379559118236415</v>
      </c>
      <c r="H52" s="39">
        <f t="shared" si="1"/>
        <v>1.4537866599408147</v>
      </c>
    </row>
    <row r="53" spans="1:8">
      <c r="A53" s="16">
        <v>35977</v>
      </c>
      <c r="B53" s="24">
        <f>+geral!K450</f>
        <v>6358.33</v>
      </c>
      <c r="C53" s="17">
        <f t="shared" si="2"/>
        <v>116.41732290672999</v>
      </c>
      <c r="D53" s="17">
        <f t="shared" si="0"/>
        <v>-0.39164511313061201</v>
      </c>
      <c r="E53" s="17">
        <f t="shared" si="8"/>
        <v>3.8094693877551045</v>
      </c>
      <c r="F53" s="17">
        <f t="shared" si="4"/>
        <v>1.8963141025641006</v>
      </c>
      <c r="G53" s="17">
        <f t="shared" si="6"/>
        <v>8.0736589652458779</v>
      </c>
      <c r="H53" s="39">
        <f t="shared" si="1"/>
        <v>1.4595027310630306</v>
      </c>
    </row>
    <row r="54" spans="1:8">
      <c r="A54" s="16">
        <v>36008</v>
      </c>
      <c r="B54" s="24">
        <f>+geral!K451</f>
        <v>6360</v>
      </c>
      <c r="C54" s="17">
        <f t="shared" si="2"/>
        <v>116.44789963509329</v>
      </c>
      <c r="D54" s="17">
        <f t="shared" si="0"/>
        <v>2.6264758199090465E-2</v>
      </c>
      <c r="E54" s="17">
        <f t="shared" si="8"/>
        <v>3.8367346938775526</v>
      </c>
      <c r="F54" s="17">
        <f t="shared" si="4"/>
        <v>2.2508038585209</v>
      </c>
      <c r="G54" s="17">
        <f t="shared" si="6"/>
        <v>6.176961602671116</v>
      </c>
      <c r="H54" s="39">
        <f t="shared" si="1"/>
        <v>1.4591194968553458</v>
      </c>
    </row>
    <row r="55" spans="1:8">
      <c r="A55" s="16">
        <v>36039</v>
      </c>
      <c r="B55" s="24">
        <f>+geral!K452</f>
        <v>6315.83</v>
      </c>
      <c r="C55" s="17">
        <f t="shared" si="2"/>
        <v>115.6391726340112</v>
      </c>
      <c r="D55" s="17">
        <f t="shared" si="0"/>
        <v>-0.69449685534591632</v>
      </c>
      <c r="E55" s="17">
        <f t="shared" si="8"/>
        <v>3.115591836734688</v>
      </c>
      <c r="F55" s="17">
        <f t="shared" si="4"/>
        <v>2.696422764227635</v>
      </c>
      <c r="G55" s="17">
        <f t="shared" si="6"/>
        <v>5.9703020134228124</v>
      </c>
      <c r="H55" s="39">
        <f t="shared" si="1"/>
        <v>1.4693239051716085</v>
      </c>
    </row>
    <row r="56" spans="1:8">
      <c r="A56" s="16">
        <v>36069</v>
      </c>
      <c r="B56" s="24">
        <f>+geral!K453</f>
        <v>6300</v>
      </c>
      <c r="C56" s="17">
        <f t="shared" si="2"/>
        <v>115.34933454419618</v>
      </c>
      <c r="D56" s="17">
        <f t="shared" si="0"/>
        <v>-0.25064005839295911</v>
      </c>
      <c r="E56" s="17">
        <f t="shared" si="8"/>
        <v>2.857142857142847</v>
      </c>
      <c r="F56" s="17">
        <f t="shared" si="4"/>
        <v>0.31847133757962887</v>
      </c>
      <c r="G56" s="17">
        <f t="shared" si="6"/>
        <v>3.9175257731958846</v>
      </c>
      <c r="H56" s="39">
        <f t="shared" si="1"/>
        <v>1.4730158730158731</v>
      </c>
    </row>
    <row r="57" spans="1:8">
      <c r="A57" s="16">
        <v>36100</v>
      </c>
      <c r="B57" s="24">
        <f>+geral!K454</f>
        <v>6470</v>
      </c>
      <c r="C57" s="17">
        <f t="shared" si="2"/>
        <v>118.46193563507133</v>
      </c>
      <c r="D57" s="17">
        <f t="shared" si="0"/>
        <v>2.6984126984126888</v>
      </c>
      <c r="E57" s="17">
        <f t="shared" si="8"/>
        <v>5.6326530612244907</v>
      </c>
      <c r="F57" s="17">
        <f t="shared" si="4"/>
        <v>5.2032520325203224</v>
      </c>
      <c r="G57" s="17">
        <f t="shared" si="6"/>
        <v>6.2397372742200252</v>
      </c>
      <c r="H57" s="39">
        <f t="shared" si="1"/>
        <v>1.4343122102009274</v>
      </c>
    </row>
    <row r="58" spans="1:8">
      <c r="A58" s="16">
        <v>36130</v>
      </c>
      <c r="B58" s="24">
        <f>+geral!K455</f>
        <v>6260</v>
      </c>
      <c r="C58" s="17">
        <f t="shared" si="2"/>
        <v>114.61695781693145</v>
      </c>
      <c r="D58" s="17">
        <f t="shared" si="0"/>
        <v>-3.2457496136012343</v>
      </c>
      <c r="E58" s="17">
        <f t="shared" si="8"/>
        <v>2.2040816326530654</v>
      </c>
      <c r="F58" s="17">
        <f t="shared" si="4"/>
        <v>0.74026392018022857</v>
      </c>
      <c r="G58" s="17">
        <f t="shared" si="6"/>
        <v>2.2040816326530654</v>
      </c>
      <c r="H58" s="39">
        <f t="shared" si="1"/>
        <v>1.4824281150159744</v>
      </c>
    </row>
    <row r="59" spans="1:8">
      <c r="A59" s="16">
        <v>36161</v>
      </c>
      <c r="B59" s="24">
        <f>+geral!M444</f>
        <v>6300</v>
      </c>
      <c r="C59" s="17">
        <f t="shared" si="2"/>
        <v>115.34933454419618</v>
      </c>
      <c r="D59" s="17">
        <f t="shared" si="0"/>
        <v>0.6389776357827559</v>
      </c>
      <c r="E59" s="17">
        <f>100*((B59/$B$59)-1)</f>
        <v>0</v>
      </c>
      <c r="F59" s="17">
        <f t="shared" si="4"/>
        <v>2.857142857142847</v>
      </c>
      <c r="G59" s="17">
        <f t="shared" si="6"/>
        <v>6.5539112050740034</v>
      </c>
      <c r="H59" s="39">
        <f t="shared" si="1"/>
        <v>1.4730158730158731</v>
      </c>
    </row>
    <row r="60" spans="1:8">
      <c r="A60" s="16">
        <v>36192</v>
      </c>
      <c r="B60" s="24">
        <f>+geral!M445</f>
        <v>6636</v>
      </c>
      <c r="C60" s="17">
        <f t="shared" si="2"/>
        <v>121.50129905321998</v>
      </c>
      <c r="D60" s="17">
        <f t="shared" si="0"/>
        <v>5.3333333333333233</v>
      </c>
      <c r="E60" s="17">
        <f t="shared" ref="E60:E70" si="9">100*((B60/$B$59)-1)</f>
        <v>5.3333333333333233</v>
      </c>
      <c r="F60" s="17">
        <f t="shared" si="4"/>
        <v>7.0322580645161281</v>
      </c>
      <c r="G60" s="17">
        <f t="shared" si="6"/>
        <v>8.1221995926680215</v>
      </c>
      <c r="H60" s="39">
        <f t="shared" si="1"/>
        <v>1.3984327908378542</v>
      </c>
    </row>
    <row r="61" spans="1:8">
      <c r="A61" s="16">
        <v>36220</v>
      </c>
      <c r="B61" s="24">
        <f>+geral!M446</f>
        <v>6586</v>
      </c>
      <c r="C61" s="17">
        <f t="shared" si="2"/>
        <v>120.58582814413906</v>
      </c>
      <c r="D61" s="17">
        <f t="shared" si="0"/>
        <v>-0.75346594333935979</v>
      </c>
      <c r="E61" s="17">
        <f t="shared" si="9"/>
        <v>4.5396825396825324</v>
      </c>
      <c r="F61" s="17">
        <f t="shared" si="4"/>
        <v>5.7991967871485972</v>
      </c>
      <c r="G61" s="17">
        <f t="shared" si="6"/>
        <v>9.3112033195020807</v>
      </c>
      <c r="H61" s="39">
        <f t="shared" si="1"/>
        <v>1.4090494989371394</v>
      </c>
    </row>
    <row r="62" spans="1:8">
      <c r="A62" s="16">
        <v>36251</v>
      </c>
      <c r="B62" s="24">
        <f>+geral!M447</f>
        <v>6420</v>
      </c>
      <c r="C62" s="17">
        <f t="shared" si="2"/>
        <v>117.5464647259904</v>
      </c>
      <c r="D62" s="17">
        <f t="shared" si="0"/>
        <v>-2.5204980261160026</v>
      </c>
      <c r="E62" s="17">
        <f t="shared" si="9"/>
        <v>1.904761904761898</v>
      </c>
      <c r="F62" s="17">
        <f t="shared" si="4"/>
        <v>-9.3370681605975392E-2</v>
      </c>
      <c r="G62" s="17">
        <f t="shared" si="6"/>
        <v>9.0445859872611436</v>
      </c>
      <c r="H62" s="39">
        <f t="shared" si="1"/>
        <v>1.4454828660436136</v>
      </c>
    </row>
    <row r="63" spans="1:8">
      <c r="A63" s="16">
        <v>36281</v>
      </c>
      <c r="B63" s="24">
        <f>+geral!M448</f>
        <v>6250</v>
      </c>
      <c r="C63" s="17">
        <f t="shared" si="2"/>
        <v>114.43386363511526</v>
      </c>
      <c r="D63" s="17">
        <f t="shared" si="0"/>
        <v>-2.6479750778816147</v>
      </c>
      <c r="E63" s="17">
        <f t="shared" si="9"/>
        <v>-0.79365079365079083</v>
      </c>
      <c r="F63" s="17">
        <f t="shared" si="4"/>
        <v>-2.7237354085603127</v>
      </c>
      <c r="G63" s="17">
        <f t="shared" si="6"/>
        <v>1.2145748987854255</v>
      </c>
      <c r="H63" s="39">
        <f t="shared" si="1"/>
        <v>1.4847999999999999</v>
      </c>
    </row>
    <row r="64" spans="1:8">
      <c r="A64" s="16">
        <v>36312</v>
      </c>
      <c r="B64" s="24">
        <f>+geral!M449</f>
        <v>6634</v>
      </c>
      <c r="C64" s="17">
        <f t="shared" si="2"/>
        <v>121.46468021685675</v>
      </c>
      <c r="D64" s="17">
        <f t="shared" si="0"/>
        <v>6.1439999999999939</v>
      </c>
      <c r="E64" s="17">
        <f t="shared" si="9"/>
        <v>5.3015873015872961</v>
      </c>
      <c r="F64" s="17">
        <f t="shared" si="4"/>
        <v>3.9269472203379729</v>
      </c>
      <c r="G64" s="17">
        <f t="shared" si="6"/>
        <v>9.6528925619834727</v>
      </c>
      <c r="H64" s="39">
        <f t="shared" si="1"/>
        <v>1.3988543864938197</v>
      </c>
    </row>
    <row r="65" spans="1:8">
      <c r="A65" s="16">
        <v>36342</v>
      </c>
      <c r="B65" s="24">
        <f>+geral!M450</f>
        <v>6430</v>
      </c>
      <c r="C65" s="17">
        <f t="shared" si="2"/>
        <v>117.72955890780659</v>
      </c>
      <c r="D65" s="17">
        <f t="shared" si="0"/>
        <v>-3.0750678323786529</v>
      </c>
      <c r="E65" s="17">
        <f t="shared" si="9"/>
        <v>2.0634920634920562</v>
      </c>
      <c r="F65" s="17">
        <f t="shared" si="4"/>
        <v>1.1271827665440437</v>
      </c>
      <c r="G65" s="17">
        <f t="shared" si="6"/>
        <v>3.0448717948717841</v>
      </c>
      <c r="H65" s="39">
        <f t="shared" si="1"/>
        <v>1.4432348367029548</v>
      </c>
    </row>
    <row r="66" spans="1:8">
      <c r="A66" s="16">
        <v>36373</v>
      </c>
      <c r="B66" s="24">
        <f>+geral!M451</f>
        <v>6600</v>
      </c>
      <c r="C66" s="17">
        <f t="shared" si="2"/>
        <v>120.84215999868172</v>
      </c>
      <c r="D66" s="17">
        <f t="shared" si="0"/>
        <v>2.6438569206842955</v>
      </c>
      <c r="E66" s="17">
        <f t="shared" si="9"/>
        <v>4.7619047619047672</v>
      </c>
      <c r="F66" s="17">
        <f t="shared" si="4"/>
        <v>3.7735849056603765</v>
      </c>
      <c r="G66" s="17">
        <f t="shared" si="6"/>
        <v>6.1093247588424493</v>
      </c>
      <c r="H66" s="39">
        <f t="shared" si="1"/>
        <v>1.406060606060606</v>
      </c>
    </row>
    <row r="67" spans="1:8">
      <c r="A67" s="16">
        <v>36404</v>
      </c>
      <c r="B67" s="24">
        <f>+geral!M452</f>
        <v>6460</v>
      </c>
      <c r="C67" s="17">
        <f t="shared" si="2"/>
        <v>118.27884145325514</v>
      </c>
      <c r="D67" s="17">
        <f t="shared" si="0"/>
        <v>-2.1212121212121238</v>
      </c>
      <c r="E67" s="17">
        <f t="shared" si="9"/>
        <v>2.5396825396825307</v>
      </c>
      <c r="F67" s="17">
        <f t="shared" si="4"/>
        <v>2.2826770194891211</v>
      </c>
      <c r="G67" s="17">
        <f t="shared" si="6"/>
        <v>5.0406504065040547</v>
      </c>
      <c r="H67" s="39">
        <f t="shared" si="1"/>
        <v>1.436532507739938</v>
      </c>
    </row>
    <row r="68" spans="1:8">
      <c r="A68" s="16">
        <v>36434</v>
      </c>
      <c r="B68" s="24">
        <f>+geral!M453</f>
        <v>6250</v>
      </c>
      <c r="C68" s="17">
        <f t="shared" si="2"/>
        <v>114.43386363511526</v>
      </c>
      <c r="D68" s="17">
        <f t="shared" si="0"/>
        <v>-3.2507739938080538</v>
      </c>
      <c r="E68" s="17">
        <f t="shared" si="9"/>
        <v>-0.79365079365079083</v>
      </c>
      <c r="F68" s="17">
        <f t="shared" si="4"/>
        <v>-0.79365079365079083</v>
      </c>
      <c r="G68" s="17">
        <f t="shared" si="6"/>
        <v>-0.4777070063694322</v>
      </c>
      <c r="H68" s="39">
        <f t="shared" si="1"/>
        <v>1.4847999999999999</v>
      </c>
    </row>
    <row r="69" spans="1:8">
      <c r="A69" s="16">
        <v>36465</v>
      </c>
      <c r="B69" s="24">
        <f>+geral!M454</f>
        <v>6420</v>
      </c>
      <c r="C69" s="17">
        <f t="shared" si="2"/>
        <v>117.5464647259904</v>
      </c>
      <c r="D69" s="17">
        <f t="shared" si="0"/>
        <v>2.7199999999999891</v>
      </c>
      <c r="E69" s="17">
        <f t="shared" si="9"/>
        <v>1.904761904761898</v>
      </c>
      <c r="F69" s="17">
        <f t="shared" si="4"/>
        <v>-0.77279752704790816</v>
      </c>
      <c r="G69" s="17">
        <f t="shared" si="6"/>
        <v>4.3902439024390283</v>
      </c>
      <c r="H69" s="39">
        <f t="shared" si="1"/>
        <v>1.4454828660436136</v>
      </c>
    </row>
    <row r="70" spans="1:8">
      <c r="A70" s="16">
        <v>36495</v>
      </c>
      <c r="B70" s="24">
        <f>+geral!M455</f>
        <v>6640</v>
      </c>
      <c r="C70" s="17">
        <f t="shared" si="2"/>
        <v>121.57453672594646</v>
      </c>
      <c r="D70" s="17">
        <f t="shared" si="0"/>
        <v>3.4267912772585563</v>
      </c>
      <c r="E70" s="17">
        <f t="shared" si="9"/>
        <v>5.3968253968253999</v>
      </c>
      <c r="F70" s="17">
        <f t="shared" si="4"/>
        <v>6.0702875399361034</v>
      </c>
      <c r="G70" s="17">
        <f t="shared" si="6"/>
        <v>6.8554876086256877</v>
      </c>
      <c r="H70" s="39">
        <f t="shared" ref="H70:H108" si="10">$B$108/B70</f>
        <v>1.3975903614457832</v>
      </c>
    </row>
    <row r="71" spans="1:8">
      <c r="A71" s="16">
        <v>36526</v>
      </c>
      <c r="B71" s="24">
        <f>+geral!C464</f>
        <v>6460</v>
      </c>
      <c r="C71" s="17">
        <f t="shared" ref="C71:C88" si="11">100*B71/$B$6</f>
        <v>118.27884145325514</v>
      </c>
      <c r="D71" s="17">
        <f t="shared" ref="D71:D83" si="12">100*((B71/B70)-1)</f>
        <v>-2.7108433734939763</v>
      </c>
      <c r="E71" s="17">
        <f>100*((B71/$B$71)-1)</f>
        <v>0</v>
      </c>
      <c r="F71" s="17">
        <f t="shared" si="4"/>
        <v>2.5396825396825307</v>
      </c>
      <c r="G71" s="17">
        <f t="shared" si="6"/>
        <v>5.4693877551020398</v>
      </c>
      <c r="H71" s="39">
        <f t="shared" si="10"/>
        <v>1.436532507739938</v>
      </c>
    </row>
    <row r="72" spans="1:8">
      <c r="A72" s="16">
        <v>36557</v>
      </c>
      <c r="B72" s="24">
        <f>+geral!C465</f>
        <v>6620</v>
      </c>
      <c r="C72" s="17">
        <f t="shared" si="11"/>
        <v>121.20834836231408</v>
      </c>
      <c r="D72" s="17">
        <f t="shared" si="12"/>
        <v>2.4767801857585203</v>
      </c>
      <c r="E72" s="17">
        <f t="shared" ref="E72:E82" si="13">100*((B72/$B$71)-1)</f>
        <v>2.4767801857585203</v>
      </c>
      <c r="F72" s="17">
        <f t="shared" si="4"/>
        <v>-0.24110910186859735</v>
      </c>
      <c r="G72" s="17">
        <f t="shared" si="6"/>
        <v>6.7741935483870863</v>
      </c>
      <c r="H72" s="39">
        <f t="shared" si="10"/>
        <v>1.4018126888217524</v>
      </c>
    </row>
    <row r="73" spans="1:8">
      <c r="A73" s="16">
        <v>36586</v>
      </c>
      <c r="B73" s="24">
        <f>+geral!C466</f>
        <v>6700</v>
      </c>
      <c r="C73" s="17">
        <f t="shared" si="11"/>
        <v>122.67310181684357</v>
      </c>
      <c r="D73" s="17">
        <f t="shared" si="12"/>
        <v>1.2084592145015005</v>
      </c>
      <c r="E73" s="17">
        <f t="shared" si="13"/>
        <v>3.7151702786377694</v>
      </c>
      <c r="F73" s="17">
        <f t="shared" si="4"/>
        <v>1.7309444275736441</v>
      </c>
      <c r="G73" s="17">
        <f t="shared" si="6"/>
        <v>7.6305220883534197</v>
      </c>
      <c r="H73" s="39">
        <f t="shared" si="10"/>
        <v>1.3850746268656717</v>
      </c>
    </row>
    <row r="74" spans="1:8">
      <c r="A74" s="16">
        <v>36617</v>
      </c>
      <c r="B74" s="24">
        <f>+geral!C467</f>
        <v>6660</v>
      </c>
      <c r="C74" s="17">
        <f t="shared" si="11"/>
        <v>121.94072508957883</v>
      </c>
      <c r="D74" s="17">
        <f t="shared" si="12"/>
        <v>-0.59701492537312939</v>
      </c>
      <c r="E74" s="17">
        <f t="shared" si="13"/>
        <v>3.0959752321981338</v>
      </c>
      <c r="F74" s="17">
        <f t="shared" si="4"/>
        <v>3.7383177570093462</v>
      </c>
      <c r="G74" s="17">
        <f t="shared" si="6"/>
        <v>3.6414565826330625</v>
      </c>
      <c r="H74" s="39">
        <f t="shared" si="10"/>
        <v>1.3933933933933933</v>
      </c>
    </row>
    <row r="75" spans="1:8">
      <c r="A75" s="16">
        <v>36647</v>
      </c>
      <c r="B75" s="24">
        <f>+geral!C468</f>
        <v>8020</v>
      </c>
      <c r="C75" s="17">
        <f t="shared" si="11"/>
        <v>146.8415338165799</v>
      </c>
      <c r="D75" s="17">
        <f t="shared" si="12"/>
        <v>20.420420420420427</v>
      </c>
      <c r="E75" s="17">
        <f t="shared" si="13"/>
        <v>24.148606811145502</v>
      </c>
      <c r="F75" s="17">
        <f t="shared" si="4"/>
        <v>28.31999999999999</v>
      </c>
      <c r="G75" s="17">
        <f t="shared" si="6"/>
        <v>24.824902723735409</v>
      </c>
      <c r="H75" s="39">
        <f t="shared" si="10"/>
        <v>1.1571072319201996</v>
      </c>
    </row>
    <row r="76" spans="1:8">
      <c r="A76" s="16">
        <v>36678</v>
      </c>
      <c r="B76" s="24">
        <f>+geral!C469</f>
        <v>7923.5</v>
      </c>
      <c r="C76" s="17">
        <f t="shared" si="11"/>
        <v>145.07467496205373</v>
      </c>
      <c r="D76" s="17">
        <f t="shared" si="12"/>
        <v>-1.2032418952618418</v>
      </c>
      <c r="E76" s="17">
        <f t="shared" si="13"/>
        <v>22.654798761609918</v>
      </c>
      <c r="F76" s="17">
        <f t="shared" si="4"/>
        <v>19.437744950256253</v>
      </c>
      <c r="G76" s="17">
        <f t="shared" si="6"/>
        <v>24.128002155614702</v>
      </c>
      <c r="H76" s="39">
        <f t="shared" si="10"/>
        <v>1.1711995961380703</v>
      </c>
    </row>
    <row r="77" spans="1:8">
      <c r="A77" s="16">
        <v>36708</v>
      </c>
      <c r="B77" s="24">
        <f>+geral!C470</f>
        <v>8058.33</v>
      </c>
      <c r="C77" s="17">
        <f t="shared" si="11"/>
        <v>147.54333381548133</v>
      </c>
      <c r="D77" s="17">
        <f t="shared" si="12"/>
        <v>1.7016469994320715</v>
      </c>
      <c r="E77" s="17">
        <f t="shared" si="13"/>
        <v>24.74195046439629</v>
      </c>
      <c r="F77" s="17">
        <f t="shared" si="4"/>
        <v>25.32395023328149</v>
      </c>
      <c r="G77" s="17">
        <f t="shared" si="6"/>
        <v>26.736580202663273</v>
      </c>
      <c r="H77" s="39">
        <f t="shared" si="10"/>
        <v>1.1516033719145282</v>
      </c>
    </row>
    <row r="78" spans="1:8">
      <c r="A78" s="16">
        <v>36739</v>
      </c>
      <c r="B78" s="24">
        <f>+geral!C471</f>
        <v>7275</v>
      </c>
      <c r="C78" s="17">
        <f t="shared" si="11"/>
        <v>133.20101727127417</v>
      </c>
      <c r="D78" s="17">
        <f t="shared" si="12"/>
        <v>-9.7207485918298193</v>
      </c>
      <c r="E78" s="17">
        <f t="shared" si="13"/>
        <v>12.616099071207421</v>
      </c>
      <c r="F78" s="17">
        <f t="shared" si="4"/>
        <v>10.22727272727273</v>
      </c>
      <c r="G78" s="17">
        <f t="shared" si="6"/>
        <v>14.386792452830189</v>
      </c>
      <c r="H78" s="39">
        <f t="shared" si="10"/>
        <v>1.2756013745704466</v>
      </c>
    </row>
    <row r="79" spans="1:8">
      <c r="A79" s="16">
        <v>36770</v>
      </c>
      <c r="B79" s="24">
        <f>+geral!C472</f>
        <v>7366.67</v>
      </c>
      <c r="C79" s="17">
        <f t="shared" si="11"/>
        <v>134.87944163598314</v>
      </c>
      <c r="D79" s="17">
        <f t="shared" si="12"/>
        <v>1.2600687285223344</v>
      </c>
      <c r="E79" s="17">
        <f t="shared" si="13"/>
        <v>14.035139318885449</v>
      </c>
      <c r="F79" s="17">
        <f t="shared" si="4"/>
        <v>14.035139318885449</v>
      </c>
      <c r="G79" s="17">
        <f t="shared" si="6"/>
        <v>16.638193238260058</v>
      </c>
      <c r="H79" s="39">
        <f t="shared" si="10"/>
        <v>1.2597279367746892</v>
      </c>
    </row>
    <row r="80" spans="1:8">
      <c r="A80" s="16">
        <v>36800</v>
      </c>
      <c r="B80" s="24">
        <f>+geral!C473</f>
        <v>7443.33</v>
      </c>
      <c r="C80" s="17">
        <f t="shared" si="11"/>
        <v>136.28304163378601</v>
      </c>
      <c r="D80" s="17">
        <f t="shared" si="12"/>
        <v>1.040633013288228</v>
      </c>
      <c r="E80" s="17">
        <f t="shared" si="13"/>
        <v>15.221826625387003</v>
      </c>
      <c r="F80" s="17">
        <f t="shared" si="4"/>
        <v>19.093279999999989</v>
      </c>
      <c r="G80" s="17">
        <f t="shared" si="6"/>
        <v>18.148095238095241</v>
      </c>
      <c r="H80" s="39">
        <f t="shared" si="10"/>
        <v>1.2467538050845521</v>
      </c>
    </row>
    <row r="81" spans="1:8">
      <c r="A81" s="16">
        <v>36831</v>
      </c>
      <c r="B81" s="24">
        <f>+geral!C474</f>
        <v>7375</v>
      </c>
      <c r="C81" s="17">
        <f t="shared" si="11"/>
        <v>135.03195908943601</v>
      </c>
      <c r="D81" s="17">
        <f t="shared" si="12"/>
        <v>-0.91800309807572589</v>
      </c>
      <c r="E81" s="17">
        <f t="shared" si="13"/>
        <v>14.16408668730651</v>
      </c>
      <c r="F81" s="17">
        <f t="shared" si="4"/>
        <v>14.875389408099693</v>
      </c>
      <c r="G81" s="17">
        <f t="shared" si="6"/>
        <v>13.987635239567231</v>
      </c>
      <c r="H81" s="39">
        <f t="shared" si="10"/>
        <v>1.2583050847457626</v>
      </c>
    </row>
    <row r="82" spans="1:8">
      <c r="A82" s="16">
        <v>36861</v>
      </c>
      <c r="B82" s="24">
        <f>+geral!C475</f>
        <v>7050</v>
      </c>
      <c r="C82" s="17">
        <f t="shared" si="11"/>
        <v>129.08139818041002</v>
      </c>
      <c r="D82" s="17">
        <f t="shared" si="12"/>
        <v>-4.4067796610169463</v>
      </c>
      <c r="E82" s="17">
        <f t="shared" si="13"/>
        <v>9.1331269349845137</v>
      </c>
      <c r="F82" s="17">
        <f t="shared" ref="F82:F87" si="14">100*((B82/B70)-1)</f>
        <v>6.1746987951807331</v>
      </c>
      <c r="G82" s="17">
        <f t="shared" si="6"/>
        <v>12.619808306709256</v>
      </c>
      <c r="H82" s="39">
        <f t="shared" si="10"/>
        <v>1.3163120567375886</v>
      </c>
    </row>
    <row r="83" spans="1:8">
      <c r="A83" s="16">
        <v>36892</v>
      </c>
      <c r="B83" s="24">
        <f>+geral!E464</f>
        <v>7260</v>
      </c>
      <c r="C83" s="17">
        <f t="shared" si="11"/>
        <v>132.9263759985499</v>
      </c>
      <c r="D83" s="17">
        <f t="shared" si="12"/>
        <v>2.9787234042553123</v>
      </c>
      <c r="E83" s="17">
        <f t="shared" ref="E83:E88" si="15">100*((B83/$B$83)-1)</f>
        <v>0</v>
      </c>
      <c r="F83" s="17">
        <f t="shared" si="14"/>
        <v>12.383900928792579</v>
      </c>
      <c r="G83" s="17">
        <f t="shared" si="6"/>
        <v>15.238095238095228</v>
      </c>
      <c r="H83" s="39">
        <f t="shared" si="10"/>
        <v>1.278236914600551</v>
      </c>
    </row>
    <row r="84" spans="1:8">
      <c r="A84" s="16">
        <v>36923</v>
      </c>
      <c r="B84" s="24">
        <f>+geral!E465</f>
        <v>7250</v>
      </c>
      <c r="C84" s="17">
        <f t="shared" si="11"/>
        <v>132.74328181673371</v>
      </c>
      <c r="D84" s="17">
        <f t="shared" ref="D84:D89" si="16">100*((B84/B83)-1)</f>
        <v>-0.13774104683195176</v>
      </c>
      <c r="E84" s="17">
        <f t="shared" si="15"/>
        <v>-0.13774104683195176</v>
      </c>
      <c r="F84" s="17">
        <f t="shared" si="14"/>
        <v>9.5166163141993998</v>
      </c>
      <c r="G84" s="17">
        <f t="shared" si="6"/>
        <v>9.252561784207348</v>
      </c>
      <c r="H84" s="39">
        <f t="shared" si="10"/>
        <v>1.28</v>
      </c>
    </row>
    <row r="85" spans="1:8">
      <c r="A85" s="16">
        <v>36951</v>
      </c>
      <c r="B85" s="24">
        <f>+geral!E466</f>
        <v>7112.5</v>
      </c>
      <c r="C85" s="17">
        <f t="shared" si="11"/>
        <v>130.22573681676118</v>
      </c>
      <c r="D85" s="17">
        <f t="shared" si="16"/>
        <v>-1.8965517241379293</v>
      </c>
      <c r="E85" s="17">
        <f t="shared" si="15"/>
        <v>-2.0316804407713551</v>
      </c>
      <c r="F85" s="17">
        <f t="shared" si="14"/>
        <v>6.1567164179104461</v>
      </c>
      <c r="G85" s="17">
        <f t="shared" si="6"/>
        <v>7.9942301852414133</v>
      </c>
      <c r="H85" s="39">
        <f t="shared" si="10"/>
        <v>1.3047451669595782</v>
      </c>
    </row>
    <row r="86" spans="1:8">
      <c r="A86" s="16">
        <v>36982</v>
      </c>
      <c r="B86" s="24">
        <f>+geral!E467</f>
        <v>7270</v>
      </c>
      <c r="C86" s="17">
        <f t="shared" si="11"/>
        <v>133.10947018036609</v>
      </c>
      <c r="D86" s="17">
        <f t="shared" si="16"/>
        <v>2.2144112478031719</v>
      </c>
      <c r="E86" s="17">
        <f t="shared" si="15"/>
        <v>0.13774104683195176</v>
      </c>
      <c r="F86" s="17">
        <f t="shared" si="14"/>
        <v>9.1591591591591701</v>
      </c>
      <c r="G86" s="17">
        <f t="shared" si="6"/>
        <v>13.239875389408095</v>
      </c>
      <c r="H86" s="39">
        <f t="shared" si="10"/>
        <v>1.2764786795048142</v>
      </c>
    </row>
    <row r="87" spans="1:8">
      <c r="A87" s="20">
        <v>37012</v>
      </c>
      <c r="B87" s="27">
        <f>+geral!E468</f>
        <v>7375</v>
      </c>
      <c r="C87" s="22">
        <f t="shared" si="11"/>
        <v>135.03195908943601</v>
      </c>
      <c r="D87" s="22">
        <f t="shared" si="16"/>
        <v>1.4442916093535096</v>
      </c>
      <c r="E87" s="22">
        <f t="shared" si="15"/>
        <v>1.5840220385674897</v>
      </c>
      <c r="F87" s="22">
        <f t="shared" si="14"/>
        <v>-8.0423940149625945</v>
      </c>
      <c r="G87" s="17">
        <f t="shared" si="6"/>
        <v>17.999999999999993</v>
      </c>
      <c r="H87" s="39">
        <f t="shared" si="10"/>
        <v>1.2583050847457626</v>
      </c>
    </row>
    <row r="88" spans="1:8">
      <c r="A88" s="28">
        <v>37043</v>
      </c>
      <c r="B88" s="27">
        <f>+geral!E469</f>
        <v>7375</v>
      </c>
      <c r="C88" s="22">
        <f t="shared" si="11"/>
        <v>135.03195908943601</v>
      </c>
      <c r="D88" s="22">
        <f t="shared" si="16"/>
        <v>0</v>
      </c>
      <c r="E88" s="22">
        <f t="shared" si="15"/>
        <v>1.5840220385674897</v>
      </c>
      <c r="F88" s="22">
        <f t="shared" ref="F88:F93" si="17">100*((B88/B76)-1)</f>
        <v>-6.9224458888117679</v>
      </c>
      <c r="G88" s="17">
        <f t="shared" si="6"/>
        <v>11.169731685257766</v>
      </c>
      <c r="H88" s="39">
        <f t="shared" si="10"/>
        <v>1.2583050847457626</v>
      </c>
    </row>
    <row r="89" spans="1:8">
      <c r="A89" s="28">
        <v>37073</v>
      </c>
      <c r="B89" s="27">
        <f>+geral!E470</f>
        <v>7260</v>
      </c>
      <c r="C89" s="22">
        <f t="shared" ref="C89:C108" si="18">100*B89/$B$6</f>
        <v>132.9263759985499</v>
      </c>
      <c r="D89" s="22">
        <f t="shared" si="16"/>
        <v>-1.5593220338983027</v>
      </c>
      <c r="E89" s="22">
        <f t="shared" ref="E89:E94" si="19">100*((B89/$B$83)-1)</f>
        <v>0</v>
      </c>
      <c r="F89" s="22">
        <f t="shared" si="17"/>
        <v>-9.9068913782384129</v>
      </c>
      <c r="G89" s="17">
        <f t="shared" si="6"/>
        <v>12.908242612752719</v>
      </c>
      <c r="H89" s="39">
        <f t="shared" si="10"/>
        <v>1.278236914600551</v>
      </c>
    </row>
    <row r="90" spans="1:8">
      <c r="A90" s="16">
        <v>37104</v>
      </c>
      <c r="B90" s="24">
        <f>+geral!E471</f>
        <v>7283</v>
      </c>
      <c r="C90" s="17">
        <f t="shared" si="18"/>
        <v>133.34749261672712</v>
      </c>
      <c r="D90" s="17">
        <f t="shared" ref="D90:D95" si="20">100*((B90/B89)-1)</f>
        <v>0.31680440771348906</v>
      </c>
      <c r="E90" s="17">
        <f t="shared" si="19"/>
        <v>0.31680440771348906</v>
      </c>
      <c r="F90" s="17">
        <f t="shared" si="17"/>
        <v>0.10996563573884011</v>
      </c>
      <c r="G90" s="17">
        <f t="shared" si="6"/>
        <v>10.348484848484851</v>
      </c>
      <c r="H90" s="39">
        <f t="shared" si="10"/>
        <v>1.2742001922284774</v>
      </c>
    </row>
    <row r="91" spans="1:8">
      <c r="A91" s="16">
        <v>37135</v>
      </c>
      <c r="B91" s="24">
        <f>+geral!E472</f>
        <v>7280</v>
      </c>
      <c r="C91" s="17">
        <f t="shared" si="18"/>
        <v>133.29256436218225</v>
      </c>
      <c r="D91" s="17">
        <f t="shared" si="20"/>
        <v>-4.1191816559105199E-2</v>
      </c>
      <c r="E91" s="17">
        <f t="shared" si="19"/>
        <v>0.27548209366390353</v>
      </c>
      <c r="F91" s="17">
        <f t="shared" si="17"/>
        <v>-1.1765153047442078</v>
      </c>
      <c r="G91" s="17">
        <f t="shared" si="6"/>
        <v>12.693498452012374</v>
      </c>
      <c r="H91" s="39">
        <f t="shared" si="10"/>
        <v>1.2747252747252746</v>
      </c>
    </row>
    <row r="92" spans="1:8">
      <c r="A92" s="26">
        <v>37165</v>
      </c>
      <c r="B92" s="24">
        <f>+geral!E473</f>
        <v>7420</v>
      </c>
      <c r="C92" s="17">
        <f t="shared" si="18"/>
        <v>135.85588290760884</v>
      </c>
      <c r="D92" s="17">
        <f t="shared" si="20"/>
        <v>1.9230769230769162</v>
      </c>
      <c r="E92" s="17">
        <f t="shared" si="19"/>
        <v>2.2038567493112948</v>
      </c>
      <c r="F92" s="17">
        <f t="shared" si="17"/>
        <v>-0.31343498138601822</v>
      </c>
      <c r="G92" s="17">
        <f t="shared" si="6"/>
        <v>18.720000000000002</v>
      </c>
      <c r="H92" s="39">
        <f t="shared" si="10"/>
        <v>1.2506738544474394</v>
      </c>
    </row>
    <row r="93" spans="1:8">
      <c r="A93" s="26">
        <v>37196</v>
      </c>
      <c r="B93" s="24">
        <f>+geral!E474</f>
        <v>6920</v>
      </c>
      <c r="C93" s="17">
        <f t="shared" si="18"/>
        <v>126.70117381679962</v>
      </c>
      <c r="D93" s="17">
        <f t="shared" si="20"/>
        <v>-6.7385444743935263</v>
      </c>
      <c r="E93" s="17">
        <f t="shared" si="19"/>
        <v>-4.6831955922865038</v>
      </c>
      <c r="F93" s="17">
        <f t="shared" si="17"/>
        <v>-6.1694915254237319</v>
      </c>
      <c r="G93" s="17">
        <f t="shared" si="6"/>
        <v>7.7881619937694602</v>
      </c>
      <c r="H93" s="39">
        <f t="shared" si="10"/>
        <v>1.3410404624277457</v>
      </c>
    </row>
    <row r="94" spans="1:8">
      <c r="A94" s="26">
        <v>37226</v>
      </c>
      <c r="B94" s="24">
        <f>+geral!E475</f>
        <v>7240</v>
      </c>
      <c r="C94" s="17">
        <f t="shared" si="18"/>
        <v>132.56018763491753</v>
      </c>
      <c r="D94" s="17">
        <f t="shared" si="20"/>
        <v>4.6242774566473965</v>
      </c>
      <c r="E94" s="17">
        <f t="shared" si="19"/>
        <v>-0.27548209366391463</v>
      </c>
      <c r="F94" s="17">
        <f t="shared" ref="F94:F99" si="21">100*((B94/B82)-1)</f>
        <v>2.6950354609929006</v>
      </c>
      <c r="G94" s="17">
        <f t="shared" ref="G94:G107" si="22">100*(B94/B70-1)</f>
        <v>9.0361445783132552</v>
      </c>
      <c r="H94" s="39">
        <f t="shared" si="10"/>
        <v>1.281767955801105</v>
      </c>
    </row>
    <row r="95" spans="1:8">
      <c r="A95" s="26">
        <v>37257</v>
      </c>
      <c r="B95" s="24">
        <f>+geral!G464</f>
        <v>6960</v>
      </c>
      <c r="C95" s="17">
        <f t="shared" si="18"/>
        <v>127.43355054406436</v>
      </c>
      <c r="D95" s="17">
        <f t="shared" si="20"/>
        <v>-3.8674033149171283</v>
      </c>
      <c r="E95" s="17">
        <f t="shared" ref="E95:E100" si="23">100*((B95/$B$94)-1)</f>
        <v>-3.8674033149171283</v>
      </c>
      <c r="F95" s="17">
        <f t="shared" si="21"/>
        <v>-4.1322314049586755</v>
      </c>
      <c r="G95" s="17">
        <f t="shared" si="22"/>
        <v>7.7399380804953566</v>
      </c>
      <c r="H95" s="39">
        <f t="shared" si="10"/>
        <v>1.3333333333333333</v>
      </c>
    </row>
    <row r="96" spans="1:8">
      <c r="A96" s="26">
        <v>37288</v>
      </c>
      <c r="B96" s="24">
        <f>+geral!G465</f>
        <v>7420</v>
      </c>
      <c r="C96" s="17">
        <f t="shared" si="18"/>
        <v>135.85588290760884</v>
      </c>
      <c r="D96" s="17">
        <f t="shared" ref="D96:D101" si="24">100*((B96/B95)-1)</f>
        <v>6.6091954022988508</v>
      </c>
      <c r="E96" s="17">
        <f t="shared" si="23"/>
        <v>2.4861878453038777</v>
      </c>
      <c r="F96" s="17">
        <f t="shared" si="21"/>
        <v>2.3448275862068879</v>
      </c>
      <c r="G96" s="17">
        <f t="shared" si="22"/>
        <v>12.084592145015115</v>
      </c>
      <c r="H96" s="39">
        <f t="shared" si="10"/>
        <v>1.2506738544474394</v>
      </c>
    </row>
    <row r="97" spans="1:8">
      <c r="A97" s="26">
        <v>37316</v>
      </c>
      <c r="B97" s="24">
        <f>+geral!G466</f>
        <v>7200</v>
      </c>
      <c r="C97" s="17">
        <f t="shared" si="18"/>
        <v>131.82781090765278</v>
      </c>
      <c r="D97" s="17">
        <f t="shared" si="24"/>
        <v>-2.9649595687331498</v>
      </c>
      <c r="E97" s="17">
        <f t="shared" si="23"/>
        <v>-0.55248618784530246</v>
      </c>
      <c r="F97" s="17">
        <f t="shared" si="21"/>
        <v>1.2302284710017597</v>
      </c>
      <c r="G97" s="17">
        <f t="shared" si="22"/>
        <v>7.4626865671641784</v>
      </c>
      <c r="H97" s="39">
        <f t="shared" si="10"/>
        <v>1.288888888888889</v>
      </c>
    </row>
    <row r="98" spans="1:8">
      <c r="A98" s="26">
        <v>37347</v>
      </c>
      <c r="B98" s="24">
        <f>+geral!G467</f>
        <v>7460</v>
      </c>
      <c r="C98" s="17">
        <f t="shared" si="18"/>
        <v>136.58825963487359</v>
      </c>
      <c r="D98" s="17">
        <f t="shared" si="24"/>
        <v>3.6111111111111205</v>
      </c>
      <c r="E98" s="17">
        <f t="shared" si="23"/>
        <v>3.0386740331491691</v>
      </c>
      <c r="F98" s="17">
        <f t="shared" si="21"/>
        <v>2.6134800550206227</v>
      </c>
      <c r="G98" s="17">
        <f t="shared" si="22"/>
        <v>12.012012012012008</v>
      </c>
      <c r="H98" s="39">
        <f t="shared" si="10"/>
        <v>1.2439678284182305</v>
      </c>
    </row>
    <row r="99" spans="1:8">
      <c r="A99" s="26">
        <v>37377</v>
      </c>
      <c r="B99" s="24">
        <f>+geral!G468</f>
        <v>7140</v>
      </c>
      <c r="C99" s="17">
        <f t="shared" si="18"/>
        <v>130.72924581675568</v>
      </c>
      <c r="D99" s="17">
        <f t="shared" si="24"/>
        <v>-4.2895442359249358</v>
      </c>
      <c r="E99" s="17">
        <f t="shared" si="23"/>
        <v>-1.3812154696132617</v>
      </c>
      <c r="F99" s="17">
        <f t="shared" si="21"/>
        <v>-3.186440677966107</v>
      </c>
      <c r="G99" s="17">
        <f t="shared" si="22"/>
        <v>-10.97256857855362</v>
      </c>
      <c r="H99" s="39">
        <f t="shared" si="10"/>
        <v>1.2997198879551821</v>
      </c>
    </row>
    <row r="100" spans="1:8">
      <c r="A100" s="26">
        <v>37408</v>
      </c>
      <c r="B100" s="24">
        <f>+geral!G469</f>
        <v>7800</v>
      </c>
      <c r="C100" s="17">
        <f t="shared" si="18"/>
        <v>142.81346181662386</v>
      </c>
      <c r="D100" s="17">
        <f t="shared" si="24"/>
        <v>9.2436974789915851</v>
      </c>
      <c r="E100" s="17">
        <f t="shared" si="23"/>
        <v>7.7348066298342566</v>
      </c>
      <c r="F100" s="17">
        <f t="shared" ref="F100:F105" si="25">100*((B100/B88)-1)</f>
        <v>5.7627118644067776</v>
      </c>
      <c r="G100" s="17">
        <f t="shared" si="22"/>
        <v>-1.5586546349466768</v>
      </c>
      <c r="H100" s="39">
        <f t="shared" si="10"/>
        <v>1.1897435897435897</v>
      </c>
    </row>
    <row r="101" spans="1:8">
      <c r="A101" s="26">
        <v>37438</v>
      </c>
      <c r="B101" s="24">
        <f>+geral!G470</f>
        <v>7789.2</v>
      </c>
      <c r="C101" s="17">
        <f t="shared" si="18"/>
        <v>142.61572010026237</v>
      </c>
      <c r="D101" s="17">
        <f t="shared" si="24"/>
        <v>-0.13846153846154285</v>
      </c>
      <c r="E101" s="17">
        <f t="shared" ref="E101:E106" si="26">100*((B101/$B$94)-1)</f>
        <v>7.5856353591160275</v>
      </c>
      <c r="F101" s="17">
        <f t="shared" si="25"/>
        <v>7.2892561983471049</v>
      </c>
      <c r="G101" s="17">
        <f t="shared" si="22"/>
        <v>-3.3397738737430682</v>
      </c>
      <c r="H101" s="39">
        <f t="shared" si="10"/>
        <v>1.1913932111128229</v>
      </c>
    </row>
    <row r="102" spans="1:8">
      <c r="A102" s="26">
        <v>37469</v>
      </c>
      <c r="B102" s="24">
        <f>+geral!G471</f>
        <v>7480</v>
      </c>
      <c r="C102" s="17">
        <f t="shared" si="18"/>
        <v>136.95444799850594</v>
      </c>
      <c r="D102" s="17">
        <f t="shared" ref="D102:D107" si="27">100*((B102/B101)-1)</f>
        <v>-3.9695989318543567</v>
      </c>
      <c r="E102" s="17">
        <f t="shared" si="26"/>
        <v>3.3149171270718147</v>
      </c>
      <c r="F102" s="17">
        <f t="shared" si="25"/>
        <v>2.7049292873815745</v>
      </c>
      <c r="G102" s="17">
        <f t="shared" si="22"/>
        <v>2.8178694158075501</v>
      </c>
      <c r="H102" s="39">
        <f t="shared" si="10"/>
        <v>1.2406417112299466</v>
      </c>
    </row>
    <row r="103" spans="1:8">
      <c r="A103" s="26">
        <v>37500</v>
      </c>
      <c r="B103" s="24">
        <f>+geral!G472</f>
        <v>7300</v>
      </c>
      <c r="C103" s="17">
        <f t="shared" si="18"/>
        <v>133.65875272581462</v>
      </c>
      <c r="D103" s="17">
        <f t="shared" si="27"/>
        <v>-2.4064171122994638</v>
      </c>
      <c r="E103" s="17">
        <f t="shared" si="26"/>
        <v>0.82872928176795924</v>
      </c>
      <c r="F103" s="17">
        <f t="shared" si="25"/>
        <v>0.27472527472527375</v>
      </c>
      <c r="G103" s="17">
        <f t="shared" si="22"/>
        <v>-0.9050222149220799</v>
      </c>
      <c r="H103" s="39">
        <f t="shared" si="10"/>
        <v>1.2712328767123289</v>
      </c>
    </row>
    <row r="104" spans="1:8">
      <c r="A104" s="26">
        <v>37530</v>
      </c>
      <c r="B104" s="24">
        <f>+geral!G473</f>
        <v>8200</v>
      </c>
      <c r="C104" s="17">
        <f t="shared" si="18"/>
        <v>150.13722908927122</v>
      </c>
      <c r="D104" s="17">
        <f t="shared" si="27"/>
        <v>12.328767123287676</v>
      </c>
      <c r="E104" s="17">
        <f t="shared" si="26"/>
        <v>13.259668508287303</v>
      </c>
      <c r="F104" s="17">
        <f t="shared" si="25"/>
        <v>10.512129380053903</v>
      </c>
      <c r="G104" s="17">
        <f t="shared" si="22"/>
        <v>10.165745707902252</v>
      </c>
      <c r="H104" s="39">
        <f t="shared" si="10"/>
        <v>1.1317073170731706</v>
      </c>
    </row>
    <row r="105" spans="1:8">
      <c r="A105" s="26">
        <v>37561</v>
      </c>
      <c r="B105" s="24">
        <f>+geral!G474</f>
        <v>8260</v>
      </c>
      <c r="C105" s="17">
        <f t="shared" si="18"/>
        <v>151.23579418016834</v>
      </c>
      <c r="D105" s="17">
        <f t="shared" si="27"/>
        <v>0.73170731707317138</v>
      </c>
      <c r="E105" s="17">
        <f t="shared" si="26"/>
        <v>14.08839779005524</v>
      </c>
      <c r="F105" s="17">
        <f t="shared" si="25"/>
        <v>19.364161849710992</v>
      </c>
      <c r="G105" s="17">
        <f t="shared" si="22"/>
        <v>12.000000000000011</v>
      </c>
      <c r="H105" s="39">
        <f t="shared" si="10"/>
        <v>1.1234866828087167</v>
      </c>
    </row>
    <row r="106" spans="1:8">
      <c r="A106" s="16">
        <v>37591</v>
      </c>
      <c r="B106" s="24">
        <f>+geral!G475</f>
        <v>8480</v>
      </c>
      <c r="C106" s="17">
        <f t="shared" si="18"/>
        <v>155.26386618012438</v>
      </c>
      <c r="D106" s="17">
        <f t="shared" si="27"/>
        <v>2.6634382566586012</v>
      </c>
      <c r="E106" s="17">
        <f t="shared" si="26"/>
        <v>17.12707182320441</v>
      </c>
      <c r="F106" s="17">
        <f>100*((B106/B94)-1)</f>
        <v>17.12707182320441</v>
      </c>
      <c r="G106" s="17">
        <f t="shared" si="22"/>
        <v>20.283687943262407</v>
      </c>
      <c r="H106" s="39">
        <f t="shared" si="10"/>
        <v>1.0943396226415094</v>
      </c>
    </row>
    <row r="107" spans="1:8">
      <c r="A107" s="16">
        <v>37622</v>
      </c>
      <c r="B107" s="24">
        <f>+geral!I464</f>
        <v>9780</v>
      </c>
      <c r="C107" s="17">
        <f t="shared" si="18"/>
        <v>179.06610981622836</v>
      </c>
      <c r="D107" s="17">
        <f t="shared" si="27"/>
        <v>15.330188679245293</v>
      </c>
      <c r="E107" s="17">
        <f>100*((B107/$B$106)-1)</f>
        <v>15.330188679245293</v>
      </c>
      <c r="F107" s="17">
        <f>100*((B107/B95)-1)</f>
        <v>40.517241379310342</v>
      </c>
      <c r="G107" s="17">
        <f t="shared" si="22"/>
        <v>34.710743801652889</v>
      </c>
      <c r="H107" s="39">
        <f t="shared" si="10"/>
        <v>0.94887525562372188</v>
      </c>
    </row>
    <row r="108" spans="1:8">
      <c r="A108" s="16">
        <v>37288</v>
      </c>
      <c r="B108" s="24">
        <f>+geral!I465</f>
        <v>9280</v>
      </c>
      <c r="C108" s="17">
        <f t="shared" si="18"/>
        <v>169.91140072541916</v>
      </c>
      <c r="D108" s="17">
        <f>100*((B108/B107)-1)</f>
        <v>-5.112474437627812</v>
      </c>
      <c r="E108" s="17">
        <f>100*((B108/$B$106)-1)</f>
        <v>9.4339622641509422</v>
      </c>
      <c r="F108" s="17">
        <f>100*((B108/B96)-1)</f>
        <v>25.067385444743941</v>
      </c>
      <c r="G108" s="17">
        <f>100*(B108/B84-1)</f>
        <v>28.000000000000004</v>
      </c>
      <c r="H108" s="39">
        <f t="shared" si="10"/>
        <v>1</v>
      </c>
    </row>
    <row r="109" spans="1:8" ht="15.75">
      <c r="A109" s="5"/>
      <c r="B109" s="45" t="s">
        <v>164</v>
      </c>
      <c r="C109" s="46"/>
      <c r="D109" s="5"/>
      <c r="E109" s="5"/>
      <c r="F109" s="5"/>
      <c r="G109" s="5"/>
    </row>
    <row r="110" spans="1:8">
      <c r="A110" s="5"/>
      <c r="B110" s="5"/>
      <c r="C110" s="5"/>
      <c r="D110" s="5"/>
      <c r="E110" s="5"/>
      <c r="F110" s="5"/>
      <c r="G110" s="5"/>
    </row>
    <row r="111" spans="1:8">
      <c r="A111" s="5"/>
      <c r="B111" s="5"/>
      <c r="C111" s="5"/>
      <c r="D111" s="5"/>
      <c r="E111" s="5"/>
      <c r="F111" s="5"/>
      <c r="G111" s="5"/>
    </row>
    <row r="112" spans="1:8">
      <c r="A112" s="5"/>
      <c r="B112" s="5"/>
      <c r="C112" s="5"/>
      <c r="D112" s="5"/>
      <c r="E112" s="5"/>
      <c r="F112" s="5"/>
      <c r="G112" s="5"/>
    </row>
    <row r="113" spans="1:7">
      <c r="A113" s="5"/>
      <c r="B113" s="5"/>
      <c r="C113" s="5"/>
      <c r="D113" s="5"/>
      <c r="E113" s="5"/>
      <c r="F113" s="5"/>
      <c r="G113" s="5"/>
    </row>
    <row r="114" spans="1:7">
      <c r="A114" s="5"/>
      <c r="B114" s="5"/>
      <c r="C114" s="5"/>
      <c r="D114" s="5"/>
      <c r="E114" s="5"/>
      <c r="F114" s="5"/>
      <c r="G114" s="5"/>
    </row>
    <row r="115" spans="1:7">
      <c r="A115" s="5"/>
      <c r="B115" s="5"/>
      <c r="C115" s="5"/>
      <c r="D115" s="5"/>
      <c r="E115" s="5"/>
      <c r="F115" s="5"/>
      <c r="G115" s="5"/>
    </row>
    <row r="116" spans="1:7">
      <c r="A116" s="5"/>
      <c r="B116" s="5"/>
      <c r="C116" s="5"/>
      <c r="D116" s="5"/>
      <c r="E116" s="5"/>
      <c r="F116" s="5"/>
      <c r="G116" s="5"/>
    </row>
    <row r="117" spans="1:7">
      <c r="A117" s="5"/>
      <c r="B117" s="5"/>
      <c r="C117" s="5"/>
      <c r="D117" s="5"/>
      <c r="E117" s="5"/>
      <c r="F117" s="5"/>
      <c r="G117" s="5"/>
    </row>
    <row r="118" spans="1:7">
      <c r="A118" s="5"/>
      <c r="B118" s="5"/>
      <c r="C118" s="5"/>
      <c r="D118" s="5"/>
      <c r="E118" s="5"/>
      <c r="F118" s="5"/>
      <c r="G118" s="5"/>
    </row>
    <row r="119" spans="1:7">
      <c r="A119" s="5"/>
      <c r="B119" s="5"/>
      <c r="C119" s="5"/>
      <c r="D119" s="5"/>
      <c r="E119" s="5"/>
      <c r="F119" s="5"/>
      <c r="G119" s="5"/>
    </row>
    <row r="120" spans="1:7">
      <c r="A120" s="5"/>
      <c r="B120" s="5"/>
      <c r="C120" s="5"/>
      <c r="D120" s="5"/>
      <c r="E120" s="5"/>
      <c r="F120" s="5"/>
      <c r="G120" s="5"/>
    </row>
    <row r="121" spans="1:7">
      <c r="A121" s="5"/>
      <c r="B121" s="5"/>
      <c r="C121" s="5"/>
      <c r="D121" s="5"/>
      <c r="E121" s="5"/>
      <c r="F121" s="5"/>
      <c r="G121" s="5"/>
    </row>
    <row r="122" spans="1:7">
      <c r="A122" s="5"/>
      <c r="B122" s="5"/>
      <c r="C122" s="5"/>
      <c r="D122" s="5"/>
      <c r="E122" s="5"/>
      <c r="F122" s="5"/>
      <c r="G122" s="5"/>
    </row>
    <row r="123" spans="1:7">
      <c r="A123" s="5"/>
      <c r="B123" s="5"/>
      <c r="C123" s="5"/>
      <c r="D123" s="5"/>
      <c r="E123" s="5"/>
      <c r="F123" s="5"/>
      <c r="G123" s="5"/>
    </row>
    <row r="124" spans="1:7">
      <c r="A124" s="5"/>
      <c r="B124" s="5"/>
      <c r="C124" s="5"/>
      <c r="D124" s="5"/>
      <c r="E124" s="5"/>
      <c r="F124" s="5"/>
      <c r="G124" s="5"/>
    </row>
    <row r="125" spans="1:7">
      <c r="A125" s="5"/>
      <c r="B125" s="5"/>
      <c r="C125" s="5"/>
      <c r="D125" s="5"/>
      <c r="E125" s="5"/>
      <c r="F125" s="5"/>
      <c r="G125" s="5"/>
    </row>
    <row r="126" spans="1:7">
      <c r="A126" s="5"/>
      <c r="B126" s="5"/>
      <c r="C126" s="5"/>
      <c r="D126" s="5"/>
      <c r="E126" s="5"/>
      <c r="F126" s="5"/>
      <c r="G126" s="5"/>
    </row>
    <row r="127" spans="1:7">
      <c r="A127" s="5"/>
      <c r="B127" s="5"/>
      <c r="C127" s="5"/>
      <c r="D127" s="5"/>
      <c r="E127" s="5"/>
      <c r="F127" s="5"/>
      <c r="G127" s="5"/>
    </row>
    <row r="128" spans="1:7">
      <c r="A128" s="5"/>
      <c r="B128" s="5"/>
      <c r="C128" s="5"/>
      <c r="D128" s="5"/>
      <c r="E128" s="5"/>
      <c r="F128" s="5"/>
      <c r="G128" s="5"/>
    </row>
    <row r="129" spans="1:7">
      <c r="A129" s="5"/>
      <c r="B129" s="5"/>
      <c r="C129" s="5"/>
      <c r="D129" s="5"/>
      <c r="E129" s="5"/>
      <c r="F129" s="5"/>
      <c r="G129" s="5"/>
    </row>
    <row r="130" spans="1:7">
      <c r="A130" s="5"/>
      <c r="B130" s="5"/>
      <c r="C130" s="5"/>
      <c r="D130" s="5"/>
      <c r="E130" s="5"/>
      <c r="F130" s="5"/>
      <c r="G130" s="5"/>
    </row>
    <row r="131" spans="1:7">
      <c r="A131" s="5"/>
      <c r="B131" s="5"/>
      <c r="C131" s="5"/>
      <c r="D131" s="5"/>
      <c r="E131" s="5"/>
      <c r="F131" s="5"/>
      <c r="G131" s="5"/>
    </row>
    <row r="132" spans="1:7">
      <c r="A132" s="5"/>
      <c r="B132" s="5"/>
      <c r="C132" s="5"/>
      <c r="D132" s="5"/>
      <c r="E132" s="5"/>
      <c r="F132" s="5"/>
      <c r="G132" s="5"/>
    </row>
    <row r="133" spans="1:7">
      <c r="A133" s="5"/>
      <c r="B133" s="5"/>
      <c r="C133" s="5"/>
      <c r="D133" s="5"/>
      <c r="E133" s="5"/>
      <c r="F133" s="5"/>
      <c r="G133" s="5"/>
    </row>
    <row r="134" spans="1:7">
      <c r="A134" s="5"/>
      <c r="B134" s="5"/>
      <c r="C134" s="5"/>
      <c r="D134" s="5"/>
      <c r="E134" s="5"/>
      <c r="F134" s="5"/>
      <c r="G134" s="5"/>
    </row>
    <row r="135" spans="1:7">
      <c r="A135" s="5"/>
      <c r="B135" s="5"/>
      <c r="C135" s="5"/>
      <c r="D135" s="5"/>
      <c r="E135" s="5"/>
      <c r="F135" s="5"/>
      <c r="G135" s="5"/>
    </row>
    <row r="136" spans="1:7">
      <c r="A136" s="5"/>
      <c r="B136" s="5"/>
      <c r="C136" s="5"/>
      <c r="D136" s="5"/>
      <c r="E136" s="5"/>
      <c r="F136" s="5"/>
      <c r="G136" s="5"/>
    </row>
    <row r="137" spans="1:7">
      <c r="A137" s="5"/>
      <c r="B137" s="5"/>
      <c r="C137" s="5"/>
      <c r="D137" s="5"/>
      <c r="E137" s="5"/>
      <c r="F137" s="5"/>
      <c r="G137" s="5"/>
    </row>
    <row r="138" spans="1:7">
      <c r="A138" s="5"/>
      <c r="B138" s="5"/>
      <c r="C138" s="5"/>
      <c r="D138" s="5"/>
      <c r="E138" s="5"/>
      <c r="F138" s="5"/>
      <c r="G138" s="5"/>
    </row>
    <row r="139" spans="1:7">
      <c r="A139" s="5"/>
      <c r="B139" s="5"/>
      <c r="C139" s="5"/>
      <c r="D139" s="5"/>
      <c r="E139" s="5"/>
      <c r="F139" s="5"/>
      <c r="G139" s="5"/>
    </row>
    <row r="140" spans="1:7">
      <c r="A140" s="5"/>
      <c r="B140" s="5"/>
      <c r="C140" s="5"/>
      <c r="D140" s="5"/>
      <c r="E140" s="5"/>
      <c r="F140" s="5"/>
      <c r="G140" s="5"/>
    </row>
    <row r="141" spans="1:7">
      <c r="A141" s="5"/>
      <c r="B141" s="5"/>
      <c r="C141" s="5"/>
      <c r="D141" s="5"/>
      <c r="E141" s="5"/>
      <c r="F141" s="5"/>
      <c r="G141" s="5"/>
    </row>
    <row r="142" spans="1:7">
      <c r="A142" s="5"/>
      <c r="B142" s="5"/>
      <c r="C142" s="5"/>
      <c r="D142" s="5"/>
      <c r="E142" s="5"/>
      <c r="F142" s="5"/>
      <c r="G142" s="5"/>
    </row>
    <row r="143" spans="1:7">
      <c r="A143" s="5"/>
      <c r="B143" s="5"/>
      <c r="C143" s="5"/>
      <c r="D143" s="5"/>
      <c r="E143" s="5"/>
      <c r="F143" s="5"/>
      <c r="G143" s="5"/>
    </row>
    <row r="144" spans="1:7">
      <c r="A144" s="5"/>
      <c r="B144" s="5"/>
      <c r="C144" s="5"/>
      <c r="D144" s="5"/>
      <c r="E144" s="5"/>
      <c r="F144" s="5"/>
      <c r="G144" s="5"/>
    </row>
    <row r="145" spans="1:7">
      <c r="A145" s="5"/>
      <c r="B145" s="5"/>
      <c r="C145" s="5"/>
      <c r="D145" s="5"/>
      <c r="E145" s="5"/>
      <c r="F145" s="5"/>
      <c r="G145" s="5"/>
    </row>
    <row r="146" spans="1:7">
      <c r="A146" s="5"/>
      <c r="B146" s="5"/>
      <c r="C146" s="5"/>
      <c r="D146" s="5"/>
      <c r="E146" s="5"/>
      <c r="F146" s="5"/>
      <c r="G146" s="5"/>
    </row>
    <row r="147" spans="1:7">
      <c r="A147" s="5"/>
      <c r="B147" s="5"/>
      <c r="C147" s="5"/>
      <c r="D147" s="5"/>
      <c r="E147" s="5"/>
      <c r="F147" s="5"/>
      <c r="G147" s="5"/>
    </row>
    <row r="148" spans="1:7">
      <c r="A148" s="5"/>
      <c r="B148" s="5"/>
      <c r="C148" s="5"/>
      <c r="D148" s="5"/>
      <c r="E148" s="5"/>
      <c r="F148" s="5"/>
      <c r="G148" s="5"/>
    </row>
    <row r="149" spans="1:7">
      <c r="A149" s="5"/>
      <c r="B149" s="5"/>
      <c r="C149" s="5"/>
      <c r="D149" s="5"/>
      <c r="E149" s="5"/>
      <c r="F149" s="5"/>
      <c r="G149" s="5"/>
    </row>
    <row r="150" spans="1:7">
      <c r="A150" s="5"/>
      <c r="B150" s="5"/>
      <c r="C150" s="5"/>
      <c r="D150" s="5"/>
      <c r="E150" s="5"/>
      <c r="F150" s="5"/>
      <c r="G150" s="5"/>
    </row>
    <row r="151" spans="1:7">
      <c r="A151" s="5"/>
      <c r="B151" s="5"/>
      <c r="C151" s="5"/>
      <c r="D151" s="5"/>
      <c r="E151" s="5"/>
      <c r="F151" s="5"/>
      <c r="G151" s="5"/>
    </row>
    <row r="152" spans="1:7">
      <c r="A152" s="5"/>
      <c r="B152" s="5"/>
      <c r="C152" s="5"/>
      <c r="D152" s="5"/>
      <c r="E152" s="5"/>
      <c r="F152" s="5"/>
      <c r="G152" s="5"/>
    </row>
    <row r="153" spans="1:7">
      <c r="A153" s="5"/>
      <c r="B153" s="5"/>
      <c r="C153" s="5"/>
      <c r="D153" s="5"/>
      <c r="E153" s="5"/>
      <c r="F153" s="5"/>
      <c r="G153" s="5"/>
    </row>
    <row r="154" spans="1:7">
      <c r="A154" s="5"/>
      <c r="B154" s="5"/>
      <c r="C154" s="5"/>
      <c r="D154" s="5"/>
      <c r="E154" s="5"/>
      <c r="F154" s="5"/>
      <c r="G154" s="5"/>
    </row>
    <row r="155" spans="1:7">
      <c r="A155" s="5"/>
      <c r="B155" s="5"/>
      <c r="C155" s="5"/>
      <c r="D155" s="5"/>
      <c r="E155" s="5"/>
      <c r="F155" s="5"/>
      <c r="G155" s="5"/>
    </row>
    <row r="156" spans="1:7">
      <c r="A156" s="5"/>
      <c r="B156" s="5"/>
      <c r="C156" s="5"/>
      <c r="D156" s="5"/>
      <c r="E156" s="5"/>
      <c r="F156" s="5"/>
      <c r="G156" s="5"/>
    </row>
    <row r="157" spans="1:7">
      <c r="A157" s="5"/>
      <c r="B157" s="5"/>
      <c r="C157" s="5"/>
      <c r="D157" s="5"/>
      <c r="E157" s="5"/>
      <c r="F157" s="5"/>
      <c r="G157" s="5"/>
    </row>
    <row r="158" spans="1:7">
      <c r="A158" s="5"/>
      <c r="B158" s="5"/>
      <c r="C158" s="5"/>
      <c r="D158" s="5"/>
      <c r="E158" s="5"/>
      <c r="F158" s="5"/>
      <c r="G158" s="5"/>
    </row>
    <row r="159" spans="1:7">
      <c r="A159" s="5"/>
      <c r="B159" s="5"/>
      <c r="C159" s="5"/>
      <c r="D159" s="5"/>
      <c r="E159" s="5"/>
      <c r="F159" s="5"/>
      <c r="G159" s="5"/>
    </row>
    <row r="160" spans="1:7">
      <c r="A160" s="5"/>
      <c r="B160" s="5"/>
      <c r="C160" s="5"/>
      <c r="D160" s="5"/>
      <c r="E160" s="5"/>
      <c r="F160" s="5"/>
      <c r="G160" s="5"/>
    </row>
    <row r="161" spans="1:7">
      <c r="A161" s="5"/>
      <c r="B161" s="5"/>
      <c r="C161" s="5"/>
      <c r="D161" s="5"/>
      <c r="E161" s="5"/>
      <c r="F161" s="5"/>
      <c r="G161" s="5"/>
    </row>
    <row r="162" spans="1:7">
      <c r="A162" s="5"/>
      <c r="B162" s="5"/>
      <c r="C162" s="5"/>
      <c r="D162" s="5"/>
      <c r="E162" s="5"/>
      <c r="F162" s="5"/>
      <c r="G162" s="5"/>
    </row>
    <row r="163" spans="1:7">
      <c r="A163" s="5"/>
      <c r="B163" s="5"/>
      <c r="C163" s="5"/>
      <c r="D163" s="5"/>
      <c r="E163" s="5"/>
      <c r="F163" s="5"/>
      <c r="G163" s="5"/>
    </row>
    <row r="164" spans="1:7">
      <c r="A164" s="5"/>
      <c r="B164" s="5"/>
      <c r="C164" s="5"/>
      <c r="D164" s="5"/>
      <c r="E164" s="5"/>
      <c r="F164" s="5"/>
      <c r="G164" s="5"/>
    </row>
    <row r="165" spans="1:7">
      <c r="A165" s="5"/>
      <c r="B165" s="5"/>
      <c r="C165" s="5"/>
      <c r="D165" s="5"/>
      <c r="E165" s="5"/>
      <c r="F165" s="5"/>
      <c r="G165" s="5"/>
    </row>
    <row r="166" spans="1:7">
      <c r="A166" s="5"/>
      <c r="B166" s="5"/>
      <c r="C166" s="5"/>
      <c r="D166" s="5"/>
      <c r="E166" s="5"/>
      <c r="F166" s="5"/>
      <c r="G166" s="5"/>
    </row>
    <row r="167" spans="1:7">
      <c r="A167" s="5"/>
      <c r="B167" s="5"/>
      <c r="C167" s="5"/>
      <c r="D167" s="5"/>
      <c r="E167" s="5"/>
      <c r="F167" s="5"/>
      <c r="G167" s="5"/>
    </row>
    <row r="168" spans="1:7">
      <c r="A168" s="5"/>
      <c r="B168" s="5"/>
      <c r="C168" s="5"/>
      <c r="D168" s="5"/>
      <c r="E168" s="5"/>
      <c r="F168" s="5"/>
      <c r="G168" s="5"/>
    </row>
    <row r="169" spans="1:7">
      <c r="A169" s="5"/>
      <c r="B169" s="5"/>
      <c r="C169" s="5"/>
      <c r="D169" s="5"/>
      <c r="E169" s="5"/>
      <c r="F169" s="5"/>
      <c r="G169" s="5"/>
    </row>
    <row r="170" spans="1:7">
      <c r="A170" s="5"/>
      <c r="B170" s="5"/>
      <c r="C170" s="5"/>
      <c r="D170" s="5"/>
      <c r="E170" s="5"/>
      <c r="F170" s="5"/>
      <c r="G170" s="5"/>
    </row>
    <row r="171" spans="1:7">
      <c r="A171" s="5"/>
      <c r="B171" s="5"/>
      <c r="C171" s="5"/>
      <c r="D171" s="5"/>
      <c r="E171" s="5"/>
      <c r="F171" s="5"/>
      <c r="G171" s="5"/>
    </row>
    <row r="172" spans="1:7">
      <c r="A172" s="5"/>
      <c r="B172" s="5"/>
      <c r="C172" s="5"/>
      <c r="D172" s="5"/>
      <c r="E172" s="5"/>
      <c r="F172" s="5"/>
      <c r="G172" s="5"/>
    </row>
    <row r="173" spans="1:7">
      <c r="A173" s="5"/>
      <c r="B173" s="5"/>
      <c r="C173" s="5"/>
      <c r="D173" s="5"/>
      <c r="E173" s="5"/>
      <c r="F173" s="5"/>
      <c r="G173" s="5"/>
    </row>
    <row r="174" spans="1:7">
      <c r="A174" s="5"/>
      <c r="B174" s="5"/>
      <c r="C174" s="5"/>
      <c r="D174" s="5"/>
      <c r="E174" s="5"/>
      <c r="F174" s="5"/>
      <c r="G174" s="5"/>
    </row>
    <row r="175" spans="1:7">
      <c r="A175" s="5"/>
      <c r="B175" s="5"/>
      <c r="C175" s="5"/>
      <c r="D175" s="5"/>
      <c r="E175" s="5"/>
      <c r="F175" s="5"/>
      <c r="G175" s="5"/>
    </row>
    <row r="176" spans="1:7">
      <c r="A176" s="5"/>
      <c r="B176" s="5"/>
      <c r="C176" s="5"/>
      <c r="D176" s="5"/>
      <c r="E176" s="5"/>
      <c r="F176" s="5"/>
      <c r="G176" s="5"/>
    </row>
    <row r="177" spans="1:7">
      <c r="A177" s="5"/>
      <c r="B177" s="5"/>
      <c r="C177" s="5"/>
      <c r="D177" s="5"/>
      <c r="E177" s="5"/>
      <c r="F177" s="5"/>
      <c r="G177" s="5"/>
    </row>
    <row r="178" spans="1:7">
      <c r="A178" s="5"/>
      <c r="B178" s="5"/>
      <c r="C178" s="5"/>
      <c r="D178" s="5"/>
      <c r="E178" s="5"/>
      <c r="F178" s="5"/>
      <c r="G178" s="5"/>
    </row>
    <row r="179" spans="1:7">
      <c r="A179" s="5"/>
      <c r="B179" s="5"/>
      <c r="C179" s="5"/>
      <c r="D179" s="5"/>
      <c r="E179" s="5"/>
      <c r="F179" s="5"/>
      <c r="G179" s="5"/>
    </row>
    <row r="180" spans="1:7">
      <c r="A180" s="5"/>
      <c r="B180" s="5"/>
      <c r="C180" s="5"/>
      <c r="D180" s="5"/>
      <c r="E180" s="5"/>
      <c r="F180" s="5"/>
      <c r="G180" s="5"/>
    </row>
    <row r="181" spans="1:7">
      <c r="A181" s="5"/>
      <c r="B181" s="5"/>
      <c r="C181" s="5"/>
      <c r="D181" s="5"/>
      <c r="E181" s="5"/>
      <c r="F181" s="5"/>
      <c r="G181" s="5"/>
    </row>
    <row r="182" spans="1:7">
      <c r="A182" s="5"/>
      <c r="B182" s="5"/>
      <c r="C182" s="5"/>
      <c r="D182" s="5"/>
      <c r="E182" s="5"/>
      <c r="F182" s="5"/>
      <c r="G182" s="5"/>
    </row>
    <row r="183" spans="1:7">
      <c r="A183" s="5"/>
      <c r="B183" s="5"/>
      <c r="C183" s="5"/>
      <c r="D183" s="5"/>
      <c r="E183" s="5"/>
      <c r="F183" s="5"/>
      <c r="G183" s="5"/>
    </row>
    <row r="184" spans="1:7">
      <c r="A184" s="5"/>
      <c r="B184" s="5"/>
      <c r="C184" s="5"/>
      <c r="D184" s="5"/>
      <c r="E184" s="5"/>
      <c r="F184" s="5"/>
      <c r="G184" s="5"/>
    </row>
    <row r="185" spans="1:7">
      <c r="A185" s="5"/>
      <c r="B185" s="5"/>
      <c r="C185" s="5"/>
      <c r="D185" s="5"/>
      <c r="E185" s="5"/>
      <c r="F185" s="5"/>
      <c r="G185" s="5"/>
    </row>
    <row r="186" spans="1:7">
      <c r="A186" s="5"/>
      <c r="B186" s="5"/>
      <c r="C186" s="5"/>
      <c r="D186" s="5"/>
      <c r="E186" s="5"/>
      <c r="F186" s="5"/>
      <c r="G186" s="5"/>
    </row>
    <row r="187" spans="1:7">
      <c r="A187" s="5"/>
      <c r="B187" s="5"/>
      <c r="C187" s="5"/>
      <c r="D187" s="5"/>
      <c r="E187" s="5"/>
      <c r="F187" s="5"/>
      <c r="G187" s="5"/>
    </row>
    <row r="188" spans="1:7">
      <c r="A188" s="5"/>
      <c r="B188" s="5"/>
      <c r="C188" s="5"/>
      <c r="D188" s="5"/>
      <c r="E188" s="5"/>
      <c r="F188" s="5"/>
      <c r="G188" s="5"/>
    </row>
    <row r="189" spans="1:7">
      <c r="A189" s="5"/>
      <c r="B189" s="5"/>
      <c r="C189" s="5"/>
      <c r="D189" s="5"/>
      <c r="E189" s="5"/>
      <c r="F189" s="5"/>
      <c r="G189" s="5"/>
    </row>
    <row r="190" spans="1:7">
      <c r="A190" s="5"/>
      <c r="B190" s="5"/>
      <c r="C190" s="5"/>
      <c r="D190" s="5"/>
      <c r="E190" s="5"/>
      <c r="F190" s="5"/>
      <c r="G190" s="5"/>
    </row>
    <row r="191" spans="1:7">
      <c r="A191" s="5"/>
      <c r="B191" s="5"/>
      <c r="C191" s="5"/>
      <c r="D191" s="5"/>
      <c r="E191" s="5"/>
      <c r="F191" s="5"/>
      <c r="G191" s="5"/>
    </row>
    <row r="192" spans="1:7">
      <c r="A192" s="5"/>
      <c r="B192" s="5"/>
      <c r="C192" s="5"/>
      <c r="D192" s="5"/>
      <c r="E192" s="5"/>
      <c r="F192" s="5"/>
      <c r="G192" s="5"/>
    </row>
    <row r="193" spans="1:7">
      <c r="A193" s="5"/>
      <c r="B193" s="5"/>
      <c r="C193" s="5"/>
      <c r="D193" s="5"/>
      <c r="E193" s="5"/>
      <c r="F193" s="5"/>
      <c r="G193" s="5"/>
    </row>
    <row r="194" spans="1:7">
      <c r="A194" s="5"/>
      <c r="B194" s="5"/>
      <c r="C194" s="5"/>
      <c r="D194" s="5"/>
      <c r="E194" s="5"/>
      <c r="F194" s="5"/>
      <c r="G194" s="5"/>
    </row>
    <row r="195" spans="1:7">
      <c r="A195" s="5"/>
      <c r="B195" s="5"/>
      <c r="C195" s="5"/>
      <c r="D195" s="5"/>
      <c r="E195" s="5"/>
      <c r="F195" s="5"/>
      <c r="G195" s="5"/>
    </row>
    <row r="196" spans="1:7">
      <c r="A196" s="5"/>
      <c r="B196" s="5"/>
      <c r="C196" s="5"/>
      <c r="D196" s="5"/>
      <c r="E196" s="5"/>
      <c r="F196" s="5"/>
      <c r="G196" s="5"/>
    </row>
    <row r="197" spans="1:7">
      <c r="A197" s="5"/>
      <c r="B197" s="5"/>
      <c r="C197" s="5"/>
      <c r="D197" s="5"/>
      <c r="E197" s="5"/>
      <c r="F197" s="5"/>
      <c r="G197" s="5"/>
    </row>
  </sheetData>
  <phoneticPr fontId="0" type="noConversion"/>
  <printOptions gridLines="1"/>
  <pageMargins left="0.5" right="0.5" top="0.50069444444444444" bottom="0.5" header="0" footer="0"/>
  <pageSetup orientation="landscape" horizontalDpi="300" verticalDpi="300" r:id="rId1"/>
  <headerFooter alignWithMargins="0">
    <oddHeader>&amp;C&amp;F</oddHeader>
    <oddFooter>&amp;CP gina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44"/>
  <dimension ref="A1:H74"/>
  <sheetViews>
    <sheetView showGridLines="0" topLeftCell="A49" zoomScale="74" workbookViewId="0">
      <selection activeCell="A76" sqref="A76"/>
    </sheetView>
  </sheetViews>
  <sheetFormatPr defaultRowHeight="15"/>
  <cols>
    <col min="1" max="1" width="7.77734375" customWidth="1"/>
    <col min="3" max="3" width="7.77734375" customWidth="1"/>
    <col min="4" max="6" width="8.77734375" customWidth="1"/>
    <col min="7" max="7" width="9.77734375" customWidth="1"/>
    <col min="8" max="8" width="11.77734375" customWidth="1"/>
  </cols>
  <sheetData>
    <row r="1" spans="1:8">
      <c r="A1" s="1"/>
      <c r="B1" s="1"/>
      <c r="C1" s="1"/>
      <c r="D1" s="1"/>
      <c r="E1" s="1"/>
      <c r="F1" s="1"/>
      <c r="G1" s="1"/>
    </row>
    <row r="2" spans="1:8" ht="16.5">
      <c r="A2" s="6" t="s">
        <v>79</v>
      </c>
      <c r="B2" s="6"/>
      <c r="C2" s="6"/>
      <c r="D2" s="6"/>
      <c r="E2" s="7"/>
      <c r="F2" s="7"/>
      <c r="G2" s="7"/>
    </row>
    <row r="3" spans="1:8" ht="15.75">
      <c r="A3" s="2" t="s">
        <v>150</v>
      </c>
      <c r="B3" s="1"/>
      <c r="C3" s="1"/>
      <c r="D3" s="1"/>
      <c r="E3" s="1"/>
      <c r="F3" s="1"/>
      <c r="G3" s="1"/>
    </row>
    <row r="4" spans="1:8" ht="63">
      <c r="A4" s="8" t="s">
        <v>67</v>
      </c>
      <c r="B4" s="8" t="s">
        <v>76</v>
      </c>
      <c r="C4" s="8" t="s">
        <v>68</v>
      </c>
      <c r="D4" s="10" t="s">
        <v>69</v>
      </c>
      <c r="E4" s="10" t="s">
        <v>65</v>
      </c>
      <c r="F4" s="10" t="s">
        <v>70</v>
      </c>
      <c r="G4" s="8" t="s">
        <v>160</v>
      </c>
      <c r="H4" s="8" t="s">
        <v>186</v>
      </c>
    </row>
    <row r="5" spans="1:8">
      <c r="A5" s="16">
        <v>34516</v>
      </c>
      <c r="B5" s="24">
        <f>+geral!C611</f>
        <v>271.12</v>
      </c>
      <c r="C5" s="17">
        <v>100</v>
      </c>
      <c r="D5" s="17"/>
      <c r="E5" s="17"/>
      <c r="F5" s="17"/>
      <c r="G5" s="17"/>
      <c r="H5" s="39">
        <f>B$73/B5</f>
        <v>1.4446370610799646</v>
      </c>
    </row>
    <row r="6" spans="1:8">
      <c r="A6" s="16">
        <v>34547</v>
      </c>
      <c r="B6" s="24">
        <f>+geral!C612</f>
        <v>266.17</v>
      </c>
      <c r="C6" s="17">
        <v>100</v>
      </c>
      <c r="D6" s="17">
        <f t="shared" ref="D6:D70" si="0">100*((B6/B5)-1)</f>
        <v>-1.8257598111537265</v>
      </c>
      <c r="E6" s="17"/>
      <c r="F6" s="17"/>
      <c r="G6" s="17"/>
      <c r="H6" s="39">
        <f t="shared" ref="H6:H69" si="1">B$73/B6</f>
        <v>1.4715031746628096</v>
      </c>
    </row>
    <row r="7" spans="1:8">
      <c r="A7" s="16">
        <v>34578</v>
      </c>
      <c r="B7" s="24">
        <f>+geral!C613</f>
        <v>321.87</v>
      </c>
      <c r="C7" s="17">
        <f t="shared" ref="C7:C70" si="2">100*B7/$B$6</f>
        <v>120.92647556073186</v>
      </c>
      <c r="D7" s="17">
        <f t="shared" si="0"/>
        <v>20.926475560731859</v>
      </c>
      <c r="E7" s="17"/>
      <c r="F7" s="17"/>
      <c r="G7" s="17"/>
      <c r="H7" s="39">
        <f t="shared" si="1"/>
        <v>1.2168577375959237</v>
      </c>
    </row>
    <row r="8" spans="1:8">
      <c r="A8" s="16">
        <v>34608</v>
      </c>
      <c r="B8" s="24">
        <f>+geral!C614</f>
        <v>291.14</v>
      </c>
      <c r="C8" s="17">
        <f t="shared" si="2"/>
        <v>109.38122252695645</v>
      </c>
      <c r="D8" s="17">
        <f t="shared" si="0"/>
        <v>-9.5473327741013474</v>
      </c>
      <c r="E8" s="17"/>
      <c r="F8" s="17"/>
      <c r="G8" s="17"/>
      <c r="H8" s="39">
        <f t="shared" si="1"/>
        <v>1.3452977948753178</v>
      </c>
    </row>
    <row r="9" spans="1:8">
      <c r="A9" s="16">
        <v>34639</v>
      </c>
      <c r="B9" s="24">
        <f>+geral!C615</f>
        <v>306</v>
      </c>
      <c r="C9" s="17">
        <f t="shared" si="2"/>
        <v>114.96412067475673</v>
      </c>
      <c r="D9" s="17">
        <f t="shared" si="0"/>
        <v>5.1040736415470356</v>
      </c>
      <c r="E9" s="17"/>
      <c r="F9" s="17"/>
      <c r="G9" s="17"/>
      <c r="H9" s="39">
        <f t="shared" si="1"/>
        <v>1.2799673202614379</v>
      </c>
    </row>
    <row r="10" spans="1:8">
      <c r="A10" s="16">
        <v>34669</v>
      </c>
      <c r="B10" s="24">
        <f>+geral!C616</f>
        <v>312</v>
      </c>
      <c r="C10" s="17">
        <f t="shared" si="2"/>
        <v>117.2183191193598</v>
      </c>
      <c r="D10" s="17">
        <f t="shared" si="0"/>
        <v>1.9607843137254832</v>
      </c>
      <c r="E10" s="17"/>
      <c r="F10" s="17"/>
      <c r="G10" s="17"/>
      <c r="H10" s="39">
        <f t="shared" si="1"/>
        <v>1.2553525641025642</v>
      </c>
    </row>
    <row r="11" spans="1:8">
      <c r="A11" s="16">
        <v>34700</v>
      </c>
      <c r="B11" s="24">
        <f>+geral!E605</f>
        <v>328.17</v>
      </c>
      <c r="C11" s="17">
        <f t="shared" si="2"/>
        <v>123.29338392756509</v>
      </c>
      <c r="D11" s="17">
        <f t="shared" si="0"/>
        <v>5.1826923076923048</v>
      </c>
      <c r="E11" s="17">
        <f>100*((B11/$B$10)-1)</f>
        <v>5.1826923076923048</v>
      </c>
      <c r="F11" s="17"/>
      <c r="G11" s="17"/>
      <c r="H11" s="39">
        <f t="shared" si="1"/>
        <v>1.1934972727549746</v>
      </c>
    </row>
    <row r="12" spans="1:8">
      <c r="A12" s="16">
        <v>34731</v>
      </c>
      <c r="B12" s="24">
        <f>+geral!E606</f>
        <v>317.56</v>
      </c>
      <c r="C12" s="17">
        <f t="shared" si="2"/>
        <v>119.30720967802532</v>
      </c>
      <c r="D12" s="17">
        <f t="shared" si="0"/>
        <v>-3.2330804156382453</v>
      </c>
      <c r="E12" s="17">
        <f t="shared" ref="E12:E22" si="3">100*((B12/$B$10)-1)</f>
        <v>1.782051282051289</v>
      </c>
      <c r="F12" s="17"/>
      <c r="G12" s="17"/>
      <c r="H12" s="39">
        <f t="shared" si="1"/>
        <v>1.2333732208086661</v>
      </c>
    </row>
    <row r="13" spans="1:8">
      <c r="A13" s="16">
        <v>34759</v>
      </c>
      <c r="B13" s="24">
        <f>+geral!E607</f>
        <v>336.75</v>
      </c>
      <c r="C13" s="17">
        <f t="shared" si="2"/>
        <v>126.51688770334748</v>
      </c>
      <c r="D13" s="17">
        <f t="shared" si="0"/>
        <v>6.0429525129109374</v>
      </c>
      <c r="E13" s="17">
        <f t="shared" si="3"/>
        <v>7.9326923076923128</v>
      </c>
      <c r="F13" s="17"/>
      <c r="G13" s="17"/>
      <c r="H13" s="39">
        <f t="shared" si="1"/>
        <v>1.1630883444691908</v>
      </c>
    </row>
    <row r="14" spans="1:8">
      <c r="A14" s="16">
        <v>34790</v>
      </c>
      <c r="B14" s="24">
        <f>+geral!E608</f>
        <v>324.17</v>
      </c>
      <c r="C14" s="17">
        <f t="shared" si="2"/>
        <v>121.79058496449636</v>
      </c>
      <c r="D14" s="17">
        <f t="shared" si="0"/>
        <v>-3.7357089829250123</v>
      </c>
      <c r="E14" s="17">
        <f t="shared" si="3"/>
        <v>3.9006410256410273</v>
      </c>
      <c r="F14" s="17"/>
      <c r="G14" s="17"/>
      <c r="H14" s="39">
        <f t="shared" si="1"/>
        <v>1.2082240799580466</v>
      </c>
    </row>
    <row r="15" spans="1:8">
      <c r="A15" s="16">
        <v>34820</v>
      </c>
      <c r="B15" s="24">
        <f>+geral!E609</f>
        <v>353.14</v>
      </c>
      <c r="C15" s="17">
        <f t="shared" si="2"/>
        <v>132.67460645452155</v>
      </c>
      <c r="D15" s="17">
        <f t="shared" si="0"/>
        <v>8.9366690316808892</v>
      </c>
      <c r="E15" s="17">
        <f t="shared" si="3"/>
        <v>13.185897435897441</v>
      </c>
      <c r="F15" s="17"/>
      <c r="G15" s="17"/>
      <c r="H15" s="39">
        <f t="shared" si="1"/>
        <v>1.1091068697966813</v>
      </c>
    </row>
    <row r="16" spans="1:8">
      <c r="A16" s="16">
        <v>38504</v>
      </c>
      <c r="B16" s="24">
        <f>+geral!E610</f>
        <v>341.67</v>
      </c>
      <c r="C16" s="17">
        <f t="shared" si="2"/>
        <v>128.365330427922</v>
      </c>
      <c r="D16" s="17">
        <f t="shared" si="0"/>
        <v>-3.2480036246247845</v>
      </c>
      <c r="E16" s="17">
        <f t="shared" si="3"/>
        <v>9.5096153846153886</v>
      </c>
      <c r="F16" s="17"/>
      <c r="G16" s="17"/>
      <c r="H16" s="39">
        <f t="shared" si="1"/>
        <v>1.1463400357069686</v>
      </c>
    </row>
    <row r="17" spans="1:8">
      <c r="A17" s="16">
        <v>34881</v>
      </c>
      <c r="B17" s="24">
        <f>+geral!E611</f>
        <v>349.75</v>
      </c>
      <c r="C17" s="17">
        <f t="shared" si="2"/>
        <v>131.40098433332079</v>
      </c>
      <c r="D17" s="17">
        <f t="shared" si="0"/>
        <v>2.3648549770246108</v>
      </c>
      <c r="E17" s="17">
        <f t="shared" si="3"/>
        <v>12.099358974358964</v>
      </c>
      <c r="F17" s="17">
        <f t="shared" ref="F17:F48" si="4">100*((B17/B5)-1)</f>
        <v>29.001917969902614</v>
      </c>
      <c r="G17" s="17"/>
      <c r="H17" s="39">
        <f t="shared" si="1"/>
        <v>1.1198570407433881</v>
      </c>
    </row>
    <row r="18" spans="1:8">
      <c r="A18" s="16">
        <v>34912</v>
      </c>
      <c r="B18" s="24">
        <f>+geral!E612</f>
        <v>331.18</v>
      </c>
      <c r="C18" s="17">
        <f t="shared" si="2"/>
        <v>124.42424014727429</v>
      </c>
      <c r="D18" s="17">
        <f t="shared" si="0"/>
        <v>-5.3095067905646882</v>
      </c>
      <c r="E18" s="17">
        <f t="shared" si="3"/>
        <v>6.1474358974358934</v>
      </c>
      <c r="F18" s="17">
        <f t="shared" si="4"/>
        <v>24.42424014727429</v>
      </c>
      <c r="G18" s="17"/>
      <c r="H18" s="39">
        <f t="shared" si="1"/>
        <v>1.1826499184733379</v>
      </c>
    </row>
    <row r="19" spans="1:8">
      <c r="A19" s="16">
        <v>34943</v>
      </c>
      <c r="B19" s="24">
        <f>+geral!E613</f>
        <v>341.71</v>
      </c>
      <c r="C19" s="17">
        <f t="shared" si="2"/>
        <v>128.38035841755269</v>
      </c>
      <c r="D19" s="17">
        <f t="shared" si="0"/>
        <v>3.1795398272842501</v>
      </c>
      <c r="E19" s="17">
        <f t="shared" si="3"/>
        <v>9.5224358974358871</v>
      </c>
      <c r="F19" s="17">
        <f t="shared" si="4"/>
        <v>6.1639792462795384</v>
      </c>
      <c r="G19" s="17"/>
      <c r="H19" s="39">
        <f t="shared" si="1"/>
        <v>1.1462058470632994</v>
      </c>
    </row>
    <row r="20" spans="1:8">
      <c r="A20" s="16">
        <v>34973</v>
      </c>
      <c r="B20" s="24">
        <f>+geral!E614</f>
        <v>303.31</v>
      </c>
      <c r="C20" s="17">
        <f t="shared" si="2"/>
        <v>113.95348837209302</v>
      </c>
      <c r="D20" s="17">
        <f t="shared" si="0"/>
        <v>-11.237599133768395</v>
      </c>
      <c r="E20" s="17">
        <f t="shared" si="3"/>
        <v>-2.7852564102564092</v>
      </c>
      <c r="F20" s="17">
        <f t="shared" si="4"/>
        <v>4.180119530122961</v>
      </c>
      <c r="G20" s="17"/>
      <c r="H20" s="39">
        <f t="shared" si="1"/>
        <v>1.2913191124592003</v>
      </c>
    </row>
    <row r="21" spans="1:8">
      <c r="A21" s="16">
        <v>35004</v>
      </c>
      <c r="B21" s="24">
        <f>+geral!E615</f>
        <v>331.95</v>
      </c>
      <c r="C21" s="17">
        <f t="shared" si="2"/>
        <v>124.71352894766503</v>
      </c>
      <c r="D21" s="17">
        <f t="shared" si="0"/>
        <v>9.4424845867264509</v>
      </c>
      <c r="E21" s="17">
        <f t="shared" si="3"/>
        <v>6.3942307692307576</v>
      </c>
      <c r="F21" s="17">
        <f t="shared" si="4"/>
        <v>8.4803921568627381</v>
      </c>
      <c r="G21" s="17"/>
      <c r="H21" s="39">
        <f t="shared" si="1"/>
        <v>1.1799066124416329</v>
      </c>
    </row>
    <row r="22" spans="1:8">
      <c r="A22" s="16">
        <v>35034</v>
      </c>
      <c r="B22" s="24">
        <f>+geral!E616</f>
        <v>311.83</v>
      </c>
      <c r="C22" s="17">
        <f t="shared" si="2"/>
        <v>117.15445016342937</v>
      </c>
      <c r="D22" s="17">
        <f t="shared" si="0"/>
        <v>-6.0611537882211186</v>
      </c>
      <c r="E22" s="17">
        <f t="shared" si="3"/>
        <v>-5.4487179487183734E-2</v>
      </c>
      <c r="F22" s="17">
        <f t="shared" si="4"/>
        <v>-5.4487179487183734E-2</v>
      </c>
      <c r="G22" s="17"/>
      <c r="H22" s="39">
        <f t="shared" si="1"/>
        <v>1.2560369432062344</v>
      </c>
    </row>
    <row r="23" spans="1:8">
      <c r="A23" s="16">
        <v>35065</v>
      </c>
      <c r="B23" s="24">
        <f>+geral!G605</f>
        <v>325.93</v>
      </c>
      <c r="C23" s="17">
        <f t="shared" si="2"/>
        <v>122.45181650824661</v>
      </c>
      <c r="D23" s="17">
        <f t="shared" si="0"/>
        <v>4.5216945130359676</v>
      </c>
      <c r="E23" s="17">
        <f>100*((B23/$B$22)-1)</f>
        <v>4.5216945130359676</v>
      </c>
      <c r="F23" s="17">
        <f t="shared" si="4"/>
        <v>-0.68257305664747303</v>
      </c>
      <c r="G23" s="17"/>
      <c r="H23" s="39">
        <f t="shared" si="1"/>
        <v>1.2016997514803793</v>
      </c>
    </row>
    <row r="24" spans="1:8">
      <c r="A24" s="16">
        <v>35096</v>
      </c>
      <c r="B24" s="24">
        <f>+geral!G606</f>
        <v>320.67</v>
      </c>
      <c r="C24" s="17">
        <f t="shared" si="2"/>
        <v>120.47563587181124</v>
      </c>
      <c r="D24" s="17">
        <f t="shared" si="0"/>
        <v>-1.6138434633203413</v>
      </c>
      <c r="E24" s="17">
        <f t="shared" ref="E24:E34" si="5">100*((B24/$B$22)-1)</f>
        <v>2.8348779783856637</v>
      </c>
      <c r="F24" s="17">
        <f t="shared" si="4"/>
        <v>0.97934248645925592</v>
      </c>
      <c r="G24" s="17"/>
      <c r="H24" s="39">
        <f t="shared" si="1"/>
        <v>1.2214114198397106</v>
      </c>
    </row>
    <row r="25" spans="1:8">
      <c r="A25" s="16">
        <v>35125</v>
      </c>
      <c r="B25" s="24">
        <f>+geral!G607</f>
        <v>319.32</v>
      </c>
      <c r="C25" s="17">
        <f t="shared" si="2"/>
        <v>119.96844122177555</v>
      </c>
      <c r="D25" s="17">
        <f t="shared" si="0"/>
        <v>-0.42099354476565765</v>
      </c>
      <c r="E25" s="17">
        <f t="shared" si="5"/>
        <v>2.4019497803290379</v>
      </c>
      <c r="F25" s="17">
        <f t="shared" si="4"/>
        <v>-5.1759465478841911</v>
      </c>
      <c r="G25" s="17"/>
      <c r="H25" s="39">
        <f t="shared" si="1"/>
        <v>1.2265752223474884</v>
      </c>
    </row>
    <row r="26" spans="1:8">
      <c r="A26" s="16">
        <v>35156</v>
      </c>
      <c r="B26" s="24">
        <f>+geral!G608</f>
        <v>323.55</v>
      </c>
      <c r="C26" s="17">
        <f t="shared" si="2"/>
        <v>121.55765112522072</v>
      </c>
      <c r="D26" s="17">
        <f t="shared" si="0"/>
        <v>1.3246899661781386</v>
      </c>
      <c r="E26" s="17">
        <f t="shared" si="5"/>
        <v>3.7584581342398282</v>
      </c>
      <c r="F26" s="17">
        <f t="shared" si="4"/>
        <v>-0.19125767344294609</v>
      </c>
      <c r="G26" s="17"/>
      <c r="H26" s="39">
        <f t="shared" si="1"/>
        <v>1.2105393293154072</v>
      </c>
    </row>
    <row r="27" spans="1:8">
      <c r="A27" s="16">
        <v>35186</v>
      </c>
      <c r="B27" s="24">
        <f>+geral!G609</f>
        <v>318.75</v>
      </c>
      <c r="C27" s="17">
        <f t="shared" si="2"/>
        <v>119.75429236953826</v>
      </c>
      <c r="D27" s="17">
        <f t="shared" si="0"/>
        <v>-1.483541956420964</v>
      </c>
      <c r="E27" s="17">
        <f t="shared" si="5"/>
        <v>2.2191578744829021</v>
      </c>
      <c r="F27" s="17">
        <f t="shared" si="4"/>
        <v>-9.738347397632662</v>
      </c>
      <c r="G27" s="17"/>
      <c r="H27" s="39">
        <f t="shared" si="1"/>
        <v>1.2287686274509804</v>
      </c>
    </row>
    <row r="28" spans="1:8">
      <c r="A28" s="16">
        <v>35217</v>
      </c>
      <c r="B28" s="24">
        <f>+geral!G610</f>
        <v>301.12</v>
      </c>
      <c r="C28" s="17">
        <f t="shared" si="2"/>
        <v>113.1307059398129</v>
      </c>
      <c r="D28" s="17">
        <f t="shared" si="0"/>
        <v>-5.5309803921568594</v>
      </c>
      <c r="E28" s="17">
        <f t="shared" si="5"/>
        <v>-3.4345637045826161</v>
      </c>
      <c r="F28" s="17">
        <f t="shared" si="4"/>
        <v>-11.86817689583517</v>
      </c>
      <c r="G28" s="17"/>
      <c r="H28" s="39">
        <f t="shared" si="1"/>
        <v>1.3007106801275239</v>
      </c>
    </row>
    <row r="29" spans="1:8">
      <c r="A29" s="16">
        <v>35247</v>
      </c>
      <c r="B29" s="24">
        <f>+geral!G611</f>
        <v>316.38</v>
      </c>
      <c r="C29" s="17">
        <f t="shared" si="2"/>
        <v>118.86388398392005</v>
      </c>
      <c r="D29" s="17">
        <f t="shared" si="0"/>
        <v>5.067747077577045</v>
      </c>
      <c r="E29" s="17">
        <f t="shared" si="5"/>
        <v>1.4591283712279246</v>
      </c>
      <c r="F29" s="17">
        <f t="shared" si="4"/>
        <v>-9.5411007862759138</v>
      </c>
      <c r="G29" s="17">
        <f>100*(B29/B5-1)</f>
        <v>16.693714960165231</v>
      </c>
      <c r="H29" s="39">
        <f t="shared" si="1"/>
        <v>1.2379733232189141</v>
      </c>
    </row>
    <row r="30" spans="1:8">
      <c r="A30" s="16">
        <v>35278</v>
      </c>
      <c r="B30" s="24">
        <f>+geral!G612</f>
        <v>308.87</v>
      </c>
      <c r="C30" s="17">
        <f t="shared" si="2"/>
        <v>116.04237893075853</v>
      </c>
      <c r="D30" s="17">
        <f t="shared" si="0"/>
        <v>-2.3737277956887293</v>
      </c>
      <c r="E30" s="17">
        <f t="shared" si="5"/>
        <v>-0.94923516018342591</v>
      </c>
      <c r="F30" s="17">
        <f t="shared" si="4"/>
        <v>-6.7365179056706364</v>
      </c>
      <c r="G30" s="17">
        <f t="shared" ref="G30:G72" si="6">100*(B30/B6-1)</f>
        <v>16.042378930758527</v>
      </c>
      <c r="H30" s="39">
        <f t="shared" si="1"/>
        <v>1.26807394696798</v>
      </c>
    </row>
    <row r="31" spans="1:8">
      <c r="A31" s="16">
        <v>35309</v>
      </c>
      <c r="B31" s="24">
        <f>+geral!G613</f>
        <v>326.86</v>
      </c>
      <c r="C31" s="17">
        <f t="shared" si="2"/>
        <v>122.80121726716008</v>
      </c>
      <c r="D31" s="17">
        <f t="shared" si="0"/>
        <v>5.8244568912487527</v>
      </c>
      <c r="E31" s="17">
        <f t="shared" si="5"/>
        <v>4.8199339383638629</v>
      </c>
      <c r="F31" s="17">
        <f t="shared" si="4"/>
        <v>-4.345790290011986</v>
      </c>
      <c r="G31" s="17">
        <f t="shared" si="6"/>
        <v>1.5503153447043783</v>
      </c>
      <c r="H31" s="39">
        <f t="shared" si="1"/>
        <v>1.1982806094352323</v>
      </c>
    </row>
    <row r="32" spans="1:8">
      <c r="A32" s="16">
        <v>35339</v>
      </c>
      <c r="B32" s="24">
        <f>+geral!G614</f>
        <v>309.2</v>
      </c>
      <c r="C32" s="17">
        <f t="shared" si="2"/>
        <v>116.1663598452117</v>
      </c>
      <c r="D32" s="17">
        <f t="shared" si="0"/>
        <v>-5.4029247996083996</v>
      </c>
      <c r="E32" s="17">
        <f t="shared" si="5"/>
        <v>-0.84340826732514085</v>
      </c>
      <c r="F32" s="17">
        <f t="shared" si="4"/>
        <v>1.9419076192674023</v>
      </c>
      <c r="G32" s="17">
        <f t="shared" si="6"/>
        <v>6.203201209040321</v>
      </c>
      <c r="H32" s="39">
        <f t="shared" si="1"/>
        <v>1.266720569210867</v>
      </c>
    </row>
    <row r="33" spans="1:8">
      <c r="A33" s="16">
        <v>35370</v>
      </c>
      <c r="B33" s="24">
        <f>+geral!G615</f>
        <v>308.39999999999998</v>
      </c>
      <c r="C33" s="17">
        <f t="shared" si="2"/>
        <v>115.86580005259795</v>
      </c>
      <c r="D33" s="17">
        <f t="shared" si="0"/>
        <v>-0.25873221216041742</v>
      </c>
      <c r="E33" s="17">
        <f t="shared" si="5"/>
        <v>-1.0999583106179656</v>
      </c>
      <c r="F33" s="17">
        <f t="shared" si="4"/>
        <v>-7.0944419340262073</v>
      </c>
      <c r="G33" s="17">
        <f t="shared" si="6"/>
        <v>0.78431372549019329</v>
      </c>
      <c r="H33" s="39">
        <f t="shared" si="1"/>
        <v>1.2700064850843062</v>
      </c>
    </row>
    <row r="34" spans="1:8">
      <c r="A34" s="16">
        <v>35400</v>
      </c>
      <c r="B34" s="24">
        <f>+geral!G616</f>
        <v>310.83</v>
      </c>
      <c r="C34" s="17">
        <f t="shared" si="2"/>
        <v>116.7787504226622</v>
      </c>
      <c r="D34" s="17">
        <f t="shared" si="0"/>
        <v>0.78793774319065868</v>
      </c>
      <c r="E34" s="17">
        <f t="shared" si="5"/>
        <v>-0.32068755411602812</v>
      </c>
      <c r="F34" s="17">
        <f t="shared" si="4"/>
        <v>-0.32068755411602812</v>
      </c>
      <c r="G34" s="17">
        <f t="shared" si="6"/>
        <v>-0.37500000000000311</v>
      </c>
      <c r="H34" s="39">
        <f t="shared" si="1"/>
        <v>1.2600778560627997</v>
      </c>
    </row>
    <row r="35" spans="1:8">
      <c r="A35" s="16">
        <v>35431</v>
      </c>
      <c r="B35" s="24">
        <f>+geral!I605</f>
        <v>317.17</v>
      </c>
      <c r="C35" s="17">
        <f t="shared" si="2"/>
        <v>119.16068677912611</v>
      </c>
      <c r="D35" s="17">
        <f t="shared" si="0"/>
        <v>2.0397001576424545</v>
      </c>
      <c r="E35" s="17">
        <f>100*((B35/$B$34)-1)</f>
        <v>2.0397001576424545</v>
      </c>
      <c r="F35" s="17">
        <f t="shared" si="4"/>
        <v>-2.6876936765563131</v>
      </c>
      <c r="G35" s="17">
        <f t="shared" si="6"/>
        <v>-3.3519212603223991</v>
      </c>
      <c r="H35" s="39">
        <f t="shared" si="1"/>
        <v>1.234889806728253</v>
      </c>
    </row>
    <row r="36" spans="1:8">
      <c r="A36" s="16">
        <v>35462</v>
      </c>
      <c r="B36" s="24">
        <f>+geral!I606</f>
        <v>316</v>
      </c>
      <c r="C36" s="17">
        <f t="shared" si="2"/>
        <v>118.72111808242852</v>
      </c>
      <c r="D36" s="17">
        <f t="shared" si="0"/>
        <v>-0.36888734747927421</v>
      </c>
      <c r="E36" s="17">
        <f t="shared" ref="E36:E46" si="7">100*((B36/$B$34)-1)</f>
        <v>1.6632886143551184</v>
      </c>
      <c r="F36" s="17">
        <f t="shared" si="4"/>
        <v>-1.4563258178189487</v>
      </c>
      <c r="G36" s="17">
        <f t="shared" si="6"/>
        <v>-0.4912457488348676</v>
      </c>
      <c r="H36" s="39">
        <f t="shared" si="1"/>
        <v>1.2394620253164557</v>
      </c>
    </row>
    <row r="37" spans="1:8">
      <c r="A37" s="16">
        <v>35490</v>
      </c>
      <c r="B37" s="24">
        <f>+geral!I607</f>
        <v>314.57</v>
      </c>
      <c r="C37" s="17">
        <f t="shared" si="2"/>
        <v>118.18386745313146</v>
      </c>
      <c r="D37" s="17">
        <f t="shared" si="0"/>
        <v>-0.45253164556962044</v>
      </c>
      <c r="E37" s="17">
        <f t="shared" si="7"/>
        <v>1.2032300614483793</v>
      </c>
      <c r="F37" s="17">
        <f t="shared" si="4"/>
        <v>-1.4875360140298111</v>
      </c>
      <c r="G37" s="17">
        <f t="shared" si="6"/>
        <v>-6.5864884929472955</v>
      </c>
      <c r="H37" s="39">
        <f t="shared" si="1"/>
        <v>1.2450964809104492</v>
      </c>
    </row>
    <row r="38" spans="1:8">
      <c r="A38" s="16">
        <v>35521</v>
      </c>
      <c r="B38" s="24">
        <f>+geral!I608</f>
        <v>302.07</v>
      </c>
      <c r="C38" s="17">
        <f t="shared" si="2"/>
        <v>113.48762069354171</v>
      </c>
      <c r="D38" s="17">
        <f t="shared" si="0"/>
        <v>-3.9736783545792687</v>
      </c>
      <c r="E38" s="17">
        <f t="shared" si="7"/>
        <v>-2.818260785638449</v>
      </c>
      <c r="F38" s="17">
        <f t="shared" si="4"/>
        <v>-6.6388502549837742</v>
      </c>
      <c r="G38" s="17">
        <f t="shared" si="6"/>
        <v>-6.8174106178856881</v>
      </c>
      <c r="H38" s="39">
        <f t="shared" si="1"/>
        <v>1.2966199887443308</v>
      </c>
    </row>
    <row r="39" spans="1:8">
      <c r="A39" s="16">
        <v>35551</v>
      </c>
      <c r="B39" s="24">
        <f>+geral!I609</f>
        <v>317.77</v>
      </c>
      <c r="C39" s="17">
        <f t="shared" si="2"/>
        <v>119.38610662358643</v>
      </c>
      <c r="D39" s="17">
        <f t="shared" si="0"/>
        <v>5.1974707849173907</v>
      </c>
      <c r="E39" s="17">
        <f t="shared" si="7"/>
        <v>2.2327317183026052</v>
      </c>
      <c r="F39" s="17">
        <f t="shared" si="4"/>
        <v>-0.30745098039216545</v>
      </c>
      <c r="G39" s="17">
        <f t="shared" si="6"/>
        <v>-10.015857733476807</v>
      </c>
      <c r="H39" s="39">
        <f t="shared" si="1"/>
        <v>1.2325581395348839</v>
      </c>
    </row>
    <row r="40" spans="1:8">
      <c r="A40" s="16">
        <v>35582</v>
      </c>
      <c r="B40" s="24">
        <f>+geral!I610</f>
        <v>305.8</v>
      </c>
      <c r="C40" s="17">
        <f t="shared" si="2"/>
        <v>114.88898072660329</v>
      </c>
      <c r="D40" s="17">
        <f t="shared" si="0"/>
        <v>-3.7668754130345761</v>
      </c>
      <c r="E40" s="17">
        <f t="shared" si="7"/>
        <v>-1.6182479168677322</v>
      </c>
      <c r="F40" s="17">
        <f t="shared" si="4"/>
        <v>1.5541976620616405</v>
      </c>
      <c r="G40" s="17">
        <f t="shared" si="6"/>
        <v>-10.498434161617931</v>
      </c>
      <c r="H40" s="39">
        <f t="shared" si="1"/>
        <v>1.2808044473512099</v>
      </c>
    </row>
    <row r="41" spans="1:8">
      <c r="A41" s="16">
        <v>35612</v>
      </c>
      <c r="B41" s="24">
        <f>+geral!I611</f>
        <v>296.83</v>
      </c>
      <c r="C41" s="17">
        <f t="shared" si="2"/>
        <v>111.5189540519217</v>
      </c>
      <c r="D41" s="17">
        <f t="shared" si="0"/>
        <v>-2.9332897318508966</v>
      </c>
      <c r="E41" s="17">
        <f t="shared" si="7"/>
        <v>-4.5040697487372494</v>
      </c>
      <c r="F41" s="17">
        <f t="shared" si="4"/>
        <v>-6.1792780833175298</v>
      </c>
      <c r="G41" s="17">
        <f t="shared" si="6"/>
        <v>-15.130807719799865</v>
      </c>
      <c r="H41" s="39">
        <f t="shared" si="1"/>
        <v>1.3195094835427688</v>
      </c>
    </row>
    <row r="42" spans="1:8">
      <c r="A42" s="16">
        <v>35643</v>
      </c>
      <c r="B42" s="24">
        <f>+geral!I612</f>
        <v>308.33</v>
      </c>
      <c r="C42" s="17">
        <f t="shared" si="2"/>
        <v>115.83950107074425</v>
      </c>
      <c r="D42" s="17">
        <f t="shared" si="0"/>
        <v>3.8742714685173318</v>
      </c>
      <c r="E42" s="17">
        <f t="shared" si="7"/>
        <v>-0.80429816941736121</v>
      </c>
      <c r="F42" s="17">
        <f t="shared" si="4"/>
        <v>-0.17483083497912277</v>
      </c>
      <c r="G42" s="17">
        <f t="shared" si="6"/>
        <v>-6.8995712301467504</v>
      </c>
      <c r="H42" s="39">
        <f t="shared" si="1"/>
        <v>1.2702948139979893</v>
      </c>
    </row>
    <row r="43" spans="1:8">
      <c r="A43" s="16">
        <v>35674</v>
      </c>
      <c r="B43" s="24">
        <f>+geral!I613</f>
        <v>302</v>
      </c>
      <c r="C43" s="17">
        <f t="shared" si="2"/>
        <v>113.46132171168802</v>
      </c>
      <c r="D43" s="17">
        <f t="shared" si="0"/>
        <v>-2.0529951675153146</v>
      </c>
      <c r="E43" s="17">
        <f t="shared" si="7"/>
        <v>-2.840781134382131</v>
      </c>
      <c r="F43" s="17">
        <f t="shared" si="4"/>
        <v>-7.6057027473536154</v>
      </c>
      <c r="G43" s="17">
        <f t="shared" si="6"/>
        <v>-11.620965145883932</v>
      </c>
      <c r="H43" s="39">
        <f t="shared" si="1"/>
        <v>1.2969205298013247</v>
      </c>
    </row>
    <row r="44" spans="1:8">
      <c r="A44" s="16">
        <v>35704</v>
      </c>
      <c r="B44" s="24">
        <f>+geral!I614</f>
        <v>298</v>
      </c>
      <c r="C44" s="17">
        <f t="shared" si="2"/>
        <v>111.9585227486193</v>
      </c>
      <c r="D44" s="17">
        <f t="shared" si="0"/>
        <v>-1.3245033112582738</v>
      </c>
      <c r="E44" s="17">
        <f t="shared" si="7"/>
        <v>-4.127658205449924</v>
      </c>
      <c r="F44" s="17">
        <f t="shared" si="4"/>
        <v>-3.6222509702457883</v>
      </c>
      <c r="G44" s="17">
        <f t="shared" si="6"/>
        <v>-1.7506841185585764</v>
      </c>
      <c r="H44" s="39">
        <f t="shared" si="1"/>
        <v>1.3143288590604028</v>
      </c>
    </row>
    <row r="45" spans="1:8">
      <c r="A45" s="16">
        <v>35735</v>
      </c>
      <c r="B45" s="24">
        <f>+geral!I615</f>
        <v>305.8</v>
      </c>
      <c r="C45" s="17">
        <f t="shared" si="2"/>
        <v>114.88898072660329</v>
      </c>
      <c r="D45" s="17">
        <f t="shared" si="0"/>
        <v>2.6174496644295386</v>
      </c>
      <c r="E45" s="17">
        <f t="shared" si="7"/>
        <v>-1.6182479168677322</v>
      </c>
      <c r="F45" s="17">
        <f t="shared" si="4"/>
        <v>-0.8430609597924632</v>
      </c>
      <c r="G45" s="17">
        <f t="shared" si="6"/>
        <v>-7.8776924235577583</v>
      </c>
      <c r="H45" s="39">
        <f t="shared" si="1"/>
        <v>1.2808044473512099</v>
      </c>
    </row>
    <row r="46" spans="1:8">
      <c r="A46" s="16">
        <v>35765</v>
      </c>
      <c r="B46" s="24">
        <f>+geral!I616</f>
        <v>305</v>
      </c>
      <c r="C46" s="17">
        <f t="shared" si="2"/>
        <v>114.58842093398955</v>
      </c>
      <c r="D46" s="17">
        <f t="shared" si="0"/>
        <v>-0.26160889470242532</v>
      </c>
      <c r="E46" s="17">
        <f t="shared" si="7"/>
        <v>-1.8756233310812886</v>
      </c>
      <c r="F46" s="17">
        <f t="shared" si="4"/>
        <v>-1.8756233310812886</v>
      </c>
      <c r="G46" s="17">
        <f t="shared" si="6"/>
        <v>-2.1902959946124456</v>
      </c>
      <c r="H46" s="39">
        <f t="shared" si="1"/>
        <v>1.2841639344262297</v>
      </c>
    </row>
    <row r="47" spans="1:8">
      <c r="A47" s="16">
        <v>35796</v>
      </c>
      <c r="B47" s="24">
        <f>+geral!K605</f>
        <v>308.17</v>
      </c>
      <c r="C47" s="17">
        <f t="shared" si="2"/>
        <v>115.77938911222151</v>
      </c>
      <c r="D47" s="17">
        <f t="shared" si="0"/>
        <v>1.0393442622950833</v>
      </c>
      <c r="E47" s="17">
        <f>100*((B47/$B$46)-1)</f>
        <v>1.0393442622950833</v>
      </c>
      <c r="F47" s="17">
        <f t="shared" si="4"/>
        <v>-2.83759498060977</v>
      </c>
      <c r="G47" s="17">
        <f t="shared" si="6"/>
        <v>-5.4490227963059574</v>
      </c>
      <c r="H47" s="39">
        <f t="shared" si="1"/>
        <v>1.2709543433818995</v>
      </c>
    </row>
    <row r="48" spans="1:8">
      <c r="A48" s="16">
        <v>35827</v>
      </c>
      <c r="B48" s="24">
        <f>+geral!K606</f>
        <v>298.83</v>
      </c>
      <c r="C48" s="17">
        <f t="shared" si="2"/>
        <v>112.27035353345606</v>
      </c>
      <c r="D48" s="17">
        <f t="shared" si="0"/>
        <v>-3.030794691241856</v>
      </c>
      <c r="E48" s="17">
        <f>100*((B48/$B$46)-1)</f>
        <v>-2.0229508196721313</v>
      </c>
      <c r="F48" s="17">
        <f t="shared" si="4"/>
        <v>-5.4335443037974773</v>
      </c>
      <c r="G48" s="17">
        <f t="shared" si="6"/>
        <v>-6.8107400130975826</v>
      </c>
      <c r="H48" s="39">
        <f t="shared" si="1"/>
        <v>1.3106783120837935</v>
      </c>
    </row>
    <row r="49" spans="1:8">
      <c r="A49" s="16">
        <v>35855</v>
      </c>
      <c r="B49" s="24">
        <f>+geral!K607</f>
        <v>313</v>
      </c>
      <c r="C49" s="17">
        <f t="shared" si="2"/>
        <v>117.59401886012698</v>
      </c>
      <c r="D49" s="17">
        <f t="shared" si="0"/>
        <v>4.7418264565137536</v>
      </c>
      <c r="E49" s="17">
        <f t="shared" ref="E49:E58" si="8">100*((B49/$B$46)-1)</f>
        <v>2.6229508196721207</v>
      </c>
      <c r="F49" s="17">
        <f t="shared" ref="F49:F73" si="9">100*((B49/B37)-1)</f>
        <v>-0.49909400133515414</v>
      </c>
      <c r="G49" s="17">
        <f t="shared" si="6"/>
        <v>-1.9792058123512479</v>
      </c>
      <c r="H49" s="39">
        <f t="shared" si="1"/>
        <v>1.2513418530351439</v>
      </c>
    </row>
    <row r="50" spans="1:8">
      <c r="A50" s="16">
        <v>35886</v>
      </c>
      <c r="B50" s="24">
        <f>+geral!K608</f>
        <v>301.83</v>
      </c>
      <c r="C50" s="17">
        <f t="shared" si="2"/>
        <v>113.3974527557576</v>
      </c>
      <c r="D50" s="17">
        <f t="shared" si="0"/>
        <v>-3.5686900958466494</v>
      </c>
      <c r="E50" s="17">
        <f t="shared" si="8"/>
        <v>-1.0393442622950833</v>
      </c>
      <c r="F50" s="17">
        <f t="shared" si="9"/>
        <v>-7.9451782699380136E-2</v>
      </c>
      <c r="G50" s="17">
        <f t="shared" si="6"/>
        <v>-6.7130273528048345</v>
      </c>
      <c r="H50" s="39">
        <f t="shared" si="1"/>
        <v>1.2976509955935462</v>
      </c>
    </row>
    <row r="51" spans="1:8">
      <c r="A51" s="16">
        <v>35916</v>
      </c>
      <c r="B51" s="24">
        <f>+geral!K609</f>
        <v>306.67</v>
      </c>
      <c r="C51" s="17">
        <f t="shared" si="2"/>
        <v>115.21583950107073</v>
      </c>
      <c r="D51" s="17">
        <f t="shared" si="0"/>
        <v>1.6035516681575768</v>
      </c>
      <c r="E51" s="17">
        <f t="shared" si="8"/>
        <v>0.54754098360656478</v>
      </c>
      <c r="F51" s="17">
        <f t="shared" si="9"/>
        <v>-3.4930924882776715</v>
      </c>
      <c r="G51" s="17">
        <f t="shared" si="6"/>
        <v>-3.7898039215686241</v>
      </c>
      <c r="H51" s="39">
        <f t="shared" si="1"/>
        <v>1.277170900316301</v>
      </c>
    </row>
    <row r="52" spans="1:8">
      <c r="A52" s="16">
        <v>35947</v>
      </c>
      <c r="B52" s="24">
        <f>+geral!K610</f>
        <v>310.29000000000002</v>
      </c>
      <c r="C52" s="17">
        <f t="shared" si="2"/>
        <v>116.57587256264794</v>
      </c>
      <c r="D52" s="17">
        <f t="shared" si="0"/>
        <v>1.1804219519353065</v>
      </c>
      <c r="E52" s="17">
        <f t="shared" si="8"/>
        <v>1.7344262295082125</v>
      </c>
      <c r="F52" s="17">
        <f t="shared" si="9"/>
        <v>1.4682799215173237</v>
      </c>
      <c r="G52" s="17">
        <f t="shared" si="6"/>
        <v>3.0452975557917261</v>
      </c>
      <c r="H52" s="39">
        <f t="shared" si="1"/>
        <v>1.2622707789487253</v>
      </c>
    </row>
    <row r="53" spans="1:8">
      <c r="A53" s="16">
        <v>35977</v>
      </c>
      <c r="B53" s="24">
        <f>+geral!K611</f>
        <v>294.2</v>
      </c>
      <c r="C53" s="17">
        <f t="shared" si="2"/>
        <v>110.53086373370402</v>
      </c>
      <c r="D53" s="17">
        <f t="shared" si="0"/>
        <v>-5.1854716555480458</v>
      </c>
      <c r="E53" s="17">
        <f t="shared" si="8"/>
        <v>-3.5409836065573796</v>
      </c>
      <c r="F53" s="17">
        <f t="shared" si="9"/>
        <v>-0.88602904019134954</v>
      </c>
      <c r="G53" s="17">
        <f t="shared" si="6"/>
        <v>-7.0105569252165161</v>
      </c>
      <c r="H53" s="39">
        <f t="shared" si="1"/>
        <v>1.3313052345343306</v>
      </c>
    </row>
    <row r="54" spans="1:8">
      <c r="A54" s="16">
        <v>36008</v>
      </c>
      <c r="B54" s="24">
        <f>+geral!K612</f>
        <v>329.78</v>
      </c>
      <c r="C54" s="17">
        <f t="shared" si="2"/>
        <v>123.89826051020025</v>
      </c>
      <c r="D54" s="17">
        <f t="shared" si="0"/>
        <v>12.09381373215499</v>
      </c>
      <c r="E54" s="17">
        <f t="shared" si="8"/>
        <v>8.1245901639344087</v>
      </c>
      <c r="F54" s="17">
        <f t="shared" si="9"/>
        <v>6.9568319657509869</v>
      </c>
      <c r="G54" s="17">
        <f t="shared" si="6"/>
        <v>6.7698384433580339</v>
      </c>
      <c r="H54" s="39">
        <f t="shared" si="1"/>
        <v>1.1876705682576265</v>
      </c>
    </row>
    <row r="55" spans="1:8">
      <c r="A55" s="16">
        <v>36039</v>
      </c>
      <c r="B55" s="24">
        <f>+geral!K613</f>
        <v>314.73</v>
      </c>
      <c r="C55" s="17">
        <f t="shared" si="2"/>
        <v>118.24397941165419</v>
      </c>
      <c r="D55" s="17">
        <f t="shared" si="0"/>
        <v>-4.5636484929346688</v>
      </c>
      <c r="E55" s="17">
        <f t="shared" si="8"/>
        <v>3.1901639344262378</v>
      </c>
      <c r="F55" s="17">
        <f t="shared" si="9"/>
        <v>4.2152317880794765</v>
      </c>
      <c r="G55" s="17">
        <f t="shared" si="6"/>
        <v>-3.7110689591874135</v>
      </c>
      <c r="H55" s="39">
        <f t="shared" si="1"/>
        <v>1.2444635084040288</v>
      </c>
    </row>
    <row r="56" spans="1:8">
      <c r="A56" s="16">
        <v>36069</v>
      </c>
      <c r="B56" s="24">
        <f>+geral!K614</f>
        <v>313.95999999999998</v>
      </c>
      <c r="C56" s="17">
        <f t="shared" si="2"/>
        <v>117.95469061126346</v>
      </c>
      <c r="D56" s="17">
        <f t="shared" si="0"/>
        <v>-0.24465414799988983</v>
      </c>
      <c r="E56" s="17">
        <f t="shared" si="8"/>
        <v>2.9377049180327797</v>
      </c>
      <c r="F56" s="17">
        <f t="shared" si="9"/>
        <v>5.355704697986563</v>
      </c>
      <c r="G56" s="17">
        <f t="shared" si="6"/>
        <v>1.5394566623544659</v>
      </c>
      <c r="H56" s="39">
        <f t="shared" si="1"/>
        <v>1.247515607083705</v>
      </c>
    </row>
    <row r="57" spans="1:8">
      <c r="A57" s="16">
        <v>36100</v>
      </c>
      <c r="B57" s="24">
        <f>+geral!K615</f>
        <v>321.7</v>
      </c>
      <c r="C57" s="17">
        <f t="shared" si="2"/>
        <v>120.86260660480144</v>
      </c>
      <c r="D57" s="17">
        <f t="shared" si="0"/>
        <v>2.4652822015543308</v>
      </c>
      <c r="E57" s="17">
        <f t="shared" si="8"/>
        <v>5.475409836065559</v>
      </c>
      <c r="F57" s="17">
        <f t="shared" si="9"/>
        <v>5.199476782210577</v>
      </c>
      <c r="G57" s="17">
        <f t="shared" si="6"/>
        <v>4.3125810635538331</v>
      </c>
      <c r="H57" s="39">
        <f t="shared" si="1"/>
        <v>1.2175007771215418</v>
      </c>
    </row>
    <row r="58" spans="1:8">
      <c r="A58" s="16">
        <v>36130</v>
      </c>
      <c r="B58" s="24">
        <f>+geral!K616</f>
        <v>300.82</v>
      </c>
      <c r="C58" s="17">
        <f t="shared" si="2"/>
        <v>113.01799601758275</v>
      </c>
      <c r="D58" s="17">
        <f t="shared" si="0"/>
        <v>-6.4905191171899297</v>
      </c>
      <c r="E58" s="17">
        <f t="shared" si="8"/>
        <v>-1.370491803278695</v>
      </c>
      <c r="F58" s="17">
        <f t="shared" si="9"/>
        <v>-1.370491803278695</v>
      </c>
      <c r="G58" s="17">
        <f t="shared" si="6"/>
        <v>-3.2204098703471296</v>
      </c>
      <c r="H58" s="39">
        <f t="shared" si="1"/>
        <v>1.302007845223057</v>
      </c>
    </row>
    <row r="59" spans="1:8">
      <c r="A59" s="16">
        <v>36161</v>
      </c>
      <c r="B59" s="24">
        <f>+geral!M605</f>
        <v>328.49</v>
      </c>
      <c r="C59" s="17">
        <f t="shared" si="2"/>
        <v>123.41360784461058</v>
      </c>
      <c r="D59" s="17">
        <f t="shared" si="0"/>
        <v>9.1981916096004248</v>
      </c>
      <c r="E59" s="17">
        <f>100*((B59/$B$58)-1)</f>
        <v>9.1981916096004248</v>
      </c>
      <c r="F59" s="17">
        <f t="shared" si="9"/>
        <v>6.5937631826589183</v>
      </c>
      <c r="G59" s="17">
        <f t="shared" si="6"/>
        <v>3.5690639089447362</v>
      </c>
      <c r="H59" s="39">
        <f t="shared" si="1"/>
        <v>1.1923346220585103</v>
      </c>
    </row>
    <row r="60" spans="1:8">
      <c r="A60" s="16">
        <v>36192</v>
      </c>
      <c r="B60" s="24">
        <f>+geral!M606</f>
        <v>342.13</v>
      </c>
      <c r="C60" s="17">
        <f t="shared" si="2"/>
        <v>128.53815230867491</v>
      </c>
      <c r="D60" s="17">
        <f t="shared" si="0"/>
        <v>4.152333404365427</v>
      </c>
      <c r="E60" s="17">
        <f t="shared" ref="E60:E70" si="10">100*((B60/$B$58)-1)</f>
        <v>13.732464596768823</v>
      </c>
      <c r="F60" s="17">
        <f t="shared" si="9"/>
        <v>14.489843723856378</v>
      </c>
      <c r="G60" s="17">
        <f t="shared" si="6"/>
        <v>8.2689873417721493</v>
      </c>
      <c r="H60" s="39">
        <f t="shared" si="1"/>
        <v>1.1447987607049952</v>
      </c>
    </row>
    <row r="61" spans="1:8">
      <c r="A61" s="16">
        <v>36220</v>
      </c>
      <c r="B61" s="24">
        <f>+geral!M607</f>
        <v>355.69</v>
      </c>
      <c r="C61" s="17">
        <f t="shared" si="2"/>
        <v>133.63264079347783</v>
      </c>
      <c r="D61" s="17">
        <f t="shared" si="0"/>
        <v>3.9634057229708031</v>
      </c>
      <c r="E61" s="17">
        <f t="shared" si="10"/>
        <v>18.240143607472902</v>
      </c>
      <c r="F61" s="17">
        <f t="shared" si="9"/>
        <v>13.638977635782744</v>
      </c>
      <c r="G61" s="17">
        <f t="shared" si="6"/>
        <v>13.071812315223962</v>
      </c>
      <c r="H61" s="39">
        <f t="shared" si="1"/>
        <v>1.1011555005763447</v>
      </c>
    </row>
    <row r="62" spans="1:8">
      <c r="A62" s="16">
        <v>36251</v>
      </c>
      <c r="B62" s="24">
        <f>+geral!M608</f>
        <v>367</v>
      </c>
      <c r="C62" s="17">
        <f t="shared" si="2"/>
        <v>137.88180486155463</v>
      </c>
      <c r="D62" s="17">
        <f t="shared" si="0"/>
        <v>3.1797351626416281</v>
      </c>
      <c r="E62" s="17">
        <f t="shared" si="10"/>
        <v>21.99986703011767</v>
      </c>
      <c r="F62" s="17">
        <f t="shared" si="9"/>
        <v>21.591624424344836</v>
      </c>
      <c r="G62" s="17">
        <f t="shared" si="6"/>
        <v>21.495017711126565</v>
      </c>
      <c r="H62" s="39">
        <f t="shared" si="1"/>
        <v>1.0672207084468666</v>
      </c>
    </row>
    <row r="63" spans="1:8">
      <c r="A63" s="16">
        <v>36281</v>
      </c>
      <c r="B63" s="24">
        <f>+geral!M609</f>
        <v>373.86</v>
      </c>
      <c r="C63" s="17">
        <f t="shared" si="2"/>
        <v>140.45910508321748</v>
      </c>
      <c r="D63" s="17">
        <f t="shared" si="0"/>
        <v>1.869209809264305</v>
      </c>
      <c r="E63" s="17">
        <f t="shared" si="10"/>
        <v>24.280300511934062</v>
      </c>
      <c r="F63" s="17">
        <f t="shared" si="9"/>
        <v>21.909544461473239</v>
      </c>
      <c r="G63" s="17">
        <f t="shared" si="6"/>
        <v>17.651131321395997</v>
      </c>
      <c r="H63" s="39">
        <f t="shared" si="1"/>
        <v>1.0476381533194243</v>
      </c>
    </row>
    <row r="64" spans="1:8">
      <c r="A64" s="16">
        <v>36312</v>
      </c>
      <c r="B64" s="24">
        <f>+geral!M610</f>
        <v>365.71</v>
      </c>
      <c r="C64" s="17">
        <f t="shared" si="2"/>
        <v>137.39715219596496</v>
      </c>
      <c r="D64" s="17">
        <f t="shared" si="0"/>
        <v>-2.1799604129888239</v>
      </c>
      <c r="E64" s="17">
        <f t="shared" si="10"/>
        <v>21.571039159630345</v>
      </c>
      <c r="F64" s="17">
        <f t="shared" si="9"/>
        <v>17.860710947823002</v>
      </c>
      <c r="G64" s="17">
        <f t="shared" si="6"/>
        <v>19.591236102027466</v>
      </c>
      <c r="H64" s="39">
        <f t="shared" si="1"/>
        <v>1.0709852068578929</v>
      </c>
    </row>
    <row r="65" spans="1:8">
      <c r="A65" s="16">
        <v>36342</v>
      </c>
      <c r="B65" s="24">
        <f>+geral!M611</f>
        <v>357.3</v>
      </c>
      <c r="C65" s="17">
        <f t="shared" si="2"/>
        <v>134.237517376113</v>
      </c>
      <c r="D65" s="17">
        <f t="shared" si="0"/>
        <v>-2.2996363238631634</v>
      </c>
      <c r="E65" s="17">
        <f t="shared" si="10"/>
        <v>18.775347383817564</v>
      </c>
      <c r="F65" s="17">
        <f t="shared" si="9"/>
        <v>21.447994561522776</v>
      </c>
      <c r="G65" s="17">
        <f t="shared" si="6"/>
        <v>20.371930060977682</v>
      </c>
      <c r="H65" s="39">
        <f t="shared" si="1"/>
        <v>1.0961936747830954</v>
      </c>
    </row>
    <row r="66" spans="1:8">
      <c r="A66" s="16">
        <v>36373</v>
      </c>
      <c r="B66" s="24">
        <f>+geral!M612</f>
        <v>372.43</v>
      </c>
      <c r="C66" s="17">
        <f t="shared" si="2"/>
        <v>139.92185445392042</v>
      </c>
      <c r="D66" s="17">
        <f t="shared" si="0"/>
        <v>4.2345368038063214</v>
      </c>
      <c r="E66" s="17">
        <f t="shared" si="10"/>
        <v>23.804933182634148</v>
      </c>
      <c r="F66" s="17">
        <f t="shared" si="9"/>
        <v>12.9328643337983</v>
      </c>
      <c r="G66" s="17">
        <f t="shared" si="6"/>
        <v>20.789413939610156</v>
      </c>
      <c r="H66" s="39">
        <f t="shared" si="1"/>
        <v>1.0516607147651909</v>
      </c>
    </row>
    <row r="67" spans="1:8">
      <c r="A67" s="16">
        <v>36404</v>
      </c>
      <c r="B67" s="24">
        <f>+geral!M613</f>
        <v>363.83</v>
      </c>
      <c r="C67" s="17">
        <f t="shared" si="2"/>
        <v>136.69083668332269</v>
      </c>
      <c r="D67" s="17">
        <f t="shared" si="0"/>
        <v>-2.3091587680906578</v>
      </c>
      <c r="E67" s="17">
        <f t="shared" si="10"/>
        <v>20.946080712718572</v>
      </c>
      <c r="F67" s="17">
        <f t="shared" si="9"/>
        <v>15.600673593238646</v>
      </c>
      <c r="G67" s="17">
        <f t="shared" si="6"/>
        <v>20.473509933774835</v>
      </c>
      <c r="H67" s="39">
        <f t="shared" si="1"/>
        <v>1.0765192534975128</v>
      </c>
    </row>
    <row r="68" spans="1:8">
      <c r="A68" s="16">
        <v>36434</v>
      </c>
      <c r="B68" s="24">
        <f>+geral!M614</f>
        <v>361.64</v>
      </c>
      <c r="C68" s="17">
        <f t="shared" si="2"/>
        <v>135.86805425104257</v>
      </c>
      <c r="D68" s="17">
        <f t="shared" si="0"/>
        <v>-0.60192947255586216</v>
      </c>
      <c r="E68" s="17">
        <f t="shared" si="10"/>
        <v>20.218070607007512</v>
      </c>
      <c r="F68" s="17">
        <f t="shared" si="9"/>
        <v>15.186647980634472</v>
      </c>
      <c r="G68" s="17">
        <f t="shared" si="6"/>
        <v>21.355704697986578</v>
      </c>
      <c r="H68" s="39">
        <f t="shared" si="1"/>
        <v>1.0830383807100985</v>
      </c>
    </row>
    <row r="69" spans="1:8">
      <c r="A69" s="16">
        <v>36465</v>
      </c>
      <c r="B69" s="24">
        <f>+geral!M615</f>
        <v>413</v>
      </c>
      <c r="C69" s="17">
        <f t="shared" si="2"/>
        <v>155.16399293684486</v>
      </c>
      <c r="D69" s="17">
        <f t="shared" si="0"/>
        <v>14.201968808760101</v>
      </c>
      <c r="E69" s="17">
        <f t="shared" si="10"/>
        <v>37.291403497107908</v>
      </c>
      <c r="F69" s="17">
        <f t="shared" si="9"/>
        <v>28.380478706869749</v>
      </c>
      <c r="G69" s="17">
        <f t="shared" si="6"/>
        <v>35.055591890124262</v>
      </c>
      <c r="H69" s="39">
        <f t="shared" si="1"/>
        <v>0.94835351089588382</v>
      </c>
    </row>
    <row r="70" spans="1:8">
      <c r="A70" s="16">
        <v>36495</v>
      </c>
      <c r="B70" s="24">
        <f>+geral!M616</f>
        <v>384.86</v>
      </c>
      <c r="C70" s="17">
        <f t="shared" si="2"/>
        <v>144.59180223165646</v>
      </c>
      <c r="D70" s="17">
        <f t="shared" si="0"/>
        <v>-6.8135593220338908</v>
      </c>
      <c r="E70" s="17">
        <f t="shared" si="10"/>
        <v>27.936972275779539</v>
      </c>
      <c r="F70" s="17">
        <f t="shared" si="9"/>
        <v>27.936972275779539</v>
      </c>
      <c r="G70" s="17">
        <f t="shared" si="6"/>
        <v>26.183606557377061</v>
      </c>
      <c r="H70" s="39">
        <f>B$73/B70</f>
        <v>1.0176947461414541</v>
      </c>
    </row>
    <row r="71" spans="1:8">
      <c r="A71" s="16">
        <v>36526</v>
      </c>
      <c r="B71" s="24">
        <f>+geral!O605</f>
        <v>396.67</v>
      </c>
      <c r="C71" s="17">
        <f>100*B71/$B$6</f>
        <v>149.02881617011684</v>
      </c>
      <c r="D71" s="17">
        <f>100*((B71/B70)-1)</f>
        <v>3.0686483396559883</v>
      </c>
      <c r="E71" s="17">
        <f>100*((B71/$B$70)-1)</f>
        <v>3.0686483396559883</v>
      </c>
      <c r="F71" s="17">
        <f t="shared" si="9"/>
        <v>20.755578556424847</v>
      </c>
      <c r="G71" s="17">
        <f t="shared" si="6"/>
        <v>28.717915436285168</v>
      </c>
      <c r="H71" s="39">
        <f>B$73/B71</f>
        <v>0.98739506390702603</v>
      </c>
    </row>
    <row r="72" spans="1:8">
      <c r="A72" s="16">
        <v>36557</v>
      </c>
      <c r="B72" s="24">
        <f>+geral!O606</f>
        <v>383</v>
      </c>
      <c r="C72" s="17">
        <f>100*B72/$B$6</f>
        <v>143.89300071382951</v>
      </c>
      <c r="D72" s="17">
        <f>100*((B72/B71)-1)</f>
        <v>-3.446189527819099</v>
      </c>
      <c r="E72" s="17">
        <f>100*((B72/$B$70)-1)</f>
        <v>-0.48329262588994171</v>
      </c>
      <c r="F72" s="17">
        <f t="shared" si="9"/>
        <v>11.945751614883227</v>
      </c>
      <c r="G72" s="17">
        <f t="shared" si="6"/>
        <v>28.166516079376237</v>
      </c>
      <c r="H72" s="39">
        <f>B$73/B72</f>
        <v>1.0226370757180157</v>
      </c>
    </row>
    <row r="73" spans="1:8">
      <c r="A73" s="16">
        <v>36586</v>
      </c>
      <c r="B73" s="24">
        <f>+geral!O607</f>
        <v>391.67</v>
      </c>
      <c r="C73" s="17">
        <f>100*B73/$B$6</f>
        <v>147.15031746628094</v>
      </c>
      <c r="D73" s="17">
        <f>100*((B73/B72)-1)</f>
        <v>2.2637075718015653</v>
      </c>
      <c r="E73" s="17">
        <f>100*((B73/$B$70)-1)</f>
        <v>1.7694746141454054</v>
      </c>
      <c r="F73" s="22">
        <f t="shared" si="9"/>
        <v>10.11555005763447</v>
      </c>
      <c r="G73" s="22">
        <f>100*(B73/B49-1)</f>
        <v>25.134185303514389</v>
      </c>
      <c r="H73" s="39">
        <f>B$73/B73</f>
        <v>1</v>
      </c>
    </row>
    <row r="74" spans="1:8">
      <c r="A74" s="57">
        <v>36617</v>
      </c>
      <c r="B74" s="58" t="s">
        <v>118</v>
      </c>
      <c r="C74" s="58"/>
      <c r="D74" s="58"/>
      <c r="E74" s="60"/>
      <c r="F74" s="58"/>
      <c r="G74" s="61"/>
      <c r="H74" s="39"/>
    </row>
  </sheetData>
  <phoneticPr fontId="0" type="noConversion"/>
  <pageMargins left="0.78740157499999996" right="0.78740157499999996" top="0.984251969" bottom="0.984251969" header="0.49212598499999999" footer="0.49212598499999999"/>
  <pageSetup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45"/>
  <dimension ref="A1:H74"/>
  <sheetViews>
    <sheetView showGridLines="0" topLeftCell="A61" zoomScale="74" workbookViewId="0">
      <selection activeCell="A76" sqref="A76"/>
    </sheetView>
  </sheetViews>
  <sheetFormatPr defaultRowHeight="15"/>
  <cols>
    <col min="2" max="2" width="7.77734375" customWidth="1"/>
    <col min="3" max="7" width="8.77734375" customWidth="1"/>
    <col min="8" max="8" width="11.77734375" customWidth="1"/>
  </cols>
  <sheetData>
    <row r="1" spans="1:8">
      <c r="A1" s="1"/>
      <c r="B1" s="1"/>
      <c r="C1" s="1"/>
      <c r="D1" s="1"/>
      <c r="E1" s="1"/>
      <c r="F1" s="1"/>
      <c r="G1" s="1"/>
    </row>
    <row r="2" spans="1:8" ht="16.5">
      <c r="A2" s="6" t="s">
        <v>81</v>
      </c>
      <c r="B2" s="6"/>
      <c r="C2" s="6"/>
      <c r="D2" s="6"/>
      <c r="E2" s="7"/>
      <c r="F2" s="7"/>
      <c r="G2" s="7"/>
    </row>
    <row r="3" spans="1:8" ht="15.75">
      <c r="A3" s="2" t="s">
        <v>149</v>
      </c>
      <c r="B3" s="1"/>
      <c r="C3" s="1"/>
      <c r="D3" s="1"/>
      <c r="E3" s="1"/>
      <c r="F3" s="1"/>
      <c r="G3" s="1"/>
    </row>
    <row r="4" spans="1:8" ht="63">
      <c r="A4" s="8" t="s">
        <v>67</v>
      </c>
      <c r="B4" s="8" t="s">
        <v>76</v>
      </c>
      <c r="C4" s="8" t="s">
        <v>68</v>
      </c>
      <c r="D4" s="10" t="s">
        <v>69</v>
      </c>
      <c r="E4" s="10" t="s">
        <v>65</v>
      </c>
      <c r="F4" s="10" t="s">
        <v>70</v>
      </c>
      <c r="G4" s="8" t="s">
        <v>160</v>
      </c>
      <c r="H4" s="8" t="s">
        <v>186</v>
      </c>
    </row>
    <row r="5" spans="1:8">
      <c r="A5" s="16">
        <v>34516</v>
      </c>
      <c r="B5" s="24">
        <f>+geral!C736</f>
        <v>10.73</v>
      </c>
      <c r="C5" s="17">
        <v>100</v>
      </c>
      <c r="D5" s="17"/>
      <c r="E5" s="17"/>
      <c r="F5" s="17"/>
      <c r="G5" s="17"/>
      <c r="H5" s="39">
        <f>B$73/B5</f>
        <v>1.7371854613233924</v>
      </c>
    </row>
    <row r="6" spans="1:8">
      <c r="A6" s="16">
        <v>34547</v>
      </c>
      <c r="B6" s="24">
        <f>+geral!C737</f>
        <v>14.4</v>
      </c>
      <c r="C6" s="17">
        <v>100</v>
      </c>
      <c r="D6" s="17">
        <f t="shared" ref="D6:D70" si="0">100*((B6/B5)-1)</f>
        <v>34.203168685927295</v>
      </c>
      <c r="E6" s="17"/>
      <c r="F6" s="17"/>
      <c r="G6" s="17"/>
      <c r="H6" s="39">
        <f t="shared" ref="H6:H69" si="1">B$73/B6</f>
        <v>1.2944444444444445</v>
      </c>
    </row>
    <row r="7" spans="1:8">
      <c r="A7" s="16">
        <v>34578</v>
      </c>
      <c r="B7" s="24">
        <f>+geral!C738</f>
        <v>15.25</v>
      </c>
      <c r="C7" s="17">
        <f t="shared" ref="C7:C70" si="2">100*B7/$B$6</f>
        <v>105.90277777777777</v>
      </c>
      <c r="D7" s="17">
        <f t="shared" si="0"/>
        <v>5.9027777777777679</v>
      </c>
      <c r="E7" s="17"/>
      <c r="F7" s="17"/>
      <c r="G7" s="17"/>
      <c r="H7" s="39">
        <f t="shared" si="1"/>
        <v>1.2222950819672131</v>
      </c>
    </row>
    <row r="8" spans="1:8">
      <c r="A8" s="16">
        <v>34608</v>
      </c>
      <c r="B8" s="24">
        <f>+geral!C739</f>
        <v>16.02</v>
      </c>
      <c r="C8" s="17">
        <f t="shared" si="2"/>
        <v>111.25</v>
      </c>
      <c r="D8" s="17">
        <f t="shared" si="0"/>
        <v>5.0491803278688518</v>
      </c>
      <c r="E8" s="17"/>
      <c r="F8" s="17"/>
      <c r="G8" s="17"/>
      <c r="H8" s="39">
        <f t="shared" si="1"/>
        <v>1.1635455680399502</v>
      </c>
    </row>
    <row r="9" spans="1:8">
      <c r="A9" s="16">
        <v>34639</v>
      </c>
      <c r="B9" s="24">
        <f>+geral!C740</f>
        <v>12.7</v>
      </c>
      <c r="C9" s="17">
        <f t="shared" si="2"/>
        <v>88.194444444444443</v>
      </c>
      <c r="D9" s="17">
        <f t="shared" si="0"/>
        <v>-20.724094881398258</v>
      </c>
      <c r="E9" s="17"/>
      <c r="F9" s="17"/>
      <c r="G9" s="17"/>
      <c r="H9" s="39">
        <f t="shared" si="1"/>
        <v>1.467716535433071</v>
      </c>
    </row>
    <row r="10" spans="1:8">
      <c r="A10" s="16">
        <v>34669</v>
      </c>
      <c r="B10" s="24">
        <f>+geral!C741</f>
        <v>14.21</v>
      </c>
      <c r="C10" s="17">
        <f t="shared" si="2"/>
        <v>98.680555555555557</v>
      </c>
      <c r="D10" s="17">
        <f t="shared" si="0"/>
        <v>11.889763779527573</v>
      </c>
      <c r="E10" s="17"/>
      <c r="F10" s="17"/>
      <c r="G10" s="17"/>
      <c r="H10" s="39">
        <f t="shared" si="1"/>
        <v>1.3117522871217453</v>
      </c>
    </row>
    <row r="11" spans="1:8">
      <c r="A11" s="16">
        <v>34700</v>
      </c>
      <c r="B11" s="24">
        <f>+geral!E730</f>
        <v>14.9</v>
      </c>
      <c r="C11" s="17">
        <f t="shared" si="2"/>
        <v>103.47222222222221</v>
      </c>
      <c r="D11" s="17">
        <f t="shared" si="0"/>
        <v>4.8557353976073081</v>
      </c>
      <c r="E11" s="17">
        <f>100*((B11/$B$10)-1)</f>
        <v>4.8557353976073081</v>
      </c>
      <c r="F11" s="17"/>
      <c r="G11" s="17"/>
      <c r="H11" s="39">
        <f t="shared" si="1"/>
        <v>1.2510067114093959</v>
      </c>
    </row>
    <row r="12" spans="1:8">
      <c r="A12" s="16">
        <v>34731</v>
      </c>
      <c r="B12" s="24">
        <f>+geral!E731</f>
        <v>13.74</v>
      </c>
      <c r="C12" s="17">
        <f t="shared" si="2"/>
        <v>95.416666666666671</v>
      </c>
      <c r="D12" s="17">
        <f t="shared" si="0"/>
        <v>-7.7852348993288629</v>
      </c>
      <c r="E12" s="17">
        <f t="shared" ref="E12:E22" si="3">100*((B12/$B$10)-1)</f>
        <v>-3.3075299085151388</v>
      </c>
      <c r="F12" s="17"/>
      <c r="G12" s="17"/>
      <c r="H12" s="39">
        <f t="shared" si="1"/>
        <v>1.3566229985443961</v>
      </c>
    </row>
    <row r="13" spans="1:8">
      <c r="A13" s="16">
        <v>34759</v>
      </c>
      <c r="B13" s="24">
        <f>+geral!E732</f>
        <v>15.4</v>
      </c>
      <c r="C13" s="17">
        <f t="shared" si="2"/>
        <v>106.94444444444444</v>
      </c>
      <c r="D13" s="17">
        <f t="shared" si="0"/>
        <v>12.081513828238721</v>
      </c>
      <c r="E13" s="17">
        <f t="shared" si="3"/>
        <v>8.3743842364532028</v>
      </c>
      <c r="F13" s="17"/>
      <c r="G13" s="17"/>
      <c r="H13" s="39">
        <f t="shared" si="1"/>
        <v>1.2103896103896103</v>
      </c>
    </row>
    <row r="14" spans="1:8">
      <c r="A14" s="16">
        <v>34790</v>
      </c>
      <c r="B14" s="24">
        <f>+geral!E733</f>
        <v>18.14</v>
      </c>
      <c r="C14" s="17">
        <f t="shared" si="2"/>
        <v>125.97222222222221</v>
      </c>
      <c r="D14" s="17">
        <f t="shared" si="0"/>
        <v>17.792207792207805</v>
      </c>
      <c r="E14" s="17">
        <f t="shared" si="3"/>
        <v>27.656579873328635</v>
      </c>
      <c r="F14" s="17"/>
      <c r="G14" s="17"/>
      <c r="H14" s="39">
        <f t="shared" si="1"/>
        <v>1.0275633958103638</v>
      </c>
    </row>
    <row r="15" spans="1:8">
      <c r="A15" s="16">
        <v>34820</v>
      </c>
      <c r="B15" s="24">
        <f>+geral!E734</f>
        <v>18.27</v>
      </c>
      <c r="C15" s="17">
        <f t="shared" si="2"/>
        <v>126.875</v>
      </c>
      <c r="D15" s="17">
        <f t="shared" si="0"/>
        <v>0.71664829106945493</v>
      </c>
      <c r="E15" s="17">
        <f t="shared" si="3"/>
        <v>28.571428571428559</v>
      </c>
      <c r="F15" s="17"/>
      <c r="G15" s="17"/>
      <c r="H15" s="39">
        <f t="shared" si="1"/>
        <v>1.0202517788724685</v>
      </c>
    </row>
    <row r="16" spans="1:8">
      <c r="A16" s="16">
        <v>38504</v>
      </c>
      <c r="B16" s="24">
        <f>+geral!E735</f>
        <v>15.49</v>
      </c>
      <c r="C16" s="17">
        <f t="shared" si="2"/>
        <v>107.56944444444444</v>
      </c>
      <c r="D16" s="17">
        <f t="shared" si="0"/>
        <v>-15.216201423097974</v>
      </c>
      <c r="E16" s="17">
        <f t="shared" si="3"/>
        <v>9.0077410274454586</v>
      </c>
      <c r="F16" s="17"/>
      <c r="G16" s="17"/>
      <c r="H16" s="39">
        <f t="shared" si="1"/>
        <v>1.2033570045190445</v>
      </c>
    </row>
    <row r="17" spans="1:8">
      <c r="A17" s="16">
        <v>34881</v>
      </c>
      <c r="B17" s="24">
        <f>+geral!E736</f>
        <v>17.350000000000001</v>
      </c>
      <c r="C17" s="17">
        <f t="shared" si="2"/>
        <v>120.48611111111113</v>
      </c>
      <c r="D17" s="17">
        <f t="shared" si="0"/>
        <v>12.007746933505503</v>
      </c>
      <c r="E17" s="17">
        <f t="shared" si="3"/>
        <v>22.097114707952148</v>
      </c>
      <c r="F17" s="17">
        <f t="shared" ref="F17:F48" si="4">100*((B17/B5)-1)</f>
        <v>61.696178937558258</v>
      </c>
      <c r="G17" s="17"/>
      <c r="H17" s="39">
        <f t="shared" si="1"/>
        <v>1.0743515850144092</v>
      </c>
    </row>
    <row r="18" spans="1:8">
      <c r="A18" s="16">
        <v>34912</v>
      </c>
      <c r="B18" s="24">
        <f>+geral!E737</f>
        <v>17.23</v>
      </c>
      <c r="C18" s="17">
        <f t="shared" si="2"/>
        <v>119.65277777777777</v>
      </c>
      <c r="D18" s="17">
        <f t="shared" si="0"/>
        <v>-0.691642651296831</v>
      </c>
      <c r="E18" s="17">
        <f t="shared" si="3"/>
        <v>21.252638986629123</v>
      </c>
      <c r="F18" s="17">
        <f t="shared" si="4"/>
        <v>19.652777777777786</v>
      </c>
      <c r="G18" s="17"/>
      <c r="H18" s="39">
        <f t="shared" si="1"/>
        <v>1.0818340104468949</v>
      </c>
    </row>
    <row r="19" spans="1:8">
      <c r="A19" s="16">
        <v>34943</v>
      </c>
      <c r="B19" s="24">
        <f>+geral!E738</f>
        <v>17.78</v>
      </c>
      <c r="C19" s="17">
        <f t="shared" si="2"/>
        <v>123.47222222222221</v>
      </c>
      <c r="D19" s="17">
        <f t="shared" si="0"/>
        <v>3.1921067904817191</v>
      </c>
      <c r="E19" s="17">
        <f t="shared" si="3"/>
        <v>25.123152709359609</v>
      </c>
      <c r="F19" s="17">
        <f t="shared" si="4"/>
        <v>16.590163934426229</v>
      </c>
      <c r="G19" s="17"/>
      <c r="H19" s="39">
        <f t="shared" si="1"/>
        <v>1.0483689538807648</v>
      </c>
    </row>
    <row r="20" spans="1:8">
      <c r="A20" s="16">
        <v>34973</v>
      </c>
      <c r="B20" s="24">
        <f>+geral!E739</f>
        <v>17.32</v>
      </c>
      <c r="C20" s="17">
        <f t="shared" si="2"/>
        <v>120.27777777777777</v>
      </c>
      <c r="D20" s="17">
        <f t="shared" si="0"/>
        <v>-2.5871766029246346</v>
      </c>
      <c r="E20" s="17">
        <f t="shared" si="3"/>
        <v>21.885995777621382</v>
      </c>
      <c r="F20" s="17">
        <f t="shared" si="4"/>
        <v>8.1148564294631687</v>
      </c>
      <c r="G20" s="17"/>
      <c r="H20" s="39">
        <f t="shared" si="1"/>
        <v>1.0762124711316396</v>
      </c>
    </row>
    <row r="21" spans="1:8">
      <c r="A21" s="16">
        <v>35004</v>
      </c>
      <c r="B21" s="24">
        <f>+geral!E740</f>
        <v>25.54</v>
      </c>
      <c r="C21" s="17">
        <f t="shared" si="2"/>
        <v>177.36111111111111</v>
      </c>
      <c r="D21" s="17">
        <f t="shared" si="0"/>
        <v>47.459584295612011</v>
      </c>
      <c r="E21" s="17">
        <f t="shared" si="3"/>
        <v>79.732582688247703</v>
      </c>
      <c r="F21" s="17">
        <f t="shared" si="4"/>
        <v>101.10236220472441</v>
      </c>
      <c r="G21" s="17"/>
      <c r="H21" s="39">
        <f t="shared" si="1"/>
        <v>0.72983555207517625</v>
      </c>
    </row>
    <row r="22" spans="1:8">
      <c r="A22" s="16">
        <v>35034</v>
      </c>
      <c r="B22" s="24">
        <f>+geral!E741</f>
        <v>16.16</v>
      </c>
      <c r="C22" s="17">
        <f t="shared" si="2"/>
        <v>112.22222222222221</v>
      </c>
      <c r="D22" s="17">
        <f t="shared" si="0"/>
        <v>-36.726703210649958</v>
      </c>
      <c r="E22" s="17">
        <f t="shared" si="3"/>
        <v>13.722730471498945</v>
      </c>
      <c r="F22" s="17">
        <f t="shared" si="4"/>
        <v>13.722730471498945</v>
      </c>
      <c r="G22" s="17"/>
      <c r="H22" s="39">
        <f t="shared" si="1"/>
        <v>1.1534653465346534</v>
      </c>
    </row>
    <row r="23" spans="1:8">
      <c r="A23" s="16">
        <v>35065</v>
      </c>
      <c r="B23" s="24">
        <f>+geral!G730</f>
        <v>17.329999999999998</v>
      </c>
      <c r="C23" s="17">
        <f t="shared" si="2"/>
        <v>120.3472222222222</v>
      </c>
      <c r="D23" s="17">
        <f t="shared" si="0"/>
        <v>7.2400990099009688</v>
      </c>
      <c r="E23" s="17">
        <f>100*((B23/$B$22)-1)</f>
        <v>7.2400990099009688</v>
      </c>
      <c r="F23" s="17">
        <f t="shared" si="4"/>
        <v>16.30872483221475</v>
      </c>
      <c r="G23" s="17"/>
      <c r="H23" s="39">
        <f t="shared" si="1"/>
        <v>1.075591459896134</v>
      </c>
    </row>
    <row r="24" spans="1:8">
      <c r="A24" s="16">
        <v>35096</v>
      </c>
      <c r="B24" s="24">
        <f>+geral!G731</f>
        <v>16.329999999999998</v>
      </c>
      <c r="C24" s="17">
        <f t="shared" si="2"/>
        <v>113.40277777777776</v>
      </c>
      <c r="D24" s="17">
        <f t="shared" si="0"/>
        <v>-5.7703404500865529</v>
      </c>
      <c r="E24" s="17">
        <f t="shared" ref="E24:E34" si="5">100*((B24/$B$22)-1)</f>
        <v>1.0519801980197974</v>
      </c>
      <c r="F24" s="17">
        <f t="shared" si="4"/>
        <v>18.850072780203764</v>
      </c>
      <c r="G24" s="17"/>
      <c r="H24" s="39">
        <f t="shared" si="1"/>
        <v>1.1414574402939377</v>
      </c>
    </row>
    <row r="25" spans="1:8">
      <c r="A25" s="16">
        <v>35125</v>
      </c>
      <c r="B25" s="24">
        <f>+geral!G732</f>
        <v>24.02</v>
      </c>
      <c r="C25" s="17">
        <f t="shared" si="2"/>
        <v>166.80555555555554</v>
      </c>
      <c r="D25" s="17">
        <f t="shared" si="0"/>
        <v>47.091243110838967</v>
      </c>
      <c r="E25" s="17">
        <f t="shared" si="5"/>
        <v>48.638613861386126</v>
      </c>
      <c r="F25" s="17">
        <f t="shared" si="4"/>
        <v>55.974025974025963</v>
      </c>
      <c r="G25" s="17"/>
      <c r="H25" s="39">
        <f t="shared" si="1"/>
        <v>0.77601998334721067</v>
      </c>
    </row>
    <row r="26" spans="1:8">
      <c r="A26" s="16">
        <v>35156</v>
      </c>
      <c r="B26" s="24">
        <f>+geral!G733</f>
        <v>18.850000000000001</v>
      </c>
      <c r="C26" s="17">
        <f t="shared" si="2"/>
        <v>130.9027777777778</v>
      </c>
      <c r="D26" s="17">
        <f t="shared" si="0"/>
        <v>-21.523730224812653</v>
      </c>
      <c r="E26" s="17">
        <f t="shared" si="5"/>
        <v>16.646039603960403</v>
      </c>
      <c r="F26" s="17">
        <f t="shared" si="4"/>
        <v>3.9140022050716761</v>
      </c>
      <c r="G26" s="17"/>
      <c r="H26" s="39">
        <f t="shared" si="1"/>
        <v>0.98885941644562325</v>
      </c>
    </row>
    <row r="27" spans="1:8">
      <c r="A27" s="16">
        <v>35186</v>
      </c>
      <c r="B27" s="24">
        <f>+geral!G734</f>
        <v>26.93</v>
      </c>
      <c r="C27" s="17">
        <f t="shared" si="2"/>
        <v>187.01388888888889</v>
      </c>
      <c r="D27" s="17">
        <f t="shared" si="0"/>
        <v>42.864721485411138</v>
      </c>
      <c r="E27" s="17">
        <f t="shared" si="5"/>
        <v>66.646039603960389</v>
      </c>
      <c r="F27" s="17">
        <f t="shared" si="4"/>
        <v>47.400109469074977</v>
      </c>
      <c r="G27" s="17"/>
      <c r="H27" s="39">
        <f t="shared" si="1"/>
        <v>0.69216487189008546</v>
      </c>
    </row>
    <row r="28" spans="1:8">
      <c r="A28" s="16">
        <v>35217</v>
      </c>
      <c r="B28" s="24">
        <f>+geral!G735</f>
        <v>16.760000000000002</v>
      </c>
      <c r="C28" s="17">
        <f t="shared" si="2"/>
        <v>116.3888888888889</v>
      </c>
      <c r="D28" s="17">
        <f t="shared" si="0"/>
        <v>-37.764574823616783</v>
      </c>
      <c r="E28" s="17">
        <f t="shared" si="5"/>
        <v>3.7128712871287162</v>
      </c>
      <c r="F28" s="17">
        <f t="shared" si="4"/>
        <v>8.1988379599741812</v>
      </c>
      <c r="G28" s="17"/>
      <c r="H28" s="39">
        <f t="shared" si="1"/>
        <v>1.1121718377088305</v>
      </c>
    </row>
    <row r="29" spans="1:8">
      <c r="A29" s="16">
        <v>35247</v>
      </c>
      <c r="B29" s="24">
        <f>+geral!G736</f>
        <v>16.5</v>
      </c>
      <c r="C29" s="17">
        <f t="shared" si="2"/>
        <v>114.58333333333333</v>
      </c>
      <c r="D29" s="17">
        <f t="shared" si="0"/>
        <v>-1.5513126491646823</v>
      </c>
      <c r="E29" s="17">
        <f t="shared" si="5"/>
        <v>2.1039603960395947</v>
      </c>
      <c r="F29" s="17">
        <f t="shared" si="4"/>
        <v>-4.8991354466858876</v>
      </c>
      <c r="G29" s="17">
        <f>100*(B29/B5-1)</f>
        <v>53.7744641192917</v>
      </c>
      <c r="H29" s="39">
        <f t="shared" si="1"/>
        <v>1.1296969696969696</v>
      </c>
    </row>
    <row r="30" spans="1:8">
      <c r="A30" s="16">
        <v>35278</v>
      </c>
      <c r="B30" s="24">
        <f>+geral!G737</f>
        <v>15.51</v>
      </c>
      <c r="C30" s="17">
        <f t="shared" si="2"/>
        <v>107.70833333333333</v>
      </c>
      <c r="D30" s="17">
        <f t="shared" si="0"/>
        <v>-6.0000000000000053</v>
      </c>
      <c r="E30" s="17">
        <f t="shared" si="5"/>
        <v>-4.0222772277227703</v>
      </c>
      <c r="F30" s="17">
        <f t="shared" si="4"/>
        <v>-9.9825885084155566</v>
      </c>
      <c r="G30" s="17">
        <f t="shared" ref="G30:G72" si="6">100*(B30/B6-1)</f>
        <v>7.7083333333333393</v>
      </c>
      <c r="H30" s="39">
        <f t="shared" si="1"/>
        <v>1.20180528691167</v>
      </c>
    </row>
    <row r="31" spans="1:8">
      <c r="A31" s="16">
        <v>35309</v>
      </c>
      <c r="B31" s="24">
        <f>+geral!G738</f>
        <v>17.309999999999999</v>
      </c>
      <c r="C31" s="17">
        <f t="shared" si="2"/>
        <v>120.20833333333331</v>
      </c>
      <c r="D31" s="17">
        <f t="shared" si="0"/>
        <v>11.605415860735002</v>
      </c>
      <c r="E31" s="17">
        <f t="shared" si="5"/>
        <v>7.116336633663356</v>
      </c>
      <c r="F31" s="17">
        <f t="shared" si="4"/>
        <v>-2.6434195725534404</v>
      </c>
      <c r="G31" s="17">
        <f t="shared" si="6"/>
        <v>13.508196721311471</v>
      </c>
      <c r="H31" s="39">
        <f t="shared" si="1"/>
        <v>1.0768341998844599</v>
      </c>
    </row>
    <row r="32" spans="1:8">
      <c r="A32" s="16">
        <v>35339</v>
      </c>
      <c r="B32" s="24">
        <f>+geral!G739</f>
        <v>16.440000000000001</v>
      </c>
      <c r="C32" s="17">
        <f t="shared" si="2"/>
        <v>114.16666666666669</v>
      </c>
      <c r="D32" s="17">
        <f t="shared" si="0"/>
        <v>-5.0259965337954853</v>
      </c>
      <c r="E32" s="17">
        <f t="shared" si="5"/>
        <v>1.7326732673267342</v>
      </c>
      <c r="F32" s="17">
        <f t="shared" si="4"/>
        <v>-5.0808314087759765</v>
      </c>
      <c r="G32" s="17">
        <f t="shared" si="6"/>
        <v>2.621722846441954</v>
      </c>
      <c r="H32" s="39">
        <f t="shared" si="1"/>
        <v>1.1338199513381995</v>
      </c>
    </row>
    <row r="33" spans="1:8">
      <c r="A33" s="16">
        <v>35370</v>
      </c>
      <c r="B33" s="24">
        <f>+geral!G740</f>
        <v>12.2</v>
      </c>
      <c r="C33" s="17">
        <f t="shared" si="2"/>
        <v>84.722222222222214</v>
      </c>
      <c r="D33" s="17">
        <f t="shared" si="0"/>
        <v>-25.790754257907555</v>
      </c>
      <c r="E33" s="17">
        <f t="shared" si="5"/>
        <v>-24.504950495049506</v>
      </c>
      <c r="F33" s="17">
        <f t="shared" si="4"/>
        <v>-52.231793265465939</v>
      </c>
      <c r="G33" s="17">
        <f t="shared" si="6"/>
        <v>-3.9370078740157521</v>
      </c>
      <c r="H33" s="39">
        <f t="shared" si="1"/>
        <v>1.5278688524590165</v>
      </c>
    </row>
    <row r="34" spans="1:8">
      <c r="A34" s="16">
        <v>35400</v>
      </c>
      <c r="B34" s="24">
        <f>+geral!G741</f>
        <v>18.670000000000002</v>
      </c>
      <c r="C34" s="17">
        <f t="shared" si="2"/>
        <v>129.6527777777778</v>
      </c>
      <c r="D34" s="17">
        <f t="shared" si="0"/>
        <v>53.032786885245933</v>
      </c>
      <c r="E34" s="17">
        <f t="shared" si="5"/>
        <v>15.532178217821802</v>
      </c>
      <c r="F34" s="17">
        <f t="shared" si="4"/>
        <v>15.532178217821802</v>
      </c>
      <c r="G34" s="17">
        <f t="shared" si="6"/>
        <v>31.386347642505275</v>
      </c>
      <c r="H34" s="39">
        <f t="shared" si="1"/>
        <v>0.998393144081414</v>
      </c>
    </row>
    <row r="35" spans="1:8">
      <c r="A35" s="16">
        <v>35431</v>
      </c>
      <c r="B35" s="24">
        <f>+geral!I730</f>
        <v>16.329999999999998</v>
      </c>
      <c r="C35" s="17">
        <f t="shared" si="2"/>
        <v>113.40277777777776</v>
      </c>
      <c r="D35" s="17">
        <f t="shared" si="0"/>
        <v>-12.533476164970558</v>
      </c>
      <c r="E35" s="17">
        <f>100*((B35/$B$34)-1)</f>
        <v>-12.533476164970558</v>
      </c>
      <c r="F35" s="17">
        <f t="shared" si="4"/>
        <v>-5.7703404500865529</v>
      </c>
      <c r="G35" s="17">
        <f t="shared" si="6"/>
        <v>9.5973154362416047</v>
      </c>
      <c r="H35" s="39">
        <f t="shared" si="1"/>
        <v>1.1414574402939377</v>
      </c>
    </row>
    <row r="36" spans="1:8">
      <c r="A36" s="16">
        <v>35462</v>
      </c>
      <c r="B36" s="24">
        <f>+geral!I731</f>
        <v>18.170000000000002</v>
      </c>
      <c r="C36" s="17">
        <f t="shared" si="2"/>
        <v>126.18055555555557</v>
      </c>
      <c r="D36" s="17">
        <f t="shared" si="0"/>
        <v>11.267605633802846</v>
      </c>
      <c r="E36" s="17">
        <f t="shared" ref="E36:E46" si="7">100*((B36/$B$34)-1)</f>
        <v>-2.6780931976432831</v>
      </c>
      <c r="F36" s="17">
        <f t="shared" si="4"/>
        <v>11.267605633802846</v>
      </c>
      <c r="G36" s="17">
        <f t="shared" si="6"/>
        <v>32.241630276564791</v>
      </c>
      <c r="H36" s="39">
        <f t="shared" si="1"/>
        <v>1.0258668134287285</v>
      </c>
    </row>
    <row r="37" spans="1:8">
      <c r="A37" s="16">
        <v>35490</v>
      </c>
      <c r="B37" s="24">
        <f>+geral!I732</f>
        <v>18.05</v>
      </c>
      <c r="C37" s="17">
        <f t="shared" si="2"/>
        <v>125.34722222222221</v>
      </c>
      <c r="D37" s="17">
        <f t="shared" si="0"/>
        <v>-0.6604292790313715</v>
      </c>
      <c r="E37" s="17">
        <f t="shared" si="7"/>
        <v>-3.3208355650776733</v>
      </c>
      <c r="F37" s="17">
        <f t="shared" si="4"/>
        <v>-24.854288093255615</v>
      </c>
      <c r="G37" s="17">
        <f t="shared" si="6"/>
        <v>17.207792207792206</v>
      </c>
      <c r="H37" s="39">
        <f t="shared" si="1"/>
        <v>1.0326869806094183</v>
      </c>
    </row>
    <row r="38" spans="1:8">
      <c r="A38" s="16">
        <v>35521</v>
      </c>
      <c r="B38" s="24">
        <f>+geral!I733</f>
        <v>16.899999999999999</v>
      </c>
      <c r="C38" s="17">
        <f t="shared" si="2"/>
        <v>117.36111111111109</v>
      </c>
      <c r="D38" s="17">
        <f t="shared" si="0"/>
        <v>-6.3711911357340885</v>
      </c>
      <c r="E38" s="17">
        <f t="shared" si="7"/>
        <v>-9.4804499196572181</v>
      </c>
      <c r="F38" s="17">
        <f t="shared" si="4"/>
        <v>-10.344827586206906</v>
      </c>
      <c r="G38" s="17">
        <f t="shared" si="6"/>
        <v>-6.8357221609702368</v>
      </c>
      <c r="H38" s="39">
        <f t="shared" si="1"/>
        <v>1.102958579881657</v>
      </c>
    </row>
    <row r="39" spans="1:8">
      <c r="A39" s="16">
        <v>35551</v>
      </c>
      <c r="B39" s="24">
        <f>+geral!I734</f>
        <v>17.489999999999998</v>
      </c>
      <c r="C39" s="17">
        <f t="shared" si="2"/>
        <v>121.45833333333331</v>
      </c>
      <c r="D39" s="17">
        <f t="shared" si="0"/>
        <v>3.4911242603550274</v>
      </c>
      <c r="E39" s="17">
        <f t="shared" si="7"/>
        <v>-6.3202999464381566</v>
      </c>
      <c r="F39" s="17">
        <f t="shared" si="4"/>
        <v>-35.053843297437801</v>
      </c>
      <c r="G39" s="17">
        <f t="shared" si="6"/>
        <v>-4.2692939244663446</v>
      </c>
      <c r="H39" s="39">
        <f t="shared" si="1"/>
        <v>1.0657518582046885</v>
      </c>
    </row>
    <row r="40" spans="1:8">
      <c r="A40" s="16">
        <v>35582</v>
      </c>
      <c r="B40" s="24">
        <f>+geral!I735</f>
        <v>14.46</v>
      </c>
      <c r="C40" s="17">
        <f t="shared" si="2"/>
        <v>100.41666666666666</v>
      </c>
      <c r="D40" s="17">
        <f t="shared" si="0"/>
        <v>-17.32418524871354</v>
      </c>
      <c r="E40" s="17">
        <f t="shared" si="7"/>
        <v>-22.549544724156402</v>
      </c>
      <c r="F40" s="17">
        <f t="shared" si="4"/>
        <v>-13.723150357995229</v>
      </c>
      <c r="G40" s="17">
        <f t="shared" si="6"/>
        <v>-6.6494512588766934</v>
      </c>
      <c r="H40" s="39">
        <f t="shared" si="1"/>
        <v>1.2890733056708159</v>
      </c>
    </row>
    <row r="41" spans="1:8">
      <c r="A41" s="16">
        <v>35612</v>
      </c>
      <c r="B41" s="24">
        <f>+geral!I736</f>
        <v>15.42</v>
      </c>
      <c r="C41" s="17">
        <f t="shared" si="2"/>
        <v>107.08333333333333</v>
      </c>
      <c r="D41" s="17">
        <f t="shared" si="0"/>
        <v>6.639004149377592</v>
      </c>
      <c r="E41" s="17">
        <f t="shared" si="7"/>
        <v>-17.407605784681312</v>
      </c>
      <c r="F41" s="17">
        <f t="shared" si="4"/>
        <v>-6.5454545454545432</v>
      </c>
      <c r="G41" s="17">
        <f t="shared" si="6"/>
        <v>-11.123919308357355</v>
      </c>
      <c r="H41" s="39">
        <f t="shared" si="1"/>
        <v>1.2088197146562907</v>
      </c>
    </row>
    <row r="42" spans="1:8">
      <c r="A42" s="16">
        <v>35643</v>
      </c>
      <c r="B42" s="24">
        <f>+geral!I737</f>
        <v>14.69</v>
      </c>
      <c r="C42" s="17">
        <f t="shared" si="2"/>
        <v>102.01388888888889</v>
      </c>
      <c r="D42" s="17">
        <f t="shared" si="0"/>
        <v>-4.7341115434500702</v>
      </c>
      <c r="E42" s="17">
        <f t="shared" si="7"/>
        <v>-21.3176218532405</v>
      </c>
      <c r="F42" s="17">
        <f t="shared" si="4"/>
        <v>-5.2869116698903929</v>
      </c>
      <c r="G42" s="17">
        <f t="shared" si="6"/>
        <v>-14.741729541497396</v>
      </c>
      <c r="H42" s="39">
        <f t="shared" si="1"/>
        <v>1.2688904016337645</v>
      </c>
    </row>
    <row r="43" spans="1:8">
      <c r="A43" s="16">
        <v>35674</v>
      </c>
      <c r="B43" s="24">
        <f>+geral!I738</f>
        <v>17.03</v>
      </c>
      <c r="C43" s="17">
        <f t="shared" si="2"/>
        <v>118.26388888888889</v>
      </c>
      <c r="D43" s="17">
        <f t="shared" si="0"/>
        <v>15.929203539823011</v>
      </c>
      <c r="E43" s="17">
        <f t="shared" si="7"/>
        <v>-8.7841456882699518</v>
      </c>
      <c r="F43" s="17">
        <f t="shared" si="4"/>
        <v>-1.6175621028307163</v>
      </c>
      <c r="G43" s="17">
        <f t="shared" si="6"/>
        <v>-4.2182227221597257</v>
      </c>
      <c r="H43" s="39">
        <f t="shared" si="1"/>
        <v>1.0945390487375219</v>
      </c>
    </row>
    <row r="44" spans="1:8">
      <c r="A44" s="16">
        <v>35704</v>
      </c>
      <c r="B44" s="24">
        <f>+geral!I739</f>
        <v>14</v>
      </c>
      <c r="C44" s="17">
        <f t="shared" si="2"/>
        <v>97.222222222222214</v>
      </c>
      <c r="D44" s="17">
        <f t="shared" si="0"/>
        <v>-17.792131532589551</v>
      </c>
      <c r="E44" s="17">
        <f t="shared" si="7"/>
        <v>-25.013390465988227</v>
      </c>
      <c r="F44" s="17">
        <f t="shared" si="4"/>
        <v>-14.841849148418495</v>
      </c>
      <c r="G44" s="17">
        <f t="shared" si="6"/>
        <v>-19.168591224018471</v>
      </c>
      <c r="H44" s="39">
        <f t="shared" si="1"/>
        <v>1.3314285714285714</v>
      </c>
    </row>
    <row r="45" spans="1:8">
      <c r="A45" s="16">
        <v>35735</v>
      </c>
      <c r="B45" s="24">
        <f>+geral!I740</f>
        <v>14.1</v>
      </c>
      <c r="C45" s="17">
        <f t="shared" si="2"/>
        <v>97.916666666666657</v>
      </c>
      <c r="D45" s="17">
        <f t="shared" si="0"/>
        <v>0.71428571428571175</v>
      </c>
      <c r="E45" s="17">
        <f t="shared" si="7"/>
        <v>-24.47777182645957</v>
      </c>
      <c r="F45" s="17">
        <f t="shared" si="4"/>
        <v>15.573770491803284</v>
      </c>
      <c r="G45" s="17">
        <f t="shared" si="6"/>
        <v>-44.792482380579479</v>
      </c>
      <c r="H45" s="39">
        <f t="shared" si="1"/>
        <v>1.321985815602837</v>
      </c>
    </row>
    <row r="46" spans="1:8">
      <c r="A46" s="16">
        <v>35765</v>
      </c>
      <c r="B46" s="24">
        <f>+geral!I741</f>
        <v>19.600000000000001</v>
      </c>
      <c r="C46" s="17">
        <f t="shared" si="2"/>
        <v>136.11111111111111</v>
      </c>
      <c r="D46" s="17">
        <f t="shared" si="0"/>
        <v>39.007092198581581</v>
      </c>
      <c r="E46" s="17">
        <f t="shared" si="7"/>
        <v>4.9812533476164988</v>
      </c>
      <c r="F46" s="17">
        <f t="shared" si="4"/>
        <v>4.9812533476164988</v>
      </c>
      <c r="G46" s="17">
        <f t="shared" si="6"/>
        <v>21.287128712871283</v>
      </c>
      <c r="H46" s="39">
        <f t="shared" si="1"/>
        <v>0.95102040816326527</v>
      </c>
    </row>
    <row r="47" spans="1:8">
      <c r="A47" s="16">
        <v>35796</v>
      </c>
      <c r="B47" s="24">
        <f>+geral!K730</f>
        <v>16.5</v>
      </c>
      <c r="C47" s="17">
        <f t="shared" si="2"/>
        <v>114.58333333333333</v>
      </c>
      <c r="D47" s="17">
        <f t="shared" si="0"/>
        <v>-15.816326530612246</v>
      </c>
      <c r="E47" s="17">
        <f>100*((B47/$B$46)-1)</f>
        <v>-15.816326530612246</v>
      </c>
      <c r="F47" s="17">
        <f t="shared" si="4"/>
        <v>1.041028781383968</v>
      </c>
      <c r="G47" s="17">
        <f t="shared" si="6"/>
        <v>-4.7893825735718316</v>
      </c>
      <c r="H47" s="39">
        <f t="shared" si="1"/>
        <v>1.1296969696969696</v>
      </c>
    </row>
    <row r="48" spans="1:8">
      <c r="A48" s="16">
        <v>35827</v>
      </c>
      <c r="B48" s="24">
        <f>+geral!K731</f>
        <v>17.75</v>
      </c>
      <c r="C48" s="17">
        <f t="shared" si="2"/>
        <v>123.26388888888889</v>
      </c>
      <c r="D48" s="17">
        <f t="shared" si="0"/>
        <v>7.575757575757569</v>
      </c>
      <c r="E48" s="17">
        <f>100*((B48/$B$46)-1)</f>
        <v>-9.4387755102040884</v>
      </c>
      <c r="F48" s="17">
        <f t="shared" si="4"/>
        <v>-2.3115024766098058</v>
      </c>
      <c r="G48" s="17">
        <f t="shared" si="6"/>
        <v>8.6956521739130608</v>
      </c>
      <c r="H48" s="39">
        <f t="shared" si="1"/>
        <v>1.0501408450704226</v>
      </c>
    </row>
    <row r="49" spans="1:8">
      <c r="A49" s="16">
        <v>35855</v>
      </c>
      <c r="B49" s="24">
        <f>+geral!K732</f>
        <v>14.55</v>
      </c>
      <c r="C49" s="17">
        <f t="shared" si="2"/>
        <v>101.04166666666666</v>
      </c>
      <c r="D49" s="17">
        <f t="shared" si="0"/>
        <v>-18.028169014084504</v>
      </c>
      <c r="E49" s="17">
        <f t="shared" ref="E49:E58" si="8">100*((B49/$B$46)-1)</f>
        <v>-25.765306122448983</v>
      </c>
      <c r="F49" s="17">
        <f t="shared" ref="F49:F73" si="9">100*((B49/B37)-1)</f>
        <v>-19.390581717451528</v>
      </c>
      <c r="G49" s="17">
        <f t="shared" si="6"/>
        <v>-39.42547876769359</v>
      </c>
      <c r="H49" s="39">
        <f t="shared" si="1"/>
        <v>1.2810996563573882</v>
      </c>
    </row>
    <row r="50" spans="1:8">
      <c r="A50" s="16">
        <v>35886</v>
      </c>
      <c r="B50" s="24">
        <f>+geral!K733</f>
        <v>15.24</v>
      </c>
      <c r="C50" s="17">
        <f t="shared" si="2"/>
        <v>105.83333333333333</v>
      </c>
      <c r="D50" s="17">
        <f t="shared" si="0"/>
        <v>4.7422680412371188</v>
      </c>
      <c r="E50" s="17">
        <f t="shared" si="8"/>
        <v>-22.244897959183675</v>
      </c>
      <c r="F50" s="17">
        <f t="shared" si="9"/>
        <v>-9.8224852071005841</v>
      </c>
      <c r="G50" s="17">
        <f t="shared" si="6"/>
        <v>-19.151193633952257</v>
      </c>
      <c r="H50" s="39">
        <f t="shared" si="1"/>
        <v>1.2230971128608925</v>
      </c>
    </row>
    <row r="51" spans="1:8">
      <c r="A51" s="16">
        <v>35916</v>
      </c>
      <c r="B51" s="24">
        <f>+geral!K734</f>
        <v>13.83</v>
      </c>
      <c r="C51" s="17">
        <f t="shared" si="2"/>
        <v>96.041666666666657</v>
      </c>
      <c r="D51" s="17">
        <f t="shared" si="0"/>
        <v>-9.2519685039370145</v>
      </c>
      <c r="E51" s="17">
        <f t="shared" si="8"/>
        <v>-29.438775510204085</v>
      </c>
      <c r="F51" s="17">
        <f t="shared" si="9"/>
        <v>-20.926243567752991</v>
      </c>
      <c r="G51" s="17">
        <f t="shared" si="6"/>
        <v>-48.644634236910512</v>
      </c>
      <c r="H51" s="39">
        <f t="shared" si="1"/>
        <v>1.3477946493130875</v>
      </c>
    </row>
    <row r="52" spans="1:8">
      <c r="A52" s="16">
        <v>35947</v>
      </c>
      <c r="B52" s="24">
        <f>+geral!K735</f>
        <v>13.76</v>
      </c>
      <c r="C52" s="17">
        <f t="shared" si="2"/>
        <v>95.555555555555557</v>
      </c>
      <c r="D52" s="17">
        <f t="shared" si="0"/>
        <v>-0.50614605929140133</v>
      </c>
      <c r="E52" s="17">
        <f t="shared" si="8"/>
        <v>-29.795918367346943</v>
      </c>
      <c r="F52" s="17">
        <f t="shared" si="9"/>
        <v>-4.8409405255878335</v>
      </c>
      <c r="G52" s="17">
        <f t="shared" si="6"/>
        <v>-17.899761336515517</v>
      </c>
      <c r="H52" s="39">
        <f t="shared" si="1"/>
        <v>1.3546511627906976</v>
      </c>
    </row>
    <row r="53" spans="1:8">
      <c r="A53" s="16">
        <v>35977</v>
      </c>
      <c r="B53" s="24">
        <f>+geral!K736</f>
        <v>16.489999999999998</v>
      </c>
      <c r="C53" s="17">
        <f t="shared" si="2"/>
        <v>114.51388888888887</v>
      </c>
      <c r="D53" s="17">
        <f t="shared" si="0"/>
        <v>19.840116279069765</v>
      </c>
      <c r="E53" s="17">
        <f t="shared" si="8"/>
        <v>-15.867346938775528</v>
      </c>
      <c r="F53" s="17">
        <f t="shared" si="9"/>
        <v>6.9390402075226953</v>
      </c>
      <c r="G53" s="17">
        <f t="shared" si="6"/>
        <v>-6.0606060606072099E-2</v>
      </c>
      <c r="H53" s="39">
        <f t="shared" si="1"/>
        <v>1.1303820497271075</v>
      </c>
    </row>
    <row r="54" spans="1:8">
      <c r="A54" s="16">
        <v>36008</v>
      </c>
      <c r="B54" s="24">
        <f>+geral!K737</f>
        <v>14.81</v>
      </c>
      <c r="C54" s="17">
        <f t="shared" si="2"/>
        <v>102.84722222222221</v>
      </c>
      <c r="D54" s="17">
        <f t="shared" si="0"/>
        <v>-10.187992722862326</v>
      </c>
      <c r="E54" s="17">
        <f t="shared" si="8"/>
        <v>-24.438775510204081</v>
      </c>
      <c r="F54" s="17">
        <f t="shared" si="9"/>
        <v>0.81688223281144445</v>
      </c>
      <c r="G54" s="17">
        <f t="shared" si="6"/>
        <v>-4.5132172791747198</v>
      </c>
      <c r="H54" s="39">
        <f t="shared" si="1"/>
        <v>1.2586090479405807</v>
      </c>
    </row>
    <row r="55" spans="1:8">
      <c r="A55" s="16">
        <v>36039</v>
      </c>
      <c r="B55" s="24">
        <f>+geral!K738</f>
        <v>15.75</v>
      </c>
      <c r="C55" s="17">
        <f t="shared" si="2"/>
        <v>109.375</v>
      </c>
      <c r="D55" s="17">
        <f t="shared" si="0"/>
        <v>6.347062795408509</v>
      </c>
      <c r="E55" s="17">
        <f t="shared" si="8"/>
        <v>-19.642857142857149</v>
      </c>
      <c r="F55" s="17">
        <f t="shared" si="9"/>
        <v>-7.5161479741632453</v>
      </c>
      <c r="G55" s="17">
        <f t="shared" si="6"/>
        <v>-9.012131715771222</v>
      </c>
      <c r="H55" s="39">
        <f t="shared" si="1"/>
        <v>1.1834920634920636</v>
      </c>
    </row>
    <row r="56" spans="1:8">
      <c r="A56" s="16">
        <v>36069</v>
      </c>
      <c r="B56" s="24">
        <f>+geral!K739</f>
        <v>17.329999999999998</v>
      </c>
      <c r="C56" s="17">
        <f t="shared" si="2"/>
        <v>120.3472222222222</v>
      </c>
      <c r="D56" s="17">
        <f t="shared" si="0"/>
        <v>10.031746031746014</v>
      </c>
      <c r="E56" s="17">
        <f t="shared" si="8"/>
        <v>-11.581632653061236</v>
      </c>
      <c r="F56" s="17">
        <f t="shared" si="9"/>
        <v>23.785714285714278</v>
      </c>
      <c r="G56" s="17">
        <f t="shared" si="6"/>
        <v>5.413625304136227</v>
      </c>
      <c r="H56" s="39">
        <f t="shared" si="1"/>
        <v>1.075591459896134</v>
      </c>
    </row>
    <row r="57" spans="1:8">
      <c r="A57" s="16">
        <v>36100</v>
      </c>
      <c r="B57" s="24">
        <f>+geral!K740</f>
        <v>15.64</v>
      </c>
      <c r="C57" s="17">
        <f t="shared" si="2"/>
        <v>108.61111111111111</v>
      </c>
      <c r="D57" s="17">
        <f t="shared" si="0"/>
        <v>-9.7518753606462667</v>
      </c>
      <c r="E57" s="17">
        <f t="shared" si="8"/>
        <v>-20.204081632653057</v>
      </c>
      <c r="F57" s="17">
        <f t="shared" si="9"/>
        <v>10.921985815602842</v>
      </c>
      <c r="G57" s="17">
        <f t="shared" si="6"/>
        <v>28.196721311475414</v>
      </c>
      <c r="H57" s="39">
        <f t="shared" si="1"/>
        <v>1.1918158567774937</v>
      </c>
    </row>
    <row r="58" spans="1:8">
      <c r="A58" s="16">
        <v>36130</v>
      </c>
      <c r="B58" s="24">
        <f>+geral!K741</f>
        <v>16.7</v>
      </c>
      <c r="C58" s="17">
        <f t="shared" si="2"/>
        <v>115.97222222222221</v>
      </c>
      <c r="D58" s="17">
        <f t="shared" si="0"/>
        <v>6.7774936061381075</v>
      </c>
      <c r="E58" s="17">
        <f t="shared" si="8"/>
        <v>-14.79591836734695</v>
      </c>
      <c r="F58" s="17">
        <f t="shared" si="9"/>
        <v>-14.79591836734695</v>
      </c>
      <c r="G58" s="17">
        <f t="shared" si="6"/>
        <v>-10.551687198714532</v>
      </c>
      <c r="H58" s="39">
        <f t="shared" si="1"/>
        <v>1.1161676646706589</v>
      </c>
    </row>
    <row r="59" spans="1:8">
      <c r="A59" s="16">
        <v>36161</v>
      </c>
      <c r="B59" s="24">
        <f>+geral!M730</f>
        <v>15.72</v>
      </c>
      <c r="C59" s="17">
        <f t="shared" si="2"/>
        <v>109.16666666666666</v>
      </c>
      <c r="D59" s="17">
        <f t="shared" si="0"/>
        <v>-5.8682634730538812</v>
      </c>
      <c r="E59" s="17">
        <f>100*((B59/$B$58)-1)</f>
        <v>-5.8682634730538812</v>
      </c>
      <c r="F59" s="17">
        <f t="shared" si="9"/>
        <v>-4.7272727272727249</v>
      </c>
      <c r="G59" s="17">
        <f t="shared" si="6"/>
        <v>-3.7354562155541782</v>
      </c>
      <c r="H59" s="39">
        <f t="shared" si="1"/>
        <v>1.1857506361323156</v>
      </c>
    </row>
    <row r="60" spans="1:8">
      <c r="A60" s="16">
        <v>36192</v>
      </c>
      <c r="B60" s="24">
        <f>+geral!M731</f>
        <v>15.06</v>
      </c>
      <c r="C60" s="17">
        <f t="shared" si="2"/>
        <v>104.58333333333333</v>
      </c>
      <c r="D60" s="17">
        <f t="shared" si="0"/>
        <v>-4.19847328244275</v>
      </c>
      <c r="E60" s="17">
        <f t="shared" ref="E60:E70" si="10">100*((B60/$B$58)-1)</f>
        <v>-9.8203592814371188</v>
      </c>
      <c r="F60" s="17">
        <f t="shared" si="9"/>
        <v>-15.154929577464781</v>
      </c>
      <c r="G60" s="17">
        <f t="shared" si="6"/>
        <v>-17.116125481563017</v>
      </c>
      <c r="H60" s="39">
        <f t="shared" si="1"/>
        <v>1.2377158034528553</v>
      </c>
    </row>
    <row r="61" spans="1:8">
      <c r="A61" s="16">
        <v>36220</v>
      </c>
      <c r="B61" s="24">
        <f>+geral!M732</f>
        <v>15.62</v>
      </c>
      <c r="C61" s="17">
        <f t="shared" si="2"/>
        <v>108.47222222222221</v>
      </c>
      <c r="D61" s="17">
        <f t="shared" si="0"/>
        <v>3.7184594953519223</v>
      </c>
      <c r="E61" s="17">
        <f t="shared" si="10"/>
        <v>-6.467065868263477</v>
      </c>
      <c r="F61" s="17">
        <f t="shared" si="9"/>
        <v>7.3539518900343603</v>
      </c>
      <c r="G61" s="17">
        <f t="shared" si="6"/>
        <v>-13.462603878116353</v>
      </c>
      <c r="H61" s="39">
        <f t="shared" si="1"/>
        <v>1.1933418693982076</v>
      </c>
    </row>
    <row r="62" spans="1:8">
      <c r="A62" s="16">
        <v>36251</v>
      </c>
      <c r="B62" s="24">
        <f>+geral!M733</f>
        <v>15.25</v>
      </c>
      <c r="C62" s="17">
        <f t="shared" si="2"/>
        <v>105.90277777777777</v>
      </c>
      <c r="D62" s="17">
        <f t="shared" si="0"/>
        <v>-2.3687580025608113</v>
      </c>
      <c r="E62" s="17">
        <f t="shared" si="10"/>
        <v>-8.6826347305389184</v>
      </c>
      <c r="F62" s="17">
        <f t="shared" si="9"/>
        <v>6.5616797900269752E-2</v>
      </c>
      <c r="G62" s="17">
        <f t="shared" si="6"/>
        <v>-9.7633136094674491</v>
      </c>
      <c r="H62" s="39">
        <f t="shared" si="1"/>
        <v>1.2222950819672131</v>
      </c>
    </row>
    <row r="63" spans="1:8">
      <c r="A63" s="16">
        <v>36281</v>
      </c>
      <c r="B63" s="24">
        <f>+geral!M734</f>
        <v>27.42</v>
      </c>
      <c r="C63" s="17">
        <f t="shared" si="2"/>
        <v>190.41666666666666</v>
      </c>
      <c r="D63" s="17">
        <f t="shared" si="0"/>
        <v>79.803278688524586</v>
      </c>
      <c r="E63" s="17">
        <f t="shared" si="10"/>
        <v>64.191616766467078</v>
      </c>
      <c r="F63" s="17">
        <f t="shared" si="9"/>
        <v>98.264642082429503</v>
      </c>
      <c r="G63" s="17">
        <f t="shared" si="6"/>
        <v>56.775300171526609</v>
      </c>
      <c r="H63" s="39">
        <f t="shared" si="1"/>
        <v>0.6797957695113056</v>
      </c>
    </row>
    <row r="64" spans="1:8">
      <c r="A64" s="16">
        <v>36312</v>
      </c>
      <c r="B64" s="24">
        <f>+geral!M735</f>
        <v>17.649999999999999</v>
      </c>
      <c r="C64" s="17">
        <f t="shared" si="2"/>
        <v>122.56944444444443</v>
      </c>
      <c r="D64" s="17">
        <f t="shared" si="0"/>
        <v>-35.630926331145162</v>
      </c>
      <c r="E64" s="17">
        <f t="shared" si="10"/>
        <v>5.6886227544910239</v>
      </c>
      <c r="F64" s="17">
        <f t="shared" si="9"/>
        <v>28.270348837209291</v>
      </c>
      <c r="G64" s="17">
        <f t="shared" si="6"/>
        <v>22.06085753803595</v>
      </c>
      <c r="H64" s="39">
        <f t="shared" si="1"/>
        <v>1.0560906515580737</v>
      </c>
    </row>
    <row r="65" spans="1:8">
      <c r="A65" s="16">
        <v>36342</v>
      </c>
      <c r="B65" s="24">
        <f>+geral!M736</f>
        <v>12.47</v>
      </c>
      <c r="C65" s="17">
        <f t="shared" si="2"/>
        <v>86.597222222222214</v>
      </c>
      <c r="D65" s="17">
        <f t="shared" si="0"/>
        <v>-29.348441926345604</v>
      </c>
      <c r="E65" s="17">
        <f t="shared" si="10"/>
        <v>-25.329341317365262</v>
      </c>
      <c r="F65" s="17">
        <f t="shared" si="9"/>
        <v>-24.378411158277736</v>
      </c>
      <c r="G65" s="17">
        <f t="shared" si="6"/>
        <v>-19.130998702983138</v>
      </c>
      <c r="H65" s="39">
        <f t="shared" si="1"/>
        <v>1.4947874899759421</v>
      </c>
    </row>
    <row r="66" spans="1:8">
      <c r="A66" s="16">
        <v>36373</v>
      </c>
      <c r="B66" s="24">
        <f>+geral!M737</f>
        <v>18.149999999999999</v>
      </c>
      <c r="C66" s="17">
        <f t="shared" si="2"/>
        <v>126.04166666666664</v>
      </c>
      <c r="D66" s="17">
        <f t="shared" si="0"/>
        <v>45.549318364073763</v>
      </c>
      <c r="E66" s="17">
        <f t="shared" si="10"/>
        <v>8.6826347305389184</v>
      </c>
      <c r="F66" s="17">
        <f t="shared" si="9"/>
        <v>22.552329507089787</v>
      </c>
      <c r="G66" s="17">
        <f t="shared" si="6"/>
        <v>23.553437712729753</v>
      </c>
      <c r="H66" s="39">
        <f t="shared" si="1"/>
        <v>1.0269972451790634</v>
      </c>
    </row>
    <row r="67" spans="1:8">
      <c r="A67" s="16">
        <v>36404</v>
      </c>
      <c r="B67" s="24">
        <f>+geral!M738</f>
        <v>15.95</v>
      </c>
      <c r="C67" s="17">
        <f t="shared" si="2"/>
        <v>110.76388888888889</v>
      </c>
      <c r="D67" s="17">
        <f t="shared" si="0"/>
        <v>-12.121212121212121</v>
      </c>
      <c r="E67" s="17">
        <f t="shared" si="10"/>
        <v>-4.4910179640718528</v>
      </c>
      <c r="F67" s="17">
        <f t="shared" si="9"/>
        <v>1.2698412698412653</v>
      </c>
      <c r="G67" s="17">
        <f t="shared" si="6"/>
        <v>-6.3417498532002403</v>
      </c>
      <c r="H67" s="39">
        <f t="shared" si="1"/>
        <v>1.1686520376175549</v>
      </c>
    </row>
    <row r="68" spans="1:8">
      <c r="A68" s="16">
        <v>36434</v>
      </c>
      <c r="B68" s="24">
        <f>+geral!M739</f>
        <v>15.6</v>
      </c>
      <c r="C68" s="17">
        <f t="shared" si="2"/>
        <v>108.33333333333333</v>
      </c>
      <c r="D68" s="17">
        <f t="shared" si="0"/>
        <v>-2.1943573667711602</v>
      </c>
      <c r="E68" s="17">
        <f t="shared" si="10"/>
        <v>-6.5868263473053856</v>
      </c>
      <c r="F68" s="17">
        <f t="shared" si="9"/>
        <v>-9.9826889786497333</v>
      </c>
      <c r="G68" s="17">
        <f t="shared" si="6"/>
        <v>11.428571428571432</v>
      </c>
      <c r="H68" s="39">
        <f t="shared" si="1"/>
        <v>1.1948717948717948</v>
      </c>
    </row>
    <row r="69" spans="1:8">
      <c r="A69" s="16">
        <v>36465</v>
      </c>
      <c r="B69" s="24">
        <f>+geral!M740</f>
        <v>15.64</v>
      </c>
      <c r="C69" s="17">
        <f t="shared" si="2"/>
        <v>108.61111111111111</v>
      </c>
      <c r="D69" s="17">
        <f t="shared" si="0"/>
        <v>0.2564102564102555</v>
      </c>
      <c r="E69" s="17">
        <f t="shared" si="10"/>
        <v>-6.347305389221547</v>
      </c>
      <c r="F69" s="17">
        <f t="shared" si="9"/>
        <v>0</v>
      </c>
      <c r="G69" s="17">
        <f t="shared" si="6"/>
        <v>10.921985815602842</v>
      </c>
      <c r="H69" s="39">
        <f t="shared" si="1"/>
        <v>1.1918158567774937</v>
      </c>
    </row>
    <row r="70" spans="1:8">
      <c r="A70" s="16">
        <v>36495</v>
      </c>
      <c r="B70" s="24">
        <f>+geral!M741</f>
        <v>16.05</v>
      </c>
      <c r="C70" s="17">
        <f t="shared" si="2"/>
        <v>111.45833333333333</v>
      </c>
      <c r="D70" s="17">
        <f t="shared" si="0"/>
        <v>2.6214833759590883</v>
      </c>
      <c r="E70" s="17">
        <f t="shared" si="10"/>
        <v>-3.8922155688622673</v>
      </c>
      <c r="F70" s="17">
        <f t="shared" si="9"/>
        <v>-3.8922155688622673</v>
      </c>
      <c r="G70" s="17">
        <f t="shared" si="6"/>
        <v>-18.112244897959183</v>
      </c>
      <c r="H70" s="39">
        <f>B$73/B70</f>
        <v>1.1613707165109035</v>
      </c>
    </row>
    <row r="71" spans="1:8">
      <c r="A71" s="16">
        <v>36526</v>
      </c>
      <c r="B71" s="24">
        <f>+geral!O730</f>
        <v>18.850000000000001</v>
      </c>
      <c r="C71" s="17">
        <f>100*B71/$B$6</f>
        <v>130.9027777777778</v>
      </c>
      <c r="D71" s="17">
        <f>100*((B71/B70)-1)</f>
        <v>17.445482866043616</v>
      </c>
      <c r="E71" s="17">
        <f>100*((B71/$B$70)-1)</f>
        <v>17.445482866043616</v>
      </c>
      <c r="F71" s="17">
        <f t="shared" si="9"/>
        <v>19.91094147582697</v>
      </c>
      <c r="G71" s="17">
        <f t="shared" si="6"/>
        <v>14.242424242424256</v>
      </c>
      <c r="H71" s="39">
        <f>B$73/B71</f>
        <v>0.98885941644562325</v>
      </c>
    </row>
    <row r="72" spans="1:8">
      <c r="A72" s="16">
        <v>36557</v>
      </c>
      <c r="B72" s="24">
        <f>+geral!O731</f>
        <v>14.93</v>
      </c>
      <c r="C72" s="17">
        <f>100*B72/$B$6</f>
        <v>103.68055555555556</v>
      </c>
      <c r="D72" s="17">
        <f>100*((B72/B71)-1)</f>
        <v>-20.795755968169772</v>
      </c>
      <c r="E72" s="17">
        <f>100*((B72/$B$70)-1)</f>
        <v>-6.9781931464174551</v>
      </c>
      <c r="F72" s="17">
        <f t="shared" si="9"/>
        <v>-0.86321381142099307</v>
      </c>
      <c r="G72" s="17">
        <f t="shared" si="6"/>
        <v>-15.887323943661968</v>
      </c>
      <c r="H72" s="39">
        <f>B$73/B72</f>
        <v>1.2484929671801741</v>
      </c>
    </row>
    <row r="73" spans="1:8">
      <c r="A73" s="16">
        <v>36586</v>
      </c>
      <c r="B73" s="24">
        <f>+geral!O732</f>
        <v>18.64</v>
      </c>
      <c r="C73" s="17">
        <f>100*B73/$B$6</f>
        <v>129.44444444444443</v>
      </c>
      <c r="D73" s="17">
        <f>100*((B73/B72)-1)</f>
        <v>24.84929671801741</v>
      </c>
      <c r="E73" s="17">
        <f>100*((B73/$B$70)-1)</f>
        <v>16.137071651090352</v>
      </c>
      <c r="F73" s="17">
        <f t="shared" si="9"/>
        <v>19.334186939820764</v>
      </c>
      <c r="G73" s="17">
        <f>100*(B73/B49-1)</f>
        <v>28.109965635738821</v>
      </c>
      <c r="H73" s="39">
        <f>B$73/B73</f>
        <v>1</v>
      </c>
    </row>
    <row r="74" spans="1:8">
      <c r="A74" s="57">
        <v>36617</v>
      </c>
      <c r="B74" s="58" t="s">
        <v>93</v>
      </c>
      <c r="C74" s="58"/>
      <c r="D74" s="58"/>
      <c r="E74" s="58"/>
      <c r="F74" s="58"/>
      <c r="G74" s="21"/>
      <c r="H74" s="39"/>
    </row>
  </sheetData>
  <phoneticPr fontId="0" type="noConversion"/>
  <pageMargins left="0.78740157499999996" right="0.78740157499999996" top="0.984251969" bottom="0.984251969" header="0.49212598499999999" footer="0.49212598499999999"/>
  <pageSetup paperSize="9"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46"/>
  <dimension ref="A1:H77"/>
  <sheetViews>
    <sheetView showGridLines="0" topLeftCell="A69" zoomScale="75" workbookViewId="0">
      <selection activeCell="B79" sqref="B79"/>
    </sheetView>
  </sheetViews>
  <sheetFormatPr defaultRowHeight="15"/>
  <cols>
    <col min="2" max="7" width="8.77734375" customWidth="1"/>
    <col min="8" max="8" width="10.77734375" customWidth="1"/>
    <col min="9" max="9" width="8.77734375" customWidth="1"/>
  </cols>
  <sheetData>
    <row r="1" spans="1:8">
      <c r="A1" s="1"/>
      <c r="B1" s="1"/>
      <c r="C1" s="1"/>
      <c r="D1" s="1"/>
      <c r="E1" s="1"/>
      <c r="F1" s="1"/>
      <c r="G1" s="1"/>
    </row>
    <row r="2" spans="1:8" ht="16.5">
      <c r="A2" s="6" t="s">
        <v>82</v>
      </c>
      <c r="B2" s="6"/>
      <c r="C2" s="6"/>
      <c r="D2" s="6"/>
      <c r="E2" s="7"/>
      <c r="F2" s="7"/>
      <c r="G2" s="7"/>
    </row>
    <row r="3" spans="1:8" ht="15.75">
      <c r="A3" s="2" t="s">
        <v>149</v>
      </c>
      <c r="B3" s="1"/>
      <c r="C3" s="1"/>
      <c r="D3" s="1"/>
      <c r="E3" s="1"/>
      <c r="F3" s="1"/>
      <c r="G3" s="1"/>
    </row>
    <row r="4" spans="1:8" ht="63">
      <c r="A4" s="8" t="s">
        <v>67</v>
      </c>
      <c r="B4" s="8" t="s">
        <v>76</v>
      </c>
      <c r="C4" s="8" t="s">
        <v>68</v>
      </c>
      <c r="D4" s="10" t="s">
        <v>69</v>
      </c>
      <c r="E4" s="10" t="s">
        <v>65</v>
      </c>
      <c r="F4" s="10" t="s">
        <v>70</v>
      </c>
      <c r="G4" s="8" t="s">
        <v>70</v>
      </c>
      <c r="H4" s="8" t="s">
        <v>186</v>
      </c>
    </row>
    <row r="5" spans="1:8">
      <c r="A5" s="16">
        <v>34516</v>
      </c>
      <c r="B5" s="24">
        <f>+geral!C798</f>
        <v>85.55</v>
      </c>
      <c r="C5" s="17">
        <v>100</v>
      </c>
      <c r="D5" s="17"/>
      <c r="E5" s="17"/>
      <c r="F5" s="17"/>
      <c r="G5" s="17"/>
      <c r="H5" s="39">
        <f>B$73/B5</f>
        <v>1.4018702513150205</v>
      </c>
    </row>
    <row r="6" spans="1:8">
      <c r="A6" s="16">
        <v>34547</v>
      </c>
      <c r="B6" s="24">
        <f>+geral!C799</f>
        <v>104.44</v>
      </c>
      <c r="C6" s="17">
        <f t="shared" ref="C6:C69" si="0">100*B6/$B$5</f>
        <v>122.08065458796027</v>
      </c>
      <c r="D6" s="17">
        <f t="shared" ref="D6:D69" si="1">100*((B6/B5)-1)</f>
        <v>22.080654587960268</v>
      </c>
      <c r="E6" s="17"/>
      <c r="F6" s="17"/>
      <c r="G6" s="17"/>
      <c r="H6" s="39">
        <f t="shared" ref="H6:H69" si="2">B$73/B6</f>
        <v>1.1483148219073154</v>
      </c>
    </row>
    <row r="7" spans="1:8">
      <c r="A7" s="16">
        <v>34578</v>
      </c>
      <c r="B7" s="24">
        <f>+geral!C800</f>
        <v>107.03</v>
      </c>
      <c r="C7" s="17">
        <f t="shared" si="0"/>
        <v>125.10812390414962</v>
      </c>
      <c r="D7" s="17">
        <f t="shared" si="1"/>
        <v>2.4798927613941091</v>
      </c>
      <c r="E7" s="17"/>
      <c r="F7" s="17"/>
      <c r="G7" s="17"/>
      <c r="H7" s="39">
        <f t="shared" si="2"/>
        <v>1.1205269550593293</v>
      </c>
    </row>
    <row r="8" spans="1:8">
      <c r="A8" s="16">
        <v>34608</v>
      </c>
      <c r="B8" s="24">
        <f>+geral!C801</f>
        <v>110.84</v>
      </c>
      <c r="C8" s="17">
        <f t="shared" si="0"/>
        <v>129.5616598480421</v>
      </c>
      <c r="D8" s="17">
        <f t="shared" si="1"/>
        <v>3.5597496029150744</v>
      </c>
      <c r="E8" s="17"/>
      <c r="F8" s="17"/>
      <c r="G8" s="17"/>
      <c r="H8" s="39">
        <f t="shared" si="2"/>
        <v>1.0820101046553592</v>
      </c>
    </row>
    <row r="9" spans="1:8">
      <c r="A9" s="16">
        <v>34639</v>
      </c>
      <c r="B9" s="24">
        <f>+geral!C802</f>
        <v>99.32</v>
      </c>
      <c r="C9" s="17">
        <f t="shared" si="0"/>
        <v>116.0958503798948</v>
      </c>
      <c r="D9" s="17">
        <f t="shared" si="1"/>
        <v>-10.393359797906898</v>
      </c>
      <c r="E9" s="17"/>
      <c r="F9" s="17"/>
      <c r="G9" s="17"/>
      <c r="H9" s="39">
        <f t="shared" si="2"/>
        <v>1.2075110753121225</v>
      </c>
    </row>
    <row r="10" spans="1:8">
      <c r="A10" s="16">
        <v>34669</v>
      </c>
      <c r="B10" s="24">
        <f>+geral!C803</f>
        <v>93.79</v>
      </c>
      <c r="C10" s="17">
        <f t="shared" si="0"/>
        <v>109.63179427235535</v>
      </c>
      <c r="D10" s="17">
        <f t="shared" si="1"/>
        <v>-5.5678614579138035</v>
      </c>
      <c r="E10" s="17"/>
      <c r="F10" s="17"/>
      <c r="G10" s="17"/>
      <c r="H10" s="39">
        <f t="shared" si="2"/>
        <v>1.2787077513594201</v>
      </c>
    </row>
    <row r="11" spans="1:8">
      <c r="A11" s="16">
        <v>34700</v>
      </c>
      <c r="B11" s="24">
        <f>+geral!E792</f>
        <v>96</v>
      </c>
      <c r="C11" s="17">
        <f t="shared" si="0"/>
        <v>112.21507890122736</v>
      </c>
      <c r="D11" s="17">
        <f t="shared" si="1"/>
        <v>2.3563279667341952</v>
      </c>
      <c r="E11" s="17">
        <f>100*((B11/$B$10)-1)</f>
        <v>2.3563279667341952</v>
      </c>
      <c r="F11" s="17"/>
      <c r="G11" s="17"/>
      <c r="H11" s="39">
        <f t="shared" si="2"/>
        <v>1.2492708333333333</v>
      </c>
    </row>
    <row r="12" spans="1:8">
      <c r="A12" s="16">
        <v>34731</v>
      </c>
      <c r="B12" s="24">
        <f>+geral!E793</f>
        <v>90.97</v>
      </c>
      <c r="C12" s="17">
        <f t="shared" si="0"/>
        <v>106.3354763296318</v>
      </c>
      <c r="D12" s="17">
        <f t="shared" si="1"/>
        <v>-5.2395833333333304</v>
      </c>
      <c r="E12" s="17">
        <f t="shared" ref="E12:E22" si="3">100*((B12/$B$10)-1)</f>
        <v>-3.0067171340228294</v>
      </c>
      <c r="F12" s="17"/>
      <c r="G12" s="17"/>
      <c r="H12" s="39">
        <f t="shared" si="2"/>
        <v>1.3183467077058373</v>
      </c>
    </row>
    <row r="13" spans="1:8">
      <c r="A13" s="16">
        <v>34759</v>
      </c>
      <c r="B13" s="24">
        <f>+geral!E794</f>
        <v>95.01</v>
      </c>
      <c r="C13" s="17">
        <f t="shared" si="0"/>
        <v>111.05786090005844</v>
      </c>
      <c r="D13" s="17">
        <f t="shared" si="1"/>
        <v>4.4410245135759085</v>
      </c>
      <c r="E13" s="17">
        <f t="shared" si="3"/>
        <v>1.3007783345772461</v>
      </c>
      <c r="F13" s="17"/>
      <c r="G13" s="17"/>
      <c r="H13" s="39">
        <f t="shared" si="2"/>
        <v>1.2622881801915589</v>
      </c>
    </row>
    <row r="14" spans="1:8">
      <c r="A14" s="16">
        <v>34790</v>
      </c>
      <c r="B14" s="24">
        <f>+geral!E795</f>
        <v>102.78</v>
      </c>
      <c r="C14" s="17">
        <f t="shared" si="0"/>
        <v>120.14026884862653</v>
      </c>
      <c r="D14" s="17">
        <f t="shared" si="1"/>
        <v>8.1780865172087047</v>
      </c>
      <c r="E14" s="17">
        <f t="shared" si="3"/>
        <v>9.5852436293847987</v>
      </c>
      <c r="F14" s="17"/>
      <c r="G14" s="17"/>
      <c r="H14" s="39">
        <f t="shared" si="2"/>
        <v>1.1668612570539016</v>
      </c>
    </row>
    <row r="15" spans="1:8">
      <c r="A15" s="16">
        <v>34820</v>
      </c>
      <c r="B15" s="24">
        <f>+geral!E796</f>
        <v>96.38</v>
      </c>
      <c r="C15" s="17">
        <f t="shared" si="0"/>
        <v>112.65926358854472</v>
      </c>
      <c r="D15" s="17">
        <f t="shared" si="1"/>
        <v>-6.2268923915158592</v>
      </c>
      <c r="E15" s="17">
        <f t="shared" si="3"/>
        <v>2.7614884316025101</v>
      </c>
      <c r="F15" s="17"/>
      <c r="G15" s="17"/>
      <c r="H15" s="39">
        <f t="shared" si="2"/>
        <v>1.2443452998547417</v>
      </c>
    </row>
    <row r="16" spans="1:8">
      <c r="A16" s="16">
        <v>38504</v>
      </c>
      <c r="B16" s="24">
        <f>+geral!E797</f>
        <v>102.05</v>
      </c>
      <c r="C16" s="17">
        <f t="shared" si="0"/>
        <v>119.28696668614846</v>
      </c>
      <c r="D16" s="17">
        <f t="shared" si="1"/>
        <v>5.8829632703880419</v>
      </c>
      <c r="E16" s="17">
        <f t="shared" si="3"/>
        <v>8.8069090521377458</v>
      </c>
      <c r="F16" s="17"/>
      <c r="G16" s="17"/>
      <c r="H16" s="39">
        <f t="shared" si="2"/>
        <v>1.1752082312591867</v>
      </c>
    </row>
    <row r="17" spans="1:8">
      <c r="A17" s="16">
        <v>34881</v>
      </c>
      <c r="B17" s="24">
        <f>+geral!E798</f>
        <v>114.49</v>
      </c>
      <c r="C17" s="17">
        <f t="shared" si="0"/>
        <v>133.82817066043251</v>
      </c>
      <c r="D17" s="17">
        <f t="shared" si="1"/>
        <v>12.19010289073983</v>
      </c>
      <c r="E17" s="17">
        <f t="shared" si="3"/>
        <v>22.070583217827043</v>
      </c>
      <c r="F17" s="17">
        <f t="shared" ref="F17:F48" si="4">100*((B17/B5)-1)</f>
        <v>33.828170660432491</v>
      </c>
      <c r="G17" s="17"/>
      <c r="H17" s="39">
        <f t="shared" si="2"/>
        <v>1.0475150668180628</v>
      </c>
    </row>
    <row r="18" spans="1:8">
      <c r="A18" s="16">
        <v>34912</v>
      </c>
      <c r="B18" s="24">
        <f>+geral!E799</f>
        <v>105.78</v>
      </c>
      <c r="C18" s="17">
        <f t="shared" si="0"/>
        <v>123.64699006428989</v>
      </c>
      <c r="D18" s="17">
        <f t="shared" si="1"/>
        <v>-7.6076513232596676</v>
      </c>
      <c r="E18" s="17">
        <f t="shared" si="3"/>
        <v>12.783878878345224</v>
      </c>
      <c r="F18" s="17">
        <f t="shared" si="4"/>
        <v>1.2830333205668287</v>
      </c>
      <c r="G18" s="17"/>
      <c r="H18" s="39">
        <f t="shared" si="2"/>
        <v>1.1337681981470977</v>
      </c>
    </row>
    <row r="19" spans="1:8">
      <c r="A19" s="16">
        <v>34943</v>
      </c>
      <c r="B19" s="24">
        <f>+geral!E800</f>
        <v>116.27</v>
      </c>
      <c r="C19" s="17">
        <f t="shared" si="0"/>
        <v>135.90882524839276</v>
      </c>
      <c r="D19" s="17">
        <f t="shared" si="1"/>
        <v>9.9168084704102775</v>
      </c>
      <c r="E19" s="17">
        <f t="shared" si="3"/>
        <v>23.968440132210244</v>
      </c>
      <c r="F19" s="17">
        <f t="shared" si="4"/>
        <v>8.6330935251798468</v>
      </c>
      <c r="G19" s="17"/>
      <c r="H19" s="39">
        <f t="shared" si="2"/>
        <v>1.0314784553195151</v>
      </c>
    </row>
    <row r="20" spans="1:8">
      <c r="A20" s="16">
        <v>34973</v>
      </c>
      <c r="B20" s="24">
        <f>+geral!E801</f>
        <v>93.8</v>
      </c>
      <c r="C20" s="17">
        <f t="shared" si="0"/>
        <v>109.64348334307422</v>
      </c>
      <c r="D20" s="17">
        <f t="shared" si="1"/>
        <v>-19.325707405177607</v>
      </c>
      <c r="E20" s="17">
        <f t="shared" si="3"/>
        <v>1.0662117496518242E-2</v>
      </c>
      <c r="F20" s="17">
        <f t="shared" si="4"/>
        <v>-15.373511367737279</v>
      </c>
      <c r="G20" s="17"/>
      <c r="H20" s="39">
        <f t="shared" si="2"/>
        <v>1.2785714285714287</v>
      </c>
    </row>
    <row r="21" spans="1:8">
      <c r="A21" s="16">
        <v>35004</v>
      </c>
      <c r="B21" s="24">
        <f>+geral!E802</f>
        <v>95.37</v>
      </c>
      <c r="C21" s="17">
        <f t="shared" si="0"/>
        <v>111.47866744593806</v>
      </c>
      <c r="D21" s="17">
        <f t="shared" si="1"/>
        <v>1.673773987206828</v>
      </c>
      <c r="E21" s="17">
        <f t="shared" si="3"/>
        <v>1.6846145644525023</v>
      </c>
      <c r="F21" s="17">
        <f t="shared" si="4"/>
        <v>-3.9770438985098577</v>
      </c>
      <c r="G21" s="17"/>
      <c r="H21" s="39">
        <f t="shared" si="2"/>
        <v>1.25752333018769</v>
      </c>
    </row>
    <row r="22" spans="1:8">
      <c r="A22" s="16">
        <v>35034</v>
      </c>
      <c r="B22" s="24">
        <f>+geral!E803</f>
        <v>101.5</v>
      </c>
      <c r="C22" s="17">
        <f t="shared" si="0"/>
        <v>118.64406779661017</v>
      </c>
      <c r="D22" s="17">
        <f t="shared" si="1"/>
        <v>6.4275977770787307</v>
      </c>
      <c r="E22" s="17">
        <f t="shared" si="3"/>
        <v>8.2204925898283321</v>
      </c>
      <c r="F22" s="17">
        <f t="shared" si="4"/>
        <v>8.2204925898283321</v>
      </c>
      <c r="G22" s="17"/>
      <c r="H22" s="39">
        <f t="shared" si="2"/>
        <v>1.181576354679803</v>
      </c>
    </row>
    <row r="23" spans="1:8">
      <c r="A23" s="16">
        <v>35065</v>
      </c>
      <c r="B23" s="24">
        <f>+geral!G792</f>
        <v>93.13</v>
      </c>
      <c r="C23" s="17">
        <f t="shared" si="0"/>
        <v>108.86031560490942</v>
      </c>
      <c r="D23" s="17">
        <f t="shared" si="1"/>
        <v>-8.2463054187192135</v>
      </c>
      <c r="E23" s="17">
        <f>100*((B23/$B$22)-1)</f>
        <v>-8.2463054187192135</v>
      </c>
      <c r="F23" s="17">
        <f t="shared" si="4"/>
        <v>-2.9895833333333344</v>
      </c>
      <c r="G23" s="17"/>
      <c r="H23" s="39">
        <f t="shared" si="2"/>
        <v>1.2877697841726621</v>
      </c>
    </row>
    <row r="24" spans="1:8">
      <c r="A24" s="16">
        <v>35096</v>
      </c>
      <c r="B24" s="24">
        <f>+geral!G793</f>
        <v>111.6</v>
      </c>
      <c r="C24" s="17">
        <f t="shared" si="0"/>
        <v>130.45002922267679</v>
      </c>
      <c r="D24" s="17">
        <f t="shared" si="1"/>
        <v>19.832492215183084</v>
      </c>
      <c r="E24" s="17">
        <f t="shared" ref="E24:E34" si="5">100*((B24/$B$22)-1)</f>
        <v>9.950738916256153</v>
      </c>
      <c r="F24" s="17">
        <f t="shared" si="4"/>
        <v>22.677805870067047</v>
      </c>
      <c r="G24" s="17"/>
      <c r="H24" s="39">
        <f t="shared" si="2"/>
        <v>1.0746415770609321</v>
      </c>
    </row>
    <row r="25" spans="1:8">
      <c r="A25" s="16">
        <v>35125</v>
      </c>
      <c r="B25" s="24">
        <f>+geral!G794</f>
        <v>99</v>
      </c>
      <c r="C25" s="17">
        <f t="shared" si="0"/>
        <v>115.72180011689071</v>
      </c>
      <c r="D25" s="17">
        <f t="shared" si="1"/>
        <v>-11.290322580645151</v>
      </c>
      <c r="E25" s="17">
        <f t="shared" si="5"/>
        <v>-2.4630541871921152</v>
      </c>
      <c r="F25" s="17">
        <f t="shared" si="4"/>
        <v>4.1995579412693385</v>
      </c>
      <c r="G25" s="17"/>
      <c r="H25" s="39">
        <f t="shared" si="2"/>
        <v>1.2114141414141415</v>
      </c>
    </row>
    <row r="26" spans="1:8">
      <c r="A26" s="16">
        <v>35156</v>
      </c>
      <c r="B26" s="24">
        <f>+geral!G795</f>
        <v>99.6</v>
      </c>
      <c r="C26" s="17">
        <f t="shared" si="0"/>
        <v>116.42314436002339</v>
      </c>
      <c r="D26" s="17">
        <f t="shared" si="1"/>
        <v>0.60606060606060996</v>
      </c>
      <c r="E26" s="17">
        <f t="shared" si="5"/>
        <v>-1.871921182266012</v>
      </c>
      <c r="F26" s="17">
        <f t="shared" si="4"/>
        <v>-3.0939871570344502</v>
      </c>
      <c r="G26" s="17"/>
      <c r="H26" s="39">
        <f t="shared" si="2"/>
        <v>1.204116465863454</v>
      </c>
    </row>
    <row r="27" spans="1:8">
      <c r="A27" s="16">
        <v>35186</v>
      </c>
      <c r="B27" s="24">
        <f>+geral!G796</f>
        <v>94.57</v>
      </c>
      <c r="C27" s="17">
        <f t="shared" si="0"/>
        <v>110.54354178842782</v>
      </c>
      <c r="D27" s="17">
        <f t="shared" si="1"/>
        <v>-5.0502008032128565</v>
      </c>
      <c r="E27" s="17">
        <f t="shared" si="5"/>
        <v>-6.8275862068965631</v>
      </c>
      <c r="F27" s="17">
        <f t="shared" si="4"/>
        <v>-1.8779829840215867</v>
      </c>
      <c r="G27" s="17"/>
      <c r="H27" s="39">
        <f t="shared" si="2"/>
        <v>1.268161150470551</v>
      </c>
    </row>
    <row r="28" spans="1:8">
      <c r="A28" s="16">
        <v>35217</v>
      </c>
      <c r="B28" s="24">
        <f>+geral!G797</f>
        <v>102.67</v>
      </c>
      <c r="C28" s="17">
        <f t="shared" si="0"/>
        <v>120.01168907071889</v>
      </c>
      <c r="D28" s="17">
        <f t="shared" si="1"/>
        <v>8.5650840647139681</v>
      </c>
      <c r="E28" s="17">
        <f t="shared" si="5"/>
        <v>1.152709359605919</v>
      </c>
      <c r="F28" s="17">
        <f t="shared" si="4"/>
        <v>0.60754532092113234</v>
      </c>
      <c r="G28" s="17"/>
      <c r="H28" s="39">
        <f t="shared" si="2"/>
        <v>1.1681114249537352</v>
      </c>
    </row>
    <row r="29" spans="1:8">
      <c r="A29" s="16">
        <v>35247</v>
      </c>
      <c r="B29" s="24">
        <f>+geral!G798</f>
        <v>97.25</v>
      </c>
      <c r="C29" s="17">
        <f t="shared" si="0"/>
        <v>113.67621274108708</v>
      </c>
      <c r="D29" s="17">
        <f t="shared" si="1"/>
        <v>-5.2790493815135893</v>
      </c>
      <c r="E29" s="17">
        <f t="shared" si="5"/>
        <v>-4.1871921182266014</v>
      </c>
      <c r="F29" s="17">
        <f t="shared" si="4"/>
        <v>-15.058083675430167</v>
      </c>
      <c r="G29" s="17">
        <f>100*(B29/B5-1)</f>
        <v>13.676212741087079</v>
      </c>
      <c r="H29" s="39">
        <f t="shared" si="2"/>
        <v>1.2332133676092545</v>
      </c>
    </row>
    <row r="30" spans="1:8">
      <c r="A30" s="16">
        <v>35278</v>
      </c>
      <c r="B30" s="24">
        <f>+geral!G799</f>
        <v>98.28</v>
      </c>
      <c r="C30" s="17">
        <f t="shared" si="0"/>
        <v>114.88018702513151</v>
      </c>
      <c r="D30" s="17">
        <f t="shared" si="1"/>
        <v>1.0591259640102768</v>
      </c>
      <c r="E30" s="17">
        <f t="shared" si="5"/>
        <v>-3.1724137931034457</v>
      </c>
      <c r="F30" s="17">
        <f t="shared" si="4"/>
        <v>-7.0901871809415766</v>
      </c>
      <c r="G30" s="17">
        <f t="shared" ref="G30:G72" si="6">100*(B30/B6-1)</f>
        <v>-5.8981233243967761</v>
      </c>
      <c r="H30" s="39">
        <f t="shared" si="2"/>
        <v>1.2202889702889703</v>
      </c>
    </row>
    <row r="31" spans="1:8">
      <c r="A31" s="16">
        <v>35309</v>
      </c>
      <c r="B31" s="24">
        <f>+geral!G800</f>
        <v>107</v>
      </c>
      <c r="C31" s="17">
        <f t="shared" si="0"/>
        <v>125.07305669199299</v>
      </c>
      <c r="D31" s="17">
        <f t="shared" si="1"/>
        <v>8.872608872608879</v>
      </c>
      <c r="E31" s="17">
        <f t="shared" si="5"/>
        <v>5.4187192118226646</v>
      </c>
      <c r="F31" s="17">
        <f t="shared" si="4"/>
        <v>-7.9728218801066397</v>
      </c>
      <c r="G31" s="17">
        <f t="shared" si="6"/>
        <v>-2.8029524432404695E-2</v>
      </c>
      <c r="H31" s="39">
        <f t="shared" si="2"/>
        <v>1.1208411214953271</v>
      </c>
    </row>
    <row r="32" spans="1:8">
      <c r="A32" s="16">
        <v>35339</v>
      </c>
      <c r="B32" s="24">
        <f>+geral!G801</f>
        <v>86.25</v>
      </c>
      <c r="C32" s="17">
        <f t="shared" si="0"/>
        <v>100.81823495032145</v>
      </c>
      <c r="D32" s="17">
        <f t="shared" si="1"/>
        <v>-19.392523364485982</v>
      </c>
      <c r="E32" s="17">
        <f t="shared" si="5"/>
        <v>-15.02463054187192</v>
      </c>
      <c r="F32" s="17">
        <f t="shared" si="4"/>
        <v>-8.0490405117270782</v>
      </c>
      <c r="G32" s="17">
        <f t="shared" si="6"/>
        <v>-22.185131721400218</v>
      </c>
      <c r="H32" s="39">
        <f t="shared" si="2"/>
        <v>1.3904927536231886</v>
      </c>
    </row>
    <row r="33" spans="1:8">
      <c r="A33" s="16">
        <v>35370</v>
      </c>
      <c r="B33" s="24">
        <f>+geral!G802</f>
        <v>109.8</v>
      </c>
      <c r="C33" s="17">
        <f t="shared" si="0"/>
        <v>128.34599649327879</v>
      </c>
      <c r="D33" s="17">
        <f t="shared" si="1"/>
        <v>27.30434782608695</v>
      </c>
      <c r="E33" s="17">
        <f t="shared" si="5"/>
        <v>8.1773399014778203</v>
      </c>
      <c r="F33" s="17">
        <f t="shared" si="4"/>
        <v>15.130544196288142</v>
      </c>
      <c r="G33" s="17">
        <f t="shared" si="6"/>
        <v>10.551751913008456</v>
      </c>
      <c r="H33" s="39">
        <f t="shared" si="2"/>
        <v>1.0922586520947177</v>
      </c>
    </row>
    <row r="34" spans="1:8">
      <c r="A34" s="16">
        <v>35400</v>
      </c>
      <c r="B34" s="24">
        <f>+geral!G803</f>
        <v>96</v>
      </c>
      <c r="C34" s="17">
        <f t="shared" si="0"/>
        <v>112.21507890122736</v>
      </c>
      <c r="D34" s="17">
        <f t="shared" si="1"/>
        <v>-12.568306010928964</v>
      </c>
      <c r="E34" s="17">
        <f t="shared" si="5"/>
        <v>-5.4187192118226646</v>
      </c>
      <c r="F34" s="17">
        <f t="shared" si="4"/>
        <v>-5.4187192118226646</v>
      </c>
      <c r="G34" s="17">
        <f t="shared" si="6"/>
        <v>2.3563279667341952</v>
      </c>
      <c r="H34" s="39">
        <f t="shared" si="2"/>
        <v>1.2492708333333333</v>
      </c>
    </row>
    <row r="35" spans="1:8">
      <c r="A35" s="16">
        <v>35431</v>
      </c>
      <c r="B35" s="24">
        <f>+geral!I792</f>
        <v>98</v>
      </c>
      <c r="C35" s="17">
        <f t="shared" si="0"/>
        <v>114.55289304500293</v>
      </c>
      <c r="D35" s="17">
        <f t="shared" si="1"/>
        <v>2.0833333333333259</v>
      </c>
      <c r="E35" s="17">
        <f>100*((B35/$B$34)-1)</f>
        <v>2.0833333333333259</v>
      </c>
      <c r="F35" s="17">
        <f t="shared" si="4"/>
        <v>5.2292494362718767</v>
      </c>
      <c r="G35" s="17">
        <f t="shared" si="6"/>
        <v>2.0833333333333259</v>
      </c>
      <c r="H35" s="39">
        <f t="shared" si="2"/>
        <v>1.2237755102040817</v>
      </c>
    </row>
    <row r="36" spans="1:8">
      <c r="A36" s="16">
        <v>35462</v>
      </c>
      <c r="B36" s="24">
        <f>+geral!I793</f>
        <v>99</v>
      </c>
      <c r="C36" s="17">
        <f t="shared" si="0"/>
        <v>115.72180011689071</v>
      </c>
      <c r="D36" s="17">
        <f t="shared" si="1"/>
        <v>1.0204081632652962</v>
      </c>
      <c r="E36" s="17">
        <f t="shared" ref="E36:E46" si="7">100*((B36/$B$34)-1)</f>
        <v>3.125</v>
      </c>
      <c r="F36" s="17">
        <f t="shared" si="4"/>
        <v>-11.290322580645151</v>
      </c>
      <c r="G36" s="17">
        <f t="shared" si="6"/>
        <v>8.8270858524788451</v>
      </c>
      <c r="H36" s="39">
        <f t="shared" si="2"/>
        <v>1.2114141414141415</v>
      </c>
    </row>
    <row r="37" spans="1:8">
      <c r="A37" s="16">
        <v>35490</v>
      </c>
      <c r="B37" s="24">
        <f>+geral!I794</f>
        <v>96.2</v>
      </c>
      <c r="C37" s="17">
        <f t="shared" si="0"/>
        <v>112.44886031560492</v>
      </c>
      <c r="D37" s="17">
        <f t="shared" si="1"/>
        <v>-2.8282828282828243</v>
      </c>
      <c r="E37" s="17">
        <f t="shared" si="7"/>
        <v>0.2083333333333437</v>
      </c>
      <c r="F37" s="17">
        <f t="shared" si="4"/>
        <v>-2.8282828282828243</v>
      </c>
      <c r="G37" s="17">
        <f t="shared" si="6"/>
        <v>1.2524997368698054</v>
      </c>
      <c r="H37" s="39">
        <f t="shared" si="2"/>
        <v>1.2466735966735967</v>
      </c>
    </row>
    <row r="38" spans="1:8">
      <c r="A38" s="16">
        <v>35521</v>
      </c>
      <c r="B38" s="24">
        <f>+geral!I795</f>
        <v>96.83</v>
      </c>
      <c r="C38" s="17">
        <f t="shared" si="0"/>
        <v>113.18527177089422</v>
      </c>
      <c r="D38" s="17">
        <f t="shared" si="1"/>
        <v>0.65488565488565076</v>
      </c>
      <c r="E38" s="17">
        <f t="shared" si="7"/>
        <v>0.86458333333332416</v>
      </c>
      <c r="F38" s="17">
        <f t="shared" si="4"/>
        <v>-2.7811244979919603</v>
      </c>
      <c r="G38" s="17">
        <f t="shared" si="6"/>
        <v>-5.7890640202374</v>
      </c>
      <c r="H38" s="39">
        <f t="shared" si="2"/>
        <v>1.2385624289992772</v>
      </c>
    </row>
    <row r="39" spans="1:8">
      <c r="A39" s="16">
        <v>35551</v>
      </c>
      <c r="B39" s="24">
        <f>+geral!I796</f>
        <v>104.6</v>
      </c>
      <c r="C39" s="17">
        <f t="shared" si="0"/>
        <v>122.26767971946231</v>
      </c>
      <c r="D39" s="17">
        <f t="shared" si="1"/>
        <v>8.0243726117938508</v>
      </c>
      <c r="E39" s="17">
        <f t="shared" si="7"/>
        <v>8.9583333333333357</v>
      </c>
      <c r="F39" s="17">
        <f t="shared" si="4"/>
        <v>10.605900391244582</v>
      </c>
      <c r="G39" s="17">
        <f t="shared" si="6"/>
        <v>8.5287404025731419</v>
      </c>
      <c r="H39" s="39">
        <f t="shared" si="2"/>
        <v>1.1465583173996177</v>
      </c>
    </row>
    <row r="40" spans="1:8">
      <c r="A40" s="16">
        <v>35582</v>
      </c>
      <c r="B40" s="24">
        <f>+geral!I797</f>
        <v>103.5</v>
      </c>
      <c r="C40" s="17">
        <f t="shared" si="0"/>
        <v>120.98188194038575</v>
      </c>
      <c r="D40" s="17">
        <f t="shared" si="1"/>
        <v>-1.0516252390057268</v>
      </c>
      <c r="E40" s="17">
        <f t="shared" si="7"/>
        <v>7.8125</v>
      </c>
      <c r="F40" s="17">
        <f t="shared" si="4"/>
        <v>0.8084153111912018</v>
      </c>
      <c r="G40" s="17">
        <f t="shared" si="6"/>
        <v>1.4208721215090758</v>
      </c>
      <c r="H40" s="39">
        <f t="shared" si="2"/>
        <v>1.1587439613526571</v>
      </c>
    </row>
    <row r="41" spans="1:8">
      <c r="A41" s="16">
        <v>35612</v>
      </c>
      <c r="B41" s="24">
        <f>+geral!I798</f>
        <v>91.2</v>
      </c>
      <c r="C41" s="17">
        <f t="shared" si="0"/>
        <v>106.60432495616598</v>
      </c>
      <c r="D41" s="17">
        <f t="shared" si="1"/>
        <v>-11.884057971014494</v>
      </c>
      <c r="E41" s="17">
        <f t="shared" si="7"/>
        <v>-4.9999999999999929</v>
      </c>
      <c r="F41" s="17">
        <f t="shared" si="4"/>
        <v>-6.2210796915167066</v>
      </c>
      <c r="G41" s="17">
        <f t="shared" si="6"/>
        <v>-20.342387981483089</v>
      </c>
      <c r="H41" s="39">
        <f t="shared" si="2"/>
        <v>1.3150219298245613</v>
      </c>
    </row>
    <row r="42" spans="1:8">
      <c r="A42" s="16">
        <v>35643</v>
      </c>
      <c r="B42" s="24">
        <f>+geral!I799</f>
        <v>100.83</v>
      </c>
      <c r="C42" s="17">
        <f t="shared" si="0"/>
        <v>117.86090005844535</v>
      </c>
      <c r="D42" s="17">
        <f t="shared" si="1"/>
        <v>10.559210526315788</v>
      </c>
      <c r="E42" s="17">
        <f t="shared" si="7"/>
        <v>5.0312499999999982</v>
      </c>
      <c r="F42" s="17">
        <f t="shared" si="4"/>
        <v>2.5946275946275854</v>
      </c>
      <c r="G42" s="17">
        <f t="shared" si="6"/>
        <v>-4.6795235394214485</v>
      </c>
      <c r="H42" s="39">
        <f t="shared" si="2"/>
        <v>1.1894277496776753</v>
      </c>
    </row>
    <row r="43" spans="1:8">
      <c r="A43" s="16">
        <v>35674</v>
      </c>
      <c r="B43" s="24">
        <f>+geral!I800</f>
        <v>103</v>
      </c>
      <c r="C43" s="17">
        <f t="shared" si="0"/>
        <v>120.39742840444185</v>
      </c>
      <c r="D43" s="17">
        <f t="shared" si="1"/>
        <v>2.1521372607358868</v>
      </c>
      <c r="E43" s="17">
        <f t="shared" si="7"/>
        <v>7.2916666666666741</v>
      </c>
      <c r="F43" s="17">
        <f t="shared" si="4"/>
        <v>-3.7383177570093462</v>
      </c>
      <c r="G43" s="17">
        <f t="shared" si="6"/>
        <v>-11.413090221037237</v>
      </c>
      <c r="H43" s="39">
        <f t="shared" si="2"/>
        <v>1.1643689320388351</v>
      </c>
    </row>
    <row r="44" spans="1:8">
      <c r="A44" s="16">
        <v>35704</v>
      </c>
      <c r="B44" s="24">
        <f>+geral!I801</f>
        <v>90.8</v>
      </c>
      <c r="C44" s="17">
        <f t="shared" si="0"/>
        <v>106.13676212741088</v>
      </c>
      <c r="D44" s="17">
        <f t="shared" si="1"/>
        <v>-11.844660194174761</v>
      </c>
      <c r="E44" s="17">
        <f t="shared" si="7"/>
        <v>-5.4166666666666696</v>
      </c>
      <c r="F44" s="17">
        <f t="shared" si="4"/>
        <v>5.2753623188405818</v>
      </c>
      <c r="G44" s="17">
        <f t="shared" si="6"/>
        <v>-3.1982942430703654</v>
      </c>
      <c r="H44" s="39">
        <f t="shared" si="2"/>
        <v>1.3208149779735685</v>
      </c>
    </row>
    <row r="45" spans="1:8">
      <c r="A45" s="16">
        <v>35735</v>
      </c>
      <c r="B45" s="24">
        <f>+geral!I802</f>
        <v>109.5</v>
      </c>
      <c r="C45" s="17">
        <f t="shared" si="0"/>
        <v>127.99532437171246</v>
      </c>
      <c r="D45" s="17">
        <f t="shared" si="1"/>
        <v>20.594713656387675</v>
      </c>
      <c r="E45" s="17">
        <f t="shared" si="7"/>
        <v>14.0625</v>
      </c>
      <c r="F45" s="17">
        <f t="shared" si="4"/>
        <v>-0.2732240437158473</v>
      </c>
      <c r="G45" s="17">
        <f t="shared" si="6"/>
        <v>14.815979867882966</v>
      </c>
      <c r="H45" s="39">
        <f t="shared" si="2"/>
        <v>1.0952511415525115</v>
      </c>
    </row>
    <row r="46" spans="1:8">
      <c r="A46" s="16">
        <v>35765</v>
      </c>
      <c r="B46" s="24">
        <f>+geral!I803</f>
        <v>99</v>
      </c>
      <c r="C46" s="17">
        <f t="shared" si="0"/>
        <v>115.72180011689071</v>
      </c>
      <c r="D46" s="17">
        <f t="shared" si="1"/>
        <v>-9.5890410958904155</v>
      </c>
      <c r="E46" s="17">
        <f t="shared" si="7"/>
        <v>3.125</v>
      </c>
      <c r="F46" s="17">
        <f t="shared" si="4"/>
        <v>3.125</v>
      </c>
      <c r="G46" s="17">
        <f t="shared" si="6"/>
        <v>-2.4630541871921152</v>
      </c>
      <c r="H46" s="39">
        <f t="shared" si="2"/>
        <v>1.2114141414141415</v>
      </c>
    </row>
    <row r="47" spans="1:8">
      <c r="A47" s="16">
        <v>35796</v>
      </c>
      <c r="B47" s="24">
        <f>+geral!K792</f>
        <v>92</v>
      </c>
      <c r="C47" s="17">
        <f t="shared" si="0"/>
        <v>107.53945061367622</v>
      </c>
      <c r="D47" s="17">
        <f t="shared" si="1"/>
        <v>-7.0707070707070718</v>
      </c>
      <c r="E47" s="17">
        <f>100*((B47/$B$46)-1)</f>
        <v>-7.0707070707070718</v>
      </c>
      <c r="F47" s="17">
        <f t="shared" si="4"/>
        <v>-6.122448979591832</v>
      </c>
      <c r="G47" s="17">
        <f t="shared" si="6"/>
        <v>-1.2133576720712913</v>
      </c>
      <c r="H47" s="39">
        <f t="shared" si="2"/>
        <v>1.3035869565217393</v>
      </c>
    </row>
    <row r="48" spans="1:8">
      <c r="A48" s="16">
        <v>35827</v>
      </c>
      <c r="B48" s="24">
        <f>+geral!K793</f>
        <v>106.83</v>
      </c>
      <c r="C48" s="17">
        <f t="shared" si="0"/>
        <v>124.87434248977206</v>
      </c>
      <c r="D48" s="17">
        <f t="shared" si="1"/>
        <v>16.119565217391308</v>
      </c>
      <c r="E48" s="17">
        <f>100*((B48/$B$46)-1)</f>
        <v>7.9090909090909101</v>
      </c>
      <c r="F48" s="17">
        <f t="shared" si="4"/>
        <v>7.9090909090909101</v>
      </c>
      <c r="G48" s="17">
        <f t="shared" si="6"/>
        <v>-4.2741935483870952</v>
      </c>
      <c r="H48" s="39">
        <f t="shared" si="2"/>
        <v>1.1226247308808388</v>
      </c>
    </row>
    <row r="49" spans="1:8">
      <c r="A49" s="16">
        <v>35855</v>
      </c>
      <c r="B49" s="24">
        <f>+geral!K794</f>
        <v>90.81</v>
      </c>
      <c r="C49" s="17">
        <f t="shared" si="0"/>
        <v>106.14845119812975</v>
      </c>
      <c r="D49" s="17">
        <f t="shared" si="1"/>
        <v>-14.995787700084239</v>
      </c>
      <c r="E49" s="17">
        <f t="shared" ref="E49:E58" si="8">100*((B49/$B$46)-1)</f>
        <v>-8.2727272727272645</v>
      </c>
      <c r="F49" s="17">
        <f t="shared" ref="F49:F73" si="9">100*((B49/B37)-1)</f>
        <v>-5.6029106029106046</v>
      </c>
      <c r="G49" s="17">
        <f t="shared" si="6"/>
        <v>-8.2727272727272645</v>
      </c>
      <c r="H49" s="39">
        <f t="shared" si="2"/>
        <v>1.3206695297874684</v>
      </c>
    </row>
    <row r="50" spans="1:8">
      <c r="A50" s="16">
        <v>35886</v>
      </c>
      <c r="B50" s="24">
        <f>+geral!K795</f>
        <v>106.62</v>
      </c>
      <c r="C50" s="17">
        <f t="shared" si="0"/>
        <v>124.62887200467563</v>
      </c>
      <c r="D50" s="17">
        <f t="shared" si="1"/>
        <v>17.409976874793532</v>
      </c>
      <c r="E50" s="17">
        <f t="shared" si="8"/>
        <v>7.696969696969691</v>
      </c>
      <c r="F50" s="17">
        <f t="shared" si="9"/>
        <v>10.110502943302713</v>
      </c>
      <c r="G50" s="17">
        <f t="shared" si="6"/>
        <v>7.0481927710843495</v>
      </c>
      <c r="H50" s="39">
        <f t="shared" si="2"/>
        <v>1.1248358656912398</v>
      </c>
    </row>
    <row r="51" spans="1:8">
      <c r="A51" s="16">
        <v>35916</v>
      </c>
      <c r="B51" s="24">
        <f>+geral!K796</f>
        <v>101.5</v>
      </c>
      <c r="C51" s="17">
        <f t="shared" si="0"/>
        <v>118.64406779661017</v>
      </c>
      <c r="D51" s="17">
        <f t="shared" si="1"/>
        <v>-4.8021009191521298</v>
      </c>
      <c r="E51" s="17">
        <f t="shared" si="8"/>
        <v>2.5252525252525304</v>
      </c>
      <c r="F51" s="17">
        <f t="shared" si="9"/>
        <v>-2.9636711281070705</v>
      </c>
      <c r="G51" s="17">
        <f t="shared" si="6"/>
        <v>7.3279052553663959</v>
      </c>
      <c r="H51" s="39">
        <f t="shared" si="2"/>
        <v>1.181576354679803</v>
      </c>
    </row>
    <row r="52" spans="1:8">
      <c r="A52" s="16">
        <v>35947</v>
      </c>
      <c r="B52" s="24">
        <f>+geral!K797</f>
        <v>105.39</v>
      </c>
      <c r="C52" s="17">
        <f t="shared" si="0"/>
        <v>123.19111630625366</v>
      </c>
      <c r="D52" s="17">
        <f t="shared" si="1"/>
        <v>3.8325123152709306</v>
      </c>
      <c r="E52" s="17">
        <f t="shared" si="8"/>
        <v>6.4545454545454461</v>
      </c>
      <c r="F52" s="17">
        <f t="shared" si="9"/>
        <v>1.826086956521733</v>
      </c>
      <c r="G52" s="17">
        <f t="shared" si="6"/>
        <v>2.6492646342651138</v>
      </c>
      <c r="H52" s="39">
        <f t="shared" si="2"/>
        <v>1.1379637536768195</v>
      </c>
    </row>
    <row r="53" spans="1:8">
      <c r="A53" s="16">
        <v>35977</v>
      </c>
      <c r="B53" s="24">
        <f>+geral!K798</f>
        <v>105.32</v>
      </c>
      <c r="C53" s="17">
        <f t="shared" si="0"/>
        <v>123.10929281122151</v>
      </c>
      <c r="D53" s="17">
        <f t="shared" si="1"/>
        <v>-6.641996394345373E-2</v>
      </c>
      <c r="E53" s="17">
        <f t="shared" si="8"/>
        <v>6.3838383838383805</v>
      </c>
      <c r="F53" s="17">
        <f t="shared" si="9"/>
        <v>15.482456140350864</v>
      </c>
      <c r="G53" s="17">
        <f t="shared" si="6"/>
        <v>8.2982005141388093</v>
      </c>
      <c r="H53" s="39">
        <f t="shared" si="2"/>
        <v>1.1387200911507787</v>
      </c>
    </row>
    <row r="54" spans="1:8">
      <c r="A54" s="16">
        <v>36008</v>
      </c>
      <c r="B54" s="24">
        <f>+geral!K799</f>
        <v>108.69</v>
      </c>
      <c r="C54" s="17">
        <f t="shared" si="0"/>
        <v>127.04850964348334</v>
      </c>
      <c r="D54" s="17">
        <f t="shared" si="1"/>
        <v>3.199772123053557</v>
      </c>
      <c r="E54" s="17">
        <f t="shared" si="8"/>
        <v>9.787878787878789</v>
      </c>
      <c r="F54" s="17">
        <f t="shared" si="9"/>
        <v>7.7952990181493709</v>
      </c>
      <c r="G54" s="17">
        <f t="shared" si="6"/>
        <v>10.592185592185599</v>
      </c>
      <c r="H54" s="39">
        <f t="shared" si="2"/>
        <v>1.1034133774956298</v>
      </c>
    </row>
    <row r="55" spans="1:8">
      <c r="A55" s="16">
        <v>36039</v>
      </c>
      <c r="B55" s="24">
        <f>+geral!K800</f>
        <v>94.5</v>
      </c>
      <c r="C55" s="17">
        <f t="shared" si="0"/>
        <v>110.46171829339568</v>
      </c>
      <c r="D55" s="17">
        <f t="shared" si="1"/>
        <v>-13.055478884902016</v>
      </c>
      <c r="E55" s="17">
        <f t="shared" si="8"/>
        <v>-4.5454545454545414</v>
      </c>
      <c r="F55" s="17">
        <f t="shared" si="9"/>
        <v>-8.2524271844660149</v>
      </c>
      <c r="G55" s="17">
        <f t="shared" si="6"/>
        <v>-11.682242990654201</v>
      </c>
      <c r="H55" s="39">
        <f t="shared" si="2"/>
        <v>1.2691005291005291</v>
      </c>
    </row>
    <row r="56" spans="1:8">
      <c r="A56" s="16">
        <v>36069</v>
      </c>
      <c r="B56" s="24">
        <f>+geral!K801</f>
        <v>100.71</v>
      </c>
      <c r="C56" s="17">
        <f t="shared" si="0"/>
        <v>117.72063120981882</v>
      </c>
      <c r="D56" s="17">
        <f t="shared" si="1"/>
        <v>6.5714285714285614</v>
      </c>
      <c r="E56" s="17">
        <f t="shared" si="8"/>
        <v>1.7272727272727106</v>
      </c>
      <c r="F56" s="17">
        <f t="shared" si="9"/>
        <v>10.914096916299565</v>
      </c>
      <c r="G56" s="17">
        <f t="shared" si="6"/>
        <v>16.765217391304343</v>
      </c>
      <c r="H56" s="39">
        <f t="shared" si="2"/>
        <v>1.1908450004964752</v>
      </c>
    </row>
    <row r="57" spans="1:8">
      <c r="A57" s="16">
        <v>36100</v>
      </c>
      <c r="B57" s="24">
        <f>+geral!K802</f>
        <v>105</v>
      </c>
      <c r="C57" s="17">
        <f t="shared" si="0"/>
        <v>122.73524254821741</v>
      </c>
      <c r="D57" s="17">
        <f t="shared" si="1"/>
        <v>4.2597557342865633</v>
      </c>
      <c r="E57" s="17">
        <f t="shared" si="8"/>
        <v>6.0606060606060552</v>
      </c>
      <c r="F57" s="17">
        <f t="shared" si="9"/>
        <v>-4.1095890410958962</v>
      </c>
      <c r="G57" s="17">
        <f t="shared" si="6"/>
        <v>-4.3715846994535461</v>
      </c>
      <c r="H57" s="39">
        <f t="shared" si="2"/>
        <v>1.1421904761904762</v>
      </c>
    </row>
    <row r="58" spans="1:8">
      <c r="A58" s="16">
        <v>36130</v>
      </c>
      <c r="B58" s="24">
        <f>+geral!K803</f>
        <v>95.17</v>
      </c>
      <c r="C58" s="17">
        <f t="shared" si="0"/>
        <v>111.2448860315605</v>
      </c>
      <c r="D58" s="17">
        <f t="shared" si="1"/>
        <v>-9.3619047619047606</v>
      </c>
      <c r="E58" s="17">
        <f t="shared" si="8"/>
        <v>-3.8686868686868658</v>
      </c>
      <c r="F58" s="17">
        <f t="shared" si="9"/>
        <v>-3.8686868686868658</v>
      </c>
      <c r="G58" s="17">
        <f t="shared" si="6"/>
        <v>-0.86458333333333526</v>
      </c>
      <c r="H58" s="39">
        <f t="shared" si="2"/>
        <v>1.260166018703373</v>
      </c>
    </row>
    <row r="59" spans="1:8">
      <c r="A59" s="16">
        <v>36161</v>
      </c>
      <c r="B59" s="24">
        <f>+geral!M792</f>
        <v>96.04</v>
      </c>
      <c r="C59" s="17">
        <f t="shared" si="0"/>
        <v>112.26183518410286</v>
      </c>
      <c r="D59" s="17">
        <f t="shared" si="1"/>
        <v>0.91415361983819832</v>
      </c>
      <c r="E59" s="17">
        <f>100*((B59/$B$58)-1)</f>
        <v>0.91415361983819832</v>
      </c>
      <c r="F59" s="17">
        <f t="shared" si="9"/>
        <v>4.391304347826086</v>
      </c>
      <c r="G59" s="17">
        <f t="shared" si="6"/>
        <v>-1.9999999999999907</v>
      </c>
      <c r="H59" s="39">
        <f t="shared" si="2"/>
        <v>1.2487505206164098</v>
      </c>
    </row>
    <row r="60" spans="1:8">
      <c r="A60" s="16">
        <v>36192</v>
      </c>
      <c r="B60" s="24">
        <f>+geral!M793</f>
        <v>106.86</v>
      </c>
      <c r="C60" s="17">
        <f t="shared" si="0"/>
        <v>124.90940970192869</v>
      </c>
      <c r="D60" s="17">
        <f t="shared" si="1"/>
        <v>11.26613910870471</v>
      </c>
      <c r="E60" s="17">
        <f t="shared" ref="E60:E69" si="10">100*((B60/$B$58)-1)</f>
        <v>12.283282547021113</v>
      </c>
      <c r="F60" s="17">
        <f t="shared" si="9"/>
        <v>2.808199943835632E-2</v>
      </c>
      <c r="G60" s="17">
        <f t="shared" si="6"/>
        <v>7.939393939393935</v>
      </c>
      <c r="H60" s="39">
        <f t="shared" si="2"/>
        <v>1.1223095639154035</v>
      </c>
    </row>
    <row r="61" spans="1:8">
      <c r="A61" s="16">
        <v>36220</v>
      </c>
      <c r="B61" s="24">
        <f>+geral!M794</f>
        <v>113</v>
      </c>
      <c r="C61" s="17">
        <f t="shared" si="0"/>
        <v>132.0864991233197</v>
      </c>
      <c r="D61" s="17">
        <f t="shared" si="1"/>
        <v>5.7458356728429694</v>
      </c>
      <c r="E61" s="17">
        <f t="shared" si="10"/>
        <v>18.734895450246913</v>
      </c>
      <c r="F61" s="17">
        <f t="shared" si="9"/>
        <v>24.435634841977748</v>
      </c>
      <c r="G61" s="17">
        <f t="shared" si="6"/>
        <v>17.463617463617464</v>
      </c>
      <c r="H61" s="39">
        <f t="shared" si="2"/>
        <v>1.0613274336283187</v>
      </c>
    </row>
    <row r="62" spans="1:8">
      <c r="A62" s="16">
        <v>36251</v>
      </c>
      <c r="B62" s="24">
        <f>+geral!M795</f>
        <v>105.17</v>
      </c>
      <c r="C62" s="17">
        <f t="shared" si="0"/>
        <v>122.93395675043834</v>
      </c>
      <c r="D62" s="17">
        <f t="shared" si="1"/>
        <v>-6.9292035398230034</v>
      </c>
      <c r="E62" s="17">
        <f t="shared" si="10"/>
        <v>10.507512871703263</v>
      </c>
      <c r="F62" s="17">
        <f t="shared" si="9"/>
        <v>-1.3599699868692583</v>
      </c>
      <c r="G62" s="17">
        <f t="shared" si="6"/>
        <v>8.6130331508829983</v>
      </c>
      <c r="H62" s="39">
        <f t="shared" si="2"/>
        <v>1.1403442046210897</v>
      </c>
    </row>
    <row r="63" spans="1:8">
      <c r="A63" s="16">
        <v>36281</v>
      </c>
      <c r="B63" s="24">
        <f>+geral!M796</f>
        <v>108.57</v>
      </c>
      <c r="C63" s="17">
        <f t="shared" si="0"/>
        <v>126.90824079485681</v>
      </c>
      <c r="D63" s="17">
        <f t="shared" si="1"/>
        <v>3.2328610820576031</v>
      </c>
      <c r="E63" s="17">
        <f t="shared" si="10"/>
        <v>14.080067248082372</v>
      </c>
      <c r="F63" s="17">
        <f t="shared" si="9"/>
        <v>6.9655172413793043</v>
      </c>
      <c r="G63" s="17">
        <f t="shared" si="6"/>
        <v>3.795411089866163</v>
      </c>
      <c r="H63" s="39">
        <f t="shared" si="2"/>
        <v>1.1046329556967855</v>
      </c>
    </row>
    <row r="64" spans="1:8">
      <c r="A64" s="16">
        <v>36312</v>
      </c>
      <c r="B64" s="24">
        <f>+geral!M797</f>
        <v>102.39</v>
      </c>
      <c r="C64" s="17">
        <f t="shared" si="0"/>
        <v>119.6843950905903</v>
      </c>
      <c r="D64" s="17">
        <f t="shared" si="1"/>
        <v>-5.6921801602652593</v>
      </c>
      <c r="E64" s="17">
        <f t="shared" si="10"/>
        <v>7.5864242933697534</v>
      </c>
      <c r="F64" s="17">
        <f t="shared" si="9"/>
        <v>-2.8465698832906394</v>
      </c>
      <c r="G64" s="17">
        <f t="shared" si="6"/>
        <v>-1.0724637681159388</v>
      </c>
      <c r="H64" s="39">
        <f t="shared" si="2"/>
        <v>1.1713057915812091</v>
      </c>
    </row>
    <row r="65" spans="1:8">
      <c r="A65" s="16">
        <v>36342</v>
      </c>
      <c r="B65" s="24">
        <f>+geral!M798</f>
        <v>109.9</v>
      </c>
      <c r="C65" s="17">
        <f t="shared" si="0"/>
        <v>128.46288720046758</v>
      </c>
      <c r="D65" s="17">
        <f t="shared" si="1"/>
        <v>7.3347006543607929</v>
      </c>
      <c r="E65" s="17">
        <f t="shared" si="10"/>
        <v>15.47756646001892</v>
      </c>
      <c r="F65" s="17">
        <f t="shared" si="9"/>
        <v>4.3486517280668657</v>
      </c>
      <c r="G65" s="17">
        <f t="shared" si="6"/>
        <v>20.504385964912288</v>
      </c>
      <c r="H65" s="39">
        <f t="shared" si="2"/>
        <v>1.0912647861692448</v>
      </c>
    </row>
    <row r="66" spans="1:8">
      <c r="A66" s="16">
        <v>36373</v>
      </c>
      <c r="B66" s="24">
        <f>+geral!M799</f>
        <v>109.71</v>
      </c>
      <c r="C66" s="17">
        <f t="shared" si="0"/>
        <v>128.24079485680889</v>
      </c>
      <c r="D66" s="17">
        <f t="shared" si="1"/>
        <v>-0.1728844404003782</v>
      </c>
      <c r="E66" s="17">
        <f t="shared" si="10"/>
        <v>15.277923715456531</v>
      </c>
      <c r="F66" s="17">
        <f t="shared" si="9"/>
        <v>0.93844879933755454</v>
      </c>
      <c r="G66" s="17">
        <f t="shared" si="6"/>
        <v>8.8069027075275095</v>
      </c>
      <c r="H66" s="39">
        <f t="shared" si="2"/>
        <v>1.0931546805213748</v>
      </c>
    </row>
    <row r="67" spans="1:8">
      <c r="A67" s="16">
        <v>36404</v>
      </c>
      <c r="B67" s="24">
        <f>+geral!M800</f>
        <v>109.29</v>
      </c>
      <c r="C67" s="17">
        <f t="shared" si="0"/>
        <v>127.74985388661602</v>
      </c>
      <c r="D67" s="17">
        <f t="shared" si="1"/>
        <v>-0.38282745419742081</v>
      </c>
      <c r="E67" s="17">
        <f t="shared" si="10"/>
        <v>14.836608174845022</v>
      </c>
      <c r="F67" s="17">
        <f t="shared" si="9"/>
        <v>15.650793650793648</v>
      </c>
      <c r="G67" s="17">
        <f t="shared" si="6"/>
        <v>6.1067961165048645</v>
      </c>
      <c r="H67" s="39">
        <f t="shared" si="2"/>
        <v>1.0973556592551925</v>
      </c>
    </row>
    <row r="68" spans="1:8">
      <c r="A68" s="16">
        <v>36434</v>
      </c>
      <c r="B68" s="24">
        <f>+geral!M801</f>
        <v>118.33</v>
      </c>
      <c r="C68" s="17">
        <f t="shared" si="0"/>
        <v>138.3167738164816</v>
      </c>
      <c r="D68" s="17">
        <f t="shared" si="1"/>
        <v>8.2715710495013148</v>
      </c>
      <c r="E68" s="17">
        <f t="shared" si="10"/>
        <v>24.335399810864764</v>
      </c>
      <c r="F68" s="17">
        <f t="shared" si="9"/>
        <v>17.4957799622679</v>
      </c>
      <c r="G68" s="17">
        <f t="shared" si="6"/>
        <v>30.319383259911902</v>
      </c>
      <c r="H68" s="39">
        <f t="shared" si="2"/>
        <v>1.0135215076481028</v>
      </c>
    </row>
    <row r="69" spans="1:8">
      <c r="A69" s="16">
        <v>36465</v>
      </c>
      <c r="B69" s="24">
        <f>+geral!M802</f>
        <v>110.33</v>
      </c>
      <c r="C69" s="17">
        <f t="shared" si="0"/>
        <v>128.9655172413793</v>
      </c>
      <c r="D69" s="17">
        <f t="shared" si="1"/>
        <v>-6.7607538240513794</v>
      </c>
      <c r="E69" s="17">
        <f t="shared" si="10"/>
        <v>15.929389513502157</v>
      </c>
      <c r="F69" s="17">
        <f t="shared" si="9"/>
        <v>5.0761904761904786</v>
      </c>
      <c r="G69" s="17">
        <f t="shared" si="6"/>
        <v>0.75799086757990519</v>
      </c>
      <c r="H69" s="39">
        <f t="shared" si="2"/>
        <v>1.087011692196139</v>
      </c>
    </row>
    <row r="70" spans="1:8">
      <c r="A70" s="16">
        <v>36495</v>
      </c>
      <c r="B70" s="24">
        <f>+geral!M803</f>
        <v>111.86</v>
      </c>
      <c r="C70" s="17">
        <f>100*B70/$B$5</f>
        <v>130.75394506136763</v>
      </c>
      <c r="D70" s="17">
        <f>100*((B70/B69)-1)</f>
        <v>1.3867488443759735</v>
      </c>
      <c r="E70" s="17">
        <f>100*((B70/$B$58)-1)</f>
        <v>17.537038982872755</v>
      </c>
      <c r="F70" s="17">
        <f t="shared" si="9"/>
        <v>17.537038982872755</v>
      </c>
      <c r="G70" s="17">
        <f t="shared" si="6"/>
        <v>12.989898989898997</v>
      </c>
      <c r="H70" s="39">
        <f>B$73/B70</f>
        <v>1.0721437511174683</v>
      </c>
    </row>
    <row r="71" spans="1:8">
      <c r="A71" s="16">
        <v>36526</v>
      </c>
      <c r="B71" s="24">
        <f>+geral!O792</f>
        <v>111.67</v>
      </c>
      <c r="C71" s="17">
        <f>100*B71/$B$5</f>
        <v>130.53185271770894</v>
      </c>
      <c r="D71" s="17">
        <f>100*((B71/B70)-1)</f>
        <v>-0.1698551761129985</v>
      </c>
      <c r="E71" s="17">
        <f>100*((B71/$B$70)-1)</f>
        <v>-0.1698551761129985</v>
      </c>
      <c r="F71" s="17">
        <f t="shared" si="9"/>
        <v>16.274468971261967</v>
      </c>
      <c r="G71" s="17">
        <f t="shared" si="6"/>
        <v>21.380434782608692</v>
      </c>
      <c r="H71" s="39">
        <f>B$73/B71</f>
        <v>1.073967941255485</v>
      </c>
    </row>
    <row r="72" spans="1:8">
      <c r="A72" s="16">
        <v>36557</v>
      </c>
      <c r="B72" s="24">
        <f>+geral!O793</f>
        <v>118.5</v>
      </c>
      <c r="C72" s="17">
        <f>100*B72/$B$5</f>
        <v>138.51548801870251</v>
      </c>
      <c r="D72" s="17">
        <f>100*((B72/B71)-1)</f>
        <v>6.1162353362586241</v>
      </c>
      <c r="E72" s="17">
        <f>100*((B72/$B$70)-1)</f>
        <v>5.9359914178437334</v>
      </c>
      <c r="F72" s="17">
        <f t="shared" si="9"/>
        <v>10.892756878158337</v>
      </c>
      <c r="G72" s="17">
        <f t="shared" si="6"/>
        <v>10.923897781522051</v>
      </c>
      <c r="H72" s="39">
        <f>B$73/B72</f>
        <v>1.0120675105485233</v>
      </c>
    </row>
    <row r="73" spans="1:8">
      <c r="A73" s="16">
        <v>36586</v>
      </c>
      <c r="B73" s="24">
        <f>+geral!O794</f>
        <v>119.93</v>
      </c>
      <c r="C73" s="17">
        <f>100*B73/$B$5</f>
        <v>140.18702513150205</v>
      </c>
      <c r="D73" s="17">
        <f>100*((B73/B72)-1)</f>
        <v>1.2067510548523286</v>
      </c>
      <c r="E73" s="17">
        <f>100*((B73/$B$70)-1)</f>
        <v>7.2143751117468291</v>
      </c>
      <c r="F73" s="17">
        <f t="shared" si="9"/>
        <v>6.1327433628318717</v>
      </c>
      <c r="G73" s="17">
        <f>100*(B73/B49-1)</f>
        <v>32.066952978746841</v>
      </c>
      <c r="H73" s="39">
        <f>B$73/B73</f>
        <v>1</v>
      </c>
    </row>
    <row r="74" spans="1:8">
      <c r="A74" s="58" t="s">
        <v>212</v>
      </c>
      <c r="B74" s="58"/>
      <c r="C74" s="58"/>
      <c r="D74" s="58"/>
      <c r="E74" s="58"/>
      <c r="F74" s="58"/>
      <c r="G74" s="29"/>
      <c r="H74" s="13"/>
    </row>
    <row r="75" spans="1:8">
      <c r="A75" s="5"/>
      <c r="B75" s="5"/>
      <c r="C75" s="5"/>
      <c r="D75" s="5"/>
      <c r="E75" s="5"/>
      <c r="F75" s="5"/>
      <c r="G75" s="5"/>
    </row>
    <row r="76" spans="1:8">
      <c r="A76" s="5"/>
      <c r="B76" s="5"/>
      <c r="C76" s="5"/>
      <c r="D76" s="5"/>
      <c r="E76" s="5"/>
      <c r="F76" s="5"/>
      <c r="G76" s="5"/>
    </row>
    <row r="77" spans="1:8">
      <c r="A77" s="5"/>
      <c r="B77" s="5"/>
      <c r="C77" s="5"/>
      <c r="D77" s="5"/>
      <c r="E77" s="5"/>
      <c r="F77" s="5"/>
      <c r="G77" s="5"/>
    </row>
  </sheetData>
  <phoneticPr fontId="0"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47"/>
  <dimension ref="A1:G100"/>
  <sheetViews>
    <sheetView showGridLines="0" topLeftCell="A62" zoomScale="75" workbookViewId="0">
      <selection activeCell="A77" sqref="A77"/>
    </sheetView>
  </sheetViews>
  <sheetFormatPr defaultRowHeight="15"/>
  <cols>
    <col min="4" max="7" width="9.77734375" customWidth="1"/>
  </cols>
  <sheetData>
    <row r="1" spans="1:7">
      <c r="A1" s="1"/>
      <c r="B1" s="1"/>
      <c r="C1" s="1"/>
      <c r="D1" s="1"/>
      <c r="E1" s="1"/>
      <c r="F1" s="1"/>
    </row>
    <row r="2" spans="1:7" ht="16.5">
      <c r="A2" s="6" t="s">
        <v>83</v>
      </c>
      <c r="B2" s="6"/>
      <c r="C2" s="6"/>
      <c r="D2" s="6"/>
      <c r="E2" s="7"/>
      <c r="F2" s="7"/>
      <c r="G2" s="5"/>
    </row>
    <row r="3" spans="1:7">
      <c r="A3" s="1"/>
      <c r="B3" s="1"/>
      <c r="C3" s="1"/>
      <c r="D3" s="1"/>
      <c r="E3" s="1"/>
      <c r="F3" s="1"/>
    </row>
    <row r="4" spans="1:7" ht="63">
      <c r="A4" s="8" t="s">
        <v>67</v>
      </c>
      <c r="B4" s="9" t="s">
        <v>76</v>
      </c>
      <c r="C4" s="8" t="s">
        <v>68</v>
      </c>
      <c r="D4" s="10" t="s">
        <v>69</v>
      </c>
      <c r="E4" s="10" t="s">
        <v>65</v>
      </c>
      <c r="F4" s="8" t="s">
        <v>70</v>
      </c>
      <c r="G4" s="8" t="s">
        <v>155</v>
      </c>
    </row>
    <row r="5" spans="1:7">
      <c r="A5" s="16">
        <v>34516</v>
      </c>
      <c r="B5" s="24">
        <f>+geral!C985</f>
        <v>430.76</v>
      </c>
      <c r="C5" s="17">
        <v>100</v>
      </c>
      <c r="D5" s="17"/>
      <c r="E5" s="17"/>
      <c r="F5" s="17"/>
      <c r="G5" s="17">
        <f>+($B$73/B5-1)*100</f>
        <v>22.418516111059539</v>
      </c>
    </row>
    <row r="6" spans="1:7">
      <c r="A6" s="16">
        <v>34547</v>
      </c>
      <c r="B6" s="24">
        <f>+geral!C986</f>
        <v>449.71000000000004</v>
      </c>
      <c r="C6" s="17">
        <v>100</v>
      </c>
      <c r="D6" s="17">
        <f t="shared" ref="D6:D70" si="0">100*((B6/B5)-1)</f>
        <v>4.3992014114588196</v>
      </c>
      <c r="E6" s="17"/>
      <c r="F6" s="17"/>
      <c r="G6" s="17">
        <f t="shared" ref="G6:G69" si="1">+($B$73/B6-1)*100</f>
        <v>17.260012007738325</v>
      </c>
    </row>
    <row r="7" spans="1:7">
      <c r="A7" s="16">
        <v>34578</v>
      </c>
      <c r="B7" s="24">
        <f>+geral!C987</f>
        <v>472.97999999999996</v>
      </c>
      <c r="C7" s="17">
        <f t="shared" ref="C7:C70" si="2">100*B7/$B$6</f>
        <v>105.17444575393029</v>
      </c>
      <c r="D7" s="17">
        <f t="shared" si="0"/>
        <v>5.1744457539302902</v>
      </c>
      <c r="E7" s="17"/>
      <c r="F7" s="17"/>
      <c r="G7" s="17">
        <f t="shared" si="1"/>
        <v>11.490972134128308</v>
      </c>
    </row>
    <row r="8" spans="1:7">
      <c r="A8" s="16">
        <v>34608</v>
      </c>
      <c r="B8" s="24">
        <f>+geral!C988</f>
        <v>521.20000000000005</v>
      </c>
      <c r="C8" s="17">
        <f t="shared" si="2"/>
        <v>115.89691134286541</v>
      </c>
      <c r="D8" s="17">
        <f t="shared" si="0"/>
        <v>10.194934246691201</v>
      </c>
      <c r="E8" s="17"/>
      <c r="F8" s="17"/>
      <c r="G8" s="17">
        <f t="shared" si="1"/>
        <v>1.1761320030698297</v>
      </c>
    </row>
    <row r="9" spans="1:7">
      <c r="A9" s="16">
        <v>34639</v>
      </c>
      <c r="B9" s="24">
        <f>+geral!C989</f>
        <v>524.27</v>
      </c>
      <c r="C9" s="17">
        <f t="shared" si="2"/>
        <v>116.57957350292409</v>
      </c>
      <c r="D9" s="17">
        <f t="shared" si="0"/>
        <v>0.58902532617035597</v>
      </c>
      <c r="E9" s="17"/>
      <c r="F9" s="17"/>
      <c r="G9" s="17">
        <f t="shared" si="1"/>
        <v>0.58366872031587747</v>
      </c>
    </row>
    <row r="10" spans="1:7">
      <c r="A10" s="16">
        <v>34669</v>
      </c>
      <c r="B10" s="24">
        <f>+geral!C990</f>
        <v>477.54</v>
      </c>
      <c r="C10" s="17">
        <f t="shared" si="2"/>
        <v>106.18843254541815</v>
      </c>
      <c r="D10" s="17">
        <f t="shared" si="0"/>
        <v>-8.9133461765883872</v>
      </c>
      <c r="E10" s="17"/>
      <c r="F10" s="17"/>
      <c r="G10" s="17">
        <f t="shared" si="1"/>
        <v>10.426351719227721</v>
      </c>
    </row>
    <row r="11" spans="1:7">
      <c r="A11" s="16">
        <v>34700</v>
      </c>
      <c r="B11" s="24">
        <f>+geral!E979</f>
        <v>458.24</v>
      </c>
      <c r="C11" s="17">
        <f t="shared" si="2"/>
        <v>101.89677792355073</v>
      </c>
      <c r="D11" s="17">
        <f t="shared" si="0"/>
        <v>-4.0415462579051038</v>
      </c>
      <c r="E11" s="17">
        <f>100*((B11/$B$10)-1)</f>
        <v>-4.0415462579051038</v>
      </c>
      <c r="F11" s="17"/>
      <c r="G11" s="17">
        <f t="shared" si="1"/>
        <v>15.077252094972081</v>
      </c>
    </row>
    <row r="12" spans="1:7">
      <c r="A12" s="16">
        <v>34731</v>
      </c>
      <c r="B12" s="24">
        <f>+geral!E980</f>
        <v>446.17</v>
      </c>
      <c r="C12" s="17">
        <f t="shared" si="2"/>
        <v>99.212826043450221</v>
      </c>
      <c r="D12" s="17">
        <f t="shared" si="0"/>
        <v>-2.63399092178771</v>
      </c>
      <c r="E12" s="17">
        <f t="shared" ref="E12:E22" si="3">100*((B12/$B$10)-1)</f>
        <v>-6.569083218159733</v>
      </c>
      <c r="F12" s="17"/>
      <c r="G12" s="17">
        <f t="shared" si="1"/>
        <v>18.190375865701427</v>
      </c>
    </row>
    <row r="13" spans="1:7">
      <c r="A13" s="16">
        <v>34759</v>
      </c>
      <c r="B13" s="24">
        <f>+geral!E981</f>
        <v>455.97</v>
      </c>
      <c r="C13" s="17">
        <f t="shared" si="2"/>
        <v>101.39200818305129</v>
      </c>
      <c r="D13" s="17">
        <f t="shared" si="0"/>
        <v>2.1964721966963197</v>
      </c>
      <c r="E13" s="17">
        <f t="shared" si="3"/>
        <v>-4.5168991079281291</v>
      </c>
      <c r="F13" s="17"/>
      <c r="G13" s="17">
        <f t="shared" si="1"/>
        <v>15.650152422308494</v>
      </c>
    </row>
    <row r="14" spans="1:7">
      <c r="A14" s="16">
        <v>34790</v>
      </c>
      <c r="B14" s="24">
        <f>+geral!E982</f>
        <v>442.5</v>
      </c>
      <c r="C14" s="17">
        <f t="shared" si="2"/>
        <v>98.396744568722056</v>
      </c>
      <c r="D14" s="17">
        <f t="shared" si="0"/>
        <v>-2.9541417198500008</v>
      </c>
      <c r="E14" s="17">
        <f t="shared" si="3"/>
        <v>-7.3376052267872911</v>
      </c>
      <c r="F14" s="17"/>
      <c r="G14" s="17">
        <f t="shared" si="1"/>
        <v>19.170621468926562</v>
      </c>
    </row>
    <row r="15" spans="1:7">
      <c r="A15" s="16">
        <v>34820</v>
      </c>
      <c r="B15" s="24">
        <f>+geral!E983</f>
        <v>435</v>
      </c>
      <c r="C15" s="17">
        <f t="shared" si="2"/>
        <v>96.729003135353892</v>
      </c>
      <c r="D15" s="17">
        <f t="shared" si="0"/>
        <v>-1.6949152542372836</v>
      </c>
      <c r="E15" s="17">
        <f t="shared" si="3"/>
        <v>-8.9081542907400451</v>
      </c>
      <c r="F15" s="17"/>
      <c r="G15" s="17">
        <f t="shared" si="1"/>
        <v>21.225287356321854</v>
      </c>
    </row>
    <row r="16" spans="1:7">
      <c r="A16" s="16">
        <v>38504</v>
      </c>
      <c r="B16" s="24">
        <f>+geral!E984</f>
        <v>448.64</v>
      </c>
      <c r="C16" s="17">
        <f t="shared" si="2"/>
        <v>99.762068888839465</v>
      </c>
      <c r="D16" s="17">
        <f t="shared" si="0"/>
        <v>3.1356321839080437</v>
      </c>
      <c r="E16" s="17">
        <f t="shared" si="3"/>
        <v>-6.0518490597646357</v>
      </c>
      <c r="F16" s="17"/>
      <c r="G16" s="17">
        <f t="shared" si="1"/>
        <v>17.539675463623404</v>
      </c>
    </row>
    <row r="17" spans="1:7">
      <c r="A17" s="16">
        <v>34881</v>
      </c>
      <c r="B17" s="24">
        <f>+geral!E985</f>
        <v>413.91</v>
      </c>
      <c r="C17" s="17">
        <f t="shared" si="2"/>
        <v>92.039314224722588</v>
      </c>
      <c r="D17" s="17">
        <f t="shared" si="0"/>
        <v>-7.7411733238231033</v>
      </c>
      <c r="E17" s="17">
        <f t="shared" si="3"/>
        <v>-13.324538258575192</v>
      </c>
      <c r="F17" s="17">
        <f>100*((B17/B5)-1)</f>
        <v>-3.9116909648063802</v>
      </c>
      <c r="G17" s="17">
        <f t="shared" si="1"/>
        <v>27.4020922422749</v>
      </c>
    </row>
    <row r="18" spans="1:7">
      <c r="A18" s="16">
        <v>34912</v>
      </c>
      <c r="B18" s="24">
        <f>+geral!E986</f>
        <v>396.68</v>
      </c>
      <c r="C18" s="17">
        <f t="shared" si="2"/>
        <v>88.207956238464774</v>
      </c>
      <c r="D18" s="17">
        <f t="shared" si="0"/>
        <v>-4.162740692421063</v>
      </c>
      <c r="E18" s="17">
        <f t="shared" si="3"/>
        <v>-16.932612974829333</v>
      </c>
      <c r="F18" s="17">
        <f t="shared" ref="F18:F72" si="4">100*((B18/B6)-1)</f>
        <v>-11.79204376153522</v>
      </c>
      <c r="G18" s="17">
        <f t="shared" si="1"/>
        <v>32.935867701926</v>
      </c>
    </row>
    <row r="19" spans="1:7">
      <c r="A19" s="16">
        <v>34943</v>
      </c>
      <c r="B19" s="24">
        <f>+geral!E987</f>
        <v>409.93</v>
      </c>
      <c r="C19" s="17">
        <f t="shared" si="2"/>
        <v>91.154299437415219</v>
      </c>
      <c r="D19" s="17">
        <f t="shared" si="0"/>
        <v>3.3402238580215737</v>
      </c>
      <c r="E19" s="17">
        <f t="shared" si="3"/>
        <v>-14.157976295179465</v>
      </c>
      <c r="F19" s="17">
        <f t="shared" si="4"/>
        <v>-13.330373377309812</v>
      </c>
      <c r="G19" s="17">
        <f t="shared" si="1"/>
        <v>28.639035932964173</v>
      </c>
    </row>
    <row r="20" spans="1:7">
      <c r="A20" s="16">
        <v>34973</v>
      </c>
      <c r="B20" s="24">
        <f>+geral!E988</f>
        <v>390.41</v>
      </c>
      <c r="C20" s="17">
        <f t="shared" si="2"/>
        <v>86.813724400168994</v>
      </c>
      <c r="D20" s="17">
        <f t="shared" si="0"/>
        <v>-4.7617885980533181</v>
      </c>
      <c r="E20" s="17">
        <f t="shared" si="3"/>
        <v>-18.245591992293843</v>
      </c>
      <c r="F20" s="17">
        <f t="shared" si="4"/>
        <v>-25.094013814274753</v>
      </c>
      <c r="G20" s="17">
        <f t="shared" si="1"/>
        <v>35.070822980968728</v>
      </c>
    </row>
    <row r="21" spans="1:7">
      <c r="A21" s="16">
        <v>35004</v>
      </c>
      <c r="B21" s="24">
        <f>+geral!E989</f>
        <v>368.99</v>
      </c>
      <c r="C21" s="17">
        <f t="shared" si="2"/>
        <v>82.0506548664695</v>
      </c>
      <c r="D21" s="17">
        <f t="shared" si="0"/>
        <v>-5.4865397915012437</v>
      </c>
      <c r="E21" s="17">
        <f t="shared" si="3"/>
        <v>-22.731080118942913</v>
      </c>
      <c r="F21" s="17">
        <f t="shared" si="4"/>
        <v>-29.618326434852271</v>
      </c>
      <c r="G21" s="17">
        <f t="shared" si="1"/>
        <v>42.911732025258154</v>
      </c>
    </row>
    <row r="22" spans="1:7">
      <c r="A22" s="16">
        <v>35034</v>
      </c>
      <c r="B22" s="24">
        <f>+geral!E990</f>
        <v>366.51</v>
      </c>
      <c r="C22" s="17">
        <f t="shared" si="2"/>
        <v>81.499188365835749</v>
      </c>
      <c r="D22" s="17">
        <f t="shared" si="0"/>
        <v>-0.67210493509309854</v>
      </c>
      <c r="E22" s="17">
        <f t="shared" si="3"/>
        <v>-23.250408342756636</v>
      </c>
      <c r="F22" s="17">
        <f t="shared" si="4"/>
        <v>-23.250408342756636</v>
      </c>
      <c r="G22" s="17">
        <f t="shared" si="1"/>
        <v>43.878748192409489</v>
      </c>
    </row>
    <row r="23" spans="1:7">
      <c r="A23" s="16">
        <v>35065</v>
      </c>
      <c r="B23" s="24">
        <f>+geral!G979</f>
        <v>364.61</v>
      </c>
      <c r="C23" s="17">
        <f t="shared" si="2"/>
        <v>81.076693869382481</v>
      </c>
      <c r="D23" s="17">
        <f t="shared" si="0"/>
        <v>-0.51840331778122417</v>
      </c>
      <c r="E23" s="17">
        <f>100*((B23/$B$22)-1)</f>
        <v>-0.51840331778122417</v>
      </c>
      <c r="F23" s="17">
        <f t="shared" si="4"/>
        <v>-20.432524441340782</v>
      </c>
      <c r="G23" s="17">
        <f t="shared" si="1"/>
        <v>44.628507172046852</v>
      </c>
    </row>
    <row r="24" spans="1:7">
      <c r="A24" s="16">
        <v>35096</v>
      </c>
      <c r="B24" s="24">
        <f>+geral!G980</f>
        <v>407.54</v>
      </c>
      <c r="C24" s="17">
        <f t="shared" si="2"/>
        <v>90.622845833981899</v>
      </c>
      <c r="D24" s="17">
        <f t="shared" si="0"/>
        <v>11.774224513864141</v>
      </c>
      <c r="E24" s="17">
        <f t="shared" ref="E24:E34" si="5">100*((B24/$B$22)-1)</f>
        <v>11.194783225560023</v>
      </c>
      <c r="F24" s="17">
        <f t="shared" si="4"/>
        <v>-8.6581347916713352</v>
      </c>
      <c r="G24" s="17">
        <f t="shared" si="1"/>
        <v>29.393433773371935</v>
      </c>
    </row>
    <row r="25" spans="1:7">
      <c r="A25" s="16">
        <v>35125</v>
      </c>
      <c r="B25" s="24">
        <f>+geral!G981</f>
        <v>416</v>
      </c>
      <c r="C25" s="17">
        <f t="shared" si="2"/>
        <v>92.504058170821182</v>
      </c>
      <c r="D25" s="17">
        <f t="shared" si="0"/>
        <v>2.0758698532659325</v>
      </c>
      <c r="E25" s="17">
        <f t="shared" si="5"/>
        <v>13.503042208943828</v>
      </c>
      <c r="F25" s="17">
        <f t="shared" si="4"/>
        <v>-8.7659275829550243</v>
      </c>
      <c r="G25" s="17">
        <f t="shared" si="1"/>
        <v>26.762019230769241</v>
      </c>
    </row>
    <row r="26" spans="1:7">
      <c r="A26" s="16">
        <v>35156</v>
      </c>
      <c r="B26" s="24">
        <f>+geral!G982</f>
        <v>414.66</v>
      </c>
      <c r="C26" s="17">
        <f t="shared" si="2"/>
        <v>92.206088368059412</v>
      </c>
      <c r="D26" s="17">
        <f t="shared" si="0"/>
        <v>-0.32211538461537348</v>
      </c>
      <c r="E26" s="17">
        <f t="shared" si="5"/>
        <v>13.13743144798234</v>
      </c>
      <c r="F26" s="17">
        <f t="shared" si="4"/>
        <v>-6.291525423728805</v>
      </c>
      <c r="G26" s="17">
        <f t="shared" si="1"/>
        <v>27.171658708339375</v>
      </c>
    </row>
    <row r="27" spans="1:7">
      <c r="A27" s="16">
        <v>35186</v>
      </c>
      <c r="B27" s="24">
        <f>+geral!G983</f>
        <v>396.06</v>
      </c>
      <c r="C27" s="17">
        <f t="shared" si="2"/>
        <v>88.070089613306351</v>
      </c>
      <c r="D27" s="17">
        <f t="shared" si="0"/>
        <v>-4.4856026624222274</v>
      </c>
      <c r="E27" s="17">
        <f t="shared" si="5"/>
        <v>8.0625358107555112</v>
      </c>
      <c r="F27" s="17">
        <f t="shared" si="4"/>
        <v>-8.9517241379310377</v>
      </c>
      <c r="G27" s="17">
        <f t="shared" si="1"/>
        <v>33.143968085643593</v>
      </c>
    </row>
    <row r="28" spans="1:7">
      <c r="A28" s="16">
        <v>35217</v>
      </c>
      <c r="B28" s="24">
        <f>+geral!G984</f>
        <v>402.41</v>
      </c>
      <c r="C28" s="17">
        <f t="shared" si="2"/>
        <v>89.48211069355807</v>
      </c>
      <c r="D28" s="17">
        <f t="shared" si="0"/>
        <v>1.6032924304398399</v>
      </c>
      <c r="E28" s="17">
        <f t="shared" si="5"/>
        <v>9.7950942675506969</v>
      </c>
      <c r="F28" s="17">
        <f t="shared" si="4"/>
        <v>-10.304475748930086</v>
      </c>
      <c r="G28" s="17">
        <f t="shared" si="1"/>
        <v>31.042966129072337</v>
      </c>
    </row>
    <row r="29" spans="1:7">
      <c r="A29" s="16">
        <v>35247</v>
      </c>
      <c r="B29" s="24">
        <f>+geral!G985</f>
        <v>395.3</v>
      </c>
      <c r="C29" s="17">
        <f t="shared" si="2"/>
        <v>87.901091814725035</v>
      </c>
      <c r="D29" s="17">
        <f t="shared" si="0"/>
        <v>-1.7668547004299096</v>
      </c>
      <c r="E29" s="17">
        <f t="shared" si="5"/>
        <v>7.8551744836430126</v>
      </c>
      <c r="F29" s="17">
        <f t="shared" si="4"/>
        <v>-4.4961465052789311</v>
      </c>
      <c r="G29" s="17">
        <f t="shared" si="1"/>
        <v>33.399949405514803</v>
      </c>
    </row>
    <row r="30" spans="1:7">
      <c r="A30" s="16">
        <v>35278</v>
      </c>
      <c r="B30" s="24">
        <f>+geral!G986</f>
        <v>393.95</v>
      </c>
      <c r="C30" s="17">
        <f t="shared" si="2"/>
        <v>87.600898356718773</v>
      </c>
      <c r="D30" s="17">
        <f t="shared" si="0"/>
        <v>-0.34151277510752198</v>
      </c>
      <c r="E30" s="17">
        <f t="shared" si="5"/>
        <v>7.4868352841668706</v>
      </c>
      <c r="F30" s="17">
        <f t="shared" si="4"/>
        <v>-0.68821216093577497</v>
      </c>
      <c r="G30" s="17">
        <f t="shared" si="1"/>
        <v>33.857088463002924</v>
      </c>
    </row>
    <row r="31" spans="1:7">
      <c r="A31" s="16">
        <v>35309</v>
      </c>
      <c r="B31" s="24">
        <f>+geral!G987</f>
        <v>395.71</v>
      </c>
      <c r="C31" s="17">
        <f t="shared" si="2"/>
        <v>87.992261679749163</v>
      </c>
      <c r="D31" s="17">
        <f t="shared" si="0"/>
        <v>0.44675720269069519</v>
      </c>
      <c r="E31" s="17">
        <f t="shared" si="5"/>
        <v>7.967040462743169</v>
      </c>
      <c r="F31" s="17">
        <f t="shared" si="4"/>
        <v>-3.4688849315736903</v>
      </c>
      <c r="G31" s="17">
        <f t="shared" si="1"/>
        <v>33.261732076520701</v>
      </c>
    </row>
    <row r="32" spans="1:7">
      <c r="A32" s="16">
        <v>35339</v>
      </c>
      <c r="B32" s="24">
        <f>+geral!G988</f>
        <v>422.26</v>
      </c>
      <c r="C32" s="17">
        <f t="shared" si="2"/>
        <v>93.896066353872484</v>
      </c>
      <c r="D32" s="17">
        <f t="shared" si="0"/>
        <v>6.709458947208824</v>
      </c>
      <c r="E32" s="17">
        <f t="shared" si="5"/>
        <v>15.211044719107258</v>
      </c>
      <c r="F32" s="17">
        <f t="shared" si="4"/>
        <v>8.1580902128531427</v>
      </c>
      <c r="G32" s="17">
        <f t="shared" si="1"/>
        <v>24.882773646568481</v>
      </c>
    </row>
    <row r="33" spans="1:7">
      <c r="A33" s="16">
        <v>35370</v>
      </c>
      <c r="B33" s="24">
        <f>+geral!G989</f>
        <v>391.86</v>
      </c>
      <c r="C33" s="17">
        <f t="shared" si="2"/>
        <v>87.136154410620165</v>
      </c>
      <c r="D33" s="17">
        <f t="shared" si="0"/>
        <v>-7.1993558471084125</v>
      </c>
      <c r="E33" s="17">
        <f t="shared" si="5"/>
        <v>6.9165916346075162</v>
      </c>
      <c r="F33" s="17">
        <f t="shared" si="4"/>
        <v>6.197999945797994</v>
      </c>
      <c r="G33" s="17">
        <f t="shared" si="1"/>
        <v>34.571020262338607</v>
      </c>
    </row>
    <row r="34" spans="1:7">
      <c r="A34" s="16">
        <v>35400</v>
      </c>
      <c r="B34" s="24">
        <f>+geral!G990</f>
        <v>418.18</v>
      </c>
      <c r="C34" s="17">
        <f t="shared" si="2"/>
        <v>92.988815014120206</v>
      </c>
      <c r="D34" s="17">
        <f t="shared" si="0"/>
        <v>6.716684530189343</v>
      </c>
      <c r="E34" s="17">
        <f t="shared" si="5"/>
        <v>14.097841805134937</v>
      </c>
      <c r="F34" s="17">
        <f t="shared" si="4"/>
        <v>14.097841805134937</v>
      </c>
      <c r="G34" s="17">
        <f t="shared" si="1"/>
        <v>26.101200440001925</v>
      </c>
    </row>
    <row r="35" spans="1:7">
      <c r="A35" s="16">
        <v>35431</v>
      </c>
      <c r="B35" s="24">
        <f>+geral!I979</f>
        <v>433.46</v>
      </c>
      <c r="C35" s="17">
        <f t="shared" si="2"/>
        <v>96.38656022770229</v>
      </c>
      <c r="D35" s="17">
        <f t="shared" si="0"/>
        <v>3.6539289301257716</v>
      </c>
      <c r="E35" s="17">
        <f>100*((B35/$B$34)-1)</f>
        <v>3.6539289301257716</v>
      </c>
      <c r="F35" s="17">
        <f t="shared" si="4"/>
        <v>18.88319025808396</v>
      </c>
      <c r="G35" s="17">
        <f t="shared" si="1"/>
        <v>21.655977483504827</v>
      </c>
    </row>
    <row r="36" spans="1:7">
      <c r="A36" s="16">
        <v>35462</v>
      </c>
      <c r="B36" s="24">
        <f>+geral!I980</f>
        <v>415.33</v>
      </c>
      <c r="C36" s="17">
        <f t="shared" si="2"/>
        <v>92.355073269440297</v>
      </c>
      <c r="D36" s="17">
        <f t="shared" si="0"/>
        <v>-4.1826235408111483</v>
      </c>
      <c r="E36" s="17">
        <f t="shared" ref="E36:E46" si="6">100*((B36/$B$34)-1)</f>
        <v>-0.681524702281322</v>
      </c>
      <c r="F36" s="17">
        <f t="shared" si="4"/>
        <v>1.9114688128772483</v>
      </c>
      <c r="G36" s="17">
        <f t="shared" si="1"/>
        <v>26.966508559458767</v>
      </c>
    </row>
    <row r="37" spans="1:7">
      <c r="A37" s="16">
        <v>35490</v>
      </c>
      <c r="B37" s="24">
        <f>+geral!I981</f>
        <v>416.16</v>
      </c>
      <c r="C37" s="17">
        <f t="shared" si="2"/>
        <v>92.539636654733044</v>
      </c>
      <c r="D37" s="17">
        <f t="shared" si="0"/>
        <v>0.19984109021742302</v>
      </c>
      <c r="E37" s="17">
        <f t="shared" si="6"/>
        <v>-0.48304557845902929</v>
      </c>
      <c r="F37" s="17">
        <f t="shared" si="4"/>
        <v>3.8461538461542766E-2</v>
      </c>
      <c r="G37" s="17">
        <f t="shared" si="1"/>
        <v>26.713283352556715</v>
      </c>
    </row>
    <row r="38" spans="1:7">
      <c r="A38" s="16">
        <v>35521</v>
      </c>
      <c r="B38" s="24">
        <f>+geral!I982</f>
        <v>415.47</v>
      </c>
      <c r="C38" s="17">
        <f t="shared" si="2"/>
        <v>92.386204442863175</v>
      </c>
      <c r="D38" s="17">
        <f t="shared" si="0"/>
        <v>-0.16580161476354993</v>
      </c>
      <c r="E38" s="17">
        <f t="shared" si="6"/>
        <v>-0.64804629585345497</v>
      </c>
      <c r="F38" s="17">
        <f t="shared" si="4"/>
        <v>0.19534076110547804</v>
      </c>
      <c r="G38" s="17">
        <f t="shared" si="1"/>
        <v>26.923724938021998</v>
      </c>
    </row>
    <row r="39" spans="1:7">
      <c r="A39" s="16">
        <v>35551</v>
      </c>
      <c r="B39" s="24">
        <f>+geral!I983</f>
        <v>399.48</v>
      </c>
      <c r="C39" s="17">
        <f t="shared" si="2"/>
        <v>88.830579706922236</v>
      </c>
      <c r="D39" s="17">
        <f t="shared" si="0"/>
        <v>-3.8486533323705663</v>
      </c>
      <c r="E39" s="17">
        <f t="shared" si="6"/>
        <v>-4.4717585728633598</v>
      </c>
      <c r="F39" s="17">
        <f t="shared" si="4"/>
        <v>0.86350552946523607</v>
      </c>
      <c r="G39" s="17">
        <f t="shared" si="1"/>
        <v>32.004105336938025</v>
      </c>
    </row>
    <row r="40" spans="1:7">
      <c r="A40" s="16">
        <v>35582</v>
      </c>
      <c r="B40" s="24">
        <f>+geral!I984</f>
        <v>409.27</v>
      </c>
      <c r="C40" s="17">
        <f t="shared" si="2"/>
        <v>91.007538191278812</v>
      </c>
      <c r="D40" s="17">
        <f t="shared" si="0"/>
        <v>2.4506858916591545</v>
      </c>
      <c r="E40" s="17">
        <f t="shared" si="6"/>
        <v>-2.1306614376584321</v>
      </c>
      <c r="F40" s="17">
        <f t="shared" si="4"/>
        <v>1.7047290077284227</v>
      </c>
      <c r="G40" s="17">
        <f t="shared" si="1"/>
        <v>28.846482761990888</v>
      </c>
    </row>
    <row r="41" spans="1:7">
      <c r="A41" s="16">
        <v>35612</v>
      </c>
      <c r="B41" s="24">
        <f>+geral!I985</f>
        <v>416.37</v>
      </c>
      <c r="C41" s="17">
        <f t="shared" si="2"/>
        <v>92.586333414867354</v>
      </c>
      <c r="D41" s="17">
        <f t="shared" si="0"/>
        <v>1.7347961003738366</v>
      </c>
      <c r="E41" s="17">
        <f t="shared" si="6"/>
        <v>-0.43282796881725094</v>
      </c>
      <c r="F41" s="17">
        <f t="shared" si="4"/>
        <v>5.3301290159372572</v>
      </c>
      <c r="G41" s="17">
        <f t="shared" si="1"/>
        <v>26.649374354540445</v>
      </c>
    </row>
    <row r="42" spans="1:7">
      <c r="A42" s="16">
        <v>35643</v>
      </c>
      <c r="B42" s="24">
        <f>+geral!I986</f>
        <v>403.44</v>
      </c>
      <c r="C42" s="17">
        <f t="shared" si="2"/>
        <v>89.711147183740621</v>
      </c>
      <c r="D42" s="17">
        <f t="shared" si="0"/>
        <v>-3.1054110526695045</v>
      </c>
      <c r="E42" s="17">
        <f t="shared" si="6"/>
        <v>-3.5247979339040669</v>
      </c>
      <c r="F42" s="17">
        <f t="shared" si="4"/>
        <v>2.4089351440538254</v>
      </c>
      <c r="G42" s="17">
        <f t="shared" si="1"/>
        <v>30.708407693833053</v>
      </c>
    </row>
    <row r="43" spans="1:7">
      <c r="A43" s="16">
        <v>35674</v>
      </c>
      <c r="B43" s="24">
        <f>+geral!I987</f>
        <v>402.11</v>
      </c>
      <c r="C43" s="17">
        <f t="shared" si="2"/>
        <v>89.415401036223344</v>
      </c>
      <c r="D43" s="17">
        <f t="shared" si="0"/>
        <v>-0.32966488201466859</v>
      </c>
      <c r="E43" s="17">
        <f t="shared" si="6"/>
        <v>-3.8428427949686705</v>
      </c>
      <c r="F43" s="17">
        <f t="shared" si="4"/>
        <v>1.6173460362386649</v>
      </c>
      <c r="G43" s="17">
        <f t="shared" si="1"/>
        <v>31.140732635348535</v>
      </c>
    </row>
    <row r="44" spans="1:7">
      <c r="A44" s="16">
        <v>35704</v>
      </c>
      <c r="B44" s="24">
        <f>+geral!I988</f>
        <v>417.76</v>
      </c>
      <c r="C44" s="17">
        <f t="shared" si="2"/>
        <v>92.895421493851586</v>
      </c>
      <c r="D44" s="17">
        <f t="shared" si="0"/>
        <v>3.8919698589938045</v>
      </c>
      <c r="E44" s="17">
        <f t="shared" si="6"/>
        <v>-0.1004352192835678</v>
      </c>
      <c r="F44" s="17">
        <f t="shared" si="4"/>
        <v>-1.0656941221048655</v>
      </c>
      <c r="G44" s="17">
        <f t="shared" si="1"/>
        <v>26.227977786288783</v>
      </c>
    </row>
    <row r="45" spans="1:7">
      <c r="A45" s="16">
        <v>35735</v>
      </c>
      <c r="B45" s="24">
        <f>+geral!I989</f>
        <v>409.87</v>
      </c>
      <c r="C45" s="17">
        <f t="shared" si="2"/>
        <v>91.140957505948265</v>
      </c>
      <c r="D45" s="17">
        <f t="shared" si="0"/>
        <v>-1.8886441976254331</v>
      </c>
      <c r="E45" s="17">
        <f t="shared" si="6"/>
        <v>-1.9871825529676257</v>
      </c>
      <c r="F45" s="17">
        <f t="shared" si="4"/>
        <v>4.5960291940999376</v>
      </c>
      <c r="G45" s="17">
        <f t="shared" si="1"/>
        <v>28.657867128601765</v>
      </c>
    </row>
    <row r="46" spans="1:7">
      <c r="A46" s="16">
        <v>35765</v>
      </c>
      <c r="B46" s="24">
        <f>+geral!I990</f>
        <v>408.42</v>
      </c>
      <c r="C46" s="17">
        <f t="shared" si="2"/>
        <v>90.818527495497094</v>
      </c>
      <c r="D46" s="17">
        <f t="shared" si="0"/>
        <v>-0.35377070778539466</v>
      </c>
      <c r="E46" s="17">
        <f t="shared" si="6"/>
        <v>-2.3339231909703884</v>
      </c>
      <c r="F46" s="17">
        <f t="shared" si="4"/>
        <v>-2.3339231909703884</v>
      </c>
      <c r="G46" s="17">
        <f t="shared" si="1"/>
        <v>29.114636893394064</v>
      </c>
    </row>
    <row r="47" spans="1:7">
      <c r="A47" s="16">
        <v>35796</v>
      </c>
      <c r="B47" s="24">
        <f>+geral!K979</f>
        <v>417.93</v>
      </c>
      <c r="C47" s="17">
        <f t="shared" si="2"/>
        <v>92.933223633007927</v>
      </c>
      <c r="D47" s="17">
        <f t="shared" si="0"/>
        <v>2.3284853826942786</v>
      </c>
      <c r="E47" s="17">
        <f>100*((B47/$B$46)-1)</f>
        <v>2.3284853826942786</v>
      </c>
      <c r="F47" s="17">
        <f t="shared" si="4"/>
        <v>-3.5827988741752304</v>
      </c>
      <c r="G47" s="17">
        <f t="shared" si="1"/>
        <v>26.176632450410352</v>
      </c>
    </row>
    <row r="48" spans="1:7">
      <c r="A48" s="16">
        <v>35827</v>
      </c>
      <c r="B48" s="24">
        <f>+geral!K980</f>
        <v>412.83</v>
      </c>
      <c r="C48" s="17">
        <f t="shared" si="2"/>
        <v>91.799159458317575</v>
      </c>
      <c r="D48" s="17">
        <f t="shared" si="0"/>
        <v>-1.220300050247658</v>
      </c>
      <c r="E48" s="17">
        <f t="shared" ref="E48:E58" si="7">100*((B48/$B$46)-1)</f>
        <v>1.0797708241516046</v>
      </c>
      <c r="F48" s="17">
        <f t="shared" si="4"/>
        <v>-0.60193099463077271</v>
      </c>
      <c r="G48" s="17">
        <f t="shared" si="1"/>
        <v>27.735387447617676</v>
      </c>
    </row>
    <row r="49" spans="1:7">
      <c r="A49" s="16">
        <v>35855</v>
      </c>
      <c r="B49" s="24">
        <f>+geral!K981</f>
        <v>479</v>
      </c>
      <c r="C49" s="17">
        <f t="shared" si="2"/>
        <v>106.51308621111382</v>
      </c>
      <c r="D49" s="17">
        <f t="shared" si="0"/>
        <v>16.028389409684387</v>
      </c>
      <c r="E49" s="17">
        <f t="shared" si="7"/>
        <v>17.281230106263145</v>
      </c>
      <c r="F49" s="17">
        <f t="shared" si="4"/>
        <v>15.099961553248754</v>
      </c>
      <c r="G49" s="17">
        <f t="shared" si="1"/>
        <v>10.089770354906058</v>
      </c>
    </row>
    <row r="50" spans="1:7">
      <c r="A50" s="16">
        <v>35886</v>
      </c>
      <c r="B50" s="24">
        <f>+geral!K982</f>
        <v>533.27</v>
      </c>
      <c r="C50" s="17">
        <f t="shared" si="2"/>
        <v>118.5808632229659</v>
      </c>
      <c r="D50" s="17">
        <f t="shared" si="0"/>
        <v>11.329853862212946</v>
      </c>
      <c r="E50" s="17">
        <f t="shared" si="7"/>
        <v>30.569022085108454</v>
      </c>
      <c r="F50" s="17">
        <f t="shared" si="4"/>
        <v>28.353431053987045</v>
      </c>
      <c r="G50" s="17">
        <f t="shared" si="1"/>
        <v>-1.1138822735199727</v>
      </c>
    </row>
    <row r="51" spans="1:7">
      <c r="A51" s="16">
        <v>35916</v>
      </c>
      <c r="B51" s="24">
        <f>+geral!K983</f>
        <v>528.9</v>
      </c>
      <c r="C51" s="17">
        <f t="shared" si="2"/>
        <v>117.60912588112338</v>
      </c>
      <c r="D51" s="17">
        <f t="shared" si="0"/>
        <v>-0.81947231233708839</v>
      </c>
      <c r="E51" s="17">
        <f t="shared" si="7"/>
        <v>29.499045100631683</v>
      </c>
      <c r="F51" s="17">
        <f t="shared" si="4"/>
        <v>32.397116251126448</v>
      </c>
      <c r="G51" s="17">
        <f t="shared" si="1"/>
        <v>-0.2968425033087474</v>
      </c>
    </row>
    <row r="52" spans="1:7">
      <c r="A52" s="16">
        <v>35947</v>
      </c>
      <c r="B52" s="24">
        <f>+geral!K984</f>
        <v>527.94000000000005</v>
      </c>
      <c r="C52" s="17">
        <f t="shared" si="2"/>
        <v>117.39565497765227</v>
      </c>
      <c r="D52" s="17">
        <f t="shared" si="0"/>
        <v>-0.18150879183208568</v>
      </c>
      <c r="E52" s="17">
        <f t="shared" si="7"/>
        <v>29.263992948435448</v>
      </c>
      <c r="F52" s="17">
        <f t="shared" si="4"/>
        <v>28.99552862413568</v>
      </c>
      <c r="G52" s="17">
        <f t="shared" si="1"/>
        <v>-0.11554343296587</v>
      </c>
    </row>
    <row r="53" spans="1:7">
      <c r="A53" s="16">
        <v>35977</v>
      </c>
      <c r="B53" s="24">
        <f>+geral!K985</f>
        <v>522.70000000000005</v>
      </c>
      <c r="C53" s="17">
        <f t="shared" si="2"/>
        <v>116.23045962953904</v>
      </c>
      <c r="D53" s="17">
        <f t="shared" si="0"/>
        <v>-0.9925370307231951</v>
      </c>
      <c r="E53" s="17">
        <f t="shared" si="7"/>
        <v>27.980999951030803</v>
      </c>
      <c r="F53" s="17">
        <f t="shared" si="4"/>
        <v>25.53738261642291</v>
      </c>
      <c r="G53" s="17">
        <f t="shared" si="1"/>
        <v>0.88578534532235409</v>
      </c>
    </row>
    <row r="54" spans="1:7">
      <c r="A54" s="16">
        <v>36008</v>
      </c>
      <c r="B54" s="24">
        <f>+geral!K986</f>
        <v>521.12</v>
      </c>
      <c r="C54" s="17">
        <f t="shared" si="2"/>
        <v>115.87912210090947</v>
      </c>
      <c r="D54" s="17">
        <f t="shared" si="0"/>
        <v>-0.3022766405203825</v>
      </c>
      <c r="E54" s="17">
        <f t="shared" si="7"/>
        <v>27.594143283874438</v>
      </c>
      <c r="F54" s="17">
        <f t="shared" si="4"/>
        <v>29.169145349990089</v>
      </c>
      <c r="G54" s="17">
        <f t="shared" si="1"/>
        <v>1.1916641080749191</v>
      </c>
    </row>
    <row r="55" spans="1:7">
      <c r="A55" s="16">
        <v>36039</v>
      </c>
      <c r="B55" s="24">
        <f>+geral!K987</f>
        <v>522.86</v>
      </c>
      <c r="C55" s="17">
        <f t="shared" si="2"/>
        <v>116.26603811345088</v>
      </c>
      <c r="D55" s="17">
        <f t="shared" si="0"/>
        <v>0.33389622351858161</v>
      </c>
      <c r="E55" s="17">
        <f t="shared" si="7"/>
        <v>28.020175309730178</v>
      </c>
      <c r="F55" s="17">
        <f t="shared" si="4"/>
        <v>30.029096515878727</v>
      </c>
      <c r="G55" s="17">
        <f t="shared" si="1"/>
        <v>0.8549133611291726</v>
      </c>
    </row>
    <row r="56" spans="1:7">
      <c r="A56" s="16">
        <v>36069</v>
      </c>
      <c r="B56" s="24">
        <f>+geral!K988</f>
        <v>518</v>
      </c>
      <c r="C56" s="17">
        <f t="shared" si="2"/>
        <v>115.18534166462831</v>
      </c>
      <c r="D56" s="17">
        <f t="shared" si="0"/>
        <v>-0.92950311746931025</v>
      </c>
      <c r="E56" s="17">
        <f t="shared" si="7"/>
        <v>26.830223789236562</v>
      </c>
      <c r="F56" s="17">
        <f t="shared" si="4"/>
        <v>23.994638069705097</v>
      </c>
      <c r="G56" s="17">
        <f t="shared" si="1"/>
        <v>1.801158301158301</v>
      </c>
    </row>
    <row r="57" spans="1:7">
      <c r="A57" s="16">
        <v>36100</v>
      </c>
      <c r="B57" s="24">
        <f>+geral!K989</f>
        <v>521.1</v>
      </c>
      <c r="C57" s="17">
        <f t="shared" si="2"/>
        <v>115.87467479042049</v>
      </c>
      <c r="D57" s="17">
        <f t="shared" si="0"/>
        <v>0.59845559845559393</v>
      </c>
      <c r="E57" s="17">
        <f t="shared" si="7"/>
        <v>27.589246364037013</v>
      </c>
      <c r="F57" s="17">
        <f t="shared" si="4"/>
        <v>27.137872984116918</v>
      </c>
      <c r="G57" s="17">
        <f t="shared" si="1"/>
        <v>1.1955478794857033</v>
      </c>
    </row>
    <row r="58" spans="1:7">
      <c r="A58" s="16">
        <v>36130</v>
      </c>
      <c r="B58" s="24">
        <f>+geral!K990</f>
        <v>509.78</v>
      </c>
      <c r="C58" s="17">
        <f t="shared" si="2"/>
        <v>113.35749705365679</v>
      </c>
      <c r="D58" s="17">
        <f t="shared" si="0"/>
        <v>-2.1723277681827025</v>
      </c>
      <c r="E58" s="17">
        <f t="shared" si="7"/>
        <v>24.817589736056011</v>
      </c>
      <c r="F58" s="17">
        <f t="shared" si="4"/>
        <v>24.817589736056011</v>
      </c>
      <c r="G58" s="17">
        <f t="shared" si="1"/>
        <v>3.4426615402722849</v>
      </c>
    </row>
    <row r="59" spans="1:7">
      <c r="A59" s="16">
        <v>36161</v>
      </c>
      <c r="B59" s="24">
        <f>+geral!M979</f>
        <v>514.24</v>
      </c>
      <c r="C59" s="17">
        <f t="shared" si="2"/>
        <v>114.34924729269973</v>
      </c>
      <c r="D59" s="17">
        <f t="shared" si="0"/>
        <v>0.8748872062458446</v>
      </c>
      <c r="E59" s="17">
        <f>100*((B59/$B$58)-1)</f>
        <v>0.8748872062458446</v>
      </c>
      <c r="F59" s="17">
        <f t="shared" si="4"/>
        <v>23.044528988108048</v>
      </c>
      <c r="G59" s="17">
        <f t="shared" si="1"/>
        <v>2.5455040448039812</v>
      </c>
    </row>
    <row r="60" spans="1:7">
      <c r="A60" s="16">
        <v>36192</v>
      </c>
      <c r="B60" s="24">
        <f>+geral!M980</f>
        <v>506.89</v>
      </c>
      <c r="C60" s="17">
        <f t="shared" si="2"/>
        <v>112.71486068799892</v>
      </c>
      <c r="D60" s="17">
        <f t="shared" si="0"/>
        <v>-1.4292937149968932</v>
      </c>
      <c r="E60" s="17">
        <f t="shared" ref="E60:E70" si="8">100*((B60/$B$58)-1)</f>
        <v>-0.56691121660323862</v>
      </c>
      <c r="F60" s="17">
        <f t="shared" si="4"/>
        <v>22.784196884916309</v>
      </c>
      <c r="G60" s="17">
        <f t="shared" si="1"/>
        <v>4.0324330722642188</v>
      </c>
    </row>
    <row r="61" spans="1:7">
      <c r="A61" s="16">
        <v>36220</v>
      </c>
      <c r="B61" s="24">
        <f>+geral!M981</f>
        <v>528.84</v>
      </c>
      <c r="C61" s="17">
        <f t="shared" si="2"/>
        <v>117.59578394965644</v>
      </c>
      <c r="D61" s="17">
        <f t="shared" si="0"/>
        <v>4.3303280790704113</v>
      </c>
      <c r="E61" s="17">
        <f t="shared" si="8"/>
        <v>3.7388677468712217</v>
      </c>
      <c r="F61" s="17">
        <f t="shared" si="4"/>
        <v>10.405010438413376</v>
      </c>
      <c r="G61" s="17">
        <f t="shared" si="1"/>
        <v>-0.28553059526510438</v>
      </c>
    </row>
    <row r="62" spans="1:7">
      <c r="A62" s="16">
        <v>36251</v>
      </c>
      <c r="B62" s="24">
        <f>+geral!M982</f>
        <v>526.02</v>
      </c>
      <c r="C62" s="17">
        <f t="shared" si="2"/>
        <v>116.96871317071</v>
      </c>
      <c r="D62" s="17">
        <f t="shared" si="0"/>
        <v>-0.53324256864081265</v>
      </c>
      <c r="E62" s="17">
        <f t="shared" si="8"/>
        <v>3.1856879438189045</v>
      </c>
      <c r="F62" s="17">
        <f t="shared" si="4"/>
        <v>-1.3595364449528358</v>
      </c>
      <c r="G62" s="17">
        <f t="shared" si="1"/>
        <v>0.24903996045779753</v>
      </c>
    </row>
    <row r="63" spans="1:7">
      <c r="A63" s="16">
        <v>36281</v>
      </c>
      <c r="B63" s="24">
        <f>+geral!M983</f>
        <v>526.09</v>
      </c>
      <c r="C63" s="17">
        <f t="shared" si="2"/>
        <v>116.98427875742144</v>
      </c>
      <c r="D63" s="17">
        <f t="shared" si="0"/>
        <v>1.3307478803104011E-2</v>
      </c>
      <c r="E63" s="17">
        <f t="shared" si="8"/>
        <v>3.1994193573698482</v>
      </c>
      <c r="F63" s="17">
        <f t="shared" si="4"/>
        <v>-0.53129135942521222</v>
      </c>
      <c r="G63" s="17">
        <f t="shared" si="1"/>
        <v>0.23570111577866371</v>
      </c>
    </row>
    <row r="64" spans="1:7">
      <c r="A64" s="16">
        <v>36312</v>
      </c>
      <c r="B64" s="24">
        <f>+geral!M984</f>
        <v>526.72</v>
      </c>
      <c r="C64" s="17">
        <f t="shared" si="2"/>
        <v>117.12436903782437</v>
      </c>
      <c r="D64" s="17">
        <f t="shared" si="0"/>
        <v>0.11975137333917196</v>
      </c>
      <c r="E64" s="17">
        <f t="shared" si="8"/>
        <v>3.323002079328341</v>
      </c>
      <c r="F64" s="17">
        <f t="shared" si="4"/>
        <v>-0.23108686593173999</v>
      </c>
      <c r="G64" s="17">
        <f t="shared" si="1"/>
        <v>0.11581105710813944</v>
      </c>
    </row>
    <row r="65" spans="1:7">
      <c r="A65" s="16">
        <v>36342</v>
      </c>
      <c r="B65" s="24">
        <f>+geral!M985</f>
        <v>534.17999999999995</v>
      </c>
      <c r="C65" s="17">
        <f t="shared" si="2"/>
        <v>118.78321585021456</v>
      </c>
      <c r="D65" s="17">
        <f t="shared" si="0"/>
        <v>1.4163122721749577</v>
      </c>
      <c r="E65" s="17">
        <f t="shared" si="8"/>
        <v>4.7863784377574659</v>
      </c>
      <c r="F65" s="17">
        <f t="shared" si="4"/>
        <v>2.1962885020087919</v>
      </c>
      <c r="G65" s="17">
        <f t="shared" si="1"/>
        <v>-1.2823392863828498</v>
      </c>
    </row>
    <row r="66" spans="1:7">
      <c r="A66" s="16">
        <v>36373</v>
      </c>
      <c r="B66" s="24">
        <f>+geral!M986</f>
        <v>499.62</v>
      </c>
      <c r="C66" s="17">
        <f t="shared" si="2"/>
        <v>111.09826332525404</v>
      </c>
      <c r="D66" s="17">
        <f t="shared" si="0"/>
        <v>-6.469729304728733</v>
      </c>
      <c r="E66" s="17">
        <f t="shared" si="8"/>
        <v>-1.9930165953940815</v>
      </c>
      <c r="F66" s="17">
        <f t="shared" si="4"/>
        <v>-4.1257291986490641</v>
      </c>
      <c r="G66" s="17">
        <f t="shared" si="1"/>
        <v>5.5462151234938695</v>
      </c>
    </row>
    <row r="67" spans="1:7">
      <c r="A67" s="16">
        <v>36404</v>
      </c>
      <c r="B67" s="24">
        <f>+geral!M987</f>
        <v>566.61</v>
      </c>
      <c r="C67" s="17">
        <f t="shared" si="2"/>
        <v>125.99452980809855</v>
      </c>
      <c r="D67" s="17">
        <f t="shared" si="0"/>
        <v>13.408190224570671</v>
      </c>
      <c r="E67" s="17">
        <f t="shared" si="8"/>
        <v>11.14794617285888</v>
      </c>
      <c r="F67" s="17">
        <f t="shared" si="4"/>
        <v>8.367440615078614</v>
      </c>
      <c r="G67" s="17">
        <f t="shared" si="1"/>
        <v>-6.9324579516775175</v>
      </c>
    </row>
    <row r="68" spans="1:7">
      <c r="A68" s="16">
        <v>36434</v>
      </c>
      <c r="B68" s="24">
        <f>+geral!M988</f>
        <v>596.34</v>
      </c>
      <c r="C68" s="17">
        <f t="shared" si="2"/>
        <v>132.60545684996998</v>
      </c>
      <c r="D68" s="17">
        <f t="shared" si="0"/>
        <v>5.2469952877640669</v>
      </c>
      <c r="E68" s="17">
        <f t="shared" si="8"/>
        <v>16.979873670995339</v>
      </c>
      <c r="F68" s="17">
        <f t="shared" si="4"/>
        <v>15.12355212355212</v>
      </c>
      <c r="G68" s="17">
        <f t="shared" si="1"/>
        <v>-11.572257437032562</v>
      </c>
    </row>
    <row r="69" spans="1:7">
      <c r="A69" s="16">
        <v>36465</v>
      </c>
      <c r="B69" s="24">
        <f>+geral!M989</f>
        <v>600.42999999999995</v>
      </c>
      <c r="C69" s="17">
        <f t="shared" si="2"/>
        <v>133.51493184496672</v>
      </c>
      <c r="D69" s="17">
        <f t="shared" si="0"/>
        <v>0.68585035382497939</v>
      </c>
      <c r="E69" s="17">
        <f t="shared" si="8"/>
        <v>17.782180548471892</v>
      </c>
      <c r="F69" s="17">
        <f t="shared" si="4"/>
        <v>15.223565534446347</v>
      </c>
      <c r="G69" s="17">
        <f t="shared" si="1"/>
        <v>-12.17460819745847</v>
      </c>
    </row>
    <row r="70" spans="1:7">
      <c r="A70" s="16">
        <v>36495</v>
      </c>
      <c r="B70" s="24">
        <f>+geral!M990</f>
        <v>555.1</v>
      </c>
      <c r="C70" s="17">
        <f t="shared" si="2"/>
        <v>123.43510262168952</v>
      </c>
      <c r="D70" s="17">
        <f t="shared" si="0"/>
        <v>-7.5495894608863523</v>
      </c>
      <c r="E70" s="17">
        <f t="shared" si="8"/>
        <v>8.8901094589823195</v>
      </c>
      <c r="F70" s="17">
        <f t="shared" si="4"/>
        <v>8.8901094589823195</v>
      </c>
      <c r="G70" s="17">
        <f>+($B$73/B70-1)*100</f>
        <v>-5.0027022158169672</v>
      </c>
    </row>
    <row r="71" spans="1:7">
      <c r="A71" s="16">
        <v>36526</v>
      </c>
      <c r="B71" s="17">
        <f>+geral!O979</f>
        <v>574.62</v>
      </c>
      <c r="C71" s="17">
        <f>100*B71/$B$6</f>
        <v>127.77567765893575</v>
      </c>
      <c r="D71" s="17">
        <f>100*((B71/B70)-1)</f>
        <v>3.516483516483504</v>
      </c>
      <c r="E71" s="17">
        <f>100*((B71/$B$70)-1)</f>
        <v>3.516483516483504</v>
      </c>
      <c r="F71" s="17">
        <f t="shared" si="4"/>
        <v>11.741599253266966</v>
      </c>
      <c r="G71" s="17">
        <f>+($B$73/B71-1)*100</f>
        <v>-8.2297866416066174</v>
      </c>
    </row>
    <row r="72" spans="1:7">
      <c r="A72" s="16">
        <v>36557</v>
      </c>
      <c r="B72" s="17">
        <f>+geral!O980</f>
        <v>549.63</v>
      </c>
      <c r="C72" s="17">
        <f>100*B72/$B$6</f>
        <v>122.218763202953</v>
      </c>
      <c r="D72" s="17">
        <f>100*((B72/B71)-1)</f>
        <v>-4.3489610525216715</v>
      </c>
      <c r="E72" s="17">
        <f>100*((B72/$B$70)-1)</f>
        <v>-0.98540803458836423</v>
      </c>
      <c r="F72" s="17">
        <f t="shared" si="4"/>
        <v>8.4318096628459784</v>
      </c>
      <c r="G72" s="17">
        <f>+($B$73/B72-1)*100</f>
        <v>-4.0572748940196028</v>
      </c>
    </row>
    <row r="73" spans="1:7">
      <c r="A73" s="16">
        <v>36586</v>
      </c>
      <c r="B73" s="17">
        <f>+geral!O981</f>
        <v>527.33000000000004</v>
      </c>
      <c r="C73" s="17">
        <f>100*B73/$B$6</f>
        <v>117.26001200773833</v>
      </c>
      <c r="D73" s="17">
        <f>100*((B73/B72)-1)</f>
        <v>-4.0572748940196028</v>
      </c>
      <c r="E73" s="17">
        <f>100*((B73/$B$70)-1)</f>
        <v>-5.0027022158169672</v>
      </c>
      <c r="F73" s="17">
        <f>100*((B73/B61)-1)</f>
        <v>-0.28553059526510438</v>
      </c>
      <c r="G73" s="17">
        <f>+($B$73/B73-1)*100</f>
        <v>0</v>
      </c>
    </row>
    <row r="74" spans="1:7">
      <c r="A74" s="16">
        <v>36617</v>
      </c>
      <c r="B74" s="47" t="s">
        <v>74</v>
      </c>
      <c r="C74" s="48"/>
      <c r="D74" s="48"/>
      <c r="E74" s="48"/>
      <c r="F74" s="48"/>
      <c r="G74" s="21"/>
    </row>
    <row r="75" spans="1:7">
      <c r="A75" s="20"/>
      <c r="B75" s="21"/>
      <c r="C75" s="21"/>
      <c r="D75" s="21"/>
      <c r="E75" s="21"/>
      <c r="F75" s="21"/>
      <c r="G75" s="21"/>
    </row>
    <row r="76" spans="1:7">
      <c r="A76" s="20"/>
      <c r="B76" s="21"/>
      <c r="C76" s="21"/>
      <c r="D76" s="21"/>
      <c r="E76" s="21"/>
      <c r="F76" s="21"/>
      <c r="G76" s="21"/>
    </row>
    <row r="77" spans="1:7">
      <c r="A77" s="20"/>
      <c r="B77" s="21"/>
      <c r="C77" s="21"/>
      <c r="D77" s="21"/>
      <c r="E77" s="21"/>
      <c r="F77" s="21"/>
      <c r="G77" s="21"/>
    </row>
    <row r="78" spans="1:7">
      <c r="A78" s="20"/>
      <c r="B78" s="21"/>
      <c r="C78" s="21"/>
      <c r="D78" s="21"/>
      <c r="E78" s="21"/>
      <c r="F78" s="21"/>
      <c r="G78" s="21"/>
    </row>
    <row r="79" spans="1:7">
      <c r="A79" s="20"/>
      <c r="B79" s="21"/>
      <c r="C79" s="21"/>
      <c r="D79" s="21"/>
      <c r="E79" s="21"/>
      <c r="F79" s="21"/>
      <c r="G79" s="21"/>
    </row>
    <row r="80" spans="1:7">
      <c r="A80" s="20"/>
      <c r="B80" s="21"/>
      <c r="C80" s="21"/>
      <c r="D80" s="21"/>
      <c r="E80" s="21"/>
      <c r="F80" s="21"/>
      <c r="G80" s="21"/>
    </row>
    <row r="81" spans="1:7">
      <c r="A81" s="20"/>
      <c r="B81" s="21"/>
      <c r="C81" s="21"/>
      <c r="D81" s="21"/>
      <c r="E81" s="21"/>
      <c r="F81" s="21"/>
      <c r="G81" s="21"/>
    </row>
    <row r="82" spans="1:7">
      <c r="A82" s="20"/>
      <c r="B82" s="21"/>
      <c r="C82" s="21"/>
      <c r="D82" s="21"/>
      <c r="E82" s="21"/>
      <c r="F82" s="21"/>
      <c r="G82" s="21"/>
    </row>
    <row r="83" spans="1:7">
      <c r="A83" s="20"/>
      <c r="B83" s="21"/>
      <c r="C83" s="21"/>
      <c r="D83" s="21"/>
      <c r="E83" s="21"/>
      <c r="F83" s="21"/>
      <c r="G83" s="21"/>
    </row>
    <row r="84" spans="1:7">
      <c r="A84" s="5"/>
      <c r="B84" s="33"/>
      <c r="C84" s="21"/>
      <c r="D84" s="21"/>
      <c r="E84" s="21"/>
      <c r="F84" s="21"/>
      <c r="G84" s="21"/>
    </row>
    <row r="85" spans="1:7">
      <c r="A85" s="5"/>
      <c r="B85" s="33"/>
      <c r="C85" s="21"/>
      <c r="D85" s="21"/>
      <c r="E85" s="21"/>
      <c r="F85" s="21"/>
      <c r="G85" s="21"/>
    </row>
    <row r="86" spans="1:7">
      <c r="A86" s="5"/>
      <c r="B86" s="33"/>
      <c r="C86" s="21"/>
      <c r="D86" s="21"/>
      <c r="E86" s="21"/>
      <c r="F86" s="21"/>
      <c r="G86" s="21"/>
    </row>
    <row r="87" spans="1:7">
      <c r="A87" s="5"/>
      <c r="B87" s="5"/>
      <c r="C87" s="5"/>
      <c r="D87" s="5"/>
      <c r="E87" s="5"/>
      <c r="F87" s="5"/>
      <c r="G87" s="21"/>
    </row>
    <row r="88" spans="1:7">
      <c r="A88" s="5"/>
      <c r="B88" s="5"/>
      <c r="C88" s="5"/>
      <c r="D88" s="5"/>
      <c r="E88" s="5"/>
      <c r="F88" s="5"/>
      <c r="G88" s="21"/>
    </row>
    <row r="89" spans="1:7">
      <c r="A89" s="5"/>
      <c r="B89" s="5"/>
      <c r="C89" s="5"/>
      <c r="D89" s="5"/>
      <c r="E89" s="5"/>
      <c r="F89" s="5"/>
      <c r="G89" s="21"/>
    </row>
    <row r="90" spans="1:7">
      <c r="A90" s="5"/>
      <c r="B90" s="5"/>
      <c r="C90" s="5"/>
      <c r="D90" s="5"/>
      <c r="E90" s="5"/>
      <c r="F90" s="5"/>
      <c r="G90" s="21"/>
    </row>
    <row r="91" spans="1:7">
      <c r="A91" s="5"/>
      <c r="B91" s="5"/>
      <c r="C91" s="5"/>
      <c r="D91" s="5"/>
      <c r="E91" s="5"/>
      <c r="F91" s="5"/>
      <c r="G91" s="21"/>
    </row>
    <row r="92" spans="1:7">
      <c r="A92" s="5"/>
      <c r="B92" s="5"/>
      <c r="C92" s="5"/>
      <c r="D92" s="5"/>
      <c r="E92" s="5"/>
      <c r="F92" s="5"/>
      <c r="G92" s="21"/>
    </row>
    <row r="93" spans="1:7">
      <c r="A93" s="5"/>
      <c r="B93" s="5"/>
      <c r="C93" s="5"/>
      <c r="D93" s="5"/>
      <c r="E93" s="5"/>
      <c r="F93" s="5"/>
      <c r="G93" s="21"/>
    </row>
    <row r="94" spans="1:7">
      <c r="A94" s="5"/>
      <c r="B94" s="5"/>
      <c r="C94" s="5"/>
      <c r="D94" s="5"/>
      <c r="E94" s="5"/>
      <c r="F94" s="5"/>
      <c r="G94" s="21"/>
    </row>
    <row r="95" spans="1:7">
      <c r="A95" s="5"/>
      <c r="B95" s="5"/>
      <c r="C95" s="5"/>
      <c r="D95" s="5"/>
      <c r="E95" s="5"/>
      <c r="F95" s="5"/>
      <c r="G95" s="21"/>
    </row>
    <row r="96" spans="1:7">
      <c r="A96" s="5"/>
      <c r="B96" s="5"/>
      <c r="C96" s="5"/>
      <c r="D96" s="5"/>
      <c r="E96" s="5"/>
      <c r="F96" s="5"/>
      <c r="G96" s="21"/>
    </row>
    <row r="97" spans="1:7">
      <c r="A97" s="5"/>
      <c r="B97" s="5"/>
      <c r="C97" s="5"/>
      <c r="D97" s="5"/>
      <c r="E97" s="5"/>
      <c r="F97" s="5"/>
      <c r="G97" s="21"/>
    </row>
    <row r="98" spans="1:7">
      <c r="A98" s="5"/>
      <c r="B98" s="5"/>
      <c r="C98" s="5"/>
      <c r="D98" s="5"/>
      <c r="E98" s="5"/>
      <c r="F98" s="5"/>
      <c r="G98" s="21"/>
    </row>
    <row r="99" spans="1:7">
      <c r="A99" s="5"/>
      <c r="B99" s="5"/>
      <c r="C99" s="5"/>
      <c r="D99" s="5"/>
      <c r="E99" s="5"/>
      <c r="F99" s="5"/>
      <c r="G99" s="21"/>
    </row>
    <row r="100" spans="1:7">
      <c r="G100" s="21"/>
    </row>
  </sheetData>
  <phoneticPr fontId="0" type="noConversion"/>
  <pageMargins left="0.78740157499999996" right="0.78740157499999996" top="0.984251969" bottom="0.984251969" header="0.49212598499999999" footer="0.49212598499999999"/>
  <pageSetup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48"/>
  <dimension ref="A1:H121"/>
  <sheetViews>
    <sheetView showGridLines="0" topLeftCell="A48" zoomScale="75" workbookViewId="0">
      <selection activeCell="D63" sqref="D63"/>
    </sheetView>
  </sheetViews>
  <sheetFormatPr defaultRowHeight="15"/>
  <cols>
    <col min="3" max="3" width="7.77734375" customWidth="1"/>
    <col min="4" max="8" width="9.77734375" customWidth="1"/>
  </cols>
  <sheetData>
    <row r="1" spans="1:8" ht="16.5">
      <c r="A1" s="6" t="s">
        <v>84</v>
      </c>
      <c r="B1" s="6"/>
      <c r="C1" s="6"/>
      <c r="D1" s="6"/>
      <c r="E1" s="7"/>
      <c r="F1" s="7"/>
      <c r="G1" s="7"/>
    </row>
    <row r="2" spans="1:8" ht="15.75">
      <c r="A2" s="2" t="s">
        <v>85</v>
      </c>
      <c r="B2" s="1"/>
      <c r="C2" s="1"/>
      <c r="D2" s="1"/>
      <c r="E2" s="1"/>
      <c r="F2" s="1"/>
      <c r="G2" s="1"/>
    </row>
    <row r="3" spans="1:8" ht="45">
      <c r="A3" s="11" t="s">
        <v>67</v>
      </c>
      <c r="B3" s="11" t="s">
        <v>77</v>
      </c>
      <c r="C3" s="11" t="s">
        <v>68</v>
      </c>
      <c r="D3" s="12" t="s">
        <v>69</v>
      </c>
      <c r="E3" s="12" t="s">
        <v>65</v>
      </c>
      <c r="F3" s="12" t="s">
        <v>70</v>
      </c>
      <c r="G3" s="11" t="s">
        <v>160</v>
      </c>
      <c r="H3" s="11" t="s">
        <v>187</v>
      </c>
    </row>
    <row r="4" spans="1:8">
      <c r="A4" s="16">
        <v>36617</v>
      </c>
      <c r="B4" s="24">
        <f>+geral!C1044</f>
        <v>9.08</v>
      </c>
      <c r="C4" s="25">
        <v>100</v>
      </c>
      <c r="D4" s="25"/>
      <c r="E4" s="25"/>
      <c r="F4" s="25"/>
      <c r="G4" s="25"/>
      <c r="H4" s="39">
        <f>+$B$56/B4</f>
        <v>1.0022026431718061</v>
      </c>
    </row>
    <row r="5" spans="1:8">
      <c r="A5" s="16">
        <v>36647</v>
      </c>
      <c r="B5" s="24">
        <f>+geral!C1045</f>
        <v>9.08</v>
      </c>
      <c r="C5" s="25">
        <f>100*B5/$B$4</f>
        <v>100</v>
      </c>
      <c r="D5" s="25">
        <f>100*((B5/B4)-1)</f>
        <v>0</v>
      </c>
      <c r="E5" s="25"/>
      <c r="F5" s="25"/>
      <c r="G5" s="25"/>
      <c r="H5" s="39">
        <f t="shared" ref="H5:H56" si="0">+$B$56/B5</f>
        <v>1.0022026431718061</v>
      </c>
    </row>
    <row r="6" spans="1:8">
      <c r="A6" s="16">
        <v>36678</v>
      </c>
      <c r="B6" s="24">
        <f>+geral!C1046</f>
        <v>9.08</v>
      </c>
      <c r="C6" s="25">
        <f t="shared" ref="C6:C56" si="1">100*B6/$B$4</f>
        <v>100</v>
      </c>
      <c r="D6" s="25">
        <f t="shared" ref="D6:D13" si="2">100*((B6/B5)-1)</f>
        <v>0</v>
      </c>
      <c r="E6" s="25"/>
      <c r="F6" s="25"/>
      <c r="G6" s="25"/>
      <c r="H6" s="39">
        <f t="shared" si="0"/>
        <v>1.0022026431718061</v>
      </c>
    </row>
    <row r="7" spans="1:8">
      <c r="A7" s="16">
        <v>36708</v>
      </c>
      <c r="B7" s="24">
        <f>+geral!C1047</f>
        <v>9.08</v>
      </c>
      <c r="C7" s="25">
        <f t="shared" si="1"/>
        <v>100</v>
      </c>
      <c r="D7" s="25">
        <f t="shared" si="2"/>
        <v>0</v>
      </c>
      <c r="E7" s="25"/>
      <c r="F7" s="25"/>
      <c r="G7" s="25"/>
      <c r="H7" s="39">
        <f t="shared" si="0"/>
        <v>1.0022026431718061</v>
      </c>
    </row>
    <row r="8" spans="1:8">
      <c r="A8" s="16">
        <v>36739</v>
      </c>
      <c r="B8" s="24">
        <f>+geral!C1048</f>
        <v>9.08</v>
      </c>
      <c r="C8" s="25">
        <f t="shared" si="1"/>
        <v>100</v>
      </c>
      <c r="D8" s="25">
        <f>100*((B8/B7)-1)</f>
        <v>0</v>
      </c>
      <c r="E8" s="25"/>
      <c r="F8" s="25"/>
      <c r="G8" s="25"/>
      <c r="H8" s="39">
        <f t="shared" si="0"/>
        <v>1.0022026431718061</v>
      </c>
    </row>
    <row r="9" spans="1:8">
      <c r="A9" s="16">
        <v>36770</v>
      </c>
      <c r="B9" s="24">
        <f>+geral!C1049</f>
        <v>9.08</v>
      </c>
      <c r="C9" s="25">
        <f t="shared" si="1"/>
        <v>100</v>
      </c>
      <c r="D9" s="25">
        <f t="shared" si="2"/>
        <v>0</v>
      </c>
      <c r="E9" s="25"/>
      <c r="F9" s="25"/>
      <c r="G9" s="25"/>
      <c r="H9" s="39">
        <f t="shared" si="0"/>
        <v>1.0022026431718061</v>
      </c>
    </row>
    <row r="10" spans="1:8">
      <c r="A10" s="16">
        <v>36800</v>
      </c>
      <c r="B10" s="24">
        <f>+geral!C1050</f>
        <v>9.08</v>
      </c>
      <c r="C10" s="25">
        <f t="shared" si="1"/>
        <v>100</v>
      </c>
      <c r="D10" s="25">
        <f t="shared" si="2"/>
        <v>0</v>
      </c>
      <c r="E10" s="25"/>
      <c r="F10" s="25"/>
      <c r="G10" s="25"/>
      <c r="H10" s="39">
        <f t="shared" si="0"/>
        <v>1.0022026431718061</v>
      </c>
    </row>
    <row r="11" spans="1:8">
      <c r="A11" s="16">
        <v>36831</v>
      </c>
      <c r="B11" s="24">
        <f>+geral!C1051</f>
        <v>9.08</v>
      </c>
      <c r="C11" s="25">
        <f t="shared" si="1"/>
        <v>100</v>
      </c>
      <c r="D11" s="25">
        <f t="shared" si="2"/>
        <v>0</v>
      </c>
      <c r="E11" s="25"/>
      <c r="F11" s="25"/>
      <c r="G11" s="25"/>
      <c r="H11" s="39">
        <f t="shared" si="0"/>
        <v>1.0022026431718061</v>
      </c>
    </row>
    <row r="12" spans="1:8">
      <c r="A12" s="16">
        <v>36861</v>
      </c>
      <c r="B12" s="24">
        <f>+geral!C1052</f>
        <v>9.08</v>
      </c>
      <c r="C12" s="25">
        <f t="shared" si="1"/>
        <v>100</v>
      </c>
      <c r="D12" s="25">
        <f t="shared" si="2"/>
        <v>0</v>
      </c>
      <c r="E12" s="25"/>
      <c r="F12" s="25"/>
      <c r="G12" s="25"/>
      <c r="H12" s="39">
        <f t="shared" si="0"/>
        <v>1.0022026431718061</v>
      </c>
    </row>
    <row r="13" spans="1:8">
      <c r="A13" s="16">
        <v>36892</v>
      </c>
      <c r="B13" s="24">
        <f>+geral!E1041</f>
        <v>9.09</v>
      </c>
      <c r="C13" s="25">
        <f t="shared" si="1"/>
        <v>100.1101321585903</v>
      </c>
      <c r="D13" s="25">
        <f t="shared" si="2"/>
        <v>0.11013215859030367</v>
      </c>
      <c r="E13" s="25">
        <f t="shared" ref="E13:E18" si="3">100*((B13/$B$12)-1)</f>
        <v>0.11013215859030367</v>
      </c>
      <c r="F13" s="25"/>
      <c r="G13" s="17"/>
      <c r="H13" s="39">
        <f t="shared" si="0"/>
        <v>1.0011001100110011</v>
      </c>
    </row>
    <row r="14" spans="1:8">
      <c r="A14" s="16">
        <v>36923</v>
      </c>
      <c r="B14" s="24">
        <f>+geral!E1042</f>
        <v>9.09</v>
      </c>
      <c r="C14" s="25">
        <f t="shared" si="1"/>
        <v>100.1101321585903</v>
      </c>
      <c r="D14" s="25">
        <f t="shared" ref="D14:D19" si="4">100*((B14/B13)-1)</f>
        <v>0</v>
      </c>
      <c r="E14" s="25">
        <f t="shared" si="3"/>
        <v>0.11013215859030367</v>
      </c>
      <c r="F14" s="29"/>
      <c r="G14" s="29"/>
      <c r="H14" s="39">
        <f t="shared" si="0"/>
        <v>1.0011001100110011</v>
      </c>
    </row>
    <row r="15" spans="1:8">
      <c r="A15" s="16">
        <v>36951</v>
      </c>
      <c r="B15" s="24">
        <f>+geral!E1043</f>
        <v>9.09</v>
      </c>
      <c r="C15" s="25">
        <f t="shared" si="1"/>
        <v>100.1101321585903</v>
      </c>
      <c r="D15" s="25">
        <f t="shared" si="4"/>
        <v>0</v>
      </c>
      <c r="E15" s="25">
        <f t="shared" si="3"/>
        <v>0.11013215859030367</v>
      </c>
      <c r="F15" s="29"/>
      <c r="G15" s="29"/>
      <c r="H15" s="39">
        <f t="shared" si="0"/>
        <v>1.0011001100110011</v>
      </c>
    </row>
    <row r="16" spans="1:8">
      <c r="A16" s="16">
        <v>36982</v>
      </c>
      <c r="B16" s="24">
        <f>+geral!E1044</f>
        <v>9.09</v>
      </c>
      <c r="C16" s="25">
        <f t="shared" si="1"/>
        <v>100.1101321585903</v>
      </c>
      <c r="D16" s="25">
        <f t="shared" si="4"/>
        <v>0</v>
      </c>
      <c r="E16" s="25">
        <f t="shared" si="3"/>
        <v>0.11013215859030367</v>
      </c>
      <c r="F16" s="25">
        <f t="shared" ref="F16:F21" si="5">100*((B16/B4)-1)</f>
        <v>0.11013215859030367</v>
      </c>
      <c r="G16" s="25"/>
      <c r="H16" s="39">
        <f t="shared" si="0"/>
        <v>1.0011001100110011</v>
      </c>
    </row>
    <row r="17" spans="1:8">
      <c r="A17" s="16">
        <v>37012</v>
      </c>
      <c r="B17" s="24">
        <f>+geral!E1045</f>
        <v>9.09</v>
      </c>
      <c r="C17" s="25">
        <f t="shared" si="1"/>
        <v>100.1101321585903</v>
      </c>
      <c r="D17" s="25">
        <f t="shared" si="4"/>
        <v>0</v>
      </c>
      <c r="E17" s="25">
        <f t="shared" si="3"/>
        <v>0.11013215859030367</v>
      </c>
      <c r="F17" s="25">
        <f t="shared" si="5"/>
        <v>0.11013215859030367</v>
      </c>
      <c r="G17" s="25"/>
      <c r="H17" s="39">
        <f t="shared" si="0"/>
        <v>1.0011001100110011</v>
      </c>
    </row>
    <row r="18" spans="1:8">
      <c r="A18" s="20">
        <v>37043</v>
      </c>
      <c r="B18" s="27">
        <f>+geral!E1046</f>
        <v>9.09</v>
      </c>
      <c r="C18" s="31">
        <f t="shared" si="1"/>
        <v>100.1101321585903</v>
      </c>
      <c r="D18" s="31">
        <f t="shared" si="4"/>
        <v>0</v>
      </c>
      <c r="E18" s="31">
        <f t="shared" si="3"/>
        <v>0.11013215859030367</v>
      </c>
      <c r="F18" s="31">
        <f t="shared" si="5"/>
        <v>0.11013215859030367</v>
      </c>
      <c r="G18" s="31"/>
      <c r="H18" s="39">
        <f t="shared" si="0"/>
        <v>1.0011001100110011</v>
      </c>
    </row>
    <row r="19" spans="1:8">
      <c r="A19" s="28">
        <v>37073</v>
      </c>
      <c r="B19" s="27">
        <f>+geral!E1047</f>
        <v>9.09</v>
      </c>
      <c r="C19" s="31">
        <f t="shared" si="1"/>
        <v>100.1101321585903</v>
      </c>
      <c r="D19" s="31">
        <f t="shared" si="4"/>
        <v>0</v>
      </c>
      <c r="E19" s="31">
        <f t="shared" ref="E19:E24" si="6">100*((B19/$B$12)-1)</f>
        <v>0.11013215859030367</v>
      </c>
      <c r="F19" s="31">
        <f t="shared" si="5"/>
        <v>0.11013215859030367</v>
      </c>
      <c r="G19" s="31"/>
      <c r="H19" s="39">
        <f t="shared" si="0"/>
        <v>1.0011001100110011</v>
      </c>
    </row>
    <row r="20" spans="1:8">
      <c r="A20" s="16">
        <v>37104</v>
      </c>
      <c r="B20" s="24">
        <f>+geral!E1048</f>
        <v>9.09</v>
      </c>
      <c r="C20" s="25">
        <f t="shared" si="1"/>
        <v>100.1101321585903</v>
      </c>
      <c r="D20" s="25">
        <f t="shared" ref="D20:D26" si="7">100*((B20/B19)-1)</f>
        <v>0</v>
      </c>
      <c r="E20" s="25">
        <f t="shared" si="6"/>
        <v>0.11013215859030367</v>
      </c>
      <c r="F20" s="25">
        <f t="shared" si="5"/>
        <v>0.11013215859030367</v>
      </c>
      <c r="G20" s="25"/>
      <c r="H20" s="39">
        <f t="shared" si="0"/>
        <v>1.0011001100110011</v>
      </c>
    </row>
    <row r="21" spans="1:8">
      <c r="A21" s="16">
        <v>37135</v>
      </c>
      <c r="B21" s="24">
        <f>+geral!E1049</f>
        <v>9.09</v>
      </c>
      <c r="C21" s="25">
        <f t="shared" si="1"/>
        <v>100.1101321585903</v>
      </c>
      <c r="D21" s="25">
        <f t="shared" si="7"/>
        <v>0</v>
      </c>
      <c r="E21" s="25">
        <f t="shared" si="6"/>
        <v>0.11013215859030367</v>
      </c>
      <c r="F21" s="25">
        <f t="shared" si="5"/>
        <v>0.11013215859030367</v>
      </c>
      <c r="G21" s="25"/>
      <c r="H21" s="39">
        <f t="shared" si="0"/>
        <v>1.0011001100110011</v>
      </c>
    </row>
    <row r="22" spans="1:8">
      <c r="A22" s="16">
        <v>37165</v>
      </c>
      <c r="B22" s="24">
        <f>+geral!E1050</f>
        <v>9.09</v>
      </c>
      <c r="C22" s="25">
        <f t="shared" si="1"/>
        <v>100.1101321585903</v>
      </c>
      <c r="D22" s="25">
        <f t="shared" si="7"/>
        <v>0</v>
      </c>
      <c r="E22" s="25">
        <f t="shared" si="6"/>
        <v>0.11013215859030367</v>
      </c>
      <c r="F22" s="25">
        <f t="shared" ref="F22:F27" si="8">100*((B22/B10)-1)</f>
        <v>0.11013215859030367</v>
      </c>
      <c r="G22" s="25"/>
      <c r="H22" s="39">
        <f t="shared" si="0"/>
        <v>1.0011001100110011</v>
      </c>
    </row>
    <row r="23" spans="1:8">
      <c r="A23" s="16">
        <v>37196</v>
      </c>
      <c r="B23" s="24">
        <f>+geral!E1051</f>
        <v>9.09</v>
      </c>
      <c r="C23" s="25">
        <f t="shared" si="1"/>
        <v>100.1101321585903</v>
      </c>
      <c r="D23" s="25">
        <f t="shared" si="7"/>
        <v>0</v>
      </c>
      <c r="E23" s="25">
        <f t="shared" si="6"/>
        <v>0.11013215859030367</v>
      </c>
      <c r="F23" s="25">
        <f t="shared" si="8"/>
        <v>0.11013215859030367</v>
      </c>
      <c r="G23" s="25"/>
      <c r="H23" s="39">
        <f t="shared" si="0"/>
        <v>1.0011001100110011</v>
      </c>
    </row>
    <row r="24" spans="1:8">
      <c r="A24" s="16">
        <v>37196</v>
      </c>
      <c r="B24" s="24">
        <f>+geral!E1051</f>
        <v>9.09</v>
      </c>
      <c r="C24" s="25">
        <f t="shared" si="1"/>
        <v>100.1101321585903</v>
      </c>
      <c r="D24" s="25">
        <f t="shared" si="7"/>
        <v>0</v>
      </c>
      <c r="E24" s="25">
        <f t="shared" si="6"/>
        <v>0.11013215859030367</v>
      </c>
      <c r="F24" s="25">
        <f t="shared" si="8"/>
        <v>0.11013215859030367</v>
      </c>
      <c r="G24" s="25"/>
      <c r="H24" s="39">
        <f t="shared" si="0"/>
        <v>1.0011001100110011</v>
      </c>
    </row>
    <row r="25" spans="1:8">
      <c r="A25" s="26">
        <v>37226</v>
      </c>
      <c r="B25" s="24">
        <f>+geral!E1052</f>
        <v>9.09</v>
      </c>
      <c r="C25" s="25">
        <f t="shared" si="1"/>
        <v>100.1101321585903</v>
      </c>
      <c r="D25" s="25">
        <f t="shared" si="7"/>
        <v>0</v>
      </c>
      <c r="E25" s="25">
        <f>100*((B25/$B$12)-1)</f>
        <v>0.11013215859030367</v>
      </c>
      <c r="F25" s="25">
        <f t="shared" si="8"/>
        <v>0</v>
      </c>
      <c r="G25" s="25"/>
      <c r="H25" s="39">
        <f t="shared" si="0"/>
        <v>1.0011001100110011</v>
      </c>
    </row>
    <row r="26" spans="1:8">
      <c r="A26" s="26">
        <v>37257</v>
      </c>
      <c r="B26" s="24">
        <f>+geral!G1041</f>
        <v>9.09</v>
      </c>
      <c r="C26" s="25">
        <f t="shared" si="1"/>
        <v>100.1101321585903</v>
      </c>
      <c r="D26" s="25">
        <f t="shared" si="7"/>
        <v>0</v>
      </c>
      <c r="E26" s="25">
        <f t="shared" ref="E26:E31" si="9">100*((B26/$B$24)-1)</f>
        <v>0</v>
      </c>
      <c r="F26" s="25">
        <f t="shared" si="8"/>
        <v>0</v>
      </c>
      <c r="G26" s="25"/>
      <c r="H26" s="39">
        <f t="shared" si="0"/>
        <v>1.0011001100110011</v>
      </c>
    </row>
    <row r="27" spans="1:8">
      <c r="A27" s="16">
        <v>37288</v>
      </c>
      <c r="B27" s="24">
        <f>+geral!G1042</f>
        <v>9.09</v>
      </c>
      <c r="C27" s="25">
        <f t="shared" si="1"/>
        <v>100.1101321585903</v>
      </c>
      <c r="D27" s="25">
        <f t="shared" ref="D27:D32" si="10">100*((B27/B26)-1)</f>
        <v>0</v>
      </c>
      <c r="E27" s="25">
        <f t="shared" si="9"/>
        <v>0</v>
      </c>
      <c r="F27" s="25">
        <f t="shared" si="8"/>
        <v>0</v>
      </c>
      <c r="G27" s="25"/>
      <c r="H27" s="39">
        <f t="shared" si="0"/>
        <v>1.0011001100110011</v>
      </c>
    </row>
    <row r="28" spans="1:8">
      <c r="A28" s="16">
        <v>37316</v>
      </c>
      <c r="B28" s="24">
        <f>+geral!G1043</f>
        <v>9.09</v>
      </c>
      <c r="C28" s="25">
        <f t="shared" si="1"/>
        <v>100.1101321585903</v>
      </c>
      <c r="D28" s="25">
        <f t="shared" si="10"/>
        <v>0</v>
      </c>
      <c r="E28" s="25">
        <f t="shared" si="9"/>
        <v>0</v>
      </c>
      <c r="F28" s="25">
        <f t="shared" ref="F28:F33" si="11">100*((B28/B16)-1)</f>
        <v>0</v>
      </c>
      <c r="G28" s="25"/>
      <c r="H28" s="39">
        <f t="shared" si="0"/>
        <v>1.0011001100110011</v>
      </c>
    </row>
    <row r="29" spans="1:8">
      <c r="A29" s="16">
        <v>37347</v>
      </c>
      <c r="B29" s="24">
        <f>+geral!G1044</f>
        <v>9.09</v>
      </c>
      <c r="C29" s="25">
        <f t="shared" si="1"/>
        <v>100.1101321585903</v>
      </c>
      <c r="D29" s="25">
        <f t="shared" si="10"/>
        <v>0</v>
      </c>
      <c r="E29" s="25">
        <f t="shared" si="9"/>
        <v>0</v>
      </c>
      <c r="F29" s="25">
        <f t="shared" si="11"/>
        <v>0</v>
      </c>
      <c r="G29" s="25">
        <f>100*(B29/B5-1)</f>
        <v>0.11013215859030367</v>
      </c>
      <c r="H29" s="39">
        <f t="shared" si="0"/>
        <v>1.0011001100110011</v>
      </c>
    </row>
    <row r="30" spans="1:8">
      <c r="A30" s="16">
        <v>37377</v>
      </c>
      <c r="B30" s="24">
        <f>+geral!G1045</f>
        <v>9.09</v>
      </c>
      <c r="C30" s="25">
        <f t="shared" si="1"/>
        <v>100.1101321585903</v>
      </c>
      <c r="D30" s="25">
        <f t="shared" si="10"/>
        <v>0</v>
      </c>
      <c r="E30" s="25">
        <f t="shared" si="9"/>
        <v>0</v>
      </c>
      <c r="F30" s="25">
        <f t="shared" si="11"/>
        <v>0</v>
      </c>
      <c r="G30" s="25">
        <f t="shared" ref="G30:G36" si="12">100*(B30/B6-1)</f>
        <v>0.11013215859030367</v>
      </c>
      <c r="H30" s="39">
        <f t="shared" si="0"/>
        <v>1.0011001100110011</v>
      </c>
    </row>
    <row r="31" spans="1:8">
      <c r="A31" s="16">
        <v>37408</v>
      </c>
      <c r="B31" s="24">
        <f>+geral!G1046</f>
        <v>9.09</v>
      </c>
      <c r="C31" s="25">
        <f t="shared" si="1"/>
        <v>100.1101321585903</v>
      </c>
      <c r="D31" s="25">
        <f t="shared" si="10"/>
        <v>0</v>
      </c>
      <c r="E31" s="25">
        <f t="shared" si="9"/>
        <v>0</v>
      </c>
      <c r="F31" s="25">
        <f t="shared" si="11"/>
        <v>0</v>
      </c>
      <c r="G31" s="25">
        <f t="shared" si="12"/>
        <v>0.11013215859030367</v>
      </c>
      <c r="H31" s="39">
        <f t="shared" si="0"/>
        <v>1.0011001100110011</v>
      </c>
    </row>
    <row r="32" spans="1:8">
      <c r="A32" s="16">
        <v>37438</v>
      </c>
      <c r="B32" s="24">
        <f>+geral!G1047</f>
        <v>9.09</v>
      </c>
      <c r="C32" s="25">
        <f t="shared" si="1"/>
        <v>100.1101321585903</v>
      </c>
      <c r="D32" s="25">
        <f t="shared" si="10"/>
        <v>0</v>
      </c>
      <c r="E32" s="25">
        <f t="shared" ref="E32:E37" si="13">100*((B32/$B$24)-1)</f>
        <v>0</v>
      </c>
      <c r="F32" s="25">
        <f t="shared" si="11"/>
        <v>0</v>
      </c>
      <c r="G32" s="25">
        <f t="shared" si="12"/>
        <v>0.11013215859030367</v>
      </c>
      <c r="H32" s="39">
        <f t="shared" si="0"/>
        <v>1.0011001100110011</v>
      </c>
    </row>
    <row r="33" spans="1:8">
      <c r="A33" s="16">
        <v>37469</v>
      </c>
      <c r="B33" s="24">
        <f>+geral!G1048</f>
        <v>9.09</v>
      </c>
      <c r="C33" s="25">
        <f t="shared" si="1"/>
        <v>100.1101321585903</v>
      </c>
      <c r="D33" s="25">
        <f t="shared" ref="D33:D38" si="14">100*((B33/B32)-1)</f>
        <v>0</v>
      </c>
      <c r="E33" s="25">
        <f t="shared" si="13"/>
        <v>0</v>
      </c>
      <c r="F33" s="25">
        <f t="shared" si="11"/>
        <v>0</v>
      </c>
      <c r="G33" s="25">
        <f t="shared" si="12"/>
        <v>0.11013215859030367</v>
      </c>
      <c r="H33" s="39">
        <f t="shared" si="0"/>
        <v>1.0011001100110011</v>
      </c>
    </row>
    <row r="34" spans="1:8">
      <c r="A34" s="16">
        <v>37500</v>
      </c>
      <c r="B34" s="24">
        <f>+geral!G1049</f>
        <v>9.09</v>
      </c>
      <c r="C34" s="25">
        <f t="shared" si="1"/>
        <v>100.1101321585903</v>
      </c>
      <c r="D34" s="25">
        <f t="shared" si="14"/>
        <v>0</v>
      </c>
      <c r="E34" s="25">
        <f t="shared" si="13"/>
        <v>0</v>
      </c>
      <c r="F34" s="25">
        <f t="shared" ref="F34:F39" si="15">100*((B34/B22)-1)</f>
        <v>0</v>
      </c>
      <c r="G34" s="25">
        <f t="shared" si="12"/>
        <v>0.11013215859030367</v>
      </c>
      <c r="H34" s="39">
        <f t="shared" si="0"/>
        <v>1.0011001100110011</v>
      </c>
    </row>
    <row r="35" spans="1:8">
      <c r="A35" s="16">
        <v>37530</v>
      </c>
      <c r="B35" s="24">
        <f>+geral!G1050</f>
        <v>9.09</v>
      </c>
      <c r="C35" s="25">
        <f t="shared" si="1"/>
        <v>100.1101321585903</v>
      </c>
      <c r="D35" s="25">
        <f t="shared" si="14"/>
        <v>0</v>
      </c>
      <c r="E35" s="25">
        <f t="shared" si="13"/>
        <v>0</v>
      </c>
      <c r="F35" s="25">
        <f t="shared" si="15"/>
        <v>0</v>
      </c>
      <c r="G35" s="25">
        <f t="shared" si="12"/>
        <v>0.11013215859030367</v>
      </c>
      <c r="H35" s="39">
        <f t="shared" si="0"/>
        <v>1.0011001100110011</v>
      </c>
    </row>
    <row r="36" spans="1:8" ht="14.25" customHeight="1">
      <c r="A36" s="16">
        <v>37561</v>
      </c>
      <c r="B36" s="24">
        <f>+geral!G1051</f>
        <v>9.09</v>
      </c>
      <c r="C36" s="25">
        <f t="shared" si="1"/>
        <v>100.1101321585903</v>
      </c>
      <c r="D36" s="25">
        <f t="shared" si="14"/>
        <v>0</v>
      </c>
      <c r="E36" s="25">
        <f t="shared" si="13"/>
        <v>0</v>
      </c>
      <c r="F36" s="25">
        <f t="shared" si="15"/>
        <v>0</v>
      </c>
      <c r="G36" s="25">
        <f t="shared" si="12"/>
        <v>0.11013215859030367</v>
      </c>
      <c r="H36" s="39">
        <f t="shared" si="0"/>
        <v>1.0011001100110011</v>
      </c>
    </row>
    <row r="37" spans="1:8">
      <c r="A37" s="16">
        <v>37591</v>
      </c>
      <c r="B37" s="24">
        <f>+geral!G1052</f>
        <v>9.09</v>
      </c>
      <c r="C37" s="25">
        <f t="shared" si="1"/>
        <v>100.1101321585903</v>
      </c>
      <c r="D37" s="25">
        <f t="shared" si="14"/>
        <v>0</v>
      </c>
      <c r="E37" s="25">
        <f t="shared" si="13"/>
        <v>0</v>
      </c>
      <c r="F37" s="25">
        <f t="shared" si="15"/>
        <v>0</v>
      </c>
      <c r="G37" s="25">
        <f t="shared" ref="G37:G42" si="16">100*(B37/B13-1)</f>
        <v>0</v>
      </c>
      <c r="H37" s="39">
        <f t="shared" si="0"/>
        <v>1.0011001100110011</v>
      </c>
    </row>
    <row r="38" spans="1:8">
      <c r="A38" s="16">
        <v>37622</v>
      </c>
      <c r="B38" s="24">
        <f>+geral!I1041</f>
        <v>9.09</v>
      </c>
      <c r="C38" s="25">
        <f t="shared" si="1"/>
        <v>100.1101321585903</v>
      </c>
      <c r="D38" s="25">
        <f t="shared" si="14"/>
        <v>0</v>
      </c>
      <c r="E38" s="25">
        <f t="shared" ref="E38:E43" si="17">100*((B38/$B$37)-1)</f>
        <v>0</v>
      </c>
      <c r="F38" s="25">
        <f t="shared" si="15"/>
        <v>0</v>
      </c>
      <c r="G38" s="25">
        <f t="shared" si="16"/>
        <v>0</v>
      </c>
      <c r="H38" s="39">
        <f t="shared" si="0"/>
        <v>1.0011001100110011</v>
      </c>
    </row>
    <row r="39" spans="1:8">
      <c r="A39" s="16">
        <v>37653</v>
      </c>
      <c r="B39" s="24">
        <f>+geral!I1042</f>
        <v>9.09</v>
      </c>
      <c r="C39" s="25">
        <f t="shared" si="1"/>
        <v>100.1101321585903</v>
      </c>
      <c r="D39" s="25">
        <f t="shared" ref="D39:D44" si="18">100*((B39/B38)-1)</f>
        <v>0</v>
      </c>
      <c r="E39" s="25">
        <f t="shared" si="17"/>
        <v>0</v>
      </c>
      <c r="F39" s="25">
        <f t="shared" si="15"/>
        <v>0</v>
      </c>
      <c r="G39" s="25">
        <f t="shared" si="16"/>
        <v>0</v>
      </c>
      <c r="H39" s="39">
        <f t="shared" si="0"/>
        <v>1.0011001100110011</v>
      </c>
    </row>
    <row r="40" spans="1:8">
      <c r="A40" s="16">
        <v>37681</v>
      </c>
      <c r="B40" s="24">
        <f>+geral!I1043</f>
        <v>9.09</v>
      </c>
      <c r="C40" s="25">
        <f t="shared" si="1"/>
        <v>100.1101321585903</v>
      </c>
      <c r="D40" s="25">
        <f t="shared" si="18"/>
        <v>0</v>
      </c>
      <c r="E40" s="25">
        <f t="shared" si="17"/>
        <v>0</v>
      </c>
      <c r="F40" s="25">
        <f t="shared" ref="F40:F45" si="19">100*((B40/B28)-1)</f>
        <v>0</v>
      </c>
      <c r="G40" s="25">
        <f t="shared" si="16"/>
        <v>0</v>
      </c>
      <c r="H40" s="39">
        <f t="shared" si="0"/>
        <v>1.0011001100110011</v>
      </c>
    </row>
    <row r="41" spans="1:8">
      <c r="A41" s="16">
        <v>37712</v>
      </c>
      <c r="B41" s="24">
        <f>+geral!I1044</f>
        <v>9.09</v>
      </c>
      <c r="C41" s="25">
        <f t="shared" si="1"/>
        <v>100.1101321585903</v>
      </c>
      <c r="D41" s="25">
        <f t="shared" si="18"/>
        <v>0</v>
      </c>
      <c r="E41" s="25">
        <f t="shared" si="17"/>
        <v>0</v>
      </c>
      <c r="F41" s="25">
        <f t="shared" si="19"/>
        <v>0</v>
      </c>
      <c r="G41" s="25">
        <f t="shared" si="16"/>
        <v>0</v>
      </c>
      <c r="H41" s="39">
        <f t="shared" si="0"/>
        <v>1.0011001100110011</v>
      </c>
    </row>
    <row r="42" spans="1:8">
      <c r="A42" s="16">
        <v>37742</v>
      </c>
      <c r="B42" s="24">
        <f>+geral!I1045</f>
        <v>9.09</v>
      </c>
      <c r="C42" s="25">
        <f t="shared" si="1"/>
        <v>100.1101321585903</v>
      </c>
      <c r="D42" s="25">
        <f t="shared" si="18"/>
        <v>0</v>
      </c>
      <c r="E42" s="25">
        <f t="shared" si="17"/>
        <v>0</v>
      </c>
      <c r="F42" s="25">
        <f t="shared" si="19"/>
        <v>0</v>
      </c>
      <c r="G42" s="25">
        <f t="shared" si="16"/>
        <v>0</v>
      </c>
      <c r="H42" s="39">
        <f t="shared" si="0"/>
        <v>1.0011001100110011</v>
      </c>
    </row>
    <row r="43" spans="1:8">
      <c r="A43" s="16">
        <v>37773</v>
      </c>
      <c r="B43" s="24">
        <f>+geral!I1046</f>
        <v>9.09</v>
      </c>
      <c r="C43" s="25">
        <f t="shared" si="1"/>
        <v>100.1101321585903</v>
      </c>
      <c r="D43" s="25">
        <f t="shared" si="18"/>
        <v>0</v>
      </c>
      <c r="E43" s="25">
        <f t="shared" si="17"/>
        <v>0</v>
      </c>
      <c r="F43" s="25">
        <f t="shared" si="19"/>
        <v>0</v>
      </c>
      <c r="G43" s="25">
        <f t="shared" ref="G43:G48" si="20">100*(B43/B19-1)</f>
        <v>0</v>
      </c>
      <c r="H43" s="39">
        <f t="shared" si="0"/>
        <v>1.0011001100110011</v>
      </c>
    </row>
    <row r="44" spans="1:8">
      <c r="A44" s="16">
        <v>37803</v>
      </c>
      <c r="B44" s="24">
        <f>+geral!I1047</f>
        <v>9.09</v>
      </c>
      <c r="C44" s="25">
        <f t="shared" si="1"/>
        <v>100.1101321585903</v>
      </c>
      <c r="D44" s="25">
        <f t="shared" si="18"/>
        <v>0</v>
      </c>
      <c r="E44" s="25">
        <f t="shared" ref="E44:E49" si="21">100*((B44/$B$37)-1)</f>
        <v>0</v>
      </c>
      <c r="F44" s="25">
        <f t="shared" si="19"/>
        <v>0</v>
      </c>
      <c r="G44" s="25">
        <f t="shared" si="20"/>
        <v>0</v>
      </c>
      <c r="H44" s="39">
        <f t="shared" si="0"/>
        <v>1.0011001100110011</v>
      </c>
    </row>
    <row r="45" spans="1:8">
      <c r="A45" s="16">
        <v>37834</v>
      </c>
      <c r="B45" s="24">
        <f>+geral!I1048</f>
        <v>9.1</v>
      </c>
      <c r="C45" s="25">
        <f t="shared" si="1"/>
        <v>100.22026431718062</v>
      </c>
      <c r="D45" s="25">
        <f t="shared" ref="D45:D50" si="22">100*((B45/B44)-1)</f>
        <v>0.11001100110010764</v>
      </c>
      <c r="E45" s="25">
        <f t="shared" si="21"/>
        <v>0.11001100110010764</v>
      </c>
      <c r="F45" s="25">
        <f t="shared" si="19"/>
        <v>0.11001100110010764</v>
      </c>
      <c r="G45" s="25">
        <f t="shared" si="20"/>
        <v>0.11001100110010764</v>
      </c>
      <c r="H45" s="39">
        <f t="shared" si="0"/>
        <v>1</v>
      </c>
    </row>
    <row r="46" spans="1:8">
      <c r="A46" s="16">
        <v>37865</v>
      </c>
      <c r="B46" s="24">
        <f>+geral!I1049</f>
        <v>9.1</v>
      </c>
      <c r="C46" s="25">
        <f t="shared" si="1"/>
        <v>100.22026431718062</v>
      </c>
      <c r="D46" s="25">
        <f t="shared" si="22"/>
        <v>0</v>
      </c>
      <c r="E46" s="25">
        <f t="shared" si="21"/>
        <v>0.11001100110010764</v>
      </c>
      <c r="F46" s="25">
        <f t="shared" ref="F46:F51" si="23">100*((B46/B34)-1)</f>
        <v>0.11001100110010764</v>
      </c>
      <c r="G46" s="25">
        <f t="shared" si="20"/>
        <v>0.11001100110010764</v>
      </c>
      <c r="H46" s="39">
        <f t="shared" si="0"/>
        <v>1</v>
      </c>
    </row>
    <row r="47" spans="1:8">
      <c r="A47" s="16">
        <v>37895</v>
      </c>
      <c r="B47" s="24">
        <f>+geral!I1050</f>
        <v>9.1</v>
      </c>
      <c r="C47" s="25">
        <f t="shared" si="1"/>
        <v>100.22026431718062</v>
      </c>
      <c r="D47" s="25">
        <f t="shared" si="22"/>
        <v>0</v>
      </c>
      <c r="E47" s="25">
        <f t="shared" si="21"/>
        <v>0.11001100110010764</v>
      </c>
      <c r="F47" s="25">
        <f t="shared" si="23"/>
        <v>0.11001100110010764</v>
      </c>
      <c r="G47" s="25">
        <f t="shared" si="20"/>
        <v>0.11001100110010764</v>
      </c>
      <c r="H47" s="39">
        <f t="shared" si="0"/>
        <v>1</v>
      </c>
    </row>
    <row r="48" spans="1:8">
      <c r="A48" s="16">
        <v>37926</v>
      </c>
      <c r="B48" s="24">
        <f>+geral!I1051</f>
        <v>9.1</v>
      </c>
      <c r="C48" s="25">
        <f t="shared" si="1"/>
        <v>100.22026431718062</v>
      </c>
      <c r="D48" s="25">
        <f t="shared" si="22"/>
        <v>0</v>
      </c>
      <c r="E48" s="25">
        <f t="shared" si="21"/>
        <v>0.11001100110010764</v>
      </c>
      <c r="F48" s="25">
        <f t="shared" si="23"/>
        <v>0.11001100110010764</v>
      </c>
      <c r="G48" s="25">
        <f t="shared" si="20"/>
        <v>0.11001100110010764</v>
      </c>
      <c r="H48" s="39">
        <f t="shared" si="0"/>
        <v>1</v>
      </c>
    </row>
    <row r="49" spans="1:8">
      <c r="A49" s="16">
        <v>37956</v>
      </c>
      <c r="B49" s="24">
        <f>+geral!I1052</f>
        <v>9.1</v>
      </c>
      <c r="C49" s="25">
        <f t="shared" si="1"/>
        <v>100.22026431718062</v>
      </c>
      <c r="D49" s="25">
        <f t="shared" si="22"/>
        <v>0</v>
      </c>
      <c r="E49" s="25">
        <f t="shared" si="21"/>
        <v>0.11001100110010764</v>
      </c>
      <c r="F49" s="25">
        <f t="shared" si="23"/>
        <v>0.11001100110010764</v>
      </c>
      <c r="G49" s="25">
        <f t="shared" ref="G49:G54" si="24">100*(B49/B25-1)</f>
        <v>0.11001100110010764</v>
      </c>
      <c r="H49" s="39">
        <f t="shared" si="0"/>
        <v>1</v>
      </c>
    </row>
    <row r="50" spans="1:8">
      <c r="A50" s="16">
        <v>37987</v>
      </c>
      <c r="B50" s="24">
        <f>+geral!K1041</f>
        <v>9.1</v>
      </c>
      <c r="C50" s="25">
        <f t="shared" si="1"/>
        <v>100.22026431718062</v>
      </c>
      <c r="D50" s="25">
        <f t="shared" si="22"/>
        <v>0</v>
      </c>
      <c r="E50" s="25">
        <f t="shared" ref="E50:E55" si="25">100*((B50/$B$49)-1)</f>
        <v>0</v>
      </c>
      <c r="F50" s="25">
        <f t="shared" si="23"/>
        <v>0.11001100110010764</v>
      </c>
      <c r="G50" s="25">
        <f t="shared" si="24"/>
        <v>0.11001100110010764</v>
      </c>
      <c r="H50" s="39">
        <f t="shared" si="0"/>
        <v>1</v>
      </c>
    </row>
    <row r="51" spans="1:8">
      <c r="A51" s="16">
        <v>38018</v>
      </c>
      <c r="B51" s="24">
        <f>+geral!K1042</f>
        <v>9.1</v>
      </c>
      <c r="C51" s="25">
        <f t="shared" si="1"/>
        <v>100.22026431718062</v>
      </c>
      <c r="D51" s="25">
        <f t="shared" ref="D51:D56" si="26">100*((B51/B50)-1)</f>
        <v>0</v>
      </c>
      <c r="E51" s="25">
        <f t="shared" si="25"/>
        <v>0</v>
      </c>
      <c r="F51" s="25">
        <f t="shared" si="23"/>
        <v>0.11001100110010764</v>
      </c>
      <c r="G51" s="25">
        <f t="shared" si="24"/>
        <v>0.11001100110010764</v>
      </c>
      <c r="H51" s="39">
        <f t="shared" si="0"/>
        <v>1</v>
      </c>
    </row>
    <row r="52" spans="1:8">
      <c r="A52" s="16">
        <v>38047</v>
      </c>
      <c r="B52" s="24">
        <f>+geral!K1043</f>
        <v>9.1</v>
      </c>
      <c r="C52" s="25">
        <f t="shared" si="1"/>
        <v>100.22026431718062</v>
      </c>
      <c r="D52" s="25">
        <f t="shared" si="26"/>
        <v>0</v>
      </c>
      <c r="E52" s="25">
        <f t="shared" si="25"/>
        <v>0</v>
      </c>
      <c r="F52" s="25">
        <f>100*((B52/B40)-1)</f>
        <v>0.11001100110010764</v>
      </c>
      <c r="G52" s="25">
        <f t="shared" si="24"/>
        <v>0.11001100110010764</v>
      </c>
      <c r="H52" s="39">
        <f t="shared" si="0"/>
        <v>1</v>
      </c>
    </row>
    <row r="53" spans="1:8">
      <c r="A53" s="16">
        <v>38078</v>
      </c>
      <c r="B53" s="24">
        <f>+geral!K1044</f>
        <v>9.1</v>
      </c>
      <c r="C53" s="25">
        <f t="shared" si="1"/>
        <v>100.22026431718062</v>
      </c>
      <c r="D53" s="25">
        <f t="shared" si="26"/>
        <v>0</v>
      </c>
      <c r="E53" s="25">
        <f t="shared" si="25"/>
        <v>0</v>
      </c>
      <c r="F53" s="25">
        <f>100*((B53/B41)-1)</f>
        <v>0.11001100110010764</v>
      </c>
      <c r="G53" s="25">
        <f t="shared" si="24"/>
        <v>0.11001100110010764</v>
      </c>
      <c r="H53" s="39">
        <f t="shared" si="0"/>
        <v>1</v>
      </c>
    </row>
    <row r="54" spans="1:8">
      <c r="A54" s="16">
        <v>38108</v>
      </c>
      <c r="B54" s="24">
        <f>+geral!K1045</f>
        <v>9.1</v>
      </c>
      <c r="C54" s="25">
        <f t="shared" si="1"/>
        <v>100.22026431718062</v>
      </c>
      <c r="D54" s="25">
        <f t="shared" si="26"/>
        <v>0</v>
      </c>
      <c r="E54" s="25">
        <f t="shared" si="25"/>
        <v>0</v>
      </c>
      <c r="F54" s="25">
        <f>100*((B54/B42)-1)</f>
        <v>0.11001100110010764</v>
      </c>
      <c r="G54" s="25">
        <f t="shared" si="24"/>
        <v>0.11001100110010764</v>
      </c>
      <c r="H54" s="39">
        <f t="shared" si="0"/>
        <v>1</v>
      </c>
    </row>
    <row r="55" spans="1:8">
      <c r="A55" s="16">
        <v>38139</v>
      </c>
      <c r="B55" s="24">
        <f>+geral!K1046</f>
        <v>9.1</v>
      </c>
      <c r="C55" s="25">
        <f t="shared" si="1"/>
        <v>100.22026431718062</v>
      </c>
      <c r="D55" s="25">
        <f t="shared" si="26"/>
        <v>0</v>
      </c>
      <c r="E55" s="25">
        <f t="shared" si="25"/>
        <v>0</v>
      </c>
      <c r="F55" s="25">
        <f>100*((B55/B43)-1)</f>
        <v>0.11001100110010764</v>
      </c>
      <c r="G55" s="25">
        <f>100*(B55/B31-1)</f>
        <v>0.11001100110010764</v>
      </c>
      <c r="H55" s="39">
        <f t="shared" si="0"/>
        <v>1</v>
      </c>
    </row>
    <row r="56" spans="1:8">
      <c r="A56" s="16">
        <v>38169</v>
      </c>
      <c r="B56" s="24">
        <f>+geral!K1047</f>
        <v>9.1</v>
      </c>
      <c r="C56" s="25">
        <f t="shared" si="1"/>
        <v>100.22026431718062</v>
      </c>
      <c r="D56" s="25">
        <f t="shared" si="26"/>
        <v>0</v>
      </c>
      <c r="E56" s="25">
        <f>100*((B56/$B$49)-1)</f>
        <v>0</v>
      </c>
      <c r="F56" s="25">
        <f>100*((B56/B44)-1)</f>
        <v>0.11001100110010764</v>
      </c>
      <c r="G56" s="25">
        <f>100*(B56/B32-1)</f>
        <v>0.11001100110010764</v>
      </c>
      <c r="H56" s="39">
        <f t="shared" si="0"/>
        <v>1</v>
      </c>
    </row>
    <row r="57" spans="1:8">
      <c r="A57" s="57" t="s">
        <v>164</v>
      </c>
      <c r="B57" s="58"/>
      <c r="C57" s="25"/>
      <c r="D57" s="25"/>
      <c r="E57" s="25"/>
      <c r="F57" s="25"/>
      <c r="G57" s="25"/>
      <c r="H57" s="29"/>
    </row>
    <row r="58" spans="1:8">
      <c r="A58" s="5"/>
      <c r="B58" s="5"/>
      <c r="C58" s="5"/>
      <c r="D58" s="5"/>
      <c r="E58" s="5"/>
      <c r="F58" s="5"/>
      <c r="G58" s="5"/>
      <c r="H58" s="5"/>
    </row>
    <row r="59" spans="1:8">
      <c r="A59" s="5"/>
      <c r="B59" s="5"/>
      <c r="C59" s="5"/>
      <c r="D59" s="5"/>
      <c r="E59" s="5"/>
      <c r="F59" s="5"/>
      <c r="G59" s="5"/>
      <c r="H59" s="5"/>
    </row>
    <row r="60" spans="1:8">
      <c r="A60" s="5"/>
      <c r="B60" s="5"/>
      <c r="C60" s="5"/>
      <c r="D60" s="5"/>
      <c r="E60" s="5"/>
      <c r="F60" s="5"/>
      <c r="G60" s="5"/>
      <c r="H60" s="5"/>
    </row>
    <row r="61" spans="1:8">
      <c r="A61" s="5"/>
      <c r="B61" s="5"/>
      <c r="C61" s="5"/>
      <c r="D61" s="5"/>
      <c r="E61" s="5"/>
      <c r="F61" s="5"/>
      <c r="G61" s="5"/>
      <c r="H61" s="5"/>
    </row>
    <row r="62" spans="1:8">
      <c r="A62" s="5"/>
      <c r="B62" s="5"/>
      <c r="C62" s="5"/>
      <c r="D62" s="5"/>
      <c r="E62" s="5"/>
      <c r="F62" s="5"/>
      <c r="G62" s="5"/>
      <c r="H62" s="5"/>
    </row>
    <row r="63" spans="1:8">
      <c r="A63" s="5"/>
      <c r="B63" s="5"/>
      <c r="C63" s="5"/>
      <c r="D63" s="5"/>
      <c r="E63" s="5"/>
      <c r="F63" s="5"/>
      <c r="G63" s="5"/>
      <c r="H63" s="5"/>
    </row>
    <row r="64" spans="1:8">
      <c r="A64" s="5"/>
      <c r="B64" s="5"/>
      <c r="C64" s="5"/>
      <c r="D64" s="5"/>
      <c r="E64" s="5"/>
      <c r="F64" s="5"/>
      <c r="G64" s="5"/>
      <c r="H64" s="5"/>
    </row>
    <row r="65" spans="1:8">
      <c r="A65" s="5"/>
      <c r="B65" s="5"/>
      <c r="C65" s="5"/>
      <c r="D65" s="5"/>
      <c r="E65" s="5"/>
      <c r="F65" s="5"/>
      <c r="G65" s="5"/>
      <c r="H65" s="5"/>
    </row>
    <row r="66" spans="1:8">
      <c r="A66" s="5"/>
      <c r="B66" s="5"/>
      <c r="C66" s="5"/>
      <c r="D66" s="5"/>
      <c r="E66" s="5"/>
      <c r="F66" s="5"/>
      <c r="G66" s="5"/>
      <c r="H66" s="5"/>
    </row>
    <row r="67" spans="1:8">
      <c r="A67" s="5"/>
      <c r="B67" s="5"/>
      <c r="C67" s="5"/>
      <c r="D67" s="5"/>
      <c r="E67" s="5"/>
      <c r="F67" s="5"/>
      <c r="G67" s="5"/>
      <c r="H67" s="5"/>
    </row>
    <row r="68" spans="1:8">
      <c r="A68" s="5"/>
      <c r="B68" s="5"/>
      <c r="C68" s="5"/>
      <c r="D68" s="5"/>
      <c r="E68" s="5"/>
      <c r="F68" s="5"/>
      <c r="G68" s="5"/>
      <c r="H68" s="5"/>
    </row>
    <row r="69" spans="1:8">
      <c r="A69" s="5"/>
      <c r="B69" s="5"/>
      <c r="C69" s="5"/>
      <c r="D69" s="5"/>
      <c r="E69" s="5"/>
      <c r="F69" s="5"/>
      <c r="G69" s="5"/>
      <c r="H69" s="5"/>
    </row>
    <row r="70" spans="1:8">
      <c r="A70" s="5"/>
      <c r="B70" s="5"/>
      <c r="C70" s="5"/>
      <c r="D70" s="5"/>
      <c r="E70" s="5"/>
      <c r="F70" s="5"/>
      <c r="G70" s="5"/>
      <c r="H70" s="5"/>
    </row>
    <row r="71" spans="1:8">
      <c r="A71" s="5"/>
      <c r="B71" s="5"/>
      <c r="C71" s="5"/>
      <c r="D71" s="5"/>
      <c r="E71" s="5"/>
      <c r="F71" s="5"/>
      <c r="G71" s="5"/>
      <c r="H71" s="5"/>
    </row>
    <row r="72" spans="1:8">
      <c r="A72" s="5"/>
      <c r="B72" s="5"/>
      <c r="C72" s="5"/>
      <c r="D72" s="5"/>
      <c r="E72" s="5"/>
      <c r="F72" s="5"/>
      <c r="G72" s="5"/>
      <c r="H72" s="5"/>
    </row>
    <row r="73" spans="1:8">
      <c r="A73" s="5"/>
      <c r="B73" s="5"/>
      <c r="C73" s="5"/>
      <c r="D73" s="5"/>
      <c r="E73" s="5"/>
      <c r="F73" s="5"/>
      <c r="G73" s="5"/>
      <c r="H73" s="5"/>
    </row>
    <row r="74" spans="1:8">
      <c r="A74" s="5"/>
      <c r="B74" s="5"/>
      <c r="C74" s="5"/>
      <c r="D74" s="5"/>
      <c r="E74" s="5"/>
      <c r="F74" s="5"/>
      <c r="G74" s="5"/>
      <c r="H74" s="5"/>
    </row>
    <row r="75" spans="1:8">
      <c r="A75" s="5"/>
      <c r="B75" s="5"/>
      <c r="C75" s="5"/>
      <c r="D75" s="5"/>
      <c r="E75" s="5"/>
      <c r="F75" s="5"/>
      <c r="G75" s="5"/>
      <c r="H75" s="5"/>
    </row>
    <row r="76" spans="1:8">
      <c r="A76" s="5"/>
      <c r="B76" s="5"/>
      <c r="C76" s="5"/>
      <c r="D76" s="5"/>
      <c r="E76" s="5"/>
      <c r="F76" s="5"/>
      <c r="G76" s="5"/>
      <c r="H76" s="5"/>
    </row>
    <row r="77" spans="1:8">
      <c r="A77" s="5"/>
      <c r="B77" s="5"/>
      <c r="C77" s="5"/>
      <c r="D77" s="5"/>
      <c r="E77" s="5"/>
      <c r="F77" s="5"/>
      <c r="G77" s="5"/>
      <c r="H77" s="5"/>
    </row>
    <row r="78" spans="1:8">
      <c r="A78" s="5"/>
      <c r="B78" s="5"/>
      <c r="C78" s="5"/>
      <c r="D78" s="5"/>
      <c r="E78" s="5"/>
      <c r="F78" s="5"/>
      <c r="G78" s="5"/>
      <c r="H78" s="5"/>
    </row>
    <row r="79" spans="1:8">
      <c r="A79" s="5"/>
      <c r="B79" s="5"/>
      <c r="C79" s="5"/>
      <c r="D79" s="5"/>
      <c r="E79" s="5"/>
      <c r="F79" s="5"/>
      <c r="G79" s="5"/>
      <c r="H79" s="5"/>
    </row>
    <row r="80" spans="1:8">
      <c r="A80" s="5"/>
      <c r="B80" s="5"/>
      <c r="C80" s="5"/>
      <c r="D80" s="5"/>
      <c r="E80" s="5"/>
      <c r="F80" s="5"/>
      <c r="G80" s="5"/>
      <c r="H80" s="5"/>
    </row>
    <row r="81" spans="1:8">
      <c r="A81" s="5"/>
      <c r="B81" s="5"/>
      <c r="C81" s="5"/>
      <c r="D81" s="5"/>
      <c r="E81" s="5"/>
      <c r="F81" s="5"/>
      <c r="G81" s="5"/>
      <c r="H81" s="5"/>
    </row>
    <row r="82" spans="1:8">
      <c r="A82" s="5"/>
      <c r="B82" s="5"/>
      <c r="C82" s="5"/>
      <c r="D82" s="5"/>
      <c r="E82" s="5"/>
      <c r="F82" s="5"/>
      <c r="G82" s="5"/>
      <c r="H82" s="5"/>
    </row>
    <row r="83" spans="1:8">
      <c r="A83" s="5"/>
      <c r="B83" s="5"/>
      <c r="C83" s="5"/>
      <c r="D83" s="5"/>
      <c r="E83" s="5"/>
      <c r="F83" s="5"/>
      <c r="G83" s="5"/>
      <c r="H83" s="5"/>
    </row>
    <row r="84" spans="1:8">
      <c r="A84" s="5"/>
      <c r="B84" s="5"/>
      <c r="C84" s="5"/>
      <c r="D84" s="5"/>
      <c r="E84" s="5"/>
      <c r="F84" s="5"/>
      <c r="G84" s="5"/>
      <c r="H84" s="5"/>
    </row>
    <row r="85" spans="1:8">
      <c r="A85" s="5"/>
      <c r="B85" s="5"/>
      <c r="C85" s="5"/>
      <c r="D85" s="5"/>
      <c r="E85" s="5"/>
      <c r="F85" s="5"/>
      <c r="G85" s="5"/>
      <c r="H85" s="5"/>
    </row>
    <row r="86" spans="1:8">
      <c r="A86" s="5"/>
      <c r="B86" s="5"/>
      <c r="C86" s="5"/>
      <c r="D86" s="5"/>
      <c r="E86" s="5"/>
      <c r="F86" s="5"/>
      <c r="G86" s="5"/>
      <c r="H86" s="5"/>
    </row>
    <row r="87" spans="1:8">
      <c r="A87" s="5"/>
      <c r="B87" s="5"/>
      <c r="C87" s="5"/>
      <c r="D87" s="5"/>
      <c r="E87" s="5"/>
      <c r="F87" s="5"/>
      <c r="G87" s="5"/>
      <c r="H87" s="5"/>
    </row>
    <row r="88" spans="1:8">
      <c r="A88" s="5"/>
      <c r="B88" s="5"/>
      <c r="C88" s="5"/>
      <c r="D88" s="5"/>
      <c r="E88" s="5"/>
      <c r="F88" s="5"/>
      <c r="G88" s="5"/>
      <c r="H88" s="5"/>
    </row>
    <row r="89" spans="1:8">
      <c r="A89" s="5"/>
      <c r="B89" s="5"/>
      <c r="C89" s="5"/>
      <c r="D89" s="5"/>
      <c r="E89" s="5"/>
      <c r="F89" s="5"/>
      <c r="G89" s="5"/>
      <c r="H89" s="5"/>
    </row>
    <row r="90" spans="1:8">
      <c r="A90" s="5"/>
      <c r="B90" s="5"/>
      <c r="C90" s="5"/>
      <c r="D90" s="5"/>
      <c r="E90" s="5"/>
      <c r="F90" s="5"/>
      <c r="G90" s="5"/>
      <c r="H90" s="5"/>
    </row>
    <row r="91" spans="1:8">
      <c r="A91" s="5"/>
      <c r="B91" s="5"/>
      <c r="C91" s="5"/>
      <c r="D91" s="5"/>
      <c r="E91" s="5"/>
      <c r="F91" s="5"/>
      <c r="G91" s="5"/>
      <c r="H91" s="5"/>
    </row>
    <row r="92" spans="1:8">
      <c r="A92" s="5"/>
      <c r="B92" s="5"/>
      <c r="C92" s="5"/>
      <c r="D92" s="5"/>
      <c r="E92" s="5"/>
      <c r="F92" s="5"/>
      <c r="G92" s="5"/>
      <c r="H92" s="5"/>
    </row>
    <row r="93" spans="1:8">
      <c r="A93" s="5"/>
      <c r="B93" s="5"/>
      <c r="C93" s="5"/>
      <c r="D93" s="5"/>
      <c r="E93" s="5"/>
      <c r="F93" s="5"/>
      <c r="G93" s="5"/>
      <c r="H93" s="5"/>
    </row>
    <row r="94" spans="1:8">
      <c r="A94" s="5"/>
      <c r="B94" s="5"/>
      <c r="C94" s="5"/>
      <c r="D94" s="5"/>
      <c r="E94" s="5"/>
      <c r="F94" s="5"/>
      <c r="G94" s="5"/>
      <c r="H94" s="5"/>
    </row>
    <row r="95" spans="1:8">
      <c r="A95" s="5"/>
      <c r="B95" s="5"/>
      <c r="C95" s="5"/>
      <c r="D95" s="5"/>
      <c r="E95" s="5"/>
      <c r="F95" s="5"/>
      <c r="G95" s="5"/>
      <c r="H95" s="5"/>
    </row>
    <row r="96" spans="1:8">
      <c r="A96" s="5"/>
      <c r="B96" s="5"/>
      <c r="C96" s="5"/>
      <c r="D96" s="5"/>
      <c r="E96" s="5"/>
      <c r="F96" s="5"/>
      <c r="G96" s="5"/>
      <c r="H96" s="5"/>
    </row>
    <row r="97" spans="1:8">
      <c r="A97" s="5"/>
      <c r="B97" s="5"/>
      <c r="C97" s="5"/>
      <c r="D97" s="5"/>
      <c r="E97" s="5"/>
      <c r="F97" s="5"/>
      <c r="G97" s="5"/>
      <c r="H97" s="5"/>
    </row>
    <row r="98" spans="1:8">
      <c r="A98" s="5"/>
      <c r="B98" s="5"/>
      <c r="C98" s="5"/>
      <c r="D98" s="5"/>
      <c r="E98" s="5"/>
      <c r="F98" s="5"/>
      <c r="G98" s="5"/>
      <c r="H98" s="5"/>
    </row>
    <row r="99" spans="1:8">
      <c r="A99" s="5"/>
      <c r="B99" s="5"/>
      <c r="C99" s="5"/>
      <c r="D99" s="5"/>
      <c r="E99" s="5"/>
      <c r="F99" s="5"/>
      <c r="G99" s="5"/>
      <c r="H99" s="5"/>
    </row>
    <row r="100" spans="1:8">
      <c r="A100" s="5"/>
      <c r="B100" s="5"/>
      <c r="C100" s="5"/>
      <c r="D100" s="5"/>
      <c r="E100" s="5"/>
      <c r="F100" s="5"/>
      <c r="G100" s="5"/>
      <c r="H100" s="5"/>
    </row>
    <row r="101" spans="1:8">
      <c r="A101" s="5"/>
      <c r="B101" s="5"/>
      <c r="C101" s="5"/>
      <c r="D101" s="5"/>
      <c r="E101" s="5"/>
      <c r="F101" s="5"/>
      <c r="G101" s="5"/>
      <c r="H101" s="5"/>
    </row>
    <row r="102" spans="1:8">
      <c r="A102" s="5"/>
      <c r="B102" s="5"/>
      <c r="C102" s="5"/>
      <c r="D102" s="5"/>
      <c r="E102" s="5"/>
      <c r="F102" s="5"/>
      <c r="G102" s="5"/>
      <c r="H102" s="5"/>
    </row>
    <row r="103" spans="1:8">
      <c r="A103" s="5"/>
      <c r="B103" s="5"/>
      <c r="C103" s="5"/>
      <c r="D103" s="5"/>
      <c r="E103" s="5"/>
      <c r="F103" s="5"/>
      <c r="G103" s="5"/>
      <c r="H103" s="5"/>
    </row>
    <row r="104" spans="1:8">
      <c r="A104" s="5"/>
      <c r="B104" s="5"/>
      <c r="C104" s="5"/>
      <c r="D104" s="5"/>
      <c r="E104" s="5"/>
      <c r="F104" s="5"/>
      <c r="G104" s="5"/>
      <c r="H104" s="5"/>
    </row>
    <row r="105" spans="1:8">
      <c r="A105" s="5"/>
      <c r="B105" s="5"/>
      <c r="C105" s="5"/>
      <c r="D105" s="5"/>
      <c r="E105" s="5"/>
      <c r="F105" s="5"/>
      <c r="G105" s="5"/>
      <c r="H105" s="5"/>
    </row>
    <row r="106" spans="1:8">
      <c r="A106" s="5"/>
      <c r="B106" s="5"/>
      <c r="C106" s="5"/>
      <c r="D106" s="5"/>
      <c r="E106" s="5"/>
      <c r="F106" s="5"/>
      <c r="G106" s="5"/>
      <c r="H106" s="5"/>
    </row>
    <row r="107" spans="1:8">
      <c r="A107" s="5"/>
      <c r="B107" s="5"/>
      <c r="C107" s="5"/>
      <c r="D107" s="5"/>
      <c r="E107" s="5"/>
      <c r="F107" s="5"/>
      <c r="G107" s="5"/>
      <c r="H107" s="5"/>
    </row>
    <row r="108" spans="1:8">
      <c r="A108" s="5"/>
      <c r="B108" s="5"/>
      <c r="C108" s="5"/>
      <c r="D108" s="5"/>
      <c r="E108" s="5"/>
      <c r="F108" s="5"/>
      <c r="G108" s="5"/>
      <c r="H108" s="5"/>
    </row>
    <row r="109" spans="1:8">
      <c r="A109" s="5"/>
      <c r="B109" s="5"/>
      <c r="C109" s="5"/>
      <c r="D109" s="5"/>
      <c r="E109" s="5"/>
      <c r="F109" s="5"/>
      <c r="G109" s="5"/>
      <c r="H109" s="5"/>
    </row>
    <row r="110" spans="1:8">
      <c r="A110" s="5"/>
      <c r="B110" s="5"/>
      <c r="C110" s="5"/>
      <c r="D110" s="5"/>
      <c r="E110" s="5"/>
      <c r="F110" s="5"/>
      <c r="G110" s="5"/>
      <c r="H110" s="5"/>
    </row>
    <row r="111" spans="1:8">
      <c r="A111" s="5"/>
      <c r="B111" s="5"/>
      <c r="C111" s="5"/>
      <c r="D111" s="5"/>
      <c r="E111" s="5"/>
      <c r="F111" s="5"/>
      <c r="G111" s="5"/>
      <c r="H111" s="5"/>
    </row>
    <row r="112" spans="1:8">
      <c r="A112" s="5"/>
      <c r="B112" s="5"/>
      <c r="C112" s="5"/>
      <c r="D112" s="5"/>
      <c r="E112" s="5"/>
      <c r="F112" s="5"/>
      <c r="G112" s="5"/>
      <c r="H112" s="5"/>
    </row>
    <row r="113" spans="1:8">
      <c r="A113" s="5"/>
      <c r="B113" s="5"/>
      <c r="C113" s="5"/>
      <c r="D113" s="5"/>
      <c r="E113" s="5"/>
      <c r="F113" s="5"/>
      <c r="G113" s="5"/>
      <c r="H113" s="5"/>
    </row>
    <row r="114" spans="1:8">
      <c r="A114" s="5"/>
      <c r="B114" s="5"/>
      <c r="C114" s="5"/>
      <c r="D114" s="5"/>
      <c r="E114" s="5"/>
      <c r="F114" s="5"/>
      <c r="G114" s="5"/>
      <c r="H114" s="5"/>
    </row>
    <row r="115" spans="1:8">
      <c r="A115" s="5"/>
      <c r="B115" s="5"/>
      <c r="C115" s="5"/>
      <c r="D115" s="5"/>
      <c r="E115" s="5"/>
      <c r="F115" s="5"/>
      <c r="G115" s="5"/>
      <c r="H115" s="5"/>
    </row>
    <row r="116" spans="1:8">
      <c r="A116" s="5"/>
      <c r="B116" s="5"/>
      <c r="C116" s="5"/>
      <c r="D116" s="5"/>
      <c r="E116" s="5"/>
      <c r="F116" s="5"/>
      <c r="G116" s="5"/>
      <c r="H116" s="5"/>
    </row>
    <row r="117" spans="1:8">
      <c r="A117" s="5"/>
      <c r="B117" s="5"/>
      <c r="C117" s="5"/>
      <c r="D117" s="5"/>
      <c r="E117" s="5"/>
      <c r="F117" s="5"/>
      <c r="G117" s="5"/>
      <c r="H117" s="5"/>
    </row>
    <row r="118" spans="1:8">
      <c r="A118" s="5"/>
      <c r="B118" s="5"/>
      <c r="C118" s="5"/>
      <c r="D118" s="5"/>
      <c r="E118" s="5"/>
      <c r="F118" s="5"/>
      <c r="G118" s="5"/>
      <c r="H118" s="5"/>
    </row>
    <row r="119" spans="1:8">
      <c r="A119" s="5"/>
      <c r="B119" s="5"/>
      <c r="C119" s="5"/>
      <c r="D119" s="5"/>
      <c r="E119" s="5"/>
      <c r="F119" s="5"/>
      <c r="G119" s="5"/>
      <c r="H119" s="5"/>
    </row>
    <row r="120" spans="1:8">
      <c r="A120" s="5"/>
      <c r="B120" s="5"/>
      <c r="C120" s="5"/>
      <c r="D120" s="5"/>
      <c r="E120" s="5"/>
      <c r="F120" s="5"/>
      <c r="G120" s="5"/>
      <c r="H120" s="5"/>
    </row>
    <row r="121" spans="1:8">
      <c r="A121" s="5"/>
      <c r="B121" s="5"/>
      <c r="C121" s="5"/>
      <c r="D121" s="5"/>
      <c r="E121" s="5"/>
      <c r="F121" s="5"/>
      <c r="G121" s="5"/>
      <c r="H121" s="5"/>
    </row>
  </sheetData>
  <phoneticPr fontId="0" type="noConversion"/>
  <pageMargins left="0.78740157499999996" right="0.78740157499999996" top="0.984251969" bottom="0.984251969" header="0.49212598499999999" footer="0.49212598499999999"/>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49"/>
  <dimension ref="A1:H80"/>
  <sheetViews>
    <sheetView showGridLines="0" topLeftCell="A50" zoomScale="75" workbookViewId="0">
      <selection activeCell="A65" sqref="A65"/>
    </sheetView>
  </sheetViews>
  <sheetFormatPr defaultRowHeight="15"/>
  <cols>
    <col min="4" max="7" width="9.77734375" customWidth="1"/>
    <col min="8" max="8" width="10.77734375" customWidth="1"/>
  </cols>
  <sheetData>
    <row r="1" spans="1:8" ht="16.5">
      <c r="A1" s="6" t="s">
        <v>84</v>
      </c>
      <c r="B1" s="6"/>
      <c r="C1" s="6"/>
      <c r="D1" s="6"/>
      <c r="E1" s="7"/>
      <c r="F1" s="7"/>
      <c r="G1" s="7"/>
    </row>
    <row r="2" spans="1:8" ht="15.75">
      <c r="A2" s="2" t="s">
        <v>86</v>
      </c>
      <c r="B2" s="1"/>
      <c r="C2" s="1"/>
      <c r="D2" s="1"/>
      <c r="E2" s="1"/>
      <c r="F2" s="1"/>
      <c r="G2" s="1"/>
    </row>
    <row r="3" spans="1:8" ht="15.75">
      <c r="A3" s="2"/>
      <c r="B3" s="1"/>
      <c r="C3" s="1"/>
      <c r="D3" s="1"/>
      <c r="E3" s="1"/>
      <c r="F3" s="1"/>
      <c r="G3" s="1"/>
    </row>
    <row r="4" spans="1:8" ht="63">
      <c r="A4" s="8" t="s">
        <v>67</v>
      </c>
      <c r="B4" s="8" t="s">
        <v>77</v>
      </c>
      <c r="C4" s="8" t="s">
        <v>68</v>
      </c>
      <c r="D4" s="10" t="s">
        <v>69</v>
      </c>
      <c r="E4" s="10" t="s">
        <v>65</v>
      </c>
      <c r="F4" s="10" t="s">
        <v>70</v>
      </c>
      <c r="G4" s="8" t="s">
        <v>160</v>
      </c>
      <c r="H4" s="8" t="s">
        <v>186</v>
      </c>
    </row>
    <row r="5" spans="1:8">
      <c r="A5" s="16">
        <v>36617</v>
      </c>
      <c r="B5" s="24">
        <f>+geral!C1629</f>
        <v>5.09</v>
      </c>
      <c r="C5" s="25">
        <v>100</v>
      </c>
      <c r="D5" s="25"/>
      <c r="E5" s="25"/>
      <c r="F5" s="25"/>
      <c r="G5" s="25"/>
      <c r="H5" s="39">
        <f>$B$56/B5</f>
        <v>1.0058939096267192</v>
      </c>
    </row>
    <row r="6" spans="1:8">
      <c r="A6" s="16">
        <v>36647</v>
      </c>
      <c r="B6" s="24">
        <f>+geral!C1630</f>
        <v>5.09</v>
      </c>
      <c r="C6" s="25">
        <f>100*B6/$B$6</f>
        <v>100</v>
      </c>
      <c r="D6" s="25">
        <f>100*((B6/B5)-1)</f>
        <v>0</v>
      </c>
      <c r="E6" s="25"/>
      <c r="F6" s="25"/>
      <c r="G6" s="25"/>
      <c r="H6" s="39">
        <f t="shared" ref="H6:H56" si="0">$B$56/B6</f>
        <v>1.0058939096267192</v>
      </c>
    </row>
    <row r="7" spans="1:8">
      <c r="A7" s="16">
        <v>36678</v>
      </c>
      <c r="B7" s="24">
        <f>+geral!C1631</f>
        <v>5.09</v>
      </c>
      <c r="C7" s="25">
        <f t="shared" ref="C7:C56" si="1">100*B7/$B$6</f>
        <v>100</v>
      </c>
      <c r="D7" s="25">
        <f t="shared" ref="D7:D14" si="2">100*((B7/B6)-1)</f>
        <v>0</v>
      </c>
      <c r="E7" s="25"/>
      <c r="F7" s="25"/>
      <c r="G7" s="25"/>
      <c r="H7" s="39">
        <f t="shared" si="0"/>
        <v>1.0058939096267192</v>
      </c>
    </row>
    <row r="8" spans="1:8">
      <c r="A8" s="16">
        <v>36708</v>
      </c>
      <c r="B8" s="24">
        <f>+geral!C1632</f>
        <v>5.09</v>
      </c>
      <c r="C8" s="25">
        <f t="shared" si="1"/>
        <v>100</v>
      </c>
      <c r="D8" s="25">
        <f t="shared" si="2"/>
        <v>0</v>
      </c>
      <c r="E8" s="25"/>
      <c r="F8" s="25"/>
      <c r="G8" s="25"/>
      <c r="H8" s="39">
        <f t="shared" si="0"/>
        <v>1.0058939096267192</v>
      </c>
    </row>
    <row r="9" spans="1:8">
      <c r="A9" s="16">
        <v>36739</v>
      </c>
      <c r="B9" s="24">
        <f>+geral!C1633</f>
        <v>5.09</v>
      </c>
      <c r="C9" s="25">
        <f t="shared" si="1"/>
        <v>100</v>
      </c>
      <c r="D9" s="25">
        <f>100*((B9/B8)-1)</f>
        <v>0</v>
      </c>
      <c r="E9" s="25"/>
      <c r="F9" s="25"/>
      <c r="G9" s="25"/>
      <c r="H9" s="39">
        <f t="shared" si="0"/>
        <v>1.0058939096267192</v>
      </c>
    </row>
    <row r="10" spans="1:8">
      <c r="A10" s="16">
        <v>36770</v>
      </c>
      <c r="B10" s="24">
        <f>+geral!C1634</f>
        <v>5.09</v>
      </c>
      <c r="C10" s="25">
        <f t="shared" si="1"/>
        <v>100</v>
      </c>
      <c r="D10" s="25">
        <f t="shared" si="2"/>
        <v>0</v>
      </c>
      <c r="E10" s="25"/>
      <c r="F10" s="25"/>
      <c r="G10" s="25"/>
      <c r="H10" s="39">
        <f t="shared" si="0"/>
        <v>1.0058939096267192</v>
      </c>
    </row>
    <row r="11" spans="1:8">
      <c r="A11" s="16">
        <v>36800</v>
      </c>
      <c r="B11" s="24">
        <f>+geral!C1635</f>
        <v>5.09</v>
      </c>
      <c r="C11" s="25">
        <f t="shared" si="1"/>
        <v>100</v>
      </c>
      <c r="D11" s="25">
        <f t="shared" si="2"/>
        <v>0</v>
      </c>
      <c r="E11" s="25"/>
      <c r="F11" s="25"/>
      <c r="G11" s="25"/>
      <c r="H11" s="39">
        <f t="shared" si="0"/>
        <v>1.0058939096267192</v>
      </c>
    </row>
    <row r="12" spans="1:8">
      <c r="A12" s="16">
        <v>36831</v>
      </c>
      <c r="B12" s="24">
        <f>+geral!C1636</f>
        <v>5.09</v>
      </c>
      <c r="C12" s="25">
        <f t="shared" si="1"/>
        <v>100</v>
      </c>
      <c r="D12" s="25">
        <f t="shared" si="2"/>
        <v>0</v>
      </c>
      <c r="E12" s="25"/>
      <c r="F12" s="25"/>
      <c r="G12" s="25"/>
      <c r="H12" s="39">
        <f t="shared" si="0"/>
        <v>1.0058939096267192</v>
      </c>
    </row>
    <row r="13" spans="1:8">
      <c r="A13" s="16">
        <v>36861</v>
      </c>
      <c r="B13" s="24">
        <f>+geral!C1637</f>
        <v>5.09</v>
      </c>
      <c r="C13" s="25">
        <f t="shared" si="1"/>
        <v>100</v>
      </c>
      <c r="D13" s="25">
        <f t="shared" si="2"/>
        <v>0</v>
      </c>
      <c r="E13" s="25"/>
      <c r="F13" s="25"/>
      <c r="G13" s="25"/>
      <c r="H13" s="39">
        <f t="shared" si="0"/>
        <v>1.0058939096267192</v>
      </c>
    </row>
    <row r="14" spans="1:8">
      <c r="A14" s="16">
        <v>36892</v>
      </c>
      <c r="B14" s="24">
        <f>+geral!E1626</f>
        <v>5.0999999999999996</v>
      </c>
      <c r="C14" s="25">
        <f t="shared" si="1"/>
        <v>100.19646365422396</v>
      </c>
      <c r="D14" s="25">
        <f t="shared" si="2"/>
        <v>0.19646365422396617</v>
      </c>
      <c r="E14" s="25">
        <f t="shared" ref="E14:E19" si="3">100*((B14/$B$13)-1)</f>
        <v>0.19646365422396617</v>
      </c>
      <c r="F14" s="25"/>
      <c r="G14" s="25"/>
      <c r="H14" s="39">
        <f t="shared" si="0"/>
        <v>1.003921568627451</v>
      </c>
    </row>
    <row r="15" spans="1:8">
      <c r="A15" s="16">
        <v>36923</v>
      </c>
      <c r="B15" s="24">
        <f>+geral!E1627</f>
        <v>5.0999999999999996</v>
      </c>
      <c r="C15" s="25">
        <f t="shared" si="1"/>
        <v>100.19646365422396</v>
      </c>
      <c r="D15" s="25">
        <f t="shared" ref="D15:D20" si="4">100*((B15/B14)-1)</f>
        <v>0</v>
      </c>
      <c r="E15" s="25">
        <f t="shared" si="3"/>
        <v>0.19646365422396617</v>
      </c>
      <c r="F15" s="29"/>
      <c r="G15" s="29"/>
      <c r="H15" s="39">
        <f t="shared" si="0"/>
        <v>1.003921568627451</v>
      </c>
    </row>
    <row r="16" spans="1:8">
      <c r="A16" s="16">
        <v>36951</v>
      </c>
      <c r="B16" s="24">
        <f>+geral!E1628</f>
        <v>5.0999999999999996</v>
      </c>
      <c r="C16" s="25">
        <f t="shared" si="1"/>
        <v>100.19646365422396</v>
      </c>
      <c r="D16" s="25">
        <f t="shared" si="4"/>
        <v>0</v>
      </c>
      <c r="E16" s="25">
        <f t="shared" si="3"/>
        <v>0.19646365422396617</v>
      </c>
      <c r="F16" s="29"/>
      <c r="G16" s="29"/>
      <c r="H16" s="39">
        <f t="shared" si="0"/>
        <v>1.003921568627451</v>
      </c>
    </row>
    <row r="17" spans="1:8">
      <c r="A17" s="16">
        <v>36982</v>
      </c>
      <c r="B17" s="24">
        <f>+geral!E1629</f>
        <v>5.0999999999999996</v>
      </c>
      <c r="C17" s="25">
        <f t="shared" si="1"/>
        <v>100.19646365422396</v>
      </c>
      <c r="D17" s="25">
        <f t="shared" si="4"/>
        <v>0</v>
      </c>
      <c r="E17" s="25">
        <f t="shared" si="3"/>
        <v>0.19646365422396617</v>
      </c>
      <c r="F17" s="25">
        <f t="shared" ref="F17:F22" si="5">100*((B17/B5)-1)</f>
        <v>0.19646365422396617</v>
      </c>
      <c r="G17" s="25"/>
      <c r="H17" s="39">
        <f t="shared" si="0"/>
        <v>1.003921568627451</v>
      </c>
    </row>
    <row r="18" spans="1:8">
      <c r="A18" s="16">
        <v>37012</v>
      </c>
      <c r="B18" s="24">
        <f>+geral!E1630</f>
        <v>5.0999999999999996</v>
      </c>
      <c r="C18" s="25">
        <f t="shared" si="1"/>
        <v>100.19646365422396</v>
      </c>
      <c r="D18" s="25">
        <f t="shared" si="4"/>
        <v>0</v>
      </c>
      <c r="E18" s="25">
        <f t="shared" si="3"/>
        <v>0.19646365422396617</v>
      </c>
      <c r="F18" s="25">
        <f t="shared" si="5"/>
        <v>0.19646365422396617</v>
      </c>
      <c r="G18" s="25"/>
      <c r="H18" s="39">
        <f t="shared" si="0"/>
        <v>1.003921568627451</v>
      </c>
    </row>
    <row r="19" spans="1:8">
      <c r="A19" s="16">
        <v>37043</v>
      </c>
      <c r="B19" s="24">
        <f>+geral!E1631</f>
        <v>5.0999999999999996</v>
      </c>
      <c r="C19" s="25">
        <f t="shared" si="1"/>
        <v>100.19646365422396</v>
      </c>
      <c r="D19" s="25">
        <f t="shared" si="4"/>
        <v>0</v>
      </c>
      <c r="E19" s="25">
        <f t="shared" si="3"/>
        <v>0.19646365422396617</v>
      </c>
      <c r="F19" s="25">
        <f t="shared" si="5"/>
        <v>0.19646365422396617</v>
      </c>
      <c r="G19" s="25"/>
      <c r="H19" s="39">
        <f t="shared" si="0"/>
        <v>1.003921568627451</v>
      </c>
    </row>
    <row r="20" spans="1:8">
      <c r="A20" s="20">
        <v>37073</v>
      </c>
      <c r="B20" s="27">
        <f>+geral!E1632</f>
        <v>5.0999999999999996</v>
      </c>
      <c r="C20" s="31">
        <f t="shared" si="1"/>
        <v>100.19646365422396</v>
      </c>
      <c r="D20" s="31">
        <f t="shared" si="4"/>
        <v>0</v>
      </c>
      <c r="E20" s="31">
        <f t="shared" ref="E20:E25" si="6">100*((B20/$B$13)-1)</f>
        <v>0.19646365422396617</v>
      </c>
      <c r="F20" s="31">
        <f t="shared" si="5"/>
        <v>0.19646365422396617</v>
      </c>
      <c r="G20" s="31"/>
      <c r="H20" s="39">
        <f t="shared" si="0"/>
        <v>1.003921568627451</v>
      </c>
    </row>
    <row r="21" spans="1:8">
      <c r="A21" s="16">
        <v>37104</v>
      </c>
      <c r="B21" s="24">
        <f>+geral!E1633</f>
        <v>5.0999999999999996</v>
      </c>
      <c r="C21" s="25">
        <f t="shared" si="1"/>
        <v>100.19646365422396</v>
      </c>
      <c r="D21" s="25">
        <f t="shared" ref="D21:D26" si="7">100*((B21/B20)-1)</f>
        <v>0</v>
      </c>
      <c r="E21" s="25">
        <f t="shared" si="6"/>
        <v>0.19646365422396617</v>
      </c>
      <c r="F21" s="25">
        <f t="shared" si="5"/>
        <v>0.19646365422396617</v>
      </c>
      <c r="G21" s="25"/>
      <c r="H21" s="39">
        <f t="shared" si="0"/>
        <v>1.003921568627451</v>
      </c>
    </row>
    <row r="22" spans="1:8">
      <c r="A22" s="16">
        <v>37135</v>
      </c>
      <c r="B22" s="24">
        <f>+geral!E1634</f>
        <v>5.0999999999999996</v>
      </c>
      <c r="C22" s="25">
        <f t="shared" si="1"/>
        <v>100.19646365422396</v>
      </c>
      <c r="D22" s="25">
        <f t="shared" si="7"/>
        <v>0</v>
      </c>
      <c r="E22" s="25">
        <f t="shared" si="6"/>
        <v>0.19646365422396617</v>
      </c>
      <c r="F22" s="25">
        <f t="shared" si="5"/>
        <v>0.19646365422396617</v>
      </c>
      <c r="G22" s="25"/>
      <c r="H22" s="39">
        <f t="shared" si="0"/>
        <v>1.003921568627451</v>
      </c>
    </row>
    <row r="23" spans="1:8">
      <c r="A23" s="16">
        <v>37165</v>
      </c>
      <c r="B23" s="24">
        <f>+geral!E1635</f>
        <v>5.0999999999999996</v>
      </c>
      <c r="C23" s="25">
        <f t="shared" si="1"/>
        <v>100.19646365422396</v>
      </c>
      <c r="D23" s="25">
        <f t="shared" si="7"/>
        <v>0</v>
      </c>
      <c r="E23" s="25">
        <f t="shared" si="6"/>
        <v>0.19646365422396617</v>
      </c>
      <c r="F23" s="25">
        <f t="shared" ref="F23:F28" si="8">100*((B23/B11)-1)</f>
        <v>0.19646365422396617</v>
      </c>
      <c r="G23" s="25"/>
      <c r="H23" s="39">
        <f t="shared" si="0"/>
        <v>1.003921568627451</v>
      </c>
    </row>
    <row r="24" spans="1:8">
      <c r="A24" s="16">
        <v>37196</v>
      </c>
      <c r="B24" s="24">
        <f>+geral!E1636</f>
        <v>5.0999999999999996</v>
      </c>
      <c r="C24" s="25">
        <f t="shared" si="1"/>
        <v>100.19646365422396</v>
      </c>
      <c r="D24" s="25">
        <f t="shared" si="7"/>
        <v>0</v>
      </c>
      <c r="E24" s="25">
        <f t="shared" si="6"/>
        <v>0.19646365422396617</v>
      </c>
      <c r="F24" s="25">
        <f t="shared" si="8"/>
        <v>0.19646365422396617</v>
      </c>
      <c r="G24" s="25"/>
      <c r="H24" s="39">
        <f t="shared" si="0"/>
        <v>1.003921568627451</v>
      </c>
    </row>
    <row r="25" spans="1:8">
      <c r="A25" s="16">
        <v>37226</v>
      </c>
      <c r="B25" s="24">
        <f>+geral!E1637</f>
        <v>5.0999999999999996</v>
      </c>
      <c r="C25" s="25">
        <f t="shared" si="1"/>
        <v>100.19646365422396</v>
      </c>
      <c r="D25" s="25">
        <f t="shared" si="7"/>
        <v>0</v>
      </c>
      <c r="E25" s="25">
        <f t="shared" si="6"/>
        <v>0.19646365422396617</v>
      </c>
      <c r="F25" s="25">
        <f t="shared" si="8"/>
        <v>0.19646365422396617</v>
      </c>
      <c r="G25" s="25"/>
      <c r="H25" s="39">
        <f t="shared" si="0"/>
        <v>1.003921568627451</v>
      </c>
    </row>
    <row r="26" spans="1:8">
      <c r="A26" s="16">
        <v>37257</v>
      </c>
      <c r="B26" s="24">
        <f>+geral!G1626</f>
        <v>5.0999999999999996</v>
      </c>
      <c r="C26" s="25">
        <f t="shared" si="1"/>
        <v>100.19646365422396</v>
      </c>
      <c r="D26" s="25">
        <f t="shared" si="7"/>
        <v>0</v>
      </c>
      <c r="E26" s="25">
        <f t="shared" ref="E26:E31" si="9">100*((B26/$B$25)-1)</f>
        <v>0</v>
      </c>
      <c r="F26" s="25">
        <f t="shared" si="8"/>
        <v>0</v>
      </c>
      <c r="G26" s="25"/>
      <c r="H26" s="39">
        <f t="shared" si="0"/>
        <v>1.003921568627451</v>
      </c>
    </row>
    <row r="27" spans="1:8">
      <c r="A27" s="16">
        <v>37288</v>
      </c>
      <c r="B27" s="24">
        <f>+geral!G1627</f>
        <v>5.0999999999999996</v>
      </c>
      <c r="C27" s="25">
        <f t="shared" si="1"/>
        <v>100.19646365422396</v>
      </c>
      <c r="D27" s="25">
        <f t="shared" ref="D27:D32" si="10">100*((B27/B26)-1)</f>
        <v>0</v>
      </c>
      <c r="E27" s="25">
        <f t="shared" si="9"/>
        <v>0</v>
      </c>
      <c r="F27" s="25">
        <f t="shared" si="8"/>
        <v>0</v>
      </c>
      <c r="G27" s="25"/>
      <c r="H27" s="39">
        <f t="shared" si="0"/>
        <v>1.003921568627451</v>
      </c>
    </row>
    <row r="28" spans="1:8">
      <c r="A28" s="16">
        <v>37316</v>
      </c>
      <c r="B28" s="24">
        <f>+geral!G1628</f>
        <v>5.0999999999999996</v>
      </c>
      <c r="C28" s="25">
        <f t="shared" si="1"/>
        <v>100.19646365422396</v>
      </c>
      <c r="D28" s="25">
        <f t="shared" si="10"/>
        <v>0</v>
      </c>
      <c r="E28" s="25">
        <f t="shared" si="9"/>
        <v>0</v>
      </c>
      <c r="F28" s="25">
        <f t="shared" si="8"/>
        <v>0</v>
      </c>
      <c r="G28" s="25"/>
      <c r="H28" s="39">
        <f t="shared" si="0"/>
        <v>1.003921568627451</v>
      </c>
    </row>
    <row r="29" spans="1:8">
      <c r="A29" s="16">
        <v>37347</v>
      </c>
      <c r="B29" s="24">
        <f>+geral!G1629</f>
        <v>5.0999999999999996</v>
      </c>
      <c r="C29" s="25">
        <f t="shared" si="1"/>
        <v>100.19646365422396</v>
      </c>
      <c r="D29" s="25">
        <f t="shared" si="10"/>
        <v>0</v>
      </c>
      <c r="E29" s="25">
        <f t="shared" si="9"/>
        <v>0</v>
      </c>
      <c r="F29" s="25">
        <f t="shared" ref="F29:F34" si="11">100*((B29/B17)-1)</f>
        <v>0</v>
      </c>
      <c r="G29" s="25">
        <f>100*(B29/B5-1)</f>
        <v>0.19646365422396617</v>
      </c>
      <c r="H29" s="39">
        <f t="shared" si="0"/>
        <v>1.003921568627451</v>
      </c>
    </row>
    <row r="30" spans="1:8">
      <c r="A30" s="16">
        <v>37377</v>
      </c>
      <c r="B30" s="24">
        <f>+geral!G1630</f>
        <v>5.0999999999999996</v>
      </c>
      <c r="C30" s="25">
        <f t="shared" si="1"/>
        <v>100.19646365422396</v>
      </c>
      <c r="D30" s="25">
        <f t="shared" si="10"/>
        <v>0</v>
      </c>
      <c r="E30" s="25">
        <f t="shared" si="9"/>
        <v>0</v>
      </c>
      <c r="F30" s="25">
        <f t="shared" si="11"/>
        <v>0</v>
      </c>
      <c r="G30" s="25">
        <f t="shared" ref="G30:G38" si="12">100*(B30/B6-1)</f>
        <v>0.19646365422396617</v>
      </c>
      <c r="H30" s="39">
        <f t="shared" si="0"/>
        <v>1.003921568627451</v>
      </c>
    </row>
    <row r="31" spans="1:8">
      <c r="A31" s="16">
        <v>37408</v>
      </c>
      <c r="B31" s="24">
        <f>+geral!G1631</f>
        <v>5.0999999999999996</v>
      </c>
      <c r="C31" s="25">
        <f t="shared" si="1"/>
        <v>100.19646365422396</v>
      </c>
      <c r="D31" s="25">
        <f t="shared" si="10"/>
        <v>0</v>
      </c>
      <c r="E31" s="25">
        <f t="shared" si="9"/>
        <v>0</v>
      </c>
      <c r="F31" s="25">
        <f t="shared" si="11"/>
        <v>0</v>
      </c>
      <c r="G31" s="25">
        <f t="shared" si="12"/>
        <v>0.19646365422396617</v>
      </c>
      <c r="H31" s="39">
        <f t="shared" si="0"/>
        <v>1.003921568627451</v>
      </c>
    </row>
    <row r="32" spans="1:8">
      <c r="A32" s="16">
        <v>37438</v>
      </c>
      <c r="B32" s="24">
        <f>+geral!G1632</f>
        <v>5.0999999999999996</v>
      </c>
      <c r="C32" s="25">
        <f t="shared" si="1"/>
        <v>100.19646365422396</v>
      </c>
      <c r="D32" s="25">
        <f t="shared" si="10"/>
        <v>0</v>
      </c>
      <c r="E32" s="25">
        <f t="shared" ref="E32:E37" si="13">100*((B32/$B$25)-1)</f>
        <v>0</v>
      </c>
      <c r="F32" s="25">
        <f t="shared" si="11"/>
        <v>0</v>
      </c>
      <c r="G32" s="25">
        <f t="shared" si="12"/>
        <v>0.19646365422396617</v>
      </c>
      <c r="H32" s="39">
        <f t="shared" si="0"/>
        <v>1.003921568627451</v>
      </c>
    </row>
    <row r="33" spans="1:8">
      <c r="A33" s="16">
        <v>37469</v>
      </c>
      <c r="B33" s="24">
        <f>+geral!G1633</f>
        <v>5.0999999999999996</v>
      </c>
      <c r="C33" s="25">
        <f t="shared" si="1"/>
        <v>100.19646365422396</v>
      </c>
      <c r="D33" s="25">
        <f t="shared" ref="D33:D38" si="14">100*((B33/B32)-1)</f>
        <v>0</v>
      </c>
      <c r="E33" s="25">
        <f t="shared" si="13"/>
        <v>0</v>
      </c>
      <c r="F33" s="25">
        <f t="shared" si="11"/>
        <v>0</v>
      </c>
      <c r="G33" s="25">
        <f t="shared" si="12"/>
        <v>0.19646365422396617</v>
      </c>
      <c r="H33" s="39">
        <f t="shared" si="0"/>
        <v>1.003921568627451</v>
      </c>
    </row>
    <row r="34" spans="1:8">
      <c r="A34" s="16">
        <v>37500</v>
      </c>
      <c r="B34" s="24">
        <f>+geral!G1634</f>
        <v>5.0999999999999996</v>
      </c>
      <c r="C34" s="25">
        <f t="shared" si="1"/>
        <v>100.19646365422396</v>
      </c>
      <c r="D34" s="25">
        <f t="shared" si="14"/>
        <v>0</v>
      </c>
      <c r="E34" s="25">
        <f t="shared" si="13"/>
        <v>0</v>
      </c>
      <c r="F34" s="25">
        <f t="shared" si="11"/>
        <v>0</v>
      </c>
      <c r="G34" s="25">
        <f t="shared" si="12"/>
        <v>0.19646365422396617</v>
      </c>
      <c r="H34" s="39">
        <f t="shared" si="0"/>
        <v>1.003921568627451</v>
      </c>
    </row>
    <row r="35" spans="1:8">
      <c r="A35" s="16">
        <v>37530</v>
      </c>
      <c r="B35" s="24">
        <f>+geral!G1635</f>
        <v>5.0999999999999996</v>
      </c>
      <c r="C35" s="25">
        <f t="shared" si="1"/>
        <v>100.19646365422396</v>
      </c>
      <c r="D35" s="25">
        <f t="shared" si="14"/>
        <v>0</v>
      </c>
      <c r="E35" s="25">
        <f t="shared" si="13"/>
        <v>0</v>
      </c>
      <c r="F35" s="25">
        <f t="shared" ref="F35:F40" si="15">100*((B35/B23)-1)</f>
        <v>0</v>
      </c>
      <c r="G35" s="25">
        <f t="shared" si="12"/>
        <v>0.19646365422396617</v>
      </c>
      <c r="H35" s="39">
        <f t="shared" si="0"/>
        <v>1.003921568627451</v>
      </c>
    </row>
    <row r="36" spans="1:8">
      <c r="A36" s="16">
        <v>37561</v>
      </c>
      <c r="B36" s="24">
        <f>+geral!G1636</f>
        <v>5.0999999999999996</v>
      </c>
      <c r="C36" s="25">
        <f t="shared" si="1"/>
        <v>100.19646365422396</v>
      </c>
      <c r="D36" s="25">
        <f t="shared" si="14"/>
        <v>0</v>
      </c>
      <c r="E36" s="25">
        <f t="shared" si="13"/>
        <v>0</v>
      </c>
      <c r="F36" s="25">
        <f t="shared" si="15"/>
        <v>0</v>
      </c>
      <c r="G36" s="25">
        <f t="shared" si="12"/>
        <v>0.19646365422396617</v>
      </c>
      <c r="H36" s="39">
        <f t="shared" si="0"/>
        <v>1.003921568627451</v>
      </c>
    </row>
    <row r="37" spans="1:8">
      <c r="A37" s="16">
        <v>37591</v>
      </c>
      <c r="B37" s="24">
        <f>+geral!G1637</f>
        <v>5.0999999999999996</v>
      </c>
      <c r="C37" s="25">
        <f t="shared" si="1"/>
        <v>100.19646365422396</v>
      </c>
      <c r="D37" s="25">
        <f t="shared" si="14"/>
        <v>0</v>
      </c>
      <c r="E37" s="25">
        <f t="shared" si="13"/>
        <v>0</v>
      </c>
      <c r="F37" s="25">
        <f t="shared" si="15"/>
        <v>0</v>
      </c>
      <c r="G37" s="25">
        <f t="shared" si="12"/>
        <v>0.19646365422396617</v>
      </c>
      <c r="H37" s="39">
        <f t="shared" si="0"/>
        <v>1.003921568627451</v>
      </c>
    </row>
    <row r="38" spans="1:8">
      <c r="A38" s="16">
        <v>37622</v>
      </c>
      <c r="B38" s="24">
        <f>+geral!I1626</f>
        <v>5.0999999999999996</v>
      </c>
      <c r="C38" s="25">
        <f t="shared" si="1"/>
        <v>100.19646365422396</v>
      </c>
      <c r="D38" s="25">
        <f t="shared" si="14"/>
        <v>0</v>
      </c>
      <c r="E38" s="25">
        <f t="shared" ref="E38:E43" si="16">100*((B38/$B$37-1))</f>
        <v>0</v>
      </c>
      <c r="F38" s="25">
        <f t="shared" si="15"/>
        <v>0</v>
      </c>
      <c r="G38" s="25">
        <f t="shared" si="12"/>
        <v>0</v>
      </c>
      <c r="H38" s="39">
        <f t="shared" si="0"/>
        <v>1.003921568627451</v>
      </c>
    </row>
    <row r="39" spans="1:8">
      <c r="A39" s="16">
        <v>37653</v>
      </c>
      <c r="B39" s="24">
        <f>+geral!I1627</f>
        <v>5.0999999999999996</v>
      </c>
      <c r="C39" s="25">
        <f t="shared" si="1"/>
        <v>100.19646365422396</v>
      </c>
      <c r="D39" s="25">
        <f t="shared" ref="D39:D44" si="17">100*((B39/B38)-1)</f>
        <v>0</v>
      </c>
      <c r="E39" s="25">
        <f t="shared" si="16"/>
        <v>0</v>
      </c>
      <c r="F39" s="25">
        <f t="shared" si="15"/>
        <v>0</v>
      </c>
      <c r="G39" s="25">
        <f t="shared" ref="G39:G44" si="18">100*(B39/B15-1)</f>
        <v>0</v>
      </c>
      <c r="H39" s="39">
        <f t="shared" si="0"/>
        <v>1.003921568627451</v>
      </c>
    </row>
    <row r="40" spans="1:8">
      <c r="A40" s="16">
        <v>37681</v>
      </c>
      <c r="B40" s="24">
        <f>+geral!I1628</f>
        <v>5.0999999999999996</v>
      </c>
      <c r="C40" s="25">
        <f t="shared" si="1"/>
        <v>100.19646365422396</v>
      </c>
      <c r="D40" s="25">
        <f t="shared" si="17"/>
        <v>0</v>
      </c>
      <c r="E40" s="25">
        <f t="shared" si="16"/>
        <v>0</v>
      </c>
      <c r="F40" s="25">
        <f t="shared" si="15"/>
        <v>0</v>
      </c>
      <c r="G40" s="25">
        <f t="shared" si="18"/>
        <v>0</v>
      </c>
      <c r="H40" s="39">
        <f t="shared" si="0"/>
        <v>1.003921568627451</v>
      </c>
    </row>
    <row r="41" spans="1:8">
      <c r="A41" s="16">
        <v>37712</v>
      </c>
      <c r="B41" s="24">
        <f>+geral!I1629</f>
        <v>5.0999999999999996</v>
      </c>
      <c r="C41" s="25">
        <f t="shared" si="1"/>
        <v>100.19646365422396</v>
      </c>
      <c r="D41" s="25">
        <f t="shared" si="17"/>
        <v>0</v>
      </c>
      <c r="E41" s="25">
        <f t="shared" si="16"/>
        <v>0</v>
      </c>
      <c r="F41" s="25">
        <f t="shared" ref="F41:F46" si="19">100*((B41/B29)-1)</f>
        <v>0</v>
      </c>
      <c r="G41" s="25">
        <f t="shared" si="18"/>
        <v>0</v>
      </c>
      <c r="H41" s="39">
        <f t="shared" si="0"/>
        <v>1.003921568627451</v>
      </c>
    </row>
    <row r="42" spans="1:8">
      <c r="A42" s="16">
        <v>37742</v>
      </c>
      <c r="B42" s="24">
        <f>+geral!I1630</f>
        <v>5.0999999999999996</v>
      </c>
      <c r="C42" s="25">
        <f t="shared" si="1"/>
        <v>100.19646365422396</v>
      </c>
      <c r="D42" s="25">
        <f t="shared" si="17"/>
        <v>0</v>
      </c>
      <c r="E42" s="25">
        <f t="shared" si="16"/>
        <v>0</v>
      </c>
      <c r="F42" s="25">
        <f t="shared" si="19"/>
        <v>0</v>
      </c>
      <c r="G42" s="25">
        <f t="shared" si="18"/>
        <v>0</v>
      </c>
      <c r="H42" s="39">
        <f t="shared" si="0"/>
        <v>1.003921568627451</v>
      </c>
    </row>
    <row r="43" spans="1:8">
      <c r="A43" s="16">
        <v>37773</v>
      </c>
      <c r="B43" s="24">
        <f>+geral!I1631</f>
        <v>5.0999999999999996</v>
      </c>
      <c r="C43" s="25">
        <f t="shared" si="1"/>
        <v>100.19646365422396</v>
      </c>
      <c r="D43" s="25">
        <f t="shared" si="17"/>
        <v>0</v>
      </c>
      <c r="E43" s="25">
        <f t="shared" si="16"/>
        <v>0</v>
      </c>
      <c r="F43" s="25">
        <f t="shared" si="19"/>
        <v>0</v>
      </c>
      <c r="G43" s="25">
        <f t="shared" si="18"/>
        <v>0</v>
      </c>
      <c r="H43" s="39">
        <f t="shared" si="0"/>
        <v>1.003921568627451</v>
      </c>
    </row>
    <row r="44" spans="1:8">
      <c r="A44" s="16">
        <v>37803</v>
      </c>
      <c r="B44" s="24">
        <f>+geral!I1632</f>
        <v>5.0999999999999996</v>
      </c>
      <c r="C44" s="25">
        <f t="shared" si="1"/>
        <v>100.19646365422396</v>
      </c>
      <c r="D44" s="25">
        <f t="shared" si="17"/>
        <v>0</v>
      </c>
      <c r="E44" s="25">
        <f t="shared" ref="E44:E49" si="20">100*((B44/$B$37-1))</f>
        <v>0</v>
      </c>
      <c r="F44" s="25">
        <f t="shared" si="19"/>
        <v>0</v>
      </c>
      <c r="G44" s="25">
        <f t="shared" si="18"/>
        <v>0</v>
      </c>
      <c r="H44" s="39">
        <f t="shared" si="0"/>
        <v>1.003921568627451</v>
      </c>
    </row>
    <row r="45" spans="1:8">
      <c r="A45" s="16">
        <v>37834</v>
      </c>
      <c r="B45" s="24">
        <f>+geral!I1633</f>
        <v>5.12</v>
      </c>
      <c r="C45" s="25">
        <f t="shared" si="1"/>
        <v>100.58939096267191</v>
      </c>
      <c r="D45" s="25">
        <f t="shared" ref="D45:D50" si="21">100*((B45/B44)-1)</f>
        <v>0.39215686274509665</v>
      </c>
      <c r="E45" s="25">
        <f t="shared" si="20"/>
        <v>0.39215686274509665</v>
      </c>
      <c r="F45" s="25">
        <f t="shared" si="19"/>
        <v>0.39215686274509665</v>
      </c>
      <c r="G45" s="25">
        <f t="shared" ref="G45:G50" si="22">100*(B45/B21-1)</f>
        <v>0.39215686274509665</v>
      </c>
      <c r="H45" s="39">
        <f t="shared" si="0"/>
        <v>1</v>
      </c>
    </row>
    <row r="46" spans="1:8">
      <c r="A46" s="16">
        <v>37865</v>
      </c>
      <c r="B46" s="24">
        <f>+geral!I1634</f>
        <v>5.12</v>
      </c>
      <c r="C46" s="25">
        <f t="shared" si="1"/>
        <v>100.58939096267191</v>
      </c>
      <c r="D46" s="25">
        <f t="shared" si="21"/>
        <v>0</v>
      </c>
      <c r="E46" s="25">
        <f t="shared" si="20"/>
        <v>0.39215686274509665</v>
      </c>
      <c r="F46" s="25">
        <f t="shared" si="19"/>
        <v>0.39215686274509665</v>
      </c>
      <c r="G46" s="25">
        <f t="shared" si="22"/>
        <v>0.39215686274509665</v>
      </c>
      <c r="H46" s="39">
        <f t="shared" si="0"/>
        <v>1</v>
      </c>
    </row>
    <row r="47" spans="1:8">
      <c r="A47" s="16">
        <v>37895</v>
      </c>
      <c r="B47" s="24">
        <f>+geral!I1635</f>
        <v>5.12</v>
      </c>
      <c r="C47" s="25">
        <f t="shared" si="1"/>
        <v>100.58939096267191</v>
      </c>
      <c r="D47" s="25">
        <f t="shared" si="21"/>
        <v>0</v>
      </c>
      <c r="E47" s="25">
        <f t="shared" si="20"/>
        <v>0.39215686274509665</v>
      </c>
      <c r="F47" s="25">
        <f t="shared" ref="F47:F52" si="23">100*((B47/B35)-1)</f>
        <v>0.39215686274509665</v>
      </c>
      <c r="G47" s="25">
        <f t="shared" si="22"/>
        <v>0.39215686274509665</v>
      </c>
      <c r="H47" s="39">
        <f t="shared" si="0"/>
        <v>1</v>
      </c>
    </row>
    <row r="48" spans="1:8">
      <c r="A48" s="16">
        <v>37926</v>
      </c>
      <c r="B48" s="24">
        <f>+geral!I1636</f>
        <v>5.12</v>
      </c>
      <c r="C48" s="25">
        <f t="shared" si="1"/>
        <v>100.58939096267191</v>
      </c>
      <c r="D48" s="25">
        <f t="shared" si="21"/>
        <v>0</v>
      </c>
      <c r="E48" s="25">
        <f t="shared" si="20"/>
        <v>0.39215686274509665</v>
      </c>
      <c r="F48" s="25">
        <f t="shared" si="23"/>
        <v>0.39215686274509665</v>
      </c>
      <c r="G48" s="25">
        <f t="shared" si="22"/>
        <v>0.39215686274509665</v>
      </c>
      <c r="H48" s="39">
        <f t="shared" si="0"/>
        <v>1</v>
      </c>
    </row>
    <row r="49" spans="1:8">
      <c r="A49" s="16">
        <v>37956</v>
      </c>
      <c r="B49" s="24">
        <f>+geral!I1637</f>
        <v>5.12</v>
      </c>
      <c r="C49" s="25">
        <f t="shared" si="1"/>
        <v>100.58939096267191</v>
      </c>
      <c r="D49" s="25">
        <f t="shared" si="21"/>
        <v>0</v>
      </c>
      <c r="E49" s="25">
        <f t="shared" si="20"/>
        <v>0.39215686274509665</v>
      </c>
      <c r="F49" s="25">
        <f t="shared" si="23"/>
        <v>0.39215686274509665</v>
      </c>
      <c r="G49" s="25">
        <f t="shared" si="22"/>
        <v>0.39215686274509665</v>
      </c>
      <c r="H49" s="39">
        <f t="shared" si="0"/>
        <v>1</v>
      </c>
    </row>
    <row r="50" spans="1:8">
      <c r="A50" s="16">
        <v>37987</v>
      </c>
      <c r="B50" s="24">
        <f>+geral!K1626</f>
        <v>5.12</v>
      </c>
      <c r="C50" s="25">
        <f t="shared" si="1"/>
        <v>100.58939096267191</v>
      </c>
      <c r="D50" s="25">
        <f t="shared" si="21"/>
        <v>0</v>
      </c>
      <c r="E50" s="25">
        <f t="shared" ref="E50:E55" si="24">100*((B50/$B$49-1))</f>
        <v>0</v>
      </c>
      <c r="F50" s="25">
        <f t="shared" si="23"/>
        <v>0.39215686274509665</v>
      </c>
      <c r="G50" s="25">
        <f t="shared" si="22"/>
        <v>0.39215686274509665</v>
      </c>
      <c r="H50" s="39">
        <f t="shared" si="0"/>
        <v>1</v>
      </c>
    </row>
    <row r="51" spans="1:8">
      <c r="A51" s="16">
        <v>38018</v>
      </c>
      <c r="B51" s="24">
        <f>+geral!K1627</f>
        <v>5.12</v>
      </c>
      <c r="C51" s="25">
        <f t="shared" si="1"/>
        <v>100.58939096267191</v>
      </c>
      <c r="D51" s="25">
        <f t="shared" ref="D51:D56" si="25">100*((B51/B50)-1)</f>
        <v>0</v>
      </c>
      <c r="E51" s="25">
        <f t="shared" si="24"/>
        <v>0</v>
      </c>
      <c r="F51" s="25">
        <f t="shared" si="23"/>
        <v>0.39215686274509665</v>
      </c>
      <c r="G51" s="25">
        <f t="shared" ref="G51:G56" si="26">100*(B51/B27-1)</f>
        <v>0.39215686274509665</v>
      </c>
      <c r="H51" s="39">
        <f t="shared" si="0"/>
        <v>1</v>
      </c>
    </row>
    <row r="52" spans="1:8">
      <c r="A52" s="16">
        <v>38047</v>
      </c>
      <c r="B52" s="24">
        <f>+geral!K1628</f>
        <v>5.12</v>
      </c>
      <c r="C52" s="25">
        <f t="shared" si="1"/>
        <v>100.58939096267191</v>
      </c>
      <c r="D52" s="25">
        <f t="shared" si="25"/>
        <v>0</v>
      </c>
      <c r="E52" s="25">
        <f t="shared" si="24"/>
        <v>0</v>
      </c>
      <c r="F52" s="25">
        <f t="shared" si="23"/>
        <v>0.39215686274509665</v>
      </c>
      <c r="G52" s="25">
        <f t="shared" si="26"/>
        <v>0.39215686274509665</v>
      </c>
      <c r="H52" s="39">
        <f t="shared" si="0"/>
        <v>1</v>
      </c>
    </row>
    <row r="53" spans="1:8">
      <c r="A53" s="16">
        <v>38078</v>
      </c>
      <c r="B53" s="24">
        <f>+geral!K1629</f>
        <v>5.12</v>
      </c>
      <c r="C53" s="25">
        <f t="shared" si="1"/>
        <v>100.58939096267191</v>
      </c>
      <c r="D53" s="25">
        <f t="shared" si="25"/>
        <v>0</v>
      </c>
      <c r="E53" s="25">
        <f t="shared" si="24"/>
        <v>0</v>
      </c>
      <c r="F53" s="25">
        <f>100*((B53/B41)-1)</f>
        <v>0.39215686274509665</v>
      </c>
      <c r="G53" s="25">
        <f t="shared" si="26"/>
        <v>0.39215686274509665</v>
      </c>
      <c r="H53" s="39">
        <f t="shared" si="0"/>
        <v>1</v>
      </c>
    </row>
    <row r="54" spans="1:8">
      <c r="A54" s="16">
        <v>38108</v>
      </c>
      <c r="B54" s="24">
        <f>+geral!K1630</f>
        <v>5.12</v>
      </c>
      <c r="C54" s="25">
        <f t="shared" si="1"/>
        <v>100.58939096267191</v>
      </c>
      <c r="D54" s="25">
        <f t="shared" si="25"/>
        <v>0</v>
      </c>
      <c r="E54" s="25">
        <f t="shared" si="24"/>
        <v>0</v>
      </c>
      <c r="F54" s="25">
        <f>100*((B54/B42)-1)</f>
        <v>0.39215686274509665</v>
      </c>
      <c r="G54" s="25">
        <f t="shared" si="26"/>
        <v>0.39215686274509665</v>
      </c>
      <c r="H54" s="39">
        <f t="shared" si="0"/>
        <v>1</v>
      </c>
    </row>
    <row r="55" spans="1:8">
      <c r="A55" s="16">
        <v>38139</v>
      </c>
      <c r="B55" s="24">
        <f>+geral!K1631</f>
        <v>5.12</v>
      </c>
      <c r="C55" s="25">
        <f t="shared" si="1"/>
        <v>100.58939096267191</v>
      </c>
      <c r="D55" s="25">
        <f t="shared" si="25"/>
        <v>0</v>
      </c>
      <c r="E55" s="25">
        <f t="shared" si="24"/>
        <v>0</v>
      </c>
      <c r="F55" s="25">
        <f>100*((B55/B43)-1)</f>
        <v>0.39215686274509665</v>
      </c>
      <c r="G55" s="25">
        <f t="shared" si="26"/>
        <v>0.39215686274509665</v>
      </c>
      <c r="H55" s="39">
        <f t="shared" si="0"/>
        <v>1</v>
      </c>
    </row>
    <row r="56" spans="1:8">
      <c r="A56" s="16">
        <v>38169</v>
      </c>
      <c r="B56" s="24">
        <f>+geral!K1632</f>
        <v>5.12</v>
      </c>
      <c r="C56" s="25">
        <f t="shared" si="1"/>
        <v>100.58939096267191</v>
      </c>
      <c r="D56" s="25">
        <f t="shared" si="25"/>
        <v>0</v>
      </c>
      <c r="E56" s="25">
        <f>100*((B56/$B$49-1))</f>
        <v>0</v>
      </c>
      <c r="F56" s="25">
        <f>100*((B56/B44)-1)</f>
        <v>0.39215686274509665</v>
      </c>
      <c r="G56" s="25">
        <f t="shared" si="26"/>
        <v>0.39215686274509665</v>
      </c>
      <c r="H56" s="39">
        <f t="shared" si="0"/>
        <v>1</v>
      </c>
    </row>
    <row r="57" spans="1:8">
      <c r="A57" s="57" t="s">
        <v>164</v>
      </c>
      <c r="B57" s="58"/>
      <c r="C57" s="25"/>
      <c r="D57" s="25"/>
      <c r="E57" s="25"/>
      <c r="F57" s="25"/>
      <c r="G57" s="25"/>
      <c r="H57" s="17"/>
    </row>
    <row r="58" spans="1:8">
      <c r="A58" s="5"/>
      <c r="B58" s="5"/>
      <c r="C58" s="5"/>
      <c r="D58" s="5"/>
      <c r="E58" s="5"/>
      <c r="F58" s="5"/>
      <c r="G58" s="5"/>
      <c r="H58" s="5"/>
    </row>
    <row r="59" spans="1:8">
      <c r="A59" s="5"/>
      <c r="B59" s="5"/>
      <c r="C59" s="5"/>
      <c r="D59" s="5"/>
      <c r="E59" s="5"/>
      <c r="F59" s="5"/>
      <c r="G59" s="5"/>
      <c r="H59" s="5"/>
    </row>
    <row r="60" spans="1:8">
      <c r="A60" s="5"/>
      <c r="B60" s="5"/>
      <c r="C60" s="5"/>
      <c r="D60" s="5"/>
      <c r="E60" s="5"/>
      <c r="F60" s="5"/>
      <c r="G60" s="5"/>
      <c r="H60" s="5"/>
    </row>
    <row r="61" spans="1:8">
      <c r="A61" s="5"/>
      <c r="B61" s="5"/>
      <c r="C61" s="5"/>
      <c r="D61" s="5"/>
      <c r="E61" s="5"/>
      <c r="F61" s="5"/>
      <c r="G61" s="5"/>
      <c r="H61" s="5"/>
    </row>
    <row r="62" spans="1:8">
      <c r="A62" s="5"/>
      <c r="B62" s="5"/>
      <c r="C62" s="5"/>
      <c r="D62" s="5"/>
      <c r="E62" s="5"/>
      <c r="F62" s="5"/>
      <c r="G62" s="5"/>
      <c r="H62" s="5"/>
    </row>
    <row r="63" spans="1:8">
      <c r="A63" s="5"/>
      <c r="B63" s="5"/>
      <c r="C63" s="5"/>
      <c r="D63" s="5"/>
      <c r="E63" s="5"/>
      <c r="F63" s="5"/>
      <c r="G63" s="5"/>
      <c r="H63" s="5"/>
    </row>
    <row r="64" spans="1:8">
      <c r="A64" s="5"/>
      <c r="B64" s="5"/>
      <c r="C64" s="5"/>
      <c r="D64" s="5"/>
      <c r="E64" s="5"/>
      <c r="F64" s="5"/>
      <c r="G64" s="5"/>
      <c r="H64" s="5"/>
    </row>
    <row r="65" spans="1:8">
      <c r="A65" s="5"/>
      <c r="B65" s="5"/>
      <c r="C65" s="5"/>
      <c r="D65" s="5"/>
      <c r="E65" s="5"/>
      <c r="F65" s="5"/>
      <c r="G65" s="5"/>
      <c r="H65" s="5"/>
    </row>
    <row r="66" spans="1:8">
      <c r="A66" s="5"/>
      <c r="B66" s="5"/>
      <c r="C66" s="5"/>
      <c r="D66" s="5"/>
      <c r="E66" s="5"/>
      <c r="F66" s="5"/>
      <c r="G66" s="5"/>
      <c r="H66" s="5"/>
    </row>
    <row r="67" spans="1:8">
      <c r="A67" s="5"/>
      <c r="B67" s="5"/>
      <c r="C67" s="5"/>
      <c r="D67" s="5"/>
      <c r="E67" s="5"/>
      <c r="F67" s="5"/>
      <c r="G67" s="5"/>
      <c r="H67" s="5"/>
    </row>
    <row r="68" spans="1:8">
      <c r="A68" s="5"/>
      <c r="B68" s="5"/>
      <c r="C68" s="5"/>
      <c r="D68" s="5"/>
      <c r="E68" s="5"/>
      <c r="F68" s="5"/>
      <c r="G68" s="5"/>
      <c r="H68" s="5"/>
    </row>
    <row r="69" spans="1:8">
      <c r="A69" s="5"/>
      <c r="B69" s="5"/>
      <c r="C69" s="5"/>
      <c r="D69" s="5"/>
      <c r="E69" s="5"/>
      <c r="F69" s="5"/>
      <c r="G69" s="5"/>
      <c r="H69" s="5"/>
    </row>
    <row r="70" spans="1:8">
      <c r="A70" s="5"/>
      <c r="B70" s="5"/>
      <c r="C70" s="5"/>
      <c r="D70" s="5"/>
      <c r="E70" s="5"/>
      <c r="F70" s="5"/>
      <c r="G70" s="5"/>
      <c r="H70" s="5"/>
    </row>
    <row r="71" spans="1:8">
      <c r="A71" s="5"/>
      <c r="B71" s="5"/>
      <c r="C71" s="5"/>
      <c r="D71" s="5"/>
      <c r="E71" s="5"/>
      <c r="F71" s="5"/>
      <c r="G71" s="5"/>
      <c r="H71" s="5"/>
    </row>
    <row r="72" spans="1:8">
      <c r="A72" s="5"/>
      <c r="B72" s="5"/>
      <c r="C72" s="5"/>
      <c r="D72" s="5"/>
      <c r="E72" s="5"/>
      <c r="F72" s="5"/>
      <c r="G72" s="5"/>
      <c r="H72" s="5"/>
    </row>
    <row r="73" spans="1:8">
      <c r="A73" s="5"/>
      <c r="B73" s="5"/>
      <c r="C73" s="5"/>
      <c r="D73" s="5"/>
      <c r="E73" s="5"/>
      <c r="F73" s="5"/>
      <c r="G73" s="5"/>
      <c r="H73" s="5"/>
    </row>
    <row r="74" spans="1:8">
      <c r="A74" s="5"/>
      <c r="B74" s="5"/>
      <c r="C74" s="5"/>
      <c r="D74" s="5"/>
      <c r="E74" s="5"/>
      <c r="F74" s="5"/>
      <c r="G74" s="5"/>
      <c r="H74" s="5"/>
    </row>
    <row r="75" spans="1:8">
      <c r="A75" s="5"/>
      <c r="B75" s="5"/>
      <c r="C75" s="5"/>
      <c r="D75" s="5"/>
      <c r="E75" s="5"/>
      <c r="F75" s="5"/>
      <c r="G75" s="5"/>
      <c r="H75" s="5"/>
    </row>
    <row r="76" spans="1:8">
      <c r="A76" s="5"/>
      <c r="B76" s="5"/>
      <c r="C76" s="5"/>
      <c r="D76" s="5"/>
      <c r="E76" s="5"/>
      <c r="F76" s="5"/>
      <c r="G76" s="5"/>
      <c r="H76" s="5"/>
    </row>
    <row r="77" spans="1:8">
      <c r="A77" s="5"/>
      <c r="B77" s="5"/>
      <c r="C77" s="5"/>
      <c r="D77" s="5"/>
      <c r="E77" s="5"/>
      <c r="F77" s="5"/>
      <c r="G77" s="5"/>
      <c r="H77" s="5"/>
    </row>
    <row r="78" spans="1:8">
      <c r="A78" s="5"/>
      <c r="B78" s="5"/>
      <c r="C78" s="5"/>
      <c r="D78" s="5"/>
      <c r="E78" s="5"/>
      <c r="F78" s="5"/>
      <c r="G78" s="5"/>
      <c r="H78" s="5"/>
    </row>
    <row r="79" spans="1:8">
      <c r="A79" s="5"/>
      <c r="B79" s="5"/>
      <c r="C79" s="5"/>
      <c r="D79" s="5"/>
      <c r="E79" s="5"/>
      <c r="F79" s="5"/>
      <c r="G79" s="5"/>
      <c r="H79" s="5"/>
    </row>
    <row r="80" spans="1:8">
      <c r="A80" s="5"/>
      <c r="B80" s="5"/>
      <c r="C80" s="5"/>
      <c r="D80" s="5"/>
      <c r="E80" s="5"/>
      <c r="F80" s="5"/>
      <c r="G80" s="5"/>
      <c r="H80" s="5"/>
    </row>
  </sheetData>
  <phoneticPr fontId="0" type="noConversion"/>
  <pageMargins left="0.78740157499999996" right="0.78740157499999996" top="0.984251969" bottom="0.984251969" header="0.49212598499999999" footer="0.49212598499999999"/>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pageSetUpPr fitToPage="1"/>
  </sheetPr>
  <dimension ref="A1:L411"/>
  <sheetViews>
    <sheetView showGridLines="0" zoomScaleNormal="100" workbookViewId="0">
      <pane ySplit="2595" topLeftCell="A98" activePane="bottomLeft"/>
      <selection activeCell="A72" sqref="A72"/>
      <selection pane="bottomLeft" activeCell="H111" sqref="H111"/>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11" ht="21" customHeight="1">
      <c r="B1" s="708"/>
      <c r="C1" s="1417" t="s">
        <v>385</v>
      </c>
      <c r="D1" s="1417"/>
      <c r="E1" s="1417"/>
      <c r="F1" s="1417"/>
      <c r="G1" s="1417"/>
      <c r="H1" s="1417"/>
    </row>
    <row r="2" spans="1:11" ht="15" customHeight="1">
      <c r="A2" s="708"/>
      <c r="B2" s="708"/>
      <c r="C2" s="1417"/>
      <c r="D2" s="1417"/>
      <c r="E2" s="1417"/>
      <c r="F2" s="1417"/>
      <c r="G2" s="1417"/>
      <c r="H2" s="1417"/>
    </row>
    <row r="3" spans="1:11" ht="15" customHeight="1" thickBot="1">
      <c r="A3" s="708"/>
      <c r="B3" s="708"/>
      <c r="C3" s="1418"/>
      <c r="D3" s="1418"/>
      <c r="E3" s="1418"/>
      <c r="F3" s="1418"/>
      <c r="G3" s="1418"/>
      <c r="H3" s="1418"/>
    </row>
    <row r="4" spans="1:11" ht="17.25" customHeight="1" thickBot="1">
      <c r="A4" s="1429" t="s">
        <v>337</v>
      </c>
      <c r="B4" s="1430"/>
      <c r="C4" s="1431"/>
      <c r="D4" s="1432" t="s">
        <v>349</v>
      </c>
      <c r="E4" s="1433"/>
      <c r="F4" s="1433"/>
      <c r="G4" s="1433"/>
      <c r="H4" s="1434"/>
    </row>
    <row r="5" spans="1:11" ht="15" customHeight="1" thickBot="1">
      <c r="A5" s="1421" t="s">
        <v>274</v>
      </c>
      <c r="B5" s="1422"/>
      <c r="C5" s="1423"/>
      <c r="D5" s="1424" t="s">
        <v>275</v>
      </c>
      <c r="E5" s="1425"/>
      <c r="F5" s="1425"/>
      <c r="G5" s="1426"/>
      <c r="H5" s="1427" t="s">
        <v>186</v>
      </c>
    </row>
    <row r="6" spans="1:11" ht="15.75" customHeight="1" thickBot="1">
      <c r="A6" s="831" t="s">
        <v>341</v>
      </c>
      <c r="B6" s="781" t="s">
        <v>64</v>
      </c>
      <c r="C6" s="781" t="s">
        <v>68</v>
      </c>
      <c r="D6" s="781" t="s">
        <v>342</v>
      </c>
      <c r="E6" s="781" t="s">
        <v>343</v>
      </c>
      <c r="F6" s="781" t="s">
        <v>344</v>
      </c>
      <c r="G6" s="781" t="s">
        <v>345</v>
      </c>
      <c r="H6" s="1428"/>
    </row>
    <row r="7" spans="1:11" ht="15.75" customHeight="1" thickBot="1">
      <c r="A7" s="1435" t="s">
        <v>347</v>
      </c>
      <c r="B7" s="1436"/>
      <c r="C7" s="956"/>
      <c r="D7" s="956"/>
      <c r="E7" s="956"/>
      <c r="F7" s="956"/>
      <c r="G7" s="956"/>
      <c r="H7" s="957"/>
    </row>
    <row r="8" spans="1:11">
      <c r="A8" s="1013" t="s">
        <v>497</v>
      </c>
      <c r="B8" s="865">
        <f>[117]media_12!$D$9</f>
        <v>4.0679999999999996</v>
      </c>
      <c r="C8" s="865">
        <f t="shared" ref="C8:C29" si="0">100*B8/$B$8</f>
        <v>100</v>
      </c>
      <c r="D8" s="852"/>
      <c r="E8" s="852"/>
      <c r="F8" s="852"/>
      <c r="G8" s="866"/>
      <c r="H8" s="867">
        <f>$B$110/B8</f>
        <v>0.44829564077351702</v>
      </c>
      <c r="I8" s="718"/>
      <c r="J8" s="718"/>
      <c r="K8" s="718"/>
    </row>
    <row r="9" spans="1:11">
      <c r="A9" s="1014" t="s">
        <v>498</v>
      </c>
      <c r="B9" s="869">
        <f>[118]media_12!$D$9</f>
        <v>4.0980000000000008</v>
      </c>
      <c r="C9" s="869">
        <f t="shared" si="0"/>
        <v>100.73746312684368</v>
      </c>
      <c r="D9" s="961">
        <f t="shared" ref="D9:D29" si="1">100*((B9/B8)-1)</f>
        <v>0.73746312684368487</v>
      </c>
      <c r="E9" s="961">
        <f>100*((B9/$B$8)-1)</f>
        <v>0.73746312684368487</v>
      </c>
      <c r="F9" s="961"/>
      <c r="G9" s="962"/>
      <c r="H9" s="871">
        <f>$B$110/B9</f>
        <v>0.4450138278835204</v>
      </c>
      <c r="I9" s="718"/>
      <c r="J9" s="718"/>
      <c r="K9" s="718"/>
    </row>
    <row r="10" spans="1:11">
      <c r="A10" s="1014" t="s">
        <v>499</v>
      </c>
      <c r="B10" s="869">
        <f>[119]media_12!$D$9</f>
        <v>4.1070000000000002</v>
      </c>
      <c r="C10" s="869">
        <f t="shared" si="0"/>
        <v>100.95870206489677</v>
      </c>
      <c r="D10" s="961">
        <f t="shared" si="1"/>
        <v>0.21961932650071958</v>
      </c>
      <c r="E10" s="961">
        <f t="shared" ref="E10:E17" si="2">100*((B10/$B$8)-1)</f>
        <v>0.9587020648967659</v>
      </c>
      <c r="F10" s="961"/>
      <c r="G10" s="962"/>
      <c r="H10" s="871">
        <f t="shared" ref="H10:H73" si="3">$B$110/B10</f>
        <v>0.4440386332278225</v>
      </c>
      <c r="I10" s="718"/>
      <c r="J10" s="718"/>
      <c r="K10" s="718"/>
    </row>
    <row r="11" spans="1:11">
      <c r="A11" s="1014" t="s">
        <v>500</v>
      </c>
      <c r="B11" s="869">
        <f>[120]media_12!$D$9</f>
        <v>4.1020000000000003</v>
      </c>
      <c r="C11" s="869">
        <f t="shared" si="0"/>
        <v>100.83579154375617</v>
      </c>
      <c r="D11" s="961">
        <f t="shared" si="1"/>
        <v>-0.12174336498660399</v>
      </c>
      <c r="E11" s="961">
        <f t="shared" si="2"/>
        <v>0.83579154375617026</v>
      </c>
      <c r="F11" s="961"/>
      <c r="G11" s="962"/>
      <c r="H11" s="871">
        <f t="shared" si="3"/>
        <v>0.44457987973346341</v>
      </c>
      <c r="I11" s="718"/>
      <c r="J11" s="718"/>
      <c r="K11" s="718"/>
    </row>
    <row r="12" spans="1:11">
      <c r="A12" s="1014" t="s">
        <v>501</v>
      </c>
      <c r="B12" s="869">
        <f>[57]media_12!$D$9</f>
        <v>4.1020000000000003</v>
      </c>
      <c r="C12" s="869">
        <f t="shared" si="0"/>
        <v>100.83579154375617</v>
      </c>
      <c r="D12" s="961">
        <f t="shared" si="1"/>
        <v>0</v>
      </c>
      <c r="E12" s="961">
        <f t="shared" si="2"/>
        <v>0.83579154375617026</v>
      </c>
      <c r="F12" s="961"/>
      <c r="G12" s="962"/>
      <c r="H12" s="871">
        <f t="shared" si="3"/>
        <v>0.44457987973346341</v>
      </c>
      <c r="I12" s="718"/>
      <c r="J12" s="718"/>
      <c r="K12" s="718"/>
    </row>
    <row r="13" spans="1:11">
      <c r="A13" s="1014" t="s">
        <v>502</v>
      </c>
      <c r="B13" s="869">
        <f>[66]media_12!$D$9</f>
        <v>4.1539999999999999</v>
      </c>
      <c r="C13" s="869">
        <f t="shared" si="0"/>
        <v>102.11406096361848</v>
      </c>
      <c r="D13" s="961">
        <f t="shared" si="1"/>
        <v>1.2676743052169481</v>
      </c>
      <c r="E13" s="961">
        <f t="shared" si="2"/>
        <v>2.1140609636185026</v>
      </c>
      <c r="F13" s="961"/>
      <c r="G13" s="962"/>
      <c r="H13" s="871">
        <f t="shared" si="3"/>
        <v>0.43901460439736811</v>
      </c>
      <c r="I13" s="718"/>
      <c r="J13" s="718"/>
      <c r="K13" s="718"/>
    </row>
    <row r="14" spans="1:11">
      <c r="A14" s="1014" t="s">
        <v>503</v>
      </c>
      <c r="B14" s="869">
        <f>[75]media_12!$D$9</f>
        <v>4.1980000000000004</v>
      </c>
      <c r="C14" s="869">
        <f t="shared" si="0"/>
        <v>103.19567354965588</v>
      </c>
      <c r="D14" s="961">
        <f t="shared" si="1"/>
        <v>1.0592200288878306</v>
      </c>
      <c r="E14" s="961">
        <f t="shared" si="2"/>
        <v>3.1956735496558641</v>
      </c>
      <c r="F14" s="961"/>
      <c r="G14" s="962"/>
      <c r="H14" s="871">
        <f t="shared" si="3"/>
        <v>0.43441321264094018</v>
      </c>
      <c r="I14" s="718"/>
      <c r="J14" s="718"/>
      <c r="K14" s="718"/>
    </row>
    <row r="15" spans="1:11">
      <c r="A15" s="1014" t="s">
        <v>504</v>
      </c>
      <c r="B15" s="869">
        <f>[83]media_12!$D$9</f>
        <v>4.1980000000000004</v>
      </c>
      <c r="C15" s="869">
        <f t="shared" si="0"/>
        <v>103.19567354965588</v>
      </c>
      <c r="D15" s="961">
        <f t="shared" si="1"/>
        <v>0</v>
      </c>
      <c r="E15" s="961">
        <f t="shared" si="2"/>
        <v>3.1956735496558641</v>
      </c>
      <c r="F15" s="961"/>
      <c r="G15" s="962"/>
      <c r="H15" s="871">
        <f t="shared" si="3"/>
        <v>0.43441321264094018</v>
      </c>
      <c r="I15" s="718"/>
      <c r="J15" s="718"/>
      <c r="K15" s="718"/>
    </row>
    <row r="16" spans="1:11">
      <c r="A16" s="1014" t="s">
        <v>505</v>
      </c>
      <c r="B16" s="869">
        <f>[91]media_12!$D$9</f>
        <v>4.0980000000000008</v>
      </c>
      <c r="C16" s="869">
        <f t="shared" si="0"/>
        <v>100.73746312684368</v>
      </c>
      <c r="D16" s="961">
        <f t="shared" si="1"/>
        <v>-2.3820867079561658</v>
      </c>
      <c r="E16" s="961">
        <f t="shared" si="2"/>
        <v>0.73746312684368487</v>
      </c>
      <c r="F16" s="961"/>
      <c r="G16" s="962"/>
      <c r="H16" s="871">
        <f t="shared" si="3"/>
        <v>0.4450138278835204</v>
      </c>
      <c r="I16" s="769"/>
      <c r="J16" s="718"/>
      <c r="K16" s="718"/>
    </row>
    <row r="17" spans="1:11">
      <c r="A17" s="1014" t="s">
        <v>506</v>
      </c>
      <c r="B17" s="869">
        <f>[99]media_12!$D$9</f>
        <v>4.0980000000000008</v>
      </c>
      <c r="C17" s="869">
        <f t="shared" si="0"/>
        <v>100.73746312684368</v>
      </c>
      <c r="D17" s="961">
        <f t="shared" si="1"/>
        <v>0</v>
      </c>
      <c r="E17" s="961">
        <f t="shared" si="2"/>
        <v>0.73746312684368487</v>
      </c>
      <c r="F17" s="961"/>
      <c r="G17" s="962"/>
      <c r="H17" s="871">
        <f t="shared" si="3"/>
        <v>0.4450138278835204</v>
      </c>
      <c r="I17" s="769"/>
      <c r="J17" s="718"/>
      <c r="K17" s="718"/>
    </row>
    <row r="18" spans="1:11">
      <c r="A18" s="1014" t="s">
        <v>507</v>
      </c>
      <c r="B18" s="869">
        <f>[9]media_12!$D$9</f>
        <v>4.0980000000000008</v>
      </c>
      <c r="C18" s="869">
        <f t="shared" si="0"/>
        <v>100.73746312684368</v>
      </c>
      <c r="D18" s="961">
        <f t="shared" si="1"/>
        <v>0</v>
      </c>
      <c r="E18" s="961">
        <f>100*((B18/$B$17)-1)</f>
        <v>0</v>
      </c>
      <c r="F18" s="961"/>
      <c r="G18" s="962"/>
      <c r="H18" s="871">
        <f t="shared" si="3"/>
        <v>0.4450138278835204</v>
      </c>
      <c r="I18" s="769"/>
      <c r="J18" s="718"/>
      <c r="K18" s="718"/>
    </row>
    <row r="19" spans="1:11">
      <c r="A19" s="1014" t="s">
        <v>508</v>
      </c>
      <c r="B19" s="869">
        <f>[17]media_12!$D$9</f>
        <v>4.0980000000000008</v>
      </c>
      <c r="C19" s="869">
        <f t="shared" si="0"/>
        <v>100.73746312684368</v>
      </c>
      <c r="D19" s="961">
        <f t="shared" si="1"/>
        <v>0</v>
      </c>
      <c r="E19" s="961">
        <f t="shared" ref="E19:E29" si="4">100*((B19/$B$17)-1)</f>
        <v>0</v>
      </c>
      <c r="F19" s="961"/>
      <c r="G19" s="962"/>
      <c r="H19" s="871">
        <f t="shared" si="3"/>
        <v>0.4450138278835204</v>
      </c>
      <c r="I19" s="769"/>
      <c r="J19" s="718"/>
      <c r="K19" s="718"/>
    </row>
    <row r="20" spans="1:11">
      <c r="A20" s="1014" t="s">
        <v>509</v>
      </c>
      <c r="B20" s="869">
        <f>[25]media_12!$D$9</f>
        <v>4.0980000000000008</v>
      </c>
      <c r="C20" s="869">
        <f t="shared" si="0"/>
        <v>100.73746312684368</v>
      </c>
      <c r="D20" s="961">
        <f t="shared" si="1"/>
        <v>0</v>
      </c>
      <c r="E20" s="961">
        <f t="shared" si="4"/>
        <v>0</v>
      </c>
      <c r="F20" s="965">
        <f t="shared" ref="F20:F29" si="5">100*((B20/B8)-1)</f>
        <v>0.73746312684368487</v>
      </c>
      <c r="G20" s="966"/>
      <c r="H20" s="871">
        <f t="shared" si="3"/>
        <v>0.4450138278835204</v>
      </c>
      <c r="I20" s="769"/>
      <c r="J20" s="718"/>
      <c r="K20" s="718"/>
    </row>
    <row r="21" spans="1:11">
      <c r="A21" s="1014" t="s">
        <v>510</v>
      </c>
      <c r="B21" s="869">
        <f>[33]media_12!$D$9</f>
        <v>4.0980000000000008</v>
      </c>
      <c r="C21" s="869">
        <f t="shared" si="0"/>
        <v>100.73746312684368</v>
      </c>
      <c r="D21" s="961">
        <f t="shared" si="1"/>
        <v>0</v>
      </c>
      <c r="E21" s="961">
        <f t="shared" si="4"/>
        <v>0</v>
      </c>
      <c r="F21" s="965">
        <f t="shared" si="5"/>
        <v>0</v>
      </c>
      <c r="G21" s="966"/>
      <c r="H21" s="871">
        <f t="shared" si="3"/>
        <v>0.4450138278835204</v>
      </c>
      <c r="I21" s="769"/>
      <c r="J21" s="718"/>
      <c r="K21" s="718"/>
    </row>
    <row r="22" spans="1:11">
      <c r="A22" s="1014" t="s">
        <v>511</v>
      </c>
      <c r="B22" s="869">
        <f>[41]media_12!$D$9</f>
        <v>4.0980000000000008</v>
      </c>
      <c r="C22" s="869">
        <f t="shared" si="0"/>
        <v>100.73746312684368</v>
      </c>
      <c r="D22" s="961">
        <f t="shared" si="1"/>
        <v>0</v>
      </c>
      <c r="E22" s="961">
        <f t="shared" si="4"/>
        <v>0</v>
      </c>
      <c r="F22" s="965">
        <f t="shared" si="5"/>
        <v>-0.21913805697587607</v>
      </c>
      <c r="G22" s="966"/>
      <c r="H22" s="871">
        <f t="shared" si="3"/>
        <v>0.4450138278835204</v>
      </c>
      <c r="I22" s="769"/>
      <c r="J22" s="718"/>
      <c r="K22" s="718"/>
    </row>
    <row r="23" spans="1:11">
      <c r="A23" s="1014" t="s">
        <v>512</v>
      </c>
      <c r="B23" s="869">
        <f>[49]media_12!$D$9</f>
        <v>4.0980000000000008</v>
      </c>
      <c r="C23" s="869">
        <f t="shared" si="0"/>
        <v>100.73746312684368</v>
      </c>
      <c r="D23" s="961">
        <f t="shared" si="1"/>
        <v>0</v>
      </c>
      <c r="E23" s="961">
        <f t="shared" si="4"/>
        <v>0</v>
      </c>
      <c r="F23" s="965">
        <f t="shared" si="5"/>
        <v>-9.7513408093596876E-2</v>
      </c>
      <c r="G23" s="966"/>
      <c r="H23" s="871">
        <f t="shared" si="3"/>
        <v>0.4450138278835204</v>
      </c>
      <c r="I23" s="718"/>
      <c r="J23" s="718"/>
      <c r="K23" s="718"/>
    </row>
    <row r="24" spans="1:11">
      <c r="A24" s="1014" t="s">
        <v>513</v>
      </c>
      <c r="B24" s="869">
        <f>[58]media_12!$D$9</f>
        <v>3.8880000000000003</v>
      </c>
      <c r="C24" s="869">
        <f t="shared" si="0"/>
        <v>95.57522123893807</v>
      </c>
      <c r="D24" s="961">
        <f t="shared" si="1"/>
        <v>-5.1244509516837571</v>
      </c>
      <c r="E24" s="961">
        <f t="shared" si="4"/>
        <v>-5.1244509516837571</v>
      </c>
      <c r="F24" s="965">
        <f t="shared" si="5"/>
        <v>-5.2169673330082826</v>
      </c>
      <c r="G24" s="966"/>
      <c r="H24" s="871">
        <f t="shared" si="3"/>
        <v>0.46905006858710568</v>
      </c>
      <c r="I24" s="718"/>
      <c r="J24" s="718"/>
      <c r="K24" s="718"/>
    </row>
    <row r="25" spans="1:11">
      <c r="A25" s="1014" t="s">
        <v>514</v>
      </c>
      <c r="B25" s="869">
        <f>[67]media_12!$D$9</f>
        <v>3.8880000000000003</v>
      </c>
      <c r="C25" s="869">
        <f t="shared" si="0"/>
        <v>95.57522123893807</v>
      </c>
      <c r="D25" s="961">
        <f t="shared" si="1"/>
        <v>0</v>
      </c>
      <c r="E25" s="961">
        <f t="shared" si="4"/>
        <v>-5.1244509516837571</v>
      </c>
      <c r="F25" s="965">
        <f t="shared" si="5"/>
        <v>-6.4034665382763478</v>
      </c>
      <c r="G25" s="966"/>
      <c r="H25" s="871">
        <f t="shared" si="3"/>
        <v>0.46905006858710568</v>
      </c>
      <c r="I25" s="718"/>
      <c r="J25" s="718"/>
      <c r="K25" s="718"/>
    </row>
    <row r="26" spans="1:11">
      <c r="A26" s="1014" t="s">
        <v>515</v>
      </c>
      <c r="B26" s="869">
        <f>[76]media_12!$D$9</f>
        <v>3.8880000000000003</v>
      </c>
      <c r="C26" s="869">
        <f t="shared" si="0"/>
        <v>95.57522123893807</v>
      </c>
      <c r="D26" s="961">
        <f t="shared" si="1"/>
        <v>0</v>
      </c>
      <c r="E26" s="961">
        <f t="shared" si="4"/>
        <v>-5.1244509516837571</v>
      </c>
      <c r="F26" s="965">
        <f t="shared" si="5"/>
        <v>-7.384468794664123</v>
      </c>
      <c r="G26" s="966"/>
      <c r="H26" s="871">
        <f t="shared" si="3"/>
        <v>0.46905006858710568</v>
      </c>
      <c r="I26" s="718"/>
      <c r="J26" s="718"/>
      <c r="K26" s="718"/>
    </row>
    <row r="27" spans="1:11">
      <c r="A27" s="1014" t="s">
        <v>516</v>
      </c>
      <c r="B27" s="869">
        <f>[84]media_12!$D$9</f>
        <v>3.8880000000000003</v>
      </c>
      <c r="C27" s="869">
        <f t="shared" si="0"/>
        <v>95.57522123893807</v>
      </c>
      <c r="D27" s="961">
        <f t="shared" si="1"/>
        <v>0</v>
      </c>
      <c r="E27" s="961">
        <f t="shared" si="4"/>
        <v>-5.1244509516837571</v>
      </c>
      <c r="F27" s="965">
        <f t="shared" si="5"/>
        <v>-7.384468794664123</v>
      </c>
      <c r="G27" s="966"/>
      <c r="H27" s="871">
        <f t="shared" si="3"/>
        <v>0.46905006858710568</v>
      </c>
      <c r="I27" s="718"/>
      <c r="J27" s="718"/>
      <c r="K27" s="718"/>
    </row>
    <row r="28" spans="1:11">
      <c r="A28" s="1014" t="s">
        <v>517</v>
      </c>
      <c r="B28" s="869">
        <f>[92]media_12!$D$9</f>
        <v>3.8880000000000003</v>
      </c>
      <c r="C28" s="869">
        <f t="shared" si="0"/>
        <v>95.57522123893807</v>
      </c>
      <c r="D28" s="961">
        <f t="shared" si="1"/>
        <v>0</v>
      </c>
      <c r="E28" s="961">
        <f t="shared" si="4"/>
        <v>-5.1244509516837571</v>
      </c>
      <c r="F28" s="965">
        <f t="shared" si="5"/>
        <v>-5.1244509516837571</v>
      </c>
      <c r="G28" s="966"/>
      <c r="H28" s="871">
        <f t="shared" si="3"/>
        <v>0.46905006858710568</v>
      </c>
      <c r="I28" s="718"/>
      <c r="J28" s="718"/>
      <c r="K28" s="718"/>
    </row>
    <row r="29" spans="1:11">
      <c r="A29" s="1014" t="s">
        <v>518</v>
      </c>
      <c r="B29" s="869">
        <f>[100]media_12!$D$8</f>
        <v>3.8880000000000003</v>
      </c>
      <c r="C29" s="869">
        <f t="shared" si="0"/>
        <v>95.57522123893807</v>
      </c>
      <c r="D29" s="961">
        <f t="shared" si="1"/>
        <v>0</v>
      </c>
      <c r="E29" s="961">
        <f t="shared" si="4"/>
        <v>-5.1244509516837571</v>
      </c>
      <c r="F29" s="965">
        <f t="shared" si="5"/>
        <v>-5.1244509516837571</v>
      </c>
      <c r="G29" s="966"/>
      <c r="H29" s="871">
        <f t="shared" si="3"/>
        <v>0.46905006858710568</v>
      </c>
      <c r="I29" s="718"/>
      <c r="J29" s="718"/>
      <c r="K29" s="718"/>
    </row>
    <row r="30" spans="1:11">
      <c r="A30" s="1014" t="s">
        <v>519</v>
      </c>
      <c r="B30" s="869">
        <f>[10]media_12!$D$8</f>
        <v>4.0589999999999993</v>
      </c>
      <c r="C30" s="869">
        <f t="shared" ref="C30:C35" si="6">100*B30/$B$8</f>
        <v>99.778761061946895</v>
      </c>
      <c r="D30" s="961">
        <f t="shared" ref="D30:D35" si="7">100*((B30/B29)-1)</f>
        <v>4.3981481481481177</v>
      </c>
      <c r="E30" s="961">
        <f t="shared" ref="E30:E35" si="8">100*((B30/$B$29)-1)</f>
        <v>4.3981481481481177</v>
      </c>
      <c r="F30" s="965">
        <f t="shared" ref="F30:F35" si="9">100*((B30/B18)-1)</f>
        <v>-0.95168374816987367</v>
      </c>
      <c r="G30" s="966"/>
      <c r="H30" s="871">
        <f t="shared" si="3"/>
        <v>0.4492896444115958</v>
      </c>
      <c r="I30" s="769"/>
      <c r="J30" s="718"/>
      <c r="K30" s="718"/>
    </row>
    <row r="31" spans="1:11">
      <c r="A31" s="1014" t="s">
        <v>520</v>
      </c>
      <c r="B31" s="869">
        <f>[18]media_12!$D$8</f>
        <v>4.0589999999999993</v>
      </c>
      <c r="C31" s="869">
        <f t="shared" si="6"/>
        <v>99.778761061946895</v>
      </c>
      <c r="D31" s="961">
        <f t="shared" si="7"/>
        <v>0</v>
      </c>
      <c r="E31" s="961">
        <f t="shared" si="8"/>
        <v>4.3981481481481177</v>
      </c>
      <c r="F31" s="965">
        <f t="shared" si="9"/>
        <v>-0.95168374816987367</v>
      </c>
      <c r="G31" s="966"/>
      <c r="H31" s="871">
        <f t="shared" si="3"/>
        <v>0.4492896444115958</v>
      </c>
      <c r="I31" s="718"/>
      <c r="J31" s="718"/>
      <c r="K31" s="718"/>
    </row>
    <row r="32" spans="1:11">
      <c r="A32" s="1014" t="s">
        <v>521</v>
      </c>
      <c r="B32" s="869">
        <f>[26]media_12!$D$8</f>
        <v>3.3914285714285719</v>
      </c>
      <c r="C32" s="869">
        <f t="shared" si="6"/>
        <v>83.368450625087803</v>
      </c>
      <c r="D32" s="961">
        <f t="shared" si="7"/>
        <v>-16.44669693450178</v>
      </c>
      <c r="E32" s="961">
        <f t="shared" si="8"/>
        <v>-12.771898883009991</v>
      </c>
      <c r="F32" s="965">
        <f t="shared" si="9"/>
        <v>-17.241860140835254</v>
      </c>
      <c r="G32" s="966">
        <f t="shared" ref="G32:G37" si="10">100*((C32/C8)-1)</f>
        <v>-16.631549374912204</v>
      </c>
      <c r="H32" s="871">
        <f t="shared" si="3"/>
        <v>0.53772816624543673</v>
      </c>
      <c r="I32" s="718"/>
      <c r="J32" s="718"/>
      <c r="K32" s="718"/>
    </row>
    <row r="33" spans="1:11">
      <c r="A33" s="1014" t="s">
        <v>522</v>
      </c>
      <c r="B33" s="869">
        <f>[34]media_12!$D$8</f>
        <v>3.3914285714285719</v>
      </c>
      <c r="C33" s="869">
        <f t="shared" si="6"/>
        <v>83.368450625087803</v>
      </c>
      <c r="D33" s="961">
        <f t="shared" si="7"/>
        <v>0</v>
      </c>
      <c r="E33" s="961">
        <f t="shared" si="8"/>
        <v>-12.771898883009991</v>
      </c>
      <c r="F33" s="965">
        <f t="shared" si="9"/>
        <v>-17.241860140835254</v>
      </c>
      <c r="G33" s="966">
        <f t="shared" si="10"/>
        <v>-17.241860140835264</v>
      </c>
      <c r="H33" s="871">
        <f t="shared" si="3"/>
        <v>0.53772816624543673</v>
      </c>
      <c r="I33" s="718"/>
      <c r="J33" s="718"/>
      <c r="K33" s="718"/>
    </row>
    <row r="34" spans="1:11">
      <c r="A34" s="1014" t="s">
        <v>523</v>
      </c>
      <c r="B34" s="869">
        <f>[42]media_12!$D$8</f>
        <v>3.3200000000000003</v>
      </c>
      <c r="C34" s="869">
        <f t="shared" si="6"/>
        <v>81.612586037364807</v>
      </c>
      <c r="D34" s="961">
        <f t="shared" si="7"/>
        <v>-2.1061499578770015</v>
      </c>
      <c r="E34" s="961">
        <f t="shared" si="8"/>
        <v>-14.609053497942392</v>
      </c>
      <c r="F34" s="965">
        <f t="shared" si="9"/>
        <v>-18.984870668618846</v>
      </c>
      <c r="G34" s="966">
        <f t="shared" si="10"/>
        <v>-19.162405648892133</v>
      </c>
      <c r="H34" s="871">
        <f t="shared" si="3"/>
        <v>0.54929718875502009</v>
      </c>
      <c r="I34" s="718"/>
      <c r="J34" s="718"/>
      <c r="K34" s="718"/>
    </row>
    <row r="35" spans="1:11">
      <c r="A35" s="1014" t="s">
        <v>524</v>
      </c>
      <c r="B35" s="869">
        <f>[50]media_12!$D$8</f>
        <v>3.3914285714285719</v>
      </c>
      <c r="C35" s="869">
        <f t="shared" si="6"/>
        <v>83.368450625087803</v>
      </c>
      <c r="D35" s="961">
        <f t="shared" si="7"/>
        <v>2.1514629948364838</v>
      </c>
      <c r="E35" s="961">
        <f t="shared" si="8"/>
        <v>-12.771898883009991</v>
      </c>
      <c r="F35" s="965">
        <f t="shared" si="9"/>
        <v>-17.241860140835254</v>
      </c>
      <c r="G35" s="966">
        <f t="shared" si="10"/>
        <v>-17.322560423486809</v>
      </c>
      <c r="H35" s="871">
        <f t="shared" si="3"/>
        <v>0.53772816624543673</v>
      </c>
      <c r="I35" s="718"/>
      <c r="J35" s="718"/>
      <c r="K35" s="718"/>
    </row>
    <row r="36" spans="1:11">
      <c r="A36" s="1014" t="s">
        <v>525</v>
      </c>
      <c r="B36" s="869">
        <f>[59]media_12!$D$8</f>
        <v>3.3914285714285719</v>
      </c>
      <c r="C36" s="869">
        <f t="shared" ref="C36:C41" si="11">100*B36/$B$8</f>
        <v>83.368450625087803</v>
      </c>
      <c r="D36" s="961">
        <f t="shared" ref="D36:D41" si="12">100*((B36/B35)-1)</f>
        <v>0</v>
      </c>
      <c r="E36" s="961">
        <f t="shared" ref="E36:E41" si="13">100*((B36/$B$29)-1)</f>
        <v>-12.771898883009991</v>
      </c>
      <c r="F36" s="965">
        <f t="shared" ref="F36:F41" si="14">100*((B36/B24)-1)</f>
        <v>-12.771898883009991</v>
      </c>
      <c r="G36" s="966">
        <f t="shared" si="10"/>
        <v>-17.322560423486809</v>
      </c>
      <c r="H36" s="871">
        <f t="shared" si="3"/>
        <v>0.53772816624543673</v>
      </c>
      <c r="I36" s="718"/>
      <c r="J36" s="718"/>
      <c r="K36" s="718"/>
    </row>
    <row r="37" spans="1:11">
      <c r="A37" s="1014" t="s">
        <v>526</v>
      </c>
      <c r="B37" s="869">
        <f>[68]media_12!$D$8</f>
        <v>2.94</v>
      </c>
      <c r="C37" s="869">
        <f t="shared" si="11"/>
        <v>72.271386430678476</v>
      </c>
      <c r="D37" s="961">
        <f t="shared" si="12"/>
        <v>-13.310867733782661</v>
      </c>
      <c r="E37" s="961">
        <f t="shared" si="13"/>
        <v>-24.382716049382726</v>
      </c>
      <c r="F37" s="965">
        <f t="shared" si="14"/>
        <v>-24.382716049382726</v>
      </c>
      <c r="G37" s="966">
        <f t="shared" si="10"/>
        <v>-29.224843524313904</v>
      </c>
      <c r="H37" s="871">
        <f t="shared" si="3"/>
        <v>0.62029478458049903</v>
      </c>
      <c r="I37" s="718"/>
      <c r="J37" s="718"/>
      <c r="K37" s="718"/>
    </row>
    <row r="38" spans="1:11">
      <c r="A38" s="1014" t="s">
        <v>527</v>
      </c>
      <c r="B38" s="869">
        <f>[77]media_12!$D$8</f>
        <v>2.94</v>
      </c>
      <c r="C38" s="869">
        <f t="shared" si="11"/>
        <v>72.271386430678476</v>
      </c>
      <c r="D38" s="961">
        <f t="shared" si="12"/>
        <v>0</v>
      </c>
      <c r="E38" s="961">
        <f t="shared" si="13"/>
        <v>-24.382716049382726</v>
      </c>
      <c r="F38" s="965">
        <f t="shared" si="14"/>
        <v>-24.382716049382726</v>
      </c>
      <c r="G38" s="966">
        <f t="shared" ref="G38:G43" si="15">100*((C38/C14)-1)</f>
        <v>-29.966650786088621</v>
      </c>
      <c r="H38" s="871">
        <f t="shared" si="3"/>
        <v>0.62029478458049903</v>
      </c>
      <c r="I38" s="718"/>
      <c r="J38" s="718"/>
      <c r="K38" s="718"/>
    </row>
    <row r="39" spans="1:11">
      <c r="A39" s="1014" t="s">
        <v>528</v>
      </c>
      <c r="B39" s="869">
        <f>[85]media_12!$D$8</f>
        <v>2.94</v>
      </c>
      <c r="C39" s="869">
        <f t="shared" si="11"/>
        <v>72.271386430678476</v>
      </c>
      <c r="D39" s="961">
        <f t="shared" si="12"/>
        <v>0</v>
      </c>
      <c r="E39" s="961">
        <f t="shared" si="13"/>
        <v>-24.382716049382726</v>
      </c>
      <c r="F39" s="965">
        <f t="shared" si="14"/>
        <v>-24.382716049382726</v>
      </c>
      <c r="G39" s="966">
        <f t="shared" si="15"/>
        <v>-29.966650786088621</v>
      </c>
      <c r="H39" s="871">
        <f t="shared" si="3"/>
        <v>0.62029478458049903</v>
      </c>
      <c r="I39" s="718"/>
      <c r="J39" s="718"/>
      <c r="K39" s="718"/>
    </row>
    <row r="40" spans="1:11">
      <c r="A40" s="1014" t="s">
        <v>529</v>
      </c>
      <c r="B40" s="869">
        <f>[93]media_12!$D$8</f>
        <v>2.94</v>
      </c>
      <c r="C40" s="869">
        <f t="shared" si="11"/>
        <v>72.271386430678476</v>
      </c>
      <c r="D40" s="961">
        <f t="shared" si="12"/>
        <v>0</v>
      </c>
      <c r="E40" s="961">
        <f t="shared" si="13"/>
        <v>-24.382716049382726</v>
      </c>
      <c r="F40" s="965">
        <f t="shared" si="14"/>
        <v>-24.382716049382726</v>
      </c>
      <c r="G40" s="966">
        <f t="shared" si="15"/>
        <v>-28.257686676427529</v>
      </c>
      <c r="H40" s="871">
        <f t="shared" si="3"/>
        <v>0.62029478458049903</v>
      </c>
      <c r="I40" s="718"/>
      <c r="J40" s="718"/>
      <c r="K40" s="718"/>
    </row>
    <row r="41" spans="1:11">
      <c r="A41" s="1014" t="s">
        <v>530</v>
      </c>
      <c r="B41" s="869">
        <f>[101]media_12!$D$8</f>
        <v>2.94</v>
      </c>
      <c r="C41" s="869">
        <f t="shared" si="11"/>
        <v>72.271386430678476</v>
      </c>
      <c r="D41" s="961">
        <f t="shared" si="12"/>
        <v>0</v>
      </c>
      <c r="E41" s="961">
        <f t="shared" si="13"/>
        <v>-24.382716049382726</v>
      </c>
      <c r="F41" s="965">
        <f t="shared" si="14"/>
        <v>-24.382716049382726</v>
      </c>
      <c r="G41" s="966">
        <f t="shared" si="15"/>
        <v>-28.257686676427529</v>
      </c>
      <c r="H41" s="871">
        <f t="shared" si="3"/>
        <v>0.62029478458049903</v>
      </c>
      <c r="I41" s="718"/>
      <c r="J41" s="718"/>
      <c r="K41" s="718"/>
    </row>
    <row r="42" spans="1:11">
      <c r="A42" s="1014" t="s">
        <v>531</v>
      </c>
      <c r="B42" s="869">
        <f>[11]media_12!$D$8</f>
        <v>2.9408333333333334</v>
      </c>
      <c r="C42" s="869">
        <f t="shared" ref="C42:C47" si="16">100*B42/$B$8</f>
        <v>72.291871517535242</v>
      </c>
      <c r="D42" s="961">
        <f t="shared" ref="D42:D47" si="17">100*((B42/B41)-1)</f>
        <v>2.8344671201807614E-2</v>
      </c>
      <c r="E42" s="961">
        <f t="shared" ref="E42:E47" si="18">100*((B42/$B$41)-1)</f>
        <v>2.8344671201807614E-2</v>
      </c>
      <c r="F42" s="965">
        <f t="shared" ref="F42:F47" si="19">100*((B42/B30)-1)</f>
        <v>-27.547836084421441</v>
      </c>
      <c r="G42" s="966">
        <f t="shared" si="15"/>
        <v>-28.237351553603396</v>
      </c>
      <c r="H42" s="871">
        <f t="shared" si="3"/>
        <v>0.62011901388495339</v>
      </c>
      <c r="I42" s="718"/>
      <c r="J42" s="718"/>
      <c r="K42" s="718"/>
    </row>
    <row r="43" spans="1:11">
      <c r="A43" s="1014" t="s">
        <v>649</v>
      </c>
      <c r="B43" s="869">
        <f>[19]media_12!$D$8</f>
        <v>3.0574999999999997</v>
      </c>
      <c r="C43" s="869">
        <f t="shared" si="16"/>
        <v>75.159783677482793</v>
      </c>
      <c r="D43" s="961">
        <f t="shared" si="17"/>
        <v>3.9671294984414684</v>
      </c>
      <c r="E43" s="961">
        <f t="shared" si="18"/>
        <v>3.9965986394557618</v>
      </c>
      <c r="F43" s="965">
        <f t="shared" si="19"/>
        <v>-24.673564917467349</v>
      </c>
      <c r="G43" s="966">
        <f t="shared" si="15"/>
        <v>-25.390434358223533</v>
      </c>
      <c r="H43" s="871">
        <f t="shared" si="3"/>
        <v>0.59645680021804326</v>
      </c>
      <c r="I43" s="718"/>
      <c r="J43" s="718"/>
      <c r="K43" s="718"/>
    </row>
    <row r="44" spans="1:11">
      <c r="A44" s="1014" t="s">
        <v>650</v>
      </c>
      <c r="B44" s="869">
        <f>[27]media_12!$D$8</f>
        <v>2.9816666666666669</v>
      </c>
      <c r="C44" s="869">
        <f t="shared" si="16"/>
        <v>73.295640773516894</v>
      </c>
      <c r="D44" s="961">
        <f t="shared" si="17"/>
        <v>-2.4802398473698362</v>
      </c>
      <c r="E44" s="961">
        <f t="shared" si="18"/>
        <v>1.4172335600907138</v>
      </c>
      <c r="F44" s="965">
        <f t="shared" si="19"/>
        <v>-12.082280258354405</v>
      </c>
      <c r="G44" s="966">
        <f t="shared" ref="G44:G49" si="20">100*((C44/C20)-1)</f>
        <v>-27.240930535220432</v>
      </c>
      <c r="H44" s="871">
        <f t="shared" si="3"/>
        <v>0.61162660704304084</v>
      </c>
      <c r="I44" s="718"/>
      <c r="J44" s="718"/>
      <c r="K44" s="718"/>
    </row>
    <row r="45" spans="1:11">
      <c r="A45" s="1014" t="s">
        <v>652</v>
      </c>
      <c r="B45" s="869">
        <f>[35]media_12!$D$8</f>
        <v>2.9816666666666669</v>
      </c>
      <c r="C45" s="869">
        <f t="shared" si="16"/>
        <v>73.295640773516894</v>
      </c>
      <c r="D45" s="961">
        <f t="shared" si="17"/>
        <v>0</v>
      </c>
      <c r="E45" s="961">
        <f t="shared" si="18"/>
        <v>1.4172335600907138</v>
      </c>
      <c r="F45" s="965">
        <f t="shared" si="19"/>
        <v>-12.082280258354405</v>
      </c>
      <c r="G45" s="966">
        <f t="shared" si="20"/>
        <v>-27.240930535220432</v>
      </c>
      <c r="H45" s="871">
        <f t="shared" si="3"/>
        <v>0.61162660704304084</v>
      </c>
      <c r="I45" s="718"/>
      <c r="J45" s="718"/>
      <c r="K45" s="718"/>
    </row>
    <row r="46" spans="1:11">
      <c r="A46" s="1014" t="s">
        <v>653</v>
      </c>
      <c r="B46" s="869">
        <f>[43]media_12!$D$8</f>
        <v>2.999166666666667</v>
      </c>
      <c r="C46" s="869">
        <f t="shared" si="16"/>
        <v>73.725827597509024</v>
      </c>
      <c r="D46" s="961">
        <f t="shared" si="17"/>
        <v>0.58692006707659061</v>
      </c>
      <c r="E46" s="961">
        <f t="shared" si="18"/>
        <v>2.0124716553288069</v>
      </c>
      <c r="F46" s="965">
        <f t="shared" si="19"/>
        <v>-9.6636546184738936</v>
      </c>
      <c r="G46" s="966">
        <f t="shared" si="20"/>
        <v>-26.813892955913452</v>
      </c>
      <c r="H46" s="871">
        <f t="shared" si="3"/>
        <v>0.60805779383161995</v>
      </c>
      <c r="I46" s="718"/>
      <c r="J46" s="718"/>
      <c r="K46" s="718"/>
    </row>
    <row r="47" spans="1:11">
      <c r="A47" s="1014" t="s">
        <v>654</v>
      </c>
      <c r="B47" s="869">
        <f>[51]media_12!$D$8</f>
        <v>3.0158333333333336</v>
      </c>
      <c r="C47" s="869">
        <f t="shared" si="16"/>
        <v>74.135529334644389</v>
      </c>
      <c r="D47" s="961">
        <f t="shared" si="17"/>
        <v>0.55570991942206494</v>
      </c>
      <c r="E47" s="961">
        <f t="shared" si="18"/>
        <v>2.5793650793650924</v>
      </c>
      <c r="F47" s="965">
        <f t="shared" si="19"/>
        <v>-11.074838528503239</v>
      </c>
      <c r="G47" s="966">
        <f t="shared" si="20"/>
        <v>-26.407190499430623</v>
      </c>
      <c r="H47" s="871">
        <f t="shared" si="3"/>
        <v>0.60469743022934519</v>
      </c>
      <c r="I47" s="718"/>
      <c r="J47" s="718"/>
      <c r="K47" s="718"/>
    </row>
    <row r="48" spans="1:11">
      <c r="A48" s="1014" t="s">
        <v>657</v>
      </c>
      <c r="B48" s="869">
        <f>[60]media_12!$D$8</f>
        <v>3.0158333333333336</v>
      </c>
      <c r="C48" s="869">
        <f t="shared" ref="C48:C53" si="21">100*B48/$B$8</f>
        <v>74.135529334644389</v>
      </c>
      <c r="D48" s="961">
        <f t="shared" ref="D48:D53" si="22">100*((B48/B47)-1)</f>
        <v>0</v>
      </c>
      <c r="E48" s="961">
        <f t="shared" ref="E48:E53" si="23">100*((B48/$B$41)-1)</f>
        <v>2.5793650793650924</v>
      </c>
      <c r="F48" s="965">
        <f t="shared" ref="F48:F53" si="24">100*((B48/B36)-1)</f>
        <v>-11.074838528503239</v>
      </c>
      <c r="G48" s="966">
        <f t="shared" si="20"/>
        <v>-22.43227023319616</v>
      </c>
      <c r="H48" s="871">
        <f t="shared" si="3"/>
        <v>0.60469743022934519</v>
      </c>
      <c r="I48" s="718"/>
      <c r="J48" s="718"/>
      <c r="K48" s="718"/>
    </row>
    <row r="49" spans="1:11">
      <c r="A49" s="1014" t="str">
        <f>Diesel_S10!A49</f>
        <v>AGOSTO|15</v>
      </c>
      <c r="B49" s="869">
        <f>[69]media_12!$D$8</f>
        <v>3.0158333333333336</v>
      </c>
      <c r="C49" s="869">
        <f t="shared" si="21"/>
        <v>74.135529334644389</v>
      </c>
      <c r="D49" s="961">
        <f t="shared" si="22"/>
        <v>0</v>
      </c>
      <c r="E49" s="961">
        <f t="shared" si="23"/>
        <v>2.5793650793650924</v>
      </c>
      <c r="F49" s="965">
        <f t="shared" si="24"/>
        <v>2.5793650793650924</v>
      </c>
      <c r="G49" s="966">
        <f t="shared" si="20"/>
        <v>-22.43227023319616</v>
      </c>
      <c r="H49" s="871">
        <f t="shared" si="3"/>
        <v>0.60469743022934519</v>
      </c>
      <c r="I49" s="718"/>
      <c r="J49" s="718"/>
      <c r="K49" s="718"/>
    </row>
    <row r="50" spans="1:11">
      <c r="A50" s="1032" t="str">
        <f>Diesel_S10!A50</f>
        <v>SETEMBRO|15</v>
      </c>
      <c r="B50" s="1073">
        <f>[78]media_12!$D$8</f>
        <v>3.0408333333333335</v>
      </c>
      <c r="C50" s="1073">
        <f t="shared" si="21"/>
        <v>74.750081940347442</v>
      </c>
      <c r="D50" s="1036">
        <f t="shared" si="22"/>
        <v>0.82895827576678904</v>
      </c>
      <c r="E50" s="1036">
        <f t="shared" si="23"/>
        <v>3.4297052154194985</v>
      </c>
      <c r="F50" s="1037">
        <f t="shared" si="24"/>
        <v>3.4297052154194985</v>
      </c>
      <c r="G50" s="1038">
        <f t="shared" ref="G50:G55" si="25">100*((C50/C26)-1)</f>
        <v>-21.78926611796982</v>
      </c>
      <c r="H50" s="871">
        <f t="shared" si="3"/>
        <v>0.59972595231570303</v>
      </c>
      <c r="I50" s="718"/>
      <c r="J50" s="718"/>
      <c r="K50" s="718"/>
    </row>
    <row r="51" spans="1:11">
      <c r="A51" s="1032" t="str">
        <f>Diesel_S10!A51</f>
        <v>OUTUBRO|15</v>
      </c>
      <c r="B51" s="1073">
        <f>[86]media_12!$D$8</f>
        <v>3.0158333333333336</v>
      </c>
      <c r="C51" s="1073">
        <f t="shared" si="21"/>
        <v>74.135529334644389</v>
      </c>
      <c r="D51" s="1036">
        <f t="shared" si="22"/>
        <v>-0.82214305289119993</v>
      </c>
      <c r="E51" s="1036">
        <f t="shared" si="23"/>
        <v>2.5793650793650924</v>
      </c>
      <c r="F51" s="1037">
        <f t="shared" si="24"/>
        <v>2.5793650793650924</v>
      </c>
      <c r="G51" s="1038">
        <f t="shared" si="25"/>
        <v>-22.43227023319616</v>
      </c>
      <c r="H51" s="871">
        <f t="shared" si="3"/>
        <v>0.60469743022934519</v>
      </c>
      <c r="I51" s="718"/>
      <c r="J51" s="718"/>
      <c r="K51" s="718"/>
    </row>
    <row r="52" spans="1:11">
      <c r="A52" s="1032" t="str">
        <f>Diesel_S10!A52</f>
        <v>NOVEMBRO|15</v>
      </c>
      <c r="B52" s="1073">
        <f>[94]media_12!$D$8</f>
        <v>3.0158333333333336</v>
      </c>
      <c r="C52" s="1073">
        <f t="shared" si="21"/>
        <v>74.135529334644389</v>
      </c>
      <c r="D52" s="1036">
        <f t="shared" si="22"/>
        <v>0</v>
      </c>
      <c r="E52" s="1036">
        <f t="shared" si="23"/>
        <v>2.5793650793650924</v>
      </c>
      <c r="F52" s="1037">
        <f t="shared" si="24"/>
        <v>2.5793650793650924</v>
      </c>
      <c r="G52" s="1038">
        <f t="shared" si="25"/>
        <v>-22.43227023319616</v>
      </c>
      <c r="H52" s="871">
        <f t="shared" si="3"/>
        <v>0.60469743022934519</v>
      </c>
      <c r="I52" s="718"/>
      <c r="J52" s="718"/>
      <c r="K52" s="718"/>
    </row>
    <row r="53" spans="1:11">
      <c r="A53" s="1032" t="str">
        <f>Diesel_S10!A53</f>
        <v>DEZEMBRO|15</v>
      </c>
      <c r="B53" s="1073">
        <f>[102]media_12!$D$8</f>
        <v>3.0741666666666667</v>
      </c>
      <c r="C53" s="1073">
        <f t="shared" si="21"/>
        <v>75.569485414618171</v>
      </c>
      <c r="D53" s="1036">
        <f t="shared" si="22"/>
        <v>1.934235976789167</v>
      </c>
      <c r="E53" s="1036">
        <f t="shared" si="23"/>
        <v>4.5634920634920695</v>
      </c>
      <c r="F53" s="1037">
        <f t="shared" si="24"/>
        <v>4.5634920634920695</v>
      </c>
      <c r="G53" s="1038">
        <f t="shared" si="25"/>
        <v>-20.93192729766804</v>
      </c>
      <c r="H53" s="871">
        <f t="shared" si="3"/>
        <v>0.59322309568988896</v>
      </c>
      <c r="I53" s="718"/>
      <c r="J53" s="718"/>
      <c r="K53" s="718"/>
    </row>
    <row r="54" spans="1:11">
      <c r="A54" s="1032" t="str">
        <f>Diesel_S10!A54</f>
        <v>JANEIRO|16</v>
      </c>
      <c r="B54" s="1073">
        <f>[12]media_12!$D$8</f>
        <v>2.9408333333333334</v>
      </c>
      <c r="C54" s="1073">
        <f t="shared" ref="C54" si="26">100*B54/$B$8</f>
        <v>72.291871517535242</v>
      </c>
      <c r="D54" s="1036">
        <f t="shared" ref="D54" si="27">100*((B54/B53)-1)</f>
        <v>-4.3372187584711286</v>
      </c>
      <c r="E54" s="1036">
        <f t="shared" ref="E54:E59" si="28">100*((B54/$B$53)-1)</f>
        <v>-4.3372187584711286</v>
      </c>
      <c r="F54" s="1037">
        <f t="shared" ref="F54" si="29">100*((B54/B42)-1)</f>
        <v>0</v>
      </c>
      <c r="G54" s="1038">
        <f t="shared" si="25"/>
        <v>-27.547836084421441</v>
      </c>
      <c r="H54" s="871">
        <f t="shared" si="3"/>
        <v>0.62011901388495339</v>
      </c>
      <c r="I54" s="718"/>
      <c r="J54" s="718"/>
      <c r="K54" s="718"/>
    </row>
    <row r="55" spans="1:11">
      <c r="A55" s="1032" t="str">
        <f>Diesel_S10!A55</f>
        <v>FEVEREIRO|16</v>
      </c>
      <c r="B55" s="1073">
        <f>[20]media_12!$D$8</f>
        <v>2.5245000000000002</v>
      </c>
      <c r="C55" s="1073">
        <f t="shared" ref="C55" si="30">100*B55/$B$8</f>
        <v>62.057522123893818</v>
      </c>
      <c r="D55" s="1036">
        <f t="shared" ref="D55" si="31">100*((B55/B54)-1)</f>
        <v>-14.156984981581179</v>
      </c>
      <c r="E55" s="1036">
        <f t="shared" si="28"/>
        <v>-17.880184331797231</v>
      </c>
      <c r="F55" s="1037">
        <f t="shared" ref="F55" si="32">100*((B55/B43)-1)</f>
        <v>-17.432542927228113</v>
      </c>
      <c r="G55" s="1038">
        <f t="shared" si="25"/>
        <v>-37.804878048780466</v>
      </c>
      <c r="H55" s="871">
        <f t="shared" si="3"/>
        <v>0.72238727140687931</v>
      </c>
      <c r="I55" s="718"/>
      <c r="J55" s="718"/>
      <c r="K55" s="718"/>
    </row>
    <row r="56" spans="1:11">
      <c r="A56" s="1032" t="str">
        <f>Diesel_S10!A56</f>
        <v>MARÇO|16</v>
      </c>
      <c r="B56" s="1073">
        <f>[28]media_12!$D$8</f>
        <v>2.5245000000000002</v>
      </c>
      <c r="C56" s="1073">
        <f t="shared" ref="C56" si="33">100*B56/$B$8</f>
        <v>62.057522123893818</v>
      </c>
      <c r="D56" s="1036">
        <f t="shared" ref="D56" si="34">100*((B56/B55)-1)</f>
        <v>0</v>
      </c>
      <c r="E56" s="1036">
        <f t="shared" si="28"/>
        <v>-17.880184331797231</v>
      </c>
      <c r="F56" s="1037">
        <f t="shared" ref="F56" si="35">100*((B56/B44)-1)</f>
        <v>-15.332588038010064</v>
      </c>
      <c r="G56" s="1038">
        <f t="shared" ref="G56" si="36">100*((C56/C32)-1)</f>
        <v>-25.562342038753151</v>
      </c>
      <c r="H56" s="871">
        <f t="shared" si="3"/>
        <v>0.72238727140687931</v>
      </c>
      <c r="I56" s="718"/>
      <c r="J56" s="718"/>
      <c r="K56" s="718"/>
    </row>
    <row r="57" spans="1:11">
      <c r="A57" s="1032" t="str">
        <f>Diesel_S10!A57</f>
        <v>ABRIL|16</v>
      </c>
      <c r="B57" s="1073">
        <f>[36]media_12!$D$8</f>
        <v>2.5245000000000002</v>
      </c>
      <c r="C57" s="1073">
        <f t="shared" ref="C57" si="37">100*B57/$B$8</f>
        <v>62.057522123893818</v>
      </c>
      <c r="D57" s="1036">
        <f t="shared" ref="D57" si="38">100*((B57/B56)-1)</f>
        <v>0</v>
      </c>
      <c r="E57" s="1036">
        <f t="shared" si="28"/>
        <v>-17.880184331797231</v>
      </c>
      <c r="F57" s="1037">
        <f t="shared" ref="F57" si="39">100*((B57/B45)-1)</f>
        <v>-15.332588038010064</v>
      </c>
      <c r="G57" s="1038">
        <f t="shared" ref="G57" si="40">100*((C57/C33)-1)</f>
        <v>-25.562342038753151</v>
      </c>
      <c r="H57" s="871">
        <f t="shared" si="3"/>
        <v>0.72238727140687931</v>
      </c>
      <c r="I57" s="718"/>
      <c r="J57" s="718"/>
      <c r="K57" s="718"/>
    </row>
    <row r="58" spans="1:11">
      <c r="A58" s="1032" t="str">
        <f>Diesel_S10!A58</f>
        <v>MAIO|16</v>
      </c>
      <c r="B58" s="1073">
        <f>[44]media_12!$D$8</f>
        <v>2.5245000000000002</v>
      </c>
      <c r="C58" s="1073">
        <f t="shared" ref="C58" si="41">100*B58/$B$8</f>
        <v>62.057522123893818</v>
      </c>
      <c r="D58" s="1036">
        <f t="shared" ref="D58" si="42">100*((B58/B57)-1)</f>
        <v>0</v>
      </c>
      <c r="E58" s="1036">
        <f t="shared" si="28"/>
        <v>-17.880184331797231</v>
      </c>
      <c r="F58" s="1037">
        <f t="shared" ref="F58" si="43">100*((B58/B46)-1)</f>
        <v>-15.826618505140322</v>
      </c>
      <c r="G58" s="1038">
        <f t="shared" ref="G58" si="44">100*((C58/C34)-1)</f>
        <v>-23.960843373493969</v>
      </c>
      <c r="H58" s="871">
        <f t="shared" si="3"/>
        <v>0.72238727140687931</v>
      </c>
      <c r="I58" s="718"/>
      <c r="J58" s="718"/>
      <c r="K58" s="718"/>
    </row>
    <row r="59" spans="1:11">
      <c r="A59" s="1032" t="str">
        <f>Diesel_S10!A59</f>
        <v>JUNHO|16</v>
      </c>
      <c r="B59" s="1073">
        <f>[52]media_12!$D$8</f>
        <v>2.4578333333333338</v>
      </c>
      <c r="C59" s="1073">
        <f t="shared" ref="C59" si="45">100*B59/$B$8</f>
        <v>60.418715175352361</v>
      </c>
      <c r="D59" s="1036">
        <f t="shared" ref="D59" si="46">100*((B59/B58)-1)</f>
        <v>-2.6407869545124307</v>
      </c>
      <c r="E59" s="1036">
        <f t="shared" si="28"/>
        <v>-20.048793711032786</v>
      </c>
      <c r="F59" s="1037">
        <f t="shared" ref="F59" si="47">100*((B59/B47)-1)</f>
        <v>-18.502348715114671</v>
      </c>
      <c r="G59" s="1038">
        <f t="shared" ref="G59" si="48">100*((C59/C35)-1)</f>
        <v>-27.528081999438349</v>
      </c>
      <c r="H59" s="871">
        <f t="shared" si="3"/>
        <v>0.74198141994982025</v>
      </c>
      <c r="I59" s="718"/>
      <c r="J59" s="718"/>
      <c r="K59" s="718"/>
    </row>
    <row r="60" spans="1:11">
      <c r="A60" s="1032" t="str">
        <f>Diesel_S10!A60</f>
        <v>JULHO|16</v>
      </c>
      <c r="B60" s="1073">
        <f>[61]media_12!$D$8</f>
        <v>2.4578333333333338</v>
      </c>
      <c r="C60" s="1073">
        <f t="shared" ref="C60" si="49">100*B60/$B$8</f>
        <v>60.418715175352361</v>
      </c>
      <c r="D60" s="1036">
        <f t="shared" ref="D60" si="50">100*((B60/B59)-1)</f>
        <v>0</v>
      </c>
      <c r="E60" s="1036">
        <f t="shared" ref="E60" si="51">100*((B60/$B$53)-1)</f>
        <v>-20.048793711032786</v>
      </c>
      <c r="F60" s="1037">
        <f t="shared" ref="F60" si="52">100*((B60/B48)-1)</f>
        <v>-18.502348715114671</v>
      </c>
      <c r="G60" s="1038">
        <f t="shared" ref="G60" si="53">100*((C60/C36)-1)</f>
        <v>-27.528081999438349</v>
      </c>
      <c r="H60" s="871">
        <f t="shared" si="3"/>
        <v>0.74198141994982025</v>
      </c>
      <c r="I60" s="718"/>
      <c r="J60" s="718"/>
      <c r="K60" s="718"/>
    </row>
    <row r="61" spans="1:11">
      <c r="A61" s="1032" t="str">
        <f>Diesel_S10!A61</f>
        <v>AGOSTO|16</v>
      </c>
      <c r="B61" s="1073">
        <f>[70]media_12!$D$8</f>
        <v>2.4578333333333338</v>
      </c>
      <c r="C61" s="1073">
        <f t="shared" ref="C61" si="54">100*B61/$B$8</f>
        <v>60.418715175352361</v>
      </c>
      <c r="D61" s="1036">
        <f t="shared" ref="D61" si="55">100*((B61/B60)-1)</f>
        <v>0</v>
      </c>
      <c r="E61" s="1036">
        <f t="shared" ref="E61" si="56">100*((B61/$B$53)-1)</f>
        <v>-20.048793711032786</v>
      </c>
      <c r="F61" s="1037">
        <f t="shared" ref="F61" si="57">100*((B61/B49)-1)</f>
        <v>-18.502348715114671</v>
      </c>
      <c r="G61" s="1038">
        <f t="shared" ref="G61" si="58">100*((C61/C37)-1)</f>
        <v>-16.400226757369609</v>
      </c>
      <c r="H61" s="871">
        <f t="shared" si="3"/>
        <v>0.74198141994982025</v>
      </c>
      <c r="I61" s="718"/>
      <c r="J61" s="718"/>
      <c r="K61" s="718"/>
    </row>
    <row r="62" spans="1:11">
      <c r="A62" s="1032" t="str">
        <f>Diesel_S10!A62</f>
        <v>SETEMBRO|16</v>
      </c>
      <c r="B62" s="1073">
        <f>[79]media_12!$D$8</f>
        <v>2.4578333333333338</v>
      </c>
      <c r="C62" s="1073">
        <f t="shared" ref="C62" si="59">100*B62/$B$8</f>
        <v>60.418715175352361</v>
      </c>
      <c r="D62" s="1036">
        <f t="shared" ref="D62" si="60">100*((B62/B61)-1)</f>
        <v>0</v>
      </c>
      <c r="E62" s="1036">
        <f t="shared" ref="E62" si="61">100*((B62/$B$53)-1)</f>
        <v>-20.048793711032786</v>
      </c>
      <c r="F62" s="1037">
        <f t="shared" ref="F62" si="62">100*((B62/B50)-1)</f>
        <v>-19.17237599342284</v>
      </c>
      <c r="G62" s="1038">
        <f t="shared" ref="G62" si="63">100*((C62/C38)-1)</f>
        <v>-16.400226757369609</v>
      </c>
      <c r="H62" s="871">
        <f t="shared" si="3"/>
        <v>0.74198141994982025</v>
      </c>
      <c r="I62" s="718"/>
      <c r="J62" s="718"/>
      <c r="K62" s="718"/>
    </row>
    <row r="63" spans="1:11">
      <c r="A63" s="1032" t="str">
        <f>Diesel_S10!A63</f>
        <v>OUTUBRO|16</v>
      </c>
      <c r="B63" s="1073">
        <f>[87]media_12!$D$8</f>
        <v>2.4578333333333338</v>
      </c>
      <c r="C63" s="1073">
        <f t="shared" ref="C63" si="64">100*B63/$B$8</f>
        <v>60.418715175352361</v>
      </c>
      <c r="D63" s="1036">
        <f t="shared" ref="D63" si="65">100*((B63/B62)-1)</f>
        <v>0</v>
      </c>
      <c r="E63" s="1036">
        <f t="shared" ref="E63" si="66">100*((B63/$B$53)-1)</f>
        <v>-20.048793711032786</v>
      </c>
      <c r="F63" s="1037">
        <f t="shared" ref="F63" si="67">100*((B63/B51)-1)</f>
        <v>-18.502348715114671</v>
      </c>
      <c r="G63" s="1038">
        <f t="shared" ref="G63" si="68">100*((C63/C39)-1)</f>
        <v>-16.400226757369609</v>
      </c>
      <c r="H63" s="871">
        <f t="shared" si="3"/>
        <v>0.74198141994982025</v>
      </c>
      <c r="I63" s="718"/>
      <c r="J63" s="718"/>
      <c r="K63" s="718"/>
    </row>
    <row r="64" spans="1:11">
      <c r="A64" s="1032" t="str">
        <f>Diesel_S10!A64</f>
        <v>NOVEMBRO|16</v>
      </c>
      <c r="B64" s="1073">
        <f>[95]media_12!$D$8</f>
        <v>2.3911666666666673</v>
      </c>
      <c r="C64" s="1073">
        <f t="shared" ref="C64" si="69">100*B64/$B$8</f>
        <v>58.779908226810903</v>
      </c>
      <c r="D64" s="1036">
        <f t="shared" ref="D64" si="70">100*((B64/B63)-1)</f>
        <v>-2.7124160846273671</v>
      </c>
      <c r="E64" s="1036">
        <f t="shared" ref="E64" si="71">100*((B64/$B$53)-1)</f>
        <v>-22.217403090268352</v>
      </c>
      <c r="F64" s="1037">
        <f t="shared" ref="F64" si="72">100*((B64/B52)-1)</f>
        <v>-20.712904117159425</v>
      </c>
      <c r="G64" s="1038">
        <f t="shared" ref="G64" si="73">100*((C64/C40)-1)</f>
        <v>-18.667800453514715</v>
      </c>
      <c r="H64" s="871">
        <f t="shared" si="3"/>
        <v>0.76266815362096596</v>
      </c>
      <c r="I64" s="718"/>
      <c r="J64" s="718"/>
      <c r="K64" s="718"/>
    </row>
    <row r="65" spans="1:11">
      <c r="A65" s="1032" t="str">
        <f>Diesel_S10!A65</f>
        <v>DEZEMBRO|16</v>
      </c>
      <c r="B65" s="1073">
        <f>[103]media_12!$D$8</f>
        <v>2.3911666666666673</v>
      </c>
      <c r="C65" s="1073">
        <f t="shared" ref="C65" si="74">100*B65/$B$8</f>
        <v>58.779908226810903</v>
      </c>
      <c r="D65" s="1036">
        <f t="shared" ref="D65" si="75">100*((B65/B64)-1)</f>
        <v>0</v>
      </c>
      <c r="E65" s="1036">
        <f t="shared" ref="E65" si="76">100*((B65/$B$53)-1)</f>
        <v>-22.217403090268352</v>
      </c>
      <c r="F65" s="1037">
        <f t="shared" ref="F65" si="77">100*((B65/B53)-1)</f>
        <v>-22.217403090268352</v>
      </c>
      <c r="G65" s="1038">
        <f t="shared" ref="G65" si="78">100*((C65/C41)-1)</f>
        <v>-18.667800453514715</v>
      </c>
      <c r="H65" s="871">
        <f t="shared" si="3"/>
        <v>0.76266815362096596</v>
      </c>
      <c r="I65" s="718"/>
      <c r="J65" s="718"/>
      <c r="K65" s="718"/>
    </row>
    <row r="66" spans="1:11">
      <c r="A66" s="1032" t="str">
        <f>Diesel_S10!A66</f>
        <v>JANEIRO|17</v>
      </c>
      <c r="B66" s="1073">
        <f>[13]media_12!$D$8</f>
        <v>2.3911666666666673</v>
      </c>
      <c r="C66" s="1073">
        <f t="shared" ref="C66" si="79">100*B66/$B$8</f>
        <v>58.779908226810903</v>
      </c>
      <c r="D66" s="1036">
        <f t="shared" ref="D66" si="80">100*((B66/B65)-1)</f>
        <v>0</v>
      </c>
      <c r="E66" s="1036">
        <f t="shared" ref="E66:E71" si="81">100*((B66/$B$65)-1)</f>
        <v>0</v>
      </c>
      <c r="F66" s="1037">
        <f t="shared" ref="F66" si="82">100*((B66/B54)-1)</f>
        <v>-18.690847265514286</v>
      </c>
      <c r="G66" s="1038">
        <f t="shared" ref="G66" si="83">100*((C66/C42)-1)</f>
        <v>-18.690847265514286</v>
      </c>
      <c r="H66" s="871">
        <f t="shared" si="3"/>
        <v>0.76266815362096596</v>
      </c>
      <c r="I66" s="718"/>
      <c r="J66" s="718"/>
      <c r="K66" s="718"/>
    </row>
    <row r="67" spans="1:11">
      <c r="A67" s="1032" t="str">
        <f>Diesel_S10!A67</f>
        <v>FEVEREIRO|17</v>
      </c>
      <c r="B67" s="1073">
        <f>[21]media_12!$D$8</f>
        <v>2.3911666666666673</v>
      </c>
      <c r="C67" s="1073">
        <f t="shared" ref="C67" si="84">100*B67/$B$8</f>
        <v>58.779908226810903</v>
      </c>
      <c r="D67" s="1036">
        <f t="shared" ref="D67" si="85">100*((B67/B66)-1)</f>
        <v>0</v>
      </c>
      <c r="E67" s="1036">
        <f t="shared" si="81"/>
        <v>0</v>
      </c>
      <c r="F67" s="1037">
        <f t="shared" ref="F67" si="86">100*((B67/B55)-1)</f>
        <v>-5.281573909024873</v>
      </c>
      <c r="G67" s="1038">
        <f t="shared" ref="G67" si="87">100*((C67/C43)-1)</f>
        <v>-21.793404197328947</v>
      </c>
      <c r="H67" s="871">
        <f t="shared" si="3"/>
        <v>0.76266815362096596</v>
      </c>
      <c r="I67" s="718"/>
      <c r="J67" s="718"/>
      <c r="K67" s="718"/>
    </row>
    <row r="68" spans="1:11">
      <c r="A68" s="1032" t="str">
        <f>Diesel_S10!A68</f>
        <v>MARÇO|17</v>
      </c>
      <c r="B68" s="1073">
        <f>[29]media_12!$D$8</f>
        <v>2.3911666666666673</v>
      </c>
      <c r="C68" s="1073">
        <f t="shared" ref="C68" si="88">100*B68/$B$8</f>
        <v>58.779908226810903</v>
      </c>
      <c r="D68" s="1036">
        <f t="shared" ref="D68" si="89">100*((B68/B67)-1)</f>
        <v>0</v>
      </c>
      <c r="E68" s="1036">
        <f t="shared" si="81"/>
        <v>0</v>
      </c>
      <c r="F68" s="1037">
        <f t="shared" ref="F68" si="90">100*((B68/B56)-1)</f>
        <v>-5.281573909024873</v>
      </c>
      <c r="G68" s="1038">
        <f t="shared" ref="G68" si="91">100*((C68/C44)-1)</f>
        <v>-19.804359977641127</v>
      </c>
      <c r="H68" s="871">
        <f t="shared" si="3"/>
        <v>0.76266815362096596</v>
      </c>
      <c r="I68" s="718"/>
      <c r="J68" s="718"/>
      <c r="K68" s="718"/>
    </row>
    <row r="69" spans="1:11">
      <c r="A69" s="1032" t="str">
        <f>Diesel_S10!A69</f>
        <v>ABRIL|17</v>
      </c>
      <c r="B69" s="1073">
        <f>[37]media_12!$D$8</f>
        <v>2.3911666666666673</v>
      </c>
      <c r="C69" s="1073">
        <f t="shared" ref="C69" si="92">100*B69/$B$8</f>
        <v>58.779908226810903</v>
      </c>
      <c r="D69" s="1036">
        <f t="shared" ref="D69" si="93">100*((B69/B68)-1)</f>
        <v>0</v>
      </c>
      <c r="E69" s="1036">
        <f t="shared" si="81"/>
        <v>0</v>
      </c>
      <c r="F69" s="1037">
        <f t="shared" ref="F69" si="94">100*((B69/B57)-1)</f>
        <v>-5.281573909024873</v>
      </c>
      <c r="G69" s="1038">
        <f t="shared" ref="G69" si="95">100*((C69/C45)-1)</f>
        <v>-19.804359977641127</v>
      </c>
      <c r="H69" s="871">
        <f t="shared" si="3"/>
        <v>0.76266815362096596</v>
      </c>
      <c r="I69" s="718"/>
      <c r="J69" s="718"/>
      <c r="K69" s="718"/>
    </row>
    <row r="70" spans="1:11">
      <c r="A70" s="1032" t="str">
        <f>Diesel_S10!A70</f>
        <v>MAIO|17</v>
      </c>
      <c r="B70" s="1073">
        <f>[45]media_12!$D$8</f>
        <v>2.3911666666666673</v>
      </c>
      <c r="C70" s="1073">
        <f t="shared" ref="C70" si="96">100*B70/$B$8</f>
        <v>58.779908226810903</v>
      </c>
      <c r="D70" s="1036">
        <f t="shared" ref="D70" si="97">100*((B70/B69)-1)</f>
        <v>0</v>
      </c>
      <c r="E70" s="1036">
        <f t="shared" si="81"/>
        <v>0</v>
      </c>
      <c r="F70" s="1037">
        <f t="shared" ref="F70" si="98">100*((B70/B58)-1)</f>
        <v>-5.281573909024873</v>
      </c>
      <c r="G70" s="1038">
        <f t="shared" ref="G70" si="99">100*((C70/C46)-1)</f>
        <v>-20.272297860516797</v>
      </c>
      <c r="H70" s="871">
        <f t="shared" si="3"/>
        <v>0.76266815362096596</v>
      </c>
      <c r="I70" s="718"/>
      <c r="J70" s="718"/>
      <c r="K70" s="718"/>
    </row>
    <row r="71" spans="1:11">
      <c r="A71" s="1032" t="str">
        <f>Diesel_S10!A71</f>
        <v>JUNHO|17</v>
      </c>
      <c r="B71" s="1073">
        <f>[53]media_12!$D$8</f>
        <v>2.3911666666666673</v>
      </c>
      <c r="C71" s="1073">
        <f t="shared" ref="C71" si="100">100*B71/$B$8</f>
        <v>58.779908226810903</v>
      </c>
      <c r="D71" s="1036">
        <f t="shared" ref="D71" si="101">100*((B71/B70)-1)</f>
        <v>0</v>
      </c>
      <c r="E71" s="1036">
        <f t="shared" si="81"/>
        <v>0</v>
      </c>
      <c r="F71" s="1037">
        <f t="shared" ref="F71" si="102">100*((B71/B59)-1)</f>
        <v>-2.7124160846273671</v>
      </c>
      <c r="G71" s="1038">
        <f t="shared" ref="G71" si="103">100*((C71/C47)-1)</f>
        <v>-20.712904117159415</v>
      </c>
      <c r="H71" s="871">
        <f t="shared" si="3"/>
        <v>0.76266815362096596</v>
      </c>
      <c r="I71" s="718"/>
      <c r="J71" s="718"/>
      <c r="K71" s="718"/>
    </row>
    <row r="72" spans="1:11">
      <c r="A72" s="1032" t="str">
        <f>Diesel_S10!A72</f>
        <v>JULHO|17</v>
      </c>
      <c r="B72" s="1073">
        <f>[62]media_12!$D$8</f>
        <v>2.3911666666666673</v>
      </c>
      <c r="C72" s="1073">
        <f t="shared" ref="C72" si="104">100*B72/$B$8</f>
        <v>58.779908226810903</v>
      </c>
      <c r="D72" s="1036">
        <f t="shared" ref="D72" si="105">100*((B72/B71)-1)</f>
        <v>0</v>
      </c>
      <c r="E72" s="1036">
        <f t="shared" ref="E72" si="106">100*((B72/$B$65)-1)</f>
        <v>0</v>
      </c>
      <c r="F72" s="1037">
        <f t="shared" ref="F72" si="107">100*((B72/B60)-1)</f>
        <v>-2.7124160846273671</v>
      </c>
      <c r="G72" s="1038">
        <f t="shared" ref="G72" si="108">100*((C72/C48)-1)</f>
        <v>-20.712904117159415</v>
      </c>
      <c r="H72" s="871">
        <f t="shared" si="3"/>
        <v>0.76266815362096596</v>
      </c>
      <c r="I72" s="718"/>
      <c r="J72" s="718"/>
      <c r="K72" s="718"/>
    </row>
    <row r="73" spans="1:11">
      <c r="A73" s="1032" t="str">
        <f>Diesel_S10!A73</f>
        <v>AGOSTO|17</v>
      </c>
      <c r="B73" s="1073">
        <f>[71]media_12!$D$8</f>
        <v>2.3911666666666673</v>
      </c>
      <c r="C73" s="1073">
        <f t="shared" ref="C73" si="109">100*B73/$B$8</f>
        <v>58.779908226810903</v>
      </c>
      <c r="D73" s="1036">
        <f t="shared" ref="D73" si="110">100*((B73/B72)-1)</f>
        <v>0</v>
      </c>
      <c r="E73" s="1036">
        <f t="shared" ref="E73" si="111">100*((B73/$B$65)-1)</f>
        <v>0</v>
      </c>
      <c r="F73" s="1037">
        <f t="shared" ref="F73" si="112">100*((B73/B61)-1)</f>
        <v>-2.7124160846273671</v>
      </c>
      <c r="G73" s="1038">
        <f t="shared" ref="G73" si="113">100*((C73/C49)-1)</f>
        <v>-20.712904117159415</v>
      </c>
      <c r="H73" s="871">
        <f t="shared" si="3"/>
        <v>0.76266815362096596</v>
      </c>
      <c r="I73" s="718"/>
      <c r="J73" s="718"/>
      <c r="K73" s="718"/>
    </row>
    <row r="74" spans="1:11">
      <c r="A74" s="1032" t="str">
        <f>Diesel_S10!A74</f>
        <v>SETEMBRO|17</v>
      </c>
      <c r="B74" s="1073">
        <f>[80]media_12!$D$8</f>
        <v>2.3911666666666673</v>
      </c>
      <c r="C74" s="1073">
        <f t="shared" ref="C74" si="114">100*B74/$B$8</f>
        <v>58.779908226810903</v>
      </c>
      <c r="D74" s="1036">
        <f t="shared" ref="D74" si="115">100*((B74/B73)-1)</f>
        <v>0</v>
      </c>
      <c r="E74" s="1036">
        <f t="shared" ref="E74" si="116">100*((B74/$B$65)-1)</f>
        <v>0</v>
      </c>
      <c r="F74" s="1037">
        <f t="shared" ref="F74" si="117">100*((B74/B62)-1)</f>
        <v>-2.7124160846273671</v>
      </c>
      <c r="G74" s="1038">
        <f t="shared" ref="G74" si="118">100*((C74/C50)-1)</f>
        <v>-21.364757467799389</v>
      </c>
      <c r="H74" s="871">
        <f t="shared" ref="H74:H110" si="119">$B$110/B74</f>
        <v>0.76266815362096596</v>
      </c>
      <c r="I74" s="718"/>
      <c r="J74" s="718"/>
      <c r="K74" s="718"/>
    </row>
    <row r="75" spans="1:11">
      <c r="A75" s="1032" t="str">
        <f>Diesel_S10!A75</f>
        <v>OUTUBRO|17</v>
      </c>
      <c r="B75" s="1073">
        <f>[88]media_12!$D$8</f>
        <v>2.3911666666666673</v>
      </c>
      <c r="C75" s="1073">
        <f t="shared" ref="C75" si="120">100*B75/$B$8</f>
        <v>58.779908226810903</v>
      </c>
      <c r="D75" s="1036">
        <f t="shared" ref="D75" si="121">100*((B75/B74)-1)</f>
        <v>0</v>
      </c>
      <c r="E75" s="1036">
        <f t="shared" ref="E75" si="122">100*((B75/$B$65)-1)</f>
        <v>0</v>
      </c>
      <c r="F75" s="1037">
        <f t="shared" ref="F75" si="123">100*((B75/B63)-1)</f>
        <v>-2.7124160846273671</v>
      </c>
      <c r="G75" s="1038">
        <f t="shared" ref="G75" si="124">100*((C75/C51)-1)</f>
        <v>-20.712904117159415</v>
      </c>
      <c r="H75" s="871">
        <f t="shared" si="119"/>
        <v>0.76266815362096596</v>
      </c>
      <c r="I75" s="718"/>
      <c r="J75" s="718"/>
      <c r="K75" s="718"/>
    </row>
    <row r="76" spans="1:11">
      <c r="A76" s="1032" t="str">
        <f>Diesel_S10!A76</f>
        <v>NOVEMBRO|17</v>
      </c>
      <c r="B76" s="1073">
        <f>[96]media_12!$D$8</f>
        <v>1.823666666666667</v>
      </c>
      <c r="C76" s="1073">
        <f t="shared" ref="C76" si="125">100*B76/$B$8</f>
        <v>44.829564077351698</v>
      </c>
      <c r="D76" s="1036">
        <f t="shared" ref="D76" si="126">100*((B76/B75)-1)</f>
        <v>-23.733184637903403</v>
      </c>
      <c r="E76" s="1036">
        <f t="shared" ref="E76" si="127">100*((B76/$B$65)-1)</f>
        <v>-23.733184637903403</v>
      </c>
      <c r="F76" s="1037">
        <f t="shared" ref="F76" si="128">100*((B76/B64)-1)</f>
        <v>-23.733184637903403</v>
      </c>
      <c r="G76" s="1038">
        <f t="shared" ref="G76" si="129">100*((C76/C52)-1)</f>
        <v>-39.530256977065484</v>
      </c>
      <c r="H76" s="871">
        <f t="shared" si="119"/>
        <v>1</v>
      </c>
      <c r="I76" s="718"/>
      <c r="J76" s="718"/>
      <c r="K76" s="718"/>
    </row>
    <row r="77" spans="1:11">
      <c r="A77" s="1032" t="str">
        <f>Diesel_S10!A77</f>
        <v>DEZEMBRO|17</v>
      </c>
      <c r="B77" s="1073">
        <f>[104]media_12!$D$8</f>
        <v>1.823666666666667</v>
      </c>
      <c r="C77" s="1073">
        <f t="shared" ref="C77" si="130">100*B77/$B$8</f>
        <v>44.829564077351698</v>
      </c>
      <c r="D77" s="1036">
        <f t="shared" ref="D77" si="131">100*((B77/B76)-1)</f>
        <v>0</v>
      </c>
      <c r="E77" s="1036">
        <f t="shared" ref="E77" si="132">100*((B77/$B$65)-1)</f>
        <v>-23.733184637903403</v>
      </c>
      <c r="F77" s="1037">
        <f t="shared" ref="F77" si="133">100*((B77/B65)-1)</f>
        <v>-23.733184637903403</v>
      </c>
      <c r="G77" s="1038">
        <f t="shared" ref="G77" si="134">100*((C77/C53)-1)</f>
        <v>-40.677690431011115</v>
      </c>
      <c r="H77" s="871">
        <f t="shared" si="119"/>
        <v>1</v>
      </c>
      <c r="I77" s="718"/>
      <c r="J77" s="718"/>
      <c r="K77" s="718"/>
    </row>
    <row r="78" spans="1:11">
      <c r="A78" s="1032" t="str">
        <f>Diesel_S10!A78</f>
        <v>JANEIRO|18</v>
      </c>
      <c r="B78" s="1073">
        <f>[14]media_12!$D$8</f>
        <v>1.823666666666667</v>
      </c>
      <c r="C78" s="1073">
        <f t="shared" ref="C78" si="135">100*B78/$B$8</f>
        <v>44.829564077351698</v>
      </c>
      <c r="D78" s="1036">
        <f t="shared" ref="D78" si="136">100*((B78/B77)-1)</f>
        <v>0</v>
      </c>
      <c r="E78" s="1036">
        <f t="shared" ref="E78:E83" si="137">100*((B78/$B$77)-1)</f>
        <v>0</v>
      </c>
      <c r="F78" s="1037">
        <f t="shared" ref="F78" si="138">100*((B78/B66)-1)</f>
        <v>-23.733184637903403</v>
      </c>
      <c r="G78" s="1038">
        <f t="shared" ref="G78" si="139">100*((C78/C54)-1)</f>
        <v>-37.988098611504675</v>
      </c>
      <c r="H78" s="871">
        <f t="shared" si="119"/>
        <v>1</v>
      </c>
      <c r="I78" s="718"/>
      <c r="J78" s="718"/>
      <c r="K78" s="718"/>
    </row>
    <row r="79" spans="1:11">
      <c r="A79" s="1032" t="str">
        <f>Diesel_S10!A79</f>
        <v>FEVEREIRO|18</v>
      </c>
      <c r="B79" s="1073">
        <f>[22]media_12!$D$8</f>
        <v>1.823666666666667</v>
      </c>
      <c r="C79" s="1073">
        <f t="shared" ref="C79" si="140">100*B79/$B$8</f>
        <v>44.829564077351698</v>
      </c>
      <c r="D79" s="1036">
        <f t="shared" ref="D79" si="141">100*((B79/B78)-1)</f>
        <v>0</v>
      </c>
      <c r="E79" s="1036">
        <f t="shared" si="137"/>
        <v>0</v>
      </c>
      <c r="F79" s="1037">
        <f t="shared" ref="F79" si="142">100*((B79/B67)-1)</f>
        <v>-23.733184637903403</v>
      </c>
      <c r="G79" s="1038">
        <f t="shared" ref="G79" si="143">100*((C79/C55)-1)</f>
        <v>-27.761272859312069</v>
      </c>
      <c r="H79" s="871">
        <f t="shared" si="119"/>
        <v>1</v>
      </c>
      <c r="I79" s="718"/>
      <c r="J79" s="718"/>
      <c r="K79" s="718"/>
    </row>
    <row r="80" spans="1:11">
      <c r="A80" s="1032" t="str">
        <f>Diesel_S10!A80</f>
        <v>MARÇO|18</v>
      </c>
      <c r="B80" s="1073">
        <f>[30]media_12!$D$8</f>
        <v>1.823666666666667</v>
      </c>
      <c r="C80" s="1073">
        <f t="shared" ref="C80" si="144">100*B80/$B$8</f>
        <v>44.829564077351698</v>
      </c>
      <c r="D80" s="1036">
        <f t="shared" ref="D80" si="145">100*((B80/B79)-1)</f>
        <v>0</v>
      </c>
      <c r="E80" s="1036">
        <f t="shared" si="137"/>
        <v>0</v>
      </c>
      <c r="F80" s="1037">
        <f t="shared" ref="F80" si="146">100*((B80/B68)-1)</f>
        <v>-23.733184637903403</v>
      </c>
      <c r="G80" s="1038">
        <f t="shared" ref="G80" si="147">100*((C80/C56)-1)</f>
        <v>-27.761272859312069</v>
      </c>
      <c r="H80" s="871">
        <f t="shared" si="119"/>
        <v>1</v>
      </c>
      <c r="I80" s="718"/>
      <c r="J80" s="718"/>
      <c r="K80" s="718"/>
    </row>
    <row r="81" spans="1:11">
      <c r="A81" s="1032" t="str">
        <f>Diesel_S10!A81</f>
        <v>ABRIL|18</v>
      </c>
      <c r="B81" s="1073">
        <f>[38]media_12!$D$8</f>
        <v>1.823666666666667</v>
      </c>
      <c r="C81" s="1073">
        <f t="shared" ref="C81" si="148">100*B81/$B$8</f>
        <v>44.829564077351698</v>
      </c>
      <c r="D81" s="1036">
        <f t="shared" ref="D81" si="149">100*((B81/B80)-1)</f>
        <v>0</v>
      </c>
      <c r="E81" s="1036">
        <f t="shared" si="137"/>
        <v>0</v>
      </c>
      <c r="F81" s="1037">
        <f t="shared" ref="F81" si="150">100*((B81/B69)-1)</f>
        <v>-23.733184637903403</v>
      </c>
      <c r="G81" s="1038">
        <f t="shared" ref="G81" si="151">100*((C81/C57)-1)</f>
        <v>-27.761272859312069</v>
      </c>
      <c r="H81" s="871">
        <f t="shared" si="119"/>
        <v>1</v>
      </c>
      <c r="I81" s="718"/>
      <c r="J81" s="718"/>
      <c r="K81" s="718"/>
    </row>
    <row r="82" spans="1:11">
      <c r="A82" s="1032" t="str">
        <f>Diesel_S10!A82</f>
        <v>MAIO|18</v>
      </c>
      <c r="B82" s="1073">
        <f>[46]media_12!$D$8</f>
        <v>1.823666666666667</v>
      </c>
      <c r="C82" s="1073">
        <f t="shared" ref="C82" si="152">100*B82/$B$8</f>
        <v>44.829564077351698</v>
      </c>
      <c r="D82" s="1036">
        <f t="shared" ref="D82" si="153">100*((B82/B81)-1)</f>
        <v>0</v>
      </c>
      <c r="E82" s="1036">
        <f t="shared" si="137"/>
        <v>0</v>
      </c>
      <c r="F82" s="1037">
        <f t="shared" ref="F82" si="154">100*((B82/B70)-1)</f>
        <v>-23.733184637903403</v>
      </c>
      <c r="G82" s="1038">
        <f t="shared" ref="G82" si="155">100*((C82/C58)-1)</f>
        <v>-27.761272859312069</v>
      </c>
      <c r="H82" s="871">
        <f t="shared" si="119"/>
        <v>1</v>
      </c>
      <c r="I82" s="718"/>
      <c r="J82" s="718"/>
      <c r="K82" s="718"/>
    </row>
    <row r="83" spans="1:11">
      <c r="A83" s="1032" t="str">
        <f>Diesel_S10!A83</f>
        <v>JUNHO|18</v>
      </c>
      <c r="B83" s="1073">
        <f>[54]media_12!$D$8</f>
        <v>1.823666666666667</v>
      </c>
      <c r="C83" s="1073">
        <f t="shared" ref="C83" si="156">100*B83/$B$8</f>
        <v>44.829564077351698</v>
      </c>
      <c r="D83" s="1036">
        <f t="shared" ref="D83" si="157">100*((B83/B82)-1)</f>
        <v>0</v>
      </c>
      <c r="E83" s="1036">
        <f t="shared" si="137"/>
        <v>0</v>
      </c>
      <c r="F83" s="1037">
        <f t="shared" ref="F83" si="158">100*((B83/B71)-1)</f>
        <v>-23.733184637903403</v>
      </c>
      <c r="G83" s="1038">
        <f t="shared" ref="G83" si="159">100*((C83/C59)-1)</f>
        <v>-25.801858005017976</v>
      </c>
      <c r="H83" s="871">
        <f t="shared" si="119"/>
        <v>1</v>
      </c>
      <c r="I83" s="718"/>
      <c r="J83" s="718"/>
      <c r="K83" s="718"/>
    </row>
    <row r="84" spans="1:11">
      <c r="A84" s="1032" t="str">
        <f>Diesel_S10!A84</f>
        <v>JULHO|18</v>
      </c>
      <c r="B84" s="1073">
        <f>[63]media_12!$D$8</f>
        <v>1.823666666666667</v>
      </c>
      <c r="C84" s="1073">
        <f t="shared" ref="C84" si="160">100*B84/$B$8</f>
        <v>44.829564077351698</v>
      </c>
      <c r="D84" s="1036">
        <f t="shared" ref="D84" si="161">100*((B84/B83)-1)</f>
        <v>0</v>
      </c>
      <c r="E84" s="1036">
        <f t="shared" ref="E84" si="162">100*((B84/$B$77)-1)</f>
        <v>0</v>
      </c>
      <c r="F84" s="1037">
        <f t="shared" ref="F84" si="163">100*((B84/B72)-1)</f>
        <v>-23.733184637903403</v>
      </c>
      <c r="G84" s="1038">
        <f t="shared" ref="G84" si="164">100*((C84/C60)-1)</f>
        <v>-25.801858005017976</v>
      </c>
      <c r="H84" s="871">
        <f t="shared" si="119"/>
        <v>1</v>
      </c>
      <c r="I84" s="718"/>
      <c r="J84" s="718"/>
      <c r="K84" s="718"/>
    </row>
    <row r="85" spans="1:11">
      <c r="A85" s="1032" t="str">
        <f>Diesel_S10!A85</f>
        <v>AGOSTO|18</v>
      </c>
      <c r="B85" s="1073">
        <f>[72]media_12!$D$8</f>
        <v>1.7903333333333336</v>
      </c>
      <c r="C85" s="1073">
        <f t="shared" ref="C85" si="165">100*B85/$B$8</f>
        <v>44.010160603080969</v>
      </c>
      <c r="D85" s="1036">
        <f t="shared" ref="D85" si="166">100*((B85/B84)-1)</f>
        <v>-1.8278194114421553</v>
      </c>
      <c r="E85" s="1036">
        <f t="shared" ref="E85" si="167">100*((B85/$B$77)-1)</f>
        <v>-1.8278194114421553</v>
      </c>
      <c r="F85" s="1037">
        <f t="shared" ref="F85" si="168">100*((B85/B73)-1)</f>
        <v>-25.127204293580551</v>
      </c>
      <c r="G85" s="1038">
        <f t="shared" ref="G85" si="169">100*((C85/C61)-1)</f>
        <v>-27.158066047331666</v>
      </c>
      <c r="H85" s="871">
        <f t="shared" si="119"/>
        <v>1.0186185067957549</v>
      </c>
      <c r="I85" s="718"/>
      <c r="J85" s="718"/>
      <c r="K85" s="718"/>
    </row>
    <row r="86" spans="1:11">
      <c r="A86" s="1032" t="str">
        <f>Diesel_S10!A86</f>
        <v>SETEMBRO|18</v>
      </c>
      <c r="B86" s="1073">
        <f>[81]media_12!$D$8</f>
        <v>1.7903333333333336</v>
      </c>
      <c r="C86" s="1073">
        <f t="shared" ref="C86" si="170">100*B86/$B$8</f>
        <v>44.010160603080969</v>
      </c>
      <c r="D86" s="1036">
        <f t="shared" ref="D86" si="171">100*((B86/B85)-1)</f>
        <v>0</v>
      </c>
      <c r="E86" s="1036">
        <f t="shared" ref="E86" si="172">100*((B86/$B$77)-1)</f>
        <v>-1.8278194114421553</v>
      </c>
      <c r="F86" s="1037">
        <f t="shared" ref="F86" si="173">100*((B86/B74)-1)</f>
        <v>-25.127204293580551</v>
      </c>
      <c r="G86" s="1038">
        <f t="shared" ref="G86" si="174">100*((C86/C62)-1)</f>
        <v>-27.158066047331666</v>
      </c>
      <c r="H86" s="871">
        <f t="shared" si="119"/>
        <v>1.0186185067957549</v>
      </c>
      <c r="I86" s="718"/>
      <c r="J86" s="718"/>
      <c r="K86" s="718"/>
    </row>
    <row r="87" spans="1:11">
      <c r="A87" s="1032" t="str">
        <f>Diesel_S10!A87</f>
        <v>OUTUBRO|18</v>
      </c>
      <c r="B87" s="1073">
        <f>[89]media_12!$D$8</f>
        <v>1.7903333333333336</v>
      </c>
      <c r="C87" s="1073">
        <f t="shared" ref="C87" si="175">100*B87/$B$8</f>
        <v>44.010160603080969</v>
      </c>
      <c r="D87" s="1036">
        <f t="shared" ref="D87" si="176">100*((B87/B86)-1)</f>
        <v>0</v>
      </c>
      <c r="E87" s="1036">
        <f t="shared" ref="E87" si="177">100*((B87/$B$77)-1)</f>
        <v>-1.8278194114421553</v>
      </c>
      <c r="F87" s="1037">
        <f t="shared" ref="F87" si="178">100*((B87/B75)-1)</f>
        <v>-25.127204293580551</v>
      </c>
      <c r="G87" s="1038">
        <f t="shared" ref="G87" si="179">100*((C87/C63)-1)</f>
        <v>-27.158066047331666</v>
      </c>
      <c r="H87" s="871">
        <f t="shared" si="119"/>
        <v>1.0186185067957549</v>
      </c>
      <c r="I87" s="718"/>
      <c r="J87" s="718"/>
      <c r="K87" s="718"/>
    </row>
    <row r="88" spans="1:11">
      <c r="A88" s="1032" t="str">
        <f>Diesel_S10!A88</f>
        <v>NOVEMBRO|18</v>
      </c>
      <c r="B88" s="1073">
        <f>[97]media_12!$D$8</f>
        <v>1.7903333333333336</v>
      </c>
      <c r="C88" s="1073">
        <f t="shared" ref="C88" si="180">100*B88/$B$8</f>
        <v>44.010160603080969</v>
      </c>
      <c r="D88" s="1036">
        <f t="shared" ref="D88" si="181">100*((B88/B87)-1)</f>
        <v>0</v>
      </c>
      <c r="E88" s="1036">
        <f t="shared" ref="E88" si="182">100*((B88/$B$77)-1)</f>
        <v>-1.8278194114421553</v>
      </c>
      <c r="F88" s="1037">
        <f t="shared" ref="F88" si="183">100*((B88/B76)-1)</f>
        <v>-1.8278194114421553</v>
      </c>
      <c r="G88" s="1038">
        <f t="shared" ref="G88" si="184">100*((C88/C64)-1)</f>
        <v>-25.127204293580551</v>
      </c>
      <c r="H88" s="871">
        <f t="shared" si="119"/>
        <v>1.0186185067957549</v>
      </c>
      <c r="I88" s="718"/>
      <c r="J88" s="718"/>
      <c r="K88" s="718"/>
    </row>
    <row r="89" spans="1:11">
      <c r="A89" s="1032" t="str">
        <f>Diesel_S10!A89</f>
        <v>DEZEMBRO|18</v>
      </c>
      <c r="B89" s="1073">
        <f>[105]media_12!$D$8</f>
        <v>1.7903333333333336</v>
      </c>
      <c r="C89" s="1073">
        <f t="shared" ref="C89" si="185">100*B89/$B$8</f>
        <v>44.010160603080969</v>
      </c>
      <c r="D89" s="1036">
        <f t="shared" ref="D89" si="186">100*((B89/B88)-1)</f>
        <v>0</v>
      </c>
      <c r="E89" s="1036">
        <f t="shared" ref="E89" si="187">100*((B89/$B$77)-1)</f>
        <v>-1.8278194114421553</v>
      </c>
      <c r="F89" s="1037">
        <f t="shared" ref="F89" si="188">100*((B89/B77)-1)</f>
        <v>-1.8278194114421553</v>
      </c>
      <c r="G89" s="1038">
        <f t="shared" ref="G89" si="189">100*((C89/C65)-1)</f>
        <v>-25.127204293580551</v>
      </c>
      <c r="H89" s="871">
        <f t="shared" si="119"/>
        <v>1.0186185067957549</v>
      </c>
      <c r="I89" s="718"/>
      <c r="J89" s="718"/>
      <c r="K89" s="718"/>
    </row>
    <row r="90" spans="1:11">
      <c r="A90" s="1032" t="str">
        <f>Diesel_S10!A90</f>
        <v>JANEIRO|19</v>
      </c>
      <c r="B90" s="1073">
        <f>[15]media_12!$D$8</f>
        <v>1.7903333333333336</v>
      </c>
      <c r="C90" s="1073">
        <f t="shared" ref="C90" si="190">100*B90/$B$8</f>
        <v>44.010160603080969</v>
      </c>
      <c r="D90" s="1036">
        <f t="shared" ref="D90" si="191">100*((B90/B89)-1)</f>
        <v>0</v>
      </c>
      <c r="E90" s="1036">
        <f t="shared" ref="E90:E95" si="192">100*((B90/$B$89)-1)</f>
        <v>0</v>
      </c>
      <c r="F90" s="1037">
        <f t="shared" ref="F90" si="193">100*((B90/B78)-1)</f>
        <v>-1.8278194114421553</v>
      </c>
      <c r="G90" s="1038">
        <f t="shared" ref="G90" si="194">100*((C90/C66)-1)</f>
        <v>-25.127204293580551</v>
      </c>
      <c r="H90" s="871">
        <f t="shared" si="119"/>
        <v>1.0186185067957549</v>
      </c>
      <c r="I90" s="718"/>
      <c r="J90" s="718"/>
      <c r="K90" s="718"/>
    </row>
    <row r="91" spans="1:11">
      <c r="A91" s="1032" t="str">
        <f>Diesel_S10!A91</f>
        <v>FEVEREIRO|19</v>
      </c>
      <c r="B91" s="1073">
        <f>[23]media_12!$D$8</f>
        <v>1.7653333333333334</v>
      </c>
      <c r="C91" s="1073">
        <f t="shared" ref="C91" si="195">100*B91/$B$8</f>
        <v>43.395607997377915</v>
      </c>
      <c r="D91" s="1036">
        <f t="shared" ref="D91" si="196">100*((B91/B90)-1)</f>
        <v>-1.3963880096816261</v>
      </c>
      <c r="E91" s="1036">
        <f t="shared" si="192"/>
        <v>-1.3963880096816261</v>
      </c>
      <c r="F91" s="1037">
        <f t="shared" ref="F91" si="197">100*((B91/B79)-1)</f>
        <v>-3.1986839700237746</v>
      </c>
      <c r="G91" s="1038">
        <f t="shared" ref="G91" si="198">100*((C91/C67)-1)</f>
        <v>-26.17271903533841</v>
      </c>
      <c r="H91" s="871">
        <f t="shared" si="119"/>
        <v>1.0330438066465257</v>
      </c>
      <c r="I91" s="718"/>
      <c r="J91" s="718"/>
      <c r="K91" s="718"/>
    </row>
    <row r="92" spans="1:11">
      <c r="A92" s="1032" t="str">
        <f>Diesel_S10!A92</f>
        <v>MARÇO|19</v>
      </c>
      <c r="B92" s="1073">
        <f>[31]media_12!$D$8</f>
        <v>1.7653333333333334</v>
      </c>
      <c r="C92" s="1073">
        <f t="shared" ref="C92" si="199">100*B92/$B$8</f>
        <v>43.395607997377915</v>
      </c>
      <c r="D92" s="1036">
        <f t="shared" ref="D92" si="200">100*((B92/B91)-1)</f>
        <v>0</v>
      </c>
      <c r="E92" s="1036">
        <f t="shared" si="192"/>
        <v>-1.3963880096816261</v>
      </c>
      <c r="F92" s="1037">
        <f t="shared" ref="F92" si="201">100*((B92/B80)-1)</f>
        <v>-3.1986839700237746</v>
      </c>
      <c r="G92" s="1038">
        <f t="shared" ref="G92" si="202">100*((C92/C68)-1)</f>
        <v>-26.17271903533841</v>
      </c>
      <c r="H92" s="871">
        <f t="shared" si="119"/>
        <v>1.0330438066465257</v>
      </c>
      <c r="I92" s="718"/>
      <c r="J92" s="718"/>
      <c r="K92" s="718"/>
    </row>
    <row r="93" spans="1:11">
      <c r="A93" s="1032" t="str">
        <f>Diesel_S10!A93</f>
        <v>ABRIL|19</v>
      </c>
      <c r="B93" s="1073">
        <f>[39]media_12!$D$8</f>
        <v>1.7653333333333334</v>
      </c>
      <c r="C93" s="1073">
        <f t="shared" ref="C93" si="203">100*B93/$B$8</f>
        <v>43.395607997377915</v>
      </c>
      <c r="D93" s="1036">
        <f t="shared" ref="D93" si="204">100*((B93/B92)-1)</f>
        <v>0</v>
      </c>
      <c r="E93" s="1036">
        <f t="shared" si="192"/>
        <v>-1.3963880096816261</v>
      </c>
      <c r="F93" s="1037">
        <f t="shared" ref="F93" si="205">100*((B93/B81)-1)</f>
        <v>-3.1986839700237746</v>
      </c>
      <c r="G93" s="1038">
        <f t="shared" ref="G93" si="206">100*((C93/C69)-1)</f>
        <v>-26.17271903533841</v>
      </c>
      <c r="H93" s="871">
        <f t="shared" si="119"/>
        <v>1.0330438066465257</v>
      </c>
      <c r="I93" s="718"/>
      <c r="J93" s="718"/>
      <c r="K93" s="718"/>
    </row>
    <row r="94" spans="1:11">
      <c r="A94" s="1032" t="str">
        <f>Diesel_S10!A94</f>
        <v>MAIO|19</v>
      </c>
      <c r="B94" s="1073">
        <f>[47]media_12!$D$8</f>
        <v>1.823666666666667</v>
      </c>
      <c r="C94" s="1073">
        <f t="shared" ref="C94" si="207">100*B94/$B$8</f>
        <v>44.829564077351698</v>
      </c>
      <c r="D94" s="1036">
        <f t="shared" ref="D94" si="208">100*((B94/B93)-1)</f>
        <v>3.3043806646525731</v>
      </c>
      <c r="E94" s="1036">
        <f t="shared" si="192"/>
        <v>1.8618506795754941</v>
      </c>
      <c r="F94" s="1037">
        <f t="shared" ref="F94" si="209">100*((B94/B82)-1)</f>
        <v>0</v>
      </c>
      <c r="G94" s="1038">
        <f t="shared" ref="G94" si="210">100*((C94/C70)-1)</f>
        <v>-23.733184637903403</v>
      </c>
      <c r="H94" s="871">
        <f t="shared" si="119"/>
        <v>1</v>
      </c>
      <c r="I94" s="718"/>
      <c r="J94" s="718"/>
      <c r="K94" s="718"/>
    </row>
    <row r="95" spans="1:11">
      <c r="A95" s="1032" t="str">
        <f>Diesel_S10!A95</f>
        <v>JUNHO|19</v>
      </c>
      <c r="B95" s="1073">
        <f>[55]media_12!$D$8</f>
        <v>1.823666666666667</v>
      </c>
      <c r="C95" s="1073">
        <f t="shared" ref="C95" si="211">100*B95/$B$8</f>
        <v>44.829564077351698</v>
      </c>
      <c r="D95" s="1036">
        <f t="shared" ref="D95" si="212">100*((B95/B94)-1)</f>
        <v>0</v>
      </c>
      <c r="E95" s="1036">
        <f t="shared" si="192"/>
        <v>1.8618506795754941</v>
      </c>
      <c r="F95" s="1037">
        <f t="shared" ref="F95" si="213">100*((B95/B83)-1)</f>
        <v>0</v>
      </c>
      <c r="G95" s="1038">
        <f t="shared" ref="G95" si="214">100*((C95/C71)-1)</f>
        <v>-23.733184637903403</v>
      </c>
      <c r="H95" s="871">
        <f t="shared" si="119"/>
        <v>1</v>
      </c>
      <c r="I95" s="718"/>
      <c r="J95" s="718"/>
      <c r="K95" s="718"/>
    </row>
    <row r="96" spans="1:11">
      <c r="A96" s="1032" t="str">
        <f>Diesel_S10!A96</f>
        <v>JULHO|19</v>
      </c>
      <c r="B96" s="1073">
        <f>[64]media_12!$D$8</f>
        <v>1.7903333333333336</v>
      </c>
      <c r="C96" s="1073">
        <f t="shared" ref="C96" si="215">100*B96/$B$8</f>
        <v>44.010160603080969</v>
      </c>
      <c r="D96" s="1036">
        <f t="shared" ref="D96" si="216">100*((B96/B95)-1)</f>
        <v>-1.8278194114421553</v>
      </c>
      <c r="E96" s="1036">
        <f t="shared" ref="E96" si="217">100*((B96/$B$89)-1)</f>
        <v>0</v>
      </c>
      <c r="F96" s="1037">
        <f t="shared" ref="F96" si="218">100*((B96/B84)-1)</f>
        <v>-1.8278194114421553</v>
      </c>
      <c r="G96" s="1038">
        <f t="shared" ref="G96" si="219">100*((C96/C72)-1)</f>
        <v>-25.127204293580551</v>
      </c>
      <c r="H96" s="871">
        <f t="shared" si="119"/>
        <v>1.0186185067957549</v>
      </c>
      <c r="I96" s="718"/>
      <c r="J96" s="718"/>
      <c r="K96" s="718"/>
    </row>
    <row r="97" spans="1:12">
      <c r="A97" s="1032" t="str">
        <f>Diesel_S10!A97</f>
        <v>AGOSTO|19</v>
      </c>
      <c r="B97" s="1073">
        <f>[73]media_12!$D$8</f>
        <v>1.7903333333333336</v>
      </c>
      <c r="C97" s="1073">
        <f t="shared" ref="C97" si="220">100*B97/$B$8</f>
        <v>44.010160603080969</v>
      </c>
      <c r="D97" s="1036">
        <f t="shared" ref="D97" si="221">100*((B97/B96)-1)</f>
        <v>0</v>
      </c>
      <c r="E97" s="1036">
        <f t="shared" ref="E97" si="222">100*((B97/$B$89)-1)</f>
        <v>0</v>
      </c>
      <c r="F97" s="1037">
        <f t="shared" ref="F97" si="223">100*((B97/B85)-1)</f>
        <v>0</v>
      </c>
      <c r="G97" s="1038">
        <f t="shared" ref="G97" si="224">100*((C97/C73)-1)</f>
        <v>-25.127204293580551</v>
      </c>
      <c r="H97" s="871">
        <f t="shared" si="119"/>
        <v>1.0186185067957549</v>
      </c>
      <c r="I97" s="718"/>
      <c r="J97" s="718"/>
      <c r="K97" s="718"/>
    </row>
    <row r="98" spans="1:12">
      <c r="A98" s="1032" t="str">
        <f>Diesel_S10!A98</f>
        <v>SETEMBRO|19</v>
      </c>
      <c r="B98" s="1073">
        <f>[82]media_12!$D$8</f>
        <v>1.7903333333333336</v>
      </c>
      <c r="C98" s="1073">
        <f t="shared" ref="C98" si="225">100*B98/$B$8</f>
        <v>44.010160603080969</v>
      </c>
      <c r="D98" s="1036">
        <f t="shared" ref="D98" si="226">100*((B98/B97)-1)</f>
        <v>0</v>
      </c>
      <c r="E98" s="1036">
        <f t="shared" ref="E98" si="227">100*((B98/$B$89)-1)</f>
        <v>0</v>
      </c>
      <c r="F98" s="1037">
        <f t="shared" ref="F98" si="228">100*((B98/B86)-1)</f>
        <v>0</v>
      </c>
      <c r="G98" s="1038">
        <f t="shared" ref="G98" si="229">100*((C98/C74)-1)</f>
        <v>-25.127204293580551</v>
      </c>
      <c r="H98" s="871">
        <f t="shared" si="119"/>
        <v>1.0186185067957549</v>
      </c>
      <c r="I98" s="718"/>
      <c r="J98" s="718"/>
      <c r="K98" s="718"/>
    </row>
    <row r="99" spans="1:12">
      <c r="A99" s="1032" t="str">
        <f>Diesel_S10!A99</f>
        <v>OUTUBRO|19</v>
      </c>
      <c r="B99" s="1073">
        <f>[90]media_12!$D$8</f>
        <v>1.7903333333333336</v>
      </c>
      <c r="C99" s="1073">
        <f t="shared" ref="C99" si="230">100*B99/$B$8</f>
        <v>44.010160603080969</v>
      </c>
      <c r="D99" s="1036">
        <f t="shared" ref="D99" si="231">100*((B99/B98)-1)</f>
        <v>0</v>
      </c>
      <c r="E99" s="1036">
        <f t="shared" ref="E99" si="232">100*((B99/$B$89)-1)</f>
        <v>0</v>
      </c>
      <c r="F99" s="1037">
        <f t="shared" ref="F99" si="233">100*((B99/B87)-1)</f>
        <v>0</v>
      </c>
      <c r="G99" s="1038">
        <f t="shared" ref="G99" si="234">100*((C99/C75)-1)</f>
        <v>-25.127204293580551</v>
      </c>
      <c r="H99" s="871">
        <f t="shared" si="119"/>
        <v>1.0186185067957549</v>
      </c>
      <c r="I99" s="718"/>
      <c r="J99" s="718"/>
      <c r="K99" s="718"/>
    </row>
    <row r="100" spans="1:12">
      <c r="A100" s="1032" t="str">
        <f>Diesel_S10!A100</f>
        <v>NOVEMBRO|19</v>
      </c>
      <c r="B100" s="1073">
        <f>[98]media_12!$D$8</f>
        <v>1.7903333333333336</v>
      </c>
      <c r="C100" s="1073">
        <f t="shared" ref="C100" si="235">100*B100/$B$8</f>
        <v>44.010160603080969</v>
      </c>
      <c r="D100" s="1036">
        <f t="shared" ref="D100" si="236">100*((B100/B99)-1)</f>
        <v>0</v>
      </c>
      <c r="E100" s="1036">
        <f t="shared" ref="E100" si="237">100*((B100/$B$89)-1)</f>
        <v>0</v>
      </c>
      <c r="F100" s="1037">
        <f t="shared" ref="F100" si="238">100*((B100/B88)-1)</f>
        <v>0</v>
      </c>
      <c r="G100" s="1038">
        <f t="shared" ref="G100" si="239">100*((C100/C76)-1)</f>
        <v>-1.8278194114421442</v>
      </c>
      <c r="H100" s="871">
        <f t="shared" si="119"/>
        <v>1.0186185067957549</v>
      </c>
      <c r="I100" s="718"/>
      <c r="J100" s="718"/>
      <c r="K100" s="718"/>
    </row>
    <row r="101" spans="1:12">
      <c r="A101" s="1032" t="str">
        <f>Diesel_S10!A101</f>
        <v>DEZEMBRO|19</v>
      </c>
      <c r="B101" s="1073">
        <f>[106]media_12!$D$8</f>
        <v>1.7903333333333336</v>
      </c>
      <c r="C101" s="1073">
        <f t="shared" ref="C101" si="240">100*B101/$B$8</f>
        <v>44.010160603080969</v>
      </c>
      <c r="D101" s="1036">
        <f t="shared" ref="D101" si="241">100*((B101/B100)-1)</f>
        <v>0</v>
      </c>
      <c r="E101" s="1036">
        <f t="shared" ref="E101" si="242">100*((B101/$B$89)-1)</f>
        <v>0</v>
      </c>
      <c r="F101" s="1037">
        <f t="shared" ref="F101" si="243">100*((B101/B89)-1)</f>
        <v>0</v>
      </c>
      <c r="G101" s="1038">
        <f t="shared" ref="G101" si="244">100*((C101/C77)-1)</f>
        <v>-1.8278194114421442</v>
      </c>
      <c r="H101" s="871">
        <f t="shared" si="119"/>
        <v>1.0186185067957549</v>
      </c>
      <c r="I101" s="718"/>
      <c r="J101" s="718"/>
      <c r="K101" s="718"/>
    </row>
    <row r="102" spans="1:12">
      <c r="A102" s="1032" t="str">
        <f>Diesel_S10!A102</f>
        <v>JANEIRO|20</v>
      </c>
      <c r="B102" s="1073">
        <f>[16]media_12!$D$8</f>
        <v>1.7903333333333336</v>
      </c>
      <c r="C102" s="1073">
        <f t="shared" ref="C102" si="245">100*B102/$B$8</f>
        <v>44.010160603080969</v>
      </c>
      <c r="D102" s="1036">
        <f t="shared" ref="D102" si="246">100*((B102/B101)-1)</f>
        <v>0</v>
      </c>
      <c r="E102" s="1036">
        <f t="shared" ref="E102:E107" si="247">100*((B102/$B$101)-1)</f>
        <v>0</v>
      </c>
      <c r="F102" s="1037">
        <f t="shared" ref="F102" si="248">100*((B102/B90)-1)</f>
        <v>0</v>
      </c>
      <c r="G102" s="1038">
        <f t="shared" ref="G102" si="249">100*((C102/C78)-1)</f>
        <v>-1.8278194114421442</v>
      </c>
      <c r="H102" s="871">
        <f t="shared" si="119"/>
        <v>1.0186185067957549</v>
      </c>
      <c r="I102" s="718"/>
      <c r="J102" s="718"/>
      <c r="K102" s="718"/>
    </row>
    <row r="103" spans="1:12">
      <c r="A103" s="1032" t="str">
        <f>Diesel_S10!A103</f>
        <v>FEVEREIRO|20</v>
      </c>
      <c r="B103" s="1073">
        <f>[24]media_12!$D$8</f>
        <v>1.9070000000000003</v>
      </c>
      <c r="C103" s="1073">
        <f t="shared" ref="C103" si="250">100*B103/$B$8</f>
        <v>46.878072763028527</v>
      </c>
      <c r="D103" s="1036">
        <f t="shared" ref="D103" si="251">100*((B103/B102)-1)</f>
        <v>6.5164773785142405</v>
      </c>
      <c r="E103" s="1036">
        <f t="shared" si="247"/>
        <v>6.5164773785142405</v>
      </c>
      <c r="F103" s="1037">
        <f t="shared" ref="F103" si="252">100*((B103/B91)-1)</f>
        <v>8.0249244712990997</v>
      </c>
      <c r="G103" s="1038">
        <f t="shared" ref="G103" si="253">100*((C103/C79)-1)</f>
        <v>4.5695485286053827</v>
      </c>
      <c r="H103" s="871">
        <f t="shared" si="119"/>
        <v>0.95630134591854576</v>
      </c>
      <c r="I103" s="718"/>
      <c r="J103" s="718"/>
      <c r="K103" s="718"/>
    </row>
    <row r="104" spans="1:12">
      <c r="A104" s="1032" t="str">
        <f>Diesel_S10!A104</f>
        <v>MARÇO|20</v>
      </c>
      <c r="B104" s="1073">
        <f>[32]media_12!$D$8</f>
        <v>1.9070000000000003</v>
      </c>
      <c r="C104" s="1073">
        <f t="shared" ref="C104" si="254">100*B104/$B$8</f>
        <v>46.878072763028527</v>
      </c>
      <c r="D104" s="1036">
        <f t="shared" ref="D104" si="255">100*((B104/B103)-1)</f>
        <v>0</v>
      </c>
      <c r="E104" s="1036">
        <f t="shared" si="247"/>
        <v>6.5164773785142405</v>
      </c>
      <c r="F104" s="1037">
        <f t="shared" ref="F104" si="256">100*((B104/B92)-1)</f>
        <v>8.0249244712990997</v>
      </c>
      <c r="G104" s="1038">
        <f t="shared" ref="G104" si="257">100*((C104/C80)-1)</f>
        <v>4.5695485286053827</v>
      </c>
      <c r="H104" s="871">
        <f t="shared" si="119"/>
        <v>0.95630134591854576</v>
      </c>
      <c r="I104" s="718"/>
      <c r="J104" s="718"/>
      <c r="K104" s="718"/>
    </row>
    <row r="105" spans="1:12">
      <c r="A105" s="1032" t="str">
        <f>Diesel_S10!A105</f>
        <v>ABRIL|20</v>
      </c>
      <c r="B105" s="1073">
        <f>[40]media_12!$D$8</f>
        <v>1.9070000000000003</v>
      </c>
      <c r="C105" s="1073">
        <f t="shared" ref="C105" si="258">100*B105/$B$8</f>
        <v>46.878072763028527</v>
      </c>
      <c r="D105" s="1036">
        <f t="shared" ref="D105" si="259">100*((B105/B104)-1)</f>
        <v>0</v>
      </c>
      <c r="E105" s="1036">
        <f t="shared" si="247"/>
        <v>6.5164773785142405</v>
      </c>
      <c r="F105" s="1037">
        <f t="shared" ref="F105" si="260">100*((B105/B93)-1)</f>
        <v>8.0249244712990997</v>
      </c>
      <c r="G105" s="1038">
        <f t="shared" ref="G105" si="261">100*((C105/C81)-1)</f>
        <v>4.5695485286053827</v>
      </c>
      <c r="H105" s="871">
        <f t="shared" si="119"/>
        <v>0.95630134591854576</v>
      </c>
      <c r="I105" s="718"/>
      <c r="J105" s="718"/>
      <c r="K105" s="718"/>
    </row>
    <row r="106" spans="1:12">
      <c r="A106" s="1032" t="str">
        <f>Diesel_S10!A106</f>
        <v>MAIO|20</v>
      </c>
      <c r="B106" s="1073">
        <f>[48]media_12!$D$8</f>
        <v>1.823666666666667</v>
      </c>
      <c r="C106" s="1073">
        <f t="shared" ref="C106" si="262">100*B106/$B$8</f>
        <v>44.829564077351698</v>
      </c>
      <c r="D106" s="1036">
        <f t="shared" ref="D106" si="263">100*((B106/B105)-1)</f>
        <v>-4.369865408145424</v>
      </c>
      <c r="E106" s="1036">
        <f t="shared" si="247"/>
        <v>1.8618506795754941</v>
      </c>
      <c r="F106" s="1037">
        <f t="shared" ref="F106" si="264">100*((B106/B94)-1)</f>
        <v>0</v>
      </c>
      <c r="G106" s="1038">
        <f t="shared" ref="G106" si="265">100*((C106/C82)-1)</f>
        <v>0</v>
      </c>
      <c r="H106" s="871">
        <f t="shared" si="119"/>
        <v>1</v>
      </c>
      <c r="I106" s="718"/>
      <c r="J106" s="718"/>
      <c r="K106" s="718"/>
    </row>
    <row r="107" spans="1:12">
      <c r="A107" s="1032" t="str">
        <f>Diesel_S10!A107</f>
        <v>JUNHO|20</v>
      </c>
      <c r="B107" s="1073">
        <f>[56]media_12!$D$8</f>
        <v>1.823666666666667</v>
      </c>
      <c r="C107" s="1073">
        <f t="shared" ref="C107" si="266">100*B107/$B$8</f>
        <v>44.829564077351698</v>
      </c>
      <c r="D107" s="1036">
        <f t="shared" ref="D107" si="267">100*((B107/B106)-1)</f>
        <v>0</v>
      </c>
      <c r="E107" s="1036">
        <f t="shared" si="247"/>
        <v>1.8618506795754941</v>
      </c>
      <c r="F107" s="1037">
        <f t="shared" ref="F107" si="268">100*((B107/B95)-1)</f>
        <v>0</v>
      </c>
      <c r="G107" s="1038">
        <f t="shared" ref="G107" si="269">100*((C107/C83)-1)</f>
        <v>0</v>
      </c>
      <c r="H107" s="871">
        <f t="shared" si="119"/>
        <v>1</v>
      </c>
      <c r="I107" s="718"/>
      <c r="J107" s="718"/>
      <c r="K107" s="718"/>
    </row>
    <row r="108" spans="1:12">
      <c r="A108" s="1032" t="str">
        <f>Diesel_S10!A108</f>
        <v>JULHO|20</v>
      </c>
      <c r="B108" s="1073">
        <f>[65]media_12!$D$8</f>
        <v>1.823666666666667</v>
      </c>
      <c r="C108" s="1073">
        <f t="shared" ref="C108" si="270">100*B108/$B$8</f>
        <v>44.829564077351698</v>
      </c>
      <c r="D108" s="1036">
        <f t="shared" ref="D108" si="271">100*((B108/B107)-1)</f>
        <v>0</v>
      </c>
      <c r="E108" s="1036">
        <f t="shared" ref="E108" si="272">100*((B108/$B$101)-1)</f>
        <v>1.8618506795754941</v>
      </c>
      <c r="F108" s="1037">
        <f t="shared" ref="F108" si="273">100*((B108/B96)-1)</f>
        <v>1.8618506795754941</v>
      </c>
      <c r="G108" s="1038">
        <f t="shared" ref="G108" si="274">100*((C108/C84)-1)</f>
        <v>0</v>
      </c>
      <c r="H108" s="871">
        <f t="shared" si="119"/>
        <v>1</v>
      </c>
      <c r="I108" s="718"/>
      <c r="J108" s="718"/>
      <c r="K108" s="718"/>
    </row>
    <row r="109" spans="1:12">
      <c r="A109" s="1032" t="str">
        <f>Diesel_S10!A109</f>
        <v>AGOSTO|20</v>
      </c>
      <c r="B109" s="1073">
        <f>[74]media_12!$D$8</f>
        <v>1.823666666666667</v>
      </c>
      <c r="C109" s="1073">
        <f t="shared" ref="C109" si="275">100*B109/$B$8</f>
        <v>44.829564077351698</v>
      </c>
      <c r="D109" s="1036">
        <f t="shared" ref="D109" si="276">100*((B109/B108)-1)</f>
        <v>0</v>
      </c>
      <c r="E109" s="1036">
        <f t="shared" ref="E109" si="277">100*((B109/$B$101)-1)</f>
        <v>1.8618506795754941</v>
      </c>
      <c r="F109" s="1037">
        <f t="shared" ref="F109" si="278">100*((B109/B97)-1)</f>
        <v>1.8618506795754941</v>
      </c>
      <c r="G109" s="1038">
        <f t="shared" ref="G109" si="279">100*((C109/C85)-1)</f>
        <v>1.8618506795754941</v>
      </c>
      <c r="H109" s="1075">
        <f t="shared" si="119"/>
        <v>1</v>
      </c>
      <c r="I109" s="718"/>
      <c r="J109" s="718"/>
      <c r="K109" s="718"/>
    </row>
    <row r="110" spans="1:12" ht="16.5" thickBot="1">
      <c r="A110" s="1046" t="str">
        <f>Diesel_S10!A110</f>
        <v>SETEMBRO|20</v>
      </c>
      <c r="B110" s="1065">
        <f>[123]media_12!$D$8</f>
        <v>1.823666666666667</v>
      </c>
      <c r="C110" s="1065">
        <f t="shared" ref="C110" si="280">100*B110/$B$8</f>
        <v>44.829564077351698</v>
      </c>
      <c r="D110" s="1048">
        <f t="shared" ref="D110" si="281">100*((B110/B109)-1)</f>
        <v>0</v>
      </c>
      <c r="E110" s="1048">
        <f t="shared" ref="E110" si="282">100*((B110/$B$101)-1)</f>
        <v>1.8618506795754941</v>
      </c>
      <c r="F110" s="1051">
        <f t="shared" ref="F110" si="283">100*((B110/B98)-1)</f>
        <v>1.8618506795754941</v>
      </c>
      <c r="G110" s="1052">
        <f t="shared" ref="G110" si="284">100*((C110/C86)-1)</f>
        <v>1.8618506795754941</v>
      </c>
      <c r="H110" s="1066">
        <f t="shared" si="119"/>
        <v>1</v>
      </c>
      <c r="I110" s="718"/>
      <c r="J110" s="718"/>
      <c r="K110" s="718"/>
    </row>
    <row r="111" spans="1:12">
      <c r="A111" s="758" t="s">
        <v>238</v>
      </c>
      <c r="B111" s="759"/>
      <c r="C111" s="759"/>
      <c r="D111" s="759"/>
      <c r="E111" s="759"/>
      <c r="F111" s="759"/>
      <c r="G111" s="759"/>
      <c r="H111" s="759"/>
      <c r="I111" s="759"/>
      <c r="J111" s="759"/>
      <c r="K111" s="759"/>
      <c r="L111" s="759"/>
    </row>
    <row r="112" spans="1:12">
      <c r="A112" s="764"/>
      <c r="B112" s="759"/>
      <c r="C112" s="759"/>
      <c r="D112" s="759"/>
      <c r="E112" s="759"/>
      <c r="F112" s="759"/>
      <c r="G112" s="759"/>
      <c r="H112" s="759"/>
      <c r="I112" s="759"/>
      <c r="J112" s="759"/>
      <c r="K112" s="759"/>
      <c r="L112" s="759"/>
    </row>
    <row r="113" spans="1:12">
      <c r="B113" s="759"/>
      <c r="C113" s="759"/>
      <c r="D113" s="759"/>
      <c r="E113" s="759"/>
      <c r="F113" s="759"/>
      <c r="G113" s="759"/>
      <c r="H113" s="759"/>
      <c r="I113" s="759"/>
      <c r="J113" s="759"/>
      <c r="K113" s="759"/>
      <c r="L113" s="759"/>
    </row>
    <row r="114" spans="1:12">
      <c r="A114" s="765"/>
      <c r="B114" s="759"/>
      <c r="C114" s="759"/>
      <c r="D114" s="759"/>
      <c r="E114" s="759"/>
      <c r="F114" s="759"/>
      <c r="G114" s="759"/>
      <c r="H114" s="759"/>
      <c r="I114" s="759"/>
      <c r="J114" s="759"/>
      <c r="K114" s="759"/>
      <c r="L114" s="759"/>
    </row>
    <row r="115" spans="1:12">
      <c r="B115" s="759"/>
      <c r="C115" s="1214"/>
      <c r="D115" s="759"/>
      <c r="E115" s="759"/>
      <c r="F115" s="759"/>
      <c r="G115" s="759"/>
      <c r="H115" s="759"/>
      <c r="I115" s="759"/>
      <c r="J115" s="759"/>
      <c r="K115" s="759"/>
      <c r="L115" s="759"/>
    </row>
    <row r="116" spans="1:12">
      <c r="B116" s="759"/>
      <c r="C116" s="759"/>
      <c r="D116" s="759"/>
      <c r="E116" s="759"/>
      <c r="F116" s="759"/>
      <c r="G116" s="759"/>
      <c r="H116" s="759"/>
      <c r="I116" s="759"/>
      <c r="J116" s="759"/>
      <c r="K116" s="759"/>
      <c r="L116" s="759"/>
    </row>
    <row r="117" spans="1:12">
      <c r="A117" s="766"/>
      <c r="B117" s="767"/>
      <c r="C117" s="767"/>
      <c r="D117" s="768"/>
      <c r="E117" s="767"/>
      <c r="F117" s="759"/>
      <c r="G117" s="759"/>
      <c r="H117" s="759"/>
      <c r="I117" s="759"/>
      <c r="J117" s="759"/>
      <c r="K117" s="759"/>
      <c r="L117" s="759"/>
    </row>
    <row r="118" spans="1:12">
      <c r="A118" s="766"/>
      <c r="B118" s="759"/>
      <c r="C118" s="759"/>
      <c r="D118" s="759"/>
      <c r="E118" s="759"/>
      <c r="F118" s="759"/>
      <c r="G118" s="759"/>
      <c r="H118" s="759"/>
      <c r="I118" s="759"/>
      <c r="J118" s="759"/>
      <c r="K118" s="759"/>
      <c r="L118" s="759"/>
    </row>
    <row r="119" spans="1:12">
      <c r="B119" s="759"/>
      <c r="C119" s="759"/>
      <c r="D119" s="759"/>
      <c r="E119" s="759"/>
      <c r="F119" s="759"/>
      <c r="G119" s="759"/>
      <c r="H119" s="759"/>
      <c r="I119" s="759"/>
      <c r="J119" s="759"/>
      <c r="K119" s="759"/>
      <c r="L119" s="759"/>
    </row>
    <row r="120" spans="1:12">
      <c r="B120" s="759"/>
      <c r="C120" s="759"/>
      <c r="D120" s="759"/>
      <c r="E120" s="759"/>
      <c r="F120" s="759"/>
      <c r="G120" s="759"/>
      <c r="H120" s="759"/>
      <c r="I120" s="759"/>
      <c r="J120" s="759"/>
      <c r="K120" s="759"/>
      <c r="L120" s="759"/>
    </row>
    <row r="121" spans="1:12">
      <c r="B121" s="759"/>
      <c r="C121" s="759"/>
      <c r="D121" s="759"/>
      <c r="E121" s="759"/>
      <c r="F121" s="759"/>
      <c r="G121" s="759"/>
      <c r="H121" s="759"/>
      <c r="I121" s="759"/>
      <c r="J121" s="759"/>
      <c r="K121" s="759"/>
      <c r="L121" s="759"/>
    </row>
    <row r="122" spans="1:12">
      <c r="B122" s="759"/>
      <c r="C122" s="759"/>
      <c r="D122" s="759"/>
      <c r="E122" s="759"/>
      <c r="F122" s="759"/>
      <c r="G122" s="759"/>
      <c r="H122" s="759"/>
      <c r="I122" s="759"/>
      <c r="J122" s="759"/>
      <c r="K122" s="759"/>
      <c r="L122" s="759"/>
    </row>
    <row r="123" spans="1:12">
      <c r="B123" s="759"/>
      <c r="C123" s="759"/>
      <c r="D123" s="759"/>
      <c r="E123" s="759"/>
      <c r="F123" s="759"/>
      <c r="G123" s="759"/>
      <c r="H123" s="759"/>
      <c r="I123" s="759"/>
      <c r="J123" s="759"/>
      <c r="K123" s="759"/>
      <c r="L123" s="759"/>
    </row>
    <row r="124" spans="1:12">
      <c r="B124" s="759"/>
      <c r="C124" s="759"/>
      <c r="D124" s="759"/>
      <c r="E124" s="759"/>
      <c r="F124" s="759"/>
      <c r="G124" s="759"/>
      <c r="H124" s="759"/>
      <c r="I124" s="759"/>
      <c r="J124" s="759"/>
      <c r="K124" s="759"/>
      <c r="L124" s="759"/>
    </row>
    <row r="125" spans="1:12">
      <c r="B125" s="759"/>
      <c r="C125" s="759"/>
      <c r="D125" s="759"/>
      <c r="E125" s="759"/>
      <c r="F125" s="759"/>
      <c r="G125" s="759"/>
      <c r="H125" s="759"/>
      <c r="I125" s="759"/>
      <c r="J125" s="759"/>
      <c r="K125" s="759"/>
      <c r="L125" s="759"/>
    </row>
    <row r="126" spans="1:12">
      <c r="B126" s="759"/>
      <c r="C126" s="759"/>
      <c r="D126" s="759"/>
      <c r="E126" s="759"/>
      <c r="F126" s="759"/>
      <c r="G126" s="759"/>
      <c r="H126" s="759"/>
      <c r="I126" s="759"/>
      <c r="J126" s="759"/>
      <c r="K126" s="759"/>
      <c r="L126" s="759"/>
    </row>
    <row r="127" spans="1:12">
      <c r="B127" s="759"/>
      <c r="C127" s="759"/>
      <c r="D127" s="759"/>
      <c r="E127" s="759"/>
      <c r="F127" s="759"/>
      <c r="G127" s="759"/>
      <c r="H127" s="759"/>
      <c r="I127" s="759"/>
      <c r="J127" s="759"/>
      <c r="K127" s="759"/>
      <c r="L127" s="759"/>
    </row>
    <row r="128" spans="1:12">
      <c r="B128" s="759"/>
      <c r="C128" s="759"/>
      <c r="D128" s="759"/>
      <c r="E128" s="759"/>
      <c r="F128" s="759"/>
      <c r="G128" s="759"/>
      <c r="H128" s="759"/>
      <c r="I128" s="759"/>
      <c r="J128" s="759"/>
      <c r="K128" s="759"/>
      <c r="L128" s="759"/>
    </row>
    <row r="129" spans="1:12">
      <c r="B129" s="759"/>
      <c r="C129" s="759"/>
      <c r="D129" s="759"/>
      <c r="E129" s="759"/>
      <c r="F129" s="759"/>
      <c r="G129" s="759"/>
      <c r="H129" s="759"/>
      <c r="I129" s="759"/>
      <c r="J129" s="759"/>
      <c r="K129" s="759"/>
      <c r="L129" s="759"/>
    </row>
    <row r="130" spans="1:12">
      <c r="B130" s="759"/>
      <c r="C130" s="759"/>
      <c r="D130" s="759"/>
      <c r="E130" s="759"/>
      <c r="F130" s="759"/>
      <c r="G130" s="759"/>
      <c r="H130" s="759"/>
      <c r="I130" s="759"/>
      <c r="J130" s="759"/>
      <c r="K130" s="759"/>
      <c r="L130" s="759"/>
    </row>
    <row r="131" spans="1:12">
      <c r="A131" s="765"/>
      <c r="B131" s="759"/>
      <c r="C131" s="759"/>
      <c r="D131" s="759"/>
      <c r="E131" s="759"/>
      <c r="F131" s="759"/>
      <c r="G131" s="759"/>
      <c r="H131" s="759"/>
      <c r="I131" s="759"/>
      <c r="J131" s="759"/>
      <c r="K131" s="759"/>
      <c r="L131" s="759"/>
    </row>
    <row r="132" spans="1:12">
      <c r="B132" s="759"/>
      <c r="C132" s="759"/>
      <c r="D132" s="759"/>
      <c r="E132" s="759"/>
      <c r="F132" s="759"/>
      <c r="G132" s="759"/>
      <c r="H132" s="759"/>
      <c r="I132" s="759"/>
      <c r="J132" s="759"/>
      <c r="K132" s="759"/>
      <c r="L132" s="759"/>
    </row>
    <row r="133" spans="1:12">
      <c r="B133" s="759"/>
      <c r="C133" s="759"/>
      <c r="D133" s="759"/>
      <c r="E133" s="759"/>
      <c r="F133" s="759"/>
      <c r="G133" s="759"/>
      <c r="H133" s="759"/>
      <c r="I133" s="759"/>
      <c r="J133" s="759"/>
      <c r="K133" s="759"/>
      <c r="L133" s="759"/>
    </row>
    <row r="134" spans="1:12">
      <c r="A134" s="766"/>
      <c r="B134" s="767"/>
      <c r="C134" s="767"/>
      <c r="D134" s="768"/>
      <c r="E134" s="767"/>
      <c r="F134" s="759"/>
      <c r="G134" s="759"/>
      <c r="H134" s="759"/>
      <c r="I134" s="759"/>
      <c r="J134" s="759"/>
      <c r="K134" s="759"/>
      <c r="L134" s="759"/>
    </row>
    <row r="135" spans="1:12">
      <c r="A135" s="766"/>
      <c r="B135" s="759"/>
      <c r="C135" s="759"/>
      <c r="D135" s="759"/>
      <c r="E135" s="759"/>
      <c r="F135" s="759"/>
      <c r="G135" s="759"/>
      <c r="H135" s="759"/>
      <c r="I135" s="759"/>
      <c r="J135" s="759"/>
      <c r="K135" s="759"/>
      <c r="L135" s="759"/>
    </row>
    <row r="136" spans="1:12">
      <c r="B136" s="759"/>
      <c r="C136" s="759"/>
      <c r="D136" s="759"/>
      <c r="E136" s="759"/>
      <c r="F136" s="759"/>
      <c r="G136" s="759"/>
      <c r="H136" s="759"/>
      <c r="I136" s="759"/>
      <c r="J136" s="759"/>
      <c r="K136" s="759"/>
      <c r="L136" s="759"/>
    </row>
    <row r="137" spans="1:12">
      <c r="B137" s="759"/>
      <c r="C137" s="759"/>
      <c r="D137" s="759"/>
      <c r="E137" s="759"/>
      <c r="F137" s="759"/>
      <c r="G137" s="759"/>
      <c r="H137" s="759"/>
      <c r="I137" s="759"/>
      <c r="J137" s="759"/>
      <c r="K137" s="759"/>
      <c r="L137" s="759"/>
    </row>
    <row r="138" spans="1:12">
      <c r="B138" s="759"/>
      <c r="C138" s="759"/>
      <c r="D138" s="759"/>
      <c r="E138" s="759"/>
      <c r="F138" s="759"/>
      <c r="G138" s="759"/>
      <c r="H138" s="759"/>
      <c r="I138" s="759"/>
      <c r="J138" s="759"/>
      <c r="K138" s="759"/>
      <c r="L138" s="759"/>
    </row>
    <row r="139" spans="1:12">
      <c r="B139" s="759"/>
      <c r="C139" s="759"/>
      <c r="D139" s="759"/>
      <c r="E139" s="759"/>
      <c r="F139" s="759"/>
      <c r="G139" s="759"/>
      <c r="H139" s="759"/>
      <c r="I139" s="759"/>
      <c r="J139" s="759"/>
      <c r="K139" s="759"/>
      <c r="L139" s="759"/>
    </row>
    <row r="140" spans="1:12">
      <c r="B140" s="759"/>
      <c r="C140" s="759"/>
      <c r="D140" s="759"/>
      <c r="E140" s="759"/>
      <c r="F140" s="759"/>
      <c r="G140" s="759"/>
      <c r="H140" s="759"/>
      <c r="I140" s="759"/>
      <c r="J140" s="759"/>
      <c r="K140" s="759"/>
      <c r="L140" s="759"/>
    </row>
    <row r="141" spans="1:12">
      <c r="B141" s="759"/>
      <c r="C141" s="759"/>
      <c r="D141" s="759"/>
      <c r="E141" s="759"/>
      <c r="F141" s="759"/>
      <c r="G141" s="759"/>
      <c r="H141" s="759"/>
      <c r="I141" s="759"/>
      <c r="J141" s="759"/>
      <c r="K141" s="759"/>
      <c r="L141" s="759"/>
    </row>
    <row r="142" spans="1:12">
      <c r="B142" s="759"/>
      <c r="C142" s="759"/>
      <c r="D142" s="759"/>
      <c r="E142" s="759"/>
      <c r="F142" s="759"/>
      <c r="G142" s="759"/>
      <c r="H142" s="759"/>
      <c r="I142" s="759"/>
      <c r="J142" s="759"/>
      <c r="K142" s="759"/>
      <c r="L142" s="759"/>
    </row>
    <row r="143" spans="1:12">
      <c r="B143" s="759"/>
      <c r="C143" s="759"/>
      <c r="D143" s="759"/>
      <c r="E143" s="759"/>
      <c r="F143" s="759"/>
      <c r="G143" s="759"/>
      <c r="H143" s="759"/>
      <c r="I143" s="759"/>
      <c r="J143" s="759"/>
      <c r="K143" s="759"/>
      <c r="L143" s="759"/>
    </row>
    <row r="144" spans="1:12">
      <c r="B144" s="759"/>
      <c r="C144" s="759"/>
      <c r="D144" s="759"/>
      <c r="E144" s="759"/>
      <c r="F144" s="759"/>
      <c r="G144" s="759"/>
      <c r="H144" s="759"/>
      <c r="I144" s="759"/>
      <c r="J144" s="759"/>
      <c r="K144" s="759"/>
      <c r="L144" s="759"/>
    </row>
    <row r="145" spans="1:12">
      <c r="B145" s="759"/>
      <c r="C145" s="759"/>
      <c r="D145" s="759"/>
      <c r="E145" s="759"/>
      <c r="F145" s="759"/>
      <c r="G145" s="759"/>
      <c r="H145" s="759"/>
      <c r="I145" s="759"/>
      <c r="J145" s="759"/>
      <c r="K145" s="759"/>
      <c r="L145" s="759"/>
    </row>
    <row r="146" spans="1:12">
      <c r="B146" s="759"/>
      <c r="C146" s="759"/>
      <c r="D146" s="759"/>
      <c r="E146" s="759"/>
      <c r="F146" s="759"/>
      <c r="G146" s="759"/>
      <c r="H146" s="759"/>
      <c r="I146" s="759"/>
      <c r="J146" s="759"/>
      <c r="K146" s="759"/>
      <c r="L146" s="759"/>
    </row>
    <row r="147" spans="1:12">
      <c r="B147" s="759"/>
      <c r="C147" s="759"/>
      <c r="D147" s="759"/>
      <c r="E147" s="759"/>
      <c r="F147" s="759"/>
      <c r="G147" s="759"/>
      <c r="H147" s="759"/>
      <c r="I147" s="759"/>
      <c r="J147" s="759"/>
      <c r="K147" s="759"/>
      <c r="L147" s="759"/>
    </row>
    <row r="148" spans="1:12">
      <c r="A148" s="765"/>
      <c r="B148" s="759"/>
      <c r="C148" s="759"/>
      <c r="D148" s="759"/>
      <c r="E148" s="759"/>
      <c r="F148" s="759"/>
      <c r="G148" s="759"/>
      <c r="H148" s="759"/>
      <c r="I148" s="759"/>
      <c r="J148" s="759"/>
      <c r="K148" s="759"/>
      <c r="L148" s="759"/>
    </row>
    <row r="149" spans="1:12">
      <c r="B149" s="759"/>
      <c r="C149" s="759"/>
      <c r="D149" s="759"/>
      <c r="E149" s="759"/>
      <c r="F149" s="759"/>
      <c r="G149" s="759"/>
      <c r="H149" s="759"/>
      <c r="I149" s="759"/>
      <c r="J149" s="759"/>
      <c r="K149" s="759"/>
      <c r="L149" s="759"/>
    </row>
    <row r="150" spans="1:12">
      <c r="B150" s="759"/>
      <c r="C150" s="759"/>
      <c r="D150" s="759"/>
      <c r="E150" s="759"/>
      <c r="F150" s="759"/>
      <c r="G150" s="759"/>
      <c r="H150" s="759"/>
      <c r="I150" s="759"/>
      <c r="J150" s="759"/>
      <c r="K150" s="759"/>
      <c r="L150" s="759"/>
    </row>
    <row r="151" spans="1:12">
      <c r="B151" s="759"/>
      <c r="C151" s="759"/>
      <c r="D151" s="759"/>
      <c r="E151" s="759"/>
      <c r="F151" s="759"/>
      <c r="G151" s="759"/>
      <c r="H151" s="759"/>
      <c r="I151" s="759"/>
      <c r="J151" s="759"/>
      <c r="K151" s="759"/>
      <c r="L151" s="759"/>
    </row>
    <row r="152" spans="1:12">
      <c r="B152" s="759"/>
      <c r="C152" s="759"/>
      <c r="D152" s="759"/>
      <c r="E152" s="759"/>
      <c r="F152" s="759"/>
      <c r="G152" s="759"/>
      <c r="H152" s="759"/>
      <c r="I152" s="759"/>
      <c r="J152" s="759"/>
      <c r="K152" s="759"/>
      <c r="L152" s="759"/>
    </row>
    <row r="153" spans="1:12">
      <c r="B153" s="759"/>
      <c r="C153" s="759"/>
      <c r="D153" s="759"/>
      <c r="E153" s="759"/>
      <c r="F153" s="759"/>
      <c r="G153" s="759"/>
      <c r="H153" s="759"/>
      <c r="I153" s="759"/>
      <c r="J153" s="759"/>
      <c r="K153" s="759"/>
      <c r="L153" s="759"/>
    </row>
    <row r="154" spans="1:12">
      <c r="B154" s="759"/>
      <c r="C154" s="759"/>
      <c r="D154" s="759"/>
      <c r="E154" s="759"/>
      <c r="F154" s="759"/>
      <c r="G154" s="759"/>
      <c r="H154" s="759"/>
      <c r="I154" s="759"/>
      <c r="J154" s="759"/>
      <c r="K154" s="759"/>
      <c r="L154" s="759"/>
    </row>
    <row r="155" spans="1:12">
      <c r="B155" s="759"/>
      <c r="C155" s="759"/>
      <c r="D155" s="759"/>
      <c r="E155" s="759"/>
      <c r="F155" s="759"/>
      <c r="G155" s="759"/>
      <c r="H155" s="759"/>
      <c r="I155" s="759"/>
      <c r="J155" s="759"/>
      <c r="K155" s="759"/>
      <c r="L155" s="759"/>
    </row>
    <row r="156" spans="1:12">
      <c r="B156" s="759"/>
      <c r="C156" s="759"/>
      <c r="D156" s="759"/>
      <c r="E156" s="759"/>
      <c r="F156" s="759"/>
      <c r="G156" s="759"/>
      <c r="H156" s="759"/>
      <c r="I156" s="759"/>
      <c r="J156" s="759"/>
      <c r="K156" s="759"/>
      <c r="L156" s="759"/>
    </row>
    <row r="157" spans="1:12">
      <c r="B157" s="759"/>
      <c r="C157" s="759"/>
      <c r="D157" s="759"/>
      <c r="E157" s="759"/>
      <c r="F157" s="759"/>
      <c r="G157" s="759"/>
      <c r="H157" s="759"/>
      <c r="I157" s="759"/>
      <c r="J157" s="759"/>
      <c r="K157" s="759"/>
      <c r="L157" s="759"/>
    </row>
    <row r="158" spans="1:12">
      <c r="B158" s="759"/>
      <c r="C158" s="759"/>
      <c r="D158" s="759"/>
      <c r="E158" s="759"/>
      <c r="F158" s="759"/>
      <c r="G158" s="759"/>
      <c r="H158" s="759"/>
      <c r="I158" s="759"/>
      <c r="J158" s="759"/>
      <c r="K158" s="759"/>
      <c r="L158" s="759"/>
    </row>
    <row r="159" spans="1:12">
      <c r="B159" s="759"/>
      <c r="C159" s="759"/>
      <c r="D159" s="759"/>
      <c r="E159" s="759"/>
      <c r="F159" s="759"/>
      <c r="G159" s="759"/>
      <c r="H159" s="759"/>
      <c r="I159" s="759"/>
      <c r="J159" s="759"/>
      <c r="K159" s="759"/>
      <c r="L159" s="759"/>
    </row>
    <row r="160" spans="1:12">
      <c r="B160" s="759"/>
      <c r="C160" s="759"/>
      <c r="D160" s="759"/>
      <c r="E160" s="759"/>
      <c r="F160" s="759"/>
      <c r="G160" s="759"/>
      <c r="H160" s="759"/>
      <c r="I160" s="759"/>
      <c r="J160" s="759"/>
      <c r="K160" s="759"/>
      <c r="L160" s="759"/>
    </row>
    <row r="161" spans="2:12">
      <c r="B161" s="759"/>
      <c r="C161" s="759"/>
      <c r="D161" s="759"/>
      <c r="E161" s="759"/>
      <c r="F161" s="759"/>
      <c r="G161" s="759"/>
      <c r="H161" s="759"/>
      <c r="I161" s="759"/>
      <c r="J161" s="759"/>
      <c r="K161" s="759"/>
      <c r="L161" s="759"/>
    </row>
    <row r="162" spans="2:12">
      <c r="B162" s="759"/>
      <c r="C162" s="759"/>
      <c r="D162" s="759"/>
      <c r="E162" s="759"/>
      <c r="F162" s="759"/>
      <c r="G162" s="759"/>
      <c r="H162" s="759"/>
      <c r="I162" s="759"/>
      <c r="J162" s="759"/>
      <c r="K162" s="759"/>
      <c r="L162" s="759"/>
    </row>
    <row r="163" spans="2:12">
      <c r="B163" s="759"/>
      <c r="C163" s="759"/>
      <c r="D163" s="759"/>
      <c r="E163" s="759"/>
      <c r="F163" s="759"/>
      <c r="G163" s="759"/>
      <c r="H163" s="759"/>
      <c r="I163" s="759"/>
      <c r="J163" s="759"/>
      <c r="K163" s="759"/>
      <c r="L163" s="759"/>
    </row>
    <row r="164" spans="2:12">
      <c r="B164" s="759"/>
      <c r="C164" s="759"/>
      <c r="D164" s="759"/>
      <c r="E164" s="759"/>
      <c r="F164" s="759"/>
      <c r="G164" s="759"/>
      <c r="H164" s="759"/>
      <c r="I164" s="759"/>
      <c r="J164" s="759"/>
      <c r="K164" s="759"/>
      <c r="L164" s="759"/>
    </row>
    <row r="165" spans="2:12">
      <c r="B165" s="759"/>
      <c r="C165" s="759"/>
      <c r="D165" s="759"/>
      <c r="E165" s="759"/>
      <c r="F165" s="759"/>
      <c r="G165" s="759"/>
      <c r="H165" s="759"/>
      <c r="I165" s="759"/>
      <c r="J165" s="759"/>
      <c r="K165" s="759"/>
      <c r="L165" s="759"/>
    </row>
    <row r="166" spans="2:12">
      <c r="B166" s="759"/>
      <c r="C166" s="759"/>
      <c r="D166" s="759"/>
      <c r="E166" s="759"/>
      <c r="F166" s="759"/>
      <c r="G166" s="759"/>
      <c r="H166" s="759"/>
      <c r="I166" s="759"/>
      <c r="J166" s="759"/>
      <c r="K166" s="759"/>
      <c r="L166" s="759"/>
    </row>
    <row r="167" spans="2:12">
      <c r="B167" s="759"/>
      <c r="C167" s="759"/>
      <c r="D167" s="759"/>
      <c r="E167" s="759"/>
      <c r="F167" s="759"/>
      <c r="G167" s="759"/>
      <c r="H167" s="759"/>
      <c r="I167" s="759"/>
      <c r="J167" s="759"/>
      <c r="K167" s="759"/>
      <c r="L167" s="759"/>
    </row>
    <row r="168" spans="2:12">
      <c r="B168" s="759"/>
      <c r="C168" s="759"/>
      <c r="D168" s="759"/>
      <c r="E168" s="759"/>
      <c r="F168" s="759"/>
      <c r="G168" s="759"/>
      <c r="H168" s="759"/>
      <c r="I168" s="759"/>
      <c r="J168" s="759"/>
      <c r="K168" s="759"/>
      <c r="L168" s="759"/>
    </row>
    <row r="169" spans="2:12">
      <c r="B169" s="759"/>
      <c r="C169" s="759"/>
      <c r="D169" s="759"/>
      <c r="E169" s="759"/>
      <c r="F169" s="759"/>
      <c r="G169" s="759"/>
      <c r="H169" s="759"/>
      <c r="I169" s="759"/>
      <c r="J169" s="759"/>
      <c r="K169" s="759"/>
      <c r="L169" s="759"/>
    </row>
    <row r="170" spans="2:12">
      <c r="B170" s="759"/>
      <c r="C170" s="759"/>
      <c r="D170" s="759"/>
      <c r="E170" s="759"/>
      <c r="F170" s="759"/>
      <c r="G170" s="759"/>
      <c r="H170" s="759"/>
      <c r="I170" s="759"/>
      <c r="J170" s="759"/>
      <c r="K170" s="759"/>
      <c r="L170" s="759"/>
    </row>
    <row r="171" spans="2:12">
      <c r="B171" s="759"/>
      <c r="C171" s="759"/>
      <c r="D171" s="759"/>
      <c r="E171" s="759"/>
      <c r="F171" s="759"/>
      <c r="G171" s="759"/>
      <c r="H171" s="759"/>
      <c r="I171" s="759"/>
      <c r="J171" s="759"/>
      <c r="K171" s="759"/>
      <c r="L171" s="759"/>
    </row>
    <row r="172" spans="2:12">
      <c r="B172" s="759"/>
      <c r="C172" s="759"/>
      <c r="D172" s="759"/>
      <c r="E172" s="759"/>
      <c r="F172" s="759"/>
      <c r="G172" s="759"/>
      <c r="H172" s="759"/>
      <c r="I172" s="759"/>
      <c r="J172" s="759"/>
      <c r="K172" s="759"/>
      <c r="L172" s="759"/>
    </row>
    <row r="173" spans="2:12">
      <c r="B173" s="759"/>
      <c r="C173" s="759"/>
      <c r="D173" s="759"/>
      <c r="E173" s="759"/>
      <c r="F173" s="759"/>
      <c r="G173" s="759"/>
      <c r="H173" s="759"/>
      <c r="I173" s="759"/>
      <c r="J173" s="759"/>
      <c r="K173" s="759"/>
      <c r="L173" s="759"/>
    </row>
    <row r="174" spans="2:12">
      <c r="B174" s="759"/>
      <c r="C174" s="759"/>
      <c r="D174" s="759"/>
      <c r="E174" s="759"/>
      <c r="F174" s="759"/>
      <c r="G174" s="759"/>
      <c r="H174" s="759"/>
      <c r="I174" s="759"/>
      <c r="J174" s="759"/>
      <c r="K174" s="759"/>
      <c r="L174" s="759"/>
    </row>
    <row r="175" spans="2:12">
      <c r="B175" s="759"/>
      <c r="C175" s="759"/>
      <c r="D175" s="759"/>
      <c r="E175" s="759"/>
      <c r="F175" s="759"/>
      <c r="G175" s="759"/>
      <c r="H175" s="759"/>
      <c r="I175" s="759"/>
      <c r="J175" s="759"/>
      <c r="K175" s="759"/>
      <c r="L175" s="759"/>
    </row>
    <row r="176" spans="2:12">
      <c r="B176" s="759"/>
      <c r="C176" s="759"/>
      <c r="D176" s="759"/>
      <c r="E176" s="759"/>
      <c r="F176" s="759"/>
      <c r="G176" s="759"/>
      <c r="H176" s="759"/>
      <c r="I176" s="759"/>
      <c r="J176" s="759"/>
      <c r="K176" s="759"/>
      <c r="L176" s="759"/>
    </row>
    <row r="177" spans="2:12">
      <c r="B177" s="759"/>
      <c r="C177" s="759"/>
      <c r="D177" s="759"/>
      <c r="E177" s="759"/>
      <c r="F177" s="759"/>
      <c r="G177" s="759"/>
      <c r="H177" s="759"/>
      <c r="I177" s="759"/>
      <c r="J177" s="759"/>
      <c r="K177" s="759"/>
      <c r="L177" s="759"/>
    </row>
    <row r="178" spans="2:12">
      <c r="B178" s="759"/>
      <c r="C178" s="759"/>
      <c r="D178" s="759"/>
      <c r="E178" s="759"/>
      <c r="F178" s="759"/>
      <c r="G178" s="759"/>
      <c r="H178" s="759"/>
      <c r="I178" s="759"/>
      <c r="J178" s="759"/>
      <c r="K178" s="759"/>
      <c r="L178" s="759"/>
    </row>
    <row r="179" spans="2:12">
      <c r="B179" s="759"/>
      <c r="C179" s="759"/>
      <c r="D179" s="759"/>
      <c r="E179" s="759"/>
      <c r="F179" s="759"/>
      <c r="G179" s="759"/>
      <c r="H179" s="759"/>
      <c r="I179" s="759"/>
      <c r="J179" s="759"/>
      <c r="K179" s="759"/>
      <c r="L179" s="759"/>
    </row>
    <row r="180" spans="2:12">
      <c r="B180" s="759"/>
      <c r="C180" s="759"/>
      <c r="D180" s="759"/>
      <c r="E180" s="759"/>
      <c r="F180" s="759"/>
      <c r="G180" s="759"/>
      <c r="H180" s="759"/>
      <c r="I180" s="759"/>
      <c r="J180" s="759"/>
      <c r="K180" s="759"/>
      <c r="L180" s="759"/>
    </row>
    <row r="181" spans="2:12">
      <c r="B181" s="759"/>
      <c r="C181" s="759"/>
      <c r="D181" s="759"/>
      <c r="E181" s="759"/>
      <c r="F181" s="759"/>
      <c r="G181" s="759"/>
      <c r="H181" s="759"/>
      <c r="I181" s="759"/>
      <c r="J181" s="759"/>
      <c r="K181" s="759"/>
      <c r="L181" s="759"/>
    </row>
    <row r="182" spans="2:12">
      <c r="B182" s="759"/>
      <c r="C182" s="759"/>
      <c r="D182" s="759"/>
      <c r="E182" s="759"/>
      <c r="F182" s="759"/>
      <c r="G182" s="759"/>
      <c r="H182" s="759"/>
      <c r="I182" s="759"/>
      <c r="J182" s="759"/>
      <c r="K182" s="759"/>
      <c r="L182" s="759"/>
    </row>
    <row r="183" spans="2:12">
      <c r="B183" s="759"/>
      <c r="C183" s="759"/>
      <c r="D183" s="759"/>
      <c r="E183" s="759"/>
      <c r="F183" s="759"/>
      <c r="G183" s="759"/>
      <c r="H183" s="759"/>
      <c r="I183" s="759"/>
      <c r="J183" s="759"/>
      <c r="K183" s="759"/>
      <c r="L183" s="759"/>
    </row>
    <row r="184" spans="2:12">
      <c r="B184" s="759"/>
      <c r="C184" s="759"/>
      <c r="D184" s="759"/>
      <c r="E184" s="759"/>
      <c r="F184" s="759"/>
      <c r="G184" s="759"/>
      <c r="H184" s="759"/>
      <c r="I184" s="759"/>
      <c r="J184" s="759"/>
      <c r="K184" s="759"/>
      <c r="L184" s="759"/>
    </row>
    <row r="185" spans="2:12">
      <c r="B185" s="759"/>
      <c r="C185" s="759"/>
      <c r="D185" s="759"/>
      <c r="E185" s="759"/>
      <c r="F185" s="759"/>
      <c r="G185" s="759"/>
      <c r="H185" s="759"/>
      <c r="I185" s="759"/>
      <c r="J185" s="759"/>
      <c r="K185" s="759"/>
      <c r="L185" s="759"/>
    </row>
    <row r="186" spans="2:12">
      <c r="B186" s="759"/>
      <c r="C186" s="759"/>
      <c r="D186" s="759"/>
      <c r="E186" s="759"/>
      <c r="F186" s="759"/>
      <c r="G186" s="759"/>
      <c r="H186" s="759"/>
      <c r="I186" s="759"/>
      <c r="J186" s="759"/>
      <c r="K186" s="759"/>
      <c r="L186" s="759"/>
    </row>
    <row r="187" spans="2:12">
      <c r="B187" s="759"/>
      <c r="C187" s="759"/>
      <c r="D187" s="759"/>
      <c r="E187" s="759"/>
      <c r="F187" s="759"/>
      <c r="G187" s="759"/>
      <c r="H187" s="759"/>
      <c r="I187" s="759"/>
      <c r="J187" s="759"/>
      <c r="K187" s="759"/>
      <c r="L187" s="759"/>
    </row>
    <row r="188" spans="2:12">
      <c r="B188" s="759"/>
      <c r="C188" s="759"/>
      <c r="D188" s="759"/>
      <c r="E188" s="759"/>
      <c r="F188" s="759"/>
      <c r="G188" s="759"/>
      <c r="H188" s="759"/>
      <c r="I188" s="759"/>
      <c r="J188" s="759"/>
      <c r="K188" s="759"/>
      <c r="L188" s="759"/>
    </row>
    <row r="189" spans="2:12">
      <c r="B189" s="759"/>
      <c r="C189" s="759"/>
      <c r="D189" s="759"/>
      <c r="E189" s="759"/>
      <c r="F189" s="759"/>
      <c r="G189" s="759"/>
      <c r="H189" s="759"/>
      <c r="I189" s="759"/>
      <c r="J189" s="759"/>
      <c r="K189" s="759"/>
      <c r="L189" s="759"/>
    </row>
    <row r="190" spans="2:12">
      <c r="B190" s="759"/>
      <c r="C190" s="759"/>
      <c r="D190" s="759"/>
      <c r="E190" s="759"/>
      <c r="F190" s="759"/>
      <c r="G190" s="759"/>
      <c r="H190" s="759"/>
      <c r="I190" s="759"/>
      <c r="J190" s="759"/>
      <c r="K190" s="759"/>
      <c r="L190" s="759"/>
    </row>
    <row r="191" spans="2:12">
      <c r="B191" s="759"/>
      <c r="C191" s="759"/>
      <c r="D191" s="759"/>
      <c r="E191" s="759"/>
      <c r="F191" s="759"/>
      <c r="G191" s="759"/>
      <c r="H191" s="759"/>
      <c r="I191" s="759"/>
      <c r="J191" s="759"/>
      <c r="K191" s="759"/>
      <c r="L191" s="759"/>
    </row>
    <row r="192" spans="2:12">
      <c r="B192" s="759"/>
      <c r="C192" s="759"/>
      <c r="D192" s="759"/>
      <c r="E192" s="759"/>
      <c r="F192" s="759"/>
      <c r="G192" s="759"/>
      <c r="H192" s="759"/>
      <c r="I192" s="759"/>
      <c r="J192" s="759"/>
      <c r="K192" s="759"/>
      <c r="L192" s="759"/>
    </row>
    <row r="193" spans="2:12">
      <c r="B193" s="759"/>
      <c r="C193" s="759"/>
      <c r="D193" s="759"/>
      <c r="E193" s="759"/>
      <c r="F193" s="759"/>
      <c r="G193" s="759"/>
      <c r="H193" s="759"/>
      <c r="I193" s="759"/>
      <c r="J193" s="759"/>
      <c r="K193" s="759"/>
      <c r="L193" s="759"/>
    </row>
    <row r="194" spans="2:12">
      <c r="B194" s="759"/>
      <c r="C194" s="759"/>
      <c r="D194" s="759"/>
      <c r="E194" s="759"/>
      <c r="F194" s="759"/>
      <c r="G194" s="759"/>
      <c r="H194" s="759"/>
      <c r="I194" s="759"/>
      <c r="J194" s="759"/>
      <c r="K194" s="759"/>
      <c r="L194" s="759"/>
    </row>
    <row r="195" spans="2:12">
      <c r="B195" s="759"/>
      <c r="C195" s="759"/>
      <c r="D195" s="759"/>
      <c r="E195" s="759"/>
      <c r="F195" s="759"/>
      <c r="G195" s="759"/>
      <c r="H195" s="759"/>
      <c r="I195" s="759"/>
      <c r="J195" s="759"/>
      <c r="K195" s="759"/>
      <c r="L195" s="759"/>
    </row>
    <row r="196" spans="2:12">
      <c r="B196" s="759"/>
      <c r="C196" s="759"/>
      <c r="D196" s="759"/>
      <c r="E196" s="759"/>
      <c r="F196" s="759"/>
      <c r="G196" s="759"/>
      <c r="H196" s="759"/>
      <c r="I196" s="759"/>
      <c r="J196" s="759"/>
      <c r="K196" s="759"/>
      <c r="L196" s="759"/>
    </row>
    <row r="197" spans="2:12">
      <c r="B197" s="759"/>
      <c r="C197" s="759"/>
      <c r="D197" s="759"/>
      <c r="E197" s="759"/>
      <c r="F197" s="759"/>
      <c r="G197" s="759"/>
      <c r="H197" s="759"/>
      <c r="I197" s="759"/>
      <c r="J197" s="759"/>
      <c r="K197" s="759"/>
      <c r="L197" s="759"/>
    </row>
    <row r="198" spans="2:12">
      <c r="B198" s="759"/>
      <c r="C198" s="759"/>
      <c r="D198" s="759"/>
      <c r="E198" s="759"/>
      <c r="F198" s="759"/>
      <c r="G198" s="759"/>
      <c r="H198" s="759"/>
      <c r="I198" s="759"/>
      <c r="J198" s="759"/>
      <c r="K198" s="759"/>
      <c r="L198" s="759"/>
    </row>
    <row r="199" spans="2:12">
      <c r="B199" s="759"/>
      <c r="C199" s="759"/>
      <c r="D199" s="759"/>
      <c r="E199" s="759"/>
      <c r="F199" s="759"/>
      <c r="G199" s="759"/>
      <c r="H199" s="759"/>
      <c r="I199" s="759"/>
      <c r="J199" s="759"/>
      <c r="K199" s="759"/>
      <c r="L199" s="759"/>
    </row>
    <row r="200" spans="2:12">
      <c r="B200" s="759"/>
      <c r="C200" s="759"/>
      <c r="D200" s="759"/>
      <c r="E200" s="759"/>
      <c r="F200" s="759"/>
      <c r="G200" s="759"/>
      <c r="H200" s="759"/>
      <c r="I200" s="759"/>
      <c r="J200" s="759"/>
      <c r="K200" s="759"/>
      <c r="L200" s="759"/>
    </row>
    <row r="201" spans="2:12">
      <c r="B201" s="759"/>
      <c r="C201" s="759"/>
      <c r="D201" s="759"/>
      <c r="E201" s="759"/>
      <c r="F201" s="759"/>
      <c r="G201" s="759"/>
      <c r="H201" s="759"/>
      <c r="I201" s="759"/>
      <c r="J201" s="759"/>
      <c r="K201" s="759"/>
      <c r="L201" s="759"/>
    </row>
    <row r="202" spans="2:12">
      <c r="B202" s="759"/>
      <c r="C202" s="759"/>
      <c r="D202" s="759"/>
      <c r="E202" s="759"/>
      <c r="F202" s="759"/>
      <c r="G202" s="759"/>
      <c r="H202" s="759"/>
      <c r="I202" s="759"/>
      <c r="J202" s="759"/>
      <c r="K202" s="759"/>
      <c r="L202" s="759"/>
    </row>
    <row r="203" spans="2:12">
      <c r="B203" s="759"/>
      <c r="C203" s="759"/>
      <c r="D203" s="759"/>
      <c r="E203" s="759"/>
      <c r="F203" s="759"/>
      <c r="G203" s="759"/>
      <c r="H203" s="759"/>
      <c r="I203" s="759"/>
      <c r="J203" s="759"/>
      <c r="K203" s="759"/>
      <c r="L203" s="759"/>
    </row>
    <row r="204" spans="2:12">
      <c r="B204" s="759"/>
      <c r="C204" s="759"/>
      <c r="D204" s="759"/>
      <c r="E204" s="759"/>
      <c r="F204" s="759"/>
      <c r="G204" s="759"/>
      <c r="H204" s="759"/>
      <c r="I204" s="759"/>
      <c r="J204" s="759"/>
      <c r="K204" s="759"/>
      <c r="L204" s="759"/>
    </row>
    <row r="205" spans="2:12">
      <c r="B205" s="759"/>
      <c r="C205" s="759"/>
      <c r="D205" s="759"/>
      <c r="E205" s="759"/>
      <c r="F205" s="759"/>
      <c r="G205" s="759"/>
      <c r="H205" s="759"/>
      <c r="I205" s="759"/>
      <c r="J205" s="759"/>
      <c r="K205" s="759"/>
      <c r="L205" s="759"/>
    </row>
    <row r="206" spans="2:12">
      <c r="B206" s="759"/>
      <c r="C206" s="759"/>
      <c r="D206" s="759"/>
      <c r="E206" s="759"/>
      <c r="F206" s="759"/>
      <c r="G206" s="759"/>
      <c r="H206" s="759"/>
      <c r="I206" s="759"/>
      <c r="J206" s="759"/>
      <c r="K206" s="759"/>
      <c r="L206" s="759"/>
    </row>
    <row r="207" spans="2:12">
      <c r="B207" s="759"/>
      <c r="C207" s="759"/>
      <c r="D207" s="759"/>
      <c r="E207" s="759"/>
      <c r="F207" s="759"/>
      <c r="G207" s="759"/>
      <c r="H207" s="759"/>
      <c r="I207" s="759"/>
      <c r="J207" s="759"/>
      <c r="K207" s="759"/>
      <c r="L207" s="759"/>
    </row>
    <row r="208" spans="2:12">
      <c r="B208" s="759"/>
      <c r="C208" s="759"/>
      <c r="D208" s="759"/>
      <c r="E208" s="759"/>
      <c r="F208" s="759"/>
      <c r="G208" s="759"/>
      <c r="H208" s="759"/>
      <c r="I208" s="759"/>
      <c r="J208" s="759"/>
      <c r="K208" s="759"/>
      <c r="L208" s="759"/>
    </row>
    <row r="209" spans="2:12">
      <c r="B209" s="759"/>
      <c r="C209" s="759"/>
      <c r="D209" s="759"/>
      <c r="E209" s="759"/>
      <c r="F209" s="759"/>
      <c r="G209" s="759"/>
      <c r="H209" s="759"/>
      <c r="I209" s="759"/>
      <c r="J209" s="759"/>
      <c r="K209" s="759"/>
      <c r="L209" s="759"/>
    </row>
    <row r="210" spans="2:12">
      <c r="B210" s="759"/>
      <c r="C210" s="759"/>
      <c r="D210" s="759"/>
      <c r="E210" s="759"/>
      <c r="F210" s="759"/>
      <c r="G210" s="759"/>
      <c r="H210" s="759"/>
      <c r="I210" s="759"/>
      <c r="J210" s="759"/>
      <c r="K210" s="759"/>
      <c r="L210" s="759"/>
    </row>
    <row r="211" spans="2:12">
      <c r="B211" s="759"/>
      <c r="C211" s="759"/>
      <c r="D211" s="759"/>
      <c r="E211" s="759"/>
      <c r="F211" s="759"/>
      <c r="G211" s="759"/>
      <c r="H211" s="759"/>
      <c r="I211" s="759"/>
      <c r="J211" s="759"/>
      <c r="K211" s="759"/>
      <c r="L211" s="759"/>
    </row>
    <row r="212" spans="2:12">
      <c r="B212" s="759"/>
      <c r="C212" s="759"/>
      <c r="D212" s="759"/>
      <c r="E212" s="759"/>
      <c r="F212" s="759"/>
      <c r="G212" s="759"/>
      <c r="H212" s="759"/>
      <c r="I212" s="759"/>
      <c r="J212" s="759"/>
      <c r="K212" s="759"/>
      <c r="L212" s="759"/>
    </row>
    <row r="213" spans="2:12">
      <c r="B213" s="759"/>
      <c r="C213" s="759"/>
      <c r="D213" s="759"/>
      <c r="E213" s="759"/>
      <c r="F213" s="759"/>
      <c r="G213" s="759"/>
      <c r="H213" s="759"/>
      <c r="I213" s="759"/>
      <c r="J213" s="759"/>
      <c r="K213" s="759"/>
      <c r="L213" s="759"/>
    </row>
    <row r="214" spans="2:12">
      <c r="B214" s="759"/>
      <c r="C214" s="759"/>
      <c r="D214" s="759"/>
      <c r="E214" s="759"/>
      <c r="F214" s="759"/>
      <c r="G214" s="759"/>
      <c r="H214" s="759"/>
      <c r="I214" s="759"/>
      <c r="J214" s="759"/>
      <c r="K214" s="759"/>
      <c r="L214" s="759"/>
    </row>
    <row r="215" spans="2:12">
      <c r="B215" s="759"/>
      <c r="C215" s="759"/>
      <c r="D215" s="759"/>
      <c r="E215" s="759"/>
      <c r="F215" s="759"/>
      <c r="G215" s="759"/>
      <c r="H215" s="759"/>
      <c r="I215" s="759"/>
      <c r="J215" s="759"/>
      <c r="K215" s="759"/>
      <c r="L215" s="759"/>
    </row>
    <row r="216" spans="2:12">
      <c r="B216" s="759"/>
      <c r="C216" s="759"/>
      <c r="D216" s="759"/>
      <c r="E216" s="759"/>
      <c r="F216" s="759"/>
      <c r="G216" s="759"/>
      <c r="H216" s="759"/>
      <c r="I216" s="759"/>
      <c r="J216" s="759"/>
      <c r="K216" s="759"/>
      <c r="L216" s="759"/>
    </row>
    <row r="217" spans="2:12">
      <c r="B217" s="759"/>
      <c r="C217" s="759"/>
      <c r="D217" s="759"/>
      <c r="E217" s="759"/>
      <c r="F217" s="759"/>
      <c r="G217" s="759"/>
      <c r="H217" s="759"/>
      <c r="I217" s="759"/>
      <c r="J217" s="759"/>
      <c r="K217" s="759"/>
      <c r="L217" s="759"/>
    </row>
    <row r="218" spans="2:12">
      <c r="B218" s="759"/>
      <c r="C218" s="759"/>
      <c r="D218" s="759"/>
      <c r="E218" s="759"/>
      <c r="F218" s="759"/>
      <c r="G218" s="759"/>
      <c r="H218" s="759"/>
      <c r="I218" s="759"/>
      <c r="J218" s="759"/>
      <c r="K218" s="759"/>
      <c r="L218" s="759"/>
    </row>
    <row r="219" spans="2:12">
      <c r="B219" s="759"/>
      <c r="C219" s="759"/>
      <c r="D219" s="759"/>
      <c r="E219" s="759"/>
      <c r="F219" s="759"/>
      <c r="G219" s="759"/>
      <c r="H219" s="759"/>
      <c r="I219" s="759"/>
      <c r="J219" s="759"/>
      <c r="K219" s="759"/>
      <c r="L219" s="759"/>
    </row>
    <row r="220" spans="2:12">
      <c r="B220" s="759"/>
      <c r="C220" s="759"/>
      <c r="D220" s="759"/>
      <c r="E220" s="759"/>
      <c r="F220" s="759"/>
      <c r="G220" s="759"/>
      <c r="H220" s="759"/>
      <c r="I220" s="759"/>
      <c r="J220" s="759"/>
      <c r="K220" s="759"/>
      <c r="L220" s="759"/>
    </row>
    <row r="221" spans="2:12">
      <c r="B221" s="759"/>
      <c r="C221" s="759"/>
      <c r="D221" s="759"/>
      <c r="E221" s="759"/>
      <c r="F221" s="759"/>
      <c r="G221" s="759"/>
      <c r="H221" s="759"/>
      <c r="I221" s="759"/>
      <c r="J221" s="759"/>
      <c r="K221" s="759"/>
      <c r="L221" s="759"/>
    </row>
    <row r="222" spans="2:12">
      <c r="B222" s="759"/>
      <c r="C222" s="759"/>
      <c r="D222" s="759"/>
      <c r="E222" s="759"/>
      <c r="F222" s="759"/>
      <c r="G222" s="759"/>
      <c r="H222" s="759"/>
      <c r="I222" s="759"/>
      <c r="J222" s="759"/>
      <c r="K222" s="759"/>
      <c r="L222" s="759"/>
    </row>
    <row r="223" spans="2:12">
      <c r="B223" s="759"/>
      <c r="C223" s="759"/>
      <c r="D223" s="759"/>
      <c r="E223" s="759"/>
      <c r="F223" s="759"/>
      <c r="G223" s="759"/>
      <c r="H223" s="759"/>
      <c r="I223" s="759"/>
      <c r="J223" s="759"/>
      <c r="K223" s="759"/>
      <c r="L223" s="759"/>
    </row>
    <row r="224" spans="2:12">
      <c r="B224" s="759"/>
      <c r="C224" s="759"/>
      <c r="D224" s="759"/>
      <c r="E224" s="759"/>
      <c r="F224" s="759"/>
      <c r="G224" s="759"/>
      <c r="H224" s="759"/>
      <c r="I224" s="759"/>
      <c r="J224" s="759"/>
      <c r="K224" s="759"/>
      <c r="L224" s="759"/>
    </row>
    <row r="225" spans="2:12">
      <c r="B225" s="759"/>
      <c r="C225" s="759"/>
      <c r="D225" s="759"/>
      <c r="E225" s="759"/>
      <c r="F225" s="759"/>
      <c r="G225" s="759"/>
      <c r="H225" s="759"/>
      <c r="I225" s="759"/>
      <c r="J225" s="759"/>
      <c r="K225" s="759"/>
      <c r="L225" s="759"/>
    </row>
    <row r="226" spans="2:12">
      <c r="B226" s="759"/>
      <c r="C226" s="759"/>
      <c r="D226" s="759"/>
      <c r="E226" s="759"/>
      <c r="F226" s="759"/>
      <c r="G226" s="759"/>
      <c r="H226" s="759"/>
      <c r="I226" s="759"/>
      <c r="J226" s="759"/>
      <c r="K226" s="759"/>
      <c r="L226" s="759"/>
    </row>
    <row r="227" spans="2:12">
      <c r="B227" s="759"/>
      <c r="C227" s="759"/>
      <c r="D227" s="759"/>
      <c r="E227" s="759"/>
      <c r="F227" s="759"/>
      <c r="G227" s="759"/>
      <c r="H227" s="759"/>
      <c r="I227" s="759"/>
      <c r="J227" s="759"/>
      <c r="K227" s="759"/>
      <c r="L227" s="759"/>
    </row>
    <row r="228" spans="2:12">
      <c r="B228" s="759"/>
      <c r="C228" s="759"/>
      <c r="D228" s="759"/>
      <c r="E228" s="759"/>
      <c r="F228" s="759"/>
      <c r="G228" s="759"/>
      <c r="H228" s="759"/>
      <c r="I228" s="759"/>
      <c r="J228" s="759"/>
      <c r="K228" s="759"/>
      <c r="L228" s="759"/>
    </row>
    <row r="229" spans="2:12">
      <c r="B229" s="759"/>
      <c r="C229" s="759"/>
      <c r="D229" s="759"/>
      <c r="E229" s="759"/>
      <c r="F229" s="759"/>
      <c r="G229" s="759"/>
      <c r="H229" s="759"/>
      <c r="I229" s="759"/>
      <c r="J229" s="759"/>
      <c r="K229" s="759"/>
      <c r="L229" s="759"/>
    </row>
    <row r="230" spans="2:12">
      <c r="B230" s="759"/>
      <c r="C230" s="759"/>
      <c r="D230" s="759"/>
      <c r="E230" s="759"/>
      <c r="F230" s="759"/>
      <c r="G230" s="759"/>
      <c r="H230" s="759"/>
      <c r="I230" s="759"/>
      <c r="J230" s="759"/>
      <c r="K230" s="759"/>
      <c r="L230" s="759"/>
    </row>
    <row r="231" spans="2:12">
      <c r="B231" s="759"/>
      <c r="C231" s="759"/>
      <c r="D231" s="759"/>
      <c r="E231" s="759"/>
      <c r="F231" s="759"/>
      <c r="G231" s="759"/>
      <c r="H231" s="759"/>
      <c r="I231" s="759"/>
      <c r="J231" s="759"/>
      <c r="K231" s="759"/>
      <c r="L231" s="759"/>
    </row>
    <row r="232" spans="2:12">
      <c r="B232" s="759"/>
      <c r="C232" s="759"/>
      <c r="D232" s="759"/>
      <c r="E232" s="759"/>
      <c r="F232" s="759"/>
      <c r="G232" s="759"/>
      <c r="H232" s="759"/>
      <c r="I232" s="759"/>
      <c r="J232" s="759"/>
      <c r="K232" s="759"/>
      <c r="L232" s="759"/>
    </row>
    <row r="233" spans="2:12">
      <c r="B233" s="759"/>
      <c r="C233" s="759"/>
      <c r="D233" s="759"/>
      <c r="E233" s="759"/>
      <c r="F233" s="759"/>
      <c r="G233" s="759"/>
      <c r="H233" s="759"/>
      <c r="I233" s="759"/>
      <c r="J233" s="759"/>
      <c r="K233" s="759"/>
      <c r="L233" s="759"/>
    </row>
    <row r="234" spans="2:12">
      <c r="B234" s="759"/>
      <c r="C234" s="759"/>
      <c r="D234" s="759"/>
      <c r="E234" s="759"/>
      <c r="F234" s="759"/>
      <c r="G234" s="759"/>
      <c r="H234" s="759"/>
      <c r="I234" s="759"/>
      <c r="J234" s="759"/>
      <c r="K234" s="759"/>
      <c r="L234" s="759"/>
    </row>
    <row r="235" spans="2:12">
      <c r="B235" s="759"/>
      <c r="C235" s="759"/>
      <c r="D235" s="759"/>
      <c r="E235" s="759"/>
      <c r="F235" s="759"/>
      <c r="G235" s="759"/>
      <c r="H235" s="759"/>
      <c r="I235" s="759"/>
      <c r="J235" s="759"/>
      <c r="K235" s="759"/>
      <c r="L235" s="759"/>
    </row>
    <row r="236" spans="2:12">
      <c r="B236" s="759"/>
      <c r="C236" s="759"/>
      <c r="D236" s="759"/>
      <c r="E236" s="759"/>
      <c r="F236" s="759"/>
      <c r="G236" s="759"/>
      <c r="H236" s="759"/>
      <c r="I236" s="759"/>
      <c r="J236" s="759"/>
      <c r="K236" s="759"/>
      <c r="L236" s="759"/>
    </row>
    <row r="237" spans="2:12">
      <c r="B237" s="759"/>
      <c r="C237" s="759"/>
      <c r="D237" s="759"/>
      <c r="E237" s="759"/>
      <c r="F237" s="759"/>
      <c r="G237" s="759"/>
      <c r="H237" s="759"/>
      <c r="I237" s="759"/>
      <c r="J237" s="759"/>
      <c r="K237" s="759"/>
      <c r="L237" s="759"/>
    </row>
    <row r="238" spans="2:12">
      <c r="B238" s="759"/>
      <c r="C238" s="759"/>
      <c r="D238" s="759"/>
      <c r="E238" s="759"/>
      <c r="F238" s="759"/>
      <c r="G238" s="759"/>
      <c r="H238" s="759"/>
      <c r="I238" s="759"/>
      <c r="J238" s="759"/>
      <c r="K238" s="759"/>
      <c r="L238" s="759"/>
    </row>
    <row r="239" spans="2:12">
      <c r="B239" s="759"/>
      <c r="C239" s="759"/>
      <c r="D239" s="759"/>
      <c r="E239" s="759"/>
      <c r="F239" s="759"/>
      <c r="G239" s="759"/>
      <c r="H239" s="759"/>
      <c r="I239" s="759"/>
      <c r="J239" s="759"/>
      <c r="K239" s="759"/>
      <c r="L239" s="759"/>
    </row>
    <row r="240" spans="2:12">
      <c r="B240" s="759"/>
      <c r="C240" s="759"/>
      <c r="D240" s="759"/>
      <c r="E240" s="759"/>
      <c r="F240" s="759"/>
      <c r="G240" s="759"/>
      <c r="H240" s="759"/>
      <c r="I240" s="759"/>
      <c r="J240" s="759"/>
      <c r="K240" s="759"/>
      <c r="L240" s="759"/>
    </row>
    <row r="241" spans="2:12">
      <c r="B241" s="759"/>
      <c r="C241" s="759"/>
      <c r="D241" s="759"/>
      <c r="E241" s="759"/>
      <c r="F241" s="759"/>
      <c r="G241" s="759"/>
      <c r="H241" s="759"/>
      <c r="I241" s="759"/>
      <c r="J241" s="759"/>
      <c r="K241" s="759"/>
      <c r="L241" s="759"/>
    </row>
    <row r="242" spans="2:12">
      <c r="B242" s="759"/>
      <c r="C242" s="759"/>
      <c r="D242" s="759"/>
      <c r="E242" s="759"/>
      <c r="F242" s="759"/>
      <c r="G242" s="759"/>
      <c r="H242" s="759"/>
      <c r="I242" s="759"/>
      <c r="J242" s="759"/>
      <c r="K242" s="759"/>
      <c r="L242" s="759"/>
    </row>
    <row r="243" spans="2:12">
      <c r="B243" s="759"/>
      <c r="C243" s="759"/>
      <c r="D243" s="759"/>
      <c r="E243" s="759"/>
      <c r="F243" s="759"/>
      <c r="G243" s="759"/>
      <c r="H243" s="759"/>
      <c r="I243" s="759"/>
      <c r="J243" s="759"/>
      <c r="K243" s="759"/>
      <c r="L243" s="759"/>
    </row>
    <row r="244" spans="2:12">
      <c r="B244" s="759"/>
      <c r="C244" s="759"/>
      <c r="D244" s="759"/>
      <c r="E244" s="759"/>
      <c r="F244" s="759"/>
      <c r="G244" s="759"/>
      <c r="H244" s="759"/>
      <c r="I244" s="759"/>
      <c r="J244" s="759"/>
      <c r="K244" s="759"/>
      <c r="L244" s="759"/>
    </row>
    <row r="245" spans="2:12">
      <c r="B245" s="759"/>
      <c r="C245" s="759"/>
      <c r="D245" s="759"/>
      <c r="E245" s="759"/>
      <c r="F245" s="759"/>
      <c r="G245" s="759"/>
      <c r="H245" s="759"/>
      <c r="I245" s="759"/>
      <c r="J245" s="759"/>
      <c r="K245" s="759"/>
      <c r="L245" s="759"/>
    </row>
    <row r="246" spans="2:12">
      <c r="B246" s="759"/>
      <c r="C246" s="759"/>
      <c r="D246" s="759"/>
      <c r="E246" s="759"/>
      <c r="F246" s="759"/>
      <c r="G246" s="759"/>
      <c r="H246" s="759"/>
      <c r="I246" s="759"/>
      <c r="J246" s="759"/>
      <c r="K246" s="759"/>
      <c r="L246" s="759"/>
    </row>
    <row r="247" spans="2:12">
      <c r="B247" s="759"/>
      <c r="C247" s="759"/>
      <c r="D247" s="759"/>
      <c r="E247" s="759"/>
      <c r="F247" s="759"/>
      <c r="G247" s="759"/>
      <c r="H247" s="759"/>
      <c r="I247" s="759"/>
      <c r="J247" s="759"/>
      <c r="K247" s="759"/>
      <c r="L247" s="759"/>
    </row>
    <row r="248" spans="2:12">
      <c r="B248" s="759"/>
      <c r="C248" s="759"/>
      <c r="D248" s="759"/>
      <c r="E248" s="759"/>
      <c r="F248" s="759"/>
      <c r="G248" s="759"/>
      <c r="H248" s="759"/>
      <c r="I248" s="759"/>
      <c r="J248" s="759"/>
      <c r="K248" s="759"/>
      <c r="L248" s="759"/>
    </row>
    <row r="249" spans="2:12">
      <c r="B249" s="759"/>
      <c r="C249" s="759"/>
      <c r="D249" s="759"/>
      <c r="E249" s="759"/>
      <c r="F249" s="759"/>
      <c r="G249" s="759"/>
      <c r="H249" s="759"/>
      <c r="I249" s="759"/>
      <c r="J249" s="759"/>
      <c r="K249" s="759"/>
      <c r="L249" s="759"/>
    </row>
    <row r="250" spans="2:12">
      <c r="B250" s="759"/>
      <c r="C250" s="759"/>
      <c r="D250" s="759"/>
      <c r="E250" s="759"/>
      <c r="F250" s="759"/>
      <c r="G250" s="759"/>
      <c r="H250" s="759"/>
      <c r="I250" s="759"/>
      <c r="J250" s="759"/>
      <c r="K250" s="759"/>
      <c r="L250" s="759"/>
    </row>
    <row r="251" spans="2:12">
      <c r="B251" s="759"/>
      <c r="C251" s="759"/>
      <c r="D251" s="759"/>
      <c r="E251" s="759"/>
      <c r="F251" s="759"/>
      <c r="G251" s="759"/>
      <c r="H251" s="759"/>
      <c r="I251" s="759"/>
      <c r="J251" s="759"/>
      <c r="K251" s="759"/>
      <c r="L251" s="759"/>
    </row>
    <row r="252" spans="2:12">
      <c r="B252" s="759"/>
      <c r="C252" s="759"/>
      <c r="D252" s="759"/>
      <c r="E252" s="759"/>
      <c r="F252" s="759"/>
      <c r="G252" s="759"/>
      <c r="H252" s="759"/>
      <c r="I252" s="759"/>
      <c r="J252" s="759"/>
      <c r="K252" s="759"/>
      <c r="L252" s="759"/>
    </row>
    <row r="253" spans="2:12">
      <c r="B253" s="759"/>
      <c r="C253" s="759"/>
      <c r="D253" s="759"/>
      <c r="E253" s="759"/>
      <c r="F253" s="759"/>
      <c r="G253" s="759"/>
      <c r="H253" s="759"/>
      <c r="I253" s="759"/>
      <c r="J253" s="759"/>
      <c r="K253" s="759"/>
      <c r="L253" s="759"/>
    </row>
    <row r="254" spans="2:12">
      <c r="B254" s="759"/>
      <c r="C254" s="759"/>
      <c r="D254" s="759"/>
      <c r="E254" s="759"/>
      <c r="F254" s="759"/>
      <c r="G254" s="759"/>
      <c r="H254" s="759"/>
      <c r="I254" s="759"/>
      <c r="J254" s="759"/>
      <c r="K254" s="759"/>
      <c r="L254" s="759"/>
    </row>
    <row r="255" spans="2:12">
      <c r="B255" s="759"/>
      <c r="C255" s="759"/>
      <c r="D255" s="759"/>
      <c r="E255" s="759"/>
      <c r="F255" s="759"/>
      <c r="G255" s="759"/>
      <c r="H255" s="759"/>
      <c r="I255" s="759"/>
      <c r="J255" s="759"/>
      <c r="K255" s="759"/>
      <c r="L255" s="759"/>
    </row>
    <row r="256" spans="2:12">
      <c r="B256" s="759"/>
      <c r="C256" s="759"/>
      <c r="D256" s="759"/>
      <c r="E256" s="759"/>
      <c r="F256" s="759"/>
      <c r="G256" s="759"/>
      <c r="H256" s="759"/>
      <c r="I256" s="759"/>
      <c r="J256" s="759"/>
      <c r="K256" s="759"/>
      <c r="L256" s="759"/>
    </row>
    <row r="257" spans="2:12">
      <c r="B257" s="759"/>
      <c r="C257" s="759"/>
      <c r="D257" s="759"/>
      <c r="E257" s="759"/>
      <c r="F257" s="759"/>
      <c r="G257" s="759"/>
      <c r="H257" s="759"/>
      <c r="I257" s="759"/>
      <c r="J257" s="759"/>
      <c r="K257" s="759"/>
      <c r="L257" s="759"/>
    </row>
    <row r="258" spans="2:12">
      <c r="B258" s="759"/>
      <c r="C258" s="759"/>
      <c r="D258" s="759"/>
      <c r="E258" s="759"/>
      <c r="F258" s="759"/>
      <c r="G258" s="759"/>
      <c r="H258" s="759"/>
      <c r="I258" s="759"/>
      <c r="J258" s="759"/>
      <c r="K258" s="759"/>
      <c r="L258" s="759"/>
    </row>
    <row r="259" spans="2:12">
      <c r="B259" s="759"/>
      <c r="C259" s="759"/>
      <c r="D259" s="759"/>
      <c r="E259" s="759"/>
      <c r="F259" s="759"/>
      <c r="G259" s="759"/>
      <c r="H259" s="759"/>
      <c r="I259" s="759"/>
      <c r="J259" s="759"/>
      <c r="K259" s="759"/>
      <c r="L259" s="759"/>
    </row>
    <row r="260" spans="2:12">
      <c r="B260" s="759"/>
      <c r="C260" s="759"/>
      <c r="D260" s="759"/>
      <c r="E260" s="759"/>
      <c r="F260" s="759"/>
      <c r="G260" s="759"/>
      <c r="H260" s="759"/>
      <c r="I260" s="759"/>
      <c r="J260" s="759"/>
      <c r="K260" s="759"/>
      <c r="L260" s="759"/>
    </row>
    <row r="261" spans="2:12">
      <c r="B261" s="759"/>
      <c r="C261" s="759"/>
      <c r="D261" s="759"/>
      <c r="E261" s="759"/>
      <c r="F261" s="759"/>
      <c r="G261" s="759"/>
      <c r="H261" s="759"/>
      <c r="I261" s="759"/>
      <c r="J261" s="759"/>
      <c r="K261" s="759"/>
      <c r="L261" s="759"/>
    </row>
    <row r="262" spans="2:12">
      <c r="B262" s="759"/>
      <c r="C262" s="759"/>
      <c r="D262" s="759"/>
      <c r="E262" s="759"/>
      <c r="F262" s="759"/>
      <c r="G262" s="759"/>
      <c r="H262" s="759"/>
      <c r="I262" s="759"/>
      <c r="J262" s="759"/>
      <c r="K262" s="759"/>
      <c r="L262" s="759"/>
    </row>
    <row r="263" spans="2:12">
      <c r="B263" s="759"/>
      <c r="C263" s="759"/>
      <c r="D263" s="759"/>
      <c r="E263" s="759"/>
      <c r="F263" s="759"/>
      <c r="G263" s="759"/>
      <c r="H263" s="759"/>
      <c r="I263" s="759"/>
      <c r="J263" s="759"/>
      <c r="K263" s="759"/>
      <c r="L263" s="759"/>
    </row>
    <row r="264" spans="2:12">
      <c r="B264" s="759"/>
      <c r="C264" s="759"/>
      <c r="D264" s="759"/>
      <c r="E264" s="759"/>
      <c r="F264" s="759"/>
      <c r="G264" s="759"/>
      <c r="H264" s="759"/>
      <c r="I264" s="759"/>
      <c r="J264" s="759"/>
      <c r="K264" s="759"/>
      <c r="L264" s="759"/>
    </row>
    <row r="265" spans="2:12">
      <c r="B265" s="759"/>
      <c r="C265" s="759"/>
      <c r="D265" s="759"/>
      <c r="E265" s="759"/>
      <c r="F265" s="759"/>
      <c r="G265" s="759"/>
      <c r="H265" s="759"/>
      <c r="I265" s="759"/>
      <c r="J265" s="759"/>
      <c r="K265" s="759"/>
      <c r="L265" s="759"/>
    </row>
    <row r="266" spans="2:12">
      <c r="B266" s="759"/>
      <c r="C266" s="759"/>
      <c r="D266" s="759"/>
      <c r="E266" s="759"/>
      <c r="F266" s="759"/>
      <c r="G266" s="759"/>
      <c r="H266" s="759"/>
      <c r="I266" s="759"/>
      <c r="J266" s="759"/>
      <c r="K266" s="759"/>
      <c r="L266" s="759"/>
    </row>
    <row r="267" spans="2:12">
      <c r="B267" s="759"/>
      <c r="C267" s="759"/>
      <c r="D267" s="759"/>
      <c r="E267" s="759"/>
      <c r="F267" s="759"/>
      <c r="G267" s="759"/>
      <c r="H267" s="759"/>
      <c r="I267" s="759"/>
      <c r="J267" s="759"/>
      <c r="K267" s="759"/>
      <c r="L267" s="759"/>
    </row>
    <row r="268" spans="2:12">
      <c r="B268" s="759"/>
      <c r="C268" s="759"/>
      <c r="D268" s="759"/>
      <c r="E268" s="759"/>
      <c r="F268" s="759"/>
      <c r="G268" s="759"/>
      <c r="H268" s="759"/>
      <c r="I268" s="759"/>
      <c r="J268" s="759"/>
      <c r="K268" s="759"/>
      <c r="L268" s="759"/>
    </row>
    <row r="269" spans="2:12">
      <c r="B269" s="759"/>
      <c r="C269" s="759"/>
      <c r="D269" s="759"/>
      <c r="E269" s="759"/>
      <c r="F269" s="759"/>
      <c r="G269" s="759"/>
      <c r="H269" s="759"/>
      <c r="I269" s="759"/>
      <c r="J269" s="759"/>
      <c r="K269" s="759"/>
      <c r="L269" s="759"/>
    </row>
    <row r="270" spans="2:12">
      <c r="B270" s="759"/>
      <c r="C270" s="759"/>
      <c r="D270" s="759"/>
      <c r="E270" s="759"/>
      <c r="F270" s="759"/>
      <c r="G270" s="759"/>
      <c r="H270" s="759"/>
      <c r="I270" s="759"/>
      <c r="J270" s="759"/>
      <c r="K270" s="759"/>
      <c r="L270" s="759"/>
    </row>
    <row r="271" spans="2:12">
      <c r="B271" s="759"/>
      <c r="C271" s="759"/>
      <c r="D271" s="759"/>
      <c r="E271" s="759"/>
      <c r="F271" s="759"/>
      <c r="G271" s="759"/>
      <c r="H271" s="759"/>
      <c r="I271" s="759"/>
      <c r="J271" s="759"/>
      <c r="K271" s="759"/>
      <c r="L271" s="759"/>
    </row>
    <row r="272" spans="2:12">
      <c r="B272" s="759"/>
      <c r="C272" s="759"/>
      <c r="D272" s="759"/>
      <c r="E272" s="759"/>
      <c r="F272" s="759"/>
      <c r="G272" s="759"/>
      <c r="H272" s="759"/>
      <c r="I272" s="759"/>
      <c r="J272" s="759"/>
      <c r="K272" s="759"/>
      <c r="L272" s="759"/>
    </row>
    <row r="273" spans="2:12">
      <c r="B273" s="759"/>
      <c r="C273" s="759"/>
      <c r="D273" s="759"/>
      <c r="E273" s="759"/>
      <c r="F273" s="759"/>
      <c r="G273" s="759"/>
      <c r="H273" s="759"/>
      <c r="I273" s="759"/>
      <c r="J273" s="759"/>
      <c r="K273" s="759"/>
      <c r="L273" s="759"/>
    </row>
    <row r="274" spans="2:12">
      <c r="B274" s="759"/>
      <c r="C274" s="759"/>
      <c r="D274" s="759"/>
      <c r="E274" s="759"/>
      <c r="F274" s="759"/>
      <c r="G274" s="759"/>
      <c r="H274" s="759"/>
      <c r="I274" s="759"/>
      <c r="J274" s="759"/>
      <c r="K274" s="759"/>
      <c r="L274" s="759"/>
    </row>
    <row r="275" spans="2:12">
      <c r="B275" s="759"/>
      <c r="C275" s="759"/>
      <c r="D275" s="759"/>
      <c r="E275" s="759"/>
      <c r="F275" s="759"/>
      <c r="G275" s="759"/>
      <c r="H275" s="759"/>
      <c r="I275" s="759"/>
      <c r="J275" s="759"/>
      <c r="K275" s="759"/>
      <c r="L275" s="759"/>
    </row>
    <row r="276" spans="2:12">
      <c r="B276" s="759"/>
      <c r="C276" s="759"/>
      <c r="D276" s="759"/>
      <c r="E276" s="759"/>
      <c r="F276" s="759"/>
      <c r="G276" s="759"/>
      <c r="H276" s="759"/>
      <c r="I276" s="759"/>
      <c r="J276" s="759"/>
      <c r="K276" s="759"/>
      <c r="L276" s="759"/>
    </row>
    <row r="277" spans="2:12">
      <c r="B277" s="759"/>
      <c r="C277" s="759"/>
      <c r="D277" s="759"/>
      <c r="E277" s="759"/>
      <c r="F277" s="759"/>
      <c r="G277" s="759"/>
      <c r="H277" s="759"/>
      <c r="I277" s="759"/>
      <c r="J277" s="759"/>
      <c r="K277" s="759"/>
      <c r="L277" s="759"/>
    </row>
    <row r="278" spans="2:12">
      <c r="B278" s="759"/>
      <c r="C278" s="759"/>
      <c r="D278" s="759"/>
      <c r="E278" s="759"/>
      <c r="F278" s="759"/>
      <c r="G278" s="759"/>
      <c r="H278" s="759"/>
      <c r="I278" s="759"/>
      <c r="J278" s="759"/>
      <c r="K278" s="759"/>
      <c r="L278" s="759"/>
    </row>
    <row r="279" spans="2:12">
      <c r="B279" s="759"/>
      <c r="C279" s="759"/>
      <c r="D279" s="759"/>
      <c r="E279" s="759"/>
      <c r="F279" s="759"/>
      <c r="G279" s="759"/>
      <c r="H279" s="759"/>
      <c r="I279" s="759"/>
      <c r="J279" s="759"/>
      <c r="K279" s="759"/>
      <c r="L279" s="759"/>
    </row>
    <row r="280" spans="2:12">
      <c r="B280" s="759"/>
      <c r="C280" s="759"/>
      <c r="D280" s="759"/>
      <c r="E280" s="759"/>
      <c r="F280" s="759"/>
      <c r="G280" s="759"/>
      <c r="H280" s="759"/>
      <c r="I280" s="759"/>
      <c r="J280" s="759"/>
      <c r="K280" s="759"/>
      <c r="L280" s="759"/>
    </row>
    <row r="281" spans="2:12">
      <c r="B281" s="759"/>
      <c r="C281" s="759"/>
      <c r="D281" s="759"/>
      <c r="E281" s="759"/>
      <c r="F281" s="759"/>
      <c r="G281" s="759"/>
      <c r="H281" s="759"/>
      <c r="I281" s="759"/>
      <c r="J281" s="759"/>
      <c r="K281" s="759"/>
      <c r="L281" s="759"/>
    </row>
    <row r="282" spans="2:12">
      <c r="B282" s="759"/>
      <c r="C282" s="759"/>
      <c r="D282" s="759"/>
      <c r="E282" s="759"/>
      <c r="F282" s="759"/>
      <c r="G282" s="759"/>
      <c r="H282" s="759"/>
      <c r="I282" s="759"/>
      <c r="J282" s="759"/>
      <c r="K282" s="759"/>
      <c r="L282" s="759"/>
    </row>
    <row r="283" spans="2:12">
      <c r="B283" s="759"/>
      <c r="C283" s="759"/>
      <c r="D283" s="759"/>
      <c r="E283" s="759"/>
      <c r="F283" s="759"/>
      <c r="G283" s="759"/>
      <c r="H283" s="759"/>
      <c r="I283" s="759"/>
      <c r="J283" s="759"/>
      <c r="K283" s="759"/>
      <c r="L283" s="759"/>
    </row>
    <row r="284" spans="2:12">
      <c r="B284" s="759"/>
      <c r="C284" s="759"/>
      <c r="D284" s="759"/>
      <c r="E284" s="759"/>
      <c r="F284" s="759"/>
      <c r="G284" s="759"/>
      <c r="H284" s="759"/>
      <c r="I284" s="759"/>
      <c r="J284" s="759"/>
      <c r="K284" s="759"/>
      <c r="L284" s="759"/>
    </row>
    <row r="285" spans="2:12">
      <c r="B285" s="759"/>
      <c r="C285" s="759"/>
      <c r="D285" s="759"/>
      <c r="E285" s="759"/>
      <c r="F285" s="759"/>
      <c r="G285" s="759"/>
      <c r="H285" s="759"/>
      <c r="I285" s="759"/>
      <c r="J285" s="759"/>
      <c r="K285" s="759"/>
      <c r="L285" s="759"/>
    </row>
    <row r="286" spans="2:12">
      <c r="B286" s="759"/>
      <c r="C286" s="759"/>
      <c r="D286" s="759"/>
      <c r="E286" s="759"/>
      <c r="F286" s="759"/>
      <c r="G286" s="759"/>
      <c r="H286" s="759"/>
      <c r="I286" s="759"/>
      <c r="J286" s="759"/>
      <c r="K286" s="759"/>
      <c r="L286" s="759"/>
    </row>
    <row r="287" spans="2:12">
      <c r="B287" s="759"/>
      <c r="C287" s="759"/>
      <c r="D287" s="759"/>
      <c r="E287" s="759"/>
      <c r="F287" s="759"/>
      <c r="G287" s="759"/>
      <c r="H287" s="759"/>
      <c r="I287" s="759"/>
      <c r="J287" s="759"/>
      <c r="K287" s="759"/>
      <c r="L287" s="759"/>
    </row>
    <row r="288" spans="2:12">
      <c r="B288" s="759"/>
      <c r="C288" s="759"/>
      <c r="D288" s="759"/>
      <c r="E288" s="759"/>
      <c r="F288" s="759"/>
      <c r="G288" s="759"/>
      <c r="H288" s="759"/>
      <c r="I288" s="759"/>
      <c r="J288" s="759"/>
      <c r="K288" s="759"/>
      <c r="L288" s="759"/>
    </row>
    <row r="289" spans="2:12">
      <c r="B289" s="759"/>
      <c r="C289" s="759"/>
      <c r="D289" s="759"/>
      <c r="E289" s="759"/>
      <c r="F289" s="759"/>
      <c r="G289" s="759"/>
      <c r="H289" s="759"/>
      <c r="I289" s="759"/>
      <c r="J289" s="759"/>
      <c r="K289" s="759"/>
      <c r="L289" s="759"/>
    </row>
    <row r="290" spans="2:12">
      <c r="B290" s="759"/>
      <c r="C290" s="759"/>
      <c r="D290" s="759"/>
      <c r="E290" s="759"/>
      <c r="F290" s="759"/>
      <c r="G290" s="759"/>
      <c r="H290" s="759"/>
      <c r="I290" s="759"/>
      <c r="J290" s="759"/>
      <c r="K290" s="759"/>
      <c r="L290" s="759"/>
    </row>
    <row r="291" spans="2:12">
      <c r="B291" s="759"/>
      <c r="C291" s="759"/>
      <c r="D291" s="759"/>
      <c r="E291" s="759"/>
      <c r="F291" s="759"/>
      <c r="G291" s="759"/>
      <c r="H291" s="759"/>
      <c r="I291" s="759"/>
      <c r="J291" s="759"/>
      <c r="K291" s="759"/>
      <c r="L291" s="759"/>
    </row>
    <row r="292" spans="2:12">
      <c r="B292" s="759"/>
      <c r="C292" s="759"/>
      <c r="D292" s="759"/>
      <c r="E292" s="759"/>
      <c r="F292" s="759"/>
      <c r="G292" s="759"/>
      <c r="H292" s="759"/>
      <c r="I292" s="759"/>
      <c r="J292" s="759"/>
      <c r="K292" s="759"/>
      <c r="L292" s="759"/>
    </row>
    <row r="293" spans="2:12">
      <c r="B293" s="759"/>
      <c r="C293" s="759"/>
      <c r="D293" s="759"/>
      <c r="E293" s="759"/>
      <c r="F293" s="759"/>
      <c r="G293" s="759"/>
      <c r="H293" s="759"/>
      <c r="I293" s="759"/>
      <c r="J293" s="759"/>
      <c r="K293" s="759"/>
      <c r="L293" s="759"/>
    </row>
    <row r="294" spans="2:12">
      <c r="B294" s="759"/>
      <c r="C294" s="759"/>
      <c r="D294" s="759"/>
      <c r="E294" s="759"/>
      <c r="F294" s="759"/>
      <c r="G294" s="759"/>
      <c r="H294" s="759"/>
      <c r="I294" s="759"/>
      <c r="J294" s="759"/>
      <c r="K294" s="759"/>
      <c r="L294" s="759"/>
    </row>
    <row r="295" spans="2:12">
      <c r="B295" s="759"/>
      <c r="C295" s="759"/>
      <c r="D295" s="759"/>
      <c r="E295" s="759"/>
      <c r="F295" s="759"/>
      <c r="G295" s="759"/>
      <c r="H295" s="759"/>
      <c r="I295" s="759"/>
      <c r="J295" s="759"/>
      <c r="K295" s="759"/>
      <c r="L295" s="759"/>
    </row>
    <row r="296" spans="2:12">
      <c r="B296" s="759"/>
      <c r="C296" s="759"/>
      <c r="D296" s="759"/>
      <c r="E296" s="759"/>
      <c r="F296" s="759"/>
      <c r="G296" s="759"/>
      <c r="H296" s="759"/>
      <c r="I296" s="759"/>
      <c r="J296" s="759"/>
      <c r="K296" s="759"/>
      <c r="L296" s="759"/>
    </row>
    <row r="297" spans="2:12">
      <c r="B297" s="759"/>
      <c r="C297" s="759"/>
      <c r="D297" s="759"/>
      <c r="E297" s="759"/>
      <c r="F297" s="759"/>
      <c r="G297" s="759"/>
      <c r="H297" s="759"/>
      <c r="I297" s="759"/>
      <c r="J297" s="759"/>
      <c r="K297" s="759"/>
      <c r="L297" s="759"/>
    </row>
    <row r="298" spans="2:12">
      <c r="B298" s="759"/>
      <c r="C298" s="759"/>
      <c r="D298" s="759"/>
      <c r="E298" s="759"/>
      <c r="F298" s="759"/>
      <c r="G298" s="759"/>
      <c r="H298" s="759"/>
      <c r="I298" s="759"/>
      <c r="J298" s="759"/>
      <c r="K298" s="759"/>
      <c r="L298" s="759"/>
    </row>
    <row r="299" spans="2:12">
      <c r="B299" s="759"/>
      <c r="C299" s="759"/>
      <c r="D299" s="759"/>
      <c r="E299" s="759"/>
      <c r="F299" s="759"/>
      <c r="G299" s="759"/>
      <c r="H299" s="759"/>
      <c r="I299" s="759"/>
      <c r="J299" s="759"/>
      <c r="K299" s="759"/>
      <c r="L299" s="759"/>
    </row>
    <row r="300" spans="2:12">
      <c r="B300" s="759"/>
      <c r="C300" s="759"/>
      <c r="D300" s="759"/>
      <c r="E300" s="759"/>
      <c r="F300" s="759"/>
      <c r="G300" s="759"/>
      <c r="H300" s="759"/>
      <c r="I300" s="759"/>
      <c r="J300" s="759"/>
      <c r="K300" s="759"/>
      <c r="L300" s="759"/>
    </row>
    <row r="301" spans="2:12">
      <c r="B301" s="759"/>
      <c r="C301" s="759"/>
      <c r="D301" s="759"/>
      <c r="E301" s="759"/>
      <c r="F301" s="759"/>
      <c r="G301" s="759"/>
      <c r="H301" s="759"/>
      <c r="I301" s="759"/>
      <c r="J301" s="759"/>
      <c r="K301" s="759"/>
      <c r="L301" s="759"/>
    </row>
    <row r="302" spans="2:12">
      <c r="B302" s="759"/>
      <c r="C302" s="759"/>
      <c r="D302" s="759"/>
      <c r="E302" s="759"/>
      <c r="F302" s="759"/>
      <c r="G302" s="759"/>
      <c r="H302" s="759"/>
      <c r="I302" s="759"/>
      <c r="J302" s="759"/>
      <c r="K302" s="759"/>
      <c r="L302" s="759"/>
    </row>
    <row r="303" spans="2:12">
      <c r="B303" s="759"/>
      <c r="C303" s="759"/>
      <c r="D303" s="759"/>
      <c r="E303" s="759"/>
      <c r="F303" s="759"/>
      <c r="G303" s="759"/>
      <c r="H303" s="759"/>
      <c r="I303" s="759"/>
      <c r="J303" s="759"/>
      <c r="K303" s="759"/>
      <c r="L303" s="759"/>
    </row>
    <row r="304" spans="2:12">
      <c r="B304" s="759"/>
      <c r="C304" s="759"/>
      <c r="D304" s="759"/>
      <c r="E304" s="759"/>
      <c r="F304" s="759"/>
      <c r="G304" s="759"/>
      <c r="H304" s="759"/>
      <c r="I304" s="759"/>
      <c r="J304" s="759"/>
      <c r="K304" s="759"/>
      <c r="L304" s="759"/>
    </row>
    <row r="305" spans="2:12">
      <c r="B305" s="759"/>
      <c r="C305" s="759"/>
      <c r="D305" s="759"/>
      <c r="E305" s="759"/>
      <c r="F305" s="759"/>
      <c r="G305" s="759"/>
      <c r="H305" s="759"/>
      <c r="I305" s="759"/>
      <c r="J305" s="759"/>
      <c r="K305" s="759"/>
      <c r="L305" s="759"/>
    </row>
    <row r="306" spans="2:12">
      <c r="B306" s="759"/>
      <c r="C306" s="759"/>
      <c r="D306" s="759"/>
      <c r="E306" s="759"/>
      <c r="F306" s="759"/>
      <c r="G306" s="759"/>
      <c r="H306" s="759"/>
      <c r="I306" s="759"/>
      <c r="J306" s="759"/>
      <c r="K306" s="759"/>
      <c r="L306" s="759"/>
    </row>
    <row r="307" spans="2:12">
      <c r="B307" s="759"/>
      <c r="C307" s="759"/>
      <c r="D307" s="759"/>
      <c r="E307" s="759"/>
      <c r="F307" s="759"/>
      <c r="G307" s="759"/>
      <c r="H307" s="759"/>
      <c r="I307" s="759"/>
      <c r="J307" s="759"/>
      <c r="K307" s="759"/>
      <c r="L307" s="759"/>
    </row>
    <row r="308" spans="2:12">
      <c r="B308" s="759"/>
      <c r="C308" s="759"/>
      <c r="D308" s="759"/>
      <c r="E308" s="759"/>
      <c r="F308" s="759"/>
      <c r="G308" s="759"/>
      <c r="H308" s="759"/>
      <c r="I308" s="759"/>
      <c r="J308" s="759"/>
      <c r="K308" s="759"/>
      <c r="L308" s="759"/>
    </row>
    <row r="309" spans="2:12">
      <c r="B309" s="759"/>
      <c r="C309" s="759"/>
      <c r="D309" s="759"/>
      <c r="E309" s="759"/>
      <c r="F309" s="759"/>
      <c r="G309" s="759"/>
      <c r="H309" s="759"/>
      <c r="I309" s="759"/>
      <c r="J309" s="759"/>
      <c r="K309" s="759"/>
      <c r="L309" s="759"/>
    </row>
    <row r="310" spans="2:12">
      <c r="B310" s="759"/>
      <c r="C310" s="759"/>
      <c r="D310" s="759"/>
      <c r="E310" s="759"/>
      <c r="F310" s="759"/>
      <c r="G310" s="759"/>
      <c r="H310" s="759"/>
      <c r="I310" s="759"/>
      <c r="J310" s="759"/>
      <c r="K310" s="759"/>
      <c r="L310" s="759"/>
    </row>
    <row r="311" spans="2:12">
      <c r="B311" s="759"/>
      <c r="C311" s="759"/>
      <c r="D311" s="759"/>
      <c r="E311" s="759"/>
      <c r="F311" s="759"/>
      <c r="G311" s="759"/>
      <c r="H311" s="759"/>
      <c r="I311" s="759"/>
      <c r="J311" s="759"/>
      <c r="K311" s="759"/>
      <c r="L311" s="759"/>
    </row>
    <row r="312" spans="2:12">
      <c r="B312" s="759"/>
      <c r="C312" s="759"/>
      <c r="D312" s="759"/>
      <c r="E312" s="759"/>
      <c r="F312" s="759"/>
      <c r="G312" s="759"/>
      <c r="H312" s="759"/>
      <c r="I312" s="759"/>
      <c r="J312" s="759"/>
      <c r="K312" s="759"/>
      <c r="L312" s="759"/>
    </row>
    <row r="313" spans="2:12">
      <c r="B313" s="759"/>
      <c r="C313" s="759"/>
      <c r="D313" s="759"/>
      <c r="E313" s="759"/>
      <c r="F313" s="759"/>
      <c r="G313" s="759"/>
      <c r="H313" s="759"/>
      <c r="I313" s="759"/>
      <c r="J313" s="759"/>
      <c r="K313" s="759"/>
      <c r="L313" s="759"/>
    </row>
    <row r="314" spans="2:12">
      <c r="B314" s="759"/>
      <c r="C314" s="759"/>
      <c r="D314" s="759"/>
      <c r="E314" s="759"/>
      <c r="F314" s="759"/>
      <c r="G314" s="759"/>
      <c r="H314" s="759"/>
      <c r="I314" s="759"/>
      <c r="J314" s="759"/>
      <c r="K314" s="759"/>
      <c r="L314" s="759"/>
    </row>
    <row r="315" spans="2:12">
      <c r="B315" s="759"/>
      <c r="C315" s="759"/>
      <c r="D315" s="759"/>
      <c r="E315" s="759"/>
      <c r="F315" s="759"/>
      <c r="G315" s="759"/>
      <c r="H315" s="759"/>
      <c r="I315" s="759"/>
      <c r="J315" s="759"/>
      <c r="K315" s="759"/>
      <c r="L315" s="759"/>
    </row>
    <row r="316" spans="2:12">
      <c r="B316" s="759"/>
      <c r="C316" s="759"/>
      <c r="D316" s="759"/>
      <c r="E316" s="759"/>
      <c r="F316" s="759"/>
      <c r="G316" s="759"/>
      <c r="H316" s="759"/>
      <c r="I316" s="759"/>
      <c r="J316" s="759"/>
      <c r="K316" s="759"/>
      <c r="L316" s="759"/>
    </row>
    <row r="317" spans="2:12">
      <c r="B317" s="759"/>
      <c r="C317" s="759"/>
      <c r="D317" s="759"/>
      <c r="E317" s="759"/>
      <c r="F317" s="759"/>
      <c r="G317" s="759"/>
      <c r="H317" s="759"/>
      <c r="I317" s="759"/>
      <c r="J317" s="759"/>
      <c r="K317" s="759"/>
      <c r="L317" s="759"/>
    </row>
    <row r="318" spans="2:12">
      <c r="B318" s="759"/>
      <c r="C318" s="759"/>
      <c r="D318" s="759"/>
      <c r="E318" s="759"/>
      <c r="F318" s="759"/>
      <c r="G318" s="759"/>
      <c r="H318" s="759"/>
      <c r="I318" s="759"/>
      <c r="J318" s="759"/>
      <c r="K318" s="759"/>
      <c r="L318" s="759"/>
    </row>
    <row r="319" spans="2:12">
      <c r="B319" s="759"/>
      <c r="C319" s="759"/>
      <c r="D319" s="759"/>
      <c r="E319" s="759"/>
      <c r="F319" s="759"/>
      <c r="G319" s="759"/>
      <c r="H319" s="759"/>
      <c r="I319" s="759"/>
      <c r="J319" s="759"/>
      <c r="K319" s="759"/>
      <c r="L319" s="759"/>
    </row>
    <row r="320" spans="2:12">
      <c r="B320" s="759"/>
      <c r="C320" s="759"/>
      <c r="D320" s="759"/>
      <c r="E320" s="759"/>
      <c r="F320" s="759"/>
      <c r="G320" s="759"/>
      <c r="H320" s="759"/>
      <c r="I320" s="759"/>
      <c r="J320" s="759"/>
      <c r="K320" s="759"/>
      <c r="L320" s="759"/>
    </row>
    <row r="321" spans="2:12">
      <c r="B321" s="759"/>
      <c r="C321" s="759"/>
      <c r="D321" s="759"/>
      <c r="E321" s="759"/>
      <c r="F321" s="759"/>
      <c r="G321" s="759"/>
      <c r="H321" s="759"/>
      <c r="I321" s="759"/>
      <c r="J321" s="759"/>
      <c r="K321" s="759"/>
      <c r="L321" s="759"/>
    </row>
    <row r="322" spans="2:12">
      <c r="B322" s="759"/>
      <c r="C322" s="759"/>
      <c r="D322" s="759"/>
      <c r="E322" s="759"/>
      <c r="F322" s="759"/>
      <c r="G322" s="759"/>
      <c r="H322" s="759"/>
      <c r="I322" s="759"/>
      <c r="J322" s="759"/>
      <c r="K322" s="759"/>
      <c r="L322" s="759"/>
    </row>
    <row r="323" spans="2:12">
      <c r="B323" s="759"/>
      <c r="C323" s="759"/>
      <c r="D323" s="759"/>
      <c r="E323" s="759"/>
      <c r="F323" s="759"/>
      <c r="G323" s="759"/>
      <c r="H323" s="759"/>
      <c r="I323" s="759"/>
      <c r="J323" s="759"/>
      <c r="K323" s="759"/>
      <c r="L323" s="759"/>
    </row>
    <row r="324" spans="2:12">
      <c r="B324" s="759"/>
      <c r="C324" s="759"/>
      <c r="D324" s="759"/>
      <c r="E324" s="759"/>
      <c r="F324" s="759"/>
      <c r="G324" s="759"/>
      <c r="H324" s="759"/>
      <c r="I324" s="759"/>
      <c r="J324" s="759"/>
      <c r="K324" s="759"/>
      <c r="L324" s="759"/>
    </row>
    <row r="325" spans="2:12">
      <c r="B325" s="759"/>
      <c r="C325" s="759"/>
      <c r="D325" s="759"/>
      <c r="E325" s="759"/>
      <c r="F325" s="759"/>
      <c r="G325" s="759"/>
      <c r="H325" s="759"/>
      <c r="I325" s="759"/>
      <c r="J325" s="759"/>
      <c r="K325" s="759"/>
      <c r="L325" s="759"/>
    </row>
    <row r="326" spans="2:12">
      <c r="B326" s="759"/>
      <c r="C326" s="759"/>
      <c r="D326" s="759"/>
      <c r="E326" s="759"/>
      <c r="F326" s="759"/>
      <c r="G326" s="759"/>
      <c r="H326" s="759"/>
      <c r="I326" s="759"/>
      <c r="J326" s="759"/>
      <c r="K326" s="759"/>
      <c r="L326" s="759"/>
    </row>
    <row r="327" spans="2:12">
      <c r="B327" s="759"/>
      <c r="C327" s="759"/>
      <c r="D327" s="759"/>
      <c r="E327" s="759"/>
      <c r="F327" s="759"/>
      <c r="G327" s="759"/>
      <c r="H327" s="759"/>
      <c r="I327" s="759"/>
      <c r="J327" s="759"/>
      <c r="K327" s="759"/>
      <c r="L327" s="759"/>
    </row>
    <row r="328" spans="2:12">
      <c r="B328" s="759"/>
      <c r="C328" s="759"/>
      <c r="D328" s="759"/>
      <c r="E328" s="759"/>
      <c r="F328" s="759"/>
      <c r="G328" s="759"/>
      <c r="H328" s="759"/>
      <c r="I328" s="759"/>
      <c r="J328" s="759"/>
      <c r="K328" s="759"/>
      <c r="L328" s="759"/>
    </row>
    <row r="329" spans="2:12">
      <c r="B329" s="759"/>
      <c r="C329" s="759"/>
      <c r="D329" s="759"/>
      <c r="E329" s="759"/>
      <c r="F329" s="759"/>
      <c r="G329" s="759"/>
      <c r="H329" s="759"/>
      <c r="I329" s="759"/>
      <c r="J329" s="759"/>
      <c r="K329" s="759"/>
      <c r="L329" s="759"/>
    </row>
    <row r="330" spans="2:12">
      <c r="B330" s="759"/>
      <c r="C330" s="759"/>
      <c r="D330" s="759"/>
      <c r="E330" s="759"/>
      <c r="F330" s="759"/>
      <c r="G330" s="759"/>
      <c r="H330" s="759"/>
      <c r="I330" s="759"/>
      <c r="J330" s="759"/>
      <c r="K330" s="759"/>
      <c r="L330" s="759"/>
    </row>
    <row r="331" spans="2:12">
      <c r="B331" s="759"/>
      <c r="C331" s="759"/>
      <c r="D331" s="759"/>
      <c r="E331" s="759"/>
      <c r="F331" s="759"/>
      <c r="G331" s="759"/>
      <c r="H331" s="759"/>
      <c r="I331" s="759"/>
      <c r="J331" s="759"/>
      <c r="K331" s="759"/>
      <c r="L331" s="759"/>
    </row>
    <row r="332" spans="2:12">
      <c r="B332" s="759"/>
      <c r="C332" s="759"/>
      <c r="D332" s="759"/>
      <c r="E332" s="759"/>
      <c r="F332" s="759"/>
      <c r="G332" s="759"/>
      <c r="H332" s="759"/>
      <c r="I332" s="759"/>
      <c r="J332" s="759"/>
      <c r="K332" s="759"/>
      <c r="L332" s="759"/>
    </row>
    <row r="333" spans="2:12">
      <c r="B333" s="759"/>
      <c r="C333" s="759"/>
      <c r="D333" s="759"/>
      <c r="E333" s="759"/>
      <c r="F333" s="759"/>
      <c r="G333" s="759"/>
      <c r="H333" s="759"/>
      <c r="I333" s="759"/>
      <c r="J333" s="759"/>
      <c r="K333" s="759"/>
      <c r="L333" s="759"/>
    </row>
    <row r="334" spans="2:12">
      <c r="B334" s="759"/>
      <c r="C334" s="759"/>
      <c r="D334" s="759"/>
      <c r="E334" s="759"/>
      <c r="F334" s="759"/>
      <c r="G334" s="759"/>
      <c r="H334" s="759"/>
      <c r="I334" s="759"/>
      <c r="J334" s="759"/>
      <c r="K334" s="759"/>
      <c r="L334" s="759"/>
    </row>
    <row r="335" spans="2:12">
      <c r="B335" s="759"/>
      <c r="C335" s="759"/>
      <c r="D335" s="759"/>
      <c r="E335" s="759"/>
      <c r="F335" s="759"/>
      <c r="G335" s="759"/>
      <c r="H335" s="759"/>
      <c r="I335" s="759"/>
      <c r="J335" s="759"/>
      <c r="K335" s="759"/>
      <c r="L335" s="759"/>
    </row>
    <row r="336" spans="2:12">
      <c r="B336" s="759"/>
      <c r="C336" s="759"/>
      <c r="D336" s="759"/>
      <c r="E336" s="759"/>
      <c r="F336" s="759"/>
      <c r="G336" s="759"/>
      <c r="H336" s="759"/>
      <c r="I336" s="759"/>
      <c r="J336" s="759"/>
      <c r="K336" s="759"/>
      <c r="L336" s="759"/>
    </row>
    <row r="337" spans="2:12">
      <c r="B337" s="759"/>
      <c r="C337" s="759"/>
      <c r="D337" s="759"/>
      <c r="E337" s="759"/>
      <c r="F337" s="759"/>
      <c r="G337" s="759"/>
      <c r="H337" s="759"/>
      <c r="I337" s="759"/>
      <c r="J337" s="759"/>
      <c r="K337" s="759"/>
      <c r="L337" s="759"/>
    </row>
    <row r="338" spans="2:12">
      <c r="B338" s="759"/>
      <c r="C338" s="759"/>
      <c r="D338" s="759"/>
      <c r="E338" s="759"/>
      <c r="F338" s="759"/>
      <c r="G338" s="759"/>
      <c r="H338" s="759"/>
      <c r="I338" s="759"/>
      <c r="J338" s="759"/>
      <c r="K338" s="759"/>
      <c r="L338" s="759"/>
    </row>
    <row r="339" spans="2:12">
      <c r="B339" s="759"/>
      <c r="C339" s="759"/>
      <c r="D339" s="759"/>
      <c r="E339" s="759"/>
      <c r="F339" s="759"/>
      <c r="G339" s="759"/>
      <c r="H339" s="759"/>
      <c r="I339" s="759"/>
      <c r="J339" s="759"/>
      <c r="K339" s="759"/>
      <c r="L339" s="759"/>
    </row>
    <row r="340" spans="2:12">
      <c r="B340" s="759"/>
      <c r="C340" s="759"/>
      <c r="D340" s="759"/>
      <c r="E340" s="759"/>
      <c r="F340" s="759"/>
      <c r="G340" s="759"/>
      <c r="H340" s="759"/>
      <c r="I340" s="759"/>
      <c r="J340" s="759"/>
      <c r="K340" s="759"/>
      <c r="L340" s="759"/>
    </row>
    <row r="341" spans="2:12">
      <c r="B341" s="759"/>
      <c r="C341" s="759"/>
      <c r="D341" s="759"/>
      <c r="E341" s="759"/>
      <c r="F341" s="759"/>
      <c r="G341" s="759"/>
      <c r="H341" s="759"/>
      <c r="I341" s="759"/>
      <c r="J341" s="759"/>
      <c r="K341" s="759"/>
      <c r="L341" s="759"/>
    </row>
    <row r="342" spans="2:12">
      <c r="B342" s="759"/>
      <c r="C342" s="759"/>
      <c r="D342" s="759"/>
      <c r="E342" s="759"/>
      <c r="F342" s="759"/>
      <c r="G342" s="759"/>
      <c r="H342" s="759"/>
      <c r="I342" s="759"/>
      <c r="J342" s="759"/>
      <c r="K342" s="759"/>
      <c r="L342" s="759"/>
    </row>
    <row r="343" spans="2:12">
      <c r="B343" s="759"/>
      <c r="C343" s="759"/>
      <c r="D343" s="759"/>
      <c r="E343" s="759"/>
      <c r="F343" s="759"/>
      <c r="G343" s="759"/>
      <c r="H343" s="759"/>
      <c r="I343" s="759"/>
      <c r="J343" s="759"/>
      <c r="K343" s="759"/>
      <c r="L343" s="759"/>
    </row>
    <row r="344" spans="2:12">
      <c r="B344" s="759"/>
      <c r="C344" s="759"/>
      <c r="D344" s="759"/>
      <c r="E344" s="759"/>
      <c r="F344" s="759"/>
      <c r="G344" s="759"/>
      <c r="H344" s="759"/>
      <c r="I344" s="759"/>
      <c r="J344" s="759"/>
      <c r="K344" s="759"/>
      <c r="L344" s="759"/>
    </row>
    <row r="345" spans="2:12">
      <c r="B345" s="759"/>
      <c r="C345" s="759"/>
      <c r="D345" s="759"/>
      <c r="E345" s="759"/>
      <c r="F345" s="759"/>
      <c r="G345" s="759"/>
      <c r="H345" s="759"/>
      <c r="I345" s="759"/>
      <c r="J345" s="759"/>
      <c r="K345" s="759"/>
      <c r="L345" s="759"/>
    </row>
    <row r="346" spans="2:12">
      <c r="B346" s="759"/>
      <c r="C346" s="759"/>
      <c r="D346" s="759"/>
      <c r="E346" s="759"/>
      <c r="F346" s="759"/>
      <c r="G346" s="759"/>
      <c r="H346" s="759"/>
      <c r="I346" s="759"/>
      <c r="J346" s="759"/>
      <c r="K346" s="759"/>
      <c r="L346" s="759"/>
    </row>
    <row r="347" spans="2:12">
      <c r="B347" s="759"/>
      <c r="C347" s="759"/>
      <c r="D347" s="759"/>
      <c r="E347" s="759"/>
      <c r="F347" s="759"/>
      <c r="G347" s="759"/>
      <c r="H347" s="759"/>
      <c r="I347" s="759"/>
      <c r="J347" s="759"/>
      <c r="K347" s="759"/>
      <c r="L347" s="759"/>
    </row>
    <row r="348" spans="2:12">
      <c r="B348" s="759"/>
      <c r="C348" s="759"/>
      <c r="D348" s="759"/>
      <c r="E348" s="759"/>
      <c r="F348" s="759"/>
      <c r="G348" s="759"/>
      <c r="H348" s="759"/>
      <c r="I348" s="759"/>
      <c r="J348" s="759"/>
      <c r="K348" s="759"/>
      <c r="L348" s="759"/>
    </row>
    <row r="349" spans="2:12">
      <c r="B349" s="759"/>
      <c r="C349" s="759"/>
      <c r="D349" s="759"/>
      <c r="E349" s="759"/>
      <c r="F349" s="759"/>
      <c r="G349" s="759"/>
      <c r="H349" s="759"/>
      <c r="I349" s="759"/>
      <c r="J349" s="759"/>
      <c r="K349" s="759"/>
      <c r="L349" s="759"/>
    </row>
    <row r="350" spans="2:12">
      <c r="B350" s="759"/>
      <c r="C350" s="759"/>
      <c r="D350" s="759"/>
      <c r="E350" s="759"/>
      <c r="F350" s="759"/>
      <c r="G350" s="759"/>
      <c r="H350" s="759"/>
      <c r="I350" s="759"/>
      <c r="J350" s="759"/>
      <c r="K350" s="759"/>
      <c r="L350" s="759"/>
    </row>
    <row r="351" spans="2:12">
      <c r="B351" s="759"/>
      <c r="C351" s="759"/>
      <c r="D351" s="759"/>
      <c r="E351" s="759"/>
      <c r="F351" s="759"/>
      <c r="G351" s="759"/>
      <c r="H351" s="759"/>
      <c r="I351" s="759"/>
      <c r="J351" s="759"/>
      <c r="K351" s="759"/>
      <c r="L351" s="759"/>
    </row>
    <row r="352" spans="2:12">
      <c r="B352" s="759"/>
      <c r="C352" s="759"/>
      <c r="D352" s="759"/>
      <c r="E352" s="759"/>
      <c r="F352" s="759"/>
      <c r="G352" s="759"/>
      <c r="H352" s="759"/>
      <c r="I352" s="759"/>
      <c r="J352" s="759"/>
      <c r="K352" s="759"/>
      <c r="L352" s="759"/>
    </row>
    <row r="353" spans="2:12">
      <c r="B353" s="759"/>
      <c r="C353" s="759"/>
      <c r="D353" s="759"/>
      <c r="E353" s="759"/>
      <c r="F353" s="759"/>
      <c r="G353" s="759"/>
      <c r="H353" s="759"/>
      <c r="I353" s="759"/>
      <c r="J353" s="759"/>
      <c r="K353" s="759"/>
      <c r="L353" s="759"/>
    </row>
    <row r="354" spans="2:12">
      <c r="B354" s="759"/>
      <c r="C354" s="759"/>
      <c r="D354" s="759"/>
      <c r="E354" s="759"/>
      <c r="F354" s="759"/>
      <c r="G354" s="759"/>
      <c r="H354" s="759"/>
      <c r="I354" s="759"/>
      <c r="J354" s="759"/>
      <c r="K354" s="759"/>
      <c r="L354" s="759"/>
    </row>
    <row r="355" spans="2:12">
      <c r="B355" s="759"/>
      <c r="C355" s="759"/>
      <c r="D355" s="759"/>
      <c r="E355" s="759"/>
      <c r="F355" s="759"/>
      <c r="G355" s="759"/>
      <c r="H355" s="759"/>
      <c r="I355" s="759"/>
      <c r="J355" s="759"/>
      <c r="K355" s="759"/>
      <c r="L355" s="759"/>
    </row>
    <row r="356" spans="2:12">
      <c r="B356" s="759"/>
      <c r="C356" s="759"/>
      <c r="D356" s="759"/>
      <c r="E356" s="759"/>
      <c r="F356" s="759"/>
      <c r="G356" s="759"/>
      <c r="H356" s="759"/>
      <c r="I356" s="759"/>
      <c r="J356" s="759"/>
      <c r="K356" s="759"/>
      <c r="L356" s="759"/>
    </row>
    <row r="357" spans="2:12">
      <c r="B357" s="759"/>
      <c r="C357" s="759"/>
      <c r="D357" s="759"/>
      <c r="E357" s="759"/>
      <c r="F357" s="759"/>
      <c r="G357" s="759"/>
      <c r="H357" s="759"/>
      <c r="I357" s="759"/>
      <c r="J357" s="759"/>
      <c r="K357" s="759"/>
      <c r="L357" s="759"/>
    </row>
    <row r="358" spans="2:12">
      <c r="B358" s="759"/>
      <c r="C358" s="759"/>
      <c r="D358" s="759"/>
      <c r="E358" s="759"/>
      <c r="F358" s="759"/>
      <c r="G358" s="759"/>
      <c r="H358" s="759"/>
      <c r="I358" s="759"/>
      <c r="J358" s="759"/>
      <c r="K358" s="759"/>
      <c r="L358" s="759"/>
    </row>
    <row r="359" spans="2:12">
      <c r="B359" s="759"/>
      <c r="C359" s="759"/>
      <c r="D359" s="759"/>
      <c r="E359" s="759"/>
      <c r="F359" s="759"/>
      <c r="G359" s="759"/>
      <c r="H359" s="759"/>
      <c r="I359" s="759"/>
      <c r="J359" s="759"/>
      <c r="K359" s="759"/>
      <c r="L359" s="759"/>
    </row>
    <row r="360" spans="2:12">
      <c r="B360" s="759"/>
      <c r="C360" s="759"/>
      <c r="D360" s="759"/>
      <c r="E360" s="759"/>
      <c r="F360" s="759"/>
      <c r="G360" s="759"/>
      <c r="H360" s="759"/>
      <c r="I360" s="759"/>
      <c r="J360" s="759"/>
      <c r="K360" s="759"/>
      <c r="L360" s="759"/>
    </row>
    <row r="361" spans="2:12">
      <c r="B361" s="759"/>
      <c r="C361" s="759"/>
      <c r="D361" s="759"/>
      <c r="E361" s="759"/>
      <c r="F361" s="759"/>
      <c r="G361" s="759"/>
      <c r="H361" s="759"/>
      <c r="I361" s="759"/>
      <c r="J361" s="759"/>
      <c r="K361" s="759"/>
      <c r="L361" s="759"/>
    </row>
    <row r="362" spans="2:12">
      <c r="B362" s="759"/>
      <c r="C362" s="759"/>
      <c r="D362" s="759"/>
      <c r="E362" s="759"/>
      <c r="F362" s="759"/>
      <c r="G362" s="759"/>
      <c r="H362" s="759"/>
      <c r="I362" s="759"/>
      <c r="J362" s="759"/>
      <c r="K362" s="759"/>
      <c r="L362" s="759"/>
    </row>
    <row r="363" spans="2:12">
      <c r="B363" s="759"/>
      <c r="C363" s="759"/>
      <c r="D363" s="759"/>
      <c r="E363" s="759"/>
      <c r="F363" s="759"/>
      <c r="G363" s="759"/>
      <c r="H363" s="759"/>
      <c r="I363" s="759"/>
      <c r="J363" s="759"/>
      <c r="K363" s="759"/>
      <c r="L363" s="759"/>
    </row>
    <row r="364" spans="2:12">
      <c r="B364" s="759"/>
      <c r="C364" s="759"/>
      <c r="D364" s="759"/>
      <c r="E364" s="759"/>
      <c r="F364" s="759"/>
      <c r="G364" s="759"/>
      <c r="H364" s="759"/>
      <c r="I364" s="759"/>
      <c r="J364" s="759"/>
      <c r="K364" s="759"/>
      <c r="L364" s="759"/>
    </row>
    <row r="365" spans="2:12">
      <c r="B365" s="759"/>
      <c r="C365" s="759"/>
      <c r="D365" s="759"/>
      <c r="E365" s="759"/>
      <c r="F365" s="759"/>
      <c r="G365" s="759"/>
      <c r="H365" s="759"/>
      <c r="I365" s="759"/>
      <c r="J365" s="759"/>
      <c r="K365" s="759"/>
      <c r="L365" s="759"/>
    </row>
    <row r="366" spans="2:12">
      <c r="B366" s="759"/>
      <c r="C366" s="759"/>
      <c r="D366" s="759"/>
      <c r="E366" s="759"/>
      <c r="F366" s="759"/>
      <c r="G366" s="759"/>
      <c r="H366" s="759"/>
      <c r="I366" s="759"/>
      <c r="J366" s="759"/>
      <c r="K366" s="759"/>
      <c r="L366" s="759"/>
    </row>
    <row r="367" spans="2:12">
      <c r="B367" s="759"/>
      <c r="C367" s="759"/>
      <c r="D367" s="759"/>
      <c r="E367" s="759"/>
      <c r="F367" s="759"/>
      <c r="G367" s="759"/>
      <c r="H367" s="759"/>
      <c r="I367" s="759"/>
      <c r="J367" s="759"/>
      <c r="K367" s="759"/>
      <c r="L367" s="759"/>
    </row>
    <row r="368" spans="2:12">
      <c r="B368" s="759"/>
      <c r="C368" s="759"/>
      <c r="D368" s="759"/>
      <c r="E368" s="759"/>
      <c r="F368" s="759"/>
      <c r="G368" s="759"/>
      <c r="H368" s="759"/>
      <c r="I368" s="759"/>
      <c r="J368" s="759"/>
      <c r="K368" s="759"/>
      <c r="L368" s="759"/>
    </row>
    <row r="369" spans="2:12">
      <c r="B369" s="759"/>
      <c r="C369" s="759"/>
      <c r="D369" s="759"/>
      <c r="E369" s="759"/>
      <c r="F369" s="759"/>
      <c r="G369" s="759"/>
      <c r="H369" s="759"/>
      <c r="I369" s="759"/>
      <c r="J369" s="759"/>
      <c r="K369" s="759"/>
      <c r="L369" s="759"/>
    </row>
    <row r="370" spans="2:12">
      <c r="B370" s="759"/>
      <c r="C370" s="759"/>
      <c r="D370" s="759"/>
      <c r="E370" s="759"/>
      <c r="F370" s="759"/>
      <c r="G370" s="759"/>
      <c r="H370" s="759"/>
      <c r="I370" s="759"/>
      <c r="J370" s="759"/>
      <c r="K370" s="759"/>
      <c r="L370" s="759"/>
    </row>
    <row r="371" spans="2:12">
      <c r="B371" s="759"/>
      <c r="C371" s="759"/>
      <c r="D371" s="759"/>
      <c r="E371" s="759"/>
      <c r="F371" s="759"/>
      <c r="G371" s="759"/>
      <c r="H371" s="759"/>
      <c r="I371" s="759"/>
      <c r="J371" s="759"/>
      <c r="K371" s="759"/>
      <c r="L371" s="759"/>
    </row>
    <row r="372" spans="2:12">
      <c r="B372" s="759"/>
      <c r="C372" s="759"/>
      <c r="D372" s="759"/>
      <c r="E372" s="759"/>
      <c r="F372" s="759"/>
      <c r="G372" s="759"/>
      <c r="H372" s="759"/>
      <c r="I372" s="759"/>
      <c r="J372" s="759"/>
      <c r="K372" s="759"/>
      <c r="L372" s="759"/>
    </row>
    <row r="373" spans="2:12">
      <c r="B373" s="759"/>
      <c r="C373" s="759"/>
      <c r="D373" s="759"/>
      <c r="E373" s="759"/>
      <c r="F373" s="759"/>
      <c r="G373" s="759"/>
      <c r="H373" s="759"/>
      <c r="I373" s="759"/>
      <c r="J373" s="759"/>
      <c r="K373" s="759"/>
      <c r="L373" s="759"/>
    </row>
    <row r="374" spans="2:12">
      <c r="B374" s="759"/>
      <c r="C374" s="759"/>
      <c r="D374" s="759"/>
      <c r="E374" s="759"/>
      <c r="F374" s="759"/>
      <c r="G374" s="759"/>
      <c r="H374" s="759"/>
      <c r="I374" s="759"/>
      <c r="J374" s="759"/>
      <c r="K374" s="759"/>
      <c r="L374" s="759"/>
    </row>
    <row r="375" spans="2:12">
      <c r="B375" s="759"/>
      <c r="C375" s="759"/>
      <c r="D375" s="759"/>
      <c r="E375" s="759"/>
      <c r="F375" s="759"/>
      <c r="G375" s="759"/>
      <c r="H375" s="759"/>
      <c r="I375" s="759"/>
      <c r="J375" s="759"/>
      <c r="K375" s="759"/>
      <c r="L375" s="759"/>
    </row>
    <row r="376" spans="2:12">
      <c r="B376" s="759"/>
      <c r="C376" s="759"/>
      <c r="D376" s="759"/>
      <c r="E376" s="759"/>
      <c r="F376" s="759"/>
      <c r="G376" s="759"/>
      <c r="H376" s="759"/>
      <c r="I376" s="759"/>
      <c r="J376" s="759"/>
      <c r="K376" s="759"/>
      <c r="L376" s="759"/>
    </row>
    <row r="377" spans="2:12">
      <c r="B377" s="759"/>
      <c r="C377" s="759"/>
      <c r="D377" s="759"/>
      <c r="E377" s="759"/>
      <c r="F377" s="759"/>
      <c r="G377" s="759"/>
      <c r="H377" s="759"/>
      <c r="I377" s="759"/>
      <c r="J377" s="759"/>
      <c r="K377" s="759"/>
      <c r="L377" s="759"/>
    </row>
    <row r="378" spans="2:12">
      <c r="B378" s="759"/>
      <c r="C378" s="759"/>
      <c r="D378" s="759"/>
      <c r="E378" s="759"/>
      <c r="F378" s="759"/>
      <c r="G378" s="759"/>
      <c r="H378" s="759"/>
      <c r="I378" s="759"/>
      <c r="J378" s="759"/>
      <c r="K378" s="759"/>
      <c r="L378" s="759"/>
    </row>
    <row r="379" spans="2:12">
      <c r="B379" s="759"/>
      <c r="C379" s="759"/>
      <c r="D379" s="759"/>
      <c r="E379" s="759"/>
      <c r="F379" s="759"/>
      <c r="G379" s="759"/>
      <c r="H379" s="759"/>
      <c r="I379" s="759"/>
      <c r="J379" s="759"/>
      <c r="K379" s="759"/>
      <c r="L379" s="759"/>
    </row>
    <row r="380" spans="2:12">
      <c r="B380" s="759"/>
      <c r="C380" s="759"/>
      <c r="D380" s="759"/>
      <c r="E380" s="759"/>
      <c r="F380" s="759"/>
      <c r="G380" s="759"/>
      <c r="H380" s="759"/>
      <c r="I380" s="759"/>
      <c r="J380" s="759"/>
      <c r="K380" s="759"/>
      <c r="L380" s="759"/>
    </row>
    <row r="381" spans="2:12">
      <c r="B381" s="759"/>
      <c r="C381" s="759"/>
      <c r="D381" s="759"/>
      <c r="E381" s="759"/>
      <c r="F381" s="759"/>
      <c r="G381" s="759"/>
      <c r="H381" s="759"/>
      <c r="I381" s="759"/>
      <c r="J381" s="759"/>
      <c r="K381" s="759"/>
      <c r="L381" s="759"/>
    </row>
    <row r="382" spans="2:12">
      <c r="B382" s="759"/>
      <c r="C382" s="759"/>
      <c r="D382" s="759"/>
      <c r="E382" s="759"/>
      <c r="F382" s="759"/>
      <c r="G382" s="759"/>
      <c r="H382" s="759"/>
      <c r="I382" s="759"/>
      <c r="J382" s="759"/>
      <c r="K382" s="759"/>
      <c r="L382" s="759"/>
    </row>
    <row r="383" spans="2:12">
      <c r="B383" s="759"/>
      <c r="C383" s="759"/>
      <c r="D383" s="759"/>
      <c r="E383" s="759"/>
      <c r="F383" s="759"/>
      <c r="G383" s="759"/>
      <c r="H383" s="759"/>
      <c r="I383" s="759"/>
      <c r="J383" s="759"/>
      <c r="K383" s="759"/>
      <c r="L383" s="759"/>
    </row>
    <row r="384" spans="2:12">
      <c r="B384" s="759"/>
      <c r="C384" s="759"/>
      <c r="D384" s="759"/>
      <c r="E384" s="759"/>
      <c r="F384" s="759"/>
      <c r="G384" s="759"/>
      <c r="H384" s="759"/>
      <c r="I384" s="759"/>
      <c r="J384" s="759"/>
      <c r="K384" s="759"/>
      <c r="L384" s="759"/>
    </row>
    <row r="385" spans="2:12">
      <c r="B385" s="759"/>
      <c r="C385" s="759"/>
      <c r="D385" s="759"/>
      <c r="E385" s="759"/>
      <c r="F385" s="759"/>
      <c r="G385" s="759"/>
      <c r="H385" s="759"/>
      <c r="I385" s="759"/>
      <c r="J385" s="759"/>
      <c r="K385" s="759"/>
      <c r="L385" s="759"/>
    </row>
    <row r="386" spans="2:12">
      <c r="B386" s="759"/>
      <c r="C386" s="759"/>
      <c r="D386" s="759"/>
      <c r="E386" s="759"/>
      <c r="F386" s="759"/>
      <c r="G386" s="759"/>
      <c r="H386" s="759"/>
      <c r="I386" s="759"/>
      <c r="J386" s="759"/>
      <c r="K386" s="759"/>
      <c r="L386" s="759"/>
    </row>
    <row r="387" spans="2:12">
      <c r="B387" s="759"/>
      <c r="C387" s="759"/>
      <c r="D387" s="759"/>
      <c r="E387" s="759"/>
      <c r="F387" s="759"/>
      <c r="G387" s="759"/>
      <c r="H387" s="759"/>
      <c r="I387" s="759"/>
      <c r="J387" s="759"/>
      <c r="K387" s="759"/>
      <c r="L387" s="759"/>
    </row>
    <row r="388" spans="2:12">
      <c r="B388" s="759"/>
      <c r="C388" s="759"/>
      <c r="D388" s="759"/>
      <c r="E388" s="759"/>
      <c r="F388" s="759"/>
      <c r="G388" s="759"/>
      <c r="H388" s="759"/>
      <c r="I388" s="759"/>
      <c r="J388" s="759"/>
      <c r="K388" s="759"/>
      <c r="L388" s="759"/>
    </row>
    <row r="389" spans="2:12">
      <c r="B389" s="759"/>
      <c r="C389" s="759"/>
      <c r="D389" s="759"/>
      <c r="E389" s="759"/>
      <c r="F389" s="759"/>
      <c r="G389" s="759"/>
      <c r="H389" s="759"/>
      <c r="I389" s="759"/>
      <c r="J389" s="759"/>
      <c r="K389" s="759"/>
      <c r="L389" s="759"/>
    </row>
    <row r="390" spans="2:12">
      <c r="B390" s="759"/>
      <c r="C390" s="759"/>
      <c r="D390" s="759"/>
      <c r="E390" s="759"/>
      <c r="F390" s="759"/>
      <c r="G390" s="759"/>
      <c r="H390" s="759"/>
      <c r="I390" s="759"/>
      <c r="J390" s="759"/>
      <c r="K390" s="759"/>
      <c r="L390" s="759"/>
    </row>
    <row r="391" spans="2:12">
      <c r="B391" s="759"/>
      <c r="C391" s="759"/>
      <c r="D391" s="759"/>
      <c r="E391" s="759"/>
      <c r="F391" s="759"/>
      <c r="G391" s="759"/>
      <c r="H391" s="759"/>
      <c r="I391" s="759"/>
      <c r="J391" s="759"/>
      <c r="K391" s="759"/>
      <c r="L391" s="759"/>
    </row>
    <row r="392" spans="2:12">
      <c r="B392" s="759"/>
      <c r="C392" s="759"/>
      <c r="D392" s="759"/>
      <c r="E392" s="759"/>
      <c r="F392" s="759"/>
      <c r="G392" s="759"/>
      <c r="H392" s="759"/>
      <c r="I392" s="759"/>
      <c r="J392" s="759"/>
      <c r="K392" s="759"/>
      <c r="L392" s="759"/>
    </row>
    <row r="393" spans="2:12">
      <c r="B393" s="759"/>
      <c r="C393" s="759"/>
      <c r="D393" s="759"/>
      <c r="E393" s="759"/>
      <c r="F393" s="759"/>
      <c r="G393" s="759"/>
      <c r="H393" s="759"/>
      <c r="I393" s="759"/>
      <c r="J393" s="759"/>
      <c r="K393" s="759"/>
      <c r="L393" s="759"/>
    </row>
    <row r="394" spans="2:12">
      <c r="B394" s="759"/>
      <c r="C394" s="759"/>
      <c r="D394" s="759"/>
      <c r="E394" s="759"/>
      <c r="F394" s="759"/>
      <c r="G394" s="759"/>
      <c r="H394" s="759"/>
      <c r="I394" s="759"/>
      <c r="J394" s="759"/>
      <c r="K394" s="759"/>
      <c r="L394" s="759"/>
    </row>
    <row r="395" spans="2:12">
      <c r="B395" s="759"/>
      <c r="C395" s="759"/>
      <c r="D395" s="759"/>
      <c r="E395" s="759"/>
      <c r="F395" s="759"/>
      <c r="G395" s="759"/>
      <c r="H395" s="759"/>
      <c r="I395" s="759"/>
      <c r="J395" s="759"/>
      <c r="K395" s="759"/>
      <c r="L395" s="759"/>
    </row>
    <row r="396" spans="2:12">
      <c r="B396" s="759"/>
      <c r="C396" s="759"/>
      <c r="D396" s="759"/>
      <c r="E396" s="759"/>
      <c r="F396" s="759"/>
      <c r="G396" s="759"/>
      <c r="H396" s="759"/>
      <c r="I396" s="759"/>
      <c r="J396" s="759"/>
      <c r="K396" s="759"/>
      <c r="L396" s="759"/>
    </row>
    <row r="397" spans="2:12">
      <c r="B397" s="759"/>
      <c r="C397" s="759"/>
      <c r="D397" s="759"/>
      <c r="E397" s="759"/>
      <c r="F397" s="759"/>
      <c r="G397" s="759"/>
      <c r="H397" s="759"/>
      <c r="I397" s="759"/>
      <c r="J397" s="759"/>
      <c r="K397" s="759"/>
      <c r="L397" s="759"/>
    </row>
    <row r="398" spans="2:12">
      <c r="B398" s="759"/>
      <c r="C398" s="759"/>
      <c r="D398" s="759"/>
      <c r="E398" s="759"/>
      <c r="F398" s="759"/>
      <c r="G398" s="759"/>
      <c r="H398" s="759"/>
      <c r="I398" s="759"/>
      <c r="J398" s="759"/>
      <c r="K398" s="759"/>
      <c r="L398" s="759"/>
    </row>
    <row r="399" spans="2:12">
      <c r="B399" s="759"/>
      <c r="C399" s="759"/>
      <c r="D399" s="759"/>
      <c r="E399" s="759"/>
      <c r="F399" s="759"/>
      <c r="G399" s="759"/>
      <c r="H399" s="759"/>
      <c r="I399" s="759"/>
      <c r="J399" s="759"/>
      <c r="K399" s="759"/>
      <c r="L399" s="759"/>
    </row>
    <row r="400" spans="2:12">
      <c r="B400" s="759"/>
      <c r="C400" s="759"/>
      <c r="D400" s="759"/>
      <c r="E400" s="759"/>
      <c r="F400" s="759"/>
      <c r="G400" s="759"/>
      <c r="H400" s="759"/>
      <c r="I400" s="759"/>
      <c r="J400" s="759"/>
      <c r="K400" s="759"/>
      <c r="L400" s="759"/>
    </row>
    <row r="401" spans="2:12">
      <c r="B401" s="759"/>
      <c r="C401" s="759"/>
      <c r="D401" s="759"/>
      <c r="E401" s="759"/>
      <c r="F401" s="759"/>
      <c r="G401" s="759"/>
      <c r="H401" s="759"/>
      <c r="I401" s="759"/>
      <c r="J401" s="759"/>
      <c r="K401" s="759"/>
      <c r="L401" s="759"/>
    </row>
    <row r="402" spans="2:12">
      <c r="B402" s="759"/>
      <c r="C402" s="759"/>
      <c r="D402" s="759"/>
      <c r="E402" s="759"/>
      <c r="F402" s="759"/>
      <c r="G402" s="759"/>
      <c r="H402" s="759"/>
      <c r="I402" s="759"/>
      <c r="J402" s="759"/>
      <c r="K402" s="759"/>
      <c r="L402" s="759"/>
    </row>
    <row r="403" spans="2:12">
      <c r="B403" s="759"/>
      <c r="C403" s="759"/>
      <c r="D403" s="759"/>
      <c r="E403" s="759"/>
      <c r="F403" s="759"/>
      <c r="G403" s="759"/>
      <c r="H403" s="759"/>
      <c r="I403" s="759"/>
      <c r="J403" s="759"/>
      <c r="K403" s="759"/>
      <c r="L403" s="759"/>
    </row>
    <row r="404" spans="2:12">
      <c r="B404" s="759"/>
      <c r="C404" s="759"/>
      <c r="D404" s="759"/>
      <c r="E404" s="759"/>
      <c r="F404" s="759"/>
      <c r="G404" s="759"/>
      <c r="H404" s="759"/>
      <c r="I404" s="759"/>
      <c r="J404" s="759"/>
      <c r="K404" s="759"/>
      <c r="L404" s="759"/>
    </row>
    <row r="405" spans="2:12">
      <c r="B405" s="759"/>
      <c r="C405" s="759"/>
      <c r="D405" s="759"/>
      <c r="E405" s="759"/>
      <c r="F405" s="759"/>
      <c r="G405" s="759"/>
      <c r="H405" s="759"/>
      <c r="I405" s="759"/>
      <c r="J405" s="759"/>
      <c r="K405" s="759"/>
      <c r="L405" s="759"/>
    </row>
    <row r="406" spans="2:12">
      <c r="B406" s="759"/>
      <c r="C406" s="759"/>
      <c r="D406" s="759"/>
      <c r="E406" s="759"/>
      <c r="F406" s="759"/>
      <c r="G406" s="759"/>
      <c r="H406" s="759"/>
      <c r="I406" s="759"/>
      <c r="J406" s="759"/>
      <c r="K406" s="759"/>
      <c r="L406" s="759"/>
    </row>
    <row r="407" spans="2:12">
      <c r="B407" s="759"/>
      <c r="C407" s="759"/>
      <c r="D407" s="759"/>
      <c r="E407" s="759"/>
      <c r="F407" s="759"/>
      <c r="G407" s="759"/>
      <c r="H407" s="759"/>
      <c r="I407" s="759"/>
      <c r="J407" s="759"/>
      <c r="K407" s="759"/>
      <c r="L407" s="759"/>
    </row>
    <row r="408" spans="2:12">
      <c r="B408" s="759"/>
      <c r="C408" s="759"/>
      <c r="D408" s="759"/>
      <c r="E408" s="759"/>
      <c r="F408" s="759"/>
      <c r="G408" s="759"/>
      <c r="H408" s="759"/>
      <c r="I408" s="759"/>
      <c r="J408" s="759"/>
      <c r="K408" s="759"/>
      <c r="L408" s="759"/>
    </row>
    <row r="409" spans="2:12">
      <c r="B409" s="759"/>
      <c r="C409" s="759"/>
      <c r="D409" s="759"/>
      <c r="E409" s="759"/>
      <c r="F409" s="759"/>
      <c r="G409" s="759"/>
      <c r="H409" s="759"/>
      <c r="I409" s="759"/>
      <c r="J409" s="759"/>
      <c r="K409" s="759"/>
      <c r="L409" s="759"/>
    </row>
    <row r="410" spans="2:12">
      <c r="B410" s="759"/>
      <c r="C410" s="759"/>
      <c r="D410" s="759"/>
      <c r="E410" s="759"/>
      <c r="F410" s="759"/>
      <c r="G410" s="759"/>
      <c r="H410" s="759"/>
      <c r="I410" s="759"/>
      <c r="J410" s="759"/>
      <c r="K410" s="759"/>
      <c r="L410" s="759"/>
    </row>
    <row r="411" spans="2:12">
      <c r="B411" s="759"/>
      <c r="C411" s="759"/>
      <c r="D411" s="759"/>
      <c r="E411" s="759"/>
      <c r="F411" s="759"/>
      <c r="G411" s="759"/>
      <c r="H411" s="759"/>
      <c r="I411" s="759"/>
      <c r="J411" s="759"/>
      <c r="K411" s="759"/>
      <c r="L411" s="759"/>
    </row>
  </sheetData>
  <mergeCells count="7">
    <mergeCell ref="C1:H3"/>
    <mergeCell ref="A7:B7"/>
    <mergeCell ref="H5:H6"/>
    <mergeCell ref="A4:C4"/>
    <mergeCell ref="D4:H4"/>
    <mergeCell ref="A5:C5"/>
    <mergeCell ref="D5:G5"/>
  </mergeCells>
  <printOptions horizontalCentered="1" verticalCentered="1"/>
  <pageMargins left="0.70866141732283472" right="0.70866141732283472" top="0.74803149606299213" bottom="0.74803149606299213" header="0.31496062992125984" footer="0.31496062992125984"/>
  <pageSetup paperSize="9" scale="43" orientation="portrait" r:id="rId1"/>
  <headerFooter>
    <oddFooter>&amp;L&amp;"Calibri,Regular"&amp;K184782&amp;F&amp;C&amp;"Calibri,Regular"&amp;K184782&amp;A&amp;R&amp;"Calibri,Regular"&amp;K184782&amp;P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1:K843"/>
  <sheetViews>
    <sheetView showGridLines="0" view="pageBreakPreview" topLeftCell="A718" zoomScale="90" zoomScaleNormal="100" zoomScaleSheetLayoutView="90" workbookViewId="0">
      <selection activeCell="D742" sqref="D742"/>
    </sheetView>
  </sheetViews>
  <sheetFormatPr defaultRowHeight="15.75"/>
  <cols>
    <col min="1" max="1" width="10.44140625" style="722" customWidth="1"/>
    <col min="2" max="2" width="10.33203125" style="722" customWidth="1"/>
    <col min="3" max="3" width="8.6640625" style="734" customWidth="1"/>
    <col min="4" max="4" width="10.21875" style="722" customWidth="1"/>
    <col min="5" max="5" width="24.33203125" style="735" customWidth="1"/>
    <col min="6" max="32" width="9.77734375" style="722" customWidth="1"/>
    <col min="33" max="16384" width="8.88671875" style="722"/>
  </cols>
  <sheetData>
    <row r="1" spans="1:11" s="707" customFormat="1" ht="16.5" customHeight="1">
      <c r="B1" s="708"/>
      <c r="C1" s="1417" t="s">
        <v>381</v>
      </c>
      <c r="D1" s="1417"/>
      <c r="E1" s="1417"/>
      <c r="F1" s="706"/>
      <c r="G1" s="706"/>
      <c r="H1" s="706"/>
    </row>
    <row r="2" spans="1:11" s="707" customFormat="1" ht="17.25" customHeight="1">
      <c r="A2" s="708"/>
      <c r="B2" s="708"/>
      <c r="C2" s="1417"/>
      <c r="D2" s="1417"/>
      <c r="E2" s="1417"/>
      <c r="F2" s="706"/>
      <c r="G2" s="706"/>
      <c r="H2" s="706"/>
    </row>
    <row r="3" spans="1:11" s="707" customFormat="1" ht="21" customHeight="1" thickBot="1">
      <c r="A3" s="708"/>
      <c r="B3" s="708"/>
      <c r="C3" s="1418"/>
      <c r="D3" s="1418"/>
      <c r="E3" s="1418"/>
      <c r="F3" s="706"/>
      <c r="G3" s="706"/>
      <c r="H3" s="706"/>
    </row>
    <row r="4" spans="1:11" s="707" customFormat="1" ht="21" customHeight="1" thickBot="1">
      <c r="A4" s="1441" t="s">
        <v>350</v>
      </c>
      <c r="B4" s="1442"/>
      <c r="C4" s="1442"/>
      <c r="D4" s="1442"/>
      <c r="E4" s="1443"/>
      <c r="F4" s="709"/>
      <c r="G4" s="836"/>
      <c r="H4" s="709"/>
    </row>
    <row r="5" spans="1:11" s="707" customFormat="1" ht="22.5" customHeight="1" thickBot="1">
      <c r="A5" s="1446" t="s">
        <v>277</v>
      </c>
      <c r="B5" s="1447" t="s">
        <v>175</v>
      </c>
      <c r="C5" s="1447" t="s">
        <v>173</v>
      </c>
      <c r="D5" s="1437" t="s">
        <v>172</v>
      </c>
      <c r="E5" s="1438"/>
      <c r="F5" s="710"/>
      <c r="G5" s="710"/>
      <c r="H5" s="711"/>
    </row>
    <row r="6" spans="1:11" s="707" customFormat="1" ht="15.75" customHeight="1" thickBot="1">
      <c r="A6" s="712" t="s">
        <v>174</v>
      </c>
      <c r="B6" s="713" t="s">
        <v>175</v>
      </c>
      <c r="C6" s="713" t="s">
        <v>173</v>
      </c>
      <c r="D6" s="714" t="s">
        <v>204</v>
      </c>
      <c r="E6" s="715" t="s">
        <v>244</v>
      </c>
      <c r="F6" s="716"/>
      <c r="G6" s="716"/>
      <c r="H6" s="711"/>
      <c r="I6" s="717"/>
      <c r="J6" s="717"/>
      <c r="K6" s="718"/>
    </row>
    <row r="7" spans="1:11" ht="15" hidden="1" customHeight="1" thickBot="1">
      <c r="A7" s="719">
        <v>38130</v>
      </c>
      <c r="B7" s="720">
        <v>38106</v>
      </c>
      <c r="C7" s="721">
        <v>1.389</v>
      </c>
      <c r="D7" s="741"/>
      <c r="E7" s="726"/>
    </row>
    <row r="8" spans="1:11" ht="15" hidden="1" customHeight="1" thickBot="1">
      <c r="A8" s="719">
        <v>38137</v>
      </c>
      <c r="B8" s="720">
        <v>38143</v>
      </c>
      <c r="C8" s="721">
        <v>1.39</v>
      </c>
      <c r="D8" s="741"/>
      <c r="E8" s="726"/>
    </row>
    <row r="9" spans="1:11" ht="15" hidden="1" customHeight="1" thickBot="1">
      <c r="A9" s="719">
        <v>38144</v>
      </c>
      <c r="B9" s="720">
        <v>38150</v>
      </c>
      <c r="C9" s="721">
        <v>1.39</v>
      </c>
      <c r="D9" s="741"/>
      <c r="E9" s="726"/>
    </row>
    <row r="10" spans="1:11" ht="15" hidden="1" customHeight="1" thickBot="1">
      <c r="A10" s="719">
        <v>38151</v>
      </c>
      <c r="B10" s="720">
        <v>38157</v>
      </c>
      <c r="C10" s="721">
        <v>1.4219999999999999</v>
      </c>
      <c r="D10" s="741"/>
      <c r="E10" s="726"/>
    </row>
    <row r="11" spans="1:11" ht="15" hidden="1" customHeight="1" thickBot="1">
      <c r="A11" s="719">
        <v>38158</v>
      </c>
      <c r="B11" s="720">
        <v>38164</v>
      </c>
      <c r="C11" s="721"/>
      <c r="D11" s="741"/>
      <c r="E11" s="726"/>
    </row>
    <row r="12" spans="1:11" ht="15" hidden="1" customHeight="1" thickBot="1">
      <c r="A12" s="719">
        <v>38165</v>
      </c>
      <c r="B12" s="720">
        <v>38171</v>
      </c>
      <c r="C12" s="721">
        <v>1.498</v>
      </c>
      <c r="D12" s="741">
        <f>100*(C12/C8-1)</f>
        <v>7.7697841726618755</v>
      </c>
      <c r="E12" s="726"/>
    </row>
    <row r="13" spans="1:11" ht="15" hidden="1" customHeight="1" thickBot="1">
      <c r="A13" s="719">
        <v>38172</v>
      </c>
      <c r="B13" s="720">
        <v>38178</v>
      </c>
      <c r="C13" s="721">
        <v>1.4970000000000001</v>
      </c>
      <c r="D13" s="741"/>
      <c r="E13" s="726"/>
    </row>
    <row r="14" spans="1:11" ht="15" hidden="1" customHeight="1" thickBot="1">
      <c r="A14" s="719">
        <v>38179</v>
      </c>
      <c r="B14" s="720">
        <v>38216</v>
      </c>
      <c r="C14" s="721">
        <v>1.4970000000000001</v>
      </c>
      <c r="D14" s="741"/>
      <c r="E14" s="726"/>
    </row>
    <row r="15" spans="1:11" ht="15" hidden="1" customHeight="1" thickBot="1">
      <c r="A15" s="719">
        <v>38186</v>
      </c>
      <c r="B15" s="720">
        <v>38192</v>
      </c>
      <c r="C15" s="721">
        <v>1.496</v>
      </c>
      <c r="D15" s="741"/>
      <c r="E15" s="726"/>
    </row>
    <row r="16" spans="1:11" ht="15" hidden="1" customHeight="1" thickBot="1">
      <c r="A16" s="719">
        <v>38193</v>
      </c>
      <c r="B16" s="720">
        <v>38199</v>
      </c>
      <c r="C16" s="721">
        <v>1.4970000000000001</v>
      </c>
      <c r="D16" s="741">
        <f>100*(C16/C12-1)</f>
        <v>-6.6755674232299445E-2</v>
      </c>
      <c r="E16" s="726"/>
    </row>
    <row r="17" spans="1:5" ht="15" hidden="1" customHeight="1" thickBot="1">
      <c r="A17" s="719">
        <v>38200</v>
      </c>
      <c r="B17" s="720">
        <v>38206</v>
      </c>
      <c r="C17" s="721">
        <v>1.496</v>
      </c>
      <c r="D17" s="741"/>
      <c r="E17" s="726"/>
    </row>
    <row r="18" spans="1:5" ht="15" hidden="1" customHeight="1" thickBot="1">
      <c r="A18" s="719">
        <v>38207</v>
      </c>
      <c r="B18" s="720">
        <v>38213</v>
      </c>
      <c r="C18" s="721">
        <v>1.4950000000000001</v>
      </c>
      <c r="D18" s="741"/>
      <c r="E18" s="726"/>
    </row>
    <row r="19" spans="1:5" ht="15" hidden="1" customHeight="1" thickBot="1">
      <c r="A19" s="719">
        <v>38214</v>
      </c>
      <c r="B19" s="720">
        <v>38220</v>
      </c>
      <c r="C19" s="721">
        <v>1.494</v>
      </c>
      <c r="D19" s="741"/>
      <c r="E19" s="726"/>
    </row>
    <row r="20" spans="1:5" ht="15" hidden="1" customHeight="1" thickBot="1">
      <c r="A20" s="719">
        <v>38221</v>
      </c>
      <c r="B20" s="720">
        <v>38227</v>
      </c>
      <c r="C20" s="721">
        <v>1.494</v>
      </c>
      <c r="D20" s="741"/>
      <c r="E20" s="726"/>
    </row>
    <row r="21" spans="1:5" ht="15" hidden="1" customHeight="1" thickBot="1">
      <c r="A21" s="719">
        <v>38228</v>
      </c>
      <c r="B21" s="720">
        <v>38234</v>
      </c>
      <c r="C21" s="721">
        <v>1.4930000000000001</v>
      </c>
      <c r="D21" s="741">
        <f>100*(C21/C16-1)</f>
        <v>-0.26720106880427918</v>
      </c>
      <c r="E21" s="726"/>
    </row>
    <row r="22" spans="1:5" ht="15" hidden="1" customHeight="1" thickBot="1">
      <c r="A22" s="719">
        <v>38235</v>
      </c>
      <c r="B22" s="720">
        <v>38241</v>
      </c>
      <c r="C22" s="721">
        <v>1.494</v>
      </c>
      <c r="D22" s="741"/>
      <c r="E22" s="726"/>
    </row>
    <row r="23" spans="1:5" ht="15" hidden="1" customHeight="1" thickBot="1">
      <c r="A23" s="719">
        <v>38242</v>
      </c>
      <c r="B23" s="720">
        <v>38248</v>
      </c>
      <c r="C23" s="721">
        <v>1.4930000000000001</v>
      </c>
      <c r="D23" s="741"/>
      <c r="E23" s="726"/>
    </row>
    <row r="24" spans="1:5" ht="15" hidden="1" customHeight="1" thickBot="1">
      <c r="A24" s="719">
        <v>38249</v>
      </c>
      <c r="B24" s="720">
        <v>38255</v>
      </c>
      <c r="C24" s="721">
        <v>1.494</v>
      </c>
      <c r="D24" s="741"/>
      <c r="E24" s="726"/>
    </row>
    <row r="25" spans="1:5" ht="15" hidden="1" customHeight="1" thickBot="1">
      <c r="A25" s="719">
        <v>38256</v>
      </c>
      <c r="B25" s="720">
        <v>38262</v>
      </c>
      <c r="C25" s="721">
        <v>1.4930000000000001</v>
      </c>
      <c r="D25" s="741">
        <f>100*(C25/C21-1)</f>
        <v>0</v>
      </c>
      <c r="E25" s="726"/>
    </row>
    <row r="26" spans="1:5" ht="15" hidden="1" customHeight="1" thickBot="1">
      <c r="A26" s="719">
        <v>38263</v>
      </c>
      <c r="B26" s="720">
        <v>38270</v>
      </c>
      <c r="C26" s="721">
        <v>1.494</v>
      </c>
      <c r="D26" s="741"/>
      <c r="E26" s="726"/>
    </row>
    <row r="27" spans="1:5" ht="15" hidden="1" customHeight="1" thickBot="1">
      <c r="A27" s="719">
        <v>38270</v>
      </c>
      <c r="B27" s="720">
        <v>38276</v>
      </c>
      <c r="C27" s="721">
        <v>1.492</v>
      </c>
      <c r="D27" s="741"/>
      <c r="E27" s="726"/>
    </row>
    <row r="28" spans="1:5" ht="15" hidden="1" customHeight="1" thickBot="1">
      <c r="A28" s="719">
        <v>38277</v>
      </c>
      <c r="B28" s="720">
        <v>38283</v>
      </c>
      <c r="C28" s="721">
        <v>1.556</v>
      </c>
      <c r="D28" s="741">
        <f>100*(C28/C27-1)</f>
        <v>4.2895442359249358</v>
      </c>
      <c r="E28" s="742" t="s">
        <v>189</v>
      </c>
    </row>
    <row r="29" spans="1:5" ht="15" hidden="1" customHeight="1" thickBot="1">
      <c r="A29" s="719">
        <v>38284</v>
      </c>
      <c r="B29" s="720">
        <v>38290</v>
      </c>
      <c r="C29" s="721"/>
      <c r="D29" s="741"/>
      <c r="E29" s="726"/>
    </row>
    <row r="30" spans="1:5" ht="15" hidden="1" customHeight="1" thickBot="1">
      <c r="A30" s="719">
        <v>38291</v>
      </c>
      <c r="B30" s="720">
        <v>38297</v>
      </c>
      <c r="C30" s="721">
        <v>1.552</v>
      </c>
      <c r="D30" s="741"/>
      <c r="E30" s="726"/>
    </row>
    <row r="31" spans="1:5" ht="15" hidden="1" customHeight="1" thickBot="1">
      <c r="A31" s="719">
        <v>38298</v>
      </c>
      <c r="B31" s="720">
        <v>38304</v>
      </c>
      <c r="C31" s="721">
        <v>1.5529999999999999</v>
      </c>
      <c r="D31" s="741"/>
      <c r="E31" s="726"/>
    </row>
    <row r="32" spans="1:5" ht="15" hidden="1" customHeight="1" thickBot="1">
      <c r="A32" s="719">
        <v>38305</v>
      </c>
      <c r="B32" s="720">
        <v>38311</v>
      </c>
      <c r="C32" s="721">
        <v>1.554</v>
      </c>
      <c r="D32" s="741"/>
      <c r="E32" s="726"/>
    </row>
    <row r="33" spans="1:5" ht="15" hidden="1" customHeight="1" thickBot="1">
      <c r="A33" s="719">
        <v>38312</v>
      </c>
      <c r="B33" s="720">
        <v>38318</v>
      </c>
      <c r="C33" s="721">
        <v>1.5549999999999999</v>
      </c>
      <c r="D33" s="741"/>
      <c r="E33" s="726"/>
    </row>
    <row r="34" spans="1:5" ht="15" hidden="1" customHeight="1" thickBot="1">
      <c r="A34" s="719">
        <v>38319</v>
      </c>
      <c r="B34" s="720">
        <v>38325</v>
      </c>
      <c r="C34" s="721">
        <v>1.663</v>
      </c>
      <c r="D34" s="741">
        <f>100*(C34/C$33-1)</f>
        <v>6.9453376205787842</v>
      </c>
      <c r="E34" s="742" t="s">
        <v>188</v>
      </c>
    </row>
    <row r="35" spans="1:5" ht="15" hidden="1" customHeight="1" thickBot="1">
      <c r="A35" s="719">
        <v>38326</v>
      </c>
      <c r="B35" s="720">
        <v>38302</v>
      </c>
      <c r="C35" s="721">
        <v>1.667</v>
      </c>
      <c r="D35" s="741">
        <f>100*(C35/C$33-1)</f>
        <v>7.202572347266889</v>
      </c>
      <c r="E35" s="726"/>
    </row>
    <row r="36" spans="1:5" ht="15" hidden="1" customHeight="1" thickBot="1">
      <c r="A36" s="719">
        <v>38333</v>
      </c>
      <c r="B36" s="720">
        <v>38309</v>
      </c>
      <c r="C36" s="721">
        <v>1.6679999999999999</v>
      </c>
      <c r="D36" s="741">
        <f>100*(C36/C$33-1)</f>
        <v>7.2668810289389096</v>
      </c>
      <c r="E36" s="726"/>
    </row>
    <row r="37" spans="1:5" ht="15" hidden="1" customHeight="1" thickBot="1">
      <c r="A37" s="719">
        <v>38340</v>
      </c>
      <c r="B37" s="720">
        <v>38346</v>
      </c>
      <c r="C37" s="721">
        <v>1.6679999999999999</v>
      </c>
      <c r="D37" s="741"/>
      <c r="E37" s="726"/>
    </row>
    <row r="38" spans="1:5" ht="15" hidden="1" customHeight="1" thickBot="1">
      <c r="A38" s="719">
        <v>38347</v>
      </c>
      <c r="B38" s="720">
        <v>38353</v>
      </c>
      <c r="C38" s="721">
        <v>1.669</v>
      </c>
      <c r="D38" s="741">
        <f>100*(C38/C34-1)</f>
        <v>0.36079374624173877</v>
      </c>
      <c r="E38" s="742" t="s">
        <v>191</v>
      </c>
    </row>
    <row r="39" spans="1:5" ht="15" hidden="1" customHeight="1" thickBot="1">
      <c r="A39" s="719">
        <v>38353</v>
      </c>
      <c r="B39" s="720">
        <v>38360</v>
      </c>
      <c r="C39" s="721">
        <v>1.6679999999999999</v>
      </c>
      <c r="D39" s="741"/>
      <c r="E39" s="726"/>
    </row>
    <row r="40" spans="1:5" ht="15" hidden="1" customHeight="1" thickBot="1">
      <c r="A40" s="719">
        <v>38361</v>
      </c>
      <c r="B40" s="720">
        <v>38367</v>
      </c>
      <c r="C40" s="721">
        <v>1.6679999999999999</v>
      </c>
      <c r="D40" s="741"/>
      <c r="E40" s="726"/>
    </row>
    <row r="41" spans="1:5" ht="15" hidden="1" customHeight="1" thickBot="1">
      <c r="A41" s="719">
        <v>38368</v>
      </c>
      <c r="B41" s="720">
        <v>38374</v>
      </c>
      <c r="C41" s="721">
        <v>1.667</v>
      </c>
      <c r="D41" s="741"/>
      <c r="E41" s="726"/>
    </row>
    <row r="42" spans="1:5" ht="15" hidden="1" customHeight="1" thickBot="1">
      <c r="A42" s="719">
        <v>38375</v>
      </c>
      <c r="B42" s="720">
        <v>38654</v>
      </c>
      <c r="C42" s="721">
        <v>1.667</v>
      </c>
      <c r="D42" s="741"/>
      <c r="E42" s="726"/>
    </row>
    <row r="43" spans="1:5" ht="15" hidden="1" customHeight="1" thickBot="1">
      <c r="A43" s="719">
        <v>38382</v>
      </c>
      <c r="B43" s="720">
        <v>38388</v>
      </c>
      <c r="C43" s="721">
        <v>1.6659999999999999</v>
      </c>
      <c r="D43" s="741">
        <f>100*(C43/C38-1)</f>
        <v>-0.17974835230677444</v>
      </c>
      <c r="E43" s="742" t="s">
        <v>191</v>
      </c>
    </row>
    <row r="44" spans="1:5" ht="15" hidden="1" customHeight="1" thickBot="1">
      <c r="A44" s="719">
        <v>38692</v>
      </c>
      <c r="B44" s="720">
        <v>38395</v>
      </c>
      <c r="C44" s="721">
        <v>1.6659999999999999</v>
      </c>
      <c r="D44" s="741"/>
      <c r="E44" s="726"/>
    </row>
    <row r="45" spans="1:5" ht="15" hidden="1" customHeight="1" thickBot="1">
      <c r="A45" s="719">
        <v>38395</v>
      </c>
      <c r="B45" s="720">
        <v>38402</v>
      </c>
      <c r="C45" s="721">
        <v>1.6659999999999999</v>
      </c>
      <c r="D45" s="741"/>
      <c r="E45" s="726"/>
    </row>
    <row r="46" spans="1:5" ht="15" hidden="1" customHeight="1" thickBot="1">
      <c r="A46" s="719">
        <v>38403</v>
      </c>
      <c r="B46" s="720">
        <v>38409</v>
      </c>
      <c r="C46" s="721">
        <v>1.6659999999999999</v>
      </c>
      <c r="D46" s="741"/>
      <c r="E46" s="726"/>
    </row>
    <row r="47" spans="1:5" ht="15" hidden="1" customHeight="1" thickBot="1">
      <c r="A47" s="719">
        <v>38410</v>
      </c>
      <c r="B47" s="720">
        <v>38416</v>
      </c>
      <c r="C47" s="721">
        <v>1.6639999999999999</v>
      </c>
      <c r="D47" s="741">
        <f>100*(B47/B43-1)</f>
        <v>7.2939460248000465E-2</v>
      </c>
      <c r="E47" s="743" t="s">
        <v>191</v>
      </c>
    </row>
    <row r="48" spans="1:5" ht="15" hidden="1" customHeight="1" thickBot="1">
      <c r="A48" s="719">
        <v>38417</v>
      </c>
      <c r="B48" s="720">
        <v>38423</v>
      </c>
      <c r="C48" s="721">
        <v>1.6639999999999999</v>
      </c>
      <c r="D48" s="741"/>
      <c r="E48" s="743"/>
    </row>
    <row r="49" spans="1:5" ht="15" hidden="1" customHeight="1" thickBot="1">
      <c r="A49" s="719">
        <v>38424</v>
      </c>
      <c r="B49" s="720">
        <v>38065</v>
      </c>
      <c r="C49" s="721">
        <v>1.6639999999999999</v>
      </c>
      <c r="D49" s="741"/>
      <c r="E49" s="743"/>
    </row>
    <row r="50" spans="1:5" ht="15" hidden="1" customHeight="1" thickBot="1">
      <c r="A50" s="719">
        <v>38431</v>
      </c>
      <c r="B50" s="720">
        <v>38437</v>
      </c>
      <c r="C50" s="721">
        <v>1.6639999999999999</v>
      </c>
      <c r="D50" s="741"/>
      <c r="E50" s="743"/>
    </row>
    <row r="51" spans="1:5" ht="15" hidden="1" customHeight="1" thickBot="1">
      <c r="A51" s="719">
        <v>38438</v>
      </c>
      <c r="B51" s="720">
        <v>38444</v>
      </c>
      <c r="C51" s="721">
        <v>1.663</v>
      </c>
      <c r="D51" s="741">
        <f>100*(C51/C47-1)</f>
        <v>-6.0096153846145306E-2</v>
      </c>
      <c r="E51" s="743" t="s">
        <v>191</v>
      </c>
    </row>
    <row r="52" spans="1:5" ht="15" hidden="1" customHeight="1" thickBot="1">
      <c r="A52" s="719">
        <v>38445</v>
      </c>
      <c r="B52" s="720">
        <v>38451</v>
      </c>
      <c r="C52" s="721">
        <v>1.665</v>
      </c>
      <c r="D52" s="741"/>
      <c r="E52" s="726"/>
    </row>
    <row r="53" spans="1:5" ht="15" hidden="1" customHeight="1" thickBot="1">
      <c r="A53" s="719">
        <v>38452</v>
      </c>
      <c r="B53" s="720">
        <v>38458</v>
      </c>
      <c r="C53" s="721">
        <v>1.6659999999999999</v>
      </c>
      <c r="D53" s="741"/>
      <c r="E53" s="726"/>
    </row>
    <row r="54" spans="1:5" ht="15" hidden="1" customHeight="1" thickBot="1">
      <c r="A54" s="719">
        <v>38459</v>
      </c>
      <c r="B54" s="720">
        <v>38465</v>
      </c>
      <c r="C54" s="721">
        <v>1.6679999999999999</v>
      </c>
      <c r="D54" s="741"/>
      <c r="E54" s="726"/>
    </row>
    <row r="55" spans="1:5" ht="15" hidden="1" customHeight="1" thickBot="1">
      <c r="A55" s="719">
        <v>38466</v>
      </c>
      <c r="B55" s="720">
        <v>38472</v>
      </c>
      <c r="C55" s="721">
        <v>1.667</v>
      </c>
      <c r="D55" s="741">
        <f>100*(C55/C51-1)</f>
        <v>0.24052916416115178</v>
      </c>
      <c r="E55" s="742" t="s">
        <v>191</v>
      </c>
    </row>
    <row r="56" spans="1:5" ht="15" hidden="1" customHeight="1" thickBot="1">
      <c r="A56" s="719">
        <v>38473</v>
      </c>
      <c r="B56" s="720">
        <v>38479</v>
      </c>
      <c r="C56" s="721">
        <v>1.671</v>
      </c>
      <c r="D56" s="741"/>
      <c r="E56" s="726"/>
    </row>
    <row r="57" spans="1:5" ht="15" hidden="1" customHeight="1" thickBot="1">
      <c r="A57" s="719">
        <v>38480</v>
      </c>
      <c r="B57" s="720">
        <v>38486</v>
      </c>
      <c r="C57" s="721">
        <v>1.679</v>
      </c>
      <c r="D57" s="741">
        <f>100*(C57/C56-1)</f>
        <v>0.47875523638540862</v>
      </c>
      <c r="E57" s="742" t="s">
        <v>208</v>
      </c>
    </row>
    <row r="58" spans="1:5" ht="15" hidden="1" customHeight="1" thickBot="1">
      <c r="A58" s="719">
        <v>38487</v>
      </c>
      <c r="B58" s="720">
        <v>38493</v>
      </c>
      <c r="C58" s="721">
        <v>1.681</v>
      </c>
      <c r="D58" s="741"/>
      <c r="E58" s="726"/>
    </row>
    <row r="59" spans="1:5" ht="15" hidden="1" customHeight="1" thickBot="1">
      <c r="A59" s="719">
        <v>38494</v>
      </c>
      <c r="B59" s="720">
        <v>38500</v>
      </c>
      <c r="C59" s="721">
        <v>1.6779999999999999</v>
      </c>
      <c r="D59" s="741"/>
      <c r="E59" s="726"/>
    </row>
    <row r="60" spans="1:5" ht="15" hidden="1" customHeight="1" thickBot="1">
      <c r="A60" s="719">
        <v>38501</v>
      </c>
      <c r="B60" s="720">
        <v>38507</v>
      </c>
      <c r="C60" s="721">
        <v>1.679</v>
      </c>
      <c r="D60" s="741">
        <f>100*(C60/C51-1)</f>
        <v>0.96211665664462931</v>
      </c>
      <c r="E60" s="742" t="s">
        <v>191</v>
      </c>
    </row>
    <row r="61" spans="1:5" ht="15" hidden="1" customHeight="1" thickBot="1">
      <c r="A61" s="719">
        <v>38508</v>
      </c>
      <c r="B61" s="720">
        <v>38514</v>
      </c>
      <c r="C61" s="721">
        <v>1.6779999999999999</v>
      </c>
      <c r="D61" s="741"/>
      <c r="E61" s="726"/>
    </row>
    <row r="62" spans="1:5" ht="15" hidden="1" customHeight="1" thickBot="1">
      <c r="A62" s="719">
        <v>38515</v>
      </c>
      <c r="B62" s="720">
        <v>38521</v>
      </c>
      <c r="C62" s="721">
        <v>1.6779999999999999</v>
      </c>
      <c r="D62" s="741"/>
      <c r="E62" s="726"/>
    </row>
    <row r="63" spans="1:5" ht="15" hidden="1" customHeight="1" thickBot="1">
      <c r="A63" s="719">
        <v>38522</v>
      </c>
      <c r="B63" s="720">
        <v>38528</v>
      </c>
      <c r="C63" s="721">
        <v>1.677</v>
      </c>
      <c r="D63" s="741"/>
      <c r="E63" s="726"/>
    </row>
    <row r="64" spans="1:5" ht="15" hidden="1" customHeight="1" thickBot="1">
      <c r="A64" s="719">
        <v>38529</v>
      </c>
      <c r="B64" s="720">
        <v>38535</v>
      </c>
      <c r="C64" s="721">
        <v>1.677</v>
      </c>
      <c r="D64" s="741"/>
      <c r="E64" s="726"/>
    </row>
    <row r="65" spans="1:5" ht="15" hidden="1" customHeight="1" thickBot="1">
      <c r="A65" s="719">
        <v>38536</v>
      </c>
      <c r="B65" s="720">
        <v>38542</v>
      </c>
      <c r="C65" s="721">
        <v>1.6759999999999999</v>
      </c>
      <c r="D65" s="741"/>
      <c r="E65" s="726"/>
    </row>
    <row r="66" spans="1:5" ht="15" hidden="1" customHeight="1" thickBot="1">
      <c r="A66" s="719">
        <v>38543</v>
      </c>
      <c r="B66" s="720">
        <v>38549</v>
      </c>
      <c r="C66" s="721">
        <v>1.677</v>
      </c>
      <c r="D66" s="741"/>
      <c r="E66" s="726"/>
    </row>
    <row r="67" spans="1:5" ht="15" hidden="1" customHeight="1" thickBot="1">
      <c r="A67" s="719">
        <v>38550</v>
      </c>
      <c r="B67" s="720">
        <v>38556</v>
      </c>
      <c r="C67" s="721">
        <v>1.677</v>
      </c>
      <c r="D67" s="741"/>
      <c r="E67" s="726"/>
    </row>
    <row r="68" spans="1:5" ht="15" hidden="1" customHeight="1" thickBot="1">
      <c r="A68" s="719">
        <v>38557</v>
      </c>
      <c r="B68" s="720">
        <v>38563</v>
      </c>
      <c r="C68" s="721">
        <v>1.677</v>
      </c>
      <c r="D68" s="741"/>
      <c r="E68" s="726"/>
    </row>
    <row r="69" spans="1:5" ht="15" hidden="1" customHeight="1" thickBot="1">
      <c r="A69" s="719">
        <v>38564</v>
      </c>
      <c r="B69" s="720">
        <v>38570</v>
      </c>
      <c r="C69" s="721">
        <v>1.677</v>
      </c>
      <c r="D69" s="741">
        <f>100*(C69/C60-1)</f>
        <v>-0.11911852293031711</v>
      </c>
      <c r="E69" s="726"/>
    </row>
    <row r="70" spans="1:5" ht="15" hidden="1" customHeight="1" thickBot="1">
      <c r="A70" s="719">
        <v>38571</v>
      </c>
      <c r="B70" s="720">
        <v>38577</v>
      </c>
      <c r="C70" s="721">
        <v>1.677</v>
      </c>
      <c r="D70" s="741"/>
      <c r="E70" s="726"/>
    </row>
    <row r="71" spans="1:5" ht="15" hidden="1" customHeight="1" thickBot="1">
      <c r="A71" s="719">
        <v>38578</v>
      </c>
      <c r="B71" s="720">
        <v>38584</v>
      </c>
      <c r="C71" s="721"/>
      <c r="D71" s="741"/>
      <c r="E71" s="726"/>
    </row>
    <row r="72" spans="1:5" ht="15" hidden="1" customHeight="1" thickBot="1">
      <c r="A72" s="719">
        <v>38585</v>
      </c>
      <c r="B72" s="720">
        <v>38591</v>
      </c>
      <c r="C72" s="721"/>
      <c r="D72" s="741"/>
      <c r="E72" s="726"/>
    </row>
    <row r="73" spans="1:5" ht="15" hidden="1" customHeight="1" thickBot="1">
      <c r="A73" s="719">
        <v>38592</v>
      </c>
      <c r="B73" s="720">
        <v>38598</v>
      </c>
      <c r="C73" s="721">
        <v>1.6719999999999999</v>
      </c>
      <c r="D73" s="741">
        <f>100*(C73/C69-1)</f>
        <v>-0.29815146094216427</v>
      </c>
      <c r="E73" s="726"/>
    </row>
    <row r="74" spans="1:5" ht="15" hidden="1" customHeight="1" thickBot="1">
      <c r="A74" s="719">
        <v>38599</v>
      </c>
      <c r="B74" s="720">
        <v>38605</v>
      </c>
      <c r="C74" s="721">
        <v>1.671</v>
      </c>
      <c r="D74" s="741"/>
      <c r="E74" s="726"/>
    </row>
    <row r="75" spans="1:5" ht="15" hidden="1" customHeight="1" thickBot="1">
      <c r="A75" s="719">
        <v>38606</v>
      </c>
      <c r="B75" s="720">
        <v>38612</v>
      </c>
      <c r="C75" s="721">
        <v>1.84</v>
      </c>
      <c r="D75" s="741">
        <f>100*(C75/C74-1)</f>
        <v>10.113704368641541</v>
      </c>
      <c r="E75" s="742" t="s">
        <v>214</v>
      </c>
    </row>
    <row r="76" spans="1:5" ht="15" hidden="1" customHeight="1" thickBot="1">
      <c r="A76" s="719">
        <v>38607</v>
      </c>
      <c r="B76" s="720">
        <v>38619</v>
      </c>
      <c r="C76" s="721">
        <v>1.857</v>
      </c>
      <c r="D76" s="741"/>
      <c r="E76" s="726"/>
    </row>
    <row r="77" spans="1:5" ht="15" hidden="1" customHeight="1" thickBot="1">
      <c r="A77" s="719">
        <v>38620</v>
      </c>
      <c r="B77" s="720">
        <v>38626</v>
      </c>
      <c r="C77" s="721">
        <v>1.857</v>
      </c>
      <c r="D77" s="741">
        <f>100*(C77/C73-1)</f>
        <v>11.06459330143541</v>
      </c>
      <c r="E77" s="742" t="s">
        <v>215</v>
      </c>
    </row>
    <row r="78" spans="1:5" ht="15" hidden="1" customHeight="1" thickBot="1">
      <c r="A78" s="719">
        <v>38627</v>
      </c>
      <c r="B78" s="720">
        <v>38633</v>
      </c>
      <c r="C78" s="721">
        <v>1.8580000000000001</v>
      </c>
      <c r="D78" s="741"/>
      <c r="E78" s="726"/>
    </row>
    <row r="79" spans="1:5" ht="15" hidden="1" customHeight="1" thickBot="1">
      <c r="A79" s="719">
        <v>38634</v>
      </c>
      <c r="B79" s="720">
        <v>38640</v>
      </c>
      <c r="C79" s="721">
        <v>1.861</v>
      </c>
      <c r="D79" s="741"/>
      <c r="E79" s="726"/>
    </row>
    <row r="80" spans="1:5" ht="15" hidden="1" customHeight="1" thickBot="1">
      <c r="A80" s="719">
        <v>38641</v>
      </c>
      <c r="B80" s="720">
        <v>38647</v>
      </c>
      <c r="C80" s="721">
        <v>1.861</v>
      </c>
      <c r="D80" s="741"/>
      <c r="E80" s="726"/>
    </row>
    <row r="81" spans="1:5" ht="15" hidden="1" customHeight="1" thickBot="1">
      <c r="A81" s="719">
        <v>38648</v>
      </c>
      <c r="B81" s="720">
        <v>38654</v>
      </c>
      <c r="C81" s="721">
        <v>1.861</v>
      </c>
      <c r="D81" s="741"/>
      <c r="E81" s="726"/>
    </row>
    <row r="82" spans="1:5" ht="15" hidden="1" customHeight="1" thickBot="1">
      <c r="A82" s="719">
        <v>38655</v>
      </c>
      <c r="B82" s="720">
        <v>38661</v>
      </c>
      <c r="C82" s="721">
        <v>1.8620000000000001</v>
      </c>
      <c r="D82" s="741">
        <f>100*(C82/C77-1)</f>
        <v>0.2692514808831481</v>
      </c>
      <c r="E82" s="726"/>
    </row>
    <row r="83" spans="1:5" ht="15" hidden="1" customHeight="1" thickBot="1">
      <c r="A83" s="719">
        <v>38662</v>
      </c>
      <c r="B83" s="720">
        <v>38668</v>
      </c>
      <c r="C83" s="721">
        <v>1.863</v>
      </c>
      <c r="D83" s="741"/>
      <c r="E83" s="726"/>
    </row>
    <row r="84" spans="1:5" ht="15" hidden="1" customHeight="1" thickBot="1">
      <c r="A84" s="719">
        <v>38669</v>
      </c>
      <c r="B84" s="720">
        <v>38675</v>
      </c>
      <c r="C84" s="721">
        <v>1.8660000000000001</v>
      </c>
      <c r="D84" s="741">
        <f>100*(C84/C38-1)</f>
        <v>11.803475134811258</v>
      </c>
      <c r="E84" s="742" t="s">
        <v>216</v>
      </c>
    </row>
    <row r="85" spans="1:5" ht="15" hidden="1" customHeight="1" thickBot="1">
      <c r="A85" s="719">
        <v>38675</v>
      </c>
      <c r="B85" s="720">
        <v>38681</v>
      </c>
      <c r="C85" s="721" t="s">
        <v>217</v>
      </c>
      <c r="D85" s="741"/>
      <c r="E85" s="726"/>
    </row>
    <row r="86" spans="1:5" ht="15" hidden="1" customHeight="1" thickBot="1">
      <c r="A86" s="719">
        <v>38682</v>
      </c>
      <c r="B86" s="720">
        <v>39023</v>
      </c>
      <c r="C86" s="721" t="s">
        <v>217</v>
      </c>
      <c r="D86" s="741"/>
      <c r="E86" s="726"/>
    </row>
    <row r="87" spans="1:5" ht="15" hidden="1" customHeight="1" thickBot="1">
      <c r="A87" s="719">
        <v>38720</v>
      </c>
      <c r="B87" s="720">
        <v>38727</v>
      </c>
      <c r="C87" s="721" t="s">
        <v>217</v>
      </c>
      <c r="D87" s="741"/>
      <c r="E87" s="726"/>
    </row>
    <row r="88" spans="1:5" ht="15" hidden="1" customHeight="1" thickBot="1">
      <c r="A88" s="719">
        <v>38697</v>
      </c>
      <c r="B88" s="720">
        <v>38703</v>
      </c>
      <c r="C88" s="721">
        <v>1.8660000000000001</v>
      </c>
      <c r="D88" s="741"/>
      <c r="E88" s="726"/>
    </row>
    <row r="89" spans="1:5" ht="15" hidden="1" customHeight="1" thickBot="1">
      <c r="A89" s="719">
        <v>38704</v>
      </c>
      <c r="B89" s="720">
        <v>38700</v>
      </c>
      <c r="C89" s="721">
        <v>1.8660000000000001</v>
      </c>
      <c r="D89" s="741">
        <f>100*(C89/C82-1)</f>
        <v>0.21482277121374072</v>
      </c>
      <c r="E89" s="742" t="s">
        <v>215</v>
      </c>
    </row>
    <row r="90" spans="1:5" ht="15" hidden="1" customHeight="1" thickBot="1">
      <c r="A90" s="719">
        <v>38711</v>
      </c>
      <c r="B90" s="720">
        <v>38717</v>
      </c>
      <c r="C90" s="721">
        <v>1.865</v>
      </c>
      <c r="D90" s="741"/>
      <c r="E90" s="726"/>
    </row>
    <row r="91" spans="1:5" ht="15" hidden="1" customHeight="1" thickBot="1">
      <c r="A91" s="719">
        <v>38718</v>
      </c>
      <c r="B91" s="720">
        <v>38724</v>
      </c>
      <c r="C91" s="721">
        <v>1.867</v>
      </c>
      <c r="D91" s="741"/>
      <c r="E91" s="726"/>
    </row>
    <row r="92" spans="1:5" ht="15" hidden="1" customHeight="1" thickBot="1">
      <c r="A92" s="719">
        <v>38725</v>
      </c>
      <c r="B92" s="720">
        <v>38731</v>
      </c>
      <c r="C92" s="721">
        <v>1.8680000000000001</v>
      </c>
      <c r="D92" s="741"/>
      <c r="E92" s="726"/>
    </row>
    <row r="93" spans="1:5" ht="15" hidden="1" customHeight="1" thickBot="1">
      <c r="A93" s="719">
        <v>38732</v>
      </c>
      <c r="B93" s="720">
        <v>38738</v>
      </c>
      <c r="C93" s="721">
        <v>1.867</v>
      </c>
      <c r="D93" s="741"/>
      <c r="E93" s="726"/>
    </row>
    <row r="94" spans="1:5" ht="15" hidden="1" customHeight="1" thickBot="1">
      <c r="A94" s="719">
        <v>38739</v>
      </c>
      <c r="B94" s="720">
        <v>38745</v>
      </c>
      <c r="C94" s="721">
        <v>1.8660000000000001</v>
      </c>
      <c r="D94" s="741"/>
      <c r="E94" s="726"/>
    </row>
    <row r="95" spans="1:5" ht="15" hidden="1" customHeight="1" thickBot="1">
      <c r="A95" s="719">
        <v>38746</v>
      </c>
      <c r="B95" s="720">
        <v>38752</v>
      </c>
      <c r="C95" s="721">
        <v>1.8660000000000001</v>
      </c>
      <c r="D95" s="741">
        <f>100*(C95/C89-1)</f>
        <v>0</v>
      </c>
      <c r="E95" s="742" t="s">
        <v>215</v>
      </c>
    </row>
    <row r="96" spans="1:5" ht="15" hidden="1" customHeight="1" thickBot="1">
      <c r="A96" s="719">
        <v>38753</v>
      </c>
      <c r="B96" s="720">
        <v>38759</v>
      </c>
      <c r="C96" s="721">
        <v>1.867</v>
      </c>
      <c r="D96" s="741"/>
      <c r="E96" s="726"/>
    </row>
    <row r="97" spans="1:5" ht="15" hidden="1" customHeight="1" thickBot="1">
      <c r="A97" s="719">
        <v>38760</v>
      </c>
      <c r="B97" s="720">
        <v>38766</v>
      </c>
      <c r="C97" s="721">
        <v>1.867</v>
      </c>
      <c r="D97" s="741"/>
      <c r="E97" s="726"/>
    </row>
    <row r="98" spans="1:5" ht="15" hidden="1" customHeight="1" thickBot="1">
      <c r="A98" s="719">
        <v>38767</v>
      </c>
      <c r="B98" s="720">
        <v>38773</v>
      </c>
      <c r="C98" s="721">
        <v>1.8680000000000001</v>
      </c>
      <c r="D98" s="741"/>
      <c r="E98" s="726"/>
    </row>
    <row r="99" spans="1:5" ht="15" hidden="1" customHeight="1" thickBot="1">
      <c r="A99" s="719">
        <v>38774</v>
      </c>
      <c r="B99" s="720">
        <v>38780</v>
      </c>
      <c r="C99" s="721">
        <v>1.869</v>
      </c>
      <c r="D99" s="741">
        <f>100*(C99/C95-1)</f>
        <v>0.1607717041800516</v>
      </c>
      <c r="E99" s="742" t="s">
        <v>215</v>
      </c>
    </row>
    <row r="100" spans="1:5" ht="15" hidden="1" customHeight="1" thickBot="1">
      <c r="A100" s="719">
        <v>38781</v>
      </c>
      <c r="B100" s="720">
        <v>38787</v>
      </c>
      <c r="C100" s="721">
        <v>1.869</v>
      </c>
      <c r="D100" s="741"/>
      <c r="E100" s="726"/>
    </row>
    <row r="101" spans="1:5" ht="15" hidden="1" customHeight="1" thickBot="1">
      <c r="A101" s="719">
        <v>38788</v>
      </c>
      <c r="B101" s="720">
        <v>38794</v>
      </c>
      <c r="C101" s="721">
        <v>1.8959999999999999</v>
      </c>
      <c r="D101" s="741"/>
      <c r="E101" s="726"/>
    </row>
    <row r="102" spans="1:5" ht="15" hidden="1" customHeight="1" thickBot="1">
      <c r="A102" s="719">
        <v>35143</v>
      </c>
      <c r="B102" s="720">
        <v>38801</v>
      </c>
      <c r="C102" s="721">
        <v>1.869</v>
      </c>
      <c r="D102" s="741"/>
      <c r="E102" s="726"/>
    </row>
    <row r="103" spans="1:5" ht="15" hidden="1" customHeight="1" thickBot="1">
      <c r="A103" s="719">
        <v>38802</v>
      </c>
      <c r="B103" s="720">
        <v>38808</v>
      </c>
      <c r="C103" s="721">
        <v>1.869</v>
      </c>
      <c r="D103" s="741">
        <f>100*(C103/C99-1)</f>
        <v>0</v>
      </c>
      <c r="E103" s="742" t="s">
        <v>215</v>
      </c>
    </row>
    <row r="104" spans="1:5" ht="15" hidden="1" customHeight="1" thickBot="1">
      <c r="A104" s="719">
        <v>38809</v>
      </c>
      <c r="B104" s="720">
        <v>38815</v>
      </c>
      <c r="C104" s="721">
        <v>1.869</v>
      </c>
      <c r="D104" s="741"/>
      <c r="E104" s="726"/>
    </row>
    <row r="105" spans="1:5" ht="15" hidden="1" customHeight="1" thickBot="1">
      <c r="A105" s="719">
        <v>38816</v>
      </c>
      <c r="B105" s="720">
        <v>38824</v>
      </c>
      <c r="C105" s="721" t="s">
        <v>217</v>
      </c>
      <c r="D105" s="741"/>
      <c r="E105" s="726"/>
    </row>
    <row r="106" spans="1:5" ht="15" hidden="1" customHeight="1" thickBot="1">
      <c r="A106" s="719">
        <v>38825</v>
      </c>
      <c r="B106" s="720">
        <v>38829</v>
      </c>
      <c r="C106" s="721" t="s">
        <v>217</v>
      </c>
      <c r="D106" s="741"/>
      <c r="E106" s="726"/>
    </row>
    <row r="107" spans="1:5" ht="15" hidden="1" customHeight="1" thickBot="1">
      <c r="A107" s="719">
        <v>38830</v>
      </c>
      <c r="B107" s="720">
        <v>38836</v>
      </c>
      <c r="C107" s="721">
        <v>1.869</v>
      </c>
      <c r="D107" s="741"/>
      <c r="E107" s="726"/>
    </row>
    <row r="108" spans="1:5" ht="15" hidden="1" customHeight="1" thickBot="1">
      <c r="A108" s="719">
        <v>38837</v>
      </c>
      <c r="B108" s="720">
        <v>38843</v>
      </c>
      <c r="C108" s="721">
        <v>1.8660000000000001</v>
      </c>
      <c r="D108" s="741">
        <f>100*(C108/C103-1)</f>
        <v>-0.16051364365970988</v>
      </c>
      <c r="E108" s="742" t="s">
        <v>215</v>
      </c>
    </row>
    <row r="109" spans="1:5" ht="15" hidden="1" customHeight="1" thickBot="1">
      <c r="A109" s="719">
        <v>38844</v>
      </c>
      <c r="B109" s="720">
        <v>38850</v>
      </c>
      <c r="C109" s="721">
        <v>1.867</v>
      </c>
      <c r="D109" s="741"/>
      <c r="E109" s="726"/>
    </row>
    <row r="110" spans="1:5" ht="15" hidden="1" customHeight="1" thickBot="1">
      <c r="A110" s="719">
        <v>38851</v>
      </c>
      <c r="B110" s="720">
        <v>38857</v>
      </c>
      <c r="C110" s="721">
        <v>1.865</v>
      </c>
      <c r="D110" s="741"/>
      <c r="E110" s="726"/>
    </row>
    <row r="111" spans="1:5" ht="15" hidden="1" customHeight="1" thickBot="1">
      <c r="A111" s="719">
        <v>38858</v>
      </c>
      <c r="B111" s="720">
        <v>38864</v>
      </c>
      <c r="C111" s="721">
        <v>1.865</v>
      </c>
      <c r="D111" s="741"/>
      <c r="E111" s="726"/>
    </row>
    <row r="112" spans="1:5" ht="15" hidden="1" customHeight="1" thickBot="1">
      <c r="A112" s="719">
        <v>38865</v>
      </c>
      <c r="B112" s="720">
        <v>38871</v>
      </c>
      <c r="C112" s="721">
        <v>1.863</v>
      </c>
      <c r="D112" s="741">
        <f>100*(C112/C108-1)</f>
        <v>-0.1607717041800738</v>
      </c>
      <c r="E112" s="742" t="s">
        <v>215</v>
      </c>
    </row>
    <row r="113" spans="1:5" ht="15" hidden="1" customHeight="1" thickBot="1">
      <c r="A113" s="719">
        <v>38872</v>
      </c>
      <c r="B113" s="720">
        <v>38878</v>
      </c>
      <c r="C113" s="721">
        <v>1.8640000000000001</v>
      </c>
      <c r="D113" s="741"/>
      <c r="E113" s="726"/>
    </row>
    <row r="114" spans="1:5" ht="15" hidden="1" customHeight="1" thickBot="1">
      <c r="A114" s="719">
        <v>38878</v>
      </c>
      <c r="B114" s="720">
        <v>38884</v>
      </c>
      <c r="C114" s="721">
        <v>1.8360000000000001</v>
      </c>
      <c r="D114" s="741"/>
      <c r="E114" s="726"/>
    </row>
    <row r="115" spans="1:5" ht="15" hidden="1" customHeight="1" thickBot="1">
      <c r="A115" s="719">
        <v>38886</v>
      </c>
      <c r="B115" s="720">
        <v>38892</v>
      </c>
      <c r="C115" s="721">
        <v>1.8640000000000001</v>
      </c>
      <c r="D115" s="741"/>
      <c r="E115" s="726"/>
    </row>
    <row r="116" spans="1:5" ht="15" hidden="1" customHeight="1" thickBot="1">
      <c r="A116" s="719">
        <v>38893</v>
      </c>
      <c r="B116" s="720">
        <v>38869</v>
      </c>
      <c r="C116" s="721">
        <v>1.8620000000000001</v>
      </c>
      <c r="D116" s="741">
        <f>100*(C116/C112-1)</f>
        <v>-5.3676865271057306E-2</v>
      </c>
      <c r="E116" s="742" t="s">
        <v>215</v>
      </c>
    </row>
    <row r="117" spans="1:5" ht="15" hidden="1" customHeight="1" thickBot="1">
      <c r="A117" s="719">
        <v>38900</v>
      </c>
      <c r="B117" s="720">
        <v>38906</v>
      </c>
      <c r="C117" s="721">
        <v>1.863</v>
      </c>
      <c r="D117" s="741"/>
      <c r="E117" s="726"/>
    </row>
    <row r="118" spans="1:5" ht="15" hidden="1" customHeight="1" thickBot="1">
      <c r="A118" s="719">
        <v>38907</v>
      </c>
      <c r="B118" s="720">
        <v>38913</v>
      </c>
      <c r="C118" s="721">
        <v>1.861</v>
      </c>
      <c r="D118" s="741"/>
      <c r="E118" s="726"/>
    </row>
    <row r="119" spans="1:5" ht="15" hidden="1" customHeight="1" thickBot="1">
      <c r="A119" s="719">
        <v>38914</v>
      </c>
      <c r="B119" s="720">
        <v>38920</v>
      </c>
      <c r="C119" s="721" t="s">
        <v>217</v>
      </c>
      <c r="D119" s="741"/>
      <c r="E119" s="726"/>
    </row>
    <row r="120" spans="1:5" ht="15" hidden="1" customHeight="1" thickBot="1">
      <c r="A120" s="719">
        <v>38921</v>
      </c>
      <c r="B120" s="720">
        <v>38927</v>
      </c>
      <c r="C120" s="721" t="s">
        <v>217</v>
      </c>
      <c r="D120" s="741"/>
      <c r="E120" s="726"/>
    </row>
    <row r="121" spans="1:5" ht="15" hidden="1" customHeight="1" thickBot="1">
      <c r="A121" s="719">
        <v>38928</v>
      </c>
      <c r="B121" s="720">
        <v>38934</v>
      </c>
      <c r="C121" s="721">
        <v>1.8620000000000001</v>
      </c>
      <c r="D121" s="741">
        <f>100*(C121/C116-1)</f>
        <v>0</v>
      </c>
      <c r="E121" s="743" t="s">
        <v>215</v>
      </c>
    </row>
    <row r="122" spans="1:5" ht="15" hidden="1" customHeight="1" thickBot="1">
      <c r="A122" s="719">
        <v>38904</v>
      </c>
      <c r="B122" s="720" t="s">
        <v>231</v>
      </c>
      <c r="C122" s="721">
        <v>1.863</v>
      </c>
      <c r="D122" s="741"/>
      <c r="E122" s="726"/>
    </row>
    <row r="123" spans="1:5" ht="15" hidden="1" customHeight="1" thickBot="1">
      <c r="A123" s="719">
        <v>38911</v>
      </c>
      <c r="B123" s="720">
        <v>38948</v>
      </c>
      <c r="C123" s="721">
        <v>1.861</v>
      </c>
      <c r="D123" s="741"/>
      <c r="E123" s="726"/>
    </row>
    <row r="124" spans="1:5" ht="15" hidden="1" customHeight="1" thickBot="1">
      <c r="A124" s="719">
        <v>38949</v>
      </c>
      <c r="B124" s="720">
        <v>38955</v>
      </c>
      <c r="C124" s="721">
        <v>1.861</v>
      </c>
      <c r="D124" s="741"/>
      <c r="E124" s="726"/>
    </row>
    <row r="125" spans="1:5" ht="15" hidden="1" customHeight="1" thickBot="1">
      <c r="A125" s="719">
        <v>38956</v>
      </c>
      <c r="B125" s="720">
        <v>38962</v>
      </c>
      <c r="C125" s="721">
        <v>1.861</v>
      </c>
      <c r="D125" s="741">
        <f>100*(C125/C121-1)</f>
        <v>-5.370569280344073E-2</v>
      </c>
      <c r="E125" s="726"/>
    </row>
    <row r="126" spans="1:5" ht="15" hidden="1" customHeight="1" thickBot="1">
      <c r="A126" s="719">
        <v>38963</v>
      </c>
      <c r="B126" s="720">
        <v>38969</v>
      </c>
      <c r="C126" s="721">
        <v>1.861</v>
      </c>
      <c r="D126" s="741"/>
      <c r="E126" s="726"/>
    </row>
    <row r="127" spans="1:5" ht="15" hidden="1" customHeight="1" thickBot="1">
      <c r="A127" s="719">
        <v>38970</v>
      </c>
      <c r="B127" s="720">
        <v>38976</v>
      </c>
      <c r="C127" s="721">
        <v>1.86</v>
      </c>
      <c r="D127" s="741"/>
      <c r="E127" s="726"/>
    </row>
    <row r="128" spans="1:5" ht="15" hidden="1" customHeight="1" thickBot="1">
      <c r="A128" s="719">
        <v>38977</v>
      </c>
      <c r="B128" s="720">
        <v>38983</v>
      </c>
      <c r="C128" s="721">
        <v>1.86</v>
      </c>
      <c r="D128" s="741"/>
      <c r="E128" s="726"/>
    </row>
    <row r="129" spans="1:5" ht="15" hidden="1" customHeight="1" thickBot="1">
      <c r="A129" s="719">
        <v>38983</v>
      </c>
      <c r="B129" s="720">
        <v>38990</v>
      </c>
      <c r="C129" s="721">
        <v>1.859</v>
      </c>
      <c r="D129" s="741"/>
      <c r="E129" s="726"/>
    </row>
    <row r="130" spans="1:5" ht="15" hidden="1" customHeight="1" thickBot="1">
      <c r="A130" s="719">
        <v>38991</v>
      </c>
      <c r="B130" s="720">
        <v>38997</v>
      </c>
      <c r="C130" s="721">
        <v>1.861</v>
      </c>
      <c r="D130" s="741">
        <f>100*(C130/C125-1)</f>
        <v>0</v>
      </c>
      <c r="E130" s="726" t="s">
        <v>215</v>
      </c>
    </row>
    <row r="131" spans="1:5" ht="15" hidden="1" customHeight="1" thickBot="1">
      <c r="A131" s="719">
        <v>38998</v>
      </c>
      <c r="B131" s="720">
        <v>39004</v>
      </c>
      <c r="C131" s="721">
        <v>1.859</v>
      </c>
      <c r="D131" s="741"/>
      <c r="E131" s="726"/>
    </row>
    <row r="132" spans="1:5" ht="15" hidden="1" customHeight="1" thickBot="1">
      <c r="A132" s="719">
        <v>39005</v>
      </c>
      <c r="B132" s="720">
        <v>39011</v>
      </c>
      <c r="C132" s="721">
        <v>1.86</v>
      </c>
      <c r="D132" s="741"/>
      <c r="E132" s="726"/>
    </row>
    <row r="133" spans="1:5" ht="15" hidden="1" customHeight="1" thickBot="1">
      <c r="A133" s="719">
        <v>39012</v>
      </c>
      <c r="B133" s="720">
        <v>39018</v>
      </c>
      <c r="C133" s="721">
        <v>1.859</v>
      </c>
      <c r="D133" s="741"/>
      <c r="E133" s="726"/>
    </row>
    <row r="134" spans="1:5" ht="15" hidden="1" customHeight="1" thickBot="1">
      <c r="A134" s="719">
        <v>39019</v>
      </c>
      <c r="B134" s="720">
        <v>39025</v>
      </c>
      <c r="C134" s="721">
        <v>1.8580000000000001</v>
      </c>
      <c r="D134" s="741">
        <f>100*(C134/C130-1)</f>
        <v>-0.16120365394948211</v>
      </c>
      <c r="E134" s="726" t="s">
        <v>215</v>
      </c>
    </row>
    <row r="135" spans="1:5" ht="15" hidden="1" customHeight="1" thickBot="1">
      <c r="A135" s="719">
        <v>39026</v>
      </c>
      <c r="B135" s="720">
        <v>39032</v>
      </c>
      <c r="C135" s="721">
        <v>1.8580000000000001</v>
      </c>
      <c r="D135" s="741"/>
      <c r="E135" s="726"/>
    </row>
    <row r="136" spans="1:5" ht="15" hidden="1" customHeight="1" thickBot="1">
      <c r="A136" s="719">
        <v>39033</v>
      </c>
      <c r="B136" s="720">
        <v>39040</v>
      </c>
      <c r="C136" s="721" t="s">
        <v>217</v>
      </c>
      <c r="D136" s="741"/>
      <c r="E136" s="726"/>
    </row>
    <row r="137" spans="1:5" ht="15" hidden="1" customHeight="1" thickBot="1">
      <c r="A137" s="719">
        <v>39040</v>
      </c>
      <c r="B137" s="720">
        <v>39046</v>
      </c>
      <c r="C137" s="721">
        <v>1.8580000000000001</v>
      </c>
      <c r="D137" s="741"/>
      <c r="E137" s="726"/>
    </row>
    <row r="138" spans="1:5" ht="15" hidden="1" customHeight="1" thickBot="1">
      <c r="A138" s="719">
        <v>39047</v>
      </c>
      <c r="B138" s="720">
        <v>39053</v>
      </c>
      <c r="C138" s="721">
        <v>1.8580000000000001</v>
      </c>
      <c r="D138" s="741"/>
      <c r="E138" s="726"/>
    </row>
    <row r="139" spans="1:5" ht="15" hidden="1" customHeight="1" thickBot="1">
      <c r="A139" s="719">
        <v>39054</v>
      </c>
      <c r="B139" s="720">
        <v>39060</v>
      </c>
      <c r="C139" s="721">
        <v>1.8580000000000001</v>
      </c>
      <c r="D139" s="741"/>
      <c r="E139" s="726"/>
    </row>
    <row r="140" spans="1:5" ht="15" hidden="1" customHeight="1" thickBot="1">
      <c r="A140" s="719">
        <v>39061</v>
      </c>
      <c r="B140" s="720">
        <v>39067</v>
      </c>
      <c r="C140" s="721">
        <v>1.8580000000000001</v>
      </c>
      <c r="D140" s="741"/>
      <c r="E140" s="726"/>
    </row>
    <row r="141" spans="1:5" ht="15" hidden="1" customHeight="1" thickBot="1">
      <c r="A141" s="719">
        <v>39068</v>
      </c>
      <c r="B141" s="720">
        <v>39074</v>
      </c>
      <c r="C141" s="721">
        <v>1.8580000000000001</v>
      </c>
      <c r="D141" s="741"/>
      <c r="E141" s="726"/>
    </row>
    <row r="142" spans="1:5" ht="15" hidden="1" customHeight="1" thickBot="1">
      <c r="A142" s="719">
        <v>39075</v>
      </c>
      <c r="B142" s="720">
        <v>39081</v>
      </c>
      <c r="C142" s="721">
        <v>1.8580000000000001</v>
      </c>
      <c r="D142" s="741"/>
      <c r="E142" s="726"/>
    </row>
    <row r="143" spans="1:5" ht="15" hidden="1" customHeight="1" thickBot="1">
      <c r="A143" s="719">
        <v>39082</v>
      </c>
      <c r="B143" s="720">
        <v>39088</v>
      </c>
      <c r="C143" s="721">
        <v>1.8580000000000001</v>
      </c>
      <c r="D143" s="741">
        <f>100*(C143/C139-1)</f>
        <v>0</v>
      </c>
      <c r="E143" s="726" t="s">
        <v>215</v>
      </c>
    </row>
    <row r="144" spans="1:5" ht="15" hidden="1" customHeight="1" thickBot="1">
      <c r="A144" s="719">
        <v>39089</v>
      </c>
      <c r="B144" s="720">
        <v>39095</v>
      </c>
      <c r="C144" s="721">
        <v>1.8580000000000001</v>
      </c>
      <c r="D144" s="741"/>
      <c r="E144" s="726"/>
    </row>
    <row r="145" spans="1:5" ht="15" hidden="1" customHeight="1" thickBot="1">
      <c r="A145" s="719">
        <v>39096</v>
      </c>
      <c r="B145" s="720">
        <v>39102</v>
      </c>
      <c r="C145" s="721">
        <v>1.859</v>
      </c>
      <c r="D145" s="741"/>
      <c r="E145" s="726"/>
    </row>
    <row r="146" spans="1:5" ht="15" hidden="1" customHeight="1" thickBot="1">
      <c r="A146" s="719">
        <v>39103</v>
      </c>
      <c r="B146" s="720">
        <v>39109</v>
      </c>
      <c r="C146" s="721">
        <v>1.857</v>
      </c>
      <c r="D146" s="741"/>
      <c r="E146" s="726"/>
    </row>
    <row r="147" spans="1:5" ht="15" hidden="1" customHeight="1" thickBot="1">
      <c r="A147" s="719">
        <v>39110</v>
      </c>
      <c r="B147" s="720">
        <v>39116</v>
      </c>
      <c r="C147" s="721">
        <v>1.8580000000000001</v>
      </c>
      <c r="D147" s="741">
        <f>100*(C147/C143-1)</f>
        <v>0</v>
      </c>
      <c r="E147" s="726" t="s">
        <v>215</v>
      </c>
    </row>
    <row r="148" spans="1:5" ht="15" hidden="1" customHeight="1" thickBot="1">
      <c r="A148" s="719">
        <v>39117</v>
      </c>
      <c r="B148" s="720">
        <v>39123</v>
      </c>
      <c r="C148" s="721">
        <v>1.857</v>
      </c>
      <c r="D148" s="741"/>
      <c r="E148" s="726"/>
    </row>
    <row r="149" spans="1:5" ht="15" hidden="1" customHeight="1" thickBot="1">
      <c r="A149" s="719">
        <v>39124</v>
      </c>
      <c r="B149" s="720">
        <v>39130</v>
      </c>
      <c r="C149" s="721">
        <v>1.857</v>
      </c>
      <c r="D149" s="741"/>
      <c r="E149" s="726"/>
    </row>
    <row r="150" spans="1:5" ht="15" hidden="1" customHeight="1" thickBot="1">
      <c r="A150" s="719">
        <v>39434</v>
      </c>
      <c r="B150" s="720">
        <v>39137</v>
      </c>
      <c r="C150" s="721" t="s">
        <v>217</v>
      </c>
      <c r="D150" s="741"/>
      <c r="E150" s="726"/>
    </row>
    <row r="151" spans="1:5" ht="15" hidden="1" customHeight="1" thickBot="1">
      <c r="A151" s="719">
        <v>39138</v>
      </c>
      <c r="B151" s="720">
        <v>39144</v>
      </c>
      <c r="C151" s="721">
        <v>1.857</v>
      </c>
      <c r="D151" s="741">
        <f>100*(C151/C147-1)</f>
        <v>-5.3821313240054458E-2</v>
      </c>
      <c r="E151" s="726" t="s">
        <v>215</v>
      </c>
    </row>
    <row r="152" spans="1:5" ht="15" hidden="1" customHeight="1" thickBot="1">
      <c r="A152" s="719">
        <v>39145</v>
      </c>
      <c r="B152" s="720">
        <v>39151</v>
      </c>
      <c r="C152" s="721">
        <v>1.857</v>
      </c>
      <c r="D152" s="741"/>
      <c r="E152" s="726"/>
    </row>
    <row r="153" spans="1:5" ht="15" hidden="1" customHeight="1" thickBot="1">
      <c r="A153" s="719">
        <v>39152</v>
      </c>
      <c r="B153" s="720">
        <v>39158</v>
      </c>
      <c r="C153" s="721">
        <v>1.857</v>
      </c>
      <c r="D153" s="741"/>
      <c r="E153" s="726"/>
    </row>
    <row r="154" spans="1:5" ht="15" hidden="1" customHeight="1" thickBot="1">
      <c r="A154" s="719">
        <v>39159</v>
      </c>
      <c r="B154" s="720">
        <v>39165</v>
      </c>
      <c r="C154" s="721">
        <v>1.8560000000000001</v>
      </c>
      <c r="D154" s="741"/>
      <c r="E154" s="726"/>
    </row>
    <row r="155" spans="1:5" ht="15" hidden="1" customHeight="1" thickBot="1">
      <c r="A155" s="719">
        <v>39166</v>
      </c>
      <c r="B155" s="720">
        <v>39172</v>
      </c>
      <c r="C155" s="721">
        <v>1.8580000000000001</v>
      </c>
      <c r="D155" s="741"/>
      <c r="E155" s="726"/>
    </row>
    <row r="156" spans="1:5" ht="15" hidden="1" customHeight="1" thickBot="1">
      <c r="A156" s="719">
        <v>39173</v>
      </c>
      <c r="B156" s="720">
        <v>39179</v>
      </c>
      <c r="C156" s="721">
        <v>1.8580000000000001</v>
      </c>
      <c r="D156" s="741">
        <f>100*(C156/C151-1)</f>
        <v>5.3850296176638501E-2</v>
      </c>
      <c r="E156" s="726"/>
    </row>
    <row r="157" spans="1:5" ht="15" hidden="1" customHeight="1" thickBot="1">
      <c r="A157" s="719">
        <v>39149</v>
      </c>
      <c r="B157" s="720">
        <v>39186</v>
      </c>
      <c r="C157" s="721">
        <v>1.859</v>
      </c>
      <c r="D157" s="741"/>
      <c r="E157" s="726"/>
    </row>
    <row r="158" spans="1:5" ht="15" hidden="1" customHeight="1" thickBot="1">
      <c r="A158" s="719">
        <v>39187</v>
      </c>
      <c r="B158" s="720">
        <v>39193</v>
      </c>
      <c r="C158" s="721">
        <v>1.859</v>
      </c>
      <c r="D158" s="741"/>
      <c r="E158" s="726"/>
    </row>
    <row r="159" spans="1:5" ht="15" hidden="1" customHeight="1" thickBot="1">
      <c r="A159" s="719">
        <v>39193</v>
      </c>
      <c r="B159" s="720">
        <v>39200</v>
      </c>
      <c r="C159" s="721" t="s">
        <v>217</v>
      </c>
      <c r="D159" s="741"/>
      <c r="E159" s="726"/>
    </row>
    <row r="160" spans="1:5" ht="15" hidden="1" customHeight="1" thickBot="1">
      <c r="A160" s="719">
        <v>39201</v>
      </c>
      <c r="B160" s="720">
        <v>39207</v>
      </c>
      <c r="C160" s="721">
        <v>1.8580000000000001</v>
      </c>
      <c r="D160" s="741">
        <f>100*(C160/C156-1)</f>
        <v>0</v>
      </c>
      <c r="E160" s="726"/>
    </row>
    <row r="161" spans="1:5" ht="15" hidden="1" customHeight="1" thickBot="1">
      <c r="A161" s="719">
        <v>39208</v>
      </c>
      <c r="B161" s="720">
        <v>39214</v>
      </c>
      <c r="C161" s="721">
        <v>1.8580000000000001</v>
      </c>
      <c r="D161" s="725"/>
      <c r="E161" s="726"/>
    </row>
    <row r="162" spans="1:5" ht="15" hidden="1" customHeight="1" thickBot="1">
      <c r="A162" s="719">
        <v>39215</v>
      </c>
      <c r="B162" s="720">
        <v>39221</v>
      </c>
      <c r="C162" s="721">
        <v>1.8580000000000001</v>
      </c>
      <c r="D162" s="725"/>
      <c r="E162" s="726"/>
    </row>
    <row r="163" spans="1:5" ht="15" hidden="1" customHeight="1" thickBot="1">
      <c r="A163" s="719">
        <v>39222</v>
      </c>
      <c r="B163" s="720">
        <v>39228</v>
      </c>
      <c r="C163" s="721">
        <v>1.857</v>
      </c>
      <c r="D163" s="725"/>
      <c r="E163" s="726"/>
    </row>
    <row r="164" spans="1:5" ht="15" hidden="1" customHeight="1" thickBot="1">
      <c r="A164" s="719">
        <v>39236</v>
      </c>
      <c r="B164" s="720">
        <v>39242</v>
      </c>
      <c r="C164" s="721">
        <v>1.8480000000000001</v>
      </c>
      <c r="D164" s="741">
        <f>100*(C164/C160-1)</f>
        <v>-0.53821313240043356</v>
      </c>
      <c r="E164" s="726"/>
    </row>
    <row r="165" spans="1:5" ht="15" hidden="1" customHeight="1" thickBot="1">
      <c r="A165" s="719">
        <v>39243</v>
      </c>
      <c r="B165" s="720">
        <v>39249</v>
      </c>
      <c r="C165" s="721">
        <v>1.8460000000000001</v>
      </c>
      <c r="D165" s="725"/>
      <c r="E165" s="726"/>
    </row>
    <row r="166" spans="1:5" ht="15" hidden="1" customHeight="1" thickBot="1">
      <c r="A166" s="719">
        <v>39250</v>
      </c>
      <c r="B166" s="720">
        <v>39256</v>
      </c>
      <c r="C166" s="721">
        <v>1.847</v>
      </c>
      <c r="D166" s="725"/>
      <c r="E166" s="726"/>
    </row>
    <row r="167" spans="1:5" ht="15" hidden="1" customHeight="1" thickBot="1">
      <c r="A167" s="719">
        <v>39257</v>
      </c>
      <c r="B167" s="720">
        <v>39263</v>
      </c>
      <c r="C167" s="721">
        <v>1.8460000000000001</v>
      </c>
      <c r="D167" s="741">
        <f>100*(C167/C163-1)</f>
        <v>-0.59235325794291249</v>
      </c>
      <c r="E167" s="726"/>
    </row>
    <row r="168" spans="1:5" ht="15" hidden="1" customHeight="1" thickBot="1">
      <c r="A168" s="719">
        <v>39264</v>
      </c>
      <c r="B168" s="720">
        <v>39270</v>
      </c>
      <c r="C168" s="721">
        <v>0</v>
      </c>
      <c r="D168" s="725"/>
      <c r="E168" s="726"/>
    </row>
    <row r="169" spans="1:5" ht="15" hidden="1" customHeight="1" thickBot="1">
      <c r="A169" s="719">
        <v>39271</v>
      </c>
      <c r="B169" s="720">
        <v>39277</v>
      </c>
      <c r="C169" s="721">
        <v>0</v>
      </c>
      <c r="D169" s="725"/>
      <c r="E169" s="726"/>
    </row>
    <row r="170" spans="1:5" ht="15" hidden="1" customHeight="1" thickBot="1">
      <c r="A170" s="719">
        <v>39278</v>
      </c>
      <c r="B170" s="720">
        <v>39284</v>
      </c>
      <c r="C170" s="721">
        <v>0</v>
      </c>
      <c r="D170" s="725"/>
      <c r="E170" s="726"/>
    </row>
    <row r="171" spans="1:5" ht="15" hidden="1" customHeight="1" thickBot="1">
      <c r="A171" s="719">
        <v>39285</v>
      </c>
      <c r="B171" s="720">
        <v>39291</v>
      </c>
      <c r="C171" s="721">
        <v>1.861</v>
      </c>
      <c r="D171" s="741">
        <f>100*(C171/C164-1)</f>
        <v>0.70346320346319491</v>
      </c>
      <c r="E171" s="726"/>
    </row>
    <row r="172" spans="1:5" ht="15" hidden="1" customHeight="1" thickBot="1">
      <c r="A172" s="719"/>
      <c r="B172" s="720"/>
      <c r="C172" s="721"/>
      <c r="D172" s="725"/>
      <c r="E172" s="726"/>
    </row>
    <row r="173" spans="1:5" ht="15" hidden="1" customHeight="1" thickBot="1">
      <c r="A173" s="719">
        <v>39314</v>
      </c>
      <c r="B173" s="720">
        <v>39320</v>
      </c>
      <c r="C173" s="721">
        <v>1.857</v>
      </c>
      <c r="D173" s="741">
        <f>100*(C173/C171-1)</f>
        <v>-0.21493820526599094</v>
      </c>
      <c r="E173" s="726"/>
    </row>
    <row r="174" spans="1:5" ht="15" hidden="1" customHeight="1" thickBot="1">
      <c r="A174" s="719"/>
      <c r="B174" s="720"/>
      <c r="C174" s="721"/>
      <c r="D174" s="725"/>
      <c r="E174" s="726"/>
    </row>
    <row r="175" spans="1:5" ht="15" hidden="1" customHeight="1" thickBot="1">
      <c r="A175" s="719">
        <v>39349</v>
      </c>
      <c r="B175" s="720">
        <v>39355</v>
      </c>
      <c r="C175" s="721">
        <v>1.8580000000000001</v>
      </c>
      <c r="D175" s="741">
        <f>100*(C175/C173-1)</f>
        <v>5.3850296176638501E-2</v>
      </c>
      <c r="E175" s="726"/>
    </row>
    <row r="176" spans="1:5" ht="15" hidden="1" customHeight="1" thickBot="1">
      <c r="A176" s="719"/>
      <c r="B176" s="720"/>
      <c r="C176" s="721"/>
      <c r="D176" s="725"/>
      <c r="E176" s="726"/>
    </row>
    <row r="177" spans="1:5" ht="15" hidden="1" customHeight="1" thickBot="1">
      <c r="A177" s="719">
        <v>39377</v>
      </c>
      <c r="B177" s="720">
        <v>39383</v>
      </c>
      <c r="C177" s="721">
        <v>1.855</v>
      </c>
      <c r="D177" s="741">
        <f>100*(C177/C175-1)</f>
        <v>-0.16146393972013007</v>
      </c>
      <c r="E177" s="726"/>
    </row>
    <row r="178" spans="1:5" ht="15" hidden="1" customHeight="1" thickBot="1">
      <c r="A178" s="719">
        <v>39384</v>
      </c>
      <c r="B178" s="720">
        <v>39390</v>
      </c>
      <c r="C178" s="721">
        <v>1.8560000000000001</v>
      </c>
      <c r="D178" s="725"/>
      <c r="E178" s="726"/>
    </row>
    <row r="179" spans="1:5" ht="15" hidden="1" customHeight="1" thickBot="1">
      <c r="A179" s="719"/>
      <c r="B179" s="720"/>
      <c r="C179" s="721"/>
      <c r="D179" s="725"/>
      <c r="E179" s="726"/>
    </row>
    <row r="180" spans="1:5" ht="15" hidden="1" customHeight="1" thickBot="1">
      <c r="A180" s="719">
        <v>39405</v>
      </c>
      <c r="B180" s="720">
        <v>39411</v>
      </c>
      <c r="C180" s="721">
        <v>1.8580000000000001</v>
      </c>
      <c r="D180" s="741">
        <f>100*(C180/C177-1)</f>
        <v>0.16172506738545422</v>
      </c>
      <c r="E180" s="726"/>
    </row>
    <row r="181" spans="1:5" ht="15" hidden="1" customHeight="1" thickBot="1">
      <c r="A181" s="719">
        <v>39412</v>
      </c>
      <c r="B181" s="720">
        <v>39421</v>
      </c>
      <c r="C181" s="721">
        <v>1.8580000000000001</v>
      </c>
      <c r="D181" s="725"/>
      <c r="E181" s="726"/>
    </row>
    <row r="182" spans="1:5" ht="15" hidden="1" customHeight="1" thickBot="1">
      <c r="A182" s="719"/>
      <c r="B182" s="720"/>
      <c r="C182" s="721"/>
      <c r="D182" s="725"/>
      <c r="E182" s="726"/>
    </row>
    <row r="183" spans="1:5" ht="15" hidden="1" customHeight="1" thickBot="1">
      <c r="A183" s="719">
        <v>39432</v>
      </c>
      <c r="B183" s="720">
        <v>39438</v>
      </c>
      <c r="C183" s="721">
        <v>1.8620000000000001</v>
      </c>
      <c r="D183" s="725"/>
      <c r="E183" s="726"/>
    </row>
    <row r="184" spans="1:5" ht="15" hidden="1" customHeight="1" thickBot="1">
      <c r="A184" s="719">
        <v>39439</v>
      </c>
      <c r="B184" s="720">
        <v>39445</v>
      </c>
      <c r="C184" s="721">
        <v>1.863</v>
      </c>
      <c r="D184" s="741">
        <f>100*(C184/C180-1)</f>
        <v>0.26910656620020568</v>
      </c>
      <c r="E184" s="726"/>
    </row>
    <row r="185" spans="1:5" ht="15" hidden="1" customHeight="1" thickBot="1">
      <c r="A185" s="719">
        <v>39446</v>
      </c>
      <c r="B185" s="720">
        <v>39452</v>
      </c>
      <c r="C185" s="721">
        <v>1.8640000000000001</v>
      </c>
      <c r="D185" s="725"/>
      <c r="E185" s="726" t="s">
        <v>249</v>
      </c>
    </row>
    <row r="186" spans="1:5" ht="15" hidden="1" customHeight="1" thickBot="1">
      <c r="A186" s="719">
        <v>39453</v>
      </c>
      <c r="B186" s="720">
        <v>39459</v>
      </c>
      <c r="C186" s="721">
        <v>1.869</v>
      </c>
      <c r="D186" s="725"/>
      <c r="E186" s="726"/>
    </row>
    <row r="187" spans="1:5" ht="15" hidden="1" customHeight="1" thickBot="1">
      <c r="A187" s="719">
        <v>39460</v>
      </c>
      <c r="B187" s="720">
        <v>39466</v>
      </c>
      <c r="C187" s="721">
        <v>1.873</v>
      </c>
      <c r="D187" s="725" t="s">
        <v>248</v>
      </c>
      <c r="E187" s="726"/>
    </row>
    <row r="188" spans="1:5" ht="15" hidden="1" customHeight="1" thickBot="1">
      <c r="A188" s="719">
        <v>39467</v>
      </c>
      <c r="B188" s="720">
        <v>39473</v>
      </c>
      <c r="C188" s="721">
        <v>1.875</v>
      </c>
      <c r="D188" s="741">
        <f>100*(C188/C184-1)</f>
        <v>0.6441223832528209</v>
      </c>
      <c r="E188" s="726"/>
    </row>
    <row r="189" spans="1:5" ht="15" hidden="1" customHeight="1" thickBot="1">
      <c r="A189" s="719">
        <v>39474</v>
      </c>
      <c r="B189" s="720">
        <v>39480</v>
      </c>
      <c r="C189" s="721">
        <v>1.8759999999999999</v>
      </c>
      <c r="D189" s="725"/>
      <c r="E189" s="726"/>
    </row>
    <row r="190" spans="1:5" ht="15" hidden="1" customHeight="1" thickBot="1">
      <c r="A190" s="719">
        <v>39481</v>
      </c>
      <c r="B190" s="720">
        <v>39487</v>
      </c>
      <c r="C190" s="721">
        <v>1.875</v>
      </c>
      <c r="D190" s="725"/>
      <c r="E190" s="726"/>
    </row>
    <row r="191" spans="1:5" ht="15" hidden="1" customHeight="1" thickBot="1">
      <c r="A191" s="719">
        <v>39488</v>
      </c>
      <c r="B191" s="720">
        <v>39494</v>
      </c>
      <c r="C191" s="721">
        <v>1.8759999999999999</v>
      </c>
      <c r="D191" s="725"/>
      <c r="E191" s="726"/>
    </row>
    <row r="192" spans="1:5" ht="15" hidden="1" customHeight="1" thickBot="1">
      <c r="A192" s="719">
        <v>39495</v>
      </c>
      <c r="B192" s="720">
        <v>39501</v>
      </c>
      <c r="C192" s="721">
        <v>1.8759999999999999</v>
      </c>
      <c r="D192" s="725"/>
      <c r="E192" s="726"/>
    </row>
    <row r="193" spans="1:5" ht="15" hidden="1" customHeight="1" thickBot="1">
      <c r="A193" s="719">
        <v>39530</v>
      </c>
      <c r="B193" s="720">
        <v>39536</v>
      </c>
      <c r="C193" s="721">
        <v>1.877</v>
      </c>
      <c r="D193" s="725"/>
      <c r="E193" s="726"/>
    </row>
    <row r="194" spans="1:5" ht="15" hidden="1" customHeight="1" thickBot="1">
      <c r="A194" s="719">
        <v>39558</v>
      </c>
      <c r="B194" s="720">
        <v>39564</v>
      </c>
      <c r="C194" s="721">
        <v>1.8779999999999999</v>
      </c>
      <c r="D194" s="725"/>
      <c r="E194" s="726"/>
    </row>
    <row r="195" spans="1:5" ht="15" hidden="1" customHeight="1" thickBot="1">
      <c r="A195" s="719">
        <v>39572</v>
      </c>
      <c r="B195" s="720">
        <v>39578</v>
      </c>
      <c r="C195" s="721">
        <v>2.0270000000000001</v>
      </c>
      <c r="D195" s="725"/>
      <c r="E195" s="726"/>
    </row>
    <row r="196" spans="1:5" ht="15" hidden="1" customHeight="1" thickBot="1">
      <c r="A196" s="719">
        <v>39579</v>
      </c>
      <c r="B196" s="720">
        <v>39585</v>
      </c>
      <c r="C196" s="721">
        <v>2.0449999999999999</v>
      </c>
      <c r="D196" s="725"/>
      <c r="E196" s="726"/>
    </row>
    <row r="197" spans="1:5" ht="15" hidden="1" customHeight="1" thickBot="1">
      <c r="A197" s="719">
        <v>39586</v>
      </c>
      <c r="B197" s="720">
        <v>39592</v>
      </c>
      <c r="C197" s="721">
        <v>2.0459999999999998</v>
      </c>
      <c r="D197" s="725"/>
      <c r="E197" s="726"/>
    </row>
    <row r="198" spans="1:5" ht="15" hidden="1" customHeight="1" thickBot="1">
      <c r="A198" s="719">
        <v>39593</v>
      </c>
      <c r="B198" s="720">
        <v>39599</v>
      </c>
      <c r="C198" s="721">
        <v>2.048</v>
      </c>
      <c r="D198" s="725"/>
      <c r="E198" s="726"/>
    </row>
    <row r="199" spans="1:5" ht="15" hidden="1" customHeight="1" thickBot="1">
      <c r="A199" s="719">
        <v>39614</v>
      </c>
      <c r="B199" s="720">
        <v>39620</v>
      </c>
      <c r="C199" s="721">
        <v>2.052</v>
      </c>
      <c r="D199" s="725"/>
      <c r="E199" s="726"/>
    </row>
    <row r="200" spans="1:5" ht="15" hidden="1" customHeight="1" thickBot="1">
      <c r="A200" s="719">
        <v>39621</v>
      </c>
      <c r="B200" s="720">
        <v>39627</v>
      </c>
      <c r="C200" s="721">
        <v>2.0529999999999999</v>
      </c>
      <c r="D200" s="725"/>
      <c r="E200" s="726"/>
    </row>
    <row r="201" spans="1:5" ht="15" hidden="1" customHeight="1" thickBot="1">
      <c r="A201" s="719">
        <v>39628</v>
      </c>
      <c r="B201" s="720">
        <v>39634</v>
      </c>
      <c r="C201" s="721">
        <v>2.0590000000000002</v>
      </c>
      <c r="D201" s="1448" t="s">
        <v>258</v>
      </c>
      <c r="E201" s="1449"/>
    </row>
    <row r="202" spans="1:5" ht="15" hidden="1" customHeight="1" thickBot="1">
      <c r="A202" s="719">
        <v>39635</v>
      </c>
      <c r="B202" s="720">
        <v>39641</v>
      </c>
      <c r="C202" s="721">
        <v>2.09</v>
      </c>
      <c r="D202" s="1448"/>
      <c r="E202" s="1449"/>
    </row>
    <row r="203" spans="1:5" ht="15" hidden="1" customHeight="1" thickBot="1">
      <c r="A203" s="719">
        <v>39642</v>
      </c>
      <c r="B203" s="720">
        <v>39648</v>
      </c>
      <c r="C203" s="721">
        <v>2.0960000000000001</v>
      </c>
      <c r="D203" s="1448"/>
      <c r="E203" s="1449"/>
    </row>
    <row r="204" spans="1:5" ht="15" hidden="1" customHeight="1" thickBot="1">
      <c r="A204" s="719">
        <v>39649</v>
      </c>
      <c r="B204" s="720">
        <v>39655</v>
      </c>
      <c r="C204" s="721">
        <v>2.1</v>
      </c>
      <c r="D204" s="1448"/>
      <c r="E204" s="1449"/>
    </row>
    <row r="205" spans="1:5" ht="15" hidden="1" customHeight="1" thickBot="1">
      <c r="A205" s="719">
        <v>39663</v>
      </c>
      <c r="B205" s="720">
        <v>39669</v>
      </c>
      <c r="C205" s="721">
        <v>2.1030000000000002</v>
      </c>
      <c r="D205" s="1448"/>
      <c r="E205" s="1449"/>
    </row>
    <row r="206" spans="1:5" ht="15" hidden="1" customHeight="1" thickBot="1">
      <c r="A206" s="719">
        <v>39670</v>
      </c>
      <c r="B206" s="720">
        <v>39676</v>
      </c>
      <c r="C206" s="721">
        <v>2.1030000000000002</v>
      </c>
      <c r="D206" s="725"/>
      <c r="E206" s="726"/>
    </row>
    <row r="207" spans="1:5" ht="15" hidden="1" customHeight="1" thickBot="1">
      <c r="A207" s="719">
        <v>39677</v>
      </c>
      <c r="B207" s="720">
        <v>39683</v>
      </c>
      <c r="C207" s="721">
        <v>2.1030000000000002</v>
      </c>
      <c r="D207" s="725"/>
      <c r="E207" s="726"/>
    </row>
    <row r="208" spans="1:5" ht="15" hidden="1" customHeight="1" thickBot="1">
      <c r="A208" s="719">
        <v>39684</v>
      </c>
      <c r="B208" s="720">
        <v>39690</v>
      </c>
      <c r="C208" s="721">
        <v>2.1030000000000002</v>
      </c>
      <c r="D208" s="725"/>
      <c r="E208" s="726"/>
    </row>
    <row r="209" spans="1:5" ht="15" hidden="1" customHeight="1" thickBot="1">
      <c r="A209" s="719">
        <v>39692</v>
      </c>
      <c r="B209" s="720">
        <v>39697</v>
      </c>
      <c r="C209" s="721">
        <v>2.105</v>
      </c>
      <c r="D209" s="725"/>
      <c r="E209" s="726"/>
    </row>
    <row r="210" spans="1:5" ht="15" hidden="1" customHeight="1" thickBot="1">
      <c r="A210" s="719">
        <v>39698</v>
      </c>
      <c r="B210" s="720">
        <v>39704</v>
      </c>
      <c r="C210" s="721">
        <v>2.105</v>
      </c>
      <c r="D210" s="725"/>
      <c r="E210" s="726"/>
    </row>
    <row r="211" spans="1:5" ht="15" hidden="1" customHeight="1" thickBot="1">
      <c r="A211" s="719">
        <v>39705</v>
      </c>
      <c r="B211" s="720">
        <v>39711</v>
      </c>
      <c r="C211" s="721">
        <v>2.105</v>
      </c>
      <c r="D211" s="725"/>
      <c r="E211" s="726"/>
    </row>
    <row r="212" spans="1:5" ht="15" hidden="1" customHeight="1" thickBot="1">
      <c r="A212" s="719">
        <v>39712</v>
      </c>
      <c r="B212" s="720">
        <v>39718</v>
      </c>
      <c r="C212" s="721">
        <v>2.105</v>
      </c>
      <c r="D212" s="725"/>
      <c r="E212" s="726"/>
    </row>
    <row r="213" spans="1:5" ht="15" hidden="1" customHeight="1" thickBot="1">
      <c r="A213" s="719">
        <v>39719</v>
      </c>
      <c r="B213" s="720">
        <v>39725</v>
      </c>
      <c r="C213" s="721">
        <v>2.1059999999999999</v>
      </c>
      <c r="D213" s="725"/>
      <c r="E213" s="726"/>
    </row>
    <row r="214" spans="1:5" ht="15" hidden="1" customHeight="1" thickBot="1">
      <c r="A214" s="719">
        <v>39726</v>
      </c>
      <c r="B214" s="720">
        <v>39732</v>
      </c>
      <c r="C214" s="721">
        <v>2.1059999999999999</v>
      </c>
      <c r="D214" s="725"/>
      <c r="E214" s="726"/>
    </row>
    <row r="215" spans="1:5" ht="15" hidden="1" customHeight="1" thickBot="1">
      <c r="A215" s="719">
        <v>39733</v>
      </c>
      <c r="B215" s="720">
        <v>39739</v>
      </c>
      <c r="C215" s="721">
        <v>2.1059999999999999</v>
      </c>
      <c r="D215" s="725"/>
      <c r="E215" s="726"/>
    </row>
    <row r="216" spans="1:5" ht="15" hidden="1" customHeight="1" thickBot="1">
      <c r="A216" s="719">
        <v>39740</v>
      </c>
      <c r="B216" s="720">
        <v>39746</v>
      </c>
      <c r="C216" s="721">
        <v>2.1059999999999999</v>
      </c>
      <c r="D216" s="725"/>
      <c r="E216" s="726"/>
    </row>
    <row r="217" spans="1:5" ht="15" hidden="1" customHeight="1" thickBot="1">
      <c r="A217" s="719">
        <v>39747</v>
      </c>
      <c r="B217" s="720">
        <v>39753</v>
      </c>
      <c r="C217" s="721">
        <v>2.1059999999999999</v>
      </c>
      <c r="D217" s="725"/>
      <c r="E217" s="726"/>
    </row>
    <row r="218" spans="1:5" ht="15" hidden="1" customHeight="1" thickBot="1">
      <c r="A218" s="719">
        <v>39754</v>
      </c>
      <c r="B218" s="720">
        <v>39760</v>
      </c>
      <c r="C218" s="721">
        <v>2.1080000000000001</v>
      </c>
      <c r="D218" s="725"/>
      <c r="E218" s="726"/>
    </row>
    <row r="219" spans="1:5" ht="15" hidden="1" customHeight="1" thickBot="1">
      <c r="A219" s="719">
        <v>39761</v>
      </c>
      <c r="B219" s="720">
        <v>39767</v>
      </c>
      <c r="C219" s="721">
        <v>2.1080000000000001</v>
      </c>
      <c r="D219" s="725"/>
      <c r="E219" s="726"/>
    </row>
    <row r="220" spans="1:5" ht="15" hidden="1" customHeight="1" thickBot="1">
      <c r="A220" s="719">
        <v>39768</v>
      </c>
      <c r="B220" s="720">
        <v>39774</v>
      </c>
      <c r="C220" s="721">
        <v>2.1080000000000001</v>
      </c>
      <c r="D220" s="725"/>
      <c r="E220" s="726"/>
    </row>
    <row r="221" spans="1:5" ht="15" hidden="1" customHeight="1" thickBot="1">
      <c r="A221" s="719">
        <v>39775</v>
      </c>
      <c r="B221" s="720">
        <v>39781</v>
      </c>
      <c r="C221" s="721">
        <v>2.1080000000000001</v>
      </c>
      <c r="D221" s="725"/>
      <c r="E221" s="726"/>
    </row>
    <row r="222" spans="1:5" ht="15" hidden="1" customHeight="1" thickBot="1">
      <c r="A222" s="719">
        <v>39782</v>
      </c>
      <c r="B222" s="720">
        <v>39788</v>
      </c>
      <c r="C222" s="721">
        <v>2.1080000000000001</v>
      </c>
      <c r="D222" s="725"/>
      <c r="E222" s="726"/>
    </row>
    <row r="223" spans="1:5" ht="15" hidden="1" customHeight="1" thickBot="1">
      <c r="A223" s="719">
        <v>39789</v>
      </c>
      <c r="B223" s="720">
        <v>39795</v>
      </c>
      <c r="C223" s="721">
        <v>2.1080000000000001</v>
      </c>
      <c r="D223" s="725"/>
      <c r="E223" s="726"/>
    </row>
    <row r="224" spans="1:5" ht="15" hidden="1" customHeight="1" thickBot="1">
      <c r="A224" s="719">
        <v>39796</v>
      </c>
      <c r="B224" s="720">
        <v>39802</v>
      </c>
      <c r="C224" s="721">
        <v>2.1080000000000001</v>
      </c>
      <c r="D224" s="725"/>
      <c r="E224" s="726"/>
    </row>
    <row r="225" spans="1:5" ht="15" hidden="1" customHeight="1" thickBot="1">
      <c r="A225" s="719">
        <v>39803</v>
      </c>
      <c r="B225" s="720">
        <v>39809</v>
      </c>
      <c r="C225" s="721">
        <v>2.1080000000000001</v>
      </c>
      <c r="D225" s="725"/>
      <c r="E225" s="726"/>
    </row>
    <row r="226" spans="1:5" ht="15" hidden="1" customHeight="1" thickBot="1">
      <c r="A226" s="719">
        <v>39810</v>
      </c>
      <c r="B226" s="720">
        <v>39816</v>
      </c>
      <c r="C226" s="721">
        <v>2.1080000000000001</v>
      </c>
      <c r="D226" s="725"/>
      <c r="E226" s="726"/>
    </row>
    <row r="227" spans="1:5" ht="15" hidden="1" customHeight="1" thickBot="1">
      <c r="A227" s="719">
        <v>39817</v>
      </c>
      <c r="B227" s="720">
        <v>39823</v>
      </c>
      <c r="C227" s="721">
        <v>2.1080000000000001</v>
      </c>
      <c r="D227" s="725"/>
      <c r="E227" s="726"/>
    </row>
    <row r="228" spans="1:5" ht="15" hidden="1" customHeight="1" thickBot="1">
      <c r="A228" s="719">
        <v>39824</v>
      </c>
      <c r="B228" s="720">
        <v>39830</v>
      </c>
      <c r="C228" s="721">
        <v>2.1080000000000001</v>
      </c>
      <c r="D228" s="725"/>
      <c r="E228" s="726"/>
    </row>
    <row r="229" spans="1:5" ht="15" hidden="1" customHeight="1" thickBot="1">
      <c r="A229" s="719">
        <v>39831</v>
      </c>
      <c r="B229" s="720">
        <v>39837</v>
      </c>
      <c r="C229" s="721">
        <v>2.1080000000000001</v>
      </c>
      <c r="D229" s="725"/>
      <c r="E229" s="726"/>
    </row>
    <row r="230" spans="1:5" ht="15" hidden="1" customHeight="1" thickBot="1">
      <c r="A230" s="719">
        <v>39839</v>
      </c>
      <c r="B230" s="720">
        <v>39844</v>
      </c>
      <c r="C230" s="721">
        <v>2.1080000000000001</v>
      </c>
      <c r="D230" s="725"/>
      <c r="E230" s="726"/>
    </row>
    <row r="231" spans="1:5" ht="15" hidden="1" customHeight="1" thickBot="1">
      <c r="A231" s="719">
        <v>39845</v>
      </c>
      <c r="B231" s="720">
        <v>39851</v>
      </c>
      <c r="C231" s="721">
        <v>2.1080000000000001</v>
      </c>
      <c r="D231" s="725"/>
      <c r="E231" s="726"/>
    </row>
    <row r="232" spans="1:5" ht="15" hidden="1" customHeight="1" thickBot="1">
      <c r="A232" s="719">
        <v>39852</v>
      </c>
      <c r="B232" s="720">
        <v>39858</v>
      </c>
      <c r="C232" s="721">
        <v>2.1080000000000001</v>
      </c>
      <c r="D232" s="725"/>
      <c r="E232" s="726"/>
    </row>
    <row r="233" spans="1:5" ht="15" hidden="1" customHeight="1" thickBot="1">
      <c r="A233" s="719">
        <v>39859</v>
      </c>
      <c r="B233" s="720">
        <v>39865</v>
      </c>
      <c r="C233" s="721">
        <v>2.1080000000000001</v>
      </c>
      <c r="D233" s="725"/>
      <c r="E233" s="726"/>
    </row>
    <row r="234" spans="1:5" ht="15" hidden="1" customHeight="1" thickBot="1">
      <c r="A234" s="719">
        <v>39866</v>
      </c>
      <c r="B234" s="720">
        <v>39872</v>
      </c>
      <c r="C234" s="721">
        <v>2.1080000000000001</v>
      </c>
      <c r="D234" s="725"/>
      <c r="E234" s="726"/>
    </row>
    <row r="235" spans="1:5" ht="15" hidden="1" customHeight="1" thickBot="1">
      <c r="A235" s="719">
        <v>39873</v>
      </c>
      <c r="B235" s="720">
        <v>39879</v>
      </c>
      <c r="C235" s="721">
        <v>2.1080000000000001</v>
      </c>
      <c r="D235" s="725"/>
      <c r="E235" s="726"/>
    </row>
    <row r="236" spans="1:5" ht="15" hidden="1" customHeight="1" thickBot="1">
      <c r="A236" s="719">
        <v>39880</v>
      </c>
      <c r="B236" s="720">
        <v>39886</v>
      </c>
      <c r="C236" s="721">
        <v>2.1080000000000001</v>
      </c>
      <c r="D236" s="725"/>
      <c r="E236" s="726"/>
    </row>
    <row r="237" spans="1:5" ht="15" hidden="1" customHeight="1" thickBot="1">
      <c r="A237" s="719">
        <v>39887</v>
      </c>
      <c r="B237" s="720">
        <v>39893</v>
      </c>
      <c r="C237" s="721">
        <v>2.1070000000000002</v>
      </c>
      <c r="D237" s="725"/>
      <c r="E237" s="726"/>
    </row>
    <row r="238" spans="1:5" ht="15" hidden="1" customHeight="1" thickBot="1">
      <c r="A238" s="719">
        <v>39894</v>
      </c>
      <c r="B238" s="720">
        <v>39900</v>
      </c>
      <c r="C238" s="721">
        <v>2.1070000000000002</v>
      </c>
      <c r="D238" s="725"/>
      <c r="E238" s="726"/>
    </row>
    <row r="239" spans="1:5" ht="15" hidden="1" customHeight="1" thickBot="1">
      <c r="A239" s="719">
        <v>39901</v>
      </c>
      <c r="B239" s="720">
        <v>39907</v>
      </c>
      <c r="C239" s="721">
        <v>2.1070000000000002</v>
      </c>
      <c r="D239" s="725"/>
      <c r="E239" s="726"/>
    </row>
    <row r="240" spans="1:5" ht="15" hidden="1" customHeight="1" thickBot="1">
      <c r="A240" s="719">
        <v>39908</v>
      </c>
      <c r="B240" s="720">
        <v>39914</v>
      </c>
      <c r="C240" s="721">
        <v>2.1070000000000002</v>
      </c>
      <c r="D240" s="725"/>
      <c r="E240" s="726"/>
    </row>
    <row r="241" spans="1:6" ht="15" hidden="1" customHeight="1" thickBot="1">
      <c r="A241" s="719">
        <v>39915</v>
      </c>
      <c r="B241" s="720">
        <v>39921</v>
      </c>
      <c r="C241" s="721">
        <v>2.1070000000000002</v>
      </c>
      <c r="D241" s="725"/>
      <c r="E241" s="726"/>
    </row>
    <row r="242" spans="1:6" ht="15" hidden="1" customHeight="1" thickBot="1">
      <c r="A242" s="719">
        <v>39922</v>
      </c>
      <c r="B242" s="720">
        <v>39928</v>
      </c>
      <c r="C242" s="721">
        <v>2.1070000000000002</v>
      </c>
      <c r="D242" s="725"/>
      <c r="E242" s="726"/>
    </row>
    <row r="243" spans="1:6" ht="15" hidden="1" customHeight="1" thickBot="1">
      <c r="A243" s="719">
        <v>39929</v>
      </c>
      <c r="B243" s="720">
        <v>39935</v>
      </c>
      <c r="C243" s="721">
        <v>2.1070000000000002</v>
      </c>
      <c r="D243" s="1444" t="s">
        <v>256</v>
      </c>
      <c r="E243" s="1445"/>
    </row>
    <row r="244" spans="1:6" ht="15" hidden="1" customHeight="1" thickBot="1">
      <c r="A244" s="719">
        <v>39936</v>
      </c>
      <c r="B244" s="720">
        <v>39942</v>
      </c>
      <c r="C244" s="721">
        <v>2.1059999999999999</v>
      </c>
      <c r="D244" s="725"/>
      <c r="E244" s="726"/>
    </row>
    <row r="245" spans="1:6" ht="15" hidden="1" customHeight="1" thickBot="1">
      <c r="A245" s="719">
        <v>39943</v>
      </c>
      <c r="B245" s="720">
        <v>39949</v>
      </c>
      <c r="C245" s="721">
        <v>2.1059999999999999</v>
      </c>
      <c r="D245" s="725"/>
      <c r="E245" s="726"/>
    </row>
    <row r="246" spans="1:6" ht="15" hidden="1" customHeight="1" thickBot="1">
      <c r="A246" s="719">
        <v>39950</v>
      </c>
      <c r="B246" s="720">
        <v>39956</v>
      </c>
      <c r="C246" s="721">
        <v>2.1059999999999999</v>
      </c>
      <c r="D246" s="725"/>
      <c r="E246" s="726"/>
    </row>
    <row r="247" spans="1:6" ht="15" hidden="1" customHeight="1" thickBot="1">
      <c r="A247" s="719">
        <v>39957</v>
      </c>
      <c r="B247" s="720">
        <v>39963</v>
      </c>
      <c r="C247" s="721">
        <v>2.1059999999999999</v>
      </c>
      <c r="D247" s="725"/>
      <c r="E247" s="726"/>
    </row>
    <row r="248" spans="1:6" ht="15" hidden="1" customHeight="1" thickBot="1">
      <c r="A248" s="719">
        <v>39964</v>
      </c>
      <c r="B248" s="720">
        <v>39970</v>
      </c>
      <c r="C248" s="721">
        <v>2.105</v>
      </c>
      <c r="D248" s="725"/>
      <c r="E248" s="726"/>
    </row>
    <row r="249" spans="1:6" ht="15" hidden="1" customHeight="1" thickBot="1">
      <c r="A249" s="719">
        <v>39971</v>
      </c>
      <c r="B249" s="720">
        <v>39977</v>
      </c>
      <c r="C249" s="721">
        <v>2.1019999999999999</v>
      </c>
      <c r="D249" s="1448" t="s">
        <v>273</v>
      </c>
      <c r="E249" s="1449"/>
      <c r="F249" s="744"/>
    </row>
    <row r="250" spans="1:6" ht="15" hidden="1" customHeight="1" thickBot="1">
      <c r="A250" s="719">
        <v>39978</v>
      </c>
      <c r="B250" s="720">
        <v>39984</v>
      </c>
      <c r="C250" s="721">
        <v>2.0569999999999999</v>
      </c>
      <c r="D250" s="1448"/>
      <c r="E250" s="1449"/>
    </row>
    <row r="251" spans="1:6" ht="15" hidden="1" customHeight="1" thickBot="1">
      <c r="A251" s="719">
        <v>39985</v>
      </c>
      <c r="B251" s="720">
        <v>39991</v>
      </c>
      <c r="C251" s="721">
        <v>2.0219999999999998</v>
      </c>
      <c r="D251" s="1448"/>
      <c r="E251" s="1449"/>
    </row>
    <row r="252" spans="1:6" ht="15" hidden="1" customHeight="1" thickBot="1">
      <c r="A252" s="719">
        <v>39992</v>
      </c>
      <c r="B252" s="720">
        <v>39998</v>
      </c>
      <c r="C252" s="721">
        <v>2.0219999999999998</v>
      </c>
      <c r="D252" s="1448"/>
      <c r="E252" s="1449"/>
    </row>
    <row r="253" spans="1:6" ht="15" hidden="1" customHeight="1" thickBot="1">
      <c r="A253" s="719">
        <v>39908</v>
      </c>
      <c r="B253" s="720">
        <v>40005</v>
      </c>
      <c r="C253" s="721">
        <v>2.0030000000000001</v>
      </c>
      <c r="D253" s="1448"/>
      <c r="E253" s="1449"/>
    </row>
    <row r="254" spans="1:6" ht="15" hidden="1" customHeight="1" thickBot="1">
      <c r="A254" s="719">
        <v>40006</v>
      </c>
      <c r="B254" s="720">
        <v>40012</v>
      </c>
      <c r="C254" s="721">
        <v>2.0009999999999999</v>
      </c>
      <c r="D254" s="725"/>
      <c r="E254" s="726"/>
    </row>
    <row r="255" spans="1:6" ht="15" hidden="1" customHeight="1" thickBot="1">
      <c r="A255" s="719">
        <v>40013</v>
      </c>
      <c r="B255" s="720">
        <v>40019</v>
      </c>
      <c r="C255" s="721">
        <v>1.9970000000000001</v>
      </c>
      <c r="D255" s="725"/>
      <c r="E255" s="726"/>
    </row>
    <row r="256" spans="1:6" ht="15" hidden="1" customHeight="1" thickBot="1">
      <c r="A256" s="719">
        <v>40020</v>
      </c>
      <c r="B256" s="720">
        <v>40026</v>
      </c>
      <c r="C256" s="721">
        <v>1.996</v>
      </c>
      <c r="D256" s="725"/>
      <c r="E256" s="726"/>
    </row>
    <row r="257" spans="1:5" ht="15" hidden="1" customHeight="1" thickBot="1">
      <c r="A257" s="719">
        <v>40027</v>
      </c>
      <c r="B257" s="720">
        <v>40033</v>
      </c>
      <c r="C257" s="721">
        <v>1.996</v>
      </c>
      <c r="D257" s="725"/>
      <c r="E257" s="726"/>
    </row>
    <row r="258" spans="1:5" ht="15" hidden="1" customHeight="1" thickBot="1">
      <c r="A258" s="719">
        <v>40034</v>
      </c>
      <c r="B258" s="720">
        <v>40040</v>
      </c>
      <c r="C258" s="721">
        <v>1.9930000000000001</v>
      </c>
      <c r="D258" s="725"/>
      <c r="E258" s="726"/>
    </row>
    <row r="259" spans="1:5" ht="15" hidden="1" customHeight="1" thickBot="1">
      <c r="A259" s="719">
        <v>40041</v>
      </c>
      <c r="B259" s="720">
        <v>40047</v>
      </c>
      <c r="C259" s="721">
        <v>1.9930000000000001</v>
      </c>
      <c r="D259" s="725"/>
      <c r="E259" s="726"/>
    </row>
    <row r="260" spans="1:5" ht="15" hidden="1" customHeight="1" thickBot="1">
      <c r="A260" s="719">
        <v>40048</v>
      </c>
      <c r="B260" s="720">
        <v>40054</v>
      </c>
      <c r="C260" s="721">
        <v>1.9930000000000001</v>
      </c>
      <c r="D260" s="725"/>
      <c r="E260" s="726"/>
    </row>
    <row r="261" spans="1:5" ht="15" hidden="1" customHeight="1" thickBot="1">
      <c r="A261" s="719">
        <v>40055</v>
      </c>
      <c r="B261" s="720">
        <v>40061</v>
      </c>
      <c r="C261" s="721">
        <v>1.978</v>
      </c>
      <c r="D261" s="725"/>
      <c r="E261" s="726"/>
    </row>
    <row r="262" spans="1:5" ht="15" hidden="1" customHeight="1" thickBot="1">
      <c r="A262" s="719">
        <v>40062</v>
      </c>
      <c r="B262" s="720">
        <v>40068</v>
      </c>
      <c r="C262" s="721">
        <v>1.982</v>
      </c>
      <c r="D262" s="725"/>
      <c r="E262" s="726"/>
    </row>
    <row r="263" spans="1:5" ht="15" hidden="1" customHeight="1" thickBot="1">
      <c r="A263" s="719">
        <v>40069</v>
      </c>
      <c r="B263" s="720">
        <v>40075</v>
      </c>
      <c r="C263" s="721">
        <v>1.982</v>
      </c>
      <c r="D263" s="725"/>
      <c r="E263" s="726"/>
    </row>
    <row r="264" spans="1:5" ht="15" hidden="1" customHeight="1" thickBot="1">
      <c r="A264" s="719">
        <v>40076</v>
      </c>
      <c r="B264" s="720">
        <v>40082</v>
      </c>
      <c r="C264" s="721">
        <v>1.9830000000000001</v>
      </c>
      <c r="D264" s="725"/>
      <c r="E264" s="726"/>
    </row>
    <row r="265" spans="1:5" ht="15" hidden="1" customHeight="1" thickBot="1">
      <c r="A265" s="719">
        <v>40083</v>
      </c>
      <c r="B265" s="720">
        <v>40089</v>
      </c>
      <c r="C265" s="721">
        <v>1.98</v>
      </c>
      <c r="D265" s="725"/>
      <c r="E265" s="726"/>
    </row>
    <row r="266" spans="1:5" ht="15" hidden="1" customHeight="1" thickBot="1">
      <c r="A266" s="719">
        <v>40090</v>
      </c>
      <c r="B266" s="720">
        <v>40096</v>
      </c>
      <c r="C266" s="721">
        <v>1.9810000000000001</v>
      </c>
      <c r="D266" s="725"/>
      <c r="E266" s="726"/>
    </row>
    <row r="267" spans="1:5" ht="15" hidden="1" customHeight="1" thickBot="1">
      <c r="A267" s="719">
        <v>40097</v>
      </c>
      <c r="B267" s="720">
        <v>40103</v>
      </c>
      <c r="C267" s="721">
        <v>1.98</v>
      </c>
      <c r="D267" s="725"/>
      <c r="E267" s="726"/>
    </row>
    <row r="268" spans="1:5" ht="15" hidden="1" customHeight="1" thickBot="1">
      <c r="A268" s="719">
        <v>40104</v>
      </c>
      <c r="B268" s="720">
        <v>40110</v>
      </c>
      <c r="C268" s="721">
        <v>1.974</v>
      </c>
      <c r="D268" s="725"/>
      <c r="E268" s="726"/>
    </row>
    <row r="269" spans="1:5" ht="15" hidden="1" customHeight="1" thickBot="1">
      <c r="A269" s="719">
        <v>40111</v>
      </c>
      <c r="B269" s="720">
        <v>40117</v>
      </c>
      <c r="C269" s="721">
        <v>1.9790000000000001</v>
      </c>
      <c r="D269" s="725"/>
      <c r="E269" s="726"/>
    </row>
    <row r="270" spans="1:5" ht="15" hidden="1" customHeight="1" thickBot="1">
      <c r="A270" s="719">
        <v>40118</v>
      </c>
      <c r="B270" s="720">
        <v>40124</v>
      </c>
      <c r="C270" s="721">
        <v>1.978</v>
      </c>
      <c r="D270" s="725"/>
      <c r="E270" s="726"/>
    </row>
    <row r="271" spans="1:5" ht="15" hidden="1" customHeight="1" thickBot="1">
      <c r="A271" s="719">
        <v>40125</v>
      </c>
      <c r="B271" s="720">
        <v>40131</v>
      </c>
      <c r="C271" s="721">
        <v>1.978</v>
      </c>
      <c r="D271" s="725"/>
      <c r="E271" s="726"/>
    </row>
    <row r="272" spans="1:5" ht="15" hidden="1" customHeight="1" thickBot="1">
      <c r="A272" s="719">
        <v>40132</v>
      </c>
      <c r="B272" s="720">
        <v>40138</v>
      </c>
      <c r="C272" s="721">
        <v>1.978</v>
      </c>
      <c r="D272" s="725"/>
      <c r="E272" s="726"/>
    </row>
    <row r="273" spans="1:5" ht="15" hidden="1" customHeight="1" thickBot="1">
      <c r="A273" s="719">
        <v>40139</v>
      </c>
      <c r="B273" s="720">
        <v>40145</v>
      </c>
      <c r="C273" s="721">
        <v>1.9790000000000001</v>
      </c>
      <c r="D273" s="725"/>
      <c r="E273" s="726"/>
    </row>
    <row r="274" spans="1:5" ht="15" hidden="1" customHeight="1" thickBot="1">
      <c r="A274" s="719">
        <v>40146</v>
      </c>
      <c r="B274" s="720">
        <v>40152</v>
      </c>
      <c r="C274" s="721">
        <v>1.9790000000000001</v>
      </c>
      <c r="D274" s="725"/>
      <c r="E274" s="726"/>
    </row>
    <row r="275" spans="1:5" ht="15" hidden="1" customHeight="1" thickBot="1">
      <c r="A275" s="719">
        <v>40153</v>
      </c>
      <c r="B275" s="720">
        <v>40159</v>
      </c>
      <c r="C275" s="721">
        <v>1.9790000000000001</v>
      </c>
      <c r="D275" s="725"/>
      <c r="E275" s="726"/>
    </row>
    <row r="276" spans="1:5" ht="15" hidden="1" customHeight="1" thickBot="1">
      <c r="A276" s="719">
        <v>40160</v>
      </c>
      <c r="B276" s="720">
        <v>40166</v>
      </c>
      <c r="C276" s="721">
        <v>1.9790000000000001</v>
      </c>
      <c r="D276" s="725"/>
      <c r="E276" s="726"/>
    </row>
    <row r="277" spans="1:5" ht="15" hidden="1" customHeight="1" thickBot="1">
      <c r="A277" s="719">
        <v>40167</v>
      </c>
      <c r="B277" s="720">
        <v>40173</v>
      </c>
      <c r="C277" s="721">
        <v>1.9790000000000001</v>
      </c>
      <c r="D277" s="725"/>
      <c r="E277" s="726"/>
    </row>
    <row r="278" spans="1:5" ht="15" hidden="1" customHeight="1" thickBot="1">
      <c r="A278" s="719">
        <v>40174</v>
      </c>
      <c r="B278" s="720">
        <v>40180</v>
      </c>
      <c r="C278" s="721">
        <v>1.9790000000000001</v>
      </c>
      <c r="D278" s="725"/>
      <c r="E278" s="726"/>
    </row>
    <row r="279" spans="1:5" ht="15" hidden="1" customHeight="1" thickBot="1">
      <c r="A279" s="719">
        <v>40181</v>
      </c>
      <c r="B279" s="720">
        <v>40187</v>
      </c>
      <c r="C279" s="721">
        <v>1.9810000000000001</v>
      </c>
      <c r="D279" s="725"/>
      <c r="E279" s="726"/>
    </row>
    <row r="280" spans="1:5" ht="15" hidden="1" customHeight="1" thickBot="1">
      <c r="A280" s="719">
        <v>40182</v>
      </c>
      <c r="B280" s="720">
        <v>40188</v>
      </c>
      <c r="C280" s="721">
        <v>1.984</v>
      </c>
      <c r="D280" s="725"/>
      <c r="E280" s="726"/>
    </row>
    <row r="281" spans="1:5" ht="15" hidden="1" customHeight="1" thickBot="1">
      <c r="A281" s="719">
        <v>40195</v>
      </c>
      <c r="B281" s="720">
        <v>40201</v>
      </c>
      <c r="C281" s="721">
        <v>1.986</v>
      </c>
      <c r="D281" s="725"/>
      <c r="E281" s="726"/>
    </row>
    <row r="282" spans="1:5" ht="15" hidden="1" customHeight="1" thickBot="1">
      <c r="A282" s="719">
        <v>40202</v>
      </c>
      <c r="B282" s="720">
        <v>40208</v>
      </c>
      <c r="C282" s="721">
        <v>1.9870000000000001</v>
      </c>
      <c r="D282" s="725"/>
      <c r="E282" s="726"/>
    </row>
    <row r="283" spans="1:5" ht="15" hidden="1" customHeight="1" thickBot="1">
      <c r="A283" s="719">
        <v>40209</v>
      </c>
      <c r="B283" s="720">
        <v>40215</v>
      </c>
      <c r="C283" s="721">
        <v>1.9870000000000001</v>
      </c>
      <c r="D283" s="725"/>
      <c r="E283" s="726"/>
    </row>
    <row r="284" spans="1:5" ht="15" hidden="1" customHeight="1" thickBot="1">
      <c r="A284" s="719">
        <v>40216</v>
      </c>
      <c r="B284" s="720">
        <v>40222</v>
      </c>
      <c r="C284" s="721">
        <v>1.99</v>
      </c>
      <c r="D284" s="725"/>
      <c r="E284" s="726"/>
    </row>
    <row r="285" spans="1:5" ht="15" hidden="1" customHeight="1" thickBot="1">
      <c r="A285" s="719">
        <v>40223</v>
      </c>
      <c r="B285" s="720">
        <v>40229</v>
      </c>
      <c r="C285" s="721">
        <v>1.9890000000000001</v>
      </c>
      <c r="D285" s="725"/>
      <c r="E285" s="726"/>
    </row>
    <row r="286" spans="1:5" ht="15" hidden="1" customHeight="1" thickBot="1">
      <c r="A286" s="719">
        <v>40230</v>
      </c>
      <c r="B286" s="720">
        <v>40236</v>
      </c>
      <c r="C286" s="721">
        <v>1.9910000000000001</v>
      </c>
      <c r="D286" s="725"/>
      <c r="E286" s="726"/>
    </row>
    <row r="287" spans="1:5" ht="15" hidden="1" customHeight="1" thickBot="1">
      <c r="A287" s="719">
        <v>40237</v>
      </c>
      <c r="B287" s="720">
        <v>40243</v>
      </c>
      <c r="C287" s="721">
        <v>1.9890000000000001</v>
      </c>
      <c r="D287" s="725"/>
      <c r="E287" s="726"/>
    </row>
    <row r="288" spans="1:5" ht="15" hidden="1" customHeight="1" thickBot="1">
      <c r="A288" s="719">
        <v>40244</v>
      </c>
      <c r="B288" s="720">
        <v>40250</v>
      </c>
      <c r="C288" s="721">
        <v>1.99</v>
      </c>
      <c r="D288" s="725"/>
      <c r="E288" s="726"/>
    </row>
    <row r="289" spans="1:5" ht="15" hidden="1" customHeight="1" thickBot="1">
      <c r="A289" s="719">
        <v>40251</v>
      </c>
      <c r="B289" s="720">
        <v>40257</v>
      </c>
      <c r="C289" s="721">
        <v>1.9890000000000001</v>
      </c>
      <c r="D289" s="725"/>
      <c r="E289" s="726"/>
    </row>
    <row r="290" spans="1:5" ht="15" hidden="1" customHeight="1" thickBot="1">
      <c r="A290" s="719">
        <v>40258</v>
      </c>
      <c r="B290" s="720">
        <v>40264</v>
      </c>
      <c r="C290" s="721">
        <v>1.9890000000000001</v>
      </c>
      <c r="D290" s="725"/>
      <c r="E290" s="726"/>
    </row>
    <row r="291" spans="1:5" ht="15" hidden="1" customHeight="1" thickBot="1">
      <c r="A291" s="719">
        <v>40265</v>
      </c>
      <c r="B291" s="720">
        <v>40271</v>
      </c>
      <c r="C291" s="721">
        <v>1.9870000000000001</v>
      </c>
      <c r="D291" s="725"/>
      <c r="E291" s="726"/>
    </row>
    <row r="292" spans="1:5" ht="15" hidden="1" customHeight="1" thickBot="1">
      <c r="A292" s="719">
        <v>40272</v>
      </c>
      <c r="B292" s="720">
        <v>40278</v>
      </c>
      <c r="C292" s="721">
        <v>1.988</v>
      </c>
      <c r="D292" s="725"/>
      <c r="E292" s="726"/>
    </row>
    <row r="293" spans="1:5" ht="15" hidden="1" customHeight="1" thickBot="1">
      <c r="A293" s="719">
        <v>40279</v>
      </c>
      <c r="B293" s="720">
        <v>40285</v>
      </c>
      <c r="C293" s="721">
        <v>1.986</v>
      </c>
      <c r="D293" s="725"/>
      <c r="E293" s="726"/>
    </row>
    <row r="294" spans="1:5" ht="15" hidden="1" customHeight="1" thickBot="1">
      <c r="A294" s="719">
        <v>40286</v>
      </c>
      <c r="B294" s="720">
        <v>40292</v>
      </c>
      <c r="C294" s="721">
        <v>1.988</v>
      </c>
      <c r="D294" s="725"/>
      <c r="E294" s="726"/>
    </row>
    <row r="295" spans="1:5" ht="15" hidden="1" customHeight="1" thickBot="1">
      <c r="A295" s="719">
        <v>40293</v>
      </c>
      <c r="B295" s="720">
        <v>40299</v>
      </c>
      <c r="C295" s="721">
        <v>1.986</v>
      </c>
      <c r="D295" s="725"/>
      <c r="E295" s="726"/>
    </row>
    <row r="296" spans="1:5" ht="15" hidden="1" customHeight="1" thickBot="1">
      <c r="A296" s="719">
        <v>40300</v>
      </c>
      <c r="B296" s="720">
        <v>40306</v>
      </c>
      <c r="C296" s="721">
        <v>1.986</v>
      </c>
      <c r="D296" s="725"/>
      <c r="E296" s="726"/>
    </row>
    <row r="297" spans="1:5" ht="15" hidden="1" customHeight="1" thickBot="1">
      <c r="A297" s="719">
        <v>40307</v>
      </c>
      <c r="B297" s="720">
        <v>40313</v>
      </c>
      <c r="C297" s="721">
        <v>1.984</v>
      </c>
      <c r="D297" s="725"/>
      <c r="E297" s="726"/>
    </row>
    <row r="298" spans="1:5" ht="15" hidden="1" customHeight="1" thickBot="1">
      <c r="A298" s="719">
        <v>40314</v>
      </c>
      <c r="B298" s="720">
        <v>40320</v>
      </c>
      <c r="C298" s="721">
        <v>1.986</v>
      </c>
      <c r="D298" s="725"/>
      <c r="E298" s="726"/>
    </row>
    <row r="299" spans="1:5" ht="15" hidden="1" customHeight="1" thickBot="1">
      <c r="A299" s="719">
        <v>40321</v>
      </c>
      <c r="B299" s="720">
        <v>40327</v>
      </c>
      <c r="C299" s="721">
        <v>1.984</v>
      </c>
      <c r="D299" s="725"/>
      <c r="E299" s="726"/>
    </row>
    <row r="300" spans="1:5" ht="15" hidden="1" customHeight="1" thickBot="1">
      <c r="A300" s="719">
        <v>40328</v>
      </c>
      <c r="B300" s="720">
        <v>40334</v>
      </c>
      <c r="C300" s="721">
        <v>1.984</v>
      </c>
      <c r="D300" s="725"/>
      <c r="E300" s="726"/>
    </row>
    <row r="301" spans="1:5" ht="15" hidden="1" customHeight="1" thickBot="1">
      <c r="A301" s="719">
        <v>40335</v>
      </c>
      <c r="B301" s="720">
        <v>40341</v>
      </c>
      <c r="C301" s="721">
        <v>1.982</v>
      </c>
      <c r="D301" s="725"/>
      <c r="E301" s="726"/>
    </row>
    <row r="302" spans="1:5" ht="15" hidden="1" customHeight="1" thickBot="1">
      <c r="A302" s="719">
        <v>40342</v>
      </c>
      <c r="B302" s="720">
        <v>40348</v>
      </c>
      <c r="C302" s="721">
        <v>1.9850000000000001</v>
      </c>
      <c r="D302" s="725"/>
      <c r="E302" s="726"/>
    </row>
    <row r="303" spans="1:5" ht="15" hidden="1" customHeight="1" thickBot="1">
      <c r="A303" s="719">
        <v>40349</v>
      </c>
      <c r="B303" s="720">
        <v>40355</v>
      </c>
      <c r="C303" s="721">
        <v>1.9830000000000001</v>
      </c>
      <c r="D303" s="725"/>
      <c r="E303" s="726"/>
    </row>
    <row r="304" spans="1:5" ht="15" hidden="1" customHeight="1" thickBot="1">
      <c r="A304" s="719">
        <v>40363</v>
      </c>
      <c r="B304" s="720">
        <v>40369</v>
      </c>
      <c r="C304" s="721">
        <v>1.964</v>
      </c>
      <c r="D304" s="725"/>
      <c r="E304" s="726"/>
    </row>
    <row r="305" spans="1:5" ht="15" hidden="1" customHeight="1" thickBot="1">
      <c r="A305" s="719">
        <v>40370</v>
      </c>
      <c r="B305" s="720">
        <v>40376</v>
      </c>
      <c r="C305" s="721">
        <v>1.9670000000000001</v>
      </c>
      <c r="D305" s="725"/>
      <c r="E305" s="726"/>
    </row>
    <row r="306" spans="1:5" ht="15" hidden="1" customHeight="1" thickBot="1">
      <c r="A306" s="719">
        <v>40377</v>
      </c>
      <c r="B306" s="720">
        <v>40383</v>
      </c>
      <c r="C306" s="721">
        <v>1.9650000000000001</v>
      </c>
      <c r="D306" s="725"/>
      <c r="E306" s="726"/>
    </row>
    <row r="307" spans="1:5" ht="15" hidden="1" customHeight="1" thickBot="1">
      <c r="A307" s="719">
        <v>40384</v>
      </c>
      <c r="B307" s="720">
        <v>40390</v>
      </c>
      <c r="C307" s="721">
        <v>1.9650000000000001</v>
      </c>
      <c r="D307" s="725"/>
      <c r="E307" s="726"/>
    </row>
    <row r="308" spans="1:5" ht="15" hidden="1" customHeight="1" thickBot="1">
      <c r="A308" s="719">
        <v>40391</v>
      </c>
      <c r="B308" s="720">
        <v>40397</v>
      </c>
      <c r="C308" s="721">
        <v>1.982</v>
      </c>
      <c r="D308" s="725"/>
      <c r="E308" s="726"/>
    </row>
    <row r="309" spans="1:5" ht="15" hidden="1" customHeight="1" thickBot="1">
      <c r="A309" s="719">
        <v>40398</v>
      </c>
      <c r="B309" s="720">
        <v>40404</v>
      </c>
      <c r="C309" s="721">
        <v>1.9830000000000001</v>
      </c>
      <c r="D309" s="725"/>
      <c r="E309" s="726"/>
    </row>
    <row r="310" spans="1:5" ht="15" hidden="1" customHeight="1" thickBot="1">
      <c r="A310" s="719">
        <v>40405</v>
      </c>
      <c r="B310" s="720">
        <v>40411</v>
      </c>
      <c r="C310" s="721">
        <v>1.98</v>
      </c>
      <c r="D310" s="725"/>
      <c r="E310" s="726"/>
    </row>
    <row r="311" spans="1:5" ht="15" hidden="1" customHeight="1" thickBot="1">
      <c r="A311" s="719">
        <v>40412</v>
      </c>
      <c r="B311" s="720">
        <v>40418</v>
      </c>
      <c r="C311" s="721">
        <v>1.982</v>
      </c>
      <c r="D311" s="725"/>
      <c r="E311" s="726"/>
    </row>
    <row r="312" spans="1:5" ht="15" hidden="1" customHeight="1" thickBot="1">
      <c r="A312" s="719">
        <v>40419</v>
      </c>
      <c r="B312" s="720">
        <v>40425</v>
      </c>
      <c r="C312" s="721">
        <v>1.9810000000000001</v>
      </c>
      <c r="D312" s="725"/>
      <c r="E312" s="726"/>
    </row>
    <row r="313" spans="1:5" ht="15" hidden="1" customHeight="1" thickBot="1">
      <c r="A313" s="719">
        <v>40426</v>
      </c>
      <c r="B313" s="720">
        <v>40432</v>
      </c>
      <c r="C313" s="721">
        <v>1.982</v>
      </c>
      <c r="D313" s="725"/>
      <c r="E313" s="726"/>
    </row>
    <row r="314" spans="1:5" ht="15" hidden="1" customHeight="1" thickBot="1">
      <c r="A314" s="719">
        <v>40433</v>
      </c>
      <c r="B314" s="720">
        <v>40439</v>
      </c>
      <c r="C314" s="721">
        <v>1.982</v>
      </c>
      <c r="D314" s="725"/>
      <c r="E314" s="726"/>
    </row>
    <row r="315" spans="1:5" ht="15" hidden="1" customHeight="1" thickBot="1">
      <c r="A315" s="719">
        <v>40440</v>
      </c>
      <c r="B315" s="720">
        <v>40446</v>
      </c>
      <c r="C315" s="721">
        <v>1.9810000000000001</v>
      </c>
      <c r="D315" s="725"/>
      <c r="E315" s="726"/>
    </row>
    <row r="316" spans="1:5" ht="15" hidden="1" customHeight="1" thickBot="1">
      <c r="A316" s="719">
        <v>40447</v>
      </c>
      <c r="B316" s="720">
        <v>40453</v>
      </c>
      <c r="C316" s="721">
        <v>1.9810000000000001</v>
      </c>
      <c r="D316" s="725"/>
      <c r="E316" s="726"/>
    </row>
    <row r="317" spans="1:5" ht="15" hidden="1" customHeight="1" thickBot="1">
      <c r="A317" s="719">
        <v>40454</v>
      </c>
      <c r="B317" s="720">
        <v>40460</v>
      </c>
      <c r="C317" s="721">
        <v>1.9830000000000001</v>
      </c>
      <c r="D317" s="725"/>
      <c r="E317" s="726"/>
    </row>
    <row r="318" spans="1:5" ht="15" hidden="1" customHeight="1" thickBot="1">
      <c r="A318" s="719">
        <v>40461</v>
      </c>
      <c r="B318" s="720">
        <v>40467</v>
      </c>
      <c r="C318" s="721">
        <v>1.9810000000000001</v>
      </c>
      <c r="D318" s="725"/>
      <c r="E318" s="726"/>
    </row>
    <row r="319" spans="1:5" ht="15" hidden="1" customHeight="1" thickBot="1">
      <c r="A319" s="719">
        <v>40468</v>
      </c>
      <c r="B319" s="720">
        <v>40474</v>
      </c>
      <c r="C319" s="721">
        <v>1.9830000000000001</v>
      </c>
      <c r="D319" s="725"/>
      <c r="E319" s="726"/>
    </row>
    <row r="320" spans="1:5" ht="15" hidden="1" customHeight="1" thickBot="1">
      <c r="A320" s="719">
        <v>40475</v>
      </c>
      <c r="B320" s="720">
        <v>40481</v>
      </c>
      <c r="C320" s="721">
        <v>1.982</v>
      </c>
      <c r="D320" s="725"/>
      <c r="E320" s="726"/>
    </row>
    <row r="321" spans="1:5" ht="15" hidden="1" customHeight="1" thickBot="1">
      <c r="A321" s="719">
        <v>40482</v>
      </c>
      <c r="B321" s="720">
        <v>40488</v>
      </c>
      <c r="C321" s="721">
        <v>1.9830000000000001</v>
      </c>
      <c r="D321" s="725"/>
      <c r="E321" s="726"/>
    </row>
    <row r="322" spans="1:5" ht="15" hidden="1" customHeight="1" thickBot="1">
      <c r="A322" s="719">
        <v>40489</v>
      </c>
      <c r="B322" s="720">
        <v>40495</v>
      </c>
      <c r="C322" s="721">
        <v>1.982</v>
      </c>
      <c r="D322" s="725"/>
      <c r="E322" s="726"/>
    </row>
    <row r="323" spans="1:5" ht="15" hidden="1" customHeight="1" thickBot="1">
      <c r="A323" s="719">
        <v>40496</v>
      </c>
      <c r="B323" s="720">
        <v>40502</v>
      </c>
      <c r="C323" s="721">
        <v>1.9830000000000001</v>
      </c>
      <c r="D323" s="725"/>
      <c r="E323" s="726"/>
    </row>
    <row r="324" spans="1:5" ht="15" hidden="1" customHeight="1" thickBot="1">
      <c r="A324" s="719">
        <v>40503</v>
      </c>
      <c r="B324" s="720">
        <v>40509</v>
      </c>
      <c r="C324" s="721">
        <v>1.982</v>
      </c>
      <c r="D324" s="725"/>
      <c r="E324" s="726"/>
    </row>
    <row r="325" spans="1:5" ht="15" hidden="1" customHeight="1" thickBot="1">
      <c r="A325" s="719">
        <v>40510</v>
      </c>
      <c r="B325" s="720">
        <v>40516</v>
      </c>
      <c r="C325" s="721">
        <v>1.9830000000000001</v>
      </c>
      <c r="D325" s="725"/>
      <c r="E325" s="726"/>
    </row>
    <row r="326" spans="1:5" ht="15" hidden="1" customHeight="1" thickBot="1">
      <c r="A326" s="719">
        <v>40517</v>
      </c>
      <c r="B326" s="720">
        <v>40523</v>
      </c>
      <c r="C326" s="721">
        <v>1.9810000000000001</v>
      </c>
      <c r="D326" s="725"/>
      <c r="E326" s="726"/>
    </row>
    <row r="327" spans="1:5" ht="15" hidden="1" customHeight="1" thickBot="1">
      <c r="A327" s="719">
        <v>40524</v>
      </c>
      <c r="B327" s="720">
        <v>40530</v>
      </c>
      <c r="C327" s="721">
        <v>1.984</v>
      </c>
      <c r="D327" s="725"/>
      <c r="E327" s="726"/>
    </row>
    <row r="328" spans="1:5" ht="15" hidden="1" customHeight="1" thickBot="1">
      <c r="A328" s="719">
        <v>40531</v>
      </c>
      <c r="B328" s="720">
        <v>40537</v>
      </c>
      <c r="C328" s="721">
        <v>1.9830000000000001</v>
      </c>
      <c r="D328" s="725"/>
      <c r="E328" s="726"/>
    </row>
    <row r="329" spans="1:5" ht="15" hidden="1" customHeight="1" thickBot="1">
      <c r="A329" s="719">
        <v>40538</v>
      </c>
      <c r="B329" s="720">
        <v>40544</v>
      </c>
      <c r="C329" s="721">
        <v>1.984</v>
      </c>
      <c r="D329" s="725"/>
      <c r="E329" s="726"/>
    </row>
    <row r="330" spans="1:5" ht="15" hidden="1" customHeight="1" thickBot="1">
      <c r="A330" s="719">
        <v>40545</v>
      </c>
      <c r="B330" s="720">
        <v>40551</v>
      </c>
      <c r="C330" s="721">
        <v>1.986</v>
      </c>
      <c r="D330" s="725"/>
      <c r="E330" s="726"/>
    </row>
    <row r="331" spans="1:5" ht="15" hidden="1" customHeight="1" thickBot="1">
      <c r="A331" s="719">
        <v>40552</v>
      </c>
      <c r="B331" s="720">
        <v>40558</v>
      </c>
      <c r="C331" s="721">
        <v>1.9910000000000001</v>
      </c>
      <c r="D331" s="725"/>
      <c r="E331" s="726"/>
    </row>
    <row r="332" spans="1:5" ht="15" hidden="1" customHeight="1" thickBot="1">
      <c r="A332" s="719">
        <v>40559</v>
      </c>
      <c r="B332" s="720">
        <v>40565</v>
      </c>
      <c r="C332" s="721">
        <v>1.994</v>
      </c>
      <c r="D332" s="725"/>
      <c r="E332" s="726"/>
    </row>
    <row r="333" spans="1:5" ht="15" hidden="1" customHeight="1" thickBot="1">
      <c r="A333" s="719">
        <v>40566</v>
      </c>
      <c r="B333" s="720">
        <v>40572</v>
      </c>
      <c r="C333" s="721">
        <v>1.9950000000000001</v>
      </c>
      <c r="D333" s="725"/>
      <c r="E333" s="726"/>
    </row>
    <row r="334" spans="1:5" ht="15" hidden="1" customHeight="1" thickBot="1">
      <c r="A334" s="719">
        <v>40573</v>
      </c>
      <c r="B334" s="720">
        <v>40579</v>
      </c>
      <c r="C334" s="721">
        <v>1.9970000000000001</v>
      </c>
      <c r="D334" s="725"/>
      <c r="E334" s="726"/>
    </row>
    <row r="335" spans="1:5" ht="15" hidden="1" customHeight="1" thickBot="1">
      <c r="A335" s="719">
        <v>40580</v>
      </c>
      <c r="B335" s="720">
        <v>40586</v>
      </c>
      <c r="C335" s="721">
        <v>1.9970000000000001</v>
      </c>
      <c r="D335" s="725"/>
      <c r="E335" s="726"/>
    </row>
    <row r="336" spans="1:5" ht="15" hidden="1" customHeight="1" thickBot="1">
      <c r="A336" s="719">
        <v>40587</v>
      </c>
      <c r="B336" s="720">
        <v>40593</v>
      </c>
      <c r="C336" s="721">
        <v>1.998</v>
      </c>
      <c r="D336" s="725"/>
      <c r="E336" s="726"/>
    </row>
    <row r="337" spans="1:5" ht="15" hidden="1" customHeight="1" thickBot="1">
      <c r="A337" s="719">
        <v>40594</v>
      </c>
      <c r="B337" s="720">
        <v>40600</v>
      </c>
      <c r="C337" s="721">
        <v>2</v>
      </c>
      <c r="D337" s="725"/>
      <c r="E337" s="726"/>
    </row>
    <row r="338" spans="1:5" ht="15" hidden="1" customHeight="1" thickBot="1">
      <c r="A338" s="719">
        <v>40601</v>
      </c>
      <c r="B338" s="720">
        <v>40607</v>
      </c>
      <c r="C338" s="721">
        <v>2.0019999999999998</v>
      </c>
      <c r="D338" s="725"/>
      <c r="E338" s="726"/>
    </row>
    <row r="339" spans="1:5" ht="15" hidden="1" customHeight="1" thickBot="1">
      <c r="A339" s="719">
        <v>40608</v>
      </c>
      <c r="B339" s="720">
        <v>40614</v>
      </c>
      <c r="C339" s="721">
        <v>2.0049999999999999</v>
      </c>
      <c r="D339" s="725"/>
      <c r="E339" s="726"/>
    </row>
    <row r="340" spans="1:5" ht="15" hidden="1" customHeight="1" thickBot="1">
      <c r="A340" s="719">
        <v>40615</v>
      </c>
      <c r="B340" s="720">
        <v>40621</v>
      </c>
      <c r="C340" s="721">
        <v>2.0059999999999998</v>
      </c>
      <c r="D340" s="725"/>
      <c r="E340" s="726"/>
    </row>
    <row r="341" spans="1:5" ht="15" hidden="1" customHeight="1" thickBot="1">
      <c r="A341" s="719">
        <v>40622</v>
      </c>
      <c r="B341" s="720">
        <v>40628</v>
      </c>
      <c r="C341" s="721">
        <v>2.008</v>
      </c>
      <c r="D341" s="725"/>
      <c r="E341" s="726"/>
    </row>
    <row r="342" spans="1:5" ht="15" hidden="1" customHeight="1" thickBot="1">
      <c r="A342" s="719">
        <v>40629</v>
      </c>
      <c r="B342" s="720">
        <v>40635</v>
      </c>
      <c r="C342" s="721">
        <v>2.0099999999999998</v>
      </c>
      <c r="D342" s="725"/>
      <c r="E342" s="726"/>
    </row>
    <row r="343" spans="1:5" ht="15" hidden="1" customHeight="1" thickBot="1">
      <c r="A343" s="719">
        <v>40636</v>
      </c>
      <c r="B343" s="720">
        <v>40642</v>
      </c>
      <c r="C343" s="721">
        <v>2.0139999999999998</v>
      </c>
      <c r="D343" s="725"/>
      <c r="E343" s="726"/>
    </row>
    <row r="344" spans="1:5" ht="15" hidden="1" customHeight="1" thickBot="1">
      <c r="A344" s="719">
        <v>40643</v>
      </c>
      <c r="B344" s="720">
        <v>40656</v>
      </c>
      <c r="C344" s="721">
        <v>2.0110000000000001</v>
      </c>
      <c r="D344" s="725"/>
      <c r="E344" s="726"/>
    </row>
    <row r="345" spans="1:5" ht="15" hidden="1" customHeight="1" thickBot="1">
      <c r="A345" s="719">
        <v>40657</v>
      </c>
      <c r="B345" s="720">
        <v>40663</v>
      </c>
      <c r="C345" s="721">
        <v>2.012</v>
      </c>
      <c r="D345" s="725"/>
      <c r="E345" s="726"/>
    </row>
    <row r="346" spans="1:5" ht="15" hidden="1" customHeight="1" thickBot="1">
      <c r="A346" s="719">
        <v>40664</v>
      </c>
      <c r="B346" s="720">
        <v>40670</v>
      </c>
      <c r="C346" s="721">
        <v>2.0129999999999999</v>
      </c>
      <c r="D346" s="725"/>
      <c r="E346" s="726"/>
    </row>
    <row r="347" spans="1:5" ht="15" hidden="1" customHeight="1" thickBot="1">
      <c r="A347" s="719">
        <v>40671</v>
      </c>
      <c r="B347" s="720">
        <v>40677</v>
      </c>
      <c r="C347" s="721">
        <v>2.0110000000000001</v>
      </c>
      <c r="D347" s="725"/>
      <c r="E347" s="726"/>
    </row>
    <row r="348" spans="1:5" ht="15" hidden="1" customHeight="1" thickBot="1">
      <c r="A348" s="719">
        <v>40678</v>
      </c>
      <c r="B348" s="720">
        <v>40684</v>
      </c>
      <c r="C348" s="721">
        <v>2.0110000000000001</v>
      </c>
      <c r="D348" s="725"/>
      <c r="E348" s="726"/>
    </row>
    <row r="349" spans="1:5" ht="15" hidden="1" customHeight="1" thickBot="1">
      <c r="A349" s="719">
        <v>40685</v>
      </c>
      <c r="B349" s="720">
        <v>40691</v>
      </c>
      <c r="C349" s="721">
        <v>2.0099999999999998</v>
      </c>
      <c r="D349" s="725"/>
      <c r="E349" s="726"/>
    </row>
    <row r="350" spans="1:5" ht="15" hidden="1" customHeight="1" thickBot="1">
      <c r="A350" s="719">
        <v>40692</v>
      </c>
      <c r="B350" s="720">
        <v>40698</v>
      </c>
      <c r="C350" s="721">
        <v>2.0110000000000001</v>
      </c>
      <c r="D350" s="725"/>
      <c r="E350" s="726"/>
    </row>
    <row r="351" spans="1:5" ht="15" hidden="1" customHeight="1" thickBot="1">
      <c r="A351" s="719">
        <v>40699</v>
      </c>
      <c r="B351" s="720">
        <v>40705</v>
      </c>
      <c r="C351" s="721">
        <v>2.008</v>
      </c>
      <c r="D351" s="725"/>
      <c r="E351" s="726"/>
    </row>
    <row r="352" spans="1:5" ht="15" hidden="1" customHeight="1" thickBot="1">
      <c r="A352" s="719">
        <v>40706</v>
      </c>
      <c r="B352" s="720">
        <v>40712</v>
      </c>
      <c r="C352" s="721">
        <v>2.0099999999999998</v>
      </c>
      <c r="D352" s="725"/>
      <c r="E352" s="726"/>
    </row>
    <row r="353" spans="1:5" ht="15" hidden="1" customHeight="1" thickBot="1">
      <c r="A353" s="719">
        <v>40713</v>
      </c>
      <c r="B353" s="720">
        <v>40719</v>
      </c>
      <c r="C353" s="721">
        <v>2.008</v>
      </c>
      <c r="D353" s="725"/>
      <c r="E353" s="726"/>
    </row>
    <row r="354" spans="1:5" ht="15" hidden="1" customHeight="1" thickBot="1">
      <c r="A354" s="719">
        <v>40720</v>
      </c>
      <c r="B354" s="720">
        <v>40726</v>
      </c>
      <c r="C354" s="721">
        <v>2.008</v>
      </c>
      <c r="D354" s="725"/>
      <c r="E354" s="726"/>
    </row>
    <row r="355" spans="1:5" ht="15" hidden="1" customHeight="1" thickBot="1">
      <c r="A355" s="719">
        <v>40727</v>
      </c>
      <c r="B355" s="720">
        <v>40733</v>
      </c>
      <c r="C355" s="721">
        <v>2.0089999999999999</v>
      </c>
      <c r="D355" s="725"/>
      <c r="E355" s="726"/>
    </row>
    <row r="356" spans="1:5" ht="15" hidden="1" customHeight="1" thickBot="1">
      <c r="A356" s="719">
        <v>40734</v>
      </c>
      <c r="B356" s="720">
        <v>40740</v>
      </c>
      <c r="C356" s="721">
        <v>2.0099999999999998</v>
      </c>
      <c r="D356" s="725"/>
      <c r="E356" s="726"/>
    </row>
    <row r="357" spans="1:5" ht="15" hidden="1" customHeight="1" thickBot="1">
      <c r="A357" s="719">
        <v>40741</v>
      </c>
      <c r="B357" s="720">
        <v>40747</v>
      </c>
      <c r="C357" s="721">
        <v>2.008</v>
      </c>
      <c r="D357" s="725"/>
      <c r="E357" s="726"/>
    </row>
    <row r="358" spans="1:5" ht="15" hidden="1" customHeight="1" thickBot="1">
      <c r="A358" s="719">
        <v>40748</v>
      </c>
      <c r="B358" s="720">
        <v>40754</v>
      </c>
      <c r="C358" s="721">
        <v>2.0089999999999999</v>
      </c>
      <c r="D358" s="725"/>
      <c r="E358" s="726"/>
    </row>
    <row r="359" spans="1:5" ht="15" hidden="1" customHeight="1" thickBot="1">
      <c r="A359" s="719">
        <v>40755</v>
      </c>
      <c r="B359" s="720">
        <v>40761</v>
      </c>
      <c r="C359" s="721">
        <v>2.0070000000000001</v>
      </c>
      <c r="D359" s="725"/>
      <c r="E359" s="726"/>
    </row>
    <row r="360" spans="1:5" ht="15" hidden="1" customHeight="1" thickBot="1">
      <c r="A360" s="719">
        <v>40762</v>
      </c>
      <c r="B360" s="720">
        <v>40768</v>
      </c>
      <c r="C360" s="721">
        <v>2.008</v>
      </c>
      <c r="D360" s="725"/>
      <c r="E360" s="726"/>
    </row>
    <row r="361" spans="1:5" ht="15" hidden="1" customHeight="1" thickBot="1">
      <c r="A361" s="719">
        <v>40769</v>
      </c>
      <c r="B361" s="720">
        <v>40775</v>
      </c>
      <c r="C361" s="721">
        <v>2.0070000000000001</v>
      </c>
      <c r="D361" s="725"/>
      <c r="E361" s="726"/>
    </row>
    <row r="362" spans="1:5" ht="15" hidden="1" customHeight="1" thickBot="1">
      <c r="A362" s="719">
        <v>40776</v>
      </c>
      <c r="B362" s="720">
        <v>40782</v>
      </c>
      <c r="C362" s="721">
        <v>2.0089999999999999</v>
      </c>
      <c r="D362" s="725"/>
      <c r="E362" s="726"/>
    </row>
    <row r="363" spans="1:5" ht="15" hidden="1" customHeight="1" thickBot="1">
      <c r="A363" s="719">
        <v>40783</v>
      </c>
      <c r="B363" s="720">
        <v>40789</v>
      </c>
      <c r="C363" s="721">
        <v>2.0270000000000001</v>
      </c>
      <c r="D363" s="725"/>
      <c r="E363" s="726"/>
    </row>
    <row r="364" spans="1:5" ht="15" hidden="1" customHeight="1" thickBot="1">
      <c r="A364" s="719">
        <v>40790</v>
      </c>
      <c r="B364" s="720">
        <v>40796</v>
      </c>
      <c r="C364" s="721">
        <v>2.0259999999999998</v>
      </c>
      <c r="D364" s="725"/>
      <c r="E364" s="726"/>
    </row>
    <row r="365" spans="1:5" ht="15" hidden="1" customHeight="1" thickBot="1">
      <c r="A365" s="719">
        <v>40797</v>
      </c>
      <c r="B365" s="720">
        <v>40803</v>
      </c>
      <c r="C365" s="721">
        <v>2.028</v>
      </c>
      <c r="D365" s="725"/>
      <c r="E365" s="726"/>
    </row>
    <row r="366" spans="1:5" ht="15" hidden="1" customHeight="1" thickBot="1">
      <c r="A366" s="719">
        <v>40804</v>
      </c>
      <c r="B366" s="720">
        <v>40810</v>
      </c>
      <c r="C366" s="721">
        <v>2.028</v>
      </c>
      <c r="D366" s="725"/>
      <c r="E366" s="726"/>
    </row>
    <row r="367" spans="1:5" ht="15" hidden="1" customHeight="1" thickBot="1">
      <c r="A367" s="719">
        <v>40811</v>
      </c>
      <c r="B367" s="720">
        <v>40817</v>
      </c>
      <c r="C367" s="721">
        <v>2.0259999999999998</v>
      </c>
      <c r="D367" s="725"/>
      <c r="E367" s="726"/>
    </row>
    <row r="368" spans="1:5" ht="15" hidden="1" customHeight="1" thickBot="1">
      <c r="A368" s="719">
        <v>40818</v>
      </c>
      <c r="B368" s="720">
        <v>40824</v>
      </c>
      <c r="C368" s="721">
        <v>2.0289999999999999</v>
      </c>
      <c r="D368" s="725"/>
      <c r="E368" s="726"/>
    </row>
    <row r="369" spans="1:6" ht="15" hidden="1" customHeight="1" thickBot="1">
      <c r="A369" s="719">
        <v>40825</v>
      </c>
      <c r="B369" s="720">
        <v>40831</v>
      </c>
      <c r="C369" s="721">
        <v>2.028</v>
      </c>
      <c r="D369" s="725"/>
      <c r="E369" s="726"/>
    </row>
    <row r="370" spans="1:6" ht="15" hidden="1" customHeight="1" thickBot="1">
      <c r="A370" s="719">
        <v>40832</v>
      </c>
      <c r="B370" s="720">
        <v>40838</v>
      </c>
      <c r="C370" s="721">
        <v>2.0289999999999999</v>
      </c>
      <c r="D370" s="725"/>
      <c r="E370" s="726"/>
    </row>
    <row r="371" spans="1:6" ht="15" hidden="1" customHeight="1" thickBot="1">
      <c r="A371" s="719">
        <v>40839</v>
      </c>
      <c r="B371" s="720">
        <v>40845</v>
      </c>
      <c r="C371" s="721">
        <v>2.0299999999999998</v>
      </c>
      <c r="D371" s="725"/>
      <c r="E371" s="726"/>
    </row>
    <row r="372" spans="1:6" ht="15" hidden="1" customHeight="1" thickBot="1">
      <c r="A372" s="719">
        <v>40846</v>
      </c>
      <c r="B372" s="720">
        <v>40852</v>
      </c>
      <c r="C372" s="721">
        <v>2.0310000000000001</v>
      </c>
      <c r="D372" s="725"/>
      <c r="E372" s="726"/>
    </row>
    <row r="373" spans="1:6" ht="15" hidden="1" customHeight="1" thickBot="1">
      <c r="A373" s="719">
        <v>40853</v>
      </c>
      <c r="B373" s="720">
        <v>40859</v>
      </c>
      <c r="C373" s="721">
        <v>2.0299999999999998</v>
      </c>
      <c r="D373" s="725"/>
      <c r="E373" s="726"/>
    </row>
    <row r="374" spans="1:6" ht="15" hidden="1" customHeight="1" thickBot="1">
      <c r="A374" s="719">
        <v>40860</v>
      </c>
      <c r="B374" s="720">
        <v>40866</v>
      </c>
      <c r="C374" s="721">
        <v>2.028</v>
      </c>
      <c r="D374" s="725"/>
      <c r="E374" s="726"/>
    </row>
    <row r="375" spans="1:6" ht="15" hidden="1" customHeight="1" thickBot="1">
      <c r="A375" s="719">
        <v>40867</v>
      </c>
      <c r="B375" s="720">
        <v>40873</v>
      </c>
      <c r="C375" s="721">
        <v>2.0310000000000001</v>
      </c>
      <c r="D375" s="725"/>
      <c r="E375" s="726"/>
    </row>
    <row r="376" spans="1:6" ht="15" hidden="1" customHeight="1" thickBot="1">
      <c r="A376" s="719">
        <v>40874</v>
      </c>
      <c r="B376" s="720">
        <v>40880</v>
      </c>
      <c r="C376" s="721">
        <v>2.032</v>
      </c>
      <c r="D376" s="725"/>
      <c r="E376" s="726"/>
    </row>
    <row r="377" spans="1:6" ht="15" hidden="1" customHeight="1" thickBot="1">
      <c r="A377" s="719">
        <v>40881</v>
      </c>
      <c r="B377" s="720">
        <v>40887</v>
      </c>
      <c r="C377" s="721">
        <v>2.032</v>
      </c>
      <c r="D377" s="725"/>
      <c r="E377" s="726"/>
    </row>
    <row r="378" spans="1:6" ht="15" hidden="1" customHeight="1" thickBot="1">
      <c r="A378" s="719">
        <v>40888</v>
      </c>
      <c r="B378" s="720">
        <v>40894</v>
      </c>
      <c r="C378" s="721">
        <v>2.032</v>
      </c>
      <c r="D378" s="725"/>
      <c r="E378" s="726"/>
    </row>
    <row r="379" spans="1:6" ht="15" hidden="1" customHeight="1" thickBot="1">
      <c r="A379" s="719">
        <v>40895</v>
      </c>
      <c r="B379" s="720">
        <v>40901</v>
      </c>
      <c r="C379" s="721">
        <v>2.0299999999999998</v>
      </c>
      <c r="D379" s="725"/>
      <c r="E379" s="726"/>
    </row>
    <row r="380" spans="1:6" ht="15" hidden="1" customHeight="1" thickBot="1">
      <c r="A380" s="719">
        <v>40902</v>
      </c>
      <c r="B380" s="720">
        <v>40908</v>
      </c>
      <c r="C380" s="721">
        <v>2.0329999999999999</v>
      </c>
      <c r="D380" s="725"/>
      <c r="E380" s="726"/>
      <c r="F380" s="723">
        <f>C380/C329-1</f>
        <v>2.4697580645161255E-2</v>
      </c>
    </row>
    <row r="381" spans="1:6" ht="15" hidden="1" customHeight="1" thickBot="1">
      <c r="A381" s="719">
        <v>40909</v>
      </c>
      <c r="B381" s="720">
        <v>40915</v>
      </c>
      <c r="C381" s="721">
        <v>2.036</v>
      </c>
      <c r="D381" s="725"/>
      <c r="E381" s="726"/>
    </row>
    <row r="382" spans="1:6" ht="15" hidden="1" customHeight="1" thickBot="1">
      <c r="A382" s="719">
        <v>40916</v>
      </c>
      <c r="B382" s="720">
        <v>40922</v>
      </c>
      <c r="C382" s="721">
        <v>2.0379999999999998</v>
      </c>
      <c r="D382" s="725"/>
      <c r="E382" s="726"/>
    </row>
    <row r="383" spans="1:6" ht="15" hidden="1" customHeight="1" thickBot="1">
      <c r="A383" s="719">
        <v>40923</v>
      </c>
      <c r="B383" s="720">
        <v>40929</v>
      </c>
      <c r="C383" s="721">
        <v>2.0390000000000001</v>
      </c>
      <c r="D383" s="725"/>
      <c r="E383" s="726"/>
    </row>
    <row r="384" spans="1:6" ht="15" hidden="1" customHeight="1" thickBot="1">
      <c r="A384" s="719">
        <v>40930</v>
      </c>
      <c r="B384" s="720">
        <v>40936</v>
      </c>
      <c r="C384" s="721">
        <v>2.04</v>
      </c>
      <c r="D384" s="725"/>
      <c r="E384" s="726"/>
    </row>
    <row r="385" spans="1:5" ht="15" hidden="1" customHeight="1" thickBot="1">
      <c r="A385" s="719">
        <v>40937</v>
      </c>
      <c r="B385" s="720">
        <v>40943</v>
      </c>
      <c r="C385" s="721">
        <v>2.0379999999999998</v>
      </c>
      <c r="D385" s="725"/>
      <c r="E385" s="726"/>
    </row>
    <row r="386" spans="1:5" ht="15" hidden="1" customHeight="1" thickBot="1">
      <c r="A386" s="719">
        <v>40944</v>
      </c>
      <c r="B386" s="720">
        <v>40950</v>
      </c>
      <c r="C386" s="721">
        <v>2.04</v>
      </c>
      <c r="D386" s="725"/>
      <c r="E386" s="726"/>
    </row>
    <row r="387" spans="1:5" ht="15" hidden="1" customHeight="1" thickBot="1">
      <c r="A387" s="719">
        <v>40951</v>
      </c>
      <c r="B387" s="720">
        <v>40957</v>
      </c>
      <c r="C387" s="721">
        <v>2.04</v>
      </c>
      <c r="D387" s="725"/>
      <c r="E387" s="726"/>
    </row>
    <row r="388" spans="1:5" ht="15" hidden="1" customHeight="1" thickBot="1">
      <c r="A388" s="719">
        <v>40958</v>
      </c>
      <c r="B388" s="720">
        <v>40964</v>
      </c>
      <c r="C388" s="721">
        <v>2.0409999999999999</v>
      </c>
      <c r="D388" s="725"/>
      <c r="E388" s="726"/>
    </row>
    <row r="389" spans="1:5" ht="15" hidden="1" customHeight="1" thickBot="1">
      <c r="A389" s="719">
        <v>40965</v>
      </c>
      <c r="B389" s="720">
        <v>40971</v>
      </c>
      <c r="C389" s="721">
        <v>2.04</v>
      </c>
      <c r="D389" s="725"/>
      <c r="E389" s="726"/>
    </row>
    <row r="390" spans="1:5" ht="15" hidden="1" customHeight="1" thickBot="1">
      <c r="A390" s="719">
        <v>40972</v>
      </c>
      <c r="B390" s="720">
        <v>40978</v>
      </c>
      <c r="C390" s="721">
        <v>2.0409999999999999</v>
      </c>
      <c r="D390" s="1444" t="s">
        <v>312</v>
      </c>
      <c r="E390" s="1445"/>
    </row>
    <row r="391" spans="1:5" ht="15" hidden="1" customHeight="1" thickBot="1">
      <c r="A391" s="719">
        <v>40979</v>
      </c>
      <c r="B391" s="720">
        <v>40985</v>
      </c>
      <c r="C391" s="721">
        <v>2.0409999999999999</v>
      </c>
      <c r="D391" s="725"/>
      <c r="E391" s="726"/>
    </row>
    <row r="392" spans="1:5" ht="15" hidden="1" customHeight="1" thickBot="1">
      <c r="A392" s="719">
        <v>40986</v>
      </c>
      <c r="B392" s="720">
        <v>40992</v>
      </c>
      <c r="C392" s="721">
        <v>2.0430000000000001</v>
      </c>
      <c r="D392" s="725"/>
      <c r="E392" s="726"/>
    </row>
    <row r="393" spans="1:5" ht="15" hidden="1" customHeight="1" thickBot="1">
      <c r="A393" s="719">
        <v>40993</v>
      </c>
      <c r="B393" s="720">
        <v>40999</v>
      </c>
      <c r="C393" s="721">
        <v>2.0430000000000001</v>
      </c>
      <c r="D393" s="725"/>
      <c r="E393" s="726"/>
    </row>
    <row r="394" spans="1:5" ht="15" hidden="1" customHeight="1" thickBot="1">
      <c r="A394" s="719">
        <v>41000</v>
      </c>
      <c r="B394" s="720">
        <v>41006</v>
      </c>
      <c r="C394" s="721">
        <v>2.044</v>
      </c>
      <c r="D394" s="725"/>
      <c r="E394" s="726"/>
    </row>
    <row r="395" spans="1:5" ht="15" hidden="1" customHeight="1" thickBot="1">
      <c r="A395" s="719">
        <v>41007</v>
      </c>
      <c r="B395" s="720">
        <v>41013</v>
      </c>
      <c r="C395" s="721">
        <v>2.0449999999999999</v>
      </c>
      <c r="D395" s="725"/>
      <c r="E395" s="726"/>
    </row>
    <row r="396" spans="1:5" ht="15" hidden="1" customHeight="1" thickBot="1">
      <c r="A396" s="719">
        <v>41014</v>
      </c>
      <c r="B396" s="720">
        <v>41020</v>
      </c>
      <c r="C396" s="721">
        <v>2.0470000000000002</v>
      </c>
      <c r="D396" s="725"/>
      <c r="E396" s="726"/>
    </row>
    <row r="397" spans="1:5" ht="15" hidden="1" customHeight="1" thickBot="1">
      <c r="A397" s="719">
        <v>41021</v>
      </c>
      <c r="B397" s="720">
        <v>41027</v>
      </c>
      <c r="C397" s="721">
        <v>2.0459999999999998</v>
      </c>
      <c r="D397" s="725"/>
      <c r="E397" s="726"/>
    </row>
    <row r="398" spans="1:5" ht="15" hidden="1" customHeight="1" thickBot="1">
      <c r="A398" s="719">
        <v>41028</v>
      </c>
      <c r="B398" s="720">
        <v>41034</v>
      </c>
      <c r="C398" s="721">
        <v>2.0430000000000001</v>
      </c>
      <c r="D398" s="725"/>
      <c r="E398" s="726"/>
    </row>
    <row r="399" spans="1:5" ht="15" hidden="1" customHeight="1" thickBot="1">
      <c r="A399" s="719">
        <v>41035</v>
      </c>
      <c r="B399" s="720">
        <v>41041</v>
      </c>
      <c r="C399" s="721">
        <v>2.0449999999999999</v>
      </c>
      <c r="D399" s="725"/>
      <c r="E399" s="726"/>
    </row>
    <row r="400" spans="1:5" ht="15" hidden="1" customHeight="1" thickBot="1">
      <c r="A400" s="719">
        <v>41042</v>
      </c>
      <c r="B400" s="720">
        <v>41048</v>
      </c>
      <c r="C400" s="721">
        <v>2.0470000000000002</v>
      </c>
      <c r="D400" s="725"/>
      <c r="E400" s="726"/>
    </row>
    <row r="401" spans="1:5" ht="15" hidden="1" customHeight="1" thickBot="1">
      <c r="A401" s="719">
        <v>41049</v>
      </c>
      <c r="B401" s="720">
        <v>41055</v>
      </c>
      <c r="C401" s="721">
        <v>2.044</v>
      </c>
      <c r="D401" s="725"/>
      <c r="E401" s="726"/>
    </row>
    <row r="402" spans="1:5" ht="15" hidden="1" customHeight="1" thickBot="1">
      <c r="A402" s="719">
        <v>41056</v>
      </c>
      <c r="B402" s="720">
        <v>41062</v>
      </c>
      <c r="C402" s="721">
        <v>2.0470000000000002</v>
      </c>
      <c r="D402" s="725"/>
      <c r="E402" s="726"/>
    </row>
    <row r="403" spans="1:5" ht="15" hidden="1" customHeight="1" thickBot="1">
      <c r="A403" s="719">
        <v>41063</v>
      </c>
      <c r="B403" s="720">
        <v>41069</v>
      </c>
      <c r="C403" s="721">
        <v>2.0430000000000001</v>
      </c>
      <c r="D403" s="725"/>
      <c r="E403" s="726"/>
    </row>
    <row r="404" spans="1:5" ht="15" hidden="1" customHeight="1" thickBot="1">
      <c r="A404" s="719">
        <v>41070</v>
      </c>
      <c r="B404" s="720">
        <v>41076</v>
      </c>
      <c r="C404" s="721">
        <v>2.048</v>
      </c>
      <c r="D404" s="725"/>
      <c r="E404" s="726"/>
    </row>
    <row r="405" spans="1:5" ht="15" hidden="1" customHeight="1" thickBot="1">
      <c r="A405" s="719">
        <v>41077</v>
      </c>
      <c r="B405" s="720">
        <v>41083</v>
      </c>
      <c r="C405" s="721">
        <v>2.0459999999999998</v>
      </c>
      <c r="D405" s="725"/>
      <c r="E405" s="726"/>
    </row>
    <row r="406" spans="1:5" ht="15" hidden="1" customHeight="1" thickBot="1">
      <c r="A406" s="719">
        <v>41084</v>
      </c>
      <c r="B406" s="720">
        <v>41090</v>
      </c>
      <c r="C406" s="721">
        <v>2.0430000000000001</v>
      </c>
      <c r="D406" s="725"/>
      <c r="E406" s="726"/>
    </row>
    <row r="407" spans="1:5" ht="15" hidden="1" customHeight="1" thickBot="1">
      <c r="A407" s="719">
        <v>41091</v>
      </c>
      <c r="B407" s="720">
        <v>41097</v>
      </c>
      <c r="C407" s="721">
        <v>2.0449999999999999</v>
      </c>
      <c r="D407" s="725"/>
      <c r="E407" s="726"/>
    </row>
    <row r="408" spans="1:5" ht="15" hidden="1" customHeight="1" thickBot="1">
      <c r="A408" s="719">
        <v>41098</v>
      </c>
      <c r="B408" s="720">
        <v>41104</v>
      </c>
      <c r="C408" s="721">
        <v>2.0499999999999998</v>
      </c>
      <c r="D408" s="725"/>
      <c r="E408" s="726"/>
    </row>
    <row r="409" spans="1:5" ht="15" hidden="1" customHeight="1" thickBot="1">
      <c r="A409" s="719">
        <v>41105</v>
      </c>
      <c r="B409" s="720">
        <v>41111</v>
      </c>
      <c r="C409" s="721">
        <v>2.0779999999999998</v>
      </c>
      <c r="D409" s="725"/>
      <c r="E409" s="726"/>
    </row>
    <row r="410" spans="1:5" ht="15" hidden="1" customHeight="1" thickBot="1">
      <c r="A410" s="719">
        <v>41112</v>
      </c>
      <c r="B410" s="720">
        <v>41118</v>
      </c>
      <c r="C410" s="721">
        <v>2.1040000000000001</v>
      </c>
      <c r="D410" s="725"/>
      <c r="E410" s="726"/>
    </row>
    <row r="411" spans="1:5" ht="15" hidden="1" customHeight="1" thickBot="1">
      <c r="A411" s="719">
        <v>41126</v>
      </c>
      <c r="B411" s="720">
        <v>41132</v>
      </c>
      <c r="C411" s="721">
        <v>2.13</v>
      </c>
      <c r="D411" s="725"/>
      <c r="E411" s="726"/>
    </row>
    <row r="412" spans="1:5" ht="15" hidden="1" customHeight="1" thickBot="1">
      <c r="A412" s="719">
        <v>41133</v>
      </c>
      <c r="B412" s="720">
        <v>41139</v>
      </c>
      <c r="C412" s="721">
        <v>2.133</v>
      </c>
      <c r="D412" s="725"/>
      <c r="E412" s="726"/>
    </row>
    <row r="413" spans="1:5" ht="15" hidden="1" customHeight="1" thickBot="1">
      <c r="A413" s="719">
        <v>41140</v>
      </c>
      <c r="B413" s="720">
        <v>41146</v>
      </c>
      <c r="C413" s="721">
        <v>2.1320000000000001</v>
      </c>
      <c r="D413" s="725"/>
      <c r="E413" s="726"/>
    </row>
    <row r="414" spans="1:5" ht="15" hidden="1" customHeight="1" thickBot="1">
      <c r="A414" s="719">
        <v>41147</v>
      </c>
      <c r="B414" s="720">
        <v>41153</v>
      </c>
      <c r="C414" s="721">
        <v>2.1320000000000001</v>
      </c>
      <c r="D414" s="725"/>
      <c r="E414" s="726"/>
    </row>
    <row r="415" spans="1:5" ht="15" hidden="1" customHeight="1" thickBot="1">
      <c r="A415" s="719">
        <v>41154</v>
      </c>
      <c r="B415" s="720">
        <v>41160</v>
      </c>
      <c r="C415" s="721">
        <v>2.1339999999999999</v>
      </c>
      <c r="D415" s="725"/>
      <c r="E415" s="726"/>
    </row>
    <row r="416" spans="1:5" ht="15" hidden="1" customHeight="1" thickBot="1">
      <c r="A416" s="719">
        <v>41161</v>
      </c>
      <c r="B416" s="720">
        <v>41167</v>
      </c>
      <c r="C416" s="721">
        <v>2.1339999999999999</v>
      </c>
      <c r="D416" s="725"/>
      <c r="E416" s="726"/>
    </row>
    <row r="417" spans="1:6" ht="15" hidden="1" customHeight="1" thickBot="1">
      <c r="A417" s="719">
        <v>41168</v>
      </c>
      <c r="B417" s="720">
        <v>41174</v>
      </c>
      <c r="C417" s="721">
        <v>2.1379999999999999</v>
      </c>
      <c r="D417" s="725"/>
      <c r="E417" s="726"/>
    </row>
    <row r="418" spans="1:6" ht="15" hidden="1" customHeight="1" thickBot="1">
      <c r="A418" s="719">
        <v>41175</v>
      </c>
      <c r="B418" s="720">
        <v>41181</v>
      </c>
      <c r="C418" s="721">
        <v>2.1379999999999999</v>
      </c>
      <c r="D418" s="725"/>
      <c r="E418" s="726"/>
    </row>
    <row r="419" spans="1:6" ht="15" hidden="1" customHeight="1" thickBot="1">
      <c r="A419" s="719">
        <v>41182</v>
      </c>
      <c r="B419" s="720">
        <v>41188</v>
      </c>
      <c r="C419" s="721">
        <v>2.14</v>
      </c>
      <c r="D419" s="725"/>
      <c r="E419" s="726"/>
    </row>
    <row r="420" spans="1:6" ht="15" hidden="1" customHeight="1" thickBot="1">
      <c r="A420" s="719">
        <v>41189</v>
      </c>
      <c r="B420" s="720">
        <v>41195</v>
      </c>
      <c r="C420" s="721">
        <v>2.1440000000000001</v>
      </c>
      <c r="D420" s="725"/>
      <c r="E420" s="726"/>
    </row>
    <row r="421" spans="1:6" ht="15" hidden="1" customHeight="1" thickBot="1">
      <c r="A421" s="719">
        <v>41196</v>
      </c>
      <c r="B421" s="720">
        <v>41202</v>
      </c>
      <c r="C421" s="721">
        <v>2.1440000000000001</v>
      </c>
      <c r="D421" s="725"/>
      <c r="E421" s="726"/>
    </row>
    <row r="422" spans="1:6" ht="15" hidden="1" customHeight="1" thickBot="1">
      <c r="A422" s="719">
        <v>41203</v>
      </c>
      <c r="B422" s="720">
        <v>41209</v>
      </c>
      <c r="C422" s="721">
        <v>2.1459999999999999</v>
      </c>
      <c r="D422" s="725"/>
      <c r="E422" s="726"/>
    </row>
    <row r="423" spans="1:6" ht="15" hidden="1" customHeight="1" thickBot="1">
      <c r="A423" s="719">
        <v>41210</v>
      </c>
      <c r="B423" s="720">
        <v>41216</v>
      </c>
      <c r="C423" s="721">
        <v>2.1480000000000001</v>
      </c>
      <c r="D423" s="725"/>
      <c r="E423" s="726"/>
    </row>
    <row r="424" spans="1:6" ht="15" hidden="1" customHeight="1" thickBot="1">
      <c r="A424" s="719">
        <v>41217</v>
      </c>
      <c r="B424" s="720">
        <v>41223</v>
      </c>
      <c r="C424" s="721">
        <v>2.1459999999999999</v>
      </c>
      <c r="D424" s="725"/>
      <c r="E424" s="726"/>
    </row>
    <row r="425" spans="1:6" ht="15" hidden="1" customHeight="1" thickBot="1">
      <c r="A425" s="719">
        <v>41224</v>
      </c>
      <c r="B425" s="720">
        <v>41230</v>
      </c>
      <c r="C425" s="721">
        <v>2.1469999999999998</v>
      </c>
      <c r="D425" s="725"/>
      <c r="E425" s="726"/>
    </row>
    <row r="426" spans="1:6" ht="15" hidden="1" customHeight="1" thickBot="1">
      <c r="A426" s="719">
        <v>41231</v>
      </c>
      <c r="B426" s="720">
        <v>41237</v>
      </c>
      <c r="C426" s="721">
        <v>2.1469999999999998</v>
      </c>
      <c r="D426" s="725"/>
      <c r="E426" s="726"/>
    </row>
    <row r="427" spans="1:6" ht="15" hidden="1" customHeight="1" thickBot="1">
      <c r="A427" s="719">
        <v>41238</v>
      </c>
      <c r="B427" s="720">
        <v>41244</v>
      </c>
      <c r="C427" s="721">
        <v>2.15</v>
      </c>
      <c r="D427" s="725"/>
      <c r="E427" s="726"/>
    </row>
    <row r="428" spans="1:6" ht="15" hidden="1" customHeight="1" thickBot="1">
      <c r="A428" s="719">
        <v>41245</v>
      </c>
      <c r="B428" s="720">
        <v>41251</v>
      </c>
      <c r="C428" s="721">
        <v>2.15</v>
      </c>
      <c r="D428" s="725"/>
      <c r="E428" s="726"/>
    </row>
    <row r="429" spans="1:6" ht="15" hidden="1" customHeight="1" thickBot="1">
      <c r="A429" s="719">
        <v>41252</v>
      </c>
      <c r="B429" s="720">
        <v>41259</v>
      </c>
      <c r="C429" s="721">
        <v>2.1520000000000001</v>
      </c>
      <c r="D429" s="725"/>
      <c r="E429" s="726"/>
    </row>
    <row r="430" spans="1:6" ht="15" hidden="1" customHeight="1" thickBot="1">
      <c r="A430" s="719">
        <v>41260</v>
      </c>
      <c r="B430" s="720">
        <v>41265</v>
      </c>
      <c r="C430" s="721">
        <v>2.1520000000000001</v>
      </c>
      <c r="D430" s="725"/>
      <c r="E430" s="726"/>
    </row>
    <row r="431" spans="1:6" ht="15" hidden="1" customHeight="1" thickBot="1">
      <c r="A431" s="719">
        <v>41266</v>
      </c>
      <c r="B431" s="720">
        <v>41272</v>
      </c>
      <c r="C431" s="721">
        <v>2.153</v>
      </c>
      <c r="D431" s="725"/>
      <c r="E431" s="726"/>
      <c r="F431" s="723">
        <f>C431/C380-1</f>
        <v>5.9026069847516016E-2</v>
      </c>
    </row>
    <row r="432" spans="1:6" ht="15" hidden="1" customHeight="1">
      <c r="A432" s="873">
        <v>41273</v>
      </c>
      <c r="B432" s="874">
        <v>41279</v>
      </c>
      <c r="C432" s="875">
        <v>2.153</v>
      </c>
      <c r="D432" s="876"/>
      <c r="E432" s="877"/>
    </row>
    <row r="433" spans="1:5" ht="15" hidden="1" customHeight="1">
      <c r="A433" s="878">
        <v>41280</v>
      </c>
      <c r="B433" s="879">
        <v>41286</v>
      </c>
      <c r="C433" s="880">
        <v>2.1539999999999999</v>
      </c>
      <c r="D433" s="881"/>
      <c r="E433" s="882"/>
    </row>
    <row r="434" spans="1:5" ht="15" hidden="1" customHeight="1">
      <c r="A434" s="878">
        <v>41286</v>
      </c>
      <c r="B434" s="879">
        <v>41293</v>
      </c>
      <c r="C434" s="880">
        <v>2.1520000000000001</v>
      </c>
      <c r="D434" s="881"/>
      <c r="E434" s="882"/>
    </row>
    <row r="435" spans="1:5" ht="15" hidden="1" customHeight="1">
      <c r="A435" s="878">
        <v>41294</v>
      </c>
      <c r="B435" s="879">
        <v>41300</v>
      </c>
      <c r="C435" s="880">
        <v>2.157</v>
      </c>
      <c r="D435" s="881"/>
      <c r="E435" s="882"/>
    </row>
    <row r="436" spans="1:5" ht="15" hidden="1" customHeight="1">
      <c r="A436" s="878">
        <v>41301</v>
      </c>
      <c r="B436" s="879">
        <v>41307</v>
      </c>
      <c r="C436" s="880">
        <v>2.1640000000000001</v>
      </c>
      <c r="D436" s="881"/>
      <c r="E436" s="882"/>
    </row>
    <row r="437" spans="1:5" ht="15" hidden="1" customHeight="1">
      <c r="A437" s="878">
        <v>41308</v>
      </c>
      <c r="B437" s="879">
        <v>41314</v>
      </c>
      <c r="C437" s="880">
        <v>2.2490000000000001</v>
      </c>
      <c r="D437" s="881"/>
      <c r="E437" s="882"/>
    </row>
    <row r="438" spans="1:5" ht="15" hidden="1" customHeight="1">
      <c r="A438" s="878">
        <v>41315</v>
      </c>
      <c r="B438" s="879">
        <v>41321</v>
      </c>
      <c r="C438" s="880">
        <v>2.2509999999999999</v>
      </c>
      <c r="D438" s="881"/>
      <c r="E438" s="882"/>
    </row>
    <row r="439" spans="1:5" ht="15" hidden="1" customHeight="1">
      <c r="A439" s="878">
        <v>41322</v>
      </c>
      <c r="B439" s="879">
        <v>41328</v>
      </c>
      <c r="C439" s="880">
        <v>2.2509999999999999</v>
      </c>
      <c r="D439" s="881"/>
      <c r="E439" s="882"/>
    </row>
    <row r="440" spans="1:5" ht="15" hidden="1" customHeight="1">
      <c r="A440" s="974">
        <v>41329</v>
      </c>
      <c r="B440" s="898">
        <v>41335</v>
      </c>
      <c r="C440" s="899">
        <v>2.2549999999999999</v>
      </c>
      <c r="D440" s="900"/>
      <c r="E440" s="901"/>
    </row>
    <row r="441" spans="1:5" ht="15" hidden="1" customHeight="1">
      <c r="A441" s="975">
        <v>41336</v>
      </c>
      <c r="B441" s="976">
        <v>41342</v>
      </c>
      <c r="C441" s="977">
        <v>2.258</v>
      </c>
      <c r="D441" s="978"/>
      <c r="E441" s="979"/>
    </row>
    <row r="442" spans="1:5" ht="15" hidden="1" customHeight="1">
      <c r="A442" s="878">
        <v>41343</v>
      </c>
      <c r="B442" s="879">
        <v>41349</v>
      </c>
      <c r="C442" s="880">
        <v>2.306</v>
      </c>
      <c r="D442" s="881"/>
      <c r="E442" s="882"/>
    </row>
    <row r="443" spans="1:5" ht="15" hidden="1" customHeight="1">
      <c r="A443" s="878">
        <v>41350</v>
      </c>
      <c r="B443" s="879">
        <v>41356</v>
      </c>
      <c r="C443" s="880">
        <v>2.319</v>
      </c>
      <c r="D443" s="881"/>
      <c r="E443" s="882"/>
    </row>
    <row r="444" spans="1:5" ht="15" hidden="1" customHeight="1">
      <c r="A444" s="878">
        <v>41357</v>
      </c>
      <c r="B444" s="879">
        <v>41363</v>
      </c>
      <c r="C444" s="880">
        <v>2.3210000000000002</v>
      </c>
      <c r="D444" s="881"/>
      <c r="E444" s="882"/>
    </row>
    <row r="445" spans="1:5" ht="15" hidden="1" customHeight="1">
      <c r="A445" s="878">
        <v>41364</v>
      </c>
      <c r="B445" s="879">
        <v>41370</v>
      </c>
      <c r="C445" s="880">
        <v>2.327</v>
      </c>
      <c r="D445" s="881"/>
      <c r="E445" s="882"/>
    </row>
    <row r="446" spans="1:5" ht="15" hidden="1" customHeight="1">
      <c r="A446" s="878">
        <v>41371</v>
      </c>
      <c r="B446" s="879">
        <v>41377</v>
      </c>
      <c r="C446" s="880">
        <v>2.3290000000000002</v>
      </c>
      <c r="D446" s="881"/>
      <c r="E446" s="882"/>
    </row>
    <row r="447" spans="1:5" ht="15" hidden="1" customHeight="1">
      <c r="A447" s="878">
        <v>41378</v>
      </c>
      <c r="B447" s="879">
        <v>41384</v>
      </c>
      <c r="C447" s="880">
        <v>2.3330000000000002</v>
      </c>
      <c r="D447" s="881"/>
      <c r="E447" s="882"/>
    </row>
    <row r="448" spans="1:5" ht="15" hidden="1" customHeight="1">
      <c r="A448" s="878">
        <v>41385</v>
      </c>
      <c r="B448" s="879">
        <v>41391</v>
      </c>
      <c r="C448" s="880">
        <v>2.3340000000000001</v>
      </c>
      <c r="D448" s="881"/>
      <c r="E448" s="882"/>
    </row>
    <row r="449" spans="1:6" ht="15" hidden="1" customHeight="1">
      <c r="A449" s="878">
        <v>41392</v>
      </c>
      <c r="B449" s="879">
        <v>41398</v>
      </c>
      <c r="C449" s="880">
        <v>2.3340000000000001</v>
      </c>
      <c r="D449" s="881"/>
      <c r="E449" s="882"/>
    </row>
    <row r="450" spans="1:6" ht="15" hidden="1" customHeight="1">
      <c r="A450" s="878">
        <v>41399</v>
      </c>
      <c r="B450" s="879">
        <v>41405</v>
      </c>
      <c r="C450" s="880">
        <v>2.3340000000000001</v>
      </c>
      <c r="D450" s="881"/>
      <c r="E450" s="882"/>
    </row>
    <row r="451" spans="1:6" ht="15" hidden="1" customHeight="1">
      <c r="A451" s="878">
        <v>41406</v>
      </c>
      <c r="B451" s="879">
        <v>41412</v>
      </c>
      <c r="C451" s="880">
        <v>2.3340000000000001</v>
      </c>
      <c r="D451" s="881"/>
      <c r="E451" s="882"/>
    </row>
    <row r="452" spans="1:6" ht="15" hidden="1" customHeight="1">
      <c r="A452" s="878">
        <v>41413</v>
      </c>
      <c r="B452" s="879">
        <v>41419</v>
      </c>
      <c r="C452" s="880">
        <v>2.3330000000000002</v>
      </c>
      <c r="D452" s="881"/>
      <c r="E452" s="882"/>
    </row>
    <row r="453" spans="1:6" ht="15" hidden="1" customHeight="1">
      <c r="A453" s="878">
        <v>41420</v>
      </c>
      <c r="B453" s="879">
        <v>41426</v>
      </c>
      <c r="C453" s="880">
        <v>2.3340000000000001</v>
      </c>
      <c r="D453" s="881"/>
      <c r="E453" s="882"/>
    </row>
    <row r="454" spans="1:6" ht="15" hidden="1" customHeight="1">
      <c r="A454" s="878">
        <v>41427</v>
      </c>
      <c r="B454" s="879">
        <v>41433</v>
      </c>
      <c r="C454" s="880">
        <v>2.3319999999999999</v>
      </c>
      <c r="D454" s="881"/>
      <c r="E454" s="882"/>
    </row>
    <row r="455" spans="1:6" ht="15" hidden="1" customHeight="1">
      <c r="A455" s="878">
        <v>41434</v>
      </c>
      <c r="B455" s="879">
        <v>41440</v>
      </c>
      <c r="C455" s="880">
        <v>2.335</v>
      </c>
      <c r="D455" s="881"/>
      <c r="E455" s="882"/>
    </row>
    <row r="456" spans="1:6" ht="15" hidden="1" customHeight="1">
      <c r="A456" s="878">
        <v>41441</v>
      </c>
      <c r="B456" s="879">
        <v>41447</v>
      </c>
      <c r="C456" s="880">
        <v>2.3340000000000001</v>
      </c>
      <c r="D456" s="881"/>
      <c r="E456" s="882"/>
    </row>
    <row r="457" spans="1:6" ht="15" hidden="1" customHeight="1">
      <c r="A457" s="878">
        <v>41448</v>
      </c>
      <c r="B457" s="879">
        <v>41454</v>
      </c>
      <c r="C457" s="880">
        <v>2.3340000000000001</v>
      </c>
      <c r="D457" s="881"/>
      <c r="E457" s="882"/>
    </row>
    <row r="458" spans="1:6" ht="15" hidden="1" customHeight="1">
      <c r="A458" s="878">
        <v>41455</v>
      </c>
      <c r="B458" s="879">
        <v>41461</v>
      </c>
      <c r="C458" s="880">
        <v>2.3340000000000001</v>
      </c>
      <c r="D458" s="881"/>
      <c r="E458" s="882"/>
    </row>
    <row r="459" spans="1:6" ht="15" hidden="1" customHeight="1">
      <c r="A459" s="878">
        <v>41462</v>
      </c>
      <c r="B459" s="879">
        <v>41468</v>
      </c>
      <c r="C459" s="880">
        <v>2.3340000000000001</v>
      </c>
      <c r="D459" s="881"/>
      <c r="E459" s="882"/>
    </row>
    <row r="460" spans="1:6" ht="15" hidden="1" customHeight="1">
      <c r="A460" s="878">
        <v>41469</v>
      </c>
      <c r="B460" s="879">
        <v>41475</v>
      </c>
      <c r="C460" s="880">
        <v>2.3340000000000001</v>
      </c>
      <c r="D460" s="881"/>
      <c r="E460" s="882"/>
    </row>
    <row r="461" spans="1:6" ht="15" hidden="1" customHeight="1">
      <c r="A461" s="878">
        <v>41476</v>
      </c>
      <c r="B461" s="879">
        <v>41482</v>
      </c>
      <c r="C461" s="880">
        <v>2.3330000000000002</v>
      </c>
      <c r="D461" s="881"/>
      <c r="E461" s="882"/>
      <c r="F461" s="723">
        <f>C461/C431-1</f>
        <v>8.3604273107292126E-2</v>
      </c>
    </row>
    <row r="462" spans="1:6" ht="15" hidden="1" customHeight="1">
      <c r="A462" s="878">
        <v>41483</v>
      </c>
      <c r="B462" s="879">
        <v>41489</v>
      </c>
      <c r="C462" s="880">
        <v>2.3290000000000002</v>
      </c>
      <c r="D462" s="881"/>
      <c r="E462" s="882"/>
      <c r="F462" s="723"/>
    </row>
    <row r="463" spans="1:6" ht="15" hidden="1" customHeight="1">
      <c r="A463" s="878">
        <v>41490</v>
      </c>
      <c r="B463" s="879">
        <v>41496</v>
      </c>
      <c r="C463" s="880">
        <v>2.3319999999999999</v>
      </c>
      <c r="D463" s="881"/>
      <c r="E463" s="882"/>
      <c r="F463" s="723"/>
    </row>
    <row r="464" spans="1:6" ht="15" hidden="1" customHeight="1">
      <c r="A464" s="878">
        <v>41497</v>
      </c>
      <c r="B464" s="879">
        <v>41503</v>
      </c>
      <c r="C464" s="880">
        <v>2.3330000000000002</v>
      </c>
      <c r="D464" s="881"/>
      <c r="E464" s="882"/>
      <c r="F464" s="723"/>
    </row>
    <row r="465" spans="1:6" ht="15" hidden="1" customHeight="1">
      <c r="A465" s="878">
        <v>41504</v>
      </c>
      <c r="B465" s="879">
        <v>41510</v>
      </c>
      <c r="C465" s="880">
        <v>2.3319999999999999</v>
      </c>
      <c r="D465" s="881"/>
      <c r="E465" s="882"/>
      <c r="F465" s="723"/>
    </row>
    <row r="466" spans="1:6" ht="15" hidden="1" customHeight="1">
      <c r="A466" s="878">
        <v>41511</v>
      </c>
      <c r="B466" s="879">
        <v>41517</v>
      </c>
      <c r="C466" s="880">
        <v>2.331</v>
      </c>
      <c r="D466" s="881"/>
      <c r="E466" s="882"/>
      <c r="F466" s="723"/>
    </row>
    <row r="467" spans="1:6" ht="15" hidden="1" customHeight="1">
      <c r="A467" s="878">
        <v>41518</v>
      </c>
      <c r="B467" s="879">
        <v>41524</v>
      </c>
      <c r="C467" s="880">
        <v>2.3319999999999999</v>
      </c>
      <c r="D467" s="881"/>
      <c r="E467" s="882"/>
      <c r="F467" s="723"/>
    </row>
    <row r="468" spans="1:6" ht="15" hidden="1" customHeight="1">
      <c r="A468" s="878">
        <v>41525</v>
      </c>
      <c r="B468" s="879">
        <v>41531</v>
      </c>
      <c r="C468" s="880">
        <v>2.33</v>
      </c>
      <c r="D468" s="881"/>
      <c r="E468" s="882"/>
      <c r="F468" s="723"/>
    </row>
    <row r="469" spans="1:6" ht="15" hidden="1" customHeight="1">
      <c r="A469" s="878">
        <v>41532</v>
      </c>
      <c r="B469" s="879">
        <v>41538</v>
      </c>
      <c r="C469" s="880">
        <v>2.3330000000000002</v>
      </c>
      <c r="D469" s="881"/>
      <c r="E469" s="882"/>
      <c r="F469" s="723"/>
    </row>
    <row r="470" spans="1:6" ht="15" hidden="1" customHeight="1">
      <c r="A470" s="878">
        <v>41539</v>
      </c>
      <c r="B470" s="879">
        <v>41545</v>
      </c>
      <c r="C470" s="880">
        <v>2.33</v>
      </c>
      <c r="D470" s="881"/>
      <c r="E470" s="882"/>
      <c r="F470" s="723"/>
    </row>
    <row r="471" spans="1:6" ht="15" hidden="1" customHeight="1">
      <c r="A471" s="878">
        <v>41546</v>
      </c>
      <c r="B471" s="879">
        <v>41552</v>
      </c>
      <c r="C471" s="880">
        <v>2.3330000000000002</v>
      </c>
      <c r="D471" s="881"/>
      <c r="E471" s="882"/>
      <c r="F471" s="723"/>
    </row>
    <row r="472" spans="1:6" ht="15" hidden="1" customHeight="1">
      <c r="A472" s="878">
        <v>41553</v>
      </c>
      <c r="B472" s="879">
        <v>41559</v>
      </c>
      <c r="C472" s="880">
        <v>2.3319999999999999</v>
      </c>
      <c r="D472" s="881"/>
      <c r="E472" s="882"/>
      <c r="F472" s="723"/>
    </row>
    <row r="473" spans="1:6" ht="15" hidden="1" customHeight="1">
      <c r="A473" s="878">
        <v>41560</v>
      </c>
      <c r="B473" s="879">
        <v>41566</v>
      </c>
      <c r="C473" s="880">
        <v>2.3319999999999999</v>
      </c>
      <c r="D473" s="881"/>
      <c r="E473" s="882"/>
      <c r="F473" s="723"/>
    </row>
    <row r="474" spans="1:6" ht="15" hidden="1" customHeight="1">
      <c r="A474" s="878">
        <v>41567</v>
      </c>
      <c r="B474" s="879">
        <v>41573</v>
      </c>
      <c r="C474" s="880">
        <v>2.3319999999999999</v>
      </c>
      <c r="D474" s="881"/>
      <c r="E474" s="882"/>
      <c r="F474" s="723"/>
    </row>
    <row r="475" spans="1:6" ht="15" hidden="1" customHeight="1">
      <c r="A475" s="878">
        <v>41574</v>
      </c>
      <c r="B475" s="879">
        <v>41580</v>
      </c>
      <c r="C475" s="880">
        <v>2.3330000000000002</v>
      </c>
      <c r="D475" s="881"/>
      <c r="E475" s="882"/>
      <c r="F475" s="723"/>
    </row>
    <row r="476" spans="1:6" ht="15" hidden="1" customHeight="1">
      <c r="A476" s="878">
        <v>41581</v>
      </c>
      <c r="B476" s="879">
        <v>41587</v>
      </c>
      <c r="C476" s="880">
        <v>2.3319999999999999</v>
      </c>
      <c r="D476" s="881"/>
      <c r="E476" s="882"/>
      <c r="F476" s="723"/>
    </row>
    <row r="477" spans="1:6" ht="15" hidden="1" customHeight="1">
      <c r="A477" s="878">
        <v>41588</v>
      </c>
      <c r="B477" s="879">
        <v>41594</v>
      </c>
      <c r="C477" s="880">
        <v>2.3319999999999999</v>
      </c>
      <c r="D477" s="881"/>
      <c r="E477" s="882"/>
      <c r="F477" s="723"/>
    </row>
    <row r="478" spans="1:6" ht="15" hidden="1" customHeight="1">
      <c r="A478" s="878">
        <v>41595</v>
      </c>
      <c r="B478" s="879">
        <v>41601</v>
      </c>
      <c r="C478" s="880">
        <v>2.331</v>
      </c>
      <c r="D478" s="881"/>
      <c r="E478" s="882"/>
      <c r="F478" s="723"/>
    </row>
    <row r="479" spans="1:6" ht="15" hidden="1" customHeight="1">
      <c r="A479" s="878">
        <v>41602</v>
      </c>
      <c r="B479" s="879">
        <v>41608</v>
      </c>
      <c r="C479" s="880">
        <v>2.3319999999999999</v>
      </c>
      <c r="D479" s="881"/>
      <c r="E479" s="882"/>
      <c r="F479" s="723"/>
    </row>
    <row r="480" spans="1:6" ht="15" hidden="1" customHeight="1">
      <c r="A480" s="878">
        <v>41609</v>
      </c>
      <c r="B480" s="879">
        <v>41615</v>
      </c>
      <c r="C480" s="880">
        <v>2.4449999999999998</v>
      </c>
      <c r="D480" s="881"/>
      <c r="E480" s="882"/>
      <c r="F480" s="723"/>
    </row>
    <row r="481" spans="1:6" ht="15" hidden="1" customHeight="1">
      <c r="A481" s="878">
        <v>41616</v>
      </c>
      <c r="B481" s="879">
        <v>41622</v>
      </c>
      <c r="C481" s="880">
        <v>2.464</v>
      </c>
      <c r="D481" s="881"/>
      <c r="E481" s="882"/>
      <c r="F481" s="723"/>
    </row>
    <row r="482" spans="1:6" ht="15" customHeight="1">
      <c r="A482" s="878">
        <v>41623</v>
      </c>
      <c r="B482" s="879">
        <v>41629</v>
      </c>
      <c r="C482" s="880">
        <v>2.4729999999999999</v>
      </c>
      <c r="D482" s="881"/>
      <c r="E482" s="882"/>
      <c r="F482" s="723"/>
    </row>
    <row r="483" spans="1:6" ht="15" customHeight="1">
      <c r="A483" s="878">
        <v>41630</v>
      </c>
      <c r="B483" s="879">
        <v>41636</v>
      </c>
      <c r="C483" s="880">
        <v>2.4750000000000001</v>
      </c>
      <c r="D483" s="881"/>
      <c r="E483" s="882"/>
      <c r="F483" s="724"/>
    </row>
    <row r="484" spans="1:6" ht="15" customHeight="1">
      <c r="A484" s="878">
        <v>41658</v>
      </c>
      <c r="B484" s="879">
        <v>41664</v>
      </c>
      <c r="C484" s="880">
        <v>2.4870000000000001</v>
      </c>
      <c r="D484" s="881"/>
      <c r="E484" s="882"/>
      <c r="F484" s="723"/>
    </row>
    <row r="485" spans="1:6" ht="15" customHeight="1">
      <c r="A485" s="878">
        <v>41665</v>
      </c>
      <c r="B485" s="879">
        <v>41671</v>
      </c>
      <c r="C485" s="880">
        <v>2.4870000000000001</v>
      </c>
      <c r="D485" s="881"/>
      <c r="E485" s="882"/>
      <c r="F485" s="723"/>
    </row>
    <row r="486" spans="1:6" ht="15" customHeight="1">
      <c r="A486" s="878">
        <v>41672</v>
      </c>
      <c r="B486" s="879">
        <v>41678</v>
      </c>
      <c r="C486" s="880">
        <v>2.4889999999999999</v>
      </c>
      <c r="D486" s="881"/>
      <c r="E486" s="882"/>
      <c r="F486" s="723"/>
    </row>
    <row r="487" spans="1:6" ht="15" customHeight="1">
      <c r="A487" s="878">
        <v>41679</v>
      </c>
      <c r="B487" s="879">
        <v>41685</v>
      </c>
      <c r="C487" s="880">
        <v>2.4900000000000002</v>
      </c>
      <c r="D487" s="881"/>
      <c r="E487" s="882"/>
      <c r="F487" s="724"/>
    </row>
    <row r="488" spans="1:6" ht="15" customHeight="1">
      <c r="A488" s="878">
        <v>41686</v>
      </c>
      <c r="B488" s="879">
        <v>41692</v>
      </c>
      <c r="C488" s="880">
        <v>2.4929999999999999</v>
      </c>
      <c r="D488" s="881"/>
      <c r="E488" s="882"/>
      <c r="F488" s="724"/>
    </row>
    <row r="489" spans="1:6" ht="15" customHeight="1">
      <c r="A489" s="878">
        <v>41693</v>
      </c>
      <c r="B489" s="879">
        <v>41699</v>
      </c>
      <c r="C489" s="880">
        <v>2.4929999999999999</v>
      </c>
      <c r="D489" s="881"/>
      <c r="E489" s="882"/>
      <c r="F489" s="724"/>
    </row>
    <row r="490" spans="1:6" ht="15" customHeight="1">
      <c r="A490" s="878">
        <v>41700</v>
      </c>
      <c r="B490" s="879">
        <v>41706</v>
      </c>
      <c r="C490" s="880">
        <v>2.4950000000000001</v>
      </c>
      <c r="D490" s="881"/>
      <c r="E490" s="882"/>
      <c r="F490" s="724"/>
    </row>
    <row r="491" spans="1:6" ht="15" customHeight="1">
      <c r="A491" s="878">
        <v>41707</v>
      </c>
      <c r="B491" s="879">
        <v>41713</v>
      </c>
      <c r="C491" s="880">
        <v>2.4969999999999999</v>
      </c>
      <c r="D491" s="881"/>
      <c r="E491" s="882"/>
      <c r="F491" s="724"/>
    </row>
    <row r="492" spans="1:6" ht="15" customHeight="1">
      <c r="A492" s="878">
        <v>41714</v>
      </c>
      <c r="B492" s="879">
        <v>41720</v>
      </c>
      <c r="C492" s="880">
        <v>2.4980000000000002</v>
      </c>
      <c r="D492" s="881"/>
      <c r="E492" s="882"/>
      <c r="F492" s="724"/>
    </row>
    <row r="493" spans="1:6" ht="15" customHeight="1">
      <c r="A493" s="878">
        <v>41721</v>
      </c>
      <c r="B493" s="879">
        <v>41727</v>
      </c>
      <c r="C493" s="880">
        <v>2.4990000000000001</v>
      </c>
      <c r="D493" s="881"/>
      <c r="E493" s="882"/>
      <c r="F493" s="724"/>
    </row>
    <row r="494" spans="1:6" ht="15" customHeight="1">
      <c r="A494" s="878">
        <v>41728</v>
      </c>
      <c r="B494" s="879">
        <v>41734</v>
      </c>
      <c r="C494" s="880">
        <v>2.5</v>
      </c>
      <c r="D494" s="881"/>
      <c r="E494" s="882"/>
      <c r="F494" s="724"/>
    </row>
    <row r="495" spans="1:6" ht="15" customHeight="1">
      <c r="A495" s="878">
        <v>41735</v>
      </c>
      <c r="B495" s="879">
        <v>41741</v>
      </c>
      <c r="C495" s="880">
        <v>2.5030000000000001</v>
      </c>
      <c r="D495" s="881"/>
      <c r="E495" s="882"/>
      <c r="F495" s="724"/>
    </row>
    <row r="496" spans="1:6" ht="15" customHeight="1">
      <c r="A496" s="878">
        <v>41742</v>
      </c>
      <c r="B496" s="879">
        <v>41748</v>
      </c>
      <c r="C496" s="880">
        <v>2.5009999999999999</v>
      </c>
      <c r="D496" s="881"/>
      <c r="E496" s="882"/>
      <c r="F496" s="724"/>
    </row>
    <row r="497" spans="1:6" ht="15" customHeight="1">
      <c r="A497" s="878">
        <v>41749</v>
      </c>
      <c r="B497" s="879">
        <v>41755</v>
      </c>
      <c r="C497" s="880">
        <v>2.5009999999999999</v>
      </c>
      <c r="D497" s="881"/>
      <c r="E497" s="882"/>
      <c r="F497" s="724"/>
    </row>
    <row r="498" spans="1:6" ht="15" customHeight="1">
      <c r="A498" s="878">
        <v>41756</v>
      </c>
      <c r="B498" s="879">
        <v>41762</v>
      </c>
      <c r="C498" s="880">
        <v>2.5019999999999998</v>
      </c>
      <c r="D498" s="881"/>
      <c r="E498" s="882"/>
      <c r="F498" s="724"/>
    </row>
    <row r="499" spans="1:6" ht="15" customHeight="1">
      <c r="A499" s="878">
        <v>41763</v>
      </c>
      <c r="B499" s="879">
        <v>41769</v>
      </c>
      <c r="C499" s="880">
        <v>2.5009999999999999</v>
      </c>
      <c r="D499" s="881"/>
      <c r="E499" s="882"/>
      <c r="F499" s="724"/>
    </row>
    <row r="500" spans="1:6" ht="15" customHeight="1">
      <c r="A500" s="878">
        <v>41770</v>
      </c>
      <c r="B500" s="879">
        <v>41776</v>
      </c>
      <c r="C500" s="880">
        <v>2.5</v>
      </c>
      <c r="D500" s="881"/>
      <c r="E500" s="882"/>
      <c r="F500" s="724"/>
    </row>
    <row r="501" spans="1:6" ht="15" customHeight="1">
      <c r="A501" s="878">
        <v>41777</v>
      </c>
      <c r="B501" s="879">
        <v>41783</v>
      </c>
      <c r="C501" s="880">
        <v>2.5019999999999998</v>
      </c>
      <c r="D501" s="881"/>
      <c r="E501" s="882"/>
      <c r="F501" s="724"/>
    </row>
    <row r="502" spans="1:6" ht="15" customHeight="1">
      <c r="A502" s="878">
        <v>41784</v>
      </c>
      <c r="B502" s="879">
        <v>41790</v>
      </c>
      <c r="C502" s="880">
        <v>2.5</v>
      </c>
      <c r="D502" s="881"/>
      <c r="E502" s="882"/>
      <c r="F502" s="724"/>
    </row>
    <row r="503" spans="1:6" ht="15" customHeight="1">
      <c r="A503" s="883">
        <v>41791</v>
      </c>
      <c r="B503" s="879">
        <v>41797</v>
      </c>
      <c r="C503" s="880">
        <v>2.4990000000000001</v>
      </c>
      <c r="D503" s="881"/>
      <c r="E503" s="882"/>
      <c r="F503" s="724"/>
    </row>
    <row r="504" spans="1:6" ht="15" customHeight="1">
      <c r="A504" s="883">
        <v>41798</v>
      </c>
      <c r="B504" s="879">
        <v>41804</v>
      </c>
      <c r="C504" s="880">
        <v>2.5</v>
      </c>
      <c r="D504" s="881"/>
      <c r="E504" s="882"/>
      <c r="F504" s="724"/>
    </row>
    <row r="505" spans="1:6" ht="15" customHeight="1">
      <c r="A505" s="878">
        <v>41805</v>
      </c>
      <c r="B505" s="879">
        <v>41811</v>
      </c>
      <c r="C505" s="880">
        <v>2.5009999999999999</v>
      </c>
      <c r="D505" s="881"/>
      <c r="E505" s="882"/>
      <c r="F505" s="724"/>
    </row>
    <row r="506" spans="1:6" ht="15" customHeight="1">
      <c r="A506" s="878">
        <v>41812</v>
      </c>
      <c r="B506" s="879">
        <v>41818</v>
      </c>
      <c r="C506" s="880">
        <v>2.5</v>
      </c>
      <c r="D506" s="881"/>
      <c r="E506" s="882"/>
      <c r="F506" s="724"/>
    </row>
    <row r="507" spans="1:6" ht="15" customHeight="1">
      <c r="A507" s="878">
        <v>41819</v>
      </c>
      <c r="B507" s="879">
        <v>41825</v>
      </c>
      <c r="C507" s="880">
        <v>2.4980000000000002</v>
      </c>
      <c r="D507" s="881"/>
      <c r="E507" s="882"/>
      <c r="F507" s="724"/>
    </row>
    <row r="508" spans="1:6" ht="15" customHeight="1">
      <c r="A508" s="878">
        <v>41826</v>
      </c>
      <c r="B508" s="879">
        <v>41832</v>
      </c>
      <c r="C508" s="880">
        <v>2.5</v>
      </c>
      <c r="D508" s="881"/>
      <c r="E508" s="882"/>
      <c r="F508" s="724"/>
    </row>
    <row r="509" spans="1:6" ht="15" customHeight="1">
      <c r="A509" s="878">
        <v>41833</v>
      </c>
      <c r="B509" s="879">
        <v>41839</v>
      </c>
      <c r="C509" s="880">
        <v>2.4969999999999999</v>
      </c>
      <c r="D509" s="881"/>
      <c r="E509" s="882"/>
      <c r="F509" s="724"/>
    </row>
    <row r="510" spans="1:6" ht="15" customHeight="1">
      <c r="A510" s="878">
        <v>41840</v>
      </c>
      <c r="B510" s="879">
        <v>41846</v>
      </c>
      <c r="C510" s="880">
        <v>2.4990000000000001</v>
      </c>
      <c r="D510" s="881"/>
      <c r="E510" s="882"/>
      <c r="F510" s="724"/>
    </row>
    <row r="511" spans="1:6" ht="15" customHeight="1" thickBot="1">
      <c r="A511" s="950">
        <v>41847</v>
      </c>
      <c r="B511" s="898">
        <v>41853</v>
      </c>
      <c r="C511" s="899">
        <v>2.4969999999999999</v>
      </c>
      <c r="D511" s="900"/>
      <c r="E511" s="901"/>
      <c r="F511" s="724"/>
    </row>
    <row r="512" spans="1:6" ht="15" customHeight="1" thickBot="1">
      <c r="A512" s="902">
        <v>41854</v>
      </c>
      <c r="B512" s="903">
        <v>41860</v>
      </c>
      <c r="C512" s="904">
        <v>2.4980000000000002</v>
      </c>
      <c r="D512" s="905"/>
      <c r="E512" s="906"/>
      <c r="F512" s="724"/>
    </row>
    <row r="513" spans="1:6" ht="15" customHeight="1" thickBot="1">
      <c r="A513" s="907">
        <v>41861</v>
      </c>
      <c r="B513" s="720">
        <v>41867</v>
      </c>
      <c r="C513" s="721">
        <v>2.4969999999999999</v>
      </c>
      <c r="D513" s="725"/>
      <c r="E513" s="726"/>
      <c r="F513" s="724"/>
    </row>
    <row r="514" spans="1:6" ht="15" customHeight="1" thickBot="1">
      <c r="A514" s="913">
        <v>41868</v>
      </c>
      <c r="B514" s="914">
        <v>41874</v>
      </c>
      <c r="C514" s="915">
        <v>2.4990000000000001</v>
      </c>
      <c r="D514" s="916"/>
      <c r="E514" s="917"/>
      <c r="F514" s="724"/>
    </row>
    <row r="515" spans="1:6" ht="15" customHeight="1" thickBot="1">
      <c r="A515" s="927">
        <v>41875</v>
      </c>
      <c r="B515" s="928">
        <v>41881</v>
      </c>
      <c r="C515" s="915">
        <v>2.4990000000000001</v>
      </c>
      <c r="D515" s="929"/>
      <c r="E515" s="930"/>
      <c r="F515" s="724"/>
    </row>
    <row r="516" spans="1:6" ht="15" customHeight="1" thickBot="1">
      <c r="A516" s="902">
        <v>41882</v>
      </c>
      <c r="B516" s="903">
        <v>41888</v>
      </c>
      <c r="C516" s="904">
        <v>2.5019999999999998</v>
      </c>
      <c r="D516" s="905"/>
      <c r="E516" s="906"/>
      <c r="F516" s="724"/>
    </row>
    <row r="517" spans="1:6" ht="15" customHeight="1" thickBot="1">
      <c r="A517" s="907">
        <v>41889</v>
      </c>
      <c r="B517" s="720">
        <v>41895</v>
      </c>
      <c r="C517" s="721">
        <v>2.5</v>
      </c>
      <c r="D517" s="725"/>
      <c r="E517" s="726"/>
      <c r="F517" s="724"/>
    </row>
    <row r="518" spans="1:6" ht="15" customHeight="1" thickBot="1">
      <c r="A518" s="907">
        <v>41896</v>
      </c>
      <c r="B518" s="720">
        <v>41902</v>
      </c>
      <c r="C518" s="721">
        <v>2.5</v>
      </c>
      <c r="D518" s="725"/>
      <c r="E518" s="726"/>
      <c r="F518" s="724"/>
    </row>
    <row r="519" spans="1:6" ht="15" customHeight="1" thickBot="1">
      <c r="A519" s="907">
        <v>41903</v>
      </c>
      <c r="B519" s="720">
        <v>41909</v>
      </c>
      <c r="C519" s="721">
        <v>2.5009999999999999</v>
      </c>
      <c r="D519" s="725"/>
      <c r="E519" s="726"/>
      <c r="F519" s="724"/>
    </row>
    <row r="520" spans="1:6" ht="15" customHeight="1" thickBot="1">
      <c r="A520" s="907">
        <v>41910</v>
      </c>
      <c r="B520" s="720">
        <v>41916</v>
      </c>
      <c r="C520" s="721">
        <v>2.5</v>
      </c>
      <c r="D520" s="725"/>
      <c r="E520" s="726"/>
      <c r="F520" s="724"/>
    </row>
    <row r="521" spans="1:6" ht="15" customHeight="1" thickBot="1">
      <c r="A521" s="907">
        <v>41917</v>
      </c>
      <c r="B521" s="720">
        <v>41923</v>
      </c>
      <c r="C521" s="721">
        <v>2.5</v>
      </c>
      <c r="D521" s="725"/>
      <c r="E521" s="726"/>
      <c r="F521" s="724"/>
    </row>
    <row r="522" spans="1:6" ht="15" customHeight="1" thickBot="1">
      <c r="A522" s="907">
        <v>41924</v>
      </c>
      <c r="B522" s="720">
        <v>41930</v>
      </c>
      <c r="C522" s="721">
        <v>2.5</v>
      </c>
      <c r="D522" s="725"/>
      <c r="E522" s="726"/>
      <c r="F522" s="724"/>
    </row>
    <row r="523" spans="1:6" ht="15" customHeight="1" thickBot="1">
      <c r="A523" s="907">
        <v>41931</v>
      </c>
      <c r="B523" s="720">
        <v>41937</v>
      </c>
      <c r="C523" s="721">
        <v>2.5009999999999999</v>
      </c>
      <c r="D523" s="725"/>
      <c r="E523" s="726"/>
      <c r="F523" s="724"/>
    </row>
    <row r="524" spans="1:6" ht="15" customHeight="1" thickBot="1">
      <c r="A524" s="907">
        <v>41938</v>
      </c>
      <c r="B524" s="720">
        <v>41944</v>
      </c>
      <c r="C524" s="721">
        <v>2.5</v>
      </c>
      <c r="D524" s="725"/>
      <c r="E524" s="726"/>
      <c r="F524" s="724"/>
    </row>
    <row r="525" spans="1:6" ht="15" customHeight="1" thickBot="1">
      <c r="A525" s="907">
        <v>41945</v>
      </c>
      <c r="B525" s="720">
        <v>41951</v>
      </c>
      <c r="C525" s="721">
        <v>2.5030000000000001</v>
      </c>
      <c r="D525" s="725"/>
      <c r="E525" s="726"/>
      <c r="F525" s="724"/>
    </row>
    <row r="526" spans="1:6" ht="15" customHeight="1" thickBot="1">
      <c r="A526" s="907">
        <v>41952</v>
      </c>
      <c r="B526" s="720">
        <v>41958</v>
      </c>
      <c r="C526" s="721">
        <v>2.5609999999999999</v>
      </c>
      <c r="D526" s="1444" t="s">
        <v>390</v>
      </c>
      <c r="E526" s="1445"/>
      <c r="F526" s="724"/>
    </row>
    <row r="527" spans="1:6" ht="15" customHeight="1" thickBot="1">
      <c r="A527" s="907">
        <v>41959</v>
      </c>
      <c r="B527" s="720">
        <v>41965</v>
      </c>
      <c r="C527" s="721">
        <v>2.593</v>
      </c>
      <c r="D527" s="725"/>
      <c r="E527" s="726"/>
      <c r="F527" s="724"/>
    </row>
    <row r="528" spans="1:6" ht="15" customHeight="1" thickBot="1">
      <c r="A528" s="907">
        <v>41966</v>
      </c>
      <c r="B528" s="720">
        <v>41972</v>
      </c>
      <c r="C528" s="721">
        <v>2.6</v>
      </c>
      <c r="D528" s="725"/>
      <c r="E528" s="726"/>
      <c r="F528" s="724"/>
    </row>
    <row r="529" spans="1:6" ht="15" customHeight="1" thickBot="1">
      <c r="A529" s="907">
        <v>41973</v>
      </c>
      <c r="B529" s="720">
        <v>41979</v>
      </c>
      <c r="C529" s="721">
        <v>2.6040000000000001</v>
      </c>
      <c r="D529" s="725"/>
      <c r="E529" s="726"/>
      <c r="F529" s="724"/>
    </row>
    <row r="530" spans="1:6" ht="15" customHeight="1" thickBot="1">
      <c r="A530" s="907">
        <v>41980</v>
      </c>
      <c r="B530" s="720">
        <v>41986</v>
      </c>
      <c r="C530" s="721">
        <v>2.6070000000000002</v>
      </c>
      <c r="D530" s="725"/>
      <c r="E530" s="726"/>
      <c r="F530" s="724"/>
    </row>
    <row r="531" spans="1:6" ht="15" customHeight="1" thickBot="1">
      <c r="A531" s="907">
        <v>41987</v>
      </c>
      <c r="B531" s="720">
        <v>41993</v>
      </c>
      <c r="C531" s="721">
        <v>2.6070000000000002</v>
      </c>
      <c r="D531" s="725"/>
      <c r="E531" s="726"/>
      <c r="F531" s="724"/>
    </row>
    <row r="532" spans="1:6" ht="15" customHeight="1" thickBot="1">
      <c r="A532" s="907">
        <v>41994</v>
      </c>
      <c r="B532" s="720">
        <v>42000</v>
      </c>
      <c r="C532" s="721">
        <v>2.6070000000000002</v>
      </c>
      <c r="D532" s="725"/>
      <c r="E532" s="726"/>
      <c r="F532" s="724"/>
    </row>
    <row r="533" spans="1:6" ht="15" customHeight="1" thickBot="1">
      <c r="A533" s="907">
        <v>42001</v>
      </c>
      <c r="B533" s="720">
        <v>42007</v>
      </c>
      <c r="C533" s="721">
        <v>2.609</v>
      </c>
      <c r="D533" s="725"/>
      <c r="E533" s="726"/>
      <c r="F533" s="724"/>
    </row>
    <row r="534" spans="1:6" ht="15" customHeight="1" thickBot="1">
      <c r="A534" s="907">
        <v>42008</v>
      </c>
      <c r="B534" s="720">
        <v>42014</v>
      </c>
      <c r="C534" s="721">
        <v>2.609</v>
      </c>
      <c r="D534" s="725"/>
      <c r="E534" s="726"/>
      <c r="F534" s="724"/>
    </row>
    <row r="535" spans="1:6" ht="15" customHeight="1" thickBot="1">
      <c r="A535" s="907">
        <v>42015</v>
      </c>
      <c r="B535" s="720">
        <v>42021</v>
      </c>
      <c r="C535" s="721">
        <v>2.609</v>
      </c>
      <c r="D535" s="725"/>
      <c r="E535" s="726"/>
      <c r="F535" s="724"/>
    </row>
    <row r="536" spans="1:6" ht="15" customHeight="1" thickBot="1">
      <c r="A536" s="907">
        <v>42022</v>
      </c>
      <c r="B536" s="720">
        <v>42028</v>
      </c>
      <c r="C536" s="721">
        <v>2.6120000000000001</v>
      </c>
      <c r="D536" s="725"/>
      <c r="E536" s="726"/>
      <c r="F536" s="724"/>
    </row>
    <row r="537" spans="1:6" ht="15" customHeight="1" thickBot="1">
      <c r="A537" s="907">
        <v>42029</v>
      </c>
      <c r="B537" s="720">
        <v>42035</v>
      </c>
      <c r="C537" s="721">
        <v>2.613</v>
      </c>
      <c r="D537" s="1439" t="s">
        <v>395</v>
      </c>
      <c r="E537" s="1440"/>
      <c r="F537" s="724"/>
    </row>
    <row r="538" spans="1:6" ht="15" customHeight="1" thickBot="1">
      <c r="A538" s="907">
        <v>42036</v>
      </c>
      <c r="B538" s="720">
        <v>42042</v>
      </c>
      <c r="C538" s="721">
        <v>2.7469999999999999</v>
      </c>
      <c r="D538" s="1439"/>
      <c r="E538" s="1440"/>
      <c r="F538" s="724"/>
    </row>
    <row r="539" spans="1:6" ht="15" customHeight="1" thickBot="1">
      <c r="A539" s="907">
        <v>42043</v>
      </c>
      <c r="B539" s="720">
        <v>42049</v>
      </c>
      <c r="C539" s="721">
        <v>2.7970000000000002</v>
      </c>
      <c r="D539" s="1039"/>
      <c r="E539" s="1040"/>
      <c r="F539" s="724"/>
    </row>
    <row r="540" spans="1:6" ht="15" customHeight="1" thickBot="1">
      <c r="A540" s="907">
        <v>42050</v>
      </c>
      <c r="B540" s="720">
        <v>42056</v>
      </c>
      <c r="C540" s="721">
        <v>2.802</v>
      </c>
      <c r="D540" s="1039"/>
      <c r="E540" s="1040"/>
      <c r="F540" s="724"/>
    </row>
    <row r="541" spans="1:6" ht="15" customHeight="1" thickBot="1">
      <c r="A541" s="907">
        <v>42057</v>
      </c>
      <c r="B541" s="720">
        <v>42063</v>
      </c>
      <c r="C541" s="721">
        <v>2.8079999999999998</v>
      </c>
      <c r="D541" s="1039"/>
      <c r="E541" s="1040"/>
      <c r="F541" s="724"/>
    </row>
    <row r="542" spans="1:6" ht="15" customHeight="1" thickBot="1">
      <c r="A542" s="907">
        <v>42064</v>
      </c>
      <c r="B542" s="720">
        <v>42070</v>
      </c>
      <c r="C542" s="721">
        <v>2.8119999999999998</v>
      </c>
      <c r="D542" s="1039"/>
      <c r="E542" s="1040"/>
      <c r="F542" s="724"/>
    </row>
    <row r="543" spans="1:6" ht="15" customHeight="1" thickBot="1">
      <c r="A543" s="907">
        <v>42071</v>
      </c>
      <c r="B543" s="720">
        <v>42077</v>
      </c>
      <c r="C543" s="721">
        <v>2.81</v>
      </c>
      <c r="D543" s="1039"/>
      <c r="E543" s="1040"/>
      <c r="F543" s="724"/>
    </row>
    <row r="544" spans="1:6" ht="15" customHeight="1" thickBot="1">
      <c r="A544" s="907">
        <v>42078</v>
      </c>
      <c r="B544" s="720">
        <v>42084</v>
      </c>
      <c r="C544" s="721">
        <v>2.8119999999999998</v>
      </c>
      <c r="D544" s="1039"/>
      <c r="E544" s="1040"/>
      <c r="F544" s="724"/>
    </row>
    <row r="545" spans="1:6" ht="15" customHeight="1" thickBot="1">
      <c r="A545" s="907">
        <v>42085</v>
      </c>
      <c r="B545" s="720">
        <v>42091</v>
      </c>
      <c r="C545" s="721">
        <v>2.81</v>
      </c>
      <c r="D545" s="1039"/>
      <c r="E545" s="1040"/>
      <c r="F545" s="724"/>
    </row>
    <row r="546" spans="1:6" ht="15" customHeight="1" thickBot="1">
      <c r="A546" s="907">
        <v>42092</v>
      </c>
      <c r="B546" s="720">
        <v>42098</v>
      </c>
      <c r="C546" s="721">
        <v>2.8109999999999999</v>
      </c>
      <c r="D546" s="1039"/>
      <c r="E546" s="1040"/>
      <c r="F546" s="724"/>
    </row>
    <row r="547" spans="1:6" ht="15" customHeight="1" thickBot="1">
      <c r="A547" s="907">
        <v>42099</v>
      </c>
      <c r="B547" s="720">
        <v>42105</v>
      </c>
      <c r="C547" s="721">
        <v>2.8090000000000002</v>
      </c>
      <c r="D547" s="1039"/>
      <c r="E547" s="1040"/>
      <c r="F547" s="724"/>
    </row>
    <row r="548" spans="1:6" ht="15" customHeight="1" thickBot="1">
      <c r="A548" s="907">
        <v>42106</v>
      </c>
      <c r="B548" s="720">
        <v>42112</v>
      </c>
      <c r="C548" s="721">
        <v>2.8090000000000002</v>
      </c>
      <c r="D548" s="1039"/>
      <c r="E548" s="1040"/>
      <c r="F548" s="724"/>
    </row>
    <row r="549" spans="1:6" ht="15" customHeight="1" thickBot="1">
      <c r="A549" s="907">
        <v>42113</v>
      </c>
      <c r="B549" s="720">
        <v>42119</v>
      </c>
      <c r="C549" s="721">
        <v>2.8090000000000002</v>
      </c>
      <c r="D549" s="1039"/>
      <c r="E549" s="1040"/>
      <c r="F549" s="724"/>
    </row>
    <row r="550" spans="1:6" ht="15" customHeight="1" thickBot="1">
      <c r="A550" s="907">
        <v>42120</v>
      </c>
      <c r="B550" s="720">
        <v>42126</v>
      </c>
      <c r="C550" s="721">
        <v>2.8079999999999998</v>
      </c>
      <c r="D550" s="1039"/>
      <c r="E550" s="1040"/>
      <c r="F550" s="724"/>
    </row>
    <row r="551" spans="1:6" ht="15" customHeight="1" thickBot="1">
      <c r="A551" s="907">
        <v>42127</v>
      </c>
      <c r="B551" s="720">
        <v>42133</v>
      </c>
      <c r="C551" s="721">
        <v>2.8090000000000002</v>
      </c>
      <c r="D551" s="1039"/>
      <c r="E551" s="1040"/>
      <c r="F551" s="724"/>
    </row>
    <row r="552" spans="1:6" ht="15" customHeight="1" thickBot="1">
      <c r="A552" s="907">
        <v>42134</v>
      </c>
      <c r="B552" s="720">
        <v>42140</v>
      </c>
      <c r="C552" s="721">
        <v>2.8069999999999999</v>
      </c>
      <c r="D552" s="1039"/>
      <c r="E552" s="1040"/>
      <c r="F552" s="724"/>
    </row>
    <row r="553" spans="1:6" ht="15" customHeight="1" thickBot="1">
      <c r="A553" s="907">
        <v>42141</v>
      </c>
      <c r="B553" s="720">
        <v>42147</v>
      </c>
      <c r="C553" s="721">
        <v>2.8079999999999998</v>
      </c>
      <c r="D553" s="1039"/>
      <c r="E553" s="1040"/>
      <c r="F553" s="724"/>
    </row>
    <row r="554" spans="1:6" ht="15" customHeight="1" thickBot="1">
      <c r="A554" s="907">
        <v>42148</v>
      </c>
      <c r="B554" s="720">
        <v>42154</v>
      </c>
      <c r="C554" s="721">
        <v>2.8069999999999999</v>
      </c>
      <c r="D554" s="1039"/>
      <c r="E554" s="1040"/>
      <c r="F554" s="724"/>
    </row>
    <row r="555" spans="1:6" ht="15" customHeight="1" thickBot="1">
      <c r="A555" s="907">
        <v>42155</v>
      </c>
      <c r="B555" s="720">
        <v>42161</v>
      </c>
      <c r="C555" s="721">
        <v>2.8079999999999998</v>
      </c>
      <c r="D555" s="1039"/>
      <c r="E555" s="1040"/>
      <c r="F555" s="724"/>
    </row>
    <row r="556" spans="1:6" ht="15" customHeight="1" thickBot="1">
      <c r="A556" s="907">
        <v>42162</v>
      </c>
      <c r="B556" s="720">
        <v>42168</v>
      </c>
      <c r="C556" s="721">
        <v>2.8069999999999999</v>
      </c>
      <c r="D556" s="1039"/>
      <c r="E556" s="1040"/>
      <c r="F556" s="724"/>
    </row>
    <row r="557" spans="1:6" ht="15" customHeight="1" thickBot="1">
      <c r="A557" s="907">
        <v>42169</v>
      </c>
      <c r="B557" s="720">
        <v>42175</v>
      </c>
      <c r="C557" s="721">
        <v>2.8079999999999998</v>
      </c>
      <c r="D557" s="1039"/>
      <c r="E557" s="1040"/>
      <c r="F557" s="724"/>
    </row>
    <row r="558" spans="1:6" ht="15" customHeight="1" thickBot="1">
      <c r="A558" s="907">
        <v>42176</v>
      </c>
      <c r="B558" s="720">
        <v>42182</v>
      </c>
      <c r="C558" s="721">
        <v>2.8069999999999999</v>
      </c>
      <c r="D558" s="1039"/>
      <c r="E558" s="1040"/>
      <c r="F558" s="724"/>
    </row>
    <row r="559" spans="1:6" ht="15" customHeight="1" thickBot="1">
      <c r="A559" s="907">
        <v>42183</v>
      </c>
      <c r="B559" s="720">
        <v>42189</v>
      </c>
      <c r="C559" s="721">
        <v>2.8079999999999998</v>
      </c>
      <c r="D559" s="1039"/>
      <c r="E559" s="1040"/>
      <c r="F559" s="724"/>
    </row>
    <row r="560" spans="1:6" ht="15" customHeight="1" thickBot="1">
      <c r="A560" s="907">
        <v>42190</v>
      </c>
      <c r="B560" s="720">
        <v>42196</v>
      </c>
      <c r="C560" s="721">
        <v>2.8069999999999999</v>
      </c>
      <c r="D560" s="1039"/>
      <c r="E560" s="1040"/>
      <c r="F560" s="724"/>
    </row>
    <row r="561" spans="1:6" ht="15" customHeight="1" thickBot="1">
      <c r="A561" s="907">
        <v>42197</v>
      </c>
      <c r="B561" s="720">
        <v>42203</v>
      </c>
      <c r="C561" s="721">
        <v>2.806</v>
      </c>
      <c r="D561" s="1039"/>
      <c r="E561" s="1040"/>
      <c r="F561" s="724"/>
    </row>
    <row r="562" spans="1:6" ht="15" customHeight="1" thickBot="1">
      <c r="A562" s="907">
        <v>42204</v>
      </c>
      <c r="B562" s="720">
        <v>42210</v>
      </c>
      <c r="C562" s="721">
        <v>2.8039999999999998</v>
      </c>
      <c r="D562" s="1039"/>
      <c r="E562" s="1040"/>
      <c r="F562" s="724"/>
    </row>
    <row r="563" spans="1:6" ht="15" customHeight="1" thickBot="1">
      <c r="A563" s="907">
        <v>42211</v>
      </c>
      <c r="B563" s="720">
        <v>42217</v>
      </c>
      <c r="C563" s="721">
        <v>2.8050000000000002</v>
      </c>
      <c r="D563" s="1039"/>
      <c r="E563" s="1040"/>
      <c r="F563" s="724"/>
    </row>
    <row r="564" spans="1:6" ht="15" customHeight="1" thickBot="1">
      <c r="A564" s="907">
        <v>42218</v>
      </c>
      <c r="B564" s="720">
        <v>42224</v>
      </c>
      <c r="C564" s="721">
        <v>2.8050000000000002</v>
      </c>
      <c r="D564" s="1039"/>
      <c r="E564" s="1040"/>
      <c r="F564" s="724"/>
    </row>
    <row r="565" spans="1:6" ht="15" customHeight="1" thickBot="1">
      <c r="A565" s="907">
        <v>42225</v>
      </c>
      <c r="B565" s="720">
        <v>42231</v>
      </c>
      <c r="C565" s="721">
        <v>2.806</v>
      </c>
      <c r="D565" s="1039"/>
      <c r="E565" s="1040"/>
      <c r="F565" s="724"/>
    </row>
    <row r="566" spans="1:6" ht="15" customHeight="1" thickBot="1">
      <c r="A566" s="907">
        <v>42239</v>
      </c>
      <c r="B566" s="720">
        <v>42245</v>
      </c>
      <c r="C566" s="721">
        <v>2.7989999999999999</v>
      </c>
      <c r="D566" s="1039"/>
      <c r="E566" s="1040"/>
      <c r="F566" s="724"/>
    </row>
    <row r="567" spans="1:6" ht="15" customHeight="1" thickBot="1">
      <c r="A567" s="907">
        <v>42246</v>
      </c>
      <c r="B567" s="720">
        <v>42252</v>
      </c>
      <c r="C567" s="721">
        <v>2.8029999999999999</v>
      </c>
      <c r="D567" s="1039"/>
      <c r="E567" s="1040"/>
      <c r="F567" s="724"/>
    </row>
    <row r="568" spans="1:6" ht="15" customHeight="1" thickBot="1">
      <c r="A568" s="907">
        <v>42253</v>
      </c>
      <c r="B568" s="720">
        <v>42259</v>
      </c>
      <c r="C568" s="721">
        <v>2.7970000000000002</v>
      </c>
      <c r="D568" s="1039"/>
      <c r="E568" s="1040"/>
      <c r="F568" s="724"/>
    </row>
    <row r="569" spans="1:6" ht="15" customHeight="1" thickBot="1">
      <c r="A569" s="907">
        <v>42260</v>
      </c>
      <c r="B569" s="720">
        <v>42266</v>
      </c>
      <c r="C569" s="721">
        <v>2.8029999999999999</v>
      </c>
      <c r="D569" s="1039"/>
      <c r="E569" s="1040"/>
      <c r="F569" s="724"/>
    </row>
    <row r="570" spans="1:6" ht="15" customHeight="1" thickBot="1">
      <c r="A570" s="907">
        <v>42267</v>
      </c>
      <c r="B570" s="720">
        <v>42273</v>
      </c>
      <c r="C570" s="721">
        <v>2.8130000000000002</v>
      </c>
      <c r="D570" s="1039"/>
      <c r="E570" s="1040"/>
      <c r="F570" s="724"/>
    </row>
    <row r="571" spans="1:6" ht="15" customHeight="1" thickBot="1">
      <c r="A571" s="907">
        <v>42274</v>
      </c>
      <c r="B571" s="720">
        <v>42280</v>
      </c>
      <c r="C571" s="721">
        <v>2.8119999999999998</v>
      </c>
      <c r="D571" s="1444" t="s">
        <v>660</v>
      </c>
      <c r="E571" s="1445"/>
      <c r="F571" s="724"/>
    </row>
    <row r="572" spans="1:6" ht="15" customHeight="1" thickBot="1">
      <c r="A572" s="907">
        <v>42281</v>
      </c>
      <c r="B572" s="720">
        <v>42287</v>
      </c>
      <c r="C572" s="721">
        <v>2.919</v>
      </c>
      <c r="D572" s="1039"/>
      <c r="E572" s="1040"/>
      <c r="F572" s="724"/>
    </row>
    <row r="573" spans="1:6" ht="15" customHeight="1" thickBot="1">
      <c r="A573" s="907">
        <v>42288</v>
      </c>
      <c r="B573" s="720">
        <v>42294</v>
      </c>
      <c r="C573" s="721">
        <v>2.9239999999999999</v>
      </c>
      <c r="D573" s="1039"/>
      <c r="E573" s="1040"/>
      <c r="F573" s="724"/>
    </row>
    <row r="574" spans="1:6" ht="15" customHeight="1" thickBot="1">
      <c r="A574" s="907">
        <v>42295</v>
      </c>
      <c r="B574" s="720">
        <v>42301</v>
      </c>
      <c r="C574" s="721">
        <v>2.9260000000000002</v>
      </c>
      <c r="D574" s="1039"/>
      <c r="E574" s="1040"/>
      <c r="F574" s="724"/>
    </row>
    <row r="575" spans="1:6" ht="15" customHeight="1" thickBot="1">
      <c r="A575" s="907">
        <v>42302</v>
      </c>
      <c r="B575" s="720">
        <v>42308</v>
      </c>
      <c r="C575" s="721">
        <v>2.93</v>
      </c>
      <c r="D575" s="1039"/>
      <c r="E575" s="1040"/>
      <c r="F575" s="724"/>
    </row>
    <row r="576" spans="1:6" ht="15" customHeight="1" thickBot="1">
      <c r="A576" s="907">
        <v>42309</v>
      </c>
      <c r="B576" s="720">
        <v>42315</v>
      </c>
      <c r="C576" s="721">
        <v>2.9409999999999998</v>
      </c>
      <c r="D576" s="1039"/>
      <c r="E576" s="1040"/>
      <c r="F576" s="724"/>
    </row>
    <row r="577" spans="1:6" ht="15" customHeight="1" thickBot="1">
      <c r="A577" s="907">
        <v>42316</v>
      </c>
      <c r="B577" s="720">
        <v>42322</v>
      </c>
      <c r="C577" s="721">
        <v>2.96</v>
      </c>
      <c r="D577" s="1039"/>
      <c r="E577" s="1040"/>
      <c r="F577" s="724"/>
    </row>
    <row r="578" spans="1:6" ht="15" customHeight="1" thickBot="1">
      <c r="A578" s="907">
        <v>42323</v>
      </c>
      <c r="B578" s="720">
        <v>42329</v>
      </c>
      <c r="C578" s="721">
        <v>2.972</v>
      </c>
      <c r="D578" s="1039"/>
      <c r="E578" s="1040"/>
      <c r="F578" s="724"/>
    </row>
    <row r="579" spans="1:6" ht="15" customHeight="1" thickBot="1">
      <c r="A579" s="907">
        <v>42330</v>
      </c>
      <c r="B579" s="720">
        <v>42336</v>
      </c>
      <c r="C579" s="721">
        <v>2.9769999999999999</v>
      </c>
      <c r="D579" s="1039"/>
      <c r="E579" s="1040"/>
      <c r="F579" s="724"/>
    </row>
    <row r="580" spans="1:6" ht="15" customHeight="1" thickBot="1">
      <c r="A580" s="907">
        <v>42337</v>
      </c>
      <c r="B580" s="720">
        <v>42343</v>
      </c>
      <c r="C580" s="721">
        <v>2.9830000000000001</v>
      </c>
      <c r="D580" s="1039"/>
      <c r="E580" s="1040"/>
      <c r="F580" s="724"/>
    </row>
    <row r="581" spans="1:6" ht="15" customHeight="1" thickBot="1">
      <c r="A581" s="907">
        <v>42344</v>
      </c>
      <c r="B581" s="720">
        <v>42350</v>
      </c>
      <c r="C581" s="721">
        <v>2.9820000000000002</v>
      </c>
      <c r="D581" s="1039"/>
      <c r="E581" s="1040"/>
      <c r="F581" s="724"/>
    </row>
    <row r="582" spans="1:6" ht="15" customHeight="1" thickBot="1">
      <c r="A582" s="907">
        <v>42351</v>
      </c>
      <c r="B582" s="720">
        <v>42357</v>
      </c>
      <c r="C582" s="721">
        <v>2.9830000000000001</v>
      </c>
      <c r="D582" s="1039"/>
      <c r="E582" s="1040"/>
      <c r="F582" s="724"/>
    </row>
    <row r="583" spans="1:6" ht="15" customHeight="1" thickBot="1">
      <c r="A583" s="907">
        <v>42358</v>
      </c>
      <c r="B583" s="720">
        <v>42364</v>
      </c>
      <c r="C583" s="721">
        <v>2.9860000000000002</v>
      </c>
      <c r="D583" s="1039"/>
      <c r="E583" s="1040"/>
      <c r="F583" s="724"/>
    </row>
    <row r="584" spans="1:6" ht="15" customHeight="1" thickBot="1">
      <c r="A584" s="907">
        <v>42372</v>
      </c>
      <c r="B584" s="720">
        <v>42378</v>
      </c>
      <c r="C584" s="721">
        <v>2.9940000000000002</v>
      </c>
      <c r="D584" s="1039"/>
      <c r="E584" s="1040"/>
      <c r="F584" s="724"/>
    </row>
    <row r="585" spans="1:6" ht="15" customHeight="1" thickBot="1">
      <c r="A585" s="907">
        <v>42379</v>
      </c>
      <c r="B585" s="720">
        <v>42385</v>
      </c>
      <c r="C585" s="721">
        <v>2.9990000000000001</v>
      </c>
      <c r="D585" s="1039"/>
      <c r="E585" s="1040"/>
      <c r="F585" s="724"/>
    </row>
    <row r="586" spans="1:6" ht="15" customHeight="1" thickBot="1">
      <c r="A586" s="907">
        <v>42386</v>
      </c>
      <c r="B586" s="720">
        <v>42392</v>
      </c>
      <c r="C586" s="721">
        <v>3.0070000000000001</v>
      </c>
      <c r="D586" s="1039"/>
      <c r="E586" s="1040"/>
      <c r="F586" s="724"/>
    </row>
    <row r="587" spans="1:6" ht="15" customHeight="1" thickBot="1">
      <c r="A587" s="907">
        <v>42393</v>
      </c>
      <c r="B587" s="720">
        <v>42399</v>
      </c>
      <c r="C587" s="721">
        <v>3.01</v>
      </c>
      <c r="D587" s="1039"/>
      <c r="E587" s="1040"/>
      <c r="F587" s="724"/>
    </row>
    <row r="588" spans="1:6" ht="15" customHeight="1" thickBot="1">
      <c r="A588" s="907">
        <v>42400</v>
      </c>
      <c r="B588" s="720">
        <v>42406</v>
      </c>
      <c r="C588" s="721">
        <v>3.0150000000000001</v>
      </c>
      <c r="D588" s="1039"/>
      <c r="E588" s="1040"/>
      <c r="F588" s="724"/>
    </row>
    <row r="589" spans="1:6" ht="15" customHeight="1" thickBot="1">
      <c r="A589" s="907">
        <v>42407</v>
      </c>
      <c r="B589" s="720">
        <v>42413</v>
      </c>
      <c r="C589" s="721">
        <v>3.0129999999999999</v>
      </c>
      <c r="D589" s="1039"/>
      <c r="E589" s="1040"/>
      <c r="F589" s="724"/>
    </row>
    <row r="590" spans="1:6" ht="15" customHeight="1" thickBot="1">
      <c r="A590" s="907">
        <v>42414</v>
      </c>
      <c r="B590" s="720">
        <v>42420</v>
      </c>
      <c r="C590" s="721">
        <v>3.0169999999999999</v>
      </c>
      <c r="D590" s="1039"/>
      <c r="E590" s="1040"/>
      <c r="F590" s="724"/>
    </row>
    <row r="591" spans="1:6" ht="15" customHeight="1" thickBot="1">
      <c r="A591" s="907">
        <v>42421</v>
      </c>
      <c r="B591" s="720">
        <v>42427</v>
      </c>
      <c r="C591" s="721">
        <v>3.02</v>
      </c>
      <c r="D591" s="1039"/>
      <c r="E591" s="1040"/>
      <c r="F591" s="724"/>
    </row>
    <row r="592" spans="1:6" ht="15" customHeight="1" thickBot="1">
      <c r="A592" s="907">
        <v>42428</v>
      </c>
      <c r="B592" s="720">
        <v>42434</v>
      </c>
      <c r="C592" s="721">
        <v>3.0179999999999998</v>
      </c>
      <c r="D592" s="1039"/>
      <c r="E592" s="1040"/>
      <c r="F592" s="724"/>
    </row>
    <row r="593" spans="1:6" ht="15" customHeight="1" thickBot="1">
      <c r="A593" s="907">
        <v>42435</v>
      </c>
      <c r="B593" s="720">
        <v>42441</v>
      </c>
      <c r="C593" s="721">
        <v>3.0190000000000001</v>
      </c>
      <c r="D593" s="1039"/>
      <c r="E593" s="1040"/>
      <c r="F593" s="724"/>
    </row>
    <row r="594" spans="1:6" ht="15" customHeight="1" thickBot="1">
      <c r="A594" s="907">
        <v>42442</v>
      </c>
      <c r="B594" s="720">
        <v>42448</v>
      </c>
      <c r="C594" s="721">
        <v>3.0190000000000001</v>
      </c>
      <c r="D594" s="1039"/>
      <c r="E594" s="1040"/>
      <c r="F594" s="724"/>
    </row>
    <row r="595" spans="1:6" ht="15" customHeight="1" thickBot="1">
      <c r="A595" s="913">
        <v>42449</v>
      </c>
      <c r="B595" s="914">
        <v>42455</v>
      </c>
      <c r="C595" s="915">
        <v>3.0209999999999999</v>
      </c>
      <c r="D595" s="982"/>
      <c r="E595" s="1069"/>
      <c r="F595" s="724"/>
    </row>
    <row r="596" spans="1:6" ht="15" customHeight="1" thickBot="1">
      <c r="A596" s="1086">
        <v>42456</v>
      </c>
      <c r="B596" s="1087">
        <v>42462</v>
      </c>
      <c r="C596" s="1088">
        <v>3.02</v>
      </c>
      <c r="D596" s="1089"/>
      <c r="E596" s="1090"/>
      <c r="F596" s="724"/>
    </row>
    <row r="597" spans="1:6" ht="15" customHeight="1" thickBot="1">
      <c r="A597" s="1086">
        <v>42463</v>
      </c>
      <c r="B597" s="1087">
        <v>42469</v>
      </c>
      <c r="C597" s="1088">
        <v>3.02</v>
      </c>
      <c r="D597" s="1089"/>
      <c r="E597" s="1090"/>
      <c r="F597" s="724"/>
    </row>
    <row r="598" spans="1:6" ht="15" customHeight="1" thickBot="1">
      <c r="A598" s="927">
        <v>42470</v>
      </c>
      <c r="B598" s="928">
        <v>42476</v>
      </c>
      <c r="C598" s="933">
        <v>3.0209999999999999</v>
      </c>
      <c r="D598" s="983"/>
      <c r="E598" s="984"/>
      <c r="F598" s="724"/>
    </row>
    <row r="599" spans="1:6" ht="15" customHeight="1" thickBot="1">
      <c r="A599" s="907">
        <v>42477</v>
      </c>
      <c r="B599" s="720">
        <v>42483</v>
      </c>
      <c r="C599" s="721">
        <v>3.0230000000000001</v>
      </c>
      <c r="D599" s="1039"/>
      <c r="E599" s="1040"/>
      <c r="F599" s="724"/>
    </row>
    <row r="600" spans="1:6" ht="15" customHeight="1" thickBot="1">
      <c r="A600" s="907">
        <v>42484</v>
      </c>
      <c r="B600" s="720">
        <v>42490</v>
      </c>
      <c r="C600" s="721">
        <v>3.0209999999999999</v>
      </c>
      <c r="D600" s="1039"/>
      <c r="E600" s="1040"/>
      <c r="F600" s="724"/>
    </row>
    <row r="601" spans="1:6" ht="15" customHeight="1" thickBot="1">
      <c r="A601" s="907">
        <v>42491</v>
      </c>
      <c r="B601" s="720">
        <v>42497</v>
      </c>
      <c r="C601" s="721">
        <v>3.0169999999999999</v>
      </c>
      <c r="D601" s="1039"/>
      <c r="E601" s="1040"/>
      <c r="F601" s="724"/>
    </row>
    <row r="602" spans="1:6" ht="15" customHeight="1" thickBot="1">
      <c r="A602" s="907">
        <v>42498</v>
      </c>
      <c r="B602" s="720">
        <v>42504</v>
      </c>
      <c r="C602" s="721">
        <v>3.0209999999999999</v>
      </c>
      <c r="D602" s="1039"/>
      <c r="E602" s="1040"/>
      <c r="F602" s="724"/>
    </row>
    <row r="603" spans="1:6" ht="15" customHeight="1" thickBot="1">
      <c r="A603" s="907">
        <v>42505</v>
      </c>
      <c r="B603" s="720">
        <v>42511</v>
      </c>
      <c r="C603" s="721">
        <v>3.0190000000000001</v>
      </c>
      <c r="D603" s="1039"/>
      <c r="E603" s="1040"/>
      <c r="F603" s="724"/>
    </row>
    <row r="604" spans="1:6" ht="15" customHeight="1" thickBot="1">
      <c r="A604" s="907">
        <v>42512</v>
      </c>
      <c r="B604" s="720">
        <v>42518</v>
      </c>
      <c r="C604" s="721">
        <v>3.0150000000000001</v>
      </c>
      <c r="D604" s="1039"/>
      <c r="E604" s="1040"/>
      <c r="F604" s="724"/>
    </row>
    <row r="605" spans="1:6" ht="15" customHeight="1" thickBot="1">
      <c r="A605" s="907">
        <v>42519</v>
      </c>
      <c r="B605" s="720">
        <v>42525</v>
      </c>
      <c r="C605" s="721">
        <v>3.0129999999999999</v>
      </c>
      <c r="D605" s="1039"/>
      <c r="E605" s="1040"/>
      <c r="F605" s="724"/>
    </row>
    <row r="606" spans="1:6" ht="15" customHeight="1" thickBot="1">
      <c r="A606" s="907">
        <v>42526</v>
      </c>
      <c r="B606" s="720">
        <v>42532</v>
      </c>
      <c r="C606" s="721">
        <v>3.016</v>
      </c>
      <c r="D606" s="1039"/>
      <c r="E606" s="1040"/>
      <c r="F606" s="724"/>
    </row>
    <row r="607" spans="1:6" ht="15" customHeight="1" thickBot="1">
      <c r="A607" s="913">
        <v>42533</v>
      </c>
      <c r="B607" s="914">
        <v>42539</v>
      </c>
      <c r="C607" s="915">
        <v>3.016</v>
      </c>
      <c r="D607" s="982"/>
      <c r="E607" s="1069"/>
      <c r="F607" s="724"/>
    </row>
    <row r="608" spans="1:6" ht="15" customHeight="1" thickBot="1">
      <c r="A608" s="913">
        <v>42540</v>
      </c>
      <c r="B608" s="914">
        <v>42546</v>
      </c>
      <c r="C608" s="915">
        <v>3.0129999999999999</v>
      </c>
      <c r="D608" s="982"/>
      <c r="E608" s="1069"/>
      <c r="F608" s="724"/>
    </row>
    <row r="609" spans="1:6" ht="15" customHeight="1" thickBot="1">
      <c r="A609" s="907">
        <v>42547</v>
      </c>
      <c r="B609" s="720">
        <v>42553</v>
      </c>
      <c r="C609" s="721">
        <v>3.0110000000000001</v>
      </c>
      <c r="D609" s="1039"/>
      <c r="E609" s="1040"/>
      <c r="F609" s="724"/>
    </row>
    <row r="610" spans="1:6" ht="15" customHeight="1" thickBot="1">
      <c r="A610" s="907">
        <v>42554</v>
      </c>
      <c r="B610" s="720">
        <v>42560</v>
      </c>
      <c r="C610" s="721">
        <v>3.0139999999999998</v>
      </c>
      <c r="D610" s="1039"/>
      <c r="E610" s="1040"/>
      <c r="F610" s="724"/>
    </row>
    <row r="611" spans="1:6" ht="15" customHeight="1" thickBot="1">
      <c r="A611" s="913">
        <v>42561</v>
      </c>
      <c r="B611" s="914">
        <v>42567</v>
      </c>
      <c r="C611" s="915">
        <v>3.0139999999999998</v>
      </c>
      <c r="D611" s="982"/>
      <c r="E611" s="1069"/>
      <c r="F611" s="724"/>
    </row>
    <row r="612" spans="1:6" ht="15" customHeight="1" thickBot="1">
      <c r="A612" s="913">
        <v>42568</v>
      </c>
      <c r="B612" s="914">
        <v>42574</v>
      </c>
      <c r="C612" s="915">
        <v>3.0089999999999999</v>
      </c>
      <c r="D612" s="982"/>
      <c r="E612" s="1069"/>
      <c r="F612" s="724"/>
    </row>
    <row r="613" spans="1:6" ht="15" customHeight="1" thickBot="1">
      <c r="A613" s="907">
        <v>42575</v>
      </c>
      <c r="B613" s="720">
        <v>42581</v>
      </c>
      <c r="C613" s="721">
        <v>3.01</v>
      </c>
      <c r="D613" s="1039"/>
      <c r="E613" s="1040"/>
      <c r="F613" s="724"/>
    </row>
    <row r="614" spans="1:6" ht="15" customHeight="1" thickBot="1">
      <c r="A614" s="907">
        <v>42582</v>
      </c>
      <c r="B614" s="720">
        <v>42588</v>
      </c>
      <c r="C614" s="721">
        <v>3.0070000000000001</v>
      </c>
      <c r="D614" s="1039"/>
      <c r="E614" s="1040"/>
      <c r="F614" s="724"/>
    </row>
    <row r="615" spans="1:6" ht="15" customHeight="1" thickBot="1">
      <c r="A615" s="907">
        <v>42589</v>
      </c>
      <c r="B615" s="720">
        <v>42595</v>
      </c>
      <c r="C615" s="721">
        <v>3.0139999999999998</v>
      </c>
      <c r="D615" s="1039"/>
      <c r="E615" s="1040"/>
      <c r="F615" s="724"/>
    </row>
    <row r="616" spans="1:6" ht="15" customHeight="1" thickBot="1">
      <c r="A616" s="907">
        <v>42596</v>
      </c>
      <c r="B616" s="720">
        <v>42602</v>
      </c>
      <c r="C616" s="721">
        <v>3.012</v>
      </c>
      <c r="D616" s="1039"/>
      <c r="E616" s="1040"/>
      <c r="F616" s="724"/>
    </row>
    <row r="617" spans="1:6" ht="15" customHeight="1" thickBot="1">
      <c r="A617" s="907">
        <v>42603</v>
      </c>
      <c r="B617" s="720">
        <v>42609</v>
      </c>
      <c r="C617" s="721">
        <v>3.0070000000000001</v>
      </c>
      <c r="D617" s="1039"/>
      <c r="E617" s="1040"/>
      <c r="F617" s="724"/>
    </row>
    <row r="618" spans="1:6" ht="15" customHeight="1" thickBot="1">
      <c r="A618" s="907">
        <v>42610</v>
      </c>
      <c r="B618" s="720">
        <v>42616</v>
      </c>
      <c r="C618" s="721">
        <v>3.0049999999999999</v>
      </c>
      <c r="D618" s="1039"/>
      <c r="E618" s="1040"/>
      <c r="F618" s="724"/>
    </row>
    <row r="619" spans="1:6" ht="15" customHeight="1" thickBot="1">
      <c r="A619" s="907">
        <v>42617</v>
      </c>
      <c r="B619" s="720">
        <v>42623</v>
      </c>
      <c r="C619" s="721">
        <v>3.0169999999999999</v>
      </c>
      <c r="D619" s="1039"/>
      <c r="E619" s="1040"/>
      <c r="F619" s="724"/>
    </row>
    <row r="620" spans="1:6" ht="15" customHeight="1" thickBot="1">
      <c r="A620" s="907">
        <v>42624</v>
      </c>
      <c r="B620" s="720">
        <v>42630</v>
      </c>
      <c r="C620" s="721">
        <v>3.0049999999999999</v>
      </c>
      <c r="D620" s="1039"/>
      <c r="E620" s="1040"/>
      <c r="F620" s="724"/>
    </row>
    <row r="621" spans="1:6" ht="15" customHeight="1" thickBot="1">
      <c r="A621" s="907">
        <v>42631</v>
      </c>
      <c r="B621" s="720">
        <v>42637</v>
      </c>
      <c r="C621" s="721">
        <v>3.0059999999999998</v>
      </c>
      <c r="D621" s="1039"/>
      <c r="E621" s="1040"/>
      <c r="F621" s="724"/>
    </row>
    <row r="622" spans="1:6" ht="15" customHeight="1" thickBot="1">
      <c r="A622" s="913">
        <v>42638</v>
      </c>
      <c r="B622" s="914">
        <v>42644</v>
      </c>
      <c r="C622" s="915">
        <v>3.0059999999999998</v>
      </c>
      <c r="D622" s="982"/>
      <c r="E622" s="1069"/>
      <c r="F622" s="724"/>
    </row>
    <row r="623" spans="1:6" ht="15" customHeight="1" thickBot="1">
      <c r="A623" s="907">
        <v>42645</v>
      </c>
      <c r="B623" s="720">
        <v>42651</v>
      </c>
      <c r="C623" s="721">
        <v>3.0139999999999998</v>
      </c>
      <c r="D623" s="1039"/>
      <c r="E623" s="1040"/>
      <c r="F623" s="724"/>
    </row>
    <row r="624" spans="1:6" ht="15" customHeight="1" thickBot="1">
      <c r="A624" s="913">
        <v>42652</v>
      </c>
      <c r="B624" s="914">
        <v>42658</v>
      </c>
      <c r="C624" s="915">
        <v>3.0019999999999998</v>
      </c>
      <c r="D624" s="982"/>
      <c r="E624" s="1069"/>
      <c r="F624" s="724"/>
    </row>
    <row r="625" spans="1:6" ht="15" customHeight="1" thickBot="1">
      <c r="A625" s="913">
        <v>42659</v>
      </c>
      <c r="B625" s="914">
        <v>42665</v>
      </c>
      <c r="C625" s="915">
        <v>3.0049999999999999</v>
      </c>
      <c r="D625" s="1114"/>
      <c r="E625" s="1115"/>
      <c r="F625" s="724"/>
    </row>
    <row r="626" spans="1:6" ht="15" customHeight="1" thickBot="1">
      <c r="A626" s="907">
        <v>42666</v>
      </c>
      <c r="B626" s="720">
        <v>42672</v>
      </c>
      <c r="C626" s="721">
        <v>3.008</v>
      </c>
      <c r="D626" s="1118"/>
      <c r="E626" s="1119"/>
      <c r="F626" s="724"/>
    </row>
    <row r="627" spans="1:6" ht="15" customHeight="1" thickBot="1">
      <c r="A627" s="907">
        <v>42673</v>
      </c>
      <c r="B627" s="720">
        <v>42679</v>
      </c>
      <c r="C627" s="721">
        <v>3.0089999999999999</v>
      </c>
      <c r="D627" s="1118"/>
      <c r="E627" s="1119"/>
      <c r="F627" s="724"/>
    </row>
    <row r="628" spans="1:6" ht="15" customHeight="1" thickBot="1">
      <c r="A628" s="907">
        <v>42680</v>
      </c>
      <c r="B628" s="720">
        <v>42686</v>
      </c>
      <c r="C628" s="721">
        <v>3.0049999999999999</v>
      </c>
      <c r="D628" s="1118"/>
      <c r="E628" s="1119"/>
      <c r="F628" s="724"/>
    </row>
    <row r="629" spans="1:6" ht="15" customHeight="1" thickBot="1">
      <c r="A629" s="907">
        <v>42687</v>
      </c>
      <c r="B629" s="720">
        <v>42693</v>
      </c>
      <c r="C629" s="721">
        <v>2.9950000000000001</v>
      </c>
      <c r="D629" s="1118"/>
      <c r="E629" s="1119"/>
      <c r="F629" s="724"/>
    </row>
    <row r="630" spans="1:6" ht="15" customHeight="1" thickBot="1">
      <c r="A630" s="913">
        <v>42694</v>
      </c>
      <c r="B630" s="914">
        <v>42700</v>
      </c>
      <c r="C630" s="915">
        <v>2.984</v>
      </c>
      <c r="D630" s="1114"/>
      <c r="E630" s="1115"/>
      <c r="F630" s="724"/>
    </row>
    <row r="631" spans="1:6" ht="15" customHeight="1" thickBot="1">
      <c r="A631" s="907">
        <v>42701</v>
      </c>
      <c r="B631" s="720">
        <v>42707</v>
      </c>
      <c r="C631" s="721">
        <v>2.9790000000000001</v>
      </c>
      <c r="D631" s="1118"/>
      <c r="E631" s="1119"/>
      <c r="F631" s="724"/>
    </row>
    <row r="632" spans="1:6" ht="15" customHeight="1" thickBot="1">
      <c r="A632" s="907">
        <v>42708</v>
      </c>
      <c r="B632" s="720">
        <v>42714</v>
      </c>
      <c r="C632" s="721">
        <v>2.9830000000000001</v>
      </c>
      <c r="D632" s="1118"/>
      <c r="E632" s="1119"/>
      <c r="F632" s="724"/>
    </row>
    <row r="633" spans="1:6" ht="15" customHeight="1" thickBot="1">
      <c r="A633" s="907">
        <v>42715</v>
      </c>
      <c r="B633" s="720">
        <v>42721</v>
      </c>
      <c r="C633" s="721">
        <v>3.0249999999999999</v>
      </c>
      <c r="D633" s="1118"/>
      <c r="E633" s="1119"/>
      <c r="F633" s="724"/>
    </row>
    <row r="634" spans="1:6" ht="15" customHeight="1" thickBot="1">
      <c r="A634" s="907">
        <v>42722</v>
      </c>
      <c r="B634" s="720">
        <v>42728</v>
      </c>
      <c r="C634" s="721">
        <v>3.0379999999999998</v>
      </c>
      <c r="D634" s="1118"/>
      <c r="E634" s="1119"/>
      <c r="F634" s="724"/>
    </row>
    <row r="635" spans="1:6" ht="15" customHeight="1" thickBot="1">
      <c r="A635" s="913">
        <v>42729</v>
      </c>
      <c r="B635" s="914">
        <v>42735</v>
      </c>
      <c r="C635" s="915">
        <v>3.0510000000000002</v>
      </c>
      <c r="D635" s="1114"/>
      <c r="E635" s="1115"/>
      <c r="F635" s="724"/>
    </row>
    <row r="636" spans="1:6" ht="15" customHeight="1" thickBot="1">
      <c r="A636" s="907">
        <v>42736</v>
      </c>
      <c r="B636" s="720">
        <v>42742</v>
      </c>
      <c r="C636" s="721">
        <v>3.0459999999999998</v>
      </c>
      <c r="D636" s="1118"/>
      <c r="E636" s="1119"/>
      <c r="F636" s="724"/>
    </row>
    <row r="637" spans="1:6" ht="15" customHeight="1" thickBot="1">
      <c r="A637" s="907">
        <v>42743</v>
      </c>
      <c r="B637" s="720">
        <v>42749</v>
      </c>
      <c r="C637" s="721">
        <v>3.085</v>
      </c>
      <c r="D637" s="1118"/>
      <c r="E637" s="1119"/>
      <c r="F637" s="724"/>
    </row>
    <row r="638" spans="1:6" ht="15" customHeight="1" thickBot="1">
      <c r="A638" s="907">
        <v>42750</v>
      </c>
      <c r="B638" s="720">
        <v>42756</v>
      </c>
      <c r="C638" s="721">
        <v>3.1080000000000001</v>
      </c>
      <c r="D638" s="1118"/>
      <c r="E638" s="1119"/>
      <c r="F638" s="724"/>
    </row>
    <row r="639" spans="1:6" ht="15" customHeight="1" thickBot="1">
      <c r="A639" s="913">
        <v>42757</v>
      </c>
      <c r="B639" s="914">
        <v>42763</v>
      </c>
      <c r="C639" s="915">
        <v>3.121</v>
      </c>
      <c r="D639" s="1114"/>
      <c r="E639" s="1115"/>
      <c r="F639" s="724"/>
    </row>
    <row r="640" spans="1:6" ht="15" customHeight="1" thickBot="1">
      <c r="A640" s="907">
        <v>42764</v>
      </c>
      <c r="B640" s="720">
        <v>42770</v>
      </c>
      <c r="C640" s="721">
        <v>3.1120000000000001</v>
      </c>
      <c r="D640" s="1118"/>
      <c r="E640" s="1119"/>
      <c r="F640" s="724"/>
    </row>
    <row r="641" spans="1:6" ht="15" customHeight="1" thickBot="1">
      <c r="A641" s="907">
        <v>42771</v>
      </c>
      <c r="B641" s="720">
        <v>42777</v>
      </c>
      <c r="C641" s="721">
        <v>3.101</v>
      </c>
      <c r="D641" s="1118"/>
      <c r="E641" s="1119"/>
      <c r="F641" s="724"/>
    </row>
    <row r="642" spans="1:6" ht="15" customHeight="1" thickBot="1">
      <c r="A642" s="907">
        <v>42778</v>
      </c>
      <c r="B642" s="720">
        <v>42784</v>
      </c>
      <c r="C642" s="721">
        <v>3.0939999999999999</v>
      </c>
      <c r="D642" s="1118"/>
      <c r="E642" s="1119"/>
      <c r="F642" s="724"/>
    </row>
    <row r="643" spans="1:6" ht="15" customHeight="1" thickBot="1">
      <c r="A643" s="913">
        <v>42785</v>
      </c>
      <c r="B643" s="914">
        <v>42791</v>
      </c>
      <c r="C643" s="915">
        <v>3.097</v>
      </c>
      <c r="D643" s="1114"/>
      <c r="E643" s="1115"/>
      <c r="F643" s="724"/>
    </row>
    <row r="644" spans="1:6" ht="15" customHeight="1" thickBot="1">
      <c r="A644" s="907">
        <v>42792</v>
      </c>
      <c r="B644" s="720">
        <v>42798</v>
      </c>
      <c r="C644" s="721">
        <v>3.0819999999999999</v>
      </c>
      <c r="D644" s="1118"/>
      <c r="E644" s="1119"/>
      <c r="F644" s="724"/>
    </row>
    <row r="645" spans="1:6" ht="15" customHeight="1" thickBot="1">
      <c r="A645" s="913">
        <v>42799</v>
      </c>
      <c r="B645" s="914">
        <v>42805</v>
      </c>
      <c r="C645" s="915">
        <v>3.0609999999999999</v>
      </c>
      <c r="D645" s="1114"/>
      <c r="E645" s="1115"/>
      <c r="F645" s="724"/>
    </row>
    <row r="646" spans="1:6" ht="15" customHeight="1" thickBot="1">
      <c r="A646" s="1086">
        <v>42806</v>
      </c>
      <c r="B646" s="1087">
        <v>42812</v>
      </c>
      <c r="C646" s="1088">
        <v>3.0470000000000002</v>
      </c>
      <c r="D646" s="1131"/>
      <c r="E646" s="1132"/>
      <c r="F646" s="724"/>
    </row>
    <row r="647" spans="1:6" ht="15" customHeight="1" thickBot="1">
      <c r="A647" s="1086">
        <v>42813</v>
      </c>
      <c r="B647" s="1087">
        <v>42819</v>
      </c>
      <c r="C647" s="1088">
        <v>3.0419999999999998</v>
      </c>
      <c r="D647" s="1131"/>
      <c r="E647" s="1132"/>
      <c r="F647" s="724"/>
    </row>
    <row r="648" spans="1:6" ht="15" customHeight="1" thickBot="1">
      <c r="A648" s="1086">
        <v>42820</v>
      </c>
      <c r="B648" s="1087">
        <v>42826</v>
      </c>
      <c r="C648" s="1088">
        <v>3.028</v>
      </c>
      <c r="D648" s="1131"/>
      <c r="E648" s="1132"/>
      <c r="F648" s="724"/>
    </row>
    <row r="649" spans="1:6" ht="15" customHeight="1" thickBot="1">
      <c r="A649" s="1086">
        <v>42827</v>
      </c>
      <c r="B649" s="1087">
        <v>42833</v>
      </c>
      <c r="C649" s="1088">
        <v>3.0179999999999998</v>
      </c>
      <c r="D649" s="1131"/>
      <c r="E649" s="1132"/>
      <c r="F649" s="724"/>
    </row>
    <row r="650" spans="1:6" ht="15" customHeight="1" thickBot="1">
      <c r="A650" s="927">
        <v>42834</v>
      </c>
      <c r="B650" s="928">
        <v>42840</v>
      </c>
      <c r="C650" s="933">
        <v>3.0179999999999998</v>
      </c>
      <c r="D650" s="1135"/>
      <c r="E650" s="1136"/>
      <c r="F650" s="724"/>
    </row>
    <row r="651" spans="1:6" ht="15" customHeight="1" thickBot="1">
      <c r="A651" s="907">
        <v>42841</v>
      </c>
      <c r="B651" s="720">
        <v>42847</v>
      </c>
      <c r="C651" s="721">
        <v>3.0150000000000001</v>
      </c>
      <c r="D651" s="1118"/>
      <c r="E651" s="1119"/>
      <c r="F651" s="724"/>
    </row>
    <row r="652" spans="1:6" ht="15" customHeight="1" thickBot="1">
      <c r="A652" s="907">
        <v>42848</v>
      </c>
      <c r="B652" s="720">
        <v>42854</v>
      </c>
      <c r="C652" s="721">
        <v>3.012</v>
      </c>
      <c r="D652" s="1118"/>
      <c r="E652" s="1119"/>
      <c r="F652" s="724"/>
    </row>
    <row r="653" spans="1:6" ht="15" customHeight="1" thickBot="1">
      <c r="A653" s="907">
        <v>42855</v>
      </c>
      <c r="B653" s="720">
        <v>42861</v>
      </c>
      <c r="C653" s="721">
        <v>3.0150000000000001</v>
      </c>
      <c r="D653" s="1118"/>
      <c r="E653" s="1119"/>
      <c r="F653" s="724"/>
    </row>
    <row r="654" spans="1:6" ht="15" customHeight="1" thickBot="1">
      <c r="A654" s="907">
        <v>42862</v>
      </c>
      <c r="B654" s="720">
        <v>42868</v>
      </c>
      <c r="C654" s="721">
        <v>3.0259999999999998</v>
      </c>
      <c r="D654" s="1118"/>
      <c r="E654" s="1119"/>
      <c r="F654" s="724"/>
    </row>
    <row r="655" spans="1:6" ht="15" customHeight="1" thickBot="1">
      <c r="A655" s="907">
        <v>42869</v>
      </c>
      <c r="B655" s="720">
        <v>42875</v>
      </c>
      <c r="C655" s="721">
        <v>3.02</v>
      </c>
      <c r="D655" s="1118"/>
      <c r="E655" s="1119"/>
      <c r="F655" s="724"/>
    </row>
    <row r="656" spans="1:6" ht="15" customHeight="1" thickBot="1">
      <c r="A656" s="913">
        <v>42876</v>
      </c>
      <c r="B656" s="914">
        <v>42882</v>
      </c>
      <c r="C656" s="915">
        <v>3.0190000000000001</v>
      </c>
      <c r="D656" s="1114"/>
      <c r="E656" s="1115"/>
      <c r="F656" s="724"/>
    </row>
    <row r="657" spans="1:6" ht="15" customHeight="1" thickBot="1">
      <c r="A657" s="907">
        <v>42883</v>
      </c>
      <c r="B657" s="720">
        <v>42889</v>
      </c>
      <c r="C657" s="721">
        <v>3.0059999999999998</v>
      </c>
      <c r="D657" s="1118"/>
      <c r="E657" s="1119"/>
      <c r="F657" s="724"/>
    </row>
    <row r="658" spans="1:6" ht="15" customHeight="1" thickBot="1">
      <c r="A658" s="907">
        <v>42890</v>
      </c>
      <c r="B658" s="720">
        <v>42896</v>
      </c>
      <c r="C658" s="721">
        <v>3.0110000000000001</v>
      </c>
      <c r="D658" s="1118"/>
      <c r="E658" s="1119"/>
      <c r="F658" s="724"/>
    </row>
    <row r="659" spans="1:6" ht="15" customHeight="1" thickBot="1">
      <c r="A659" s="907">
        <v>42897</v>
      </c>
      <c r="B659" s="720">
        <v>42903</v>
      </c>
      <c r="C659" s="721">
        <v>2.9969999999999999</v>
      </c>
      <c r="D659" s="1118"/>
      <c r="E659" s="1119"/>
      <c r="F659" s="724"/>
    </row>
    <row r="660" spans="1:6" ht="15" customHeight="1" thickBot="1">
      <c r="A660" s="907">
        <v>42904</v>
      </c>
      <c r="B660" s="720">
        <v>42910</v>
      </c>
      <c r="C660" s="721">
        <v>2.9809999999999999</v>
      </c>
      <c r="D660" s="1118"/>
      <c r="E660" s="1119"/>
      <c r="F660" s="724"/>
    </row>
    <row r="661" spans="1:6" ht="15" customHeight="1" thickBot="1">
      <c r="A661" s="913">
        <v>42911</v>
      </c>
      <c r="B661" s="914">
        <v>42917</v>
      </c>
      <c r="C661" s="915">
        <v>2.9580000000000002</v>
      </c>
      <c r="D661" s="1114"/>
      <c r="E661" s="1115"/>
      <c r="F661" s="724"/>
    </row>
    <row r="662" spans="1:6" ht="15" customHeight="1" thickBot="1">
      <c r="A662" s="907">
        <v>42918</v>
      </c>
      <c r="B662" s="720">
        <v>42924</v>
      </c>
      <c r="C662" s="721">
        <v>2.948</v>
      </c>
      <c r="D662" s="1118"/>
      <c r="E662" s="1119"/>
      <c r="F662" s="724"/>
    </row>
    <row r="663" spans="1:6" ht="15" customHeight="1" thickBot="1">
      <c r="A663" s="913">
        <v>42925</v>
      </c>
      <c r="B663" s="914">
        <v>42931</v>
      </c>
      <c r="C663" s="915">
        <v>2.9390000000000001</v>
      </c>
      <c r="D663" s="1114"/>
      <c r="E663" s="1115"/>
      <c r="F663" s="724"/>
    </row>
    <row r="664" spans="1:6" ht="15" customHeight="1" thickBot="1">
      <c r="A664" s="1148">
        <v>42932</v>
      </c>
      <c r="B664" s="1145">
        <v>42938</v>
      </c>
      <c r="C664" s="1146">
        <v>2.919</v>
      </c>
      <c r="D664" s="1147"/>
      <c r="E664" s="1149"/>
      <c r="F664" s="724"/>
    </row>
    <row r="665" spans="1:6" ht="15" customHeight="1" thickBot="1">
      <c r="A665" s="1148">
        <v>42939</v>
      </c>
      <c r="B665" s="1145">
        <v>42945</v>
      </c>
      <c r="C665" s="1146">
        <v>3.056</v>
      </c>
      <c r="D665" s="1147"/>
      <c r="E665" s="1149"/>
      <c r="F665" s="724"/>
    </row>
    <row r="666" spans="1:6" ht="15" customHeight="1" thickBot="1">
      <c r="A666" s="1148">
        <v>42946</v>
      </c>
      <c r="B666" s="1145">
        <v>42952</v>
      </c>
      <c r="C666" s="1146">
        <v>3.0840000000000001</v>
      </c>
      <c r="D666" s="1147"/>
      <c r="E666" s="1149"/>
      <c r="F666" s="724"/>
    </row>
    <row r="667" spans="1:6" ht="15" customHeight="1" thickBot="1">
      <c r="A667" s="1148">
        <v>42953</v>
      </c>
      <c r="B667" s="1145">
        <v>42959</v>
      </c>
      <c r="C667" s="1146">
        <v>3.0979999999999999</v>
      </c>
      <c r="D667" s="1147"/>
      <c r="E667" s="1149"/>
      <c r="F667" s="724"/>
    </row>
    <row r="668" spans="1:6" ht="15" customHeight="1" thickBot="1">
      <c r="A668" s="1148">
        <v>42960</v>
      </c>
      <c r="B668" s="1145">
        <v>42966</v>
      </c>
      <c r="C668" s="1146">
        <v>3.0950000000000002</v>
      </c>
      <c r="D668" s="1147"/>
      <c r="E668" s="1149"/>
      <c r="F668" s="724"/>
    </row>
    <row r="669" spans="1:6" ht="15" customHeight="1" thickBot="1">
      <c r="A669" s="1148">
        <v>42967</v>
      </c>
      <c r="B669" s="1145">
        <v>42973</v>
      </c>
      <c r="C669" s="1146">
        <v>3.1030000000000002</v>
      </c>
      <c r="D669" s="1147"/>
      <c r="E669" s="1149"/>
      <c r="F669" s="724"/>
    </row>
    <row r="670" spans="1:6" ht="15" customHeight="1" thickBot="1">
      <c r="A670" s="1204">
        <v>42974</v>
      </c>
      <c r="B670" s="1205">
        <v>42980</v>
      </c>
      <c r="C670" s="1206">
        <v>3.101</v>
      </c>
      <c r="D670" s="1207"/>
      <c r="E670" s="1208"/>
      <c r="F670" s="724"/>
    </row>
    <row r="671" spans="1:6" ht="15" customHeight="1" thickBot="1">
      <c r="A671" s="1150">
        <v>42981</v>
      </c>
      <c r="B671" s="1151">
        <v>42987</v>
      </c>
      <c r="C671" s="1152">
        <v>3.15</v>
      </c>
      <c r="D671" s="1153"/>
      <c r="E671" s="1154"/>
      <c r="F671" s="724"/>
    </row>
    <row r="672" spans="1:6" ht="15" customHeight="1" thickBot="1">
      <c r="A672" s="1150">
        <v>42988</v>
      </c>
      <c r="B672" s="1151">
        <v>42994</v>
      </c>
      <c r="C672" s="1152">
        <v>3.1419999999999999</v>
      </c>
      <c r="D672" s="1153"/>
      <c r="E672" s="1154"/>
      <c r="F672" s="724"/>
    </row>
    <row r="673" spans="1:6" ht="15" customHeight="1" thickBot="1">
      <c r="A673" s="1150">
        <v>42995</v>
      </c>
      <c r="B673" s="1151">
        <v>43001</v>
      </c>
      <c r="C673" s="1152">
        <v>3.177</v>
      </c>
      <c r="D673" s="1153"/>
      <c r="E673" s="1154"/>
      <c r="F673" s="724"/>
    </row>
    <row r="674" spans="1:6" ht="15" customHeight="1" thickBot="1">
      <c r="A674" s="1150">
        <v>43002</v>
      </c>
      <c r="B674" s="1151">
        <v>43008</v>
      </c>
      <c r="C674" s="1152">
        <v>3.2010000000000001</v>
      </c>
      <c r="D674" s="1153"/>
      <c r="E674" s="1154"/>
      <c r="F674" s="724"/>
    </row>
    <row r="675" spans="1:6" ht="15" customHeight="1" thickBot="1">
      <c r="A675" s="1150">
        <v>43009</v>
      </c>
      <c r="B675" s="1151">
        <v>43015</v>
      </c>
      <c r="C675" s="1152">
        <v>3.2210000000000001</v>
      </c>
      <c r="D675" s="1153"/>
      <c r="E675" s="1154"/>
      <c r="F675" s="724"/>
    </row>
    <row r="676" spans="1:6" ht="15" customHeight="1" thickBot="1">
      <c r="A676" s="1150">
        <v>43016</v>
      </c>
      <c r="B676" s="1151">
        <v>43022</v>
      </c>
      <c r="C676" s="1152">
        <v>3.2090000000000001</v>
      </c>
      <c r="D676" s="1153"/>
      <c r="E676" s="1154"/>
      <c r="F676" s="724"/>
    </row>
    <row r="677" spans="1:6" ht="15" customHeight="1" thickBot="1">
      <c r="A677" s="1150">
        <v>43023</v>
      </c>
      <c r="B677" s="1151">
        <v>43029</v>
      </c>
      <c r="C677" s="1152">
        <v>3.22</v>
      </c>
      <c r="D677" s="1153"/>
      <c r="E677" s="1154"/>
      <c r="F677" s="724"/>
    </row>
    <row r="678" spans="1:6" ht="15" customHeight="1" thickBot="1">
      <c r="A678" s="1150">
        <v>43030</v>
      </c>
      <c r="B678" s="1151">
        <v>43036</v>
      </c>
      <c r="C678" s="1152">
        <v>3.214</v>
      </c>
      <c r="D678" s="1153"/>
      <c r="E678" s="1154"/>
      <c r="F678" s="724"/>
    </row>
    <row r="679" spans="1:6" ht="15" customHeight="1" thickBot="1">
      <c r="A679" s="1150">
        <v>43037</v>
      </c>
      <c r="B679" s="1151">
        <v>43043</v>
      </c>
      <c r="C679" s="1152">
        <v>3.234</v>
      </c>
      <c r="D679" s="1153"/>
      <c r="E679" s="1154"/>
      <c r="F679" s="724"/>
    </row>
    <row r="680" spans="1:6" ht="15" customHeight="1" thickBot="1">
      <c r="A680" s="1150">
        <v>43044</v>
      </c>
      <c r="B680" s="1151">
        <v>43050</v>
      </c>
      <c r="C680" s="1152">
        <v>3.2429999999999999</v>
      </c>
      <c r="D680" s="1153"/>
      <c r="E680" s="1154"/>
      <c r="F680" s="724"/>
    </row>
    <row r="681" spans="1:6" ht="15" customHeight="1" thickBot="1">
      <c r="A681" s="1150">
        <v>43051</v>
      </c>
      <c r="B681" s="1151">
        <v>43057</v>
      </c>
      <c r="C681" s="1152">
        <v>3.2679999999999998</v>
      </c>
      <c r="D681" s="1153"/>
      <c r="E681" s="1154"/>
      <c r="F681" s="724"/>
    </row>
    <row r="682" spans="1:6" ht="15" customHeight="1" thickBot="1">
      <c r="A682" s="1150">
        <v>43058</v>
      </c>
      <c r="B682" s="1151">
        <v>43064</v>
      </c>
      <c r="C682" s="1152">
        <v>3.3029999999999999</v>
      </c>
      <c r="D682" s="1153"/>
      <c r="E682" s="1154"/>
      <c r="F682" s="724"/>
    </row>
    <row r="683" spans="1:6" ht="15" customHeight="1" thickBot="1">
      <c r="A683" s="1209">
        <v>43065</v>
      </c>
      <c r="B683" s="1210">
        <v>43071</v>
      </c>
      <c r="C683" s="1211">
        <v>3.3370000000000002</v>
      </c>
      <c r="D683" s="1212"/>
      <c r="E683" s="1213"/>
      <c r="F683" s="724"/>
    </row>
    <row r="684" spans="1:6" ht="15" customHeight="1" thickBot="1">
      <c r="A684" s="1150">
        <v>43072</v>
      </c>
      <c r="B684" s="1151">
        <v>43078</v>
      </c>
      <c r="C684" s="1152">
        <v>3.3029999999999999</v>
      </c>
      <c r="D684" s="1153"/>
      <c r="E684" s="1154"/>
      <c r="F684" s="724"/>
    </row>
    <row r="685" spans="1:6" ht="15" customHeight="1" thickBot="1">
      <c r="A685" s="1150">
        <v>43079</v>
      </c>
      <c r="B685" s="1151">
        <v>43085</v>
      </c>
      <c r="C685" s="1152">
        <v>3.327</v>
      </c>
      <c r="D685" s="1153"/>
      <c r="E685" s="1154"/>
      <c r="F685" s="724"/>
    </row>
    <row r="686" spans="1:6" ht="15" customHeight="1" thickBot="1">
      <c r="A686" s="1150">
        <v>43086</v>
      </c>
      <c r="B686" s="1151">
        <v>43092</v>
      </c>
      <c r="C686" s="1152">
        <v>3.3180000000000001</v>
      </c>
      <c r="D686" s="1153"/>
      <c r="E686" s="1154"/>
      <c r="F686" s="724"/>
    </row>
    <row r="687" spans="1:6" ht="15" customHeight="1" thickBot="1">
      <c r="A687" s="1150">
        <v>43093</v>
      </c>
      <c r="B687" s="1151">
        <v>43099</v>
      </c>
      <c r="C687" s="1152">
        <v>3.3260000000000001</v>
      </c>
      <c r="D687" s="1153"/>
      <c r="E687" s="1154"/>
      <c r="F687" s="724"/>
    </row>
    <row r="688" spans="1:6" ht="15" customHeight="1" thickBot="1">
      <c r="A688" s="1150">
        <v>43100</v>
      </c>
      <c r="B688" s="1151">
        <v>43106</v>
      </c>
      <c r="C688" s="1152">
        <v>3.3559999999999999</v>
      </c>
      <c r="D688" s="1153"/>
      <c r="E688" s="1154"/>
      <c r="F688" s="724"/>
    </row>
    <row r="689" spans="1:6" ht="15" customHeight="1" thickBot="1">
      <c r="A689" s="1150">
        <v>42742</v>
      </c>
      <c r="B689" s="1151">
        <v>43113</v>
      </c>
      <c r="C689" s="1152">
        <v>3.3679999999999999</v>
      </c>
      <c r="D689" s="1153"/>
      <c r="E689" s="1154"/>
      <c r="F689" s="724"/>
    </row>
    <row r="690" spans="1:6" ht="15" customHeight="1" thickBot="1">
      <c r="A690" s="1150">
        <v>42749</v>
      </c>
      <c r="B690" s="1151">
        <v>43120</v>
      </c>
      <c r="C690" s="1152">
        <v>3.3769999999999998</v>
      </c>
      <c r="D690" s="1153"/>
      <c r="E690" s="1154"/>
      <c r="F690" s="724"/>
    </row>
    <row r="691" spans="1:6" ht="15" customHeight="1" thickBot="1">
      <c r="A691" s="1150">
        <v>42756</v>
      </c>
      <c r="B691" s="1151">
        <v>43127</v>
      </c>
      <c r="C691" s="1152">
        <v>3.3809999999999998</v>
      </c>
      <c r="D691" s="1153"/>
      <c r="E691" s="1154"/>
      <c r="F691" s="724"/>
    </row>
    <row r="692" spans="1:6" ht="15" customHeight="1" thickBot="1">
      <c r="A692" s="1150">
        <v>43128</v>
      </c>
      <c r="B692" s="1151">
        <v>43134</v>
      </c>
      <c r="C692" s="1152">
        <v>3.395</v>
      </c>
      <c r="D692" s="1153"/>
      <c r="E692" s="1154"/>
      <c r="F692" s="724"/>
    </row>
    <row r="693" spans="1:6" ht="15" customHeight="1" thickBot="1">
      <c r="A693" s="1150">
        <v>43135</v>
      </c>
      <c r="B693" s="1151">
        <v>43141</v>
      </c>
      <c r="C693" s="1152">
        <v>3.3879999999999999</v>
      </c>
      <c r="D693" s="1153"/>
      <c r="E693" s="1154"/>
      <c r="F693" s="724"/>
    </row>
    <row r="694" spans="1:6" ht="15" customHeight="1" thickBot="1">
      <c r="A694" s="1150">
        <v>43142</v>
      </c>
      <c r="B694" s="1151">
        <v>43148</v>
      </c>
      <c r="C694" s="1152">
        <v>3.39</v>
      </c>
      <c r="D694" s="1153"/>
      <c r="E694" s="1154"/>
      <c r="F694" s="724"/>
    </row>
    <row r="695" spans="1:6" ht="15" customHeight="1" thickBot="1">
      <c r="A695" s="1150">
        <v>43149</v>
      </c>
      <c r="B695" s="1151">
        <v>43155</v>
      </c>
      <c r="C695" s="1152">
        <v>3.383</v>
      </c>
      <c r="D695" s="1153"/>
      <c r="E695" s="1154"/>
      <c r="F695" s="724"/>
    </row>
    <row r="696" spans="1:6" ht="15" customHeight="1" thickBot="1">
      <c r="A696" s="1209">
        <v>43156</v>
      </c>
      <c r="B696" s="1210">
        <v>43162</v>
      </c>
      <c r="C696" s="1211">
        <v>3.391</v>
      </c>
      <c r="D696" s="1212"/>
      <c r="E696" s="1213"/>
      <c r="F696" s="724"/>
    </row>
    <row r="697" spans="1:6" ht="15" customHeight="1" thickBot="1">
      <c r="A697" s="1150">
        <v>43163</v>
      </c>
      <c r="B697" s="1151">
        <v>43169</v>
      </c>
      <c r="C697" s="1152">
        <v>3.3780000000000001</v>
      </c>
      <c r="D697" s="1153"/>
      <c r="E697" s="1154"/>
      <c r="F697" s="724"/>
    </row>
    <row r="698" spans="1:6" ht="15" customHeight="1" thickBot="1">
      <c r="A698" s="1150">
        <v>43170</v>
      </c>
      <c r="B698" s="1151">
        <v>43176</v>
      </c>
      <c r="C698" s="1152">
        <v>3.3849999999999998</v>
      </c>
      <c r="D698" s="1153"/>
      <c r="E698" s="1154"/>
      <c r="F698" s="724"/>
    </row>
    <row r="699" spans="1:6" ht="15" customHeight="1" thickBot="1">
      <c r="A699" s="1150">
        <v>43177</v>
      </c>
      <c r="B699" s="1151">
        <v>43183</v>
      </c>
      <c r="C699" s="1152">
        <v>3.3780000000000001</v>
      </c>
      <c r="D699" s="1153"/>
      <c r="E699" s="1154"/>
      <c r="F699" s="724"/>
    </row>
    <row r="700" spans="1:6" ht="15" customHeight="1" thickBot="1">
      <c r="A700" s="1209">
        <v>43184</v>
      </c>
      <c r="B700" s="1210">
        <v>43190</v>
      </c>
      <c r="C700" s="1211">
        <v>3.391</v>
      </c>
      <c r="D700" s="1212"/>
      <c r="E700" s="1213"/>
      <c r="F700" s="724"/>
    </row>
    <row r="701" spans="1:6" ht="15" customHeight="1" thickBot="1">
      <c r="A701" s="1150">
        <v>43191</v>
      </c>
      <c r="B701" s="1151">
        <v>43197</v>
      </c>
      <c r="C701" s="1152">
        <v>3.3959999999999999</v>
      </c>
      <c r="D701" s="1153"/>
      <c r="E701" s="1154"/>
      <c r="F701" s="724"/>
    </row>
    <row r="702" spans="1:6" ht="15" customHeight="1" thickBot="1">
      <c r="A702" s="1150">
        <v>43198</v>
      </c>
      <c r="B702" s="1151">
        <v>43204</v>
      </c>
      <c r="C702" s="1152">
        <v>3.41</v>
      </c>
      <c r="D702" s="1153"/>
      <c r="E702" s="1154"/>
      <c r="F702" s="724"/>
    </row>
    <row r="703" spans="1:6" ht="15" customHeight="1" thickBot="1">
      <c r="A703" s="1150">
        <v>43205</v>
      </c>
      <c r="B703" s="1151">
        <v>43211</v>
      </c>
      <c r="C703" s="1152">
        <v>3.427</v>
      </c>
      <c r="D703" s="1153"/>
      <c r="E703" s="1154"/>
      <c r="F703" s="724"/>
    </row>
    <row r="704" spans="1:6" ht="15" customHeight="1" thickBot="1">
      <c r="A704" s="1150">
        <v>43212</v>
      </c>
      <c r="B704" s="1151">
        <v>43218</v>
      </c>
      <c r="C704" s="1222">
        <v>3.4710000000000001</v>
      </c>
      <c r="D704" s="1153"/>
      <c r="E704" s="1040"/>
      <c r="F704" s="724"/>
    </row>
    <row r="705" spans="1:6" ht="15" customHeight="1" thickBot="1">
      <c r="A705" s="1220">
        <v>43219</v>
      </c>
      <c r="B705" s="1151">
        <v>43225</v>
      </c>
      <c r="C705" s="1221">
        <v>3.4950000000000001</v>
      </c>
      <c r="D705" s="1153"/>
      <c r="E705" s="1040"/>
      <c r="F705" s="724"/>
    </row>
    <row r="706" spans="1:6" ht="15" customHeight="1" thickBot="1">
      <c r="A706" s="1220">
        <v>43226</v>
      </c>
      <c r="B706" s="1151">
        <v>43232</v>
      </c>
      <c r="C706" s="1221">
        <v>3.5510000000000002</v>
      </c>
      <c r="D706" s="1153"/>
      <c r="E706" s="1040"/>
      <c r="F706" s="724"/>
    </row>
    <row r="707" spans="1:6" ht="15" customHeight="1" thickBot="1">
      <c r="A707" s="1220">
        <v>43233</v>
      </c>
      <c r="B707" s="1151">
        <v>43239</v>
      </c>
      <c r="C707" s="1221">
        <v>3.5950000000000002</v>
      </c>
      <c r="D707" s="1153"/>
      <c r="E707" s="1040"/>
      <c r="F707" s="724"/>
    </row>
    <row r="708" spans="1:6" ht="15" customHeight="1" thickBot="1">
      <c r="A708" s="1220">
        <v>43240</v>
      </c>
      <c r="B708" s="1151">
        <v>43246</v>
      </c>
      <c r="C708" s="1221">
        <v>3.7879999999999998</v>
      </c>
      <c r="D708" s="1153"/>
      <c r="E708" s="1040"/>
      <c r="F708" s="724"/>
    </row>
    <row r="709" spans="1:6" ht="15" customHeight="1" thickBot="1">
      <c r="A709" s="1220">
        <v>43247</v>
      </c>
      <c r="B709" s="1151">
        <v>43253</v>
      </c>
      <c r="C709" s="1221">
        <v>3.8279999999999998</v>
      </c>
      <c r="D709" s="1153"/>
      <c r="E709" s="1040"/>
      <c r="F709" s="724"/>
    </row>
    <row r="710" spans="1:6" ht="15" customHeight="1" thickBot="1">
      <c r="A710" s="1220">
        <v>43254</v>
      </c>
      <c r="B710" s="1151">
        <v>43260</v>
      </c>
      <c r="C710" s="1221">
        <v>3.4820000000000002</v>
      </c>
      <c r="D710" s="1153"/>
      <c r="E710" s="1040"/>
      <c r="F710" s="724"/>
    </row>
    <row r="711" spans="1:6" ht="15" customHeight="1" thickBot="1">
      <c r="A711" s="907">
        <v>43261</v>
      </c>
      <c r="B711" s="720">
        <v>43267</v>
      </c>
      <c r="C711" s="1223">
        <v>3.4340000000000002</v>
      </c>
      <c r="D711" s="1118"/>
      <c r="E711" s="1119"/>
      <c r="F711" s="724"/>
    </row>
    <row r="712" spans="1:6" ht="15" customHeight="1" thickBot="1">
      <c r="A712" s="907">
        <v>43268</v>
      </c>
      <c r="B712" s="720">
        <v>43274</v>
      </c>
      <c r="C712" s="1223">
        <v>3.3969999999999998</v>
      </c>
      <c r="D712" s="1118"/>
      <c r="E712" s="1119"/>
      <c r="F712" s="724"/>
    </row>
    <row r="713" spans="1:6" ht="15" customHeight="1" thickBot="1">
      <c r="A713" s="907">
        <v>43275</v>
      </c>
      <c r="B713" s="720">
        <v>43281</v>
      </c>
      <c r="C713" s="1223">
        <v>3.3889999999999998</v>
      </c>
      <c r="D713" s="1118"/>
      <c r="E713" s="1119"/>
      <c r="F713" s="724"/>
    </row>
    <row r="714" spans="1:6" ht="15" customHeight="1" thickBot="1">
      <c r="A714" s="907">
        <v>43282</v>
      </c>
      <c r="B714" s="720">
        <v>43288</v>
      </c>
      <c r="C714" s="1223">
        <v>3.3839999999999999</v>
      </c>
      <c r="D714" s="1223"/>
      <c r="E714" s="1119"/>
      <c r="F714" s="724"/>
    </row>
    <row r="715" spans="1:6" ht="15" customHeight="1" thickBot="1">
      <c r="A715" s="907">
        <v>43289</v>
      </c>
      <c r="B715" s="720">
        <v>43295</v>
      </c>
      <c r="C715" s="1223">
        <v>3.3879999999999999</v>
      </c>
      <c r="D715" s="1223"/>
      <c r="E715" s="1119"/>
      <c r="F715" s="724"/>
    </row>
    <row r="716" spans="1:6" ht="15" customHeight="1" thickBot="1">
      <c r="A716" s="907">
        <v>43296</v>
      </c>
      <c r="B716" s="720">
        <v>43302</v>
      </c>
      <c r="C716" s="1224">
        <v>3.38</v>
      </c>
      <c r="D716" s="1223"/>
      <c r="E716" s="1119"/>
      <c r="F716" s="724"/>
    </row>
    <row r="717" spans="1:6" ht="15" customHeight="1" thickBot="1">
      <c r="A717" s="907">
        <v>43303</v>
      </c>
      <c r="B717" s="720">
        <v>43309</v>
      </c>
      <c r="C717" s="1223">
        <v>3.3780000000000001</v>
      </c>
      <c r="D717" s="1223"/>
      <c r="E717" s="1119"/>
      <c r="F717" s="724"/>
    </row>
    <row r="718" spans="1:6" ht="15" customHeight="1" thickBot="1">
      <c r="A718" s="907">
        <v>43310</v>
      </c>
      <c r="B718" s="720">
        <v>43316</v>
      </c>
      <c r="C718" s="1223">
        <v>3.371</v>
      </c>
      <c r="D718" s="1223"/>
      <c r="E718" s="1119"/>
      <c r="F718" s="724"/>
    </row>
    <row r="719" spans="1:6" ht="15" customHeight="1" thickBot="1">
      <c r="A719" s="907">
        <v>43317</v>
      </c>
      <c r="B719" s="720">
        <v>43323</v>
      </c>
      <c r="C719" s="1223">
        <v>3.3769999999999998</v>
      </c>
      <c r="D719" s="1223"/>
      <c r="E719" s="1119"/>
      <c r="F719" s="724"/>
    </row>
    <row r="720" spans="1:6" ht="15" customHeight="1" thickBot="1">
      <c r="A720" s="907">
        <v>43324</v>
      </c>
      <c r="B720" s="720">
        <v>43330</v>
      </c>
      <c r="C720" s="1223">
        <v>3.371</v>
      </c>
      <c r="D720" s="1223"/>
      <c r="E720" s="1119"/>
      <c r="F720" s="724"/>
    </row>
    <row r="721" spans="1:6" ht="15" customHeight="1" thickBot="1">
      <c r="A721" s="907">
        <v>43331</v>
      </c>
      <c r="B721" s="720">
        <v>43337</v>
      </c>
      <c r="C721" s="1223">
        <v>3.371</v>
      </c>
      <c r="D721" s="1223"/>
      <c r="E721" s="1119"/>
      <c r="F721" s="724"/>
    </row>
    <row r="722" spans="1:6" ht="15" customHeight="1" thickBot="1">
      <c r="A722" s="907">
        <v>43338</v>
      </c>
      <c r="B722" s="720">
        <v>43344</v>
      </c>
      <c r="C722" s="1223">
        <v>3.3730000000000002</v>
      </c>
      <c r="D722" s="1223"/>
      <c r="E722" s="1119"/>
      <c r="F722" s="724"/>
    </row>
    <row r="723" spans="1:6" ht="15" customHeight="1" thickBot="1">
      <c r="A723" s="1220">
        <v>43345</v>
      </c>
      <c r="B723" s="1228">
        <v>43351</v>
      </c>
      <c r="C723" s="1227">
        <v>3.4889999999999999</v>
      </c>
      <c r="D723" s="1223"/>
      <c r="E723" s="1119"/>
      <c r="F723" s="724"/>
    </row>
    <row r="724" spans="1:6" ht="15" customHeight="1" thickBot="1">
      <c r="A724" s="907">
        <v>43352</v>
      </c>
      <c r="B724" s="720">
        <v>43358</v>
      </c>
      <c r="C724" s="1223">
        <v>3.6379999999999999</v>
      </c>
      <c r="D724" s="1223"/>
      <c r="E724" s="1119"/>
      <c r="F724" s="724"/>
    </row>
    <row r="725" spans="1:6" ht="15" customHeight="1" thickBot="1">
      <c r="A725" s="907">
        <v>43359</v>
      </c>
      <c r="B725" s="720">
        <v>43365</v>
      </c>
      <c r="C725" s="1224">
        <v>3.64</v>
      </c>
      <c r="D725" s="1223"/>
      <c r="E725" s="1119"/>
      <c r="F725" s="724"/>
    </row>
    <row r="726" spans="1:6" ht="15" customHeight="1" thickBot="1">
      <c r="A726" s="907">
        <v>43366</v>
      </c>
      <c r="B726" s="720">
        <v>43372</v>
      </c>
      <c r="C726" s="1223">
        <v>3.6549999999999998</v>
      </c>
      <c r="D726" s="1223"/>
      <c r="E726" s="1119"/>
      <c r="F726" s="724"/>
    </row>
    <row r="727" spans="1:6" ht="15" customHeight="1" thickBot="1">
      <c r="A727" s="907">
        <v>43373</v>
      </c>
      <c r="B727" s="720">
        <v>43379</v>
      </c>
      <c r="C727" s="1223">
        <v>3.6669999999999998</v>
      </c>
      <c r="D727" s="1223"/>
      <c r="E727" s="1119"/>
      <c r="F727" s="724"/>
    </row>
    <row r="728" spans="1:6" ht="15" customHeight="1" thickBot="1">
      <c r="A728" s="907">
        <v>43380</v>
      </c>
      <c r="B728" s="720">
        <v>43386</v>
      </c>
      <c r="C728" s="1223">
        <v>3.7120000000000002</v>
      </c>
      <c r="D728" s="1223"/>
      <c r="E728" s="1119"/>
      <c r="F728" s="724"/>
    </row>
    <row r="729" spans="1:6" ht="15" customHeight="1" thickBot="1">
      <c r="A729" s="913">
        <v>43387</v>
      </c>
      <c r="B729" s="914">
        <v>43393</v>
      </c>
      <c r="C729" s="1229">
        <v>3.7120000000000002</v>
      </c>
      <c r="D729" s="1229"/>
      <c r="E729" s="1115"/>
      <c r="F729" s="724"/>
    </row>
    <row r="730" spans="1:6" ht="15" customHeight="1" thickBot="1">
      <c r="A730" s="1086">
        <v>43394</v>
      </c>
      <c r="B730" s="1087" t="s">
        <v>711</v>
      </c>
      <c r="C730" s="1230">
        <v>3.7210000000000001</v>
      </c>
      <c r="D730" s="1230"/>
      <c r="E730" s="1132"/>
      <c r="F730" s="724"/>
    </row>
    <row r="731" spans="1:6" ht="15" customHeight="1" thickBot="1">
      <c r="A731" s="1086">
        <v>43401</v>
      </c>
      <c r="B731" s="1087">
        <v>43407</v>
      </c>
      <c r="C731" s="1230">
        <v>3.7189999999999999</v>
      </c>
      <c r="D731" s="1230"/>
      <c r="E731" s="1132"/>
    </row>
    <row r="732" spans="1:6" ht="15" customHeight="1" thickBot="1">
      <c r="A732" s="1086">
        <v>43408</v>
      </c>
      <c r="B732" s="1087">
        <v>43414</v>
      </c>
      <c r="C732" s="1231">
        <v>3.6850000000000001</v>
      </c>
      <c r="D732" s="1230"/>
      <c r="E732" s="1132"/>
    </row>
    <row r="733" spans="1:6" ht="15" customHeight="1" thickBot="1">
      <c r="A733" s="1086">
        <v>43415</v>
      </c>
      <c r="B733" s="1087">
        <v>43421</v>
      </c>
      <c r="C733" s="1231">
        <v>3.665</v>
      </c>
      <c r="D733" s="1230"/>
      <c r="E733" s="1132"/>
    </row>
    <row r="734" spans="1:6" ht="15" customHeight="1" thickBot="1">
      <c r="A734" s="1086">
        <v>43422</v>
      </c>
      <c r="B734" s="1087">
        <v>43428</v>
      </c>
      <c r="C734" s="1232">
        <v>3.65</v>
      </c>
      <c r="D734" s="1230"/>
      <c r="E734" s="1132"/>
    </row>
    <row r="735" spans="1:6" ht="15" customHeight="1" thickBot="1">
      <c r="A735" s="1233">
        <v>43429</v>
      </c>
      <c r="B735" s="1234">
        <v>43435</v>
      </c>
      <c r="C735" s="1235">
        <v>3.64</v>
      </c>
      <c r="D735" s="1236"/>
      <c r="E735" s="1237"/>
    </row>
    <row r="736" spans="1:6" ht="15" customHeight="1" thickBot="1">
      <c r="A736" s="1238">
        <v>43436</v>
      </c>
      <c r="B736" s="1239">
        <v>43807</v>
      </c>
      <c r="C736" s="1240">
        <v>3.5659999999999998</v>
      </c>
      <c r="D736" s="1223"/>
      <c r="E736" s="1241"/>
    </row>
    <row r="737" spans="1:5" ht="15" customHeight="1" thickBot="1">
      <c r="A737" s="1238">
        <v>43443</v>
      </c>
      <c r="B737" s="1239">
        <v>43449</v>
      </c>
      <c r="C737" s="1240">
        <v>3.524</v>
      </c>
      <c r="D737" s="1223"/>
      <c r="E737" s="1241"/>
    </row>
    <row r="738" spans="1:5" ht="15" customHeight="1" thickBot="1">
      <c r="A738" s="1238">
        <v>43450</v>
      </c>
      <c r="B738" s="1239">
        <v>43456</v>
      </c>
      <c r="C738" s="1240">
        <v>3.456</v>
      </c>
      <c r="D738" s="1223"/>
      <c r="E738" s="1241"/>
    </row>
    <row r="739" spans="1:5" ht="15" customHeight="1" thickBot="1">
      <c r="A739" s="1238">
        <v>43457</v>
      </c>
      <c r="B739" s="1239">
        <v>43463</v>
      </c>
      <c r="C739" s="1240">
        <v>3.4510000000000001</v>
      </c>
      <c r="D739" s="1223"/>
      <c r="E739" s="1241"/>
    </row>
    <row r="740" spans="1:5" ht="15" customHeight="1" thickBot="1">
      <c r="A740" s="1242">
        <v>43464</v>
      </c>
      <c r="B740" s="1243">
        <v>43470</v>
      </c>
      <c r="C740" s="1244">
        <v>3.4409999999999998</v>
      </c>
      <c r="D740" s="1245"/>
      <c r="E740" s="1246"/>
    </row>
    <row r="741" spans="1:5" ht="15" customHeight="1"/>
    <row r="742" spans="1:5" ht="15" customHeight="1"/>
    <row r="743" spans="1:5" ht="15" customHeight="1"/>
    <row r="744" spans="1:5" ht="15" customHeight="1"/>
    <row r="745" spans="1:5" ht="15" customHeight="1"/>
    <row r="746" spans="1:5" ht="15" customHeight="1"/>
    <row r="747" spans="1:5" ht="15" customHeight="1"/>
    <row r="748" spans="1:5" ht="15" customHeight="1"/>
    <row r="749" spans="1:5" ht="15" customHeight="1"/>
    <row r="750" spans="1:5" ht="15" customHeight="1"/>
    <row r="751" spans="1:5" ht="15" customHeight="1"/>
    <row r="752" spans="1:5"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839" spans="1:5" ht="18.75">
      <c r="A839" s="1455"/>
      <c r="B839" s="1455"/>
      <c r="C839" s="1455"/>
      <c r="D839" s="1455"/>
      <c r="E839" s="1455"/>
    </row>
    <row r="840" spans="1:5">
      <c r="A840" s="1450"/>
      <c r="B840" s="1450"/>
      <c r="C840" s="1450"/>
      <c r="D840" s="1450"/>
      <c r="E840" s="1450"/>
    </row>
    <row r="841" spans="1:5">
      <c r="A841" s="1451"/>
      <c r="B841" s="1451"/>
      <c r="C841" s="1451"/>
      <c r="D841" s="1451"/>
      <c r="E841" s="1451"/>
    </row>
    <row r="842" spans="1:5">
      <c r="A842" s="1452"/>
      <c r="B842" s="1453"/>
      <c r="C842" s="1454"/>
      <c r="D842" s="1454"/>
      <c r="E842" s="1454"/>
    </row>
    <row r="843" spans="1:5" ht="17.25">
      <c r="A843" s="739"/>
      <c r="B843" s="739"/>
      <c r="C843" s="739"/>
      <c r="D843" s="739"/>
      <c r="E843" s="740"/>
    </row>
  </sheetData>
  <mergeCells count="16">
    <mergeCell ref="D571:E571"/>
    <mergeCell ref="A840:E840"/>
    <mergeCell ref="A841:E841"/>
    <mergeCell ref="A842:B842"/>
    <mergeCell ref="C842:E842"/>
    <mergeCell ref="A839:E839"/>
    <mergeCell ref="D5:E5"/>
    <mergeCell ref="D537:E538"/>
    <mergeCell ref="A4:E4"/>
    <mergeCell ref="C1:E3"/>
    <mergeCell ref="D526:E526"/>
    <mergeCell ref="A5:C5"/>
    <mergeCell ref="D249:E253"/>
    <mergeCell ref="D390:E390"/>
    <mergeCell ref="D243:E243"/>
    <mergeCell ref="D201:E205"/>
  </mergeCells>
  <phoneticPr fontId="0" type="noConversion"/>
  <printOptions horizontalCentered="1"/>
  <pageMargins left="0.70866141732283472" right="0.70866141732283472" top="0.74803149606299213" bottom="0.74803149606299213" header="0.31496062992125984" footer="0.31496062992125984"/>
  <pageSetup paperSize="9" scale="34" fitToHeight="2" orientation="portrait" r:id="rId1"/>
  <headerFooter>
    <oddFooter>&amp;L&amp;"Calibri,Regular"&amp;K184782&amp;F&amp;C&amp;"Calibri,Regular"&amp;K184782&amp;A&amp;R&amp;"Calibri,Regular"&amp;K184782&amp;P</oddFooter>
  </headerFooter>
  <rowBreaks count="1" manualBreakCount="1">
    <brk id="579"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7">
    <pageSetUpPr fitToPage="1"/>
  </sheetPr>
  <dimension ref="A1:K846"/>
  <sheetViews>
    <sheetView showGridLines="0" view="pageBreakPreview" zoomScaleNormal="100" zoomScaleSheetLayoutView="100" workbookViewId="0">
      <selection activeCell="F317" sqref="F317"/>
    </sheetView>
  </sheetViews>
  <sheetFormatPr defaultRowHeight="15.75"/>
  <cols>
    <col min="1" max="1" width="10.44140625" style="722" customWidth="1"/>
    <col min="2" max="2" width="10.33203125" style="722" customWidth="1"/>
    <col min="3" max="3" width="8.6640625" style="734" customWidth="1"/>
    <col min="4" max="4" width="10.21875" style="722" customWidth="1"/>
    <col min="5" max="5" width="24.33203125" style="735" customWidth="1"/>
    <col min="6" max="32" width="9.77734375" style="707" customWidth="1"/>
    <col min="33" max="16384" width="8.88671875" style="707"/>
  </cols>
  <sheetData>
    <row r="1" spans="1:11" ht="16.5" customHeight="1">
      <c r="A1" s="707"/>
      <c r="B1" s="708"/>
      <c r="C1" s="1417" t="s">
        <v>380</v>
      </c>
      <c r="D1" s="1417"/>
      <c r="E1" s="1417"/>
      <c r="F1" s="706"/>
      <c r="G1" s="706"/>
      <c r="H1" s="706"/>
    </row>
    <row r="2" spans="1:11" ht="17.25" customHeight="1">
      <c r="A2" s="708"/>
      <c r="B2" s="708"/>
      <c r="C2" s="1417"/>
      <c r="D2" s="1417"/>
      <c r="E2" s="1417"/>
      <c r="F2" s="706"/>
      <c r="G2" s="706"/>
      <c r="H2" s="706"/>
    </row>
    <row r="3" spans="1:11" ht="21" customHeight="1" thickBot="1">
      <c r="A3" s="708"/>
      <c r="B3" s="708"/>
      <c r="C3" s="1418"/>
      <c r="D3" s="1418"/>
      <c r="E3" s="1418"/>
      <c r="F3" s="706"/>
      <c r="G3" s="706"/>
      <c r="H3" s="706"/>
    </row>
    <row r="4" spans="1:11" ht="21" customHeight="1" thickBot="1">
      <c r="A4" s="1441" t="s">
        <v>351</v>
      </c>
      <c r="B4" s="1442"/>
      <c r="C4" s="1442"/>
      <c r="D4" s="1442"/>
      <c r="E4" s="1443"/>
      <c r="F4" s="709"/>
      <c r="G4" s="709"/>
      <c r="H4" s="709"/>
    </row>
    <row r="5" spans="1:11" ht="22.5" customHeight="1" thickBot="1">
      <c r="A5" s="1446" t="s">
        <v>277</v>
      </c>
      <c r="B5" s="1447" t="s">
        <v>175</v>
      </c>
      <c r="C5" s="1447" t="s">
        <v>173</v>
      </c>
      <c r="D5" s="1437" t="s">
        <v>172</v>
      </c>
      <c r="E5" s="1438"/>
      <c r="F5" s="710"/>
      <c r="G5" s="710"/>
      <c r="H5" s="711"/>
    </row>
    <row r="6" spans="1:11" ht="15.75" customHeight="1" thickBot="1">
      <c r="A6" s="712" t="s">
        <v>174</v>
      </c>
      <c r="B6" s="713" t="s">
        <v>175</v>
      </c>
      <c r="C6" s="713" t="s">
        <v>173</v>
      </c>
      <c r="D6" s="714" t="s">
        <v>204</v>
      </c>
      <c r="E6" s="715" t="s">
        <v>244</v>
      </c>
      <c r="F6" s="716"/>
      <c r="G6" s="716"/>
      <c r="H6" s="711"/>
      <c r="I6" s="717"/>
      <c r="J6" s="717"/>
      <c r="K6" s="718"/>
    </row>
    <row r="7" spans="1:11" s="722" customFormat="1" ht="15" hidden="1" customHeight="1">
      <c r="A7" s="884">
        <v>41273</v>
      </c>
      <c r="B7" s="885">
        <v>41279</v>
      </c>
      <c r="C7" s="862">
        <v>2.202</v>
      </c>
      <c r="D7" s="886"/>
      <c r="E7" s="887"/>
    </row>
    <row r="8" spans="1:11" s="722" customFormat="1" ht="15" hidden="1" customHeight="1">
      <c r="A8" s="888">
        <v>41280</v>
      </c>
      <c r="B8" s="889">
        <v>41286</v>
      </c>
      <c r="C8" s="863">
        <v>2.222</v>
      </c>
      <c r="D8" s="890"/>
      <c r="E8" s="891"/>
    </row>
    <row r="9" spans="1:11" s="722" customFormat="1" ht="15" hidden="1" customHeight="1">
      <c r="A9" s="888">
        <v>41287</v>
      </c>
      <c r="B9" s="889">
        <v>41293</v>
      </c>
      <c r="C9" s="863">
        <v>2.2269999999999999</v>
      </c>
      <c r="D9" s="890"/>
      <c r="E9" s="891"/>
    </row>
    <row r="10" spans="1:11" s="722" customFormat="1" ht="15" hidden="1" customHeight="1">
      <c r="A10" s="888">
        <v>41294</v>
      </c>
      <c r="B10" s="889">
        <v>41300</v>
      </c>
      <c r="C10" s="863">
        <v>2.2389999999999999</v>
      </c>
      <c r="D10" s="890"/>
      <c r="E10" s="891"/>
    </row>
    <row r="11" spans="1:11" s="722" customFormat="1" ht="15" hidden="1" customHeight="1">
      <c r="A11" s="888">
        <v>41301</v>
      </c>
      <c r="B11" s="889">
        <v>41307</v>
      </c>
      <c r="C11" s="863">
        <v>2.2429999999999999</v>
      </c>
      <c r="D11" s="890"/>
      <c r="E11" s="891"/>
    </row>
    <row r="12" spans="1:11" s="722" customFormat="1" ht="15" hidden="1" customHeight="1">
      <c r="A12" s="888">
        <v>41308</v>
      </c>
      <c r="B12" s="889">
        <v>41314</v>
      </c>
      <c r="C12" s="863">
        <v>2.3260000000000001</v>
      </c>
      <c r="D12" s="890"/>
      <c r="E12" s="891"/>
    </row>
    <row r="13" spans="1:11" s="722" customFormat="1" ht="15" hidden="1" customHeight="1">
      <c r="A13" s="888">
        <v>41315</v>
      </c>
      <c r="B13" s="889">
        <v>41321</v>
      </c>
      <c r="C13" s="863">
        <v>2.33</v>
      </c>
      <c r="D13" s="890"/>
      <c r="E13" s="891"/>
    </row>
    <row r="14" spans="1:11" s="722" customFormat="1" ht="15" hidden="1" customHeight="1">
      <c r="A14" s="888">
        <v>41322</v>
      </c>
      <c r="B14" s="889">
        <v>41328</v>
      </c>
      <c r="C14" s="863">
        <v>2.3359999999999999</v>
      </c>
      <c r="D14" s="890"/>
      <c r="E14" s="891"/>
    </row>
    <row r="15" spans="1:11" s="722" customFormat="1" ht="15" hidden="1" customHeight="1">
      <c r="A15" s="888">
        <v>41329</v>
      </c>
      <c r="B15" s="889">
        <v>41335</v>
      </c>
      <c r="C15" s="863">
        <v>2.3279999999999998</v>
      </c>
      <c r="D15" s="890"/>
      <c r="E15" s="891"/>
    </row>
    <row r="16" spans="1:11" s="722" customFormat="1" ht="15" hidden="1" customHeight="1">
      <c r="A16" s="888">
        <v>41336</v>
      </c>
      <c r="B16" s="889">
        <v>41342</v>
      </c>
      <c r="C16" s="863">
        <v>2.3410000000000002</v>
      </c>
      <c r="D16" s="890"/>
      <c r="E16" s="891"/>
    </row>
    <row r="17" spans="1:5" s="722" customFormat="1" ht="15" hidden="1" customHeight="1">
      <c r="A17" s="888">
        <v>41343</v>
      </c>
      <c r="B17" s="889">
        <v>41349</v>
      </c>
      <c r="C17" s="863">
        <v>2.39</v>
      </c>
      <c r="D17" s="890"/>
      <c r="E17" s="891"/>
    </row>
    <row r="18" spans="1:5" s="722" customFormat="1" ht="15" hidden="1" customHeight="1">
      <c r="A18" s="888">
        <v>41350</v>
      </c>
      <c r="B18" s="889">
        <v>41356</v>
      </c>
      <c r="C18" s="863">
        <v>2.4089999999999998</v>
      </c>
      <c r="D18" s="890"/>
      <c r="E18" s="891"/>
    </row>
    <row r="19" spans="1:5" s="722" customFormat="1" ht="15" hidden="1" customHeight="1">
      <c r="A19" s="888">
        <v>41357</v>
      </c>
      <c r="B19" s="889">
        <v>41363</v>
      </c>
      <c r="C19" s="863">
        <v>2.4119999999999999</v>
      </c>
      <c r="D19" s="890"/>
      <c r="E19" s="891"/>
    </row>
    <row r="20" spans="1:5" s="722" customFormat="1" ht="15" hidden="1" customHeight="1">
      <c r="A20" s="888">
        <v>41364</v>
      </c>
      <c r="B20" s="889">
        <v>41370</v>
      </c>
      <c r="C20" s="863">
        <v>2.4239999999999999</v>
      </c>
      <c r="D20" s="890"/>
      <c r="E20" s="891"/>
    </row>
    <row r="21" spans="1:5" s="722" customFormat="1" ht="15" hidden="1" customHeight="1">
      <c r="A21" s="888">
        <v>41371</v>
      </c>
      <c r="B21" s="889">
        <v>41377</v>
      </c>
      <c r="C21" s="863">
        <v>2.4239999999999999</v>
      </c>
      <c r="D21" s="890"/>
      <c r="E21" s="891"/>
    </row>
    <row r="22" spans="1:5" s="722" customFormat="1" ht="15" hidden="1" customHeight="1">
      <c r="A22" s="888">
        <v>41378</v>
      </c>
      <c r="B22" s="889">
        <v>41384</v>
      </c>
      <c r="C22" s="863">
        <v>2.4279999999999999</v>
      </c>
      <c r="D22" s="890"/>
      <c r="E22" s="891"/>
    </row>
    <row r="23" spans="1:5" s="722" customFormat="1" ht="15" hidden="1" customHeight="1">
      <c r="A23" s="888">
        <v>41385</v>
      </c>
      <c r="B23" s="889">
        <v>41391</v>
      </c>
      <c r="C23" s="863">
        <v>2.423</v>
      </c>
      <c r="D23" s="890"/>
      <c r="E23" s="891"/>
    </row>
    <row r="24" spans="1:5" s="722" customFormat="1" ht="15" hidden="1" customHeight="1">
      <c r="A24" s="888">
        <v>41392</v>
      </c>
      <c r="B24" s="889">
        <v>41398</v>
      </c>
      <c r="C24" s="863">
        <v>2.4300000000000002</v>
      </c>
      <c r="D24" s="890"/>
      <c r="E24" s="891"/>
    </row>
    <row r="25" spans="1:5" s="722" customFormat="1" ht="15" hidden="1" customHeight="1">
      <c r="A25" s="888">
        <v>41399</v>
      </c>
      <c r="B25" s="889">
        <v>41405</v>
      </c>
      <c r="C25" s="863">
        <v>2.4300000000000002</v>
      </c>
      <c r="D25" s="890"/>
      <c r="E25" s="891"/>
    </row>
    <row r="26" spans="1:5" s="722" customFormat="1" ht="15" hidden="1" customHeight="1">
      <c r="A26" s="888">
        <v>41406</v>
      </c>
      <c r="B26" s="889">
        <v>41412</v>
      </c>
      <c r="C26" s="863">
        <v>2.4350000000000001</v>
      </c>
      <c r="D26" s="890"/>
      <c r="E26" s="891"/>
    </row>
    <row r="27" spans="1:5" s="722" customFormat="1" ht="15" hidden="1" customHeight="1">
      <c r="A27" s="888">
        <v>41413</v>
      </c>
      <c r="B27" s="889">
        <v>41419</v>
      </c>
      <c r="C27" s="863">
        <v>2.4249999999999998</v>
      </c>
      <c r="D27" s="890"/>
      <c r="E27" s="891"/>
    </row>
    <row r="28" spans="1:5" s="722" customFormat="1" ht="15" hidden="1" customHeight="1">
      <c r="A28" s="888">
        <v>41420</v>
      </c>
      <c r="B28" s="889">
        <v>41426</v>
      </c>
      <c r="C28" s="863">
        <v>2.431</v>
      </c>
      <c r="D28" s="890"/>
      <c r="E28" s="892"/>
    </row>
    <row r="29" spans="1:5" s="722" customFormat="1" ht="15" hidden="1" customHeight="1">
      <c r="A29" s="888">
        <v>41427</v>
      </c>
      <c r="B29" s="889">
        <v>41433</v>
      </c>
      <c r="C29" s="863">
        <v>2.427</v>
      </c>
      <c r="D29" s="890"/>
      <c r="E29" s="891"/>
    </row>
    <row r="30" spans="1:5" s="722" customFormat="1" ht="15" hidden="1" customHeight="1">
      <c r="A30" s="888">
        <v>41434</v>
      </c>
      <c r="B30" s="889">
        <v>41440</v>
      </c>
      <c r="C30" s="863">
        <v>2.431</v>
      </c>
      <c r="D30" s="890"/>
      <c r="E30" s="891"/>
    </row>
    <row r="31" spans="1:5" s="722" customFormat="1" ht="15" hidden="1" customHeight="1">
      <c r="A31" s="888">
        <v>41441</v>
      </c>
      <c r="B31" s="889">
        <v>41447</v>
      </c>
      <c r="C31" s="863">
        <v>2.4319999999999999</v>
      </c>
      <c r="D31" s="890"/>
      <c r="E31" s="891"/>
    </row>
    <row r="32" spans="1:5" s="722" customFormat="1" ht="15" hidden="1" customHeight="1">
      <c r="A32" s="888">
        <v>41448</v>
      </c>
      <c r="B32" s="889">
        <v>41454</v>
      </c>
      <c r="C32" s="863">
        <v>2.4350000000000001</v>
      </c>
      <c r="D32" s="890"/>
      <c r="E32" s="891"/>
    </row>
    <row r="33" spans="1:6" s="722" customFormat="1" ht="15" hidden="1" customHeight="1">
      <c r="A33" s="888">
        <v>41455</v>
      </c>
      <c r="B33" s="889">
        <v>41461</v>
      </c>
      <c r="C33" s="863">
        <v>2.4300000000000002</v>
      </c>
      <c r="D33" s="890"/>
      <c r="E33" s="891"/>
    </row>
    <row r="34" spans="1:6" s="722" customFormat="1" ht="15" hidden="1" customHeight="1">
      <c r="A34" s="888">
        <v>41462</v>
      </c>
      <c r="B34" s="889">
        <v>41468</v>
      </c>
      <c r="C34" s="863">
        <v>2.427</v>
      </c>
      <c r="D34" s="890"/>
      <c r="E34" s="892"/>
    </row>
    <row r="35" spans="1:6" s="722" customFormat="1" ht="15" hidden="1" customHeight="1">
      <c r="A35" s="888">
        <v>41469</v>
      </c>
      <c r="B35" s="889">
        <v>41475</v>
      </c>
      <c r="C35" s="863">
        <v>2.4289999999999998</v>
      </c>
      <c r="D35" s="890"/>
      <c r="E35" s="891"/>
    </row>
    <row r="36" spans="1:6" s="722" customFormat="1" ht="15" hidden="1" customHeight="1">
      <c r="A36" s="888">
        <v>41476</v>
      </c>
      <c r="B36" s="889">
        <v>41482</v>
      </c>
      <c r="C36" s="863">
        <v>2.4409999999999998</v>
      </c>
      <c r="D36" s="890"/>
      <c r="E36" s="891"/>
    </row>
    <row r="37" spans="1:6" s="722" customFormat="1" ht="15" hidden="1" customHeight="1">
      <c r="A37" s="888">
        <v>41483</v>
      </c>
      <c r="B37" s="889">
        <v>41489</v>
      </c>
      <c r="C37" s="863">
        <v>2.427</v>
      </c>
      <c r="D37" s="890"/>
      <c r="E37" s="891"/>
      <c r="F37" s="723"/>
    </row>
    <row r="38" spans="1:6" s="722" customFormat="1" ht="15" hidden="1" customHeight="1">
      <c r="A38" s="888">
        <v>41490</v>
      </c>
      <c r="B38" s="889">
        <v>41496</v>
      </c>
      <c r="C38" s="863">
        <v>2.4260000000000002</v>
      </c>
      <c r="D38" s="890"/>
      <c r="E38" s="892"/>
      <c r="F38" s="723"/>
    </row>
    <row r="39" spans="1:6" s="722" customFormat="1" ht="15" hidden="1" customHeight="1">
      <c r="A39" s="888">
        <v>41497</v>
      </c>
      <c r="B39" s="889">
        <v>41503</v>
      </c>
      <c r="C39" s="863">
        <v>2.4289999999999998</v>
      </c>
      <c r="D39" s="890"/>
      <c r="E39" s="891"/>
      <c r="F39" s="723"/>
    </row>
    <row r="40" spans="1:6" s="722" customFormat="1" ht="15" hidden="1" customHeight="1">
      <c r="A40" s="888">
        <v>41504</v>
      </c>
      <c r="B40" s="889">
        <v>41510</v>
      </c>
      <c r="C40" s="863">
        <v>2.431</v>
      </c>
      <c r="D40" s="890"/>
      <c r="E40" s="891"/>
      <c r="F40" s="723"/>
    </row>
    <row r="41" spans="1:6" s="722" customFormat="1" ht="15" hidden="1" customHeight="1">
      <c r="A41" s="888">
        <v>41511</v>
      </c>
      <c r="B41" s="889">
        <v>41517</v>
      </c>
      <c r="C41" s="863">
        <v>2.4329999999999998</v>
      </c>
      <c r="D41" s="890"/>
      <c r="E41" s="891"/>
      <c r="F41" s="723"/>
    </row>
    <row r="42" spans="1:6" s="722" customFormat="1" ht="15" hidden="1" customHeight="1">
      <c r="A42" s="888">
        <v>41518</v>
      </c>
      <c r="B42" s="889">
        <v>41524</v>
      </c>
      <c r="C42" s="863">
        <v>2.4260000000000002</v>
      </c>
      <c r="D42" s="890"/>
      <c r="E42" s="1108"/>
      <c r="F42" s="723"/>
    </row>
    <row r="43" spans="1:6" s="722" customFormat="1" ht="15" hidden="1" customHeight="1">
      <c r="A43" s="888">
        <v>41525</v>
      </c>
      <c r="B43" s="889">
        <v>41531</v>
      </c>
      <c r="C43" s="863">
        <v>2.4249999999999998</v>
      </c>
      <c r="D43" s="890"/>
      <c r="E43" s="892"/>
      <c r="F43" s="723"/>
    </row>
    <row r="44" spans="1:6" s="722" customFormat="1" ht="15" hidden="1" customHeight="1">
      <c r="A44" s="888">
        <v>41532</v>
      </c>
      <c r="B44" s="889">
        <v>41538</v>
      </c>
      <c r="C44" s="863">
        <v>2.4350000000000001</v>
      </c>
      <c r="D44" s="890"/>
      <c r="E44" s="891"/>
      <c r="F44" s="723"/>
    </row>
    <row r="45" spans="1:6" s="722" customFormat="1" ht="15" hidden="1" customHeight="1">
      <c r="A45" s="888">
        <v>41539</v>
      </c>
      <c r="B45" s="889">
        <v>41545</v>
      </c>
      <c r="C45" s="863">
        <v>2.4319999999999999</v>
      </c>
      <c r="D45" s="890"/>
      <c r="E45" s="891"/>
      <c r="F45" s="723"/>
    </row>
    <row r="46" spans="1:6" s="722" customFormat="1" ht="15" hidden="1" customHeight="1">
      <c r="A46" s="888">
        <v>41546</v>
      </c>
      <c r="B46" s="889">
        <v>41552</v>
      </c>
      <c r="C46" s="863">
        <v>2.4260000000000002</v>
      </c>
      <c r="D46" s="890"/>
      <c r="E46" s="891"/>
      <c r="F46" s="723"/>
    </row>
    <row r="47" spans="1:6" s="722" customFormat="1" ht="15" hidden="1" customHeight="1">
      <c r="A47" s="888">
        <v>41553</v>
      </c>
      <c r="B47" s="889">
        <v>41559</v>
      </c>
      <c r="C47" s="863">
        <v>2.427</v>
      </c>
      <c r="D47" s="890"/>
      <c r="E47" s="893"/>
      <c r="F47" s="723"/>
    </row>
    <row r="48" spans="1:6" s="722" customFormat="1" ht="15" hidden="1" customHeight="1">
      <c r="A48" s="888">
        <v>41560</v>
      </c>
      <c r="B48" s="889">
        <v>41566</v>
      </c>
      <c r="C48" s="863">
        <v>2.4300000000000002</v>
      </c>
      <c r="D48" s="890"/>
      <c r="E48" s="893"/>
      <c r="F48" s="723"/>
    </row>
    <row r="49" spans="1:6" s="722" customFormat="1" ht="15" customHeight="1">
      <c r="A49" s="888">
        <v>41567</v>
      </c>
      <c r="B49" s="889">
        <v>41573</v>
      </c>
      <c r="C49" s="863">
        <v>2.4279999999999999</v>
      </c>
      <c r="D49" s="890"/>
      <c r="E49" s="893"/>
      <c r="F49" s="723"/>
    </row>
    <row r="50" spans="1:6" s="722" customFormat="1" ht="15" customHeight="1">
      <c r="A50" s="888">
        <v>41574</v>
      </c>
      <c r="B50" s="889">
        <v>41580</v>
      </c>
      <c r="C50" s="863">
        <v>2.4300000000000002</v>
      </c>
      <c r="D50" s="890"/>
      <c r="E50" s="893"/>
      <c r="F50" s="723"/>
    </row>
    <row r="51" spans="1:6" s="722" customFormat="1" ht="15" customHeight="1">
      <c r="A51" s="888">
        <v>41581</v>
      </c>
      <c r="B51" s="889">
        <v>41587</v>
      </c>
      <c r="C51" s="863">
        <v>2.4260000000000002</v>
      </c>
      <c r="D51" s="890"/>
      <c r="E51" s="893"/>
      <c r="F51" s="723"/>
    </row>
    <row r="52" spans="1:6" s="722" customFormat="1" ht="15" customHeight="1">
      <c r="A52" s="888">
        <v>41588</v>
      </c>
      <c r="B52" s="889">
        <v>41594</v>
      </c>
      <c r="C52" s="863">
        <v>2.4300000000000002</v>
      </c>
      <c r="D52" s="890"/>
      <c r="E52" s="891"/>
      <c r="F52" s="723"/>
    </row>
    <row r="53" spans="1:6" s="722" customFormat="1" ht="15" customHeight="1">
      <c r="A53" s="888">
        <v>41595</v>
      </c>
      <c r="B53" s="889">
        <v>41601</v>
      </c>
      <c r="C53" s="863">
        <v>2.4279999999999999</v>
      </c>
      <c r="D53" s="890"/>
      <c r="E53" s="891"/>
      <c r="F53" s="723"/>
    </row>
    <row r="54" spans="1:6" s="722" customFormat="1" ht="15" customHeight="1">
      <c r="A54" s="888">
        <v>41602</v>
      </c>
      <c r="B54" s="889">
        <v>41608</v>
      </c>
      <c r="C54" s="863">
        <v>2.4289999999999998</v>
      </c>
      <c r="D54" s="890"/>
      <c r="E54" s="891"/>
      <c r="F54" s="723"/>
    </row>
    <row r="55" spans="1:6" s="722" customFormat="1" ht="15" customHeight="1">
      <c r="A55" s="888">
        <v>41609</v>
      </c>
      <c r="B55" s="889">
        <v>41615</v>
      </c>
      <c r="C55" s="863">
        <v>2.5419999999999998</v>
      </c>
      <c r="D55" s="890"/>
      <c r="E55" s="892"/>
      <c r="F55" s="723"/>
    </row>
    <row r="56" spans="1:6" s="722" customFormat="1" ht="15" customHeight="1">
      <c r="A56" s="888">
        <v>41616</v>
      </c>
      <c r="B56" s="889">
        <v>41622</v>
      </c>
      <c r="C56" s="863">
        <v>2.5720000000000001</v>
      </c>
      <c r="D56" s="890"/>
      <c r="E56" s="891"/>
      <c r="F56" s="723"/>
    </row>
    <row r="57" spans="1:6" s="722" customFormat="1" ht="15" customHeight="1">
      <c r="A57" s="888">
        <v>41623</v>
      </c>
      <c r="B57" s="889">
        <v>41629</v>
      </c>
      <c r="C57" s="863">
        <v>2.58</v>
      </c>
      <c r="D57" s="890"/>
      <c r="E57" s="892"/>
      <c r="F57" s="723"/>
    </row>
    <row r="58" spans="1:6" s="722" customFormat="1" ht="15" customHeight="1">
      <c r="A58" s="888">
        <v>41630</v>
      </c>
      <c r="B58" s="889">
        <v>41636</v>
      </c>
      <c r="C58" s="863">
        <v>2.5790000000000002</v>
      </c>
      <c r="D58" s="890"/>
      <c r="E58" s="891"/>
      <c r="F58" s="724"/>
    </row>
    <row r="59" spans="1:6" s="722" customFormat="1" ht="15" customHeight="1">
      <c r="A59" s="888">
        <v>41658</v>
      </c>
      <c r="B59" s="889">
        <v>41664</v>
      </c>
      <c r="C59" s="863">
        <v>2.5950000000000002</v>
      </c>
      <c r="D59" s="890"/>
      <c r="E59" s="891"/>
      <c r="F59" s="723"/>
    </row>
    <row r="60" spans="1:6" s="722" customFormat="1" ht="15" customHeight="1">
      <c r="A60" s="888">
        <v>41665</v>
      </c>
      <c r="B60" s="889">
        <v>41671</v>
      </c>
      <c r="C60" s="863">
        <v>2.59</v>
      </c>
      <c r="D60" s="890"/>
      <c r="E60" s="892"/>
      <c r="F60" s="723"/>
    </row>
    <row r="61" spans="1:6" s="722" customFormat="1" ht="15" customHeight="1">
      <c r="A61" s="888">
        <v>41672</v>
      </c>
      <c r="B61" s="889">
        <v>41678</v>
      </c>
      <c r="C61" s="863">
        <v>2.5960000000000001</v>
      </c>
      <c r="D61" s="890"/>
      <c r="E61" s="891"/>
      <c r="F61" s="723"/>
    </row>
    <row r="62" spans="1:6" s="722" customFormat="1" ht="15" customHeight="1">
      <c r="A62" s="888">
        <v>41679</v>
      </c>
      <c r="B62" s="889">
        <v>41685</v>
      </c>
      <c r="C62" s="863">
        <v>2.5960000000000001</v>
      </c>
      <c r="D62" s="890"/>
      <c r="E62" s="891"/>
      <c r="F62" s="724"/>
    </row>
    <row r="63" spans="1:6" s="722" customFormat="1" ht="15" customHeight="1">
      <c r="A63" s="888">
        <v>41686</v>
      </c>
      <c r="B63" s="889">
        <v>41692</v>
      </c>
      <c r="C63" s="863">
        <v>2.5960000000000001</v>
      </c>
      <c r="D63" s="890"/>
      <c r="E63" s="891"/>
      <c r="F63" s="724"/>
    </row>
    <row r="64" spans="1:6" s="722" customFormat="1" ht="15" customHeight="1">
      <c r="A64" s="888">
        <v>41693</v>
      </c>
      <c r="B64" s="889">
        <v>41699</v>
      </c>
      <c r="C64" s="863">
        <v>2.593</v>
      </c>
      <c r="D64" s="890"/>
      <c r="E64" s="891"/>
      <c r="F64" s="724"/>
    </row>
    <row r="65" spans="1:6" s="722" customFormat="1" ht="15" customHeight="1">
      <c r="A65" s="888">
        <v>41700</v>
      </c>
      <c r="B65" s="889">
        <v>41706</v>
      </c>
      <c r="C65" s="863">
        <v>2.5990000000000002</v>
      </c>
      <c r="D65" s="890"/>
      <c r="E65" s="891"/>
      <c r="F65" s="724"/>
    </row>
    <row r="66" spans="1:6" s="722" customFormat="1" ht="15" customHeight="1">
      <c r="A66" s="888">
        <v>41707</v>
      </c>
      <c r="B66" s="889">
        <v>41713</v>
      </c>
      <c r="C66" s="863">
        <v>2.6030000000000002</v>
      </c>
      <c r="D66" s="890"/>
      <c r="E66" s="891"/>
      <c r="F66" s="724"/>
    </row>
    <row r="67" spans="1:6" s="722" customFormat="1" ht="15" customHeight="1">
      <c r="A67" s="888">
        <v>41714</v>
      </c>
      <c r="B67" s="889">
        <v>41720</v>
      </c>
      <c r="C67" s="863">
        <v>2.5990000000000002</v>
      </c>
      <c r="D67" s="890"/>
      <c r="E67" s="891"/>
      <c r="F67" s="724"/>
    </row>
    <row r="68" spans="1:6" s="722" customFormat="1" ht="15" customHeight="1">
      <c r="A68" s="888">
        <v>41721</v>
      </c>
      <c r="B68" s="889">
        <v>41727</v>
      </c>
      <c r="C68" s="863">
        <v>2.6</v>
      </c>
      <c r="D68" s="890"/>
      <c r="E68" s="891"/>
      <c r="F68" s="724"/>
    </row>
    <row r="69" spans="1:6" s="722" customFormat="1" ht="15" customHeight="1">
      <c r="A69" s="888">
        <v>41728</v>
      </c>
      <c r="B69" s="889">
        <v>41734</v>
      </c>
      <c r="C69" s="863">
        <v>2.609</v>
      </c>
      <c r="D69" s="890"/>
      <c r="E69" s="891"/>
      <c r="F69" s="724"/>
    </row>
    <row r="70" spans="1:6" s="722" customFormat="1" ht="15" customHeight="1">
      <c r="A70" s="888">
        <v>41735</v>
      </c>
      <c r="B70" s="889">
        <v>41741</v>
      </c>
      <c r="C70" s="863">
        <v>2.6080000000000001</v>
      </c>
      <c r="D70" s="890"/>
      <c r="E70" s="891"/>
      <c r="F70" s="724"/>
    </row>
    <row r="71" spans="1:6" s="722" customFormat="1" ht="15" customHeight="1">
      <c r="A71" s="888">
        <v>41742</v>
      </c>
      <c r="B71" s="889">
        <v>41748</v>
      </c>
      <c r="C71" s="863">
        <v>2.6040000000000001</v>
      </c>
      <c r="D71" s="890"/>
      <c r="E71" s="891"/>
      <c r="F71" s="724"/>
    </row>
    <row r="72" spans="1:6" s="722" customFormat="1" ht="15" customHeight="1">
      <c r="A72" s="888">
        <v>41749</v>
      </c>
      <c r="B72" s="889">
        <v>41755</v>
      </c>
      <c r="C72" s="863">
        <v>2.6059999999999999</v>
      </c>
      <c r="D72" s="890"/>
      <c r="E72" s="891"/>
      <c r="F72" s="724"/>
    </row>
    <row r="73" spans="1:6" s="722" customFormat="1" ht="15" customHeight="1">
      <c r="A73" s="888">
        <v>41756</v>
      </c>
      <c r="B73" s="889">
        <v>41762</v>
      </c>
      <c r="C73" s="863">
        <v>2.6080000000000001</v>
      </c>
      <c r="D73" s="894"/>
      <c r="E73" s="895"/>
      <c r="F73" s="724"/>
    </row>
    <row r="74" spans="1:6" s="722" customFormat="1" ht="15" customHeight="1">
      <c r="A74" s="888">
        <v>41763</v>
      </c>
      <c r="B74" s="889">
        <v>41769</v>
      </c>
      <c r="C74" s="863">
        <v>2.6080000000000001</v>
      </c>
      <c r="D74" s="894"/>
      <c r="E74" s="895"/>
      <c r="F74" s="724"/>
    </row>
    <row r="75" spans="1:6" s="722" customFormat="1" ht="15" customHeight="1">
      <c r="A75" s="888">
        <v>41770</v>
      </c>
      <c r="B75" s="889">
        <v>41776</v>
      </c>
      <c r="C75" s="863">
        <v>2.609</v>
      </c>
      <c r="D75" s="894"/>
      <c r="E75" s="895"/>
      <c r="F75" s="724"/>
    </row>
    <row r="76" spans="1:6" s="722" customFormat="1" ht="15" customHeight="1">
      <c r="A76" s="888">
        <v>41777</v>
      </c>
      <c r="B76" s="889">
        <v>41783</v>
      </c>
      <c r="C76" s="863">
        <v>2.6070000000000002</v>
      </c>
      <c r="D76" s="894"/>
      <c r="E76" s="895"/>
      <c r="F76" s="724"/>
    </row>
    <row r="77" spans="1:6" s="722" customFormat="1" ht="15" customHeight="1">
      <c r="A77" s="888">
        <v>41784</v>
      </c>
      <c r="B77" s="889">
        <v>41790</v>
      </c>
      <c r="C77" s="863">
        <v>2.6080000000000001</v>
      </c>
      <c r="D77" s="894"/>
      <c r="E77" s="895"/>
      <c r="F77" s="724"/>
    </row>
    <row r="78" spans="1:6" s="722" customFormat="1" ht="15" customHeight="1">
      <c r="A78" s="896">
        <v>41791</v>
      </c>
      <c r="B78" s="889">
        <v>41797</v>
      </c>
      <c r="C78" s="863">
        <v>2.6120000000000001</v>
      </c>
      <c r="D78" s="894"/>
      <c r="E78" s="895"/>
      <c r="F78" s="724"/>
    </row>
    <row r="79" spans="1:6" s="722" customFormat="1" ht="15" customHeight="1">
      <c r="A79" s="896">
        <v>41798</v>
      </c>
      <c r="B79" s="889">
        <v>41804</v>
      </c>
      <c r="C79" s="863">
        <v>2.6070000000000002</v>
      </c>
      <c r="D79" s="894"/>
      <c r="E79" s="895"/>
      <c r="F79" s="724"/>
    </row>
    <row r="80" spans="1:6" s="722" customFormat="1" ht="15" customHeight="1">
      <c r="A80" s="888">
        <v>41805</v>
      </c>
      <c r="B80" s="889">
        <v>41811</v>
      </c>
      <c r="C80" s="863">
        <v>2.6070000000000002</v>
      </c>
      <c r="D80" s="894"/>
      <c r="E80" s="895"/>
      <c r="F80" s="724"/>
    </row>
    <row r="81" spans="1:6" s="722" customFormat="1" ht="15" customHeight="1">
      <c r="A81" s="888">
        <v>41812</v>
      </c>
      <c r="B81" s="889">
        <v>41818</v>
      </c>
      <c r="C81" s="863">
        <v>2.61</v>
      </c>
      <c r="D81" s="894"/>
      <c r="E81" s="895"/>
      <c r="F81" s="724"/>
    </row>
    <row r="82" spans="1:6" s="722" customFormat="1" ht="15" customHeight="1">
      <c r="A82" s="888">
        <v>41819</v>
      </c>
      <c r="B82" s="889">
        <v>41825</v>
      </c>
      <c r="C82" s="863">
        <v>2.61</v>
      </c>
      <c r="D82" s="894"/>
      <c r="E82" s="895"/>
      <c r="F82" s="724"/>
    </row>
    <row r="83" spans="1:6" s="722" customFormat="1" ht="15" customHeight="1">
      <c r="A83" s="888">
        <v>41826</v>
      </c>
      <c r="B83" s="889">
        <v>41832</v>
      </c>
      <c r="C83" s="863">
        <v>2.6070000000000002</v>
      </c>
      <c r="D83" s="894"/>
      <c r="E83" s="895"/>
      <c r="F83" s="724"/>
    </row>
    <row r="84" spans="1:6" s="722" customFormat="1" ht="15" customHeight="1">
      <c r="A84" s="888">
        <v>41833</v>
      </c>
      <c r="B84" s="889">
        <v>41839</v>
      </c>
      <c r="C84" s="863">
        <v>2.609</v>
      </c>
      <c r="D84" s="894"/>
      <c r="E84" s="895"/>
      <c r="F84" s="724"/>
    </row>
    <row r="85" spans="1:6" s="722" customFormat="1" ht="15" customHeight="1">
      <c r="A85" s="888">
        <v>41840</v>
      </c>
      <c r="B85" s="889">
        <v>41846</v>
      </c>
      <c r="C85" s="863">
        <v>2.61</v>
      </c>
      <c r="D85" s="894"/>
      <c r="E85" s="895"/>
      <c r="F85" s="724"/>
    </row>
    <row r="86" spans="1:6" s="722" customFormat="1" ht="15" customHeight="1" thickBot="1">
      <c r="A86" s="908">
        <v>41847</v>
      </c>
      <c r="B86" s="909">
        <v>41853</v>
      </c>
      <c r="C86" s="910">
        <v>2.6110000000000002</v>
      </c>
      <c r="D86" s="911"/>
      <c r="E86" s="912"/>
      <c r="F86" s="724"/>
    </row>
    <row r="87" spans="1:6" s="722" customFormat="1" ht="15" customHeight="1" thickBot="1">
      <c r="A87" s="907">
        <v>41854</v>
      </c>
      <c r="B87" s="720">
        <v>41860</v>
      </c>
      <c r="C87" s="721">
        <v>2.6110000000000002</v>
      </c>
      <c r="D87" s="725"/>
      <c r="E87" s="726"/>
      <c r="F87" s="724"/>
    </row>
    <row r="88" spans="1:6" s="722" customFormat="1" ht="15" customHeight="1" thickBot="1">
      <c r="A88" s="907">
        <v>41861</v>
      </c>
      <c r="B88" s="720">
        <v>41867</v>
      </c>
      <c r="C88" s="721">
        <v>2.6139999999999999</v>
      </c>
      <c r="D88" s="725"/>
      <c r="E88" s="726"/>
      <c r="F88" s="724"/>
    </row>
    <row r="89" spans="1:6" s="722" customFormat="1" ht="15" customHeight="1" thickBot="1">
      <c r="A89" s="913">
        <v>41868</v>
      </c>
      <c r="B89" s="914">
        <v>41874</v>
      </c>
      <c r="C89" s="915">
        <v>2.6120000000000001</v>
      </c>
      <c r="D89" s="916"/>
      <c r="E89" s="917"/>
      <c r="F89" s="724"/>
    </row>
    <row r="90" spans="1:6" s="722" customFormat="1" ht="15" customHeight="1" thickBot="1">
      <c r="A90" s="913">
        <v>41875</v>
      </c>
      <c r="B90" s="914">
        <v>41881</v>
      </c>
      <c r="C90" s="915">
        <v>2.6379999999999999</v>
      </c>
      <c r="D90" s="916"/>
      <c r="E90" s="917"/>
      <c r="F90" s="724"/>
    </row>
    <row r="91" spans="1:6" s="722" customFormat="1" ht="15" customHeight="1" thickBot="1">
      <c r="A91" s="907">
        <v>41882</v>
      </c>
      <c r="B91" s="720">
        <v>41888</v>
      </c>
      <c r="C91" s="721">
        <v>2.6389999999999998</v>
      </c>
      <c r="D91" s="725"/>
      <c r="E91" s="726"/>
      <c r="F91" s="724"/>
    </row>
    <row r="92" spans="1:6" s="722" customFormat="1" ht="15" customHeight="1" thickBot="1">
      <c r="A92" s="913">
        <v>41889</v>
      </c>
      <c r="B92" s="914">
        <v>41895</v>
      </c>
      <c r="C92" s="915">
        <v>2.6389999999999998</v>
      </c>
      <c r="D92" s="916"/>
      <c r="E92" s="917"/>
      <c r="F92" s="724"/>
    </row>
    <row r="93" spans="1:6" s="722" customFormat="1" ht="15" customHeight="1" thickBot="1">
      <c r="A93" s="907">
        <v>41896</v>
      </c>
      <c r="B93" s="720">
        <v>41902</v>
      </c>
      <c r="C93" s="721">
        <v>2.64</v>
      </c>
      <c r="D93" s="725"/>
      <c r="E93" s="726"/>
      <c r="F93" s="724"/>
    </row>
    <row r="94" spans="1:6" s="722" customFormat="1" ht="15" customHeight="1" thickBot="1">
      <c r="A94" s="913">
        <v>41903</v>
      </c>
      <c r="B94" s="914">
        <v>41909</v>
      </c>
      <c r="C94" s="915">
        <v>2.64</v>
      </c>
      <c r="D94" s="916"/>
      <c r="E94" s="917"/>
      <c r="F94" s="724"/>
    </row>
    <row r="95" spans="1:6" s="722" customFormat="1" ht="15" customHeight="1" thickBot="1">
      <c r="A95" s="907">
        <v>41910</v>
      </c>
      <c r="B95" s="720">
        <v>41916</v>
      </c>
      <c r="C95" s="721">
        <v>2.6389999999999998</v>
      </c>
      <c r="D95" s="725"/>
      <c r="E95" s="726"/>
      <c r="F95" s="724"/>
    </row>
    <row r="96" spans="1:6" s="722" customFormat="1" ht="15" customHeight="1" thickBot="1">
      <c r="A96" s="907">
        <v>41917</v>
      </c>
      <c r="B96" s="720">
        <v>41923</v>
      </c>
      <c r="C96" s="721">
        <v>2.64</v>
      </c>
      <c r="D96" s="725"/>
      <c r="E96" s="726"/>
      <c r="F96" s="724"/>
    </row>
    <row r="97" spans="1:6" s="722" customFormat="1" ht="15" customHeight="1" thickBot="1">
      <c r="A97" s="907">
        <v>41924</v>
      </c>
      <c r="B97" s="720">
        <v>41930</v>
      </c>
      <c r="C97" s="721">
        <v>2.641</v>
      </c>
      <c r="D97" s="725"/>
      <c r="E97" s="726"/>
      <c r="F97" s="724"/>
    </row>
    <row r="98" spans="1:6" s="722" customFormat="1" ht="15" customHeight="1" thickBot="1">
      <c r="A98" s="913">
        <v>41931</v>
      </c>
      <c r="B98" s="914">
        <v>41937</v>
      </c>
      <c r="C98" s="915">
        <v>2.64</v>
      </c>
      <c r="D98" s="916"/>
      <c r="E98" s="917"/>
      <c r="F98" s="724"/>
    </row>
    <row r="99" spans="1:6" s="722" customFormat="1" ht="15" customHeight="1" thickBot="1">
      <c r="A99" s="927">
        <v>41938</v>
      </c>
      <c r="B99" s="928">
        <v>41944</v>
      </c>
      <c r="C99" s="933">
        <v>2.64</v>
      </c>
      <c r="D99" s="929"/>
      <c r="E99" s="930"/>
      <c r="F99" s="724"/>
    </row>
    <row r="100" spans="1:6" s="722" customFormat="1" ht="15" customHeight="1" thickBot="1">
      <c r="A100" s="907">
        <v>41945</v>
      </c>
      <c r="B100" s="720">
        <v>41951</v>
      </c>
      <c r="C100" s="721">
        <v>2.6419999999999999</v>
      </c>
      <c r="D100" s="725"/>
      <c r="E100" s="726"/>
      <c r="F100" s="724"/>
    </row>
    <row r="101" spans="1:6" s="722" customFormat="1" ht="15" customHeight="1" thickBot="1">
      <c r="A101" s="913">
        <v>41952</v>
      </c>
      <c r="B101" s="914">
        <v>41958</v>
      </c>
      <c r="C101" s="915">
        <v>2.714</v>
      </c>
      <c r="D101" s="1444" t="s">
        <v>390</v>
      </c>
      <c r="E101" s="1445"/>
      <c r="F101" s="724"/>
    </row>
    <row r="102" spans="1:6" s="722" customFormat="1" ht="15" customHeight="1" thickBot="1">
      <c r="A102" s="913">
        <v>41959</v>
      </c>
      <c r="B102" s="914">
        <v>41965</v>
      </c>
      <c r="C102" s="915">
        <v>2.742</v>
      </c>
      <c r="D102" s="916"/>
      <c r="E102" s="917"/>
      <c r="F102" s="724"/>
    </row>
    <row r="103" spans="1:6" s="722" customFormat="1" ht="15" customHeight="1" thickBot="1">
      <c r="A103" s="913">
        <v>41966</v>
      </c>
      <c r="B103" s="914">
        <v>41972</v>
      </c>
      <c r="C103" s="915">
        <v>2.7509999999999999</v>
      </c>
      <c r="D103" s="916"/>
      <c r="E103" s="917"/>
      <c r="F103" s="724"/>
    </row>
    <row r="104" spans="1:6" s="722" customFormat="1" ht="15" customHeight="1" thickBot="1">
      <c r="A104" s="907">
        <v>41973</v>
      </c>
      <c r="B104" s="720">
        <v>41979</v>
      </c>
      <c r="C104" s="721">
        <v>2.754</v>
      </c>
      <c r="D104" s="725"/>
      <c r="E104" s="726"/>
      <c r="F104" s="724"/>
    </row>
    <row r="105" spans="1:6" s="722" customFormat="1" ht="15" customHeight="1" thickBot="1">
      <c r="A105" s="913">
        <v>41980</v>
      </c>
      <c r="B105" s="914">
        <v>41986</v>
      </c>
      <c r="C105" s="915">
        <v>2.758</v>
      </c>
      <c r="D105" s="916"/>
      <c r="E105" s="917"/>
      <c r="F105" s="724"/>
    </row>
    <row r="106" spans="1:6" s="722" customFormat="1" ht="15" customHeight="1" thickBot="1">
      <c r="A106" s="907">
        <v>41987</v>
      </c>
      <c r="B106" s="720">
        <v>41993</v>
      </c>
      <c r="C106" s="721">
        <v>2.7570000000000001</v>
      </c>
      <c r="D106" s="725"/>
      <c r="E106" s="726"/>
      <c r="F106" s="724"/>
    </row>
    <row r="107" spans="1:6" s="722" customFormat="1" ht="15" customHeight="1" thickBot="1">
      <c r="A107" s="907">
        <v>41994</v>
      </c>
      <c r="B107" s="720">
        <v>42000</v>
      </c>
      <c r="C107" s="721">
        <v>2.7570000000000001</v>
      </c>
      <c r="D107" s="725"/>
      <c r="E107" s="726"/>
      <c r="F107" s="724"/>
    </row>
    <row r="108" spans="1:6" s="722" customFormat="1" ht="15" customHeight="1" thickBot="1">
      <c r="A108" s="907">
        <v>42001</v>
      </c>
      <c r="B108" s="720">
        <v>42007</v>
      </c>
      <c r="C108" s="721">
        <v>2.7570000000000001</v>
      </c>
      <c r="D108" s="725"/>
      <c r="E108" s="726"/>
      <c r="F108" s="724"/>
    </row>
    <row r="109" spans="1:6" s="722" customFormat="1" ht="15" customHeight="1" thickBot="1">
      <c r="A109" s="907">
        <v>42008</v>
      </c>
      <c r="B109" s="720">
        <v>42014</v>
      </c>
      <c r="C109" s="721">
        <v>2.76</v>
      </c>
      <c r="D109" s="725"/>
      <c r="E109" s="726"/>
      <c r="F109" s="724"/>
    </row>
    <row r="110" spans="1:6" s="722" customFormat="1" ht="15" customHeight="1" thickBot="1">
      <c r="A110" s="907">
        <v>42015</v>
      </c>
      <c r="B110" s="720">
        <v>42021</v>
      </c>
      <c r="C110" s="721">
        <v>2.7629999999999999</v>
      </c>
      <c r="D110" s="725"/>
      <c r="E110" s="726"/>
      <c r="F110" s="724"/>
    </row>
    <row r="111" spans="1:6" s="722" customFormat="1" ht="15" customHeight="1" thickBot="1">
      <c r="A111" s="913">
        <v>42022</v>
      </c>
      <c r="B111" s="914">
        <v>42028</v>
      </c>
      <c r="C111" s="915">
        <v>2.7639999999999998</v>
      </c>
      <c r="D111" s="916"/>
      <c r="E111" s="917"/>
      <c r="F111" s="724"/>
    </row>
    <row r="112" spans="1:6" s="722" customFormat="1" ht="15" customHeight="1" thickBot="1">
      <c r="A112" s="913">
        <v>42029</v>
      </c>
      <c r="B112" s="914">
        <v>42035</v>
      </c>
      <c r="C112" s="915">
        <v>2.7669999999999999</v>
      </c>
      <c r="D112" s="1458" t="s">
        <v>395</v>
      </c>
      <c r="E112" s="1459"/>
      <c r="F112" s="724"/>
    </row>
    <row r="113" spans="1:6" s="722" customFormat="1" ht="15" customHeight="1" thickBot="1">
      <c r="A113" s="913">
        <v>42036</v>
      </c>
      <c r="B113" s="914">
        <v>42042</v>
      </c>
      <c r="C113" s="915">
        <v>2.8959999999999999</v>
      </c>
      <c r="D113" s="1460"/>
      <c r="E113" s="1461"/>
      <c r="F113" s="724"/>
    </row>
    <row r="114" spans="1:6" s="722" customFormat="1" ht="15" customHeight="1" thickBot="1">
      <c r="A114" s="913">
        <v>42043</v>
      </c>
      <c r="B114" s="914">
        <v>42049</v>
      </c>
      <c r="C114" s="915">
        <v>2.948</v>
      </c>
      <c r="D114" s="982"/>
      <c r="E114" s="1069"/>
      <c r="F114" s="724"/>
    </row>
    <row r="115" spans="1:6" s="722" customFormat="1" ht="15" customHeight="1" thickBot="1">
      <c r="A115" s="927">
        <v>42050</v>
      </c>
      <c r="B115" s="928">
        <v>42056</v>
      </c>
      <c r="C115" s="933">
        <v>2.9510000000000001</v>
      </c>
      <c r="D115" s="983"/>
      <c r="E115" s="984"/>
      <c r="F115" s="724"/>
    </row>
    <row r="116" spans="1:6" s="722" customFormat="1" ht="15" customHeight="1" thickBot="1">
      <c r="A116" s="907">
        <v>42057</v>
      </c>
      <c r="B116" s="720">
        <v>42063</v>
      </c>
      <c r="C116" s="721">
        <v>2.9550000000000001</v>
      </c>
      <c r="D116" s="1039"/>
      <c r="E116" s="1040"/>
      <c r="F116" s="724"/>
    </row>
    <row r="117" spans="1:6" s="722" customFormat="1" ht="15" customHeight="1" thickBot="1">
      <c r="A117" s="907">
        <v>42064</v>
      </c>
      <c r="B117" s="720">
        <v>42070</v>
      </c>
      <c r="C117" s="721">
        <v>2.9590000000000001</v>
      </c>
      <c r="D117" s="1039"/>
      <c r="E117" s="1040"/>
      <c r="F117" s="724"/>
    </row>
    <row r="118" spans="1:6" s="722" customFormat="1" ht="15" customHeight="1" thickBot="1">
      <c r="A118" s="907">
        <v>42071</v>
      </c>
      <c r="B118" s="720">
        <v>42077</v>
      </c>
      <c r="C118" s="721">
        <v>2.96</v>
      </c>
      <c r="D118" s="1039"/>
      <c r="E118" s="1040"/>
      <c r="F118" s="724"/>
    </row>
    <row r="119" spans="1:6" s="722" customFormat="1" ht="15" customHeight="1" thickBot="1">
      <c r="A119" s="907">
        <v>42078</v>
      </c>
      <c r="B119" s="720">
        <v>42084</v>
      </c>
      <c r="C119" s="721">
        <v>2.9569999999999999</v>
      </c>
      <c r="D119" s="1039"/>
      <c r="E119" s="1040"/>
      <c r="F119" s="724"/>
    </row>
    <row r="120" spans="1:6" s="722" customFormat="1" ht="15" customHeight="1" thickBot="1">
      <c r="A120" s="907">
        <v>42085</v>
      </c>
      <c r="B120" s="720">
        <v>42091</v>
      </c>
      <c r="C120" s="721">
        <v>2.9569999999999999</v>
      </c>
      <c r="D120" s="1039"/>
      <c r="E120" s="1040"/>
      <c r="F120" s="724"/>
    </row>
    <row r="121" spans="1:6" s="722" customFormat="1" ht="15" customHeight="1" thickBot="1">
      <c r="A121" s="907">
        <v>42092</v>
      </c>
      <c r="B121" s="720">
        <v>42098</v>
      </c>
      <c r="C121" s="721">
        <v>2.9580000000000002</v>
      </c>
      <c r="D121" s="1039"/>
      <c r="E121" s="1040"/>
      <c r="F121" s="724"/>
    </row>
    <row r="122" spans="1:6" s="722" customFormat="1" ht="15" customHeight="1" thickBot="1">
      <c r="A122" s="907">
        <v>42099</v>
      </c>
      <c r="B122" s="720">
        <v>42105</v>
      </c>
      <c r="C122" s="721">
        <v>2.956</v>
      </c>
      <c r="D122" s="1039"/>
      <c r="E122" s="1040"/>
      <c r="F122" s="724"/>
    </row>
    <row r="123" spans="1:6" s="722" customFormat="1" ht="15" customHeight="1" thickBot="1">
      <c r="A123" s="913">
        <v>42106</v>
      </c>
      <c r="B123" s="914">
        <v>42112</v>
      </c>
      <c r="C123" s="915">
        <v>2.9580000000000002</v>
      </c>
      <c r="D123" s="982"/>
      <c r="E123" s="1069"/>
      <c r="F123" s="724"/>
    </row>
    <row r="124" spans="1:6" s="722" customFormat="1" ht="15" customHeight="1" thickBot="1">
      <c r="A124" s="907">
        <v>42113</v>
      </c>
      <c r="B124" s="720">
        <v>42119</v>
      </c>
      <c r="C124" s="721">
        <v>2.9580000000000002</v>
      </c>
      <c r="D124" s="1039"/>
      <c r="E124" s="1040"/>
      <c r="F124" s="724"/>
    </row>
    <row r="125" spans="1:6" s="722" customFormat="1" ht="15" customHeight="1" thickBot="1">
      <c r="A125" s="907">
        <v>42120</v>
      </c>
      <c r="B125" s="720">
        <v>42126</v>
      </c>
      <c r="C125" s="721">
        <v>2.9540000000000002</v>
      </c>
      <c r="D125" s="1039"/>
      <c r="E125" s="1040"/>
      <c r="F125" s="724"/>
    </row>
    <row r="126" spans="1:6" s="722" customFormat="1" ht="15" customHeight="1" thickBot="1">
      <c r="A126" s="907">
        <v>42127</v>
      </c>
      <c r="B126" s="720">
        <v>42133</v>
      </c>
      <c r="C126" s="721">
        <v>2.9550000000000001</v>
      </c>
      <c r="D126" s="1039"/>
      <c r="E126" s="1040"/>
      <c r="F126" s="724"/>
    </row>
    <row r="127" spans="1:6" s="722" customFormat="1" ht="15" customHeight="1" thickBot="1">
      <c r="A127" s="907">
        <v>42134</v>
      </c>
      <c r="B127" s="720">
        <v>42140</v>
      </c>
      <c r="C127" s="721">
        <v>2.9569999999999999</v>
      </c>
      <c r="D127" s="1039"/>
      <c r="E127" s="1040"/>
      <c r="F127" s="724"/>
    </row>
    <row r="128" spans="1:6" s="722" customFormat="1" ht="15" customHeight="1" thickBot="1">
      <c r="A128" s="913">
        <v>42141</v>
      </c>
      <c r="B128" s="914">
        <v>42147</v>
      </c>
      <c r="C128" s="915">
        <v>2.956</v>
      </c>
      <c r="D128" s="982"/>
      <c r="E128" s="1069"/>
      <c r="F128" s="724"/>
    </row>
    <row r="129" spans="1:6" s="722" customFormat="1" ht="15" customHeight="1" thickBot="1">
      <c r="A129" s="913">
        <v>42148</v>
      </c>
      <c r="B129" s="914">
        <v>42154</v>
      </c>
      <c r="C129" s="915">
        <v>2.956</v>
      </c>
      <c r="D129" s="982"/>
      <c r="E129" s="1069"/>
      <c r="F129" s="724"/>
    </row>
    <row r="130" spans="1:6" s="722" customFormat="1" ht="15" customHeight="1" thickBot="1">
      <c r="A130" s="907">
        <v>42155</v>
      </c>
      <c r="B130" s="720">
        <v>42161</v>
      </c>
      <c r="C130" s="721">
        <v>2.9550000000000001</v>
      </c>
      <c r="D130" s="1039"/>
      <c r="E130" s="1040"/>
      <c r="F130" s="724"/>
    </row>
    <row r="131" spans="1:6" s="722" customFormat="1" ht="15" customHeight="1" thickBot="1">
      <c r="A131" s="907">
        <v>42162</v>
      </c>
      <c r="B131" s="720">
        <v>42168</v>
      </c>
      <c r="C131" s="721">
        <v>2.956</v>
      </c>
      <c r="D131" s="1039"/>
      <c r="E131" s="1040"/>
      <c r="F131" s="724"/>
    </row>
    <row r="132" spans="1:6" s="722" customFormat="1" ht="15" customHeight="1" thickBot="1">
      <c r="A132" s="907">
        <v>42169</v>
      </c>
      <c r="B132" s="720">
        <v>42175</v>
      </c>
      <c r="C132" s="721">
        <v>2.9590000000000001</v>
      </c>
      <c r="D132" s="1039"/>
      <c r="E132" s="1040"/>
      <c r="F132" s="724"/>
    </row>
    <row r="133" spans="1:6" s="722" customFormat="1" ht="15" customHeight="1" thickBot="1">
      <c r="A133" s="913">
        <v>42176</v>
      </c>
      <c r="B133" s="914">
        <v>42182</v>
      </c>
      <c r="C133" s="915">
        <v>2.9569999999999999</v>
      </c>
      <c r="D133" s="982"/>
      <c r="E133" s="1069"/>
      <c r="F133" s="724"/>
    </row>
    <row r="134" spans="1:6" s="722" customFormat="1" ht="15" customHeight="1" thickBot="1">
      <c r="A134" s="1041">
        <v>42183</v>
      </c>
      <c r="B134" s="1042">
        <v>42189</v>
      </c>
      <c r="C134" s="1043">
        <v>2.9569999999999999</v>
      </c>
      <c r="D134" s="1044"/>
      <c r="E134" s="1045"/>
      <c r="F134" s="724"/>
    </row>
    <row r="135" spans="1:6" s="722" customFormat="1" ht="15" customHeight="1" thickBot="1">
      <c r="A135" s="927">
        <v>42190</v>
      </c>
      <c r="B135" s="928">
        <v>42196</v>
      </c>
      <c r="C135" s="933">
        <v>2.9550000000000001</v>
      </c>
      <c r="D135" s="983"/>
      <c r="E135" s="984"/>
      <c r="F135" s="724"/>
    </row>
    <row r="136" spans="1:6" s="722" customFormat="1" ht="15" customHeight="1" thickBot="1">
      <c r="A136" s="907">
        <v>42197</v>
      </c>
      <c r="B136" s="720">
        <v>42203</v>
      </c>
      <c r="C136" s="721">
        <v>2.9550000000000001</v>
      </c>
      <c r="D136" s="1039"/>
      <c r="E136" s="1040"/>
      <c r="F136" s="724"/>
    </row>
    <row r="137" spans="1:6" s="722" customFormat="1" ht="15" customHeight="1" thickBot="1">
      <c r="A137" s="907">
        <v>42204</v>
      </c>
      <c r="B137" s="720">
        <v>42210</v>
      </c>
      <c r="C137" s="721">
        <v>2.9529999999999998</v>
      </c>
      <c r="D137" s="1039"/>
      <c r="E137" s="1040"/>
      <c r="F137" s="724"/>
    </row>
    <row r="138" spans="1:6" s="722" customFormat="1" ht="15" customHeight="1" thickBot="1">
      <c r="A138" s="907">
        <v>42211</v>
      </c>
      <c r="B138" s="720">
        <v>42217</v>
      </c>
      <c r="C138" s="721">
        <v>2.952</v>
      </c>
      <c r="D138" s="1039"/>
      <c r="E138" s="1040"/>
      <c r="F138" s="724"/>
    </row>
    <row r="139" spans="1:6" s="722" customFormat="1" ht="15" customHeight="1" thickBot="1">
      <c r="A139" s="907">
        <v>42218</v>
      </c>
      <c r="B139" s="720">
        <v>42224</v>
      </c>
      <c r="C139" s="721">
        <v>2.9529999999999998</v>
      </c>
      <c r="D139" s="1039"/>
      <c r="E139" s="1040"/>
      <c r="F139" s="724"/>
    </row>
    <row r="140" spans="1:6" s="722" customFormat="1" ht="15" customHeight="1" thickBot="1">
      <c r="A140" s="907">
        <v>42225</v>
      </c>
      <c r="B140" s="720">
        <v>42231</v>
      </c>
      <c r="C140" s="721">
        <v>2.9529999999999998</v>
      </c>
      <c r="D140" s="1039"/>
      <c r="E140" s="1040"/>
      <c r="F140" s="724"/>
    </row>
    <row r="141" spans="1:6" s="722" customFormat="1" ht="15" customHeight="1" thickBot="1">
      <c r="A141" s="907">
        <v>42239</v>
      </c>
      <c r="B141" s="720">
        <v>42245</v>
      </c>
      <c r="C141" s="721">
        <v>2.9510000000000001</v>
      </c>
      <c r="D141" s="1444"/>
      <c r="E141" s="1445"/>
      <c r="F141" s="724"/>
    </row>
    <row r="142" spans="1:6" s="722" customFormat="1" ht="15" customHeight="1" thickBot="1">
      <c r="A142" s="907">
        <v>42246</v>
      </c>
      <c r="B142" s="720">
        <v>42252</v>
      </c>
      <c r="C142" s="721">
        <v>2.9489999999999998</v>
      </c>
      <c r="D142" s="1039"/>
      <c r="E142" s="1040"/>
      <c r="F142" s="724"/>
    </row>
    <row r="143" spans="1:6" s="722" customFormat="1" ht="15" customHeight="1" thickBot="1">
      <c r="A143" s="907">
        <v>42253</v>
      </c>
      <c r="B143" s="720">
        <v>42259</v>
      </c>
      <c r="C143" s="721">
        <v>2.9540000000000002</v>
      </c>
      <c r="D143" s="1039"/>
      <c r="E143" s="1040"/>
      <c r="F143" s="724"/>
    </row>
    <row r="144" spans="1:6" s="722" customFormat="1" ht="15" customHeight="1" thickBot="1">
      <c r="A144" s="907">
        <v>42260</v>
      </c>
      <c r="B144" s="720">
        <v>42266</v>
      </c>
      <c r="C144" s="721">
        <v>2.9489999999999998</v>
      </c>
      <c r="D144" s="1039"/>
      <c r="E144" s="1040"/>
      <c r="F144" s="724"/>
    </row>
    <row r="145" spans="1:6" s="722" customFormat="1" ht="15" customHeight="1" thickBot="1">
      <c r="A145" s="907">
        <v>42267</v>
      </c>
      <c r="B145" s="720">
        <v>42273</v>
      </c>
      <c r="C145" s="721">
        <v>2.96</v>
      </c>
      <c r="D145" s="1039"/>
      <c r="E145" s="1040"/>
      <c r="F145" s="724"/>
    </row>
    <row r="146" spans="1:6" s="722" customFormat="1" ht="15" customHeight="1" thickBot="1">
      <c r="A146" s="907">
        <v>42274</v>
      </c>
      <c r="B146" s="720">
        <v>42280</v>
      </c>
      <c r="C146" s="721">
        <v>2.9580000000000002</v>
      </c>
      <c r="D146" s="1444" t="s">
        <v>660</v>
      </c>
      <c r="E146" s="1445"/>
      <c r="F146" s="724"/>
    </row>
    <row r="147" spans="1:6" s="722" customFormat="1" ht="15" customHeight="1" thickBot="1">
      <c r="A147" s="907">
        <v>42281</v>
      </c>
      <c r="B147" s="720">
        <v>42287</v>
      </c>
      <c r="C147" s="721">
        <v>3.06</v>
      </c>
      <c r="D147" s="1039"/>
      <c r="E147" s="1040"/>
      <c r="F147" s="724"/>
    </row>
    <row r="148" spans="1:6" s="722" customFormat="1" ht="15" customHeight="1" thickBot="1">
      <c r="A148" s="907">
        <v>42288</v>
      </c>
      <c r="B148" s="720">
        <v>42294</v>
      </c>
      <c r="C148" s="721">
        <v>3.0739999999999998</v>
      </c>
      <c r="D148" s="1039"/>
      <c r="E148" s="1040"/>
      <c r="F148" s="724"/>
    </row>
    <row r="149" spans="1:6" s="722" customFormat="1" ht="15" customHeight="1" thickBot="1">
      <c r="A149" s="913">
        <v>42295</v>
      </c>
      <c r="B149" s="914">
        <v>42301</v>
      </c>
      <c r="C149" s="915">
        <v>3.077</v>
      </c>
      <c r="D149" s="982"/>
      <c r="E149" s="1069"/>
      <c r="F149" s="724"/>
    </row>
    <row r="150" spans="1:6" s="722" customFormat="1" ht="15" customHeight="1" thickBot="1">
      <c r="A150" s="913">
        <v>42302</v>
      </c>
      <c r="B150" s="914">
        <v>42308</v>
      </c>
      <c r="C150" s="915">
        <v>3.0830000000000002</v>
      </c>
      <c r="D150" s="982"/>
      <c r="E150" s="1069"/>
      <c r="F150" s="724"/>
    </row>
    <row r="151" spans="1:6" s="722" customFormat="1" ht="15" customHeight="1" thickBot="1">
      <c r="A151" s="907">
        <v>42309</v>
      </c>
      <c r="B151" s="720">
        <v>42315</v>
      </c>
      <c r="C151" s="721">
        <v>3.089</v>
      </c>
      <c r="D151" s="1039"/>
      <c r="E151" s="1040"/>
      <c r="F151" s="724"/>
    </row>
    <row r="152" spans="1:6" s="722" customFormat="1" ht="15" customHeight="1" thickBot="1">
      <c r="A152" s="907">
        <v>42316</v>
      </c>
      <c r="B152" s="720">
        <v>42322</v>
      </c>
      <c r="C152" s="721">
        <v>3.1080000000000001</v>
      </c>
      <c r="D152" s="1039"/>
      <c r="E152" s="1040"/>
      <c r="F152" s="724"/>
    </row>
    <row r="153" spans="1:6" s="722" customFormat="1" ht="15" customHeight="1" thickBot="1">
      <c r="A153" s="907">
        <v>42323</v>
      </c>
      <c r="B153" s="720">
        <v>42329</v>
      </c>
      <c r="C153" s="721">
        <v>3.117</v>
      </c>
      <c r="D153" s="1039"/>
      <c r="E153" s="1040"/>
      <c r="F153" s="724"/>
    </row>
    <row r="154" spans="1:6" s="722" customFormat="1" ht="15" customHeight="1" thickBot="1">
      <c r="A154" s="907">
        <v>42330</v>
      </c>
      <c r="B154" s="720">
        <v>42336</v>
      </c>
      <c r="C154" s="721">
        <v>3.1230000000000002</v>
      </c>
      <c r="D154" s="1039"/>
      <c r="E154" s="1040"/>
      <c r="F154" s="724"/>
    </row>
    <row r="155" spans="1:6" s="722" customFormat="1" ht="15" customHeight="1" thickBot="1">
      <c r="A155" s="907">
        <v>42337</v>
      </c>
      <c r="B155" s="720">
        <v>42343</v>
      </c>
      <c r="C155" s="721">
        <v>3.1269999999999998</v>
      </c>
      <c r="D155" s="1039"/>
      <c r="E155" s="1040"/>
      <c r="F155" s="724"/>
    </row>
    <row r="156" spans="1:6" s="722" customFormat="1" ht="15" customHeight="1" thickBot="1">
      <c r="A156" s="907">
        <v>42344</v>
      </c>
      <c r="B156" s="720">
        <v>42350</v>
      </c>
      <c r="C156" s="721">
        <v>3.1259999999999999</v>
      </c>
      <c r="D156" s="1039"/>
      <c r="E156" s="1040"/>
      <c r="F156" s="724"/>
    </row>
    <row r="157" spans="1:6" s="722" customFormat="1" ht="15" customHeight="1" thickBot="1">
      <c r="A157" s="907">
        <v>42351</v>
      </c>
      <c r="B157" s="720">
        <v>42357</v>
      </c>
      <c r="C157" s="721">
        <v>3.1280000000000001</v>
      </c>
      <c r="D157" s="1039"/>
      <c r="E157" s="1040"/>
      <c r="F157" s="724"/>
    </row>
    <row r="158" spans="1:6" s="722" customFormat="1" ht="15" customHeight="1" thickBot="1">
      <c r="A158" s="907">
        <v>42358</v>
      </c>
      <c r="B158" s="720">
        <v>42364</v>
      </c>
      <c r="C158" s="721">
        <v>3.129</v>
      </c>
      <c r="D158" s="1039"/>
      <c r="E158" s="1040"/>
      <c r="F158" s="724"/>
    </row>
    <row r="159" spans="1:6" s="722" customFormat="1" ht="15" customHeight="1" thickBot="1">
      <c r="A159" s="907">
        <v>42372</v>
      </c>
      <c r="B159" s="720">
        <v>42378</v>
      </c>
      <c r="C159" s="721">
        <v>3.1389999999999998</v>
      </c>
      <c r="D159" s="1039"/>
      <c r="E159" s="1040"/>
      <c r="F159" s="724"/>
    </row>
    <row r="160" spans="1:6" s="722" customFormat="1" ht="15" customHeight="1" thickBot="1">
      <c r="A160" s="907">
        <v>42379</v>
      </c>
      <c r="B160" s="720">
        <v>42385</v>
      </c>
      <c r="C160" s="721">
        <v>3.1469999999999998</v>
      </c>
      <c r="D160" s="1039"/>
      <c r="E160" s="1040"/>
      <c r="F160" s="724"/>
    </row>
    <row r="161" spans="1:6" s="722" customFormat="1" ht="15" customHeight="1" thickBot="1">
      <c r="A161" s="907">
        <v>42386</v>
      </c>
      <c r="B161" s="720">
        <v>42392</v>
      </c>
      <c r="C161" s="721">
        <v>3.15</v>
      </c>
      <c r="D161" s="1039"/>
      <c r="E161" s="1040"/>
      <c r="F161" s="724"/>
    </row>
    <row r="162" spans="1:6" s="722" customFormat="1" ht="15" customHeight="1" thickBot="1">
      <c r="A162" s="907">
        <v>42393</v>
      </c>
      <c r="B162" s="720">
        <v>42399</v>
      </c>
      <c r="C162" s="721">
        <v>3.1560000000000001</v>
      </c>
      <c r="D162" s="1039"/>
      <c r="E162" s="1040"/>
      <c r="F162" s="724"/>
    </row>
    <row r="163" spans="1:6" s="722" customFormat="1" ht="15" customHeight="1" thickBot="1">
      <c r="A163" s="907">
        <v>42400</v>
      </c>
      <c r="B163" s="720">
        <v>42406</v>
      </c>
      <c r="C163" s="721">
        <v>3.1560000000000001</v>
      </c>
      <c r="D163" s="1039"/>
      <c r="E163" s="1040"/>
      <c r="F163" s="724"/>
    </row>
    <row r="164" spans="1:6" s="722" customFormat="1" ht="15" customHeight="1" thickBot="1">
      <c r="A164" s="907">
        <v>42407</v>
      </c>
      <c r="B164" s="720">
        <v>42413</v>
      </c>
      <c r="C164" s="721">
        <v>3.1579999999999999</v>
      </c>
      <c r="D164" s="1039"/>
      <c r="E164" s="1040"/>
      <c r="F164" s="724"/>
    </row>
    <row r="165" spans="1:6" s="722" customFormat="1" ht="15" customHeight="1" thickBot="1">
      <c r="A165" s="907">
        <v>42414</v>
      </c>
      <c r="B165" s="720">
        <v>42420</v>
      </c>
      <c r="C165" s="721">
        <v>3.157</v>
      </c>
      <c r="D165" s="1039"/>
      <c r="E165" s="1040"/>
      <c r="F165" s="724"/>
    </row>
    <row r="166" spans="1:6" s="722" customFormat="1" ht="15" customHeight="1" thickBot="1">
      <c r="A166" s="907">
        <v>42421</v>
      </c>
      <c r="B166" s="720">
        <v>42427</v>
      </c>
      <c r="C166" s="721">
        <v>3.16</v>
      </c>
      <c r="D166" s="1039"/>
      <c r="E166" s="1040"/>
      <c r="F166" s="724"/>
    </row>
    <row r="167" spans="1:6" s="722" customFormat="1" ht="15" customHeight="1" thickBot="1">
      <c r="A167" s="907">
        <v>42428</v>
      </c>
      <c r="B167" s="720">
        <v>42434</v>
      </c>
      <c r="C167" s="721">
        <v>3.161</v>
      </c>
      <c r="D167" s="1039"/>
      <c r="E167" s="1040"/>
      <c r="F167" s="724"/>
    </row>
    <row r="168" spans="1:6" s="722" customFormat="1" ht="15" customHeight="1" thickBot="1">
      <c r="A168" s="907">
        <v>42435</v>
      </c>
      <c r="B168" s="720">
        <v>42441</v>
      </c>
      <c r="C168" s="721">
        <v>3.1629999999999998</v>
      </c>
      <c r="D168" s="1039"/>
      <c r="E168" s="1040"/>
      <c r="F168" s="724"/>
    </row>
    <row r="169" spans="1:6" s="722" customFormat="1" ht="15" customHeight="1" thickBot="1">
      <c r="A169" s="907">
        <v>42442</v>
      </c>
      <c r="B169" s="720">
        <v>42448</v>
      </c>
      <c r="C169" s="721">
        <v>3.165</v>
      </c>
      <c r="D169" s="1039"/>
      <c r="E169" s="1040"/>
      <c r="F169" s="724"/>
    </row>
    <row r="170" spans="1:6" s="722" customFormat="1" ht="15" customHeight="1" thickBot="1">
      <c r="A170" s="913">
        <v>42449</v>
      </c>
      <c r="B170" s="914">
        <v>42455</v>
      </c>
      <c r="C170" s="915">
        <v>3.1629999999999998</v>
      </c>
      <c r="D170" s="982"/>
      <c r="E170" s="1069"/>
      <c r="F170" s="724"/>
    </row>
    <row r="171" spans="1:6" s="722" customFormat="1" ht="15" customHeight="1" thickBot="1">
      <c r="A171" s="907">
        <v>42456</v>
      </c>
      <c r="B171" s="720">
        <v>42462</v>
      </c>
      <c r="C171" s="721">
        <v>3.165</v>
      </c>
      <c r="D171" s="1039"/>
      <c r="E171" s="1040"/>
      <c r="F171" s="724"/>
    </row>
    <row r="172" spans="1:6" s="722" customFormat="1" ht="15" customHeight="1" thickBot="1">
      <c r="A172" s="907">
        <v>42463</v>
      </c>
      <c r="B172" s="720">
        <v>42469</v>
      </c>
      <c r="C172" s="721">
        <v>3.1669999999999998</v>
      </c>
      <c r="D172" s="1039"/>
      <c r="E172" s="1040"/>
      <c r="F172" s="724"/>
    </row>
    <row r="173" spans="1:6" s="722" customFormat="1" ht="15" customHeight="1" thickBot="1">
      <c r="A173" s="907">
        <v>42470</v>
      </c>
      <c r="B173" s="720">
        <v>42476</v>
      </c>
      <c r="C173" s="721">
        <v>3.1640000000000001</v>
      </c>
      <c r="D173" s="1039"/>
      <c r="E173" s="1040"/>
      <c r="F173" s="724"/>
    </row>
    <row r="174" spans="1:6" s="722" customFormat="1" ht="15" customHeight="1" thickBot="1">
      <c r="A174" s="907">
        <v>42477</v>
      </c>
      <c r="B174" s="720">
        <v>42483</v>
      </c>
      <c r="C174" s="721">
        <v>3.165</v>
      </c>
      <c r="D174" s="1039"/>
      <c r="E174" s="1040"/>
      <c r="F174" s="724"/>
    </row>
    <row r="175" spans="1:6" s="722" customFormat="1" ht="15" customHeight="1" thickBot="1">
      <c r="A175" s="907">
        <v>42484</v>
      </c>
      <c r="B175" s="720">
        <v>42490</v>
      </c>
      <c r="C175" s="721">
        <v>3.1640000000000001</v>
      </c>
      <c r="D175" s="1039"/>
      <c r="E175" s="1040"/>
      <c r="F175" s="724"/>
    </row>
    <row r="176" spans="1:6" s="722" customFormat="1" ht="15" customHeight="1" thickBot="1">
      <c r="A176" s="907">
        <v>42491</v>
      </c>
      <c r="B176" s="720">
        <v>42497</v>
      </c>
      <c r="C176" s="721">
        <v>3.1629999999999998</v>
      </c>
      <c r="D176" s="1039"/>
      <c r="E176" s="1040"/>
      <c r="F176" s="724"/>
    </row>
    <row r="177" spans="1:6" s="722" customFormat="1" ht="15" customHeight="1" thickBot="1">
      <c r="A177" s="907">
        <v>42498</v>
      </c>
      <c r="B177" s="720">
        <v>42504</v>
      </c>
      <c r="C177" s="721">
        <v>3.1659999999999999</v>
      </c>
      <c r="D177" s="1039"/>
      <c r="E177" s="1040"/>
      <c r="F177" s="724"/>
    </row>
    <row r="178" spans="1:6" s="722" customFormat="1" ht="15" customHeight="1" thickBot="1">
      <c r="A178" s="907">
        <v>42505</v>
      </c>
      <c r="B178" s="720">
        <v>42511</v>
      </c>
      <c r="C178" s="721">
        <v>3.16</v>
      </c>
      <c r="D178" s="1039"/>
      <c r="E178" s="1040"/>
      <c r="F178" s="724"/>
    </row>
    <row r="179" spans="1:6" s="722" customFormat="1" ht="15" customHeight="1" thickBot="1">
      <c r="A179" s="907">
        <v>42512</v>
      </c>
      <c r="B179" s="720">
        <v>42518</v>
      </c>
      <c r="C179" s="721">
        <v>3.1579999999999999</v>
      </c>
      <c r="D179" s="1039"/>
      <c r="E179" s="1040"/>
      <c r="F179" s="724"/>
    </row>
    <row r="180" spans="1:6" s="722" customFormat="1" ht="15" customHeight="1" thickBot="1">
      <c r="A180" s="907">
        <v>42519</v>
      </c>
      <c r="B180" s="720">
        <v>42525</v>
      </c>
      <c r="C180" s="721">
        <v>3.1549999999999998</v>
      </c>
      <c r="D180" s="1039"/>
      <c r="E180" s="1040"/>
      <c r="F180" s="724"/>
    </row>
    <row r="181" spans="1:6" s="722" customFormat="1" ht="15" customHeight="1" thickBot="1">
      <c r="A181" s="907">
        <v>42526</v>
      </c>
      <c r="B181" s="720">
        <v>42532</v>
      </c>
      <c r="C181" s="721">
        <v>3.16</v>
      </c>
      <c r="D181" s="1039"/>
      <c r="E181" s="1040"/>
      <c r="F181" s="724"/>
    </row>
    <row r="182" spans="1:6" s="722" customFormat="1" ht="15" customHeight="1" thickBot="1">
      <c r="A182" s="907">
        <v>42533</v>
      </c>
      <c r="B182" s="720">
        <v>42539</v>
      </c>
      <c r="C182" s="721">
        <v>3.1579999999999999</v>
      </c>
      <c r="D182" s="1039"/>
      <c r="E182" s="1040"/>
      <c r="F182" s="724"/>
    </row>
    <row r="183" spans="1:6" s="722" customFormat="1" ht="15" customHeight="1" thickBot="1">
      <c r="A183" s="907">
        <v>42540</v>
      </c>
      <c r="B183" s="720">
        <v>42546</v>
      </c>
      <c r="C183" s="721">
        <v>3.1589999999999998</v>
      </c>
      <c r="D183" s="1039"/>
      <c r="E183" s="1040"/>
      <c r="F183" s="1109"/>
    </row>
    <row r="184" spans="1:6" s="722" customFormat="1" ht="15" customHeight="1" thickBot="1">
      <c r="A184" s="907">
        <v>42547</v>
      </c>
      <c r="B184" s="720">
        <v>42553</v>
      </c>
      <c r="C184" s="721">
        <v>3.1589999999999998</v>
      </c>
      <c r="D184" s="1039"/>
      <c r="E184" s="1040"/>
      <c r="F184" s="724"/>
    </row>
    <row r="185" spans="1:6" s="722" customFormat="1" ht="15" customHeight="1" thickBot="1">
      <c r="A185" s="907">
        <v>42554</v>
      </c>
      <c r="B185" s="720">
        <v>42560</v>
      </c>
      <c r="C185" s="721">
        <v>3.1589999999999998</v>
      </c>
      <c r="D185" s="1039"/>
      <c r="E185" s="1040"/>
      <c r="F185" s="724"/>
    </row>
    <row r="186" spans="1:6" s="722" customFormat="1" ht="15" customHeight="1" thickBot="1">
      <c r="A186" s="907">
        <v>42561</v>
      </c>
      <c r="B186" s="720">
        <v>42567</v>
      </c>
      <c r="C186" s="721">
        <v>3.1549999999999998</v>
      </c>
      <c r="D186" s="1039"/>
      <c r="E186" s="1040"/>
      <c r="F186" s="724"/>
    </row>
    <row r="187" spans="1:6" s="722" customFormat="1" ht="15" customHeight="1" thickBot="1">
      <c r="A187" s="913">
        <v>42568</v>
      </c>
      <c r="B187" s="914">
        <v>42574</v>
      </c>
      <c r="C187" s="915">
        <v>3.15</v>
      </c>
      <c r="D187" s="982"/>
      <c r="E187" s="1069"/>
      <c r="F187" s="724"/>
    </row>
    <row r="188" spans="1:6" s="722" customFormat="1" ht="15" customHeight="1" thickBot="1">
      <c r="A188" s="907">
        <v>42575</v>
      </c>
      <c r="B188" s="720">
        <v>42581</v>
      </c>
      <c r="C188" s="721">
        <v>3.1520000000000001</v>
      </c>
      <c r="D188" s="1039"/>
      <c r="E188" s="1040"/>
      <c r="F188" s="724"/>
    </row>
    <row r="189" spans="1:6" s="722" customFormat="1" ht="15" customHeight="1" thickBot="1">
      <c r="A189" s="907">
        <v>42582</v>
      </c>
      <c r="B189" s="720">
        <v>42588</v>
      </c>
      <c r="C189" s="721">
        <v>3.1520000000000001</v>
      </c>
      <c r="D189" s="1039"/>
      <c r="E189" s="1040"/>
      <c r="F189" s="724"/>
    </row>
    <row r="190" spans="1:6" s="722" customFormat="1" ht="15" customHeight="1" thickBot="1">
      <c r="A190" s="907">
        <v>42589</v>
      </c>
      <c r="B190" s="720">
        <v>42595</v>
      </c>
      <c r="C190" s="721">
        <v>3.1509999999999998</v>
      </c>
      <c r="D190" s="1039"/>
      <c r="E190" s="1040"/>
      <c r="F190" s="724"/>
    </row>
    <row r="191" spans="1:6" s="722" customFormat="1" ht="15" customHeight="1" thickBot="1">
      <c r="A191" s="913">
        <v>42596</v>
      </c>
      <c r="B191" s="914">
        <v>42602</v>
      </c>
      <c r="C191" s="915">
        <v>3.15</v>
      </c>
      <c r="D191" s="982"/>
      <c r="E191" s="1069"/>
      <c r="F191" s="724"/>
    </row>
    <row r="192" spans="1:6" s="722" customFormat="1" ht="15" customHeight="1" thickBot="1">
      <c r="A192" s="913">
        <v>42603</v>
      </c>
      <c r="B192" s="914">
        <v>42609</v>
      </c>
      <c r="C192" s="915">
        <v>3.15</v>
      </c>
      <c r="D192" s="982"/>
      <c r="E192" s="1069"/>
      <c r="F192" s="724"/>
    </row>
    <row r="193" spans="1:6" s="722" customFormat="1" ht="15" customHeight="1" thickBot="1">
      <c r="A193" s="907">
        <v>42610</v>
      </c>
      <c r="B193" s="720">
        <v>42616</v>
      </c>
      <c r="C193" s="721">
        <v>3.149</v>
      </c>
      <c r="D193" s="1039"/>
      <c r="E193" s="1040"/>
      <c r="F193" s="724"/>
    </row>
    <row r="194" spans="1:6" s="722" customFormat="1" ht="15" customHeight="1" thickBot="1">
      <c r="A194" s="1110">
        <v>42617</v>
      </c>
      <c r="B194" s="1111">
        <v>42623</v>
      </c>
      <c r="C194" s="1011">
        <v>3.1509999999999998</v>
      </c>
      <c r="D194" s="1112"/>
      <c r="E194" s="1113"/>
      <c r="F194" s="724"/>
    </row>
    <row r="195" spans="1:6" s="722" customFormat="1" ht="15" customHeight="1" thickBot="1">
      <c r="A195" s="907">
        <v>42624</v>
      </c>
      <c r="B195" s="720">
        <v>42630</v>
      </c>
      <c r="C195" s="721">
        <v>3.149</v>
      </c>
      <c r="D195" s="1039"/>
      <c r="E195" s="1040"/>
      <c r="F195" s="724"/>
    </row>
    <row r="196" spans="1:6" s="722" customFormat="1" ht="15" customHeight="1" thickBot="1">
      <c r="A196" s="907">
        <v>42631</v>
      </c>
      <c r="B196" s="720">
        <v>42637</v>
      </c>
      <c r="C196" s="721">
        <v>3.15</v>
      </c>
      <c r="D196" s="1039"/>
      <c r="E196" s="1040"/>
      <c r="F196" s="724"/>
    </row>
    <row r="197" spans="1:6" s="722" customFormat="1" ht="15" customHeight="1" thickBot="1">
      <c r="A197" s="913">
        <v>42638</v>
      </c>
      <c r="B197" s="914">
        <v>42644</v>
      </c>
      <c r="C197" s="915">
        <v>3.149</v>
      </c>
      <c r="D197" s="982"/>
      <c r="E197" s="1069"/>
      <c r="F197" s="724"/>
    </row>
    <row r="198" spans="1:6" s="722" customFormat="1" ht="15" customHeight="1" thickBot="1">
      <c r="A198" s="907">
        <v>42645</v>
      </c>
      <c r="B198" s="720">
        <v>42651</v>
      </c>
      <c r="C198" s="721">
        <v>3.1480000000000001</v>
      </c>
      <c r="D198" s="1039"/>
      <c r="E198" s="1040"/>
      <c r="F198" s="724"/>
    </row>
    <row r="199" spans="1:6" s="722" customFormat="1" ht="15" customHeight="1" thickBot="1">
      <c r="A199" s="913">
        <v>42652</v>
      </c>
      <c r="B199" s="914">
        <v>42658</v>
      </c>
      <c r="C199" s="915">
        <v>3.1459999999999999</v>
      </c>
      <c r="D199" s="982"/>
      <c r="E199" s="1069"/>
      <c r="F199" s="724"/>
    </row>
    <row r="200" spans="1:6" s="722" customFormat="1" ht="15" customHeight="1" thickBot="1">
      <c r="A200" s="913">
        <v>42659</v>
      </c>
      <c r="B200" s="914">
        <v>42665</v>
      </c>
      <c r="C200" s="915">
        <v>3.15</v>
      </c>
      <c r="D200" s="1114"/>
      <c r="E200" s="1115"/>
      <c r="F200" s="724"/>
    </row>
    <row r="201" spans="1:6" s="722" customFormat="1" ht="15" customHeight="1" thickBot="1">
      <c r="A201" s="913">
        <v>42666</v>
      </c>
      <c r="B201" s="914">
        <v>42672</v>
      </c>
      <c r="C201" s="915">
        <v>3.1469999999999998</v>
      </c>
      <c r="D201" s="1114"/>
      <c r="E201" s="1115"/>
      <c r="F201" s="724"/>
    </row>
    <row r="202" spans="1:6" s="722" customFormat="1" ht="15" customHeight="1" thickBot="1">
      <c r="A202" s="907">
        <v>42673</v>
      </c>
      <c r="B202" s="720">
        <v>42679</v>
      </c>
      <c r="C202" s="721">
        <v>3.1469999999999998</v>
      </c>
      <c r="D202" s="1118"/>
      <c r="E202" s="1119"/>
      <c r="F202" s="724"/>
    </row>
    <row r="203" spans="1:6" s="722" customFormat="1" ht="15" customHeight="1" thickBot="1">
      <c r="A203" s="907">
        <v>42680</v>
      </c>
      <c r="B203" s="720">
        <v>42686</v>
      </c>
      <c r="C203" s="721">
        <v>3.1509999999999998</v>
      </c>
      <c r="D203" s="1118"/>
      <c r="E203" s="1119"/>
      <c r="F203" s="724"/>
    </row>
    <row r="204" spans="1:6" s="722" customFormat="1" ht="15" customHeight="1" thickBot="1">
      <c r="A204" s="907">
        <v>42687</v>
      </c>
      <c r="B204" s="720">
        <v>42693</v>
      </c>
      <c r="C204" s="721">
        <v>3.1429999999999998</v>
      </c>
      <c r="D204" s="1118"/>
      <c r="E204" s="1119"/>
      <c r="F204" s="724"/>
    </row>
    <row r="205" spans="1:6" s="722" customFormat="1" ht="15" customHeight="1" thickBot="1">
      <c r="A205" s="913">
        <v>42694</v>
      </c>
      <c r="B205" s="914">
        <v>42700</v>
      </c>
      <c r="C205" s="915">
        <v>3.1280000000000001</v>
      </c>
      <c r="D205" s="1114"/>
      <c r="E205" s="1115"/>
      <c r="F205" s="724"/>
    </row>
    <row r="206" spans="1:6" s="722" customFormat="1" ht="15" customHeight="1" thickBot="1">
      <c r="A206" s="907">
        <v>42701</v>
      </c>
      <c r="B206" s="720">
        <v>42707</v>
      </c>
      <c r="C206" s="721">
        <v>3.1139999999999999</v>
      </c>
      <c r="D206" s="1118"/>
      <c r="E206" s="1119"/>
      <c r="F206" s="724"/>
    </row>
    <row r="207" spans="1:6" s="722" customFormat="1" ht="15" customHeight="1" thickBot="1">
      <c r="A207" s="907">
        <v>42708</v>
      </c>
      <c r="B207" s="720">
        <v>42714</v>
      </c>
      <c r="C207" s="721">
        <v>3.13</v>
      </c>
      <c r="D207" s="1118"/>
      <c r="E207" s="1119"/>
      <c r="F207" s="724"/>
    </row>
    <row r="208" spans="1:6" s="722" customFormat="1" ht="15" customHeight="1" thickBot="1">
      <c r="A208" s="907">
        <v>42715</v>
      </c>
      <c r="B208" s="720">
        <v>42721</v>
      </c>
      <c r="C208" s="721">
        <v>3.173</v>
      </c>
      <c r="D208" s="1118"/>
      <c r="E208" s="1119"/>
      <c r="F208" s="724"/>
    </row>
    <row r="209" spans="1:6" s="722" customFormat="1" ht="15" customHeight="1" thickBot="1">
      <c r="A209" s="907">
        <v>42722</v>
      </c>
      <c r="B209" s="720">
        <v>42728</v>
      </c>
      <c r="C209" s="721">
        <v>3.19</v>
      </c>
      <c r="D209" s="1118"/>
      <c r="E209" s="1119"/>
      <c r="F209" s="724"/>
    </row>
    <row r="210" spans="1:6" s="722" customFormat="1" ht="15" customHeight="1" thickBot="1">
      <c r="A210" s="913">
        <v>42729</v>
      </c>
      <c r="B210" s="914">
        <v>42735</v>
      </c>
      <c r="C210" s="915">
        <v>3.19</v>
      </c>
      <c r="D210" s="1114"/>
      <c r="E210" s="1115"/>
      <c r="F210" s="724"/>
    </row>
    <row r="211" spans="1:6" s="722" customFormat="1" ht="15" customHeight="1" thickBot="1">
      <c r="A211" s="907">
        <v>42736</v>
      </c>
      <c r="B211" s="720">
        <v>42742</v>
      </c>
      <c r="C211" s="721">
        <v>3.194</v>
      </c>
      <c r="D211" s="1118"/>
      <c r="E211" s="1119"/>
      <c r="F211" s="724"/>
    </row>
    <row r="212" spans="1:6" s="722" customFormat="1" ht="15" customHeight="1" thickBot="1">
      <c r="A212" s="907">
        <v>42743</v>
      </c>
      <c r="B212" s="720">
        <v>42749</v>
      </c>
      <c r="C212" s="721">
        <v>3.2320000000000002</v>
      </c>
      <c r="D212" s="1118"/>
      <c r="E212" s="1119"/>
      <c r="F212" s="724"/>
    </row>
    <row r="213" spans="1:6" s="722" customFormat="1" ht="15" customHeight="1" thickBot="1">
      <c r="A213" s="907">
        <v>42750</v>
      </c>
      <c r="B213" s="720">
        <v>42756</v>
      </c>
      <c r="C213" s="721">
        <v>3.2589999999999999</v>
      </c>
      <c r="D213" s="1118"/>
      <c r="E213" s="1119"/>
      <c r="F213" s="724"/>
    </row>
    <row r="214" spans="1:6" s="722" customFormat="1" ht="15" customHeight="1" thickBot="1">
      <c r="A214" s="913">
        <v>42757</v>
      </c>
      <c r="B214" s="914">
        <v>42763</v>
      </c>
      <c r="C214" s="915">
        <v>3.262</v>
      </c>
      <c r="D214" s="1114"/>
      <c r="E214" s="1115"/>
      <c r="F214" s="724"/>
    </row>
    <row r="215" spans="1:6" s="722" customFormat="1" ht="15" customHeight="1" thickBot="1">
      <c r="A215" s="907">
        <v>42764</v>
      </c>
      <c r="B215" s="720">
        <v>42770</v>
      </c>
      <c r="C215" s="721">
        <v>3.254</v>
      </c>
      <c r="D215" s="1118"/>
      <c r="E215" s="1119"/>
      <c r="F215" s="724"/>
    </row>
    <row r="216" spans="1:6" s="722" customFormat="1" ht="15" customHeight="1" thickBot="1">
      <c r="A216" s="907">
        <v>42771</v>
      </c>
      <c r="B216" s="720">
        <v>42777</v>
      </c>
      <c r="C216" s="721">
        <v>3.2450000000000001</v>
      </c>
      <c r="D216" s="1118"/>
      <c r="E216" s="1119"/>
      <c r="F216" s="724"/>
    </row>
    <row r="217" spans="1:6" s="722" customFormat="1" ht="15" customHeight="1" thickBot="1">
      <c r="A217" s="907">
        <v>42778</v>
      </c>
      <c r="B217" s="720">
        <v>42784</v>
      </c>
      <c r="C217" s="721">
        <v>3.2389999999999999</v>
      </c>
      <c r="D217" s="1118"/>
      <c r="E217" s="1119"/>
      <c r="F217" s="724"/>
    </row>
    <row r="218" spans="1:6" s="722" customFormat="1" ht="15" customHeight="1" thickBot="1">
      <c r="A218" s="913">
        <v>42785</v>
      </c>
      <c r="B218" s="914">
        <v>42791</v>
      </c>
      <c r="C218" s="915">
        <v>3.238</v>
      </c>
      <c r="D218" s="1114"/>
      <c r="E218" s="1115"/>
      <c r="F218" s="724"/>
    </row>
    <row r="219" spans="1:6" s="722" customFormat="1" ht="15" customHeight="1" thickBot="1">
      <c r="A219" s="907">
        <v>42792</v>
      </c>
      <c r="B219" s="720">
        <v>42798</v>
      </c>
      <c r="C219" s="721">
        <v>3.2290000000000001</v>
      </c>
      <c r="D219" s="1118"/>
      <c r="E219" s="1119"/>
      <c r="F219" s="724"/>
    </row>
    <row r="220" spans="1:6" s="722" customFormat="1" ht="15" customHeight="1" thickBot="1">
      <c r="A220" s="907">
        <v>42799</v>
      </c>
      <c r="B220" s="720">
        <v>42805</v>
      </c>
      <c r="C220" s="721">
        <v>3.206</v>
      </c>
      <c r="D220" s="1118"/>
      <c r="E220" s="1119"/>
      <c r="F220" s="724"/>
    </row>
    <row r="221" spans="1:6" s="722" customFormat="1" ht="15" customHeight="1" thickBot="1">
      <c r="A221" s="907">
        <v>42806</v>
      </c>
      <c r="B221" s="720">
        <v>42812</v>
      </c>
      <c r="C221" s="721">
        <v>3.1890000000000001</v>
      </c>
      <c r="D221" s="1118"/>
      <c r="E221" s="1119"/>
      <c r="F221" s="724"/>
    </row>
    <row r="222" spans="1:6" s="722" customFormat="1" ht="15" customHeight="1" thickBot="1">
      <c r="A222" s="907">
        <v>42813</v>
      </c>
      <c r="B222" s="720">
        <v>42819</v>
      </c>
      <c r="C222" s="721">
        <v>3.1749999999999998</v>
      </c>
      <c r="D222" s="1118"/>
      <c r="E222" s="1119"/>
      <c r="F222" s="724"/>
    </row>
    <row r="223" spans="1:6" s="722" customFormat="1" ht="15" customHeight="1" thickBot="1">
      <c r="A223" s="913">
        <v>42820</v>
      </c>
      <c r="B223" s="914">
        <v>42826</v>
      </c>
      <c r="C223" s="915">
        <v>3.1669999999999998</v>
      </c>
      <c r="D223" s="1114"/>
      <c r="E223" s="1115"/>
      <c r="F223" s="724"/>
    </row>
    <row r="224" spans="1:6" s="722" customFormat="1" ht="15" customHeight="1" thickBot="1">
      <c r="A224" s="1041">
        <v>42827</v>
      </c>
      <c r="B224" s="1042">
        <v>42833</v>
      </c>
      <c r="C224" s="1043">
        <v>3.16</v>
      </c>
      <c r="D224" s="1133"/>
      <c r="E224" s="1134"/>
      <c r="F224" s="724"/>
    </row>
    <row r="225" spans="1:6" s="722" customFormat="1" ht="15" customHeight="1" thickBot="1">
      <c r="A225" s="1086">
        <v>42834</v>
      </c>
      <c r="B225" s="1087">
        <v>42840</v>
      </c>
      <c r="C225" s="1088">
        <v>3.1589999999999998</v>
      </c>
      <c r="D225" s="1131"/>
      <c r="E225" s="1132"/>
      <c r="F225" s="724"/>
    </row>
    <row r="226" spans="1:6" s="722" customFormat="1" ht="15" customHeight="1" thickBot="1">
      <c r="A226" s="1086">
        <v>42841</v>
      </c>
      <c r="B226" s="1087">
        <v>42847</v>
      </c>
      <c r="C226" s="1088">
        <v>3.1509999999999998</v>
      </c>
      <c r="D226" s="1131"/>
      <c r="E226" s="1132"/>
      <c r="F226" s="724"/>
    </row>
    <row r="227" spans="1:6" s="722" customFormat="1" ht="15" customHeight="1" thickBot="1">
      <c r="A227" s="902">
        <v>42848</v>
      </c>
      <c r="B227" s="903">
        <v>42854</v>
      </c>
      <c r="C227" s="904">
        <v>3.1539999999999999</v>
      </c>
      <c r="D227" s="1137"/>
      <c r="E227" s="1138"/>
      <c r="F227" s="724"/>
    </row>
    <row r="228" spans="1:6" s="722" customFormat="1" ht="15" customHeight="1" thickBot="1">
      <c r="A228" s="907">
        <v>42855</v>
      </c>
      <c r="B228" s="720">
        <v>42861</v>
      </c>
      <c r="C228" s="721">
        <v>3.1520000000000001</v>
      </c>
      <c r="D228" s="1118"/>
      <c r="E228" s="1119"/>
      <c r="F228" s="724"/>
    </row>
    <row r="229" spans="1:6" s="722" customFormat="1" ht="15" customHeight="1" thickBot="1">
      <c r="A229" s="907">
        <v>42862</v>
      </c>
      <c r="B229" s="720">
        <v>42868</v>
      </c>
      <c r="C229" s="721">
        <v>3.161</v>
      </c>
      <c r="D229" s="1118"/>
      <c r="E229" s="1119"/>
      <c r="F229" s="724"/>
    </row>
    <row r="230" spans="1:6" s="722" customFormat="1" ht="15" customHeight="1" thickBot="1">
      <c r="A230" s="907">
        <v>42869</v>
      </c>
      <c r="B230" s="720">
        <v>42875</v>
      </c>
      <c r="C230" s="721">
        <v>3.1560000000000001</v>
      </c>
      <c r="D230" s="1118"/>
      <c r="E230" s="1119"/>
      <c r="F230" s="724"/>
    </row>
    <row r="231" spans="1:6" s="722" customFormat="1" ht="15" customHeight="1" thickBot="1">
      <c r="A231" s="913">
        <v>42876</v>
      </c>
      <c r="B231" s="914">
        <v>42882</v>
      </c>
      <c r="C231" s="915">
        <v>3.1520000000000001</v>
      </c>
      <c r="D231" s="1114"/>
      <c r="E231" s="1115"/>
      <c r="F231" s="724"/>
    </row>
    <row r="232" spans="1:6" s="722" customFormat="1" ht="15" customHeight="1" thickBot="1">
      <c r="A232" s="907">
        <v>42883</v>
      </c>
      <c r="B232" s="720">
        <v>42889</v>
      </c>
      <c r="C232" s="721">
        <v>3.145</v>
      </c>
      <c r="D232" s="1118"/>
      <c r="E232" s="1119"/>
      <c r="F232" s="724"/>
    </row>
    <row r="233" spans="1:6" s="722" customFormat="1" ht="15" customHeight="1" thickBot="1">
      <c r="A233" s="907">
        <v>42890</v>
      </c>
      <c r="B233" s="720">
        <v>42896</v>
      </c>
      <c r="C233" s="721">
        <v>3.1379999999999999</v>
      </c>
      <c r="D233" s="1118"/>
      <c r="E233" s="1119"/>
      <c r="F233" s="724"/>
    </row>
    <row r="234" spans="1:6" s="722" customFormat="1" ht="15" customHeight="1" thickBot="1">
      <c r="A234" s="907">
        <v>42897</v>
      </c>
      <c r="B234" s="720">
        <v>42903</v>
      </c>
      <c r="C234" s="721">
        <v>3.1280000000000001</v>
      </c>
      <c r="D234" s="1118"/>
      <c r="E234" s="1119"/>
      <c r="F234" s="724"/>
    </row>
    <row r="235" spans="1:6" s="722" customFormat="1" ht="15" customHeight="1" thickBot="1">
      <c r="A235" s="907">
        <v>42904</v>
      </c>
      <c r="B235" s="720">
        <v>42910</v>
      </c>
      <c r="C235" s="721">
        <v>3.1150000000000002</v>
      </c>
      <c r="D235" s="1118"/>
      <c r="E235" s="1119"/>
      <c r="F235" s="724"/>
    </row>
    <row r="236" spans="1:6" s="722" customFormat="1" ht="15" customHeight="1" thickBot="1">
      <c r="A236" s="907">
        <v>42911</v>
      </c>
      <c r="B236" s="720">
        <v>42917</v>
      </c>
      <c r="C236" s="721">
        <v>3.0979999999999999</v>
      </c>
      <c r="D236" s="1118"/>
      <c r="E236" s="1119"/>
      <c r="F236" s="724"/>
    </row>
    <row r="237" spans="1:6" s="722" customFormat="1" ht="15" customHeight="1" thickBot="1">
      <c r="A237" s="907">
        <v>42918</v>
      </c>
      <c r="B237" s="720">
        <v>42924</v>
      </c>
      <c r="C237" s="721">
        <v>3.08</v>
      </c>
      <c r="D237" s="1118"/>
      <c r="E237" s="1119"/>
      <c r="F237" s="724"/>
    </row>
    <row r="238" spans="1:6" s="722" customFormat="1" ht="15" customHeight="1" thickBot="1">
      <c r="A238" s="907">
        <v>42925</v>
      </c>
      <c r="B238" s="720">
        <v>42931</v>
      </c>
      <c r="C238" s="721">
        <v>3.0720000000000001</v>
      </c>
      <c r="D238" s="1118"/>
      <c r="E238" s="1119"/>
      <c r="F238" s="724"/>
    </row>
    <row r="239" spans="1:6" s="722" customFormat="1" ht="15" customHeight="1" thickBot="1">
      <c r="A239" s="907">
        <v>42932</v>
      </c>
      <c r="B239" s="720">
        <v>42938</v>
      </c>
      <c r="C239" s="721">
        <v>3.05</v>
      </c>
      <c r="D239" s="1118"/>
      <c r="E239" s="1119"/>
      <c r="F239" s="724"/>
    </row>
    <row r="240" spans="1:6" s="722" customFormat="1" ht="15" customHeight="1" thickBot="1">
      <c r="A240" s="1150">
        <v>42939</v>
      </c>
      <c r="B240" s="1151">
        <v>42945</v>
      </c>
      <c r="C240" s="1152">
        <v>3.1850000000000001</v>
      </c>
      <c r="D240" s="1153"/>
      <c r="E240" s="1154"/>
      <c r="F240" s="724"/>
    </row>
    <row r="241" spans="1:6" s="722" customFormat="1" ht="15" customHeight="1" thickBot="1">
      <c r="A241" s="1150">
        <v>42946</v>
      </c>
      <c r="B241" s="1151">
        <v>42952</v>
      </c>
      <c r="C241" s="1152">
        <v>3.23</v>
      </c>
      <c r="D241" s="1153"/>
      <c r="E241" s="1154"/>
      <c r="F241" s="724"/>
    </row>
    <row r="242" spans="1:6" s="722" customFormat="1" ht="15" customHeight="1" thickBot="1">
      <c r="A242" s="1150">
        <v>42953</v>
      </c>
      <c r="B242" s="1151">
        <v>42959</v>
      </c>
      <c r="C242" s="1152">
        <v>3.2450000000000001</v>
      </c>
      <c r="D242" s="1153"/>
      <c r="E242" s="1154"/>
      <c r="F242" s="724"/>
    </row>
    <row r="243" spans="1:6" s="722" customFormat="1" ht="15" customHeight="1" thickBot="1">
      <c r="A243" s="1150">
        <v>42960</v>
      </c>
      <c r="B243" s="1151">
        <v>42966</v>
      </c>
      <c r="C243" s="1152">
        <v>3.2309999999999999</v>
      </c>
      <c r="D243" s="1153"/>
      <c r="E243" s="1154"/>
      <c r="F243" s="724"/>
    </row>
    <row r="244" spans="1:6" s="722" customFormat="1" ht="15" customHeight="1" thickBot="1">
      <c r="A244" s="1150">
        <v>42967</v>
      </c>
      <c r="B244" s="1151">
        <v>42973</v>
      </c>
      <c r="C244" s="1152">
        <v>3.246</v>
      </c>
      <c r="D244" s="1153"/>
      <c r="E244" s="1154"/>
      <c r="F244" s="724"/>
    </row>
    <row r="245" spans="1:6" s="722" customFormat="1" ht="15" customHeight="1" thickBot="1">
      <c r="A245" s="1209">
        <v>42974</v>
      </c>
      <c r="B245" s="1210">
        <v>42980</v>
      </c>
      <c r="C245" s="1211">
        <v>3.2330000000000001</v>
      </c>
      <c r="D245" s="1212"/>
      <c r="E245" s="1213"/>
      <c r="F245" s="724"/>
    </row>
    <row r="246" spans="1:6" s="722" customFormat="1" ht="15" customHeight="1" thickBot="1">
      <c r="A246" s="1150">
        <v>42981</v>
      </c>
      <c r="B246" s="1151">
        <v>42987</v>
      </c>
      <c r="C246" s="1152">
        <v>3.298</v>
      </c>
      <c r="D246" s="1153"/>
      <c r="E246" s="1154"/>
      <c r="F246" s="724"/>
    </row>
    <row r="247" spans="1:6" s="722" customFormat="1" ht="15" customHeight="1" thickBot="1">
      <c r="A247" s="1150">
        <v>42988</v>
      </c>
      <c r="B247" s="1151">
        <v>42994</v>
      </c>
      <c r="C247" s="1152">
        <v>3.2869999999999999</v>
      </c>
      <c r="D247" s="1153"/>
      <c r="E247" s="1154"/>
      <c r="F247" s="724"/>
    </row>
    <row r="248" spans="1:6" s="722" customFormat="1" ht="15" customHeight="1" thickBot="1">
      <c r="A248" s="1150">
        <v>42995</v>
      </c>
      <c r="B248" s="1151">
        <v>43001</v>
      </c>
      <c r="C248" s="1152">
        <v>3.3210000000000002</v>
      </c>
      <c r="D248" s="1153"/>
      <c r="E248" s="1154"/>
      <c r="F248" s="724"/>
    </row>
    <row r="249" spans="1:6" s="722" customFormat="1" ht="15" customHeight="1" thickBot="1">
      <c r="A249" s="1209">
        <v>43002</v>
      </c>
      <c r="B249" s="1210">
        <v>43008</v>
      </c>
      <c r="C249" s="1211">
        <v>3.3330000000000002</v>
      </c>
      <c r="D249" s="1212"/>
      <c r="E249" s="1213"/>
      <c r="F249" s="724"/>
    </row>
    <row r="250" spans="1:6" s="722" customFormat="1" ht="15" customHeight="1" thickBot="1">
      <c r="A250" s="1150">
        <v>43009</v>
      </c>
      <c r="B250" s="1151">
        <v>43015</v>
      </c>
      <c r="C250" s="1152">
        <v>3.3620000000000001</v>
      </c>
      <c r="D250" s="1153"/>
      <c r="E250" s="1154"/>
      <c r="F250" s="724"/>
    </row>
    <row r="251" spans="1:6" s="722" customFormat="1" ht="15" customHeight="1" thickBot="1">
      <c r="A251" s="1150">
        <v>43016</v>
      </c>
      <c r="B251" s="1151">
        <v>43022</v>
      </c>
      <c r="C251" s="1152">
        <v>3.3370000000000002</v>
      </c>
      <c r="D251" s="1153"/>
      <c r="E251" s="1154"/>
      <c r="F251" s="724"/>
    </row>
    <row r="252" spans="1:6" s="722" customFormat="1" ht="15" customHeight="1" thickBot="1">
      <c r="A252" s="1150">
        <v>43023</v>
      </c>
      <c r="B252" s="1151">
        <v>43029</v>
      </c>
      <c r="C252" s="1152">
        <v>3.36</v>
      </c>
      <c r="D252" s="1153"/>
      <c r="E252" s="1154"/>
      <c r="F252" s="724"/>
    </row>
    <row r="253" spans="1:6" s="722" customFormat="1" ht="15" customHeight="1" thickBot="1">
      <c r="A253" s="1150">
        <v>43030</v>
      </c>
      <c r="B253" s="1151">
        <v>43036</v>
      </c>
      <c r="C253" s="1152">
        <v>3.343</v>
      </c>
      <c r="D253" s="1153"/>
      <c r="E253" s="1154"/>
      <c r="F253" s="724"/>
    </row>
    <row r="254" spans="1:6" s="722" customFormat="1" ht="15" customHeight="1" thickBot="1">
      <c r="A254" s="1150">
        <v>43037</v>
      </c>
      <c r="B254" s="1151">
        <v>43043</v>
      </c>
      <c r="C254" s="1152">
        <v>3.234</v>
      </c>
      <c r="D254" s="1153"/>
      <c r="E254" s="1154"/>
      <c r="F254" s="724"/>
    </row>
    <row r="255" spans="1:6" s="722" customFormat="1" ht="15" customHeight="1" thickBot="1">
      <c r="A255" s="1150">
        <v>43044</v>
      </c>
      <c r="B255" s="1151">
        <v>43050</v>
      </c>
      <c r="C255" s="1152">
        <v>3.3740000000000001</v>
      </c>
      <c r="D255" s="1153"/>
      <c r="E255" s="1154"/>
      <c r="F255" s="724"/>
    </row>
    <row r="256" spans="1:6" s="722" customFormat="1" ht="15" customHeight="1" thickBot="1">
      <c r="A256" s="1150">
        <v>43051</v>
      </c>
      <c r="B256" s="1151">
        <v>43057</v>
      </c>
      <c r="C256" s="1152">
        <v>3.411</v>
      </c>
      <c r="D256" s="1153"/>
      <c r="E256" s="1154"/>
      <c r="F256" s="724"/>
    </row>
    <row r="257" spans="1:6" s="722" customFormat="1" ht="15" customHeight="1" thickBot="1">
      <c r="A257" s="1150">
        <v>43058</v>
      </c>
      <c r="B257" s="1151">
        <v>43064</v>
      </c>
      <c r="C257" s="1152">
        <v>3.4329999999999998</v>
      </c>
      <c r="D257" s="1153"/>
      <c r="E257" s="1154"/>
      <c r="F257" s="724"/>
    </row>
    <row r="258" spans="1:6" s="722" customFormat="1" ht="15" customHeight="1" thickBot="1">
      <c r="A258" s="1209">
        <v>43065</v>
      </c>
      <c r="B258" s="1210">
        <v>43071</v>
      </c>
      <c r="C258" s="1211">
        <v>3.4660000000000002</v>
      </c>
      <c r="D258" s="1212"/>
      <c r="E258" s="1213"/>
      <c r="F258" s="724"/>
    </row>
    <row r="259" spans="1:6" s="722" customFormat="1" ht="15" customHeight="1" thickBot="1">
      <c r="A259" s="1150">
        <v>43072</v>
      </c>
      <c r="B259" s="1151">
        <v>43078</v>
      </c>
      <c r="C259" s="1152">
        <v>3.4409999999999998</v>
      </c>
      <c r="D259" s="1153"/>
      <c r="E259" s="1154"/>
      <c r="F259" s="724"/>
    </row>
    <row r="260" spans="1:6" s="722" customFormat="1" ht="15" customHeight="1" thickBot="1">
      <c r="A260" s="1150">
        <v>43079</v>
      </c>
      <c r="B260" s="1151">
        <v>43085</v>
      </c>
      <c r="C260" s="1152">
        <v>3.4630000000000001</v>
      </c>
      <c r="D260" s="1153"/>
      <c r="E260" s="1154"/>
      <c r="F260" s="724"/>
    </row>
    <row r="261" spans="1:6" s="722" customFormat="1" ht="15" customHeight="1" thickBot="1">
      <c r="A261" s="1150">
        <v>43086</v>
      </c>
      <c r="B261" s="1151">
        <v>43092</v>
      </c>
      <c r="C261" s="1152">
        <v>3.4529999999999998</v>
      </c>
      <c r="D261" s="1153"/>
      <c r="E261" s="1154"/>
      <c r="F261" s="724"/>
    </row>
    <row r="262" spans="1:6" s="722" customFormat="1" ht="15" customHeight="1" thickBot="1">
      <c r="A262" s="1150">
        <v>43093</v>
      </c>
      <c r="B262" s="1151">
        <v>43099</v>
      </c>
      <c r="C262" s="1152">
        <v>3.464</v>
      </c>
      <c r="D262" s="1153"/>
      <c r="E262" s="1154"/>
      <c r="F262" s="724"/>
    </row>
    <row r="263" spans="1:6" s="722" customFormat="1" ht="15" customHeight="1" thickBot="1">
      <c r="A263" s="1150">
        <v>43100</v>
      </c>
      <c r="B263" s="1151">
        <v>43106</v>
      </c>
      <c r="C263" s="1152">
        <v>3.4790000000000001</v>
      </c>
      <c r="D263" s="1153"/>
      <c r="E263" s="1154"/>
      <c r="F263" s="724"/>
    </row>
    <row r="264" spans="1:6" s="722" customFormat="1" ht="15" customHeight="1" thickBot="1">
      <c r="A264" s="1150">
        <v>42742</v>
      </c>
      <c r="B264" s="1151">
        <v>43113</v>
      </c>
      <c r="C264" s="1152">
        <v>3.4940000000000002</v>
      </c>
      <c r="D264" s="1153"/>
      <c r="E264" s="1154"/>
      <c r="F264" s="724"/>
    </row>
    <row r="265" spans="1:6" s="722" customFormat="1" ht="15" customHeight="1" thickBot="1">
      <c r="A265" s="1150">
        <v>42749</v>
      </c>
      <c r="B265" s="1151">
        <v>43120</v>
      </c>
      <c r="C265" s="1152">
        <v>3.5009999999999999</v>
      </c>
      <c r="D265" s="1153"/>
      <c r="E265" s="1154"/>
      <c r="F265" s="724"/>
    </row>
    <row r="266" spans="1:6" s="722" customFormat="1" ht="15" customHeight="1" thickBot="1">
      <c r="A266" s="1209">
        <v>42756</v>
      </c>
      <c r="B266" s="1210">
        <v>43127</v>
      </c>
      <c r="C266" s="1211">
        <v>3.5009999999999999</v>
      </c>
      <c r="D266" s="1212"/>
      <c r="E266" s="1213"/>
      <c r="F266" s="724"/>
    </row>
    <row r="267" spans="1:6" s="722" customFormat="1" ht="15" customHeight="1" thickBot="1">
      <c r="A267" s="1150">
        <v>43128</v>
      </c>
      <c r="B267" s="1151">
        <v>43134</v>
      </c>
      <c r="C267" s="1152">
        <v>3.512</v>
      </c>
      <c r="D267" s="1153"/>
      <c r="E267" s="1154"/>
      <c r="F267" s="724"/>
    </row>
    <row r="268" spans="1:6" s="722" customFormat="1" ht="15" customHeight="1" thickBot="1">
      <c r="A268" s="1150">
        <v>43135</v>
      </c>
      <c r="B268" s="1151">
        <v>43141</v>
      </c>
      <c r="C268" s="1152">
        <v>3.5150000000000001</v>
      </c>
      <c r="D268" s="1153"/>
      <c r="E268" s="1154"/>
      <c r="F268" s="724"/>
    </row>
    <row r="269" spans="1:6" s="722" customFormat="1" ht="15" customHeight="1" thickBot="1">
      <c r="A269" s="1150">
        <v>43142</v>
      </c>
      <c r="B269" s="1151">
        <v>43148</v>
      </c>
      <c r="C269" s="1152">
        <v>3.512</v>
      </c>
      <c r="D269" s="1153"/>
      <c r="E269" s="1154"/>
      <c r="F269" s="724"/>
    </row>
    <row r="270" spans="1:6" s="722" customFormat="1" ht="15" customHeight="1" thickBot="1">
      <c r="A270" s="1150">
        <v>43149</v>
      </c>
      <c r="B270" s="1151">
        <v>43155</v>
      </c>
      <c r="C270" s="1152">
        <v>3.508</v>
      </c>
      <c r="D270" s="1153"/>
      <c r="E270" s="1154"/>
      <c r="F270" s="724"/>
    </row>
    <row r="271" spans="1:6" s="722" customFormat="1" ht="15" customHeight="1" thickBot="1">
      <c r="A271" s="1209">
        <v>43156</v>
      </c>
      <c r="B271" s="1210">
        <v>43162</v>
      </c>
      <c r="C271" s="1211">
        <v>3.5019999999999998</v>
      </c>
      <c r="D271" s="1212"/>
      <c r="E271" s="1213"/>
      <c r="F271" s="724"/>
    </row>
    <row r="272" spans="1:6" s="722" customFormat="1" ht="15" customHeight="1" thickBot="1">
      <c r="A272" s="1150">
        <v>43163</v>
      </c>
      <c r="B272" s="1151">
        <v>43169</v>
      </c>
      <c r="C272" s="1152">
        <v>3.5030000000000001</v>
      </c>
      <c r="D272" s="1153"/>
      <c r="E272" s="1154"/>
      <c r="F272" s="724"/>
    </row>
    <row r="273" spans="1:6" s="722" customFormat="1" ht="15" customHeight="1" thickBot="1">
      <c r="A273" s="1150">
        <v>43170</v>
      </c>
      <c r="B273" s="1151">
        <v>43176</v>
      </c>
      <c r="C273" s="1152">
        <v>3.5019999999999998</v>
      </c>
      <c r="D273" s="1153"/>
      <c r="E273" s="1154"/>
      <c r="F273" s="724"/>
    </row>
    <row r="274" spans="1:6" s="722" customFormat="1" ht="15" customHeight="1" thickBot="1">
      <c r="A274" s="1150">
        <v>43177</v>
      </c>
      <c r="B274" s="1151">
        <v>43183</v>
      </c>
      <c r="C274" s="1152">
        <v>3.4980000000000002</v>
      </c>
      <c r="D274" s="1153"/>
      <c r="E274" s="1154"/>
      <c r="F274" s="724"/>
    </row>
    <row r="275" spans="1:6" s="722" customFormat="1" ht="15" customHeight="1" thickBot="1">
      <c r="A275" s="1209">
        <v>43184</v>
      </c>
      <c r="B275" s="1210">
        <v>43190</v>
      </c>
      <c r="C275" s="1211">
        <v>3.504</v>
      </c>
      <c r="D275" s="1212"/>
      <c r="E275" s="1213"/>
      <c r="F275" s="724"/>
    </row>
    <row r="276" spans="1:6" s="722" customFormat="1" ht="15" customHeight="1" thickBot="1">
      <c r="A276" s="1150">
        <v>43191</v>
      </c>
      <c r="B276" s="1151">
        <v>43197</v>
      </c>
      <c r="C276" s="1152">
        <v>3.512</v>
      </c>
      <c r="D276" s="1153"/>
      <c r="E276" s="1154"/>
      <c r="F276" s="724"/>
    </row>
    <row r="277" spans="1:6" s="722" customFormat="1" ht="15" customHeight="1" thickBot="1">
      <c r="A277" s="1150">
        <v>43198</v>
      </c>
      <c r="B277" s="1151">
        <v>43204</v>
      </c>
      <c r="C277" s="1152">
        <v>3.4969999999999999</v>
      </c>
      <c r="D277" s="1153"/>
      <c r="E277" s="1154"/>
      <c r="F277" s="724"/>
    </row>
    <row r="278" spans="1:6" s="722" customFormat="1" ht="15" customHeight="1" thickBot="1">
      <c r="A278" s="1150">
        <v>43205</v>
      </c>
      <c r="B278" s="1151">
        <v>43211</v>
      </c>
      <c r="C278" s="1152">
        <v>3.5150000000000001</v>
      </c>
      <c r="D278" s="1153"/>
      <c r="E278" s="1154"/>
      <c r="F278" s="724"/>
    </row>
    <row r="279" spans="1:6" s="722" customFormat="1" ht="15" customHeight="1" thickBot="1">
      <c r="A279" s="1209">
        <v>43212</v>
      </c>
      <c r="B279" s="1210">
        <v>43218</v>
      </c>
      <c r="C279" s="1211">
        <v>3.5550000000000002</v>
      </c>
      <c r="D279" s="1212"/>
      <c r="E279" s="1213"/>
      <c r="F279" s="724"/>
    </row>
    <row r="280" spans="1:6" s="722" customFormat="1" ht="15" customHeight="1" thickBot="1">
      <c r="A280" s="1220">
        <v>43219</v>
      </c>
      <c r="B280" s="1151">
        <v>43225</v>
      </c>
      <c r="C280" s="1247">
        <v>3.585</v>
      </c>
      <c r="D280" s="1153"/>
      <c r="E280" s="1040"/>
      <c r="F280" s="724"/>
    </row>
    <row r="281" spans="1:6" s="722" customFormat="1" ht="15" customHeight="1" thickBot="1">
      <c r="A281" s="1220">
        <v>43226</v>
      </c>
      <c r="B281" s="1151">
        <v>43232</v>
      </c>
      <c r="C281" s="1247">
        <v>3.6440000000000001</v>
      </c>
      <c r="D281" s="1153"/>
      <c r="E281" s="1040"/>
      <c r="F281" s="724"/>
    </row>
    <row r="282" spans="1:6" s="722" customFormat="1" ht="15" customHeight="1" thickBot="1">
      <c r="A282" s="1220">
        <v>43233</v>
      </c>
      <c r="B282" s="1151">
        <v>43239</v>
      </c>
      <c r="C282" s="1247">
        <v>3.6909999999999998</v>
      </c>
      <c r="D282" s="1153"/>
      <c r="E282" s="1040"/>
      <c r="F282" s="724"/>
    </row>
    <row r="283" spans="1:6" s="722" customFormat="1" ht="15" customHeight="1" thickBot="1">
      <c r="A283" s="1220">
        <v>43240</v>
      </c>
      <c r="B283" s="1151">
        <v>43246</v>
      </c>
      <c r="C283" s="1247">
        <v>3.863</v>
      </c>
      <c r="D283" s="1153"/>
      <c r="E283" s="1040"/>
      <c r="F283" s="724"/>
    </row>
    <row r="284" spans="1:6" s="722" customFormat="1" ht="15" customHeight="1" thickBot="1">
      <c r="A284" s="1220">
        <v>43247</v>
      </c>
      <c r="B284" s="1151">
        <v>43253</v>
      </c>
      <c r="C284" s="1247">
        <v>3.899</v>
      </c>
      <c r="D284" s="1153"/>
      <c r="E284" s="1040"/>
      <c r="F284" s="724"/>
    </row>
    <row r="285" spans="1:6" s="722" customFormat="1" ht="15" customHeight="1" thickBot="1">
      <c r="A285" s="1220">
        <v>43254</v>
      </c>
      <c r="B285" s="1151">
        <v>43260</v>
      </c>
      <c r="C285" s="1247">
        <v>3.5739999999999998</v>
      </c>
      <c r="D285" s="1153"/>
      <c r="E285" s="1040"/>
      <c r="F285" s="724"/>
    </row>
    <row r="286" spans="1:6" s="722" customFormat="1" ht="15" customHeight="1" thickBot="1">
      <c r="A286" s="1220">
        <v>43261</v>
      </c>
      <c r="B286" s="1151">
        <v>43267</v>
      </c>
      <c r="C286" s="1247">
        <v>3.5169999999999999</v>
      </c>
      <c r="D286" s="1153"/>
      <c r="E286" s="1040"/>
      <c r="F286" s="724"/>
    </row>
    <row r="287" spans="1:6" s="722" customFormat="1" ht="15" customHeight="1" thickBot="1">
      <c r="A287" s="1220">
        <v>43268</v>
      </c>
      <c r="B287" s="1151">
        <v>43274</v>
      </c>
      <c r="C287" s="1247">
        <v>3.4769999999999999</v>
      </c>
      <c r="D287" s="1153"/>
      <c r="E287" s="1040"/>
      <c r="F287" s="724"/>
    </row>
    <row r="288" spans="1:6" s="722" customFormat="1" ht="15" customHeight="1" thickBot="1">
      <c r="A288" s="907">
        <v>43275</v>
      </c>
      <c r="B288" s="720">
        <v>43281</v>
      </c>
      <c r="C288" s="1248">
        <v>3.4649999999999999</v>
      </c>
      <c r="D288" s="1118"/>
      <c r="E288" s="1119"/>
      <c r="F288" s="724"/>
    </row>
    <row r="289" spans="1:6" s="722" customFormat="1" ht="15" customHeight="1" thickBot="1">
      <c r="A289" s="907">
        <v>43282</v>
      </c>
      <c r="B289" s="720">
        <v>43288</v>
      </c>
      <c r="C289" s="1248">
        <v>3.4649999999999999</v>
      </c>
      <c r="D289" s="1223"/>
      <c r="E289" s="1119"/>
      <c r="F289" s="724"/>
    </row>
    <row r="290" spans="1:6" s="722" customFormat="1" ht="15" customHeight="1" thickBot="1">
      <c r="A290" s="907">
        <v>43289</v>
      </c>
      <c r="B290" s="720">
        <v>43295</v>
      </c>
      <c r="C290" s="1248">
        <v>3.4630000000000001</v>
      </c>
      <c r="D290" s="1223"/>
      <c r="E290" s="1119"/>
      <c r="F290" s="724"/>
    </row>
    <row r="291" spans="1:6" s="722" customFormat="1" ht="15" customHeight="1" thickBot="1">
      <c r="A291" s="907">
        <v>43296</v>
      </c>
      <c r="B291" s="720">
        <v>43302</v>
      </c>
      <c r="C291" s="1249">
        <v>3.4590000000000001</v>
      </c>
      <c r="D291" s="1223"/>
      <c r="E291" s="1119"/>
      <c r="F291" s="724"/>
    </row>
    <row r="292" spans="1:6" s="722" customFormat="1" ht="15" customHeight="1" thickBot="1">
      <c r="A292" s="907">
        <v>43303</v>
      </c>
      <c r="B292" s="720">
        <v>43309</v>
      </c>
      <c r="C292" s="1248">
        <v>3.456</v>
      </c>
      <c r="D292" s="1223"/>
      <c r="E292" s="1119"/>
      <c r="F292" s="724"/>
    </row>
    <row r="293" spans="1:6" s="722" customFormat="1" ht="15" customHeight="1" thickBot="1">
      <c r="A293" s="907">
        <v>43310</v>
      </c>
      <c r="B293" s="720">
        <v>43316</v>
      </c>
      <c r="C293" s="1248">
        <v>3.4529999999999998</v>
      </c>
      <c r="D293" s="1223"/>
      <c r="E293" s="1119"/>
      <c r="F293" s="724"/>
    </row>
    <row r="294" spans="1:6" s="722" customFormat="1" ht="15" customHeight="1" thickBot="1">
      <c r="A294" s="907">
        <v>43317</v>
      </c>
      <c r="B294" s="720">
        <v>43323</v>
      </c>
      <c r="C294" s="1248">
        <v>3.4590000000000001</v>
      </c>
      <c r="D294" s="1223"/>
      <c r="E294" s="1119"/>
      <c r="F294" s="724"/>
    </row>
    <row r="295" spans="1:6" s="722" customFormat="1" ht="15" customHeight="1" thickBot="1">
      <c r="A295" s="907">
        <v>43324</v>
      </c>
      <c r="B295" s="720">
        <v>43330</v>
      </c>
      <c r="C295" s="1248">
        <v>3.448</v>
      </c>
      <c r="D295" s="1223"/>
      <c r="E295" s="1119"/>
      <c r="F295" s="724"/>
    </row>
    <row r="296" spans="1:6" s="722" customFormat="1" ht="15" customHeight="1" thickBot="1">
      <c r="A296" s="907">
        <v>43331</v>
      </c>
      <c r="B296" s="720">
        <v>43337</v>
      </c>
      <c r="C296" s="1248">
        <v>3.4489999999999998</v>
      </c>
      <c r="D296" s="1223"/>
      <c r="E296" s="1119"/>
      <c r="F296" s="724"/>
    </row>
    <row r="297" spans="1:6" s="722" customFormat="1" ht="15" customHeight="1" thickBot="1">
      <c r="A297" s="907">
        <v>43338</v>
      </c>
      <c r="B297" s="720">
        <v>43344</v>
      </c>
      <c r="C297" s="1248">
        <v>3.452</v>
      </c>
      <c r="D297" s="1223"/>
      <c r="E297" s="1119"/>
      <c r="F297" s="724"/>
    </row>
    <row r="298" spans="1:6" s="722" customFormat="1" ht="15" customHeight="1" thickBot="1">
      <c r="A298" s="1220">
        <v>43345</v>
      </c>
      <c r="B298" s="1228">
        <v>43351</v>
      </c>
      <c r="C298" s="1250">
        <v>3.5830000000000002</v>
      </c>
      <c r="D298" s="1223"/>
      <c r="E298" s="1119"/>
      <c r="F298" s="724"/>
    </row>
    <row r="299" spans="1:6" s="722" customFormat="1" ht="15" customHeight="1" thickBot="1">
      <c r="A299" s="907">
        <v>43352</v>
      </c>
      <c r="B299" s="720">
        <v>43358</v>
      </c>
      <c r="C299" s="1248">
        <v>3.7160000000000002</v>
      </c>
      <c r="D299" s="1223"/>
      <c r="E299" s="1119"/>
      <c r="F299" s="724"/>
    </row>
    <row r="300" spans="1:6" s="722" customFormat="1" ht="15" customHeight="1" thickBot="1">
      <c r="A300" s="907">
        <v>43359</v>
      </c>
      <c r="B300" s="720">
        <v>43365</v>
      </c>
      <c r="C300" s="1249">
        <v>3.718</v>
      </c>
      <c r="D300" s="1223"/>
      <c r="E300" s="1119"/>
      <c r="F300" s="724"/>
    </row>
    <row r="301" spans="1:6" s="722" customFormat="1" ht="15" customHeight="1" thickBot="1">
      <c r="A301" s="907">
        <v>43366</v>
      </c>
      <c r="B301" s="720">
        <v>43372</v>
      </c>
      <c r="C301" s="1248">
        <v>3.7320000000000002</v>
      </c>
      <c r="D301" s="1223"/>
      <c r="E301" s="1119"/>
      <c r="F301" s="724"/>
    </row>
    <row r="302" spans="1:6" s="722" customFormat="1" ht="15" customHeight="1" thickBot="1">
      <c r="A302" s="907">
        <v>43373</v>
      </c>
      <c r="B302" s="720">
        <v>43379</v>
      </c>
      <c r="C302" s="1248">
        <v>3.746</v>
      </c>
      <c r="D302" s="1223"/>
      <c r="E302" s="1119"/>
      <c r="F302" s="724"/>
    </row>
    <row r="303" spans="1:6" s="722" customFormat="1" ht="15" customHeight="1" thickBot="1">
      <c r="A303" s="907">
        <v>43380</v>
      </c>
      <c r="B303" s="720">
        <v>43386</v>
      </c>
      <c r="C303" s="1248">
        <v>3.786</v>
      </c>
      <c r="D303" s="1223"/>
      <c r="E303" s="1119"/>
      <c r="F303" s="724"/>
    </row>
    <row r="304" spans="1:6" s="722" customFormat="1" ht="15" customHeight="1" thickBot="1">
      <c r="A304" s="907">
        <v>43387</v>
      </c>
      <c r="B304" s="720">
        <v>43393</v>
      </c>
      <c r="C304" s="1248">
        <v>3.79</v>
      </c>
      <c r="D304" s="1223"/>
      <c r="E304" s="1119"/>
      <c r="F304" s="724"/>
    </row>
    <row r="305" spans="1:6" s="722" customFormat="1" ht="15" customHeight="1" thickBot="1">
      <c r="A305" s="907">
        <v>43394</v>
      </c>
      <c r="B305" s="720" t="s">
        <v>711</v>
      </c>
      <c r="C305" s="1248">
        <v>3.7989999999999999</v>
      </c>
      <c r="D305" s="1223"/>
      <c r="E305" s="1119"/>
      <c r="F305" s="724"/>
    </row>
    <row r="306" spans="1:6" s="722" customFormat="1" ht="15" customHeight="1" thickBot="1">
      <c r="A306" s="907">
        <v>43401</v>
      </c>
      <c r="B306" s="720">
        <v>43407</v>
      </c>
      <c r="C306" s="1248">
        <v>3.7959999999999998</v>
      </c>
      <c r="D306" s="1223"/>
      <c r="E306" s="1119"/>
    </row>
    <row r="307" spans="1:6" s="722" customFormat="1" ht="15" customHeight="1" thickBot="1">
      <c r="A307" s="907">
        <v>43408</v>
      </c>
      <c r="B307" s="720">
        <v>43414</v>
      </c>
      <c r="C307" s="1248">
        <v>3.7629999999999999</v>
      </c>
      <c r="D307" s="1223"/>
      <c r="E307" s="1119"/>
    </row>
    <row r="308" spans="1:6" s="722" customFormat="1" ht="15" customHeight="1" thickBot="1">
      <c r="A308" s="907">
        <v>43415</v>
      </c>
      <c r="B308" s="720">
        <v>43421</v>
      </c>
      <c r="C308" s="1248">
        <v>3.75</v>
      </c>
      <c r="D308" s="1223"/>
      <c r="E308" s="1119"/>
    </row>
    <row r="309" spans="1:6" s="722" customFormat="1" ht="15" customHeight="1" thickBot="1">
      <c r="A309" s="907">
        <v>43422</v>
      </c>
      <c r="B309" s="720">
        <v>43428</v>
      </c>
      <c r="C309" s="1248">
        <v>3.7370000000000001</v>
      </c>
      <c r="D309" s="1223"/>
      <c r="E309" s="1119"/>
    </row>
    <row r="310" spans="1:6" s="722" customFormat="1" ht="15" customHeight="1" thickBot="1">
      <c r="A310" s="907">
        <v>43429</v>
      </c>
      <c r="B310" s="720">
        <v>43435</v>
      </c>
      <c r="C310" s="1248">
        <v>3.7290000000000001</v>
      </c>
      <c r="D310" s="1223"/>
      <c r="E310" s="1241"/>
    </row>
    <row r="311" spans="1:6" s="722" customFormat="1" ht="15" customHeight="1" thickBot="1">
      <c r="A311" s="907">
        <v>43436</v>
      </c>
      <c r="B311" s="720">
        <v>43807</v>
      </c>
      <c r="C311" s="1248">
        <v>3.6619999999999999</v>
      </c>
      <c r="D311" s="1223"/>
      <c r="E311" s="1241"/>
    </row>
    <row r="312" spans="1:6" s="722" customFormat="1" ht="15" customHeight="1" thickBot="1">
      <c r="A312" s="907">
        <v>43443</v>
      </c>
      <c r="B312" s="720">
        <v>43449</v>
      </c>
      <c r="C312" s="1248">
        <v>3.625</v>
      </c>
      <c r="D312" s="1223"/>
      <c r="E312" s="1241"/>
    </row>
    <row r="313" spans="1:6" s="722" customFormat="1" ht="15" customHeight="1" thickBot="1">
      <c r="A313" s="907">
        <v>43450</v>
      </c>
      <c r="B313" s="720">
        <v>43456</v>
      </c>
      <c r="C313" s="1248">
        <v>3.5680000000000001</v>
      </c>
      <c r="D313" s="1223"/>
      <c r="E313" s="1241"/>
    </row>
    <row r="314" spans="1:6" s="722" customFormat="1" ht="15" customHeight="1" thickBot="1">
      <c r="A314" s="907">
        <v>43457</v>
      </c>
      <c r="B314" s="720">
        <v>43463</v>
      </c>
      <c r="C314" s="1248">
        <v>3.5630000000000002</v>
      </c>
      <c r="D314" s="1223"/>
      <c r="E314" s="1241"/>
    </row>
    <row r="315" spans="1:6" s="722" customFormat="1" ht="15" customHeight="1" thickBot="1">
      <c r="A315" s="1225">
        <v>43464</v>
      </c>
      <c r="B315" s="1226">
        <v>43470</v>
      </c>
      <c r="C315" s="1251">
        <v>3.548</v>
      </c>
      <c r="D315" s="1245"/>
      <c r="E315" s="1246"/>
    </row>
    <row r="316" spans="1:6">
      <c r="A316" s="736" t="s">
        <v>323</v>
      </c>
      <c r="B316" s="728"/>
      <c r="C316" s="728"/>
      <c r="D316" s="729"/>
      <c r="E316" s="730"/>
    </row>
    <row r="317" spans="1:6">
      <c r="A317" s="727"/>
      <c r="B317" s="728"/>
      <c r="C317" s="728"/>
      <c r="D317" s="729"/>
      <c r="E317" s="730"/>
    </row>
    <row r="318" spans="1:6">
      <c r="A318" s="727"/>
      <c r="B318" s="728"/>
      <c r="C318" s="728"/>
      <c r="D318" s="729"/>
      <c r="E318" s="730"/>
    </row>
    <row r="319" spans="1:6">
      <c r="A319" s="727"/>
      <c r="B319" s="728"/>
      <c r="C319" s="728"/>
      <c r="D319" s="729"/>
      <c r="E319" s="730"/>
    </row>
    <row r="320" spans="1:6">
      <c r="A320" s="727"/>
      <c r="B320" s="728"/>
      <c r="C320" s="728"/>
      <c r="D320" s="729"/>
      <c r="E320" s="730"/>
    </row>
    <row r="321" spans="1:5">
      <c r="A321" s="727"/>
      <c r="B321" s="728"/>
      <c r="C321" s="728"/>
      <c r="D321" s="729"/>
      <c r="E321" s="730"/>
    </row>
    <row r="322" spans="1:5">
      <c r="A322" s="727"/>
      <c r="B322" s="728"/>
      <c r="C322" s="728"/>
      <c r="D322" s="729"/>
      <c r="E322" s="731"/>
    </row>
    <row r="323" spans="1:5">
      <c r="A323" s="727"/>
      <c r="B323" s="728"/>
      <c r="C323" s="728"/>
      <c r="D323" s="729"/>
      <c r="E323" s="730"/>
    </row>
    <row r="324" spans="1:5">
      <c r="A324" s="727"/>
      <c r="B324" s="728"/>
      <c r="C324" s="728"/>
      <c r="D324" s="729"/>
      <c r="E324" s="730"/>
    </row>
    <row r="325" spans="1:5">
      <c r="A325" s="727"/>
      <c r="B325" s="728"/>
      <c r="C325" s="728"/>
      <c r="D325" s="729"/>
      <c r="E325" s="730"/>
    </row>
    <row r="326" spans="1:5">
      <c r="A326" s="727"/>
      <c r="B326" s="728"/>
      <c r="C326" s="728"/>
      <c r="D326" s="729"/>
      <c r="E326" s="730"/>
    </row>
    <row r="327" spans="1:5">
      <c r="A327" s="727"/>
      <c r="B327" s="728"/>
      <c r="C327" s="728"/>
      <c r="D327" s="729"/>
      <c r="E327" s="731"/>
    </row>
    <row r="328" spans="1:5">
      <c r="A328" s="727"/>
      <c r="B328" s="728"/>
      <c r="C328" s="728"/>
      <c r="D328" s="729"/>
      <c r="E328" s="730"/>
    </row>
    <row r="329" spans="1:5">
      <c r="A329" s="727"/>
      <c r="B329" s="728"/>
      <c r="C329" s="728"/>
      <c r="D329" s="729"/>
      <c r="E329" s="730"/>
    </row>
    <row r="330" spans="1:5">
      <c r="A330" s="727"/>
      <c r="B330" s="728"/>
      <c r="C330" s="728"/>
      <c r="D330" s="729"/>
      <c r="E330" s="730"/>
    </row>
    <row r="331" spans="1:5">
      <c r="A331" s="727"/>
      <c r="B331" s="728"/>
      <c r="C331" s="728"/>
      <c r="D331" s="729"/>
      <c r="E331" s="730"/>
    </row>
    <row r="332" spans="1:5">
      <c r="A332" s="727"/>
      <c r="B332" s="728"/>
      <c r="C332" s="728"/>
      <c r="D332" s="729"/>
      <c r="E332" s="730"/>
    </row>
    <row r="333" spans="1:5">
      <c r="A333" s="727"/>
      <c r="B333" s="728"/>
      <c r="C333" s="728"/>
      <c r="D333" s="729"/>
      <c r="E333" s="731"/>
    </row>
    <row r="334" spans="1:5">
      <c r="A334" s="727"/>
      <c r="B334" s="728"/>
      <c r="C334" s="728"/>
      <c r="D334" s="729"/>
      <c r="E334" s="730"/>
    </row>
    <row r="335" spans="1:5">
      <c r="A335" s="727"/>
      <c r="B335" s="728"/>
      <c r="C335" s="728"/>
      <c r="D335" s="729"/>
      <c r="E335" s="730"/>
    </row>
    <row r="336" spans="1:5">
      <c r="A336" s="727"/>
      <c r="B336" s="728"/>
      <c r="C336" s="728"/>
      <c r="D336" s="729"/>
      <c r="E336" s="730"/>
    </row>
    <row r="337" spans="1:5">
      <c r="A337" s="727"/>
      <c r="B337" s="728"/>
      <c r="C337" s="728"/>
      <c r="D337" s="729"/>
      <c r="E337" s="731"/>
    </row>
    <row r="338" spans="1:5">
      <c r="A338" s="727"/>
      <c r="B338" s="728"/>
      <c r="C338" s="728"/>
      <c r="D338" s="729"/>
      <c r="E338" s="730"/>
    </row>
    <row r="339" spans="1:5">
      <c r="A339" s="727"/>
      <c r="B339" s="728"/>
      <c r="C339" s="728"/>
      <c r="D339" s="729"/>
      <c r="E339" s="730"/>
    </row>
    <row r="340" spans="1:5">
      <c r="A340" s="727"/>
      <c r="B340" s="728"/>
      <c r="C340" s="728"/>
      <c r="D340" s="729"/>
      <c r="E340" s="730"/>
    </row>
    <row r="341" spans="1:5">
      <c r="A341" s="727"/>
      <c r="B341" s="728"/>
      <c r="C341" s="728"/>
      <c r="D341" s="729"/>
      <c r="E341" s="731"/>
    </row>
    <row r="342" spans="1:5">
      <c r="A342" s="727"/>
      <c r="B342" s="728"/>
      <c r="C342" s="728"/>
      <c r="D342" s="729"/>
      <c r="E342" s="730"/>
    </row>
    <row r="343" spans="1:5">
      <c r="A343" s="727"/>
      <c r="B343" s="728"/>
      <c r="C343" s="728"/>
      <c r="D343" s="729"/>
      <c r="E343" s="730"/>
    </row>
    <row r="344" spans="1:5">
      <c r="A344" s="727"/>
      <c r="B344" s="728"/>
      <c r="C344" s="728"/>
      <c r="D344" s="729"/>
      <c r="E344" s="730"/>
    </row>
    <row r="345" spans="1:5">
      <c r="A345" s="727"/>
      <c r="B345" s="728"/>
      <c r="C345" s="728"/>
      <c r="D345" s="729"/>
      <c r="E345" s="730"/>
    </row>
    <row r="346" spans="1:5">
      <c r="A346" s="727"/>
      <c r="B346" s="728"/>
      <c r="C346" s="728"/>
      <c r="D346" s="729"/>
      <c r="E346" s="731"/>
    </row>
    <row r="347" spans="1:5">
      <c r="A347" s="727"/>
      <c r="B347" s="728"/>
      <c r="C347" s="728"/>
      <c r="D347" s="729"/>
      <c r="E347" s="730"/>
    </row>
    <row r="348" spans="1:5">
      <c r="A348" s="727"/>
      <c r="B348" s="728"/>
      <c r="C348" s="728"/>
      <c r="D348" s="729"/>
      <c r="E348" s="730"/>
    </row>
    <row r="349" spans="1:5">
      <c r="A349" s="727"/>
      <c r="B349" s="728"/>
      <c r="C349" s="728"/>
      <c r="D349" s="729"/>
      <c r="E349" s="730"/>
    </row>
    <row r="350" spans="1:5">
      <c r="A350" s="727"/>
      <c r="B350" s="728"/>
      <c r="C350" s="728"/>
      <c r="D350" s="729"/>
      <c r="E350" s="731"/>
    </row>
    <row r="351" spans="1:5">
      <c r="A351" s="727"/>
      <c r="B351" s="728"/>
      <c r="C351" s="728"/>
      <c r="D351" s="729"/>
      <c r="E351" s="730"/>
    </row>
    <row r="352" spans="1:5">
      <c r="A352" s="727"/>
      <c r="B352" s="728"/>
      <c r="C352" s="728"/>
      <c r="D352" s="729"/>
      <c r="E352" s="730"/>
    </row>
    <row r="353" spans="1:5">
      <c r="A353" s="727"/>
      <c r="B353" s="728"/>
      <c r="C353" s="728"/>
      <c r="D353" s="729"/>
      <c r="E353" s="730"/>
    </row>
    <row r="354" spans="1:5">
      <c r="A354" s="727"/>
      <c r="B354" s="728"/>
      <c r="C354" s="728"/>
      <c r="D354" s="729"/>
      <c r="E354" s="731"/>
    </row>
    <row r="355" spans="1:5">
      <c r="A355" s="727"/>
      <c r="B355" s="728"/>
      <c r="C355" s="728"/>
      <c r="D355" s="729"/>
      <c r="E355" s="730"/>
    </row>
    <row r="356" spans="1:5">
      <c r="A356" s="727"/>
      <c r="B356" s="728"/>
      <c r="C356" s="728"/>
      <c r="D356" s="729"/>
      <c r="E356" s="730"/>
    </row>
    <row r="357" spans="1:5">
      <c r="A357" s="727"/>
      <c r="B357" s="728"/>
      <c r="C357" s="728"/>
      <c r="D357" s="729"/>
      <c r="E357" s="730"/>
    </row>
    <row r="358" spans="1:5">
      <c r="A358" s="727"/>
      <c r="B358" s="728"/>
      <c r="C358" s="728"/>
      <c r="D358" s="729"/>
      <c r="E358" s="730"/>
    </row>
    <row r="359" spans="1:5">
      <c r="A359" s="727"/>
      <c r="B359" s="728"/>
      <c r="C359" s="728"/>
      <c r="D359" s="729"/>
      <c r="E359" s="732"/>
    </row>
    <row r="360" spans="1:5">
      <c r="A360" s="727"/>
      <c r="B360" s="728"/>
      <c r="C360" s="728"/>
      <c r="D360" s="729"/>
      <c r="E360" s="730"/>
    </row>
    <row r="361" spans="1:5">
      <c r="A361" s="727"/>
      <c r="B361" s="728"/>
      <c r="C361" s="728"/>
      <c r="D361" s="729"/>
      <c r="E361" s="730"/>
    </row>
    <row r="362" spans="1:5">
      <c r="A362" s="727"/>
      <c r="B362" s="728"/>
      <c r="C362" s="728"/>
      <c r="D362" s="729"/>
      <c r="E362" s="730"/>
    </row>
    <row r="363" spans="1:5">
      <c r="A363" s="727"/>
      <c r="B363" s="728"/>
      <c r="C363" s="728"/>
      <c r="D363" s="729"/>
      <c r="E363" s="730"/>
    </row>
    <row r="364" spans="1:5">
      <c r="A364" s="727"/>
      <c r="B364" s="728"/>
      <c r="C364" s="728"/>
      <c r="D364" s="729"/>
      <c r="E364" s="730"/>
    </row>
    <row r="365" spans="1:5">
      <c r="A365" s="727"/>
      <c r="B365" s="728"/>
      <c r="C365" s="728"/>
      <c r="D365" s="729"/>
      <c r="E365" s="730"/>
    </row>
    <row r="366" spans="1:5">
      <c r="A366" s="727"/>
      <c r="B366" s="728"/>
      <c r="C366" s="728"/>
      <c r="D366" s="729"/>
      <c r="E366" s="730"/>
    </row>
    <row r="367" spans="1:5">
      <c r="A367" s="727"/>
      <c r="B367" s="728"/>
      <c r="C367" s="728"/>
      <c r="D367" s="729"/>
      <c r="E367" s="730"/>
    </row>
    <row r="368" spans="1:5">
      <c r="A368" s="727"/>
      <c r="B368" s="728"/>
      <c r="C368" s="728"/>
      <c r="D368" s="729"/>
      <c r="E368" s="730"/>
    </row>
    <row r="369" spans="1:5">
      <c r="A369" s="727"/>
      <c r="B369" s="728"/>
      <c r="C369" s="728"/>
      <c r="D369" s="729"/>
      <c r="E369" s="730"/>
    </row>
    <row r="370" spans="1:5">
      <c r="A370" s="727"/>
      <c r="B370" s="728"/>
      <c r="C370" s="728"/>
      <c r="D370" s="729"/>
      <c r="E370" s="730"/>
    </row>
    <row r="371" spans="1:5">
      <c r="A371" s="727"/>
      <c r="B371" s="728"/>
      <c r="C371" s="728"/>
      <c r="D371" s="729"/>
      <c r="E371" s="730"/>
    </row>
    <row r="372" spans="1:5">
      <c r="A372" s="727"/>
      <c r="B372" s="728"/>
      <c r="C372" s="728"/>
      <c r="D372" s="729"/>
      <c r="E372" s="730"/>
    </row>
    <row r="373" spans="1:5">
      <c r="A373" s="727"/>
      <c r="B373" s="728"/>
      <c r="C373" s="728"/>
      <c r="D373" s="729"/>
      <c r="E373" s="730"/>
    </row>
    <row r="374" spans="1:5">
      <c r="A374" s="727"/>
      <c r="B374" s="728"/>
      <c r="C374" s="728"/>
      <c r="D374" s="729"/>
      <c r="E374" s="730"/>
    </row>
    <row r="375" spans="1:5">
      <c r="A375" s="727"/>
      <c r="B375" s="728"/>
      <c r="C375" s="728"/>
      <c r="D375" s="729"/>
      <c r="E375" s="730"/>
    </row>
    <row r="376" spans="1:5">
      <c r="A376" s="727"/>
      <c r="B376" s="728"/>
      <c r="C376" s="728"/>
      <c r="D376" s="729"/>
      <c r="E376" s="730"/>
    </row>
    <row r="377" spans="1:5">
      <c r="A377" s="727"/>
      <c r="B377" s="728"/>
      <c r="C377" s="728"/>
      <c r="D377" s="729"/>
      <c r="E377" s="730"/>
    </row>
    <row r="378" spans="1:5">
      <c r="A378" s="727"/>
      <c r="B378" s="728"/>
      <c r="C378" s="728"/>
      <c r="D378" s="729"/>
      <c r="E378" s="730"/>
    </row>
    <row r="379" spans="1:5">
      <c r="A379" s="727"/>
      <c r="B379" s="728"/>
      <c r="C379" s="728"/>
      <c r="D379" s="729"/>
      <c r="E379" s="730"/>
    </row>
    <row r="380" spans="1:5">
      <c r="A380" s="727"/>
      <c r="B380" s="728"/>
      <c r="C380" s="728"/>
      <c r="D380" s="729"/>
      <c r="E380" s="730"/>
    </row>
    <row r="381" spans="1:5">
      <c r="A381" s="727"/>
      <c r="B381" s="728"/>
      <c r="C381" s="728"/>
      <c r="D381" s="729"/>
      <c r="E381" s="730"/>
    </row>
    <row r="382" spans="1:5">
      <c r="A382" s="727"/>
      <c r="B382" s="728"/>
      <c r="C382" s="728"/>
      <c r="D382" s="729"/>
      <c r="E382" s="730"/>
    </row>
    <row r="383" spans="1:5">
      <c r="A383" s="727"/>
      <c r="B383" s="728"/>
      <c r="C383" s="728"/>
      <c r="D383" s="729"/>
      <c r="E383" s="730"/>
    </row>
    <row r="384" spans="1:5">
      <c r="A384" s="727"/>
      <c r="B384" s="728"/>
      <c r="C384" s="728"/>
      <c r="D384" s="729"/>
      <c r="E384" s="730"/>
    </row>
    <row r="385" spans="1:5">
      <c r="A385" s="727"/>
      <c r="B385" s="728"/>
      <c r="C385" s="728"/>
      <c r="D385" s="729"/>
      <c r="E385" s="730"/>
    </row>
    <row r="386" spans="1:5">
      <c r="A386" s="727"/>
      <c r="B386" s="728"/>
      <c r="C386" s="728"/>
      <c r="D386" s="729"/>
      <c r="E386" s="730"/>
    </row>
    <row r="387" spans="1:5">
      <c r="A387" s="727"/>
      <c r="B387" s="728"/>
      <c r="C387" s="728"/>
      <c r="D387" s="729"/>
      <c r="E387" s="730"/>
    </row>
    <row r="388" spans="1:5">
      <c r="A388" s="727"/>
      <c r="B388" s="728"/>
      <c r="C388" s="728"/>
      <c r="D388" s="729"/>
      <c r="E388" s="730"/>
    </row>
    <row r="389" spans="1:5">
      <c r="A389" s="727"/>
      <c r="B389" s="728"/>
      <c r="C389" s="728"/>
      <c r="D389" s="729"/>
      <c r="E389" s="730"/>
    </row>
    <row r="390" spans="1:5">
      <c r="A390" s="727"/>
      <c r="B390" s="728"/>
      <c r="C390" s="728"/>
      <c r="D390" s="729"/>
      <c r="E390" s="730"/>
    </row>
    <row r="391" spans="1:5">
      <c r="A391" s="727"/>
      <c r="B391" s="728"/>
      <c r="C391" s="728"/>
      <c r="D391" s="729"/>
      <c r="E391" s="730"/>
    </row>
    <row r="392" spans="1:5">
      <c r="A392" s="727"/>
      <c r="B392" s="728"/>
      <c r="C392" s="728"/>
      <c r="D392" s="729"/>
      <c r="E392" s="730"/>
    </row>
    <row r="393" spans="1:5">
      <c r="A393" s="727"/>
      <c r="B393" s="728"/>
      <c r="C393" s="728"/>
      <c r="D393" s="729"/>
      <c r="E393" s="730"/>
    </row>
    <row r="394" spans="1:5">
      <c r="A394" s="727"/>
      <c r="B394" s="728"/>
      <c r="C394" s="728"/>
      <c r="D394" s="729"/>
      <c r="E394" s="730"/>
    </row>
    <row r="395" spans="1:5">
      <c r="A395" s="727"/>
      <c r="B395" s="728"/>
      <c r="C395" s="728"/>
      <c r="D395" s="729"/>
      <c r="E395" s="730"/>
    </row>
    <row r="396" spans="1:5">
      <c r="A396" s="727"/>
      <c r="B396" s="728"/>
      <c r="C396" s="728"/>
      <c r="D396" s="729"/>
      <c r="E396" s="730"/>
    </row>
    <row r="397" spans="1:5">
      <c r="A397" s="727"/>
      <c r="B397" s="728"/>
      <c r="C397" s="728"/>
      <c r="D397" s="729"/>
      <c r="E397" s="730"/>
    </row>
    <row r="398" spans="1:5">
      <c r="A398" s="727"/>
      <c r="B398" s="728"/>
      <c r="C398" s="728"/>
      <c r="D398" s="729"/>
      <c r="E398" s="730"/>
    </row>
    <row r="399" spans="1:5">
      <c r="A399" s="727"/>
      <c r="B399" s="728"/>
      <c r="C399" s="728"/>
      <c r="D399" s="733"/>
      <c r="E399" s="730"/>
    </row>
    <row r="400" spans="1:5">
      <c r="A400" s="727"/>
      <c r="B400" s="728"/>
      <c r="C400" s="728"/>
      <c r="D400" s="733"/>
      <c r="E400" s="730"/>
    </row>
    <row r="401" spans="1:5">
      <c r="A401" s="727"/>
      <c r="B401" s="728"/>
      <c r="C401" s="728"/>
      <c r="D401" s="733"/>
      <c r="E401" s="730"/>
    </row>
    <row r="402" spans="1:5">
      <c r="A402" s="727"/>
      <c r="B402" s="728"/>
      <c r="C402" s="728"/>
      <c r="D402" s="729"/>
      <c r="E402" s="730"/>
    </row>
    <row r="403" spans="1:5">
      <c r="A403" s="727"/>
      <c r="B403" s="728"/>
      <c r="C403" s="728"/>
      <c r="D403" s="733"/>
      <c r="E403" s="730"/>
    </row>
    <row r="404" spans="1:5">
      <c r="A404" s="727"/>
      <c r="B404" s="728"/>
      <c r="C404" s="728"/>
      <c r="D404" s="733"/>
      <c r="E404" s="730"/>
    </row>
    <row r="405" spans="1:5">
      <c r="A405" s="727"/>
      <c r="B405" s="728"/>
      <c r="C405" s="728"/>
      <c r="D405" s="729"/>
      <c r="E405" s="730"/>
    </row>
    <row r="406" spans="1:5">
      <c r="A406" s="727"/>
      <c r="B406" s="728"/>
      <c r="C406" s="728"/>
      <c r="D406" s="733"/>
      <c r="E406" s="730"/>
    </row>
    <row r="407" spans="1:5">
      <c r="A407" s="727"/>
      <c r="B407" s="728"/>
      <c r="C407" s="728"/>
      <c r="D407" s="733"/>
      <c r="E407" s="730"/>
    </row>
    <row r="408" spans="1:5">
      <c r="A408" s="727"/>
      <c r="B408" s="728"/>
      <c r="C408" s="728"/>
      <c r="D408" s="733"/>
      <c r="E408" s="730"/>
    </row>
    <row r="409" spans="1:5">
      <c r="A409" s="727"/>
      <c r="B409" s="728"/>
      <c r="C409" s="728"/>
      <c r="D409" s="729"/>
      <c r="E409" s="730"/>
    </row>
    <row r="410" spans="1:5">
      <c r="A410" s="727"/>
      <c r="B410" s="728"/>
      <c r="C410" s="728"/>
      <c r="D410" s="733"/>
      <c r="E410" s="730"/>
    </row>
    <row r="411" spans="1:5">
      <c r="A411" s="727"/>
      <c r="B411" s="728"/>
      <c r="C411" s="728"/>
      <c r="D411" s="729"/>
      <c r="E411" s="730"/>
    </row>
    <row r="412" spans="1:5">
      <c r="A412" s="727"/>
      <c r="B412" s="728"/>
      <c r="C412" s="728"/>
      <c r="D412" s="733"/>
      <c r="E412" s="730"/>
    </row>
    <row r="413" spans="1:5">
      <c r="A413" s="727"/>
      <c r="B413" s="728"/>
      <c r="C413" s="728"/>
      <c r="D413" s="729"/>
      <c r="E413" s="730"/>
    </row>
    <row r="414" spans="1:5">
      <c r="A414" s="727"/>
      <c r="B414" s="728"/>
      <c r="C414" s="728"/>
      <c r="D414" s="733"/>
      <c r="E414" s="730"/>
    </row>
    <row r="415" spans="1:5">
      <c r="A415" s="727"/>
      <c r="B415" s="728"/>
      <c r="C415" s="728"/>
      <c r="D415" s="729"/>
      <c r="E415" s="730"/>
    </row>
    <row r="416" spans="1:5">
      <c r="A416" s="727"/>
      <c r="B416" s="728"/>
      <c r="C416" s="728"/>
      <c r="D416" s="733"/>
      <c r="E416" s="730"/>
    </row>
    <row r="417" spans="1:5">
      <c r="A417" s="727"/>
      <c r="B417" s="728"/>
      <c r="C417" s="728"/>
      <c r="D417" s="733"/>
      <c r="E417" s="730"/>
    </row>
    <row r="418" spans="1:5">
      <c r="A418" s="727"/>
      <c r="B418" s="728"/>
      <c r="C418" s="728"/>
      <c r="D418" s="729"/>
      <c r="E418" s="730"/>
    </row>
    <row r="419" spans="1:5">
      <c r="A419" s="727"/>
      <c r="B419" s="728"/>
      <c r="C419" s="728"/>
      <c r="D419" s="733"/>
      <c r="E419" s="730"/>
    </row>
    <row r="420" spans="1:5">
      <c r="A420" s="727"/>
      <c r="B420" s="728"/>
      <c r="C420" s="728"/>
      <c r="D420" s="733"/>
      <c r="E420" s="730"/>
    </row>
    <row r="421" spans="1:5">
      <c r="A421" s="727"/>
      <c r="B421" s="728"/>
      <c r="C421" s="728"/>
      <c r="D421" s="733"/>
      <c r="E421" s="730"/>
    </row>
    <row r="422" spans="1:5">
      <c r="A422" s="727"/>
      <c r="B422" s="728"/>
      <c r="C422" s="728"/>
      <c r="D422" s="729"/>
      <c r="E422" s="730"/>
    </row>
    <row r="423" spans="1:5">
      <c r="A423" s="727"/>
      <c r="B423" s="728"/>
      <c r="C423" s="728"/>
      <c r="D423" s="733"/>
      <c r="E423" s="730"/>
    </row>
    <row r="424" spans="1:5">
      <c r="A424" s="727"/>
      <c r="B424" s="728"/>
      <c r="C424" s="728"/>
      <c r="D424" s="733"/>
      <c r="E424" s="730"/>
    </row>
    <row r="425" spans="1:5">
      <c r="A425" s="727"/>
      <c r="B425" s="728"/>
      <c r="C425" s="728"/>
      <c r="D425" s="733"/>
      <c r="E425" s="730"/>
    </row>
    <row r="426" spans="1:5">
      <c r="A426" s="727"/>
      <c r="B426" s="728"/>
      <c r="C426" s="728"/>
      <c r="D426" s="729"/>
      <c r="E426" s="730"/>
    </row>
    <row r="427" spans="1:5">
      <c r="A427" s="727"/>
      <c r="B427" s="728"/>
      <c r="C427" s="728"/>
      <c r="D427" s="733"/>
      <c r="E427" s="730"/>
    </row>
    <row r="428" spans="1:5">
      <c r="A428" s="727"/>
      <c r="B428" s="728"/>
      <c r="C428" s="728"/>
      <c r="D428" s="733"/>
      <c r="E428" s="730"/>
    </row>
    <row r="429" spans="1:5">
      <c r="A429" s="727"/>
      <c r="B429" s="728"/>
      <c r="C429" s="728"/>
      <c r="D429" s="733"/>
      <c r="E429" s="730"/>
    </row>
    <row r="430" spans="1:5">
      <c r="A430" s="727"/>
      <c r="B430" s="728"/>
      <c r="C430" s="728"/>
      <c r="D430" s="733"/>
      <c r="E430" s="730"/>
    </row>
    <row r="431" spans="1:5">
      <c r="A431" s="727"/>
      <c r="B431" s="728"/>
      <c r="C431" s="728"/>
      <c r="D431" s="733"/>
      <c r="E431" s="730"/>
    </row>
    <row r="432" spans="1:5">
      <c r="A432" s="727"/>
      <c r="B432" s="728"/>
      <c r="C432" s="728"/>
      <c r="D432" s="733"/>
      <c r="E432" s="730"/>
    </row>
    <row r="433" spans="1:5">
      <c r="A433" s="727"/>
      <c r="B433" s="728"/>
      <c r="C433" s="728"/>
      <c r="D433" s="733"/>
      <c r="E433" s="730"/>
    </row>
    <row r="434" spans="1:5">
      <c r="A434" s="727"/>
      <c r="B434" s="728"/>
      <c r="C434" s="728"/>
      <c r="D434" s="733"/>
      <c r="E434" s="730"/>
    </row>
    <row r="435" spans="1:5">
      <c r="A435" s="727"/>
      <c r="B435" s="728"/>
      <c r="C435" s="728"/>
      <c r="D435" s="733"/>
      <c r="E435" s="730"/>
    </row>
    <row r="436" spans="1:5">
      <c r="A436" s="727"/>
      <c r="B436" s="728"/>
      <c r="C436" s="728"/>
      <c r="D436" s="733"/>
      <c r="E436" s="730"/>
    </row>
    <row r="437" spans="1:5">
      <c r="A437" s="727"/>
      <c r="B437" s="728"/>
      <c r="C437" s="728"/>
      <c r="D437" s="733"/>
      <c r="E437" s="730"/>
    </row>
    <row r="438" spans="1:5">
      <c r="A438" s="727"/>
      <c r="B438" s="728"/>
      <c r="C438" s="728"/>
      <c r="D438" s="733"/>
      <c r="E438" s="730"/>
    </row>
    <row r="439" spans="1:5">
      <c r="A439" s="727"/>
      <c r="B439" s="728"/>
      <c r="C439" s="728"/>
      <c r="D439" s="1457"/>
      <c r="E439" s="1457"/>
    </row>
    <row r="440" spans="1:5">
      <c r="A440" s="727"/>
      <c r="B440" s="728"/>
      <c r="C440" s="728"/>
      <c r="D440" s="1457"/>
      <c r="E440" s="1457"/>
    </row>
    <row r="441" spans="1:5">
      <c r="A441" s="727"/>
      <c r="B441" s="728"/>
      <c r="C441" s="728"/>
      <c r="D441" s="1457"/>
      <c r="E441" s="1457"/>
    </row>
    <row r="442" spans="1:5">
      <c r="A442" s="727"/>
      <c r="B442" s="728"/>
      <c r="C442" s="728"/>
      <c r="D442" s="1457"/>
      <c r="E442" s="1457"/>
    </row>
    <row r="443" spans="1:5">
      <c r="A443" s="727"/>
      <c r="B443" s="728"/>
      <c r="C443" s="728"/>
      <c r="D443" s="1457"/>
      <c r="E443" s="1457"/>
    </row>
    <row r="444" spans="1:5">
      <c r="A444" s="727"/>
      <c r="B444" s="728"/>
      <c r="C444" s="728"/>
      <c r="D444" s="733"/>
      <c r="E444" s="730"/>
    </row>
    <row r="445" spans="1:5">
      <c r="A445" s="727"/>
      <c r="B445" s="728"/>
      <c r="C445" s="728"/>
      <c r="D445" s="733"/>
      <c r="E445" s="730"/>
    </row>
    <row r="446" spans="1:5">
      <c r="A446" s="727"/>
      <c r="B446" s="728"/>
      <c r="C446" s="728"/>
      <c r="D446" s="733"/>
      <c r="E446" s="730"/>
    </row>
    <row r="447" spans="1:5">
      <c r="A447" s="727"/>
      <c r="B447" s="728"/>
      <c r="C447" s="728"/>
      <c r="D447" s="733"/>
      <c r="E447" s="730"/>
    </row>
    <row r="448" spans="1:5">
      <c r="A448" s="727"/>
      <c r="B448" s="728"/>
      <c r="C448" s="728"/>
      <c r="D448" s="733"/>
      <c r="E448" s="730"/>
    </row>
    <row r="449" spans="1:5">
      <c r="A449" s="727"/>
      <c r="B449" s="728"/>
      <c r="C449" s="728"/>
      <c r="D449" s="733"/>
      <c r="E449" s="730"/>
    </row>
    <row r="450" spans="1:5">
      <c r="A450" s="727"/>
      <c r="B450" s="728"/>
      <c r="C450" s="728"/>
      <c r="D450" s="733"/>
      <c r="E450" s="730"/>
    </row>
    <row r="451" spans="1:5">
      <c r="A451" s="727"/>
      <c r="B451" s="728"/>
      <c r="C451" s="728"/>
      <c r="D451" s="733"/>
      <c r="E451" s="730"/>
    </row>
    <row r="452" spans="1:5">
      <c r="A452" s="727"/>
      <c r="B452" s="728"/>
      <c r="C452" s="728"/>
      <c r="D452" s="733"/>
      <c r="E452" s="730"/>
    </row>
    <row r="453" spans="1:5">
      <c r="A453" s="727"/>
      <c r="B453" s="728"/>
      <c r="C453" s="728"/>
      <c r="D453" s="733"/>
      <c r="E453" s="730"/>
    </row>
    <row r="454" spans="1:5">
      <c r="A454" s="727"/>
      <c r="B454" s="728"/>
      <c r="C454" s="728"/>
      <c r="D454" s="733"/>
      <c r="E454" s="730"/>
    </row>
    <row r="455" spans="1:5">
      <c r="A455" s="727"/>
      <c r="B455" s="728"/>
      <c r="C455" s="728"/>
      <c r="D455" s="733"/>
      <c r="E455" s="730"/>
    </row>
    <row r="456" spans="1:5">
      <c r="A456" s="727"/>
      <c r="B456" s="728"/>
      <c r="C456" s="728"/>
      <c r="D456" s="733"/>
      <c r="E456" s="730"/>
    </row>
    <row r="457" spans="1:5">
      <c r="A457" s="727"/>
      <c r="B457" s="728"/>
      <c r="C457" s="728"/>
      <c r="D457" s="733"/>
      <c r="E457" s="730"/>
    </row>
    <row r="458" spans="1:5">
      <c r="A458" s="727"/>
      <c r="B458" s="728"/>
      <c r="C458" s="728"/>
      <c r="D458" s="733"/>
      <c r="E458" s="730"/>
    </row>
    <row r="459" spans="1:5">
      <c r="A459" s="727"/>
      <c r="B459" s="728"/>
      <c r="C459" s="728"/>
      <c r="D459" s="733"/>
      <c r="E459" s="730"/>
    </row>
    <row r="460" spans="1:5">
      <c r="A460" s="727"/>
      <c r="B460" s="728"/>
      <c r="C460" s="728"/>
      <c r="D460" s="733"/>
      <c r="E460" s="730"/>
    </row>
    <row r="461" spans="1:5">
      <c r="A461" s="727"/>
      <c r="B461" s="728"/>
      <c r="C461" s="728"/>
      <c r="D461" s="733"/>
      <c r="E461" s="730"/>
    </row>
    <row r="462" spans="1:5">
      <c r="A462" s="727"/>
      <c r="B462" s="728"/>
      <c r="C462" s="728"/>
      <c r="D462" s="733"/>
      <c r="E462" s="730"/>
    </row>
    <row r="463" spans="1:5">
      <c r="A463" s="727"/>
      <c r="B463" s="728"/>
      <c r="C463" s="728"/>
      <c r="D463" s="733"/>
      <c r="E463" s="730"/>
    </row>
    <row r="464" spans="1:5">
      <c r="A464" s="727"/>
      <c r="B464" s="728"/>
      <c r="C464" s="728"/>
      <c r="D464" s="733"/>
      <c r="E464" s="730"/>
    </row>
    <row r="465" spans="1:5">
      <c r="A465" s="727"/>
      <c r="B465" s="728"/>
      <c r="C465" s="728"/>
      <c r="D465" s="733"/>
      <c r="E465" s="730"/>
    </row>
    <row r="466" spans="1:5">
      <c r="A466" s="727"/>
      <c r="B466" s="728"/>
      <c r="C466" s="728"/>
      <c r="D466" s="733"/>
      <c r="E466" s="730"/>
    </row>
    <row r="467" spans="1:5">
      <c r="A467" s="727"/>
      <c r="B467" s="728"/>
      <c r="C467" s="728"/>
      <c r="D467" s="733"/>
      <c r="E467" s="730"/>
    </row>
    <row r="468" spans="1:5">
      <c r="A468" s="727"/>
      <c r="B468" s="728"/>
      <c r="C468" s="728"/>
      <c r="D468" s="733"/>
      <c r="E468" s="730"/>
    </row>
    <row r="469" spans="1:5">
      <c r="A469" s="727"/>
      <c r="B469" s="728"/>
      <c r="C469" s="728"/>
      <c r="D469" s="733"/>
      <c r="E469" s="730"/>
    </row>
    <row r="470" spans="1:5">
      <c r="A470" s="727"/>
      <c r="B470" s="728"/>
      <c r="C470" s="728"/>
      <c r="D470" s="733"/>
      <c r="E470" s="730"/>
    </row>
    <row r="471" spans="1:5">
      <c r="A471" s="727"/>
      <c r="B471" s="728"/>
      <c r="C471" s="728"/>
      <c r="D471" s="733"/>
      <c r="E471" s="730"/>
    </row>
    <row r="472" spans="1:5">
      <c r="A472" s="727"/>
      <c r="B472" s="728"/>
      <c r="C472" s="728"/>
      <c r="D472" s="733"/>
      <c r="E472" s="730"/>
    </row>
    <row r="473" spans="1:5">
      <c r="A473" s="727"/>
      <c r="B473" s="728"/>
      <c r="C473" s="728"/>
      <c r="D473" s="733"/>
      <c r="E473" s="730"/>
    </row>
    <row r="474" spans="1:5">
      <c r="A474" s="727"/>
      <c r="B474" s="728"/>
      <c r="C474" s="728"/>
      <c r="D474" s="733"/>
      <c r="E474" s="730"/>
    </row>
    <row r="475" spans="1:5">
      <c r="A475" s="727"/>
      <c r="B475" s="728"/>
      <c r="C475" s="728"/>
      <c r="D475" s="733"/>
      <c r="E475" s="730"/>
    </row>
    <row r="476" spans="1:5">
      <c r="A476" s="727"/>
      <c r="B476" s="728"/>
      <c r="C476" s="728"/>
      <c r="D476" s="733"/>
      <c r="E476" s="730"/>
    </row>
    <row r="477" spans="1:5">
      <c r="A477" s="727"/>
      <c r="B477" s="728"/>
      <c r="C477" s="728"/>
      <c r="D477" s="733"/>
      <c r="E477" s="730"/>
    </row>
    <row r="478" spans="1:5">
      <c r="A478" s="727"/>
      <c r="B478" s="728"/>
      <c r="C478" s="728"/>
      <c r="D478" s="733"/>
      <c r="E478" s="730"/>
    </row>
    <row r="479" spans="1:5">
      <c r="A479" s="727"/>
      <c r="B479" s="728"/>
      <c r="C479" s="728"/>
      <c r="D479" s="733"/>
      <c r="E479" s="730"/>
    </row>
    <row r="480" spans="1:5">
      <c r="A480" s="727"/>
      <c r="B480" s="728"/>
      <c r="C480" s="728"/>
      <c r="D480" s="733"/>
      <c r="E480" s="730"/>
    </row>
    <row r="481" spans="1:5">
      <c r="A481" s="727"/>
      <c r="B481" s="728"/>
      <c r="C481" s="728"/>
      <c r="D481" s="1456"/>
      <c r="E481" s="1456"/>
    </row>
    <row r="482" spans="1:5">
      <c r="A482" s="727"/>
      <c r="B482" s="728"/>
      <c r="C482" s="728"/>
      <c r="D482" s="733"/>
      <c r="E482" s="730"/>
    </row>
    <row r="483" spans="1:5">
      <c r="A483" s="727"/>
      <c r="B483" s="728"/>
      <c r="C483" s="728"/>
      <c r="D483" s="733"/>
      <c r="E483" s="730"/>
    </row>
    <row r="484" spans="1:5">
      <c r="A484" s="727"/>
      <c r="B484" s="728"/>
      <c r="C484" s="728"/>
      <c r="D484" s="733"/>
      <c r="E484" s="730"/>
    </row>
    <row r="485" spans="1:5">
      <c r="A485" s="727"/>
      <c r="B485" s="728"/>
      <c r="C485" s="728"/>
      <c r="D485" s="733"/>
      <c r="E485" s="730"/>
    </row>
    <row r="486" spans="1:5">
      <c r="A486" s="727"/>
      <c r="B486" s="728"/>
      <c r="C486" s="728"/>
      <c r="D486" s="733"/>
      <c r="E486" s="730"/>
    </row>
    <row r="487" spans="1:5">
      <c r="A487" s="727"/>
      <c r="B487" s="728"/>
      <c r="C487" s="728"/>
      <c r="D487" s="1457"/>
      <c r="E487" s="1457"/>
    </row>
    <row r="488" spans="1:5">
      <c r="A488" s="727"/>
      <c r="B488" s="728"/>
      <c r="C488" s="728"/>
      <c r="D488" s="1457"/>
      <c r="E488" s="1457"/>
    </row>
    <row r="489" spans="1:5">
      <c r="A489" s="727"/>
      <c r="B489" s="728"/>
      <c r="C489" s="728"/>
      <c r="D489" s="1457"/>
      <c r="E489" s="1457"/>
    </row>
    <row r="490" spans="1:5">
      <c r="A490" s="727"/>
      <c r="B490" s="728"/>
      <c r="C490" s="728"/>
      <c r="D490" s="1457"/>
      <c r="E490" s="1457"/>
    </row>
    <row r="491" spans="1:5">
      <c r="A491" s="727"/>
      <c r="B491" s="728"/>
      <c r="C491" s="728"/>
      <c r="D491" s="1457"/>
      <c r="E491" s="1457"/>
    </row>
    <row r="492" spans="1:5">
      <c r="A492" s="727"/>
      <c r="B492" s="728"/>
      <c r="C492" s="728"/>
      <c r="D492" s="733"/>
      <c r="E492" s="730"/>
    </row>
    <row r="493" spans="1:5">
      <c r="A493" s="727"/>
      <c r="B493" s="728"/>
      <c r="C493" s="728"/>
      <c r="D493" s="733"/>
      <c r="E493" s="730"/>
    </row>
    <row r="494" spans="1:5">
      <c r="A494" s="727"/>
      <c r="B494" s="728"/>
      <c r="C494" s="728"/>
      <c r="D494" s="733"/>
      <c r="E494" s="730"/>
    </row>
    <row r="495" spans="1:5">
      <c r="A495" s="727"/>
      <c r="B495" s="728"/>
      <c r="C495" s="728"/>
      <c r="D495" s="733"/>
      <c r="E495" s="730"/>
    </row>
    <row r="496" spans="1:5">
      <c r="A496" s="727"/>
      <c r="B496" s="728"/>
      <c r="C496" s="728"/>
      <c r="D496" s="733"/>
      <c r="E496" s="730"/>
    </row>
    <row r="497" spans="1:5">
      <c r="A497" s="727"/>
      <c r="B497" s="728"/>
      <c r="C497" s="728"/>
      <c r="D497" s="733"/>
      <c r="E497" s="730"/>
    </row>
    <row r="498" spans="1:5">
      <c r="A498" s="727"/>
      <c r="B498" s="728"/>
      <c r="C498" s="728"/>
      <c r="D498" s="733"/>
      <c r="E498" s="730"/>
    </row>
    <row r="499" spans="1:5">
      <c r="A499" s="727"/>
      <c r="B499" s="728"/>
      <c r="C499" s="728"/>
      <c r="D499" s="733"/>
      <c r="E499" s="730"/>
    </row>
    <row r="500" spans="1:5">
      <c r="A500" s="727"/>
      <c r="B500" s="728"/>
      <c r="C500" s="728"/>
      <c r="D500" s="733"/>
      <c r="E500" s="730"/>
    </row>
    <row r="501" spans="1:5">
      <c r="A501" s="727"/>
      <c r="B501" s="728"/>
      <c r="C501" s="728"/>
      <c r="D501" s="733"/>
      <c r="E501" s="730"/>
    </row>
    <row r="502" spans="1:5">
      <c r="A502" s="727"/>
      <c r="B502" s="728"/>
      <c r="C502" s="728"/>
      <c r="D502" s="733"/>
      <c r="E502" s="730"/>
    </row>
    <row r="503" spans="1:5">
      <c r="A503" s="727"/>
      <c r="B503" s="728"/>
      <c r="C503" s="728"/>
      <c r="D503" s="733"/>
      <c r="E503" s="730"/>
    </row>
    <row r="504" spans="1:5">
      <c r="A504" s="727"/>
      <c r="B504" s="728"/>
      <c r="C504" s="728"/>
      <c r="D504" s="733"/>
      <c r="E504" s="730"/>
    </row>
    <row r="505" spans="1:5">
      <c r="A505" s="727"/>
      <c r="B505" s="728"/>
      <c r="C505" s="728"/>
      <c r="D505" s="733"/>
      <c r="E505" s="730"/>
    </row>
    <row r="506" spans="1:5">
      <c r="A506" s="727"/>
      <c r="B506" s="728"/>
      <c r="C506" s="728"/>
      <c r="D506" s="733"/>
      <c r="E506" s="730"/>
    </row>
    <row r="507" spans="1:5">
      <c r="A507" s="727"/>
      <c r="B507" s="728"/>
      <c r="C507" s="728"/>
      <c r="D507" s="733"/>
      <c r="E507" s="730"/>
    </row>
    <row r="508" spans="1:5">
      <c r="A508" s="727"/>
      <c r="B508" s="728"/>
      <c r="C508" s="728"/>
      <c r="D508" s="733"/>
      <c r="E508" s="730"/>
    </row>
    <row r="509" spans="1:5">
      <c r="A509" s="727"/>
      <c r="B509" s="728"/>
      <c r="C509" s="728"/>
      <c r="D509" s="733"/>
      <c r="E509" s="730"/>
    </row>
    <row r="510" spans="1:5">
      <c r="A510" s="727"/>
      <c r="B510" s="728"/>
      <c r="C510" s="728"/>
      <c r="D510" s="733"/>
      <c r="E510" s="730"/>
    </row>
    <row r="511" spans="1:5">
      <c r="A511" s="727"/>
      <c r="B511" s="728"/>
      <c r="C511" s="728"/>
      <c r="D511" s="733"/>
      <c r="E511" s="730"/>
    </row>
    <row r="512" spans="1:5">
      <c r="A512" s="727"/>
      <c r="B512" s="728"/>
      <c r="C512" s="728"/>
      <c r="D512" s="733"/>
      <c r="E512" s="730"/>
    </row>
    <row r="513" spans="1:5">
      <c r="A513" s="727"/>
      <c r="B513" s="728"/>
      <c r="C513" s="728"/>
      <c r="D513" s="733"/>
      <c r="E513" s="730"/>
    </row>
    <row r="514" spans="1:5">
      <c r="A514" s="727"/>
      <c r="B514" s="728"/>
      <c r="C514" s="728"/>
      <c r="D514" s="733"/>
      <c r="E514" s="730"/>
    </row>
    <row r="515" spans="1:5">
      <c r="A515" s="727"/>
      <c r="B515" s="728"/>
      <c r="C515" s="728"/>
      <c r="D515" s="733"/>
      <c r="E515" s="730"/>
    </row>
    <row r="516" spans="1:5">
      <c r="A516" s="727"/>
      <c r="B516" s="728"/>
      <c r="C516" s="728"/>
      <c r="D516" s="733"/>
      <c r="E516" s="730"/>
    </row>
    <row r="517" spans="1:5">
      <c r="A517" s="727"/>
      <c r="B517" s="728"/>
      <c r="C517" s="728"/>
      <c r="D517" s="733"/>
      <c r="E517" s="730"/>
    </row>
    <row r="518" spans="1:5">
      <c r="A518" s="727"/>
      <c r="B518" s="728"/>
      <c r="C518" s="728"/>
      <c r="D518" s="733"/>
      <c r="E518" s="730"/>
    </row>
    <row r="519" spans="1:5">
      <c r="A519" s="727"/>
      <c r="B519" s="728"/>
      <c r="C519" s="728"/>
      <c r="D519" s="733"/>
      <c r="E519" s="730"/>
    </row>
    <row r="520" spans="1:5">
      <c r="A520" s="727"/>
      <c r="B520" s="728"/>
      <c r="C520" s="728"/>
      <c r="D520" s="733"/>
      <c r="E520" s="730"/>
    </row>
    <row r="521" spans="1:5">
      <c r="A521" s="727"/>
      <c r="B521" s="728"/>
      <c r="C521" s="728"/>
      <c r="D521" s="733"/>
      <c r="E521" s="730"/>
    </row>
    <row r="522" spans="1:5">
      <c r="A522" s="727"/>
      <c r="B522" s="728"/>
      <c r="C522" s="728"/>
      <c r="D522" s="733"/>
      <c r="E522" s="730"/>
    </row>
    <row r="523" spans="1:5">
      <c r="A523" s="727"/>
      <c r="B523" s="728"/>
      <c r="C523" s="728"/>
      <c r="D523" s="733"/>
      <c r="E523" s="730"/>
    </row>
    <row r="524" spans="1:5">
      <c r="A524" s="727"/>
      <c r="B524" s="728"/>
      <c r="C524" s="728"/>
      <c r="D524" s="733"/>
      <c r="E524" s="730"/>
    </row>
    <row r="525" spans="1:5">
      <c r="A525" s="727"/>
      <c r="B525" s="728"/>
      <c r="C525" s="728"/>
      <c r="D525" s="733"/>
      <c r="E525" s="730"/>
    </row>
    <row r="526" spans="1:5">
      <c r="A526" s="727"/>
      <c r="B526" s="728"/>
      <c r="C526" s="728"/>
      <c r="D526" s="733"/>
      <c r="E526" s="730"/>
    </row>
    <row r="527" spans="1:5">
      <c r="A527" s="727"/>
      <c r="B527" s="728"/>
      <c r="C527" s="728"/>
      <c r="D527" s="733"/>
      <c r="E527" s="730"/>
    </row>
    <row r="528" spans="1:5">
      <c r="A528" s="727"/>
      <c r="B528" s="728"/>
      <c r="C528" s="728"/>
      <c r="D528" s="733"/>
      <c r="E528" s="730"/>
    </row>
    <row r="529" spans="1:5">
      <c r="A529" s="727"/>
      <c r="B529" s="728"/>
      <c r="C529" s="728"/>
      <c r="D529" s="733"/>
      <c r="E529" s="730"/>
    </row>
    <row r="530" spans="1:5">
      <c r="A530" s="727"/>
      <c r="B530" s="728"/>
      <c r="C530" s="728"/>
      <c r="D530" s="733"/>
      <c r="E530" s="730"/>
    </row>
    <row r="531" spans="1:5">
      <c r="A531" s="727"/>
      <c r="B531" s="728"/>
      <c r="C531" s="728"/>
      <c r="D531" s="733"/>
      <c r="E531" s="730"/>
    </row>
    <row r="532" spans="1:5">
      <c r="A532" s="727"/>
      <c r="B532" s="728"/>
      <c r="C532" s="728"/>
      <c r="D532" s="733"/>
      <c r="E532" s="730"/>
    </row>
    <row r="533" spans="1:5">
      <c r="A533" s="727"/>
      <c r="B533" s="728"/>
      <c r="C533" s="728"/>
      <c r="D533" s="733"/>
      <c r="E533" s="730"/>
    </row>
    <row r="534" spans="1:5">
      <c r="A534" s="727"/>
      <c r="B534" s="728"/>
      <c r="C534" s="728"/>
      <c r="D534" s="733"/>
      <c r="E534" s="730"/>
    </row>
    <row r="535" spans="1:5">
      <c r="A535" s="727"/>
      <c r="B535" s="728"/>
      <c r="C535" s="728"/>
      <c r="D535" s="733"/>
      <c r="E535" s="730"/>
    </row>
    <row r="536" spans="1:5">
      <c r="A536" s="727"/>
      <c r="B536" s="728"/>
      <c r="C536" s="728"/>
      <c r="D536" s="733"/>
      <c r="E536" s="730"/>
    </row>
    <row r="537" spans="1:5">
      <c r="A537" s="727"/>
      <c r="B537" s="728"/>
      <c r="C537" s="728"/>
      <c r="D537" s="733"/>
      <c r="E537" s="730"/>
    </row>
    <row r="538" spans="1:5">
      <c r="A538" s="727"/>
      <c r="B538" s="728"/>
      <c r="C538" s="728"/>
      <c r="D538" s="733"/>
      <c r="E538" s="730"/>
    </row>
    <row r="539" spans="1:5">
      <c r="A539" s="727"/>
      <c r="B539" s="728"/>
      <c r="C539" s="728"/>
      <c r="D539" s="733"/>
      <c r="E539" s="730"/>
    </row>
    <row r="540" spans="1:5">
      <c r="A540" s="727"/>
      <c r="B540" s="728"/>
      <c r="C540" s="728"/>
      <c r="D540" s="733"/>
      <c r="E540" s="730"/>
    </row>
    <row r="541" spans="1:5">
      <c r="A541" s="727"/>
      <c r="B541" s="728"/>
      <c r="C541" s="728"/>
      <c r="D541" s="733"/>
      <c r="E541" s="730"/>
    </row>
    <row r="542" spans="1:5">
      <c r="A542" s="727"/>
      <c r="B542" s="728"/>
      <c r="C542" s="728"/>
      <c r="D542" s="733"/>
      <c r="E542" s="730"/>
    </row>
    <row r="543" spans="1:5">
      <c r="A543" s="727"/>
      <c r="B543" s="728"/>
      <c r="C543" s="728"/>
      <c r="D543" s="733"/>
      <c r="E543" s="730"/>
    </row>
    <row r="544" spans="1:5">
      <c r="A544" s="727"/>
      <c r="B544" s="728"/>
      <c r="C544" s="728"/>
      <c r="D544" s="733"/>
      <c r="E544" s="730"/>
    </row>
    <row r="545" spans="1:5">
      <c r="A545" s="727"/>
      <c r="B545" s="728"/>
      <c r="C545" s="728"/>
      <c r="D545" s="733"/>
      <c r="E545" s="730"/>
    </row>
    <row r="546" spans="1:5">
      <c r="A546" s="727"/>
      <c r="B546" s="728"/>
      <c r="C546" s="728"/>
      <c r="D546" s="733"/>
      <c r="E546" s="730"/>
    </row>
    <row r="547" spans="1:5">
      <c r="A547" s="727"/>
      <c r="B547" s="728"/>
      <c r="C547" s="728"/>
      <c r="D547" s="733"/>
      <c r="E547" s="730"/>
    </row>
    <row r="548" spans="1:5">
      <c r="A548" s="727"/>
      <c r="B548" s="728"/>
      <c r="C548" s="728"/>
      <c r="D548" s="733"/>
      <c r="E548" s="730"/>
    </row>
    <row r="549" spans="1:5">
      <c r="A549" s="727"/>
      <c r="B549" s="728"/>
      <c r="C549" s="728"/>
      <c r="D549" s="733"/>
      <c r="E549" s="730"/>
    </row>
    <row r="550" spans="1:5">
      <c r="A550" s="727"/>
      <c r="B550" s="728"/>
      <c r="C550" s="728"/>
      <c r="D550" s="733"/>
      <c r="E550" s="730"/>
    </row>
    <row r="551" spans="1:5">
      <c r="A551" s="727"/>
      <c r="B551" s="728"/>
      <c r="C551" s="728"/>
      <c r="D551" s="733"/>
      <c r="E551" s="730"/>
    </row>
    <row r="552" spans="1:5">
      <c r="A552" s="727"/>
      <c r="B552" s="728"/>
      <c r="C552" s="728"/>
      <c r="D552" s="733"/>
      <c r="E552" s="730"/>
    </row>
    <row r="553" spans="1:5">
      <c r="A553" s="727"/>
      <c r="B553" s="728"/>
      <c r="C553" s="728"/>
      <c r="D553" s="733"/>
      <c r="E553" s="730"/>
    </row>
    <row r="554" spans="1:5">
      <c r="A554" s="727"/>
      <c r="B554" s="728"/>
      <c r="C554" s="728"/>
      <c r="D554" s="733"/>
      <c r="E554" s="730"/>
    </row>
    <row r="555" spans="1:5">
      <c r="A555" s="727"/>
      <c r="B555" s="728"/>
      <c r="C555" s="728"/>
      <c r="D555" s="733"/>
      <c r="E555" s="730"/>
    </row>
    <row r="556" spans="1:5">
      <c r="A556" s="727"/>
      <c r="B556" s="728"/>
      <c r="C556" s="728"/>
      <c r="D556" s="733"/>
      <c r="E556" s="730"/>
    </row>
    <row r="557" spans="1:5">
      <c r="A557" s="727"/>
      <c r="B557" s="728"/>
      <c r="C557" s="728"/>
      <c r="D557" s="733"/>
      <c r="E557" s="730"/>
    </row>
    <row r="558" spans="1:5">
      <c r="A558" s="727"/>
      <c r="B558" s="728"/>
      <c r="C558" s="728"/>
      <c r="D558" s="733"/>
      <c r="E558" s="730"/>
    </row>
    <row r="559" spans="1:5">
      <c r="A559" s="727"/>
      <c r="B559" s="728"/>
      <c r="C559" s="728"/>
      <c r="D559" s="733"/>
      <c r="E559" s="730"/>
    </row>
    <row r="560" spans="1:5">
      <c r="A560" s="727"/>
      <c r="B560" s="728"/>
      <c r="C560" s="728"/>
      <c r="D560" s="733"/>
      <c r="E560" s="730"/>
    </row>
    <row r="561" spans="1:5">
      <c r="A561" s="727"/>
      <c r="B561" s="728"/>
      <c r="C561" s="728"/>
      <c r="D561" s="733"/>
      <c r="E561" s="730"/>
    </row>
    <row r="562" spans="1:5">
      <c r="A562" s="727"/>
      <c r="B562" s="728"/>
      <c r="C562" s="728"/>
      <c r="D562" s="733"/>
      <c r="E562" s="730"/>
    </row>
    <row r="563" spans="1:5">
      <c r="A563" s="727"/>
      <c r="B563" s="728"/>
      <c r="C563" s="728"/>
      <c r="D563" s="733"/>
      <c r="E563" s="730"/>
    </row>
    <row r="564" spans="1:5">
      <c r="A564" s="727"/>
      <c r="B564" s="728"/>
      <c r="C564" s="728"/>
      <c r="D564" s="733"/>
      <c r="E564" s="730"/>
    </row>
    <row r="565" spans="1:5">
      <c r="A565" s="727"/>
      <c r="B565" s="728"/>
      <c r="C565" s="728"/>
      <c r="D565" s="733"/>
      <c r="E565" s="730"/>
    </row>
    <row r="566" spans="1:5">
      <c r="A566" s="727"/>
      <c r="B566" s="728"/>
      <c r="C566" s="728"/>
      <c r="D566" s="733"/>
      <c r="E566" s="730"/>
    </row>
    <row r="567" spans="1:5">
      <c r="A567" s="727"/>
      <c r="B567" s="728"/>
      <c r="C567" s="728"/>
      <c r="D567" s="733"/>
      <c r="E567" s="730"/>
    </row>
    <row r="568" spans="1:5">
      <c r="A568" s="727"/>
      <c r="B568" s="728"/>
      <c r="C568" s="728"/>
      <c r="D568" s="733"/>
      <c r="E568" s="730"/>
    </row>
    <row r="569" spans="1:5">
      <c r="A569" s="727"/>
      <c r="B569" s="728"/>
      <c r="C569" s="728"/>
      <c r="D569" s="733"/>
      <c r="E569" s="730"/>
    </row>
    <row r="570" spans="1:5">
      <c r="A570" s="727"/>
      <c r="B570" s="728"/>
      <c r="C570" s="728"/>
      <c r="D570" s="733"/>
      <c r="E570" s="730"/>
    </row>
    <row r="571" spans="1:5">
      <c r="A571" s="727"/>
      <c r="B571" s="728"/>
      <c r="C571" s="728"/>
      <c r="D571" s="733"/>
      <c r="E571" s="730"/>
    </row>
    <row r="572" spans="1:5">
      <c r="A572" s="727"/>
      <c r="B572" s="728"/>
      <c r="C572" s="728"/>
      <c r="D572" s="733"/>
      <c r="E572" s="730"/>
    </row>
    <row r="573" spans="1:5">
      <c r="A573" s="727"/>
      <c r="B573" s="728"/>
      <c r="C573" s="728"/>
      <c r="D573" s="733"/>
      <c r="E573" s="730"/>
    </row>
    <row r="574" spans="1:5">
      <c r="A574" s="727"/>
      <c r="B574" s="728"/>
      <c r="C574" s="728"/>
      <c r="D574" s="733"/>
      <c r="E574" s="730"/>
    </row>
    <row r="575" spans="1:5">
      <c r="A575" s="727"/>
      <c r="B575" s="728"/>
      <c r="C575" s="728"/>
      <c r="D575" s="733"/>
      <c r="E575" s="730"/>
    </row>
    <row r="576" spans="1:5">
      <c r="A576" s="727"/>
      <c r="B576" s="728"/>
      <c r="C576" s="728"/>
      <c r="D576" s="733"/>
      <c r="E576" s="730"/>
    </row>
    <row r="577" spans="1:5">
      <c r="A577" s="727"/>
      <c r="B577" s="728"/>
      <c r="C577" s="728"/>
      <c r="D577" s="733"/>
      <c r="E577" s="730"/>
    </row>
    <row r="578" spans="1:5">
      <c r="A578" s="727"/>
      <c r="B578" s="728"/>
      <c r="C578" s="728"/>
      <c r="D578" s="733"/>
      <c r="E578" s="730"/>
    </row>
    <row r="579" spans="1:5">
      <c r="A579" s="727"/>
      <c r="B579" s="728"/>
      <c r="C579" s="728"/>
      <c r="D579" s="733"/>
      <c r="E579" s="730"/>
    </row>
    <row r="580" spans="1:5">
      <c r="A580" s="727"/>
      <c r="B580" s="728"/>
      <c r="C580" s="728"/>
      <c r="D580" s="733"/>
      <c r="E580" s="730"/>
    </row>
    <row r="581" spans="1:5">
      <c r="A581" s="727"/>
      <c r="B581" s="728"/>
      <c r="C581" s="728"/>
      <c r="D581" s="733"/>
      <c r="E581" s="730"/>
    </row>
    <row r="582" spans="1:5">
      <c r="A582" s="727"/>
      <c r="B582" s="728"/>
      <c r="C582" s="728"/>
      <c r="D582" s="733"/>
      <c r="E582" s="730"/>
    </row>
    <row r="583" spans="1:5">
      <c r="A583" s="727"/>
      <c r="B583" s="728"/>
      <c r="C583" s="728"/>
      <c r="D583" s="733"/>
      <c r="E583" s="730"/>
    </row>
    <row r="584" spans="1:5">
      <c r="A584" s="727"/>
      <c r="B584" s="728"/>
      <c r="C584" s="728"/>
      <c r="D584" s="733"/>
      <c r="E584" s="730"/>
    </row>
    <row r="585" spans="1:5">
      <c r="A585" s="727"/>
      <c r="B585" s="728"/>
      <c r="C585" s="728"/>
      <c r="D585" s="733"/>
      <c r="E585" s="730"/>
    </row>
    <row r="586" spans="1:5">
      <c r="A586" s="727"/>
      <c r="B586" s="728"/>
      <c r="C586" s="728"/>
      <c r="D586" s="733"/>
      <c r="E586" s="730"/>
    </row>
    <row r="587" spans="1:5">
      <c r="A587" s="727"/>
      <c r="B587" s="728"/>
      <c r="C587" s="728"/>
      <c r="D587" s="733"/>
      <c r="E587" s="730"/>
    </row>
    <row r="588" spans="1:5">
      <c r="A588" s="727"/>
      <c r="B588" s="728"/>
      <c r="C588" s="728"/>
      <c r="D588" s="733"/>
      <c r="E588" s="730"/>
    </row>
    <row r="589" spans="1:5">
      <c r="A589" s="727"/>
      <c r="B589" s="728"/>
      <c r="C589" s="728"/>
      <c r="D589" s="733"/>
      <c r="E589" s="730"/>
    </row>
    <row r="590" spans="1:5">
      <c r="A590" s="727"/>
      <c r="B590" s="728"/>
      <c r="C590" s="728"/>
      <c r="D590" s="733"/>
      <c r="E590" s="730"/>
    </row>
    <row r="591" spans="1:5">
      <c r="A591" s="727"/>
      <c r="B591" s="728"/>
      <c r="C591" s="728"/>
      <c r="D591" s="733"/>
      <c r="E591" s="730"/>
    </row>
    <row r="592" spans="1:5">
      <c r="A592" s="727"/>
      <c r="B592" s="728"/>
      <c r="C592" s="728"/>
      <c r="D592" s="733"/>
      <c r="E592" s="730"/>
    </row>
    <row r="593" spans="1:5">
      <c r="A593" s="727"/>
      <c r="B593" s="728"/>
      <c r="C593" s="728"/>
      <c r="D593" s="733"/>
      <c r="E593" s="730"/>
    </row>
    <row r="594" spans="1:5">
      <c r="A594" s="727"/>
      <c r="B594" s="728"/>
      <c r="C594" s="728"/>
      <c r="D594" s="733"/>
      <c r="E594" s="730"/>
    </row>
    <row r="595" spans="1:5">
      <c r="A595" s="727"/>
      <c r="B595" s="728"/>
      <c r="C595" s="728"/>
      <c r="D595" s="733"/>
      <c r="E595" s="730"/>
    </row>
    <row r="596" spans="1:5">
      <c r="A596" s="727"/>
      <c r="B596" s="728"/>
      <c r="C596" s="728"/>
      <c r="D596" s="733"/>
      <c r="E596" s="730"/>
    </row>
    <row r="597" spans="1:5">
      <c r="A597" s="727"/>
      <c r="B597" s="728"/>
      <c r="C597" s="728"/>
      <c r="D597" s="733"/>
      <c r="E597" s="730"/>
    </row>
    <row r="598" spans="1:5">
      <c r="A598" s="727"/>
      <c r="B598" s="728"/>
      <c r="C598" s="728"/>
      <c r="D598" s="733"/>
      <c r="E598" s="730"/>
    </row>
    <row r="599" spans="1:5">
      <c r="A599" s="727"/>
      <c r="B599" s="728"/>
      <c r="C599" s="728"/>
      <c r="D599" s="733"/>
      <c r="E599" s="730"/>
    </row>
    <row r="600" spans="1:5">
      <c r="A600" s="727"/>
      <c r="B600" s="728"/>
      <c r="C600" s="728"/>
      <c r="D600" s="733"/>
      <c r="E600" s="730"/>
    </row>
    <row r="601" spans="1:5">
      <c r="A601" s="727"/>
      <c r="B601" s="728"/>
      <c r="C601" s="728"/>
      <c r="D601" s="733"/>
      <c r="E601" s="730"/>
    </row>
    <row r="602" spans="1:5">
      <c r="A602" s="727"/>
      <c r="B602" s="728"/>
      <c r="C602" s="728"/>
      <c r="D602" s="733"/>
      <c r="E602" s="730"/>
    </row>
    <row r="603" spans="1:5">
      <c r="A603" s="727"/>
      <c r="B603" s="728"/>
      <c r="C603" s="728"/>
      <c r="D603" s="733"/>
      <c r="E603" s="730"/>
    </row>
    <row r="604" spans="1:5">
      <c r="A604" s="727"/>
      <c r="B604" s="728"/>
      <c r="C604" s="728"/>
      <c r="D604" s="733"/>
      <c r="E604" s="730"/>
    </row>
    <row r="605" spans="1:5">
      <c r="A605" s="727"/>
      <c r="B605" s="728"/>
      <c r="C605" s="728"/>
      <c r="D605" s="733"/>
      <c r="E605" s="730"/>
    </row>
    <row r="606" spans="1:5">
      <c r="A606" s="727"/>
      <c r="B606" s="728"/>
      <c r="C606" s="728"/>
      <c r="D606" s="733"/>
      <c r="E606" s="730"/>
    </row>
    <row r="607" spans="1:5">
      <c r="A607" s="727"/>
      <c r="B607" s="728"/>
      <c r="C607" s="728"/>
      <c r="D607" s="733"/>
      <c r="E607" s="730"/>
    </row>
    <row r="608" spans="1:5">
      <c r="A608" s="727"/>
      <c r="B608" s="728"/>
      <c r="C608" s="728"/>
      <c r="D608" s="733"/>
      <c r="E608" s="730"/>
    </row>
    <row r="609" spans="1:5">
      <c r="A609" s="727"/>
      <c r="B609" s="728"/>
      <c r="C609" s="728"/>
      <c r="D609" s="733"/>
      <c r="E609" s="730"/>
    </row>
    <row r="610" spans="1:5">
      <c r="A610" s="727"/>
      <c r="B610" s="728"/>
      <c r="C610" s="728"/>
      <c r="D610" s="733"/>
      <c r="E610" s="730"/>
    </row>
    <row r="611" spans="1:5">
      <c r="A611" s="727"/>
      <c r="B611" s="728"/>
      <c r="C611" s="728"/>
      <c r="D611" s="733"/>
      <c r="E611" s="730"/>
    </row>
    <row r="612" spans="1:5">
      <c r="A612" s="727"/>
      <c r="B612" s="728"/>
      <c r="C612" s="728"/>
      <c r="D612" s="733"/>
      <c r="E612" s="730"/>
    </row>
    <row r="613" spans="1:5">
      <c r="A613" s="727"/>
      <c r="B613" s="728"/>
      <c r="C613" s="728"/>
      <c r="D613" s="733"/>
      <c r="E613" s="730"/>
    </row>
    <row r="614" spans="1:5">
      <c r="A614" s="727"/>
      <c r="B614" s="728"/>
      <c r="C614" s="728"/>
      <c r="D614" s="733"/>
      <c r="E614" s="730"/>
    </row>
    <row r="615" spans="1:5">
      <c r="A615" s="727"/>
      <c r="B615" s="728"/>
      <c r="C615" s="728"/>
      <c r="D615" s="733"/>
      <c r="E615" s="730"/>
    </row>
    <row r="616" spans="1:5">
      <c r="A616" s="727"/>
      <c r="B616" s="728"/>
      <c r="C616" s="728"/>
      <c r="D616" s="733"/>
      <c r="E616" s="730"/>
    </row>
    <row r="617" spans="1:5">
      <c r="A617" s="727"/>
      <c r="B617" s="728"/>
      <c r="C617" s="728"/>
      <c r="D617" s="733"/>
      <c r="E617" s="730"/>
    </row>
    <row r="618" spans="1:5">
      <c r="A618" s="727"/>
      <c r="B618" s="728"/>
      <c r="C618" s="728"/>
      <c r="D618" s="733"/>
      <c r="E618" s="730"/>
    </row>
    <row r="619" spans="1:5">
      <c r="A619" s="727"/>
      <c r="B619" s="728"/>
      <c r="C619" s="728"/>
      <c r="D619" s="733"/>
      <c r="E619" s="730"/>
    </row>
    <row r="620" spans="1:5">
      <c r="A620" s="727"/>
      <c r="B620" s="728"/>
      <c r="C620" s="728"/>
      <c r="D620" s="733"/>
      <c r="E620" s="730"/>
    </row>
    <row r="621" spans="1:5">
      <c r="A621" s="727"/>
      <c r="B621" s="728"/>
      <c r="C621" s="728"/>
      <c r="D621" s="733"/>
      <c r="E621" s="730"/>
    </row>
    <row r="622" spans="1:5">
      <c r="A622" s="727"/>
      <c r="B622" s="728"/>
      <c r="C622" s="728"/>
      <c r="D622" s="733"/>
      <c r="E622" s="730"/>
    </row>
    <row r="623" spans="1:5">
      <c r="A623" s="727"/>
      <c r="B623" s="728"/>
      <c r="C623" s="728"/>
      <c r="D623" s="733"/>
      <c r="E623" s="730"/>
    </row>
    <row r="624" spans="1:5">
      <c r="A624" s="727"/>
      <c r="B624" s="728"/>
      <c r="C624" s="728"/>
      <c r="D624" s="733"/>
      <c r="E624" s="730"/>
    </row>
    <row r="625" spans="1:5">
      <c r="A625" s="727"/>
      <c r="B625" s="728"/>
      <c r="C625" s="728"/>
      <c r="D625" s="733"/>
      <c r="E625" s="730"/>
    </row>
    <row r="626" spans="1:5">
      <c r="A626" s="727"/>
      <c r="B626" s="728"/>
      <c r="C626" s="728"/>
      <c r="D626" s="733"/>
      <c r="E626" s="730"/>
    </row>
    <row r="627" spans="1:5">
      <c r="A627" s="727"/>
      <c r="B627" s="728"/>
      <c r="C627" s="728"/>
      <c r="D627" s="733"/>
      <c r="E627" s="730"/>
    </row>
    <row r="628" spans="1:5">
      <c r="A628" s="727"/>
      <c r="B628" s="728"/>
      <c r="C628" s="728"/>
      <c r="D628" s="1456"/>
      <c r="E628" s="1456"/>
    </row>
    <row r="629" spans="1:5">
      <c r="A629" s="727"/>
      <c r="B629" s="728"/>
      <c r="C629" s="728"/>
      <c r="D629" s="733"/>
      <c r="E629" s="730"/>
    </row>
    <row r="630" spans="1:5">
      <c r="A630" s="727"/>
      <c r="B630" s="728"/>
      <c r="C630" s="728"/>
      <c r="D630" s="733"/>
      <c r="E630" s="730"/>
    </row>
    <row r="631" spans="1:5">
      <c r="A631" s="727"/>
      <c r="B631" s="728"/>
      <c r="C631" s="728"/>
      <c r="D631" s="733"/>
      <c r="E631" s="730"/>
    </row>
    <row r="632" spans="1:5">
      <c r="A632" s="727"/>
      <c r="B632" s="728"/>
      <c r="C632" s="728"/>
      <c r="D632" s="733"/>
      <c r="E632" s="730"/>
    </row>
    <row r="633" spans="1:5">
      <c r="A633" s="727"/>
      <c r="B633" s="728"/>
      <c r="C633" s="728"/>
      <c r="D633" s="733"/>
      <c r="E633" s="730"/>
    </row>
    <row r="634" spans="1:5">
      <c r="A634" s="727"/>
      <c r="B634" s="728"/>
      <c r="C634" s="728"/>
      <c r="D634" s="733"/>
      <c r="E634" s="730"/>
    </row>
    <row r="635" spans="1:5">
      <c r="A635" s="727"/>
      <c r="B635" s="728"/>
      <c r="C635" s="728"/>
      <c r="D635" s="733"/>
      <c r="E635" s="730"/>
    </row>
    <row r="636" spans="1:5">
      <c r="A636" s="727"/>
      <c r="B636" s="728"/>
      <c r="C636" s="728"/>
      <c r="D636" s="733"/>
      <c r="E636" s="730"/>
    </row>
    <row r="637" spans="1:5">
      <c r="A637" s="727"/>
      <c r="B637" s="728"/>
      <c r="C637" s="728"/>
      <c r="D637" s="733"/>
      <c r="E637" s="730"/>
    </row>
    <row r="638" spans="1:5">
      <c r="A638" s="727"/>
      <c r="B638" s="728"/>
      <c r="C638" s="728"/>
      <c r="D638" s="733"/>
      <c r="E638" s="730"/>
    </row>
    <row r="639" spans="1:5">
      <c r="A639" s="727"/>
      <c r="B639" s="728"/>
      <c r="C639" s="728"/>
      <c r="D639" s="733"/>
      <c r="E639" s="730"/>
    </row>
    <row r="640" spans="1:5">
      <c r="A640" s="727"/>
      <c r="B640" s="728"/>
      <c r="C640" s="728"/>
      <c r="D640" s="733"/>
      <c r="E640" s="730"/>
    </row>
    <row r="641" spans="1:5">
      <c r="A641" s="727"/>
      <c r="B641" s="728"/>
      <c r="C641" s="728"/>
      <c r="D641" s="733"/>
      <c r="E641" s="730"/>
    </row>
    <row r="642" spans="1:5">
      <c r="A642" s="727"/>
      <c r="B642" s="728"/>
      <c r="C642" s="728"/>
      <c r="D642" s="733"/>
      <c r="E642" s="730"/>
    </row>
    <row r="643" spans="1:5">
      <c r="A643" s="727"/>
      <c r="B643" s="728"/>
      <c r="C643" s="728"/>
      <c r="D643" s="733"/>
      <c r="E643" s="730"/>
    </row>
    <row r="644" spans="1:5">
      <c r="A644" s="727"/>
      <c r="B644" s="728"/>
      <c r="C644" s="728"/>
      <c r="D644" s="733"/>
      <c r="E644" s="730"/>
    </row>
    <row r="645" spans="1:5">
      <c r="A645" s="727"/>
      <c r="B645" s="728"/>
      <c r="C645" s="728"/>
      <c r="D645" s="733"/>
      <c r="E645" s="730"/>
    </row>
    <row r="646" spans="1:5">
      <c r="A646" s="727"/>
      <c r="B646" s="728"/>
      <c r="C646" s="728"/>
      <c r="D646" s="733"/>
      <c r="E646" s="730"/>
    </row>
    <row r="647" spans="1:5">
      <c r="A647" s="727"/>
      <c r="B647" s="728"/>
      <c r="C647" s="728"/>
      <c r="D647" s="733"/>
      <c r="E647" s="730"/>
    </row>
    <row r="648" spans="1:5">
      <c r="A648" s="727"/>
      <c r="B648" s="728"/>
      <c r="C648" s="728"/>
      <c r="D648" s="733"/>
      <c r="E648" s="730"/>
    </row>
    <row r="649" spans="1:5">
      <c r="A649" s="727"/>
      <c r="B649" s="728"/>
      <c r="C649" s="728"/>
      <c r="D649" s="733"/>
      <c r="E649" s="730"/>
    </row>
    <row r="650" spans="1:5">
      <c r="A650" s="727"/>
      <c r="B650" s="728"/>
      <c r="C650" s="728"/>
      <c r="D650" s="733"/>
      <c r="E650" s="730"/>
    </row>
    <row r="651" spans="1:5">
      <c r="A651" s="727"/>
      <c r="B651" s="728"/>
      <c r="C651" s="728"/>
      <c r="D651" s="733"/>
      <c r="E651" s="730"/>
    </row>
    <row r="652" spans="1:5">
      <c r="A652" s="727"/>
      <c r="B652" s="728"/>
      <c r="C652" s="728"/>
      <c r="D652" s="733"/>
      <c r="E652" s="730"/>
    </row>
    <row r="653" spans="1:5">
      <c r="A653" s="727"/>
      <c r="B653" s="728"/>
      <c r="C653" s="728"/>
      <c r="D653" s="733"/>
      <c r="E653" s="730"/>
    </row>
    <row r="654" spans="1:5">
      <c r="A654" s="727"/>
      <c r="B654" s="728"/>
      <c r="C654" s="728"/>
      <c r="D654" s="733"/>
      <c r="E654" s="730"/>
    </row>
    <row r="655" spans="1:5">
      <c r="A655" s="727"/>
      <c r="B655" s="728"/>
      <c r="C655" s="728"/>
      <c r="D655" s="733"/>
      <c r="E655" s="730"/>
    </row>
    <row r="656" spans="1:5">
      <c r="A656" s="727"/>
      <c r="B656" s="728"/>
      <c r="C656" s="728"/>
      <c r="D656" s="733"/>
      <c r="E656" s="730"/>
    </row>
    <row r="657" spans="1:5">
      <c r="A657" s="727"/>
      <c r="B657" s="728"/>
      <c r="C657" s="728"/>
      <c r="D657" s="733"/>
      <c r="E657" s="730"/>
    </row>
    <row r="658" spans="1:5">
      <c r="A658" s="727"/>
      <c r="B658" s="728"/>
      <c r="C658" s="728"/>
      <c r="D658" s="733"/>
      <c r="E658" s="730"/>
    </row>
    <row r="659" spans="1:5">
      <c r="A659" s="727"/>
      <c r="B659" s="728"/>
      <c r="C659" s="728"/>
      <c r="D659" s="733"/>
      <c r="E659" s="730"/>
    </row>
    <row r="660" spans="1:5">
      <c r="A660" s="727"/>
      <c r="B660" s="728"/>
      <c r="C660" s="728"/>
      <c r="D660" s="733"/>
      <c r="E660" s="730"/>
    </row>
    <row r="661" spans="1:5">
      <c r="A661" s="727"/>
      <c r="B661" s="728"/>
      <c r="C661" s="728"/>
      <c r="D661" s="733"/>
      <c r="E661" s="730"/>
    </row>
    <row r="662" spans="1:5">
      <c r="A662" s="727"/>
      <c r="B662" s="728"/>
      <c r="C662" s="728"/>
      <c r="D662" s="733"/>
      <c r="E662" s="730"/>
    </row>
    <row r="663" spans="1:5">
      <c r="A663" s="727"/>
      <c r="B663" s="728"/>
      <c r="C663" s="728"/>
      <c r="D663" s="733"/>
      <c r="E663" s="730"/>
    </row>
    <row r="664" spans="1:5">
      <c r="A664" s="727"/>
      <c r="B664" s="728"/>
      <c r="C664" s="728"/>
      <c r="D664" s="733"/>
      <c r="E664" s="730"/>
    </row>
    <row r="665" spans="1:5">
      <c r="A665" s="727"/>
      <c r="B665" s="728"/>
      <c r="C665" s="728"/>
      <c r="D665" s="733"/>
      <c r="E665" s="730"/>
    </row>
    <row r="666" spans="1:5">
      <c r="A666" s="727"/>
      <c r="B666" s="728"/>
      <c r="C666" s="728"/>
      <c r="D666" s="733"/>
      <c r="E666" s="730"/>
    </row>
    <row r="667" spans="1:5">
      <c r="A667" s="727"/>
      <c r="B667" s="728"/>
      <c r="C667" s="728"/>
      <c r="D667" s="733"/>
      <c r="E667" s="730"/>
    </row>
    <row r="668" spans="1:5">
      <c r="A668" s="727"/>
      <c r="B668" s="728"/>
      <c r="C668" s="728"/>
      <c r="D668" s="733"/>
      <c r="E668" s="730"/>
    </row>
    <row r="669" spans="1:5">
      <c r="A669" s="727"/>
      <c r="B669" s="728"/>
      <c r="C669" s="728"/>
      <c r="D669" s="733"/>
      <c r="E669" s="730"/>
    </row>
    <row r="670" spans="1:5">
      <c r="A670" s="727"/>
      <c r="B670" s="728"/>
      <c r="C670" s="728"/>
      <c r="D670" s="733"/>
      <c r="E670" s="730"/>
    </row>
    <row r="671" spans="1:5">
      <c r="A671" s="727"/>
      <c r="B671" s="728"/>
      <c r="C671" s="728"/>
      <c r="D671" s="733"/>
      <c r="E671" s="730"/>
    </row>
    <row r="672" spans="1:5">
      <c r="A672" s="727"/>
      <c r="B672" s="728"/>
      <c r="C672" s="728"/>
      <c r="D672" s="733"/>
      <c r="E672" s="730"/>
    </row>
    <row r="673" spans="1:5">
      <c r="A673" s="727"/>
      <c r="B673" s="728"/>
      <c r="C673" s="728"/>
      <c r="D673" s="733"/>
      <c r="E673" s="730"/>
    </row>
    <row r="674" spans="1:5">
      <c r="A674" s="727"/>
      <c r="B674" s="728"/>
      <c r="C674" s="728"/>
      <c r="D674" s="733"/>
      <c r="E674" s="730"/>
    </row>
    <row r="675" spans="1:5">
      <c r="A675" s="727"/>
      <c r="B675" s="728"/>
      <c r="C675" s="728"/>
      <c r="D675" s="733"/>
      <c r="E675" s="730"/>
    </row>
    <row r="676" spans="1:5">
      <c r="A676" s="727"/>
      <c r="B676" s="728"/>
      <c r="C676" s="728"/>
      <c r="D676" s="733"/>
      <c r="E676" s="730"/>
    </row>
    <row r="677" spans="1:5">
      <c r="A677" s="727"/>
      <c r="B677" s="728"/>
      <c r="C677" s="728"/>
      <c r="D677" s="733"/>
      <c r="E677" s="730"/>
    </row>
    <row r="678" spans="1:5">
      <c r="A678" s="727"/>
      <c r="B678" s="728"/>
      <c r="C678" s="728"/>
      <c r="D678" s="733"/>
      <c r="E678" s="730"/>
    </row>
    <row r="679" spans="1:5">
      <c r="A679" s="727"/>
      <c r="B679" s="728"/>
      <c r="C679" s="728"/>
      <c r="D679" s="733"/>
      <c r="E679" s="730"/>
    </row>
    <row r="680" spans="1:5">
      <c r="A680" s="727"/>
      <c r="B680" s="728"/>
      <c r="C680" s="728"/>
      <c r="D680" s="733"/>
      <c r="E680" s="730"/>
    </row>
    <row r="681" spans="1:5">
      <c r="A681" s="727"/>
      <c r="B681" s="728"/>
      <c r="C681" s="728"/>
      <c r="D681" s="733"/>
      <c r="E681" s="730"/>
    </row>
    <row r="682" spans="1:5">
      <c r="A682" s="727"/>
      <c r="B682" s="728"/>
      <c r="C682" s="728"/>
      <c r="D682" s="733"/>
      <c r="E682" s="730"/>
    </row>
    <row r="683" spans="1:5">
      <c r="A683" s="727"/>
      <c r="B683" s="728"/>
      <c r="C683" s="728"/>
      <c r="D683" s="733"/>
      <c r="E683" s="730"/>
    </row>
    <row r="684" spans="1:5">
      <c r="A684" s="727"/>
      <c r="B684" s="728"/>
      <c r="C684" s="728"/>
      <c r="D684" s="733"/>
      <c r="E684" s="730"/>
    </row>
    <row r="685" spans="1:5">
      <c r="A685" s="727"/>
      <c r="B685" s="728"/>
      <c r="C685" s="728"/>
      <c r="D685" s="733"/>
      <c r="E685" s="730"/>
    </row>
    <row r="686" spans="1:5">
      <c r="A686" s="727"/>
      <c r="B686" s="728"/>
      <c r="C686" s="728"/>
      <c r="D686" s="733"/>
      <c r="E686" s="730"/>
    </row>
    <row r="687" spans="1:5">
      <c r="A687" s="727"/>
      <c r="B687" s="728"/>
      <c r="C687" s="728"/>
      <c r="D687" s="733"/>
      <c r="E687" s="730"/>
    </row>
    <row r="688" spans="1:5">
      <c r="A688" s="727"/>
      <c r="B688" s="728"/>
      <c r="C688" s="728"/>
      <c r="D688" s="733"/>
      <c r="E688" s="730"/>
    </row>
    <row r="689" spans="1:5">
      <c r="A689" s="727"/>
      <c r="B689" s="728"/>
      <c r="C689" s="728"/>
      <c r="D689" s="733"/>
      <c r="E689" s="730"/>
    </row>
    <row r="690" spans="1:5">
      <c r="A690" s="727"/>
      <c r="B690" s="728"/>
      <c r="C690" s="728"/>
      <c r="D690" s="733"/>
      <c r="E690" s="730"/>
    </row>
    <row r="691" spans="1:5">
      <c r="A691" s="727"/>
      <c r="B691" s="728"/>
      <c r="C691" s="728"/>
      <c r="D691" s="733"/>
      <c r="E691" s="730"/>
    </row>
    <row r="692" spans="1:5">
      <c r="A692" s="727"/>
      <c r="B692" s="728"/>
      <c r="C692" s="728"/>
      <c r="D692" s="733"/>
      <c r="E692" s="730"/>
    </row>
    <row r="693" spans="1:5">
      <c r="A693" s="727"/>
      <c r="B693" s="728"/>
      <c r="C693" s="728"/>
      <c r="D693" s="733"/>
      <c r="E693" s="730"/>
    </row>
    <row r="694" spans="1:5">
      <c r="A694" s="727"/>
      <c r="B694" s="728"/>
      <c r="C694" s="728"/>
      <c r="D694" s="733"/>
      <c r="E694" s="730"/>
    </row>
    <row r="695" spans="1:5">
      <c r="A695" s="727"/>
      <c r="B695" s="728"/>
      <c r="C695" s="728"/>
      <c r="D695" s="733"/>
      <c r="E695" s="730"/>
    </row>
    <row r="696" spans="1:5">
      <c r="A696" s="727"/>
      <c r="B696" s="728"/>
      <c r="C696" s="728"/>
      <c r="D696" s="733"/>
      <c r="E696" s="730"/>
    </row>
    <row r="697" spans="1:5">
      <c r="A697" s="727"/>
      <c r="B697" s="728"/>
      <c r="C697" s="728"/>
      <c r="D697" s="733"/>
      <c r="E697" s="730"/>
    </row>
    <row r="698" spans="1:5">
      <c r="A698" s="727"/>
      <c r="B698" s="728"/>
      <c r="C698" s="728"/>
      <c r="D698" s="733"/>
      <c r="E698" s="730"/>
    </row>
    <row r="699" spans="1:5">
      <c r="A699" s="727"/>
      <c r="B699" s="728"/>
      <c r="C699" s="728"/>
      <c r="D699" s="733"/>
      <c r="E699" s="730"/>
    </row>
    <row r="700" spans="1:5">
      <c r="A700" s="727"/>
      <c r="B700" s="728"/>
      <c r="C700" s="728"/>
      <c r="D700" s="733"/>
      <c r="E700" s="730"/>
    </row>
    <row r="701" spans="1:5">
      <c r="A701" s="727"/>
      <c r="B701" s="728"/>
      <c r="C701" s="728"/>
      <c r="D701" s="733"/>
      <c r="E701" s="730"/>
    </row>
    <row r="702" spans="1:5">
      <c r="A702" s="727"/>
      <c r="B702" s="728"/>
      <c r="C702" s="728"/>
      <c r="D702" s="733"/>
      <c r="E702" s="730"/>
    </row>
    <row r="703" spans="1:5">
      <c r="A703" s="727"/>
      <c r="B703" s="728"/>
      <c r="C703" s="728"/>
      <c r="D703" s="733"/>
      <c r="E703" s="730"/>
    </row>
    <row r="704" spans="1:5">
      <c r="A704" s="727"/>
      <c r="B704" s="728"/>
      <c r="C704" s="728"/>
      <c r="D704" s="733"/>
      <c r="E704" s="730"/>
    </row>
    <row r="705" spans="1:5">
      <c r="A705" s="727"/>
      <c r="B705" s="728"/>
      <c r="C705" s="728"/>
      <c r="D705" s="733"/>
      <c r="E705" s="730"/>
    </row>
    <row r="706" spans="1:5">
      <c r="A706" s="727"/>
      <c r="B706" s="728"/>
      <c r="C706" s="728"/>
      <c r="D706" s="733"/>
      <c r="E706" s="730"/>
    </row>
    <row r="707" spans="1:5">
      <c r="A707" s="727"/>
      <c r="B707" s="728"/>
      <c r="C707" s="728"/>
      <c r="D707" s="733"/>
      <c r="E707" s="730"/>
    </row>
    <row r="708" spans="1:5">
      <c r="A708" s="727"/>
      <c r="B708" s="728"/>
      <c r="C708" s="728"/>
      <c r="D708" s="733"/>
      <c r="E708" s="730"/>
    </row>
    <row r="709" spans="1:5">
      <c r="A709" s="727"/>
      <c r="B709" s="728"/>
      <c r="C709" s="728"/>
      <c r="D709" s="733"/>
      <c r="E709" s="730"/>
    </row>
    <row r="710" spans="1:5">
      <c r="A710" s="727"/>
      <c r="B710" s="728"/>
      <c r="C710" s="728"/>
      <c r="D710" s="733"/>
      <c r="E710" s="730"/>
    </row>
    <row r="711" spans="1:5">
      <c r="A711" s="727"/>
      <c r="B711" s="728"/>
      <c r="C711" s="728"/>
      <c r="D711" s="733"/>
      <c r="E711" s="730"/>
    </row>
    <row r="712" spans="1:5">
      <c r="A712" s="727"/>
      <c r="B712" s="728"/>
      <c r="C712" s="728"/>
      <c r="D712" s="733"/>
      <c r="E712" s="730"/>
    </row>
    <row r="713" spans="1:5">
      <c r="A713" s="727"/>
      <c r="B713" s="728"/>
      <c r="C713" s="728"/>
      <c r="D713" s="733"/>
      <c r="E713" s="730"/>
    </row>
    <row r="714" spans="1:5">
      <c r="A714" s="727"/>
      <c r="B714" s="728"/>
      <c r="C714" s="728"/>
      <c r="D714" s="733"/>
      <c r="E714" s="730"/>
    </row>
    <row r="715" spans="1:5">
      <c r="A715" s="727"/>
      <c r="B715" s="728"/>
      <c r="C715" s="728"/>
      <c r="D715" s="733"/>
      <c r="E715" s="730"/>
    </row>
    <row r="716" spans="1:5">
      <c r="A716" s="727"/>
      <c r="B716" s="728"/>
      <c r="C716" s="728"/>
      <c r="D716" s="733"/>
      <c r="E716" s="730"/>
    </row>
    <row r="717" spans="1:5">
      <c r="A717" s="727"/>
      <c r="B717" s="728"/>
      <c r="C717" s="728"/>
      <c r="D717" s="733"/>
      <c r="E717" s="730"/>
    </row>
    <row r="718" spans="1:5">
      <c r="A718" s="727"/>
      <c r="B718" s="728"/>
      <c r="C718" s="728"/>
      <c r="D718" s="733"/>
      <c r="E718" s="730"/>
    </row>
    <row r="719" spans="1:5">
      <c r="A719" s="727"/>
      <c r="B719" s="728"/>
      <c r="C719" s="728"/>
      <c r="D719" s="733"/>
      <c r="E719" s="730"/>
    </row>
    <row r="720" spans="1:5">
      <c r="A720" s="727"/>
      <c r="B720" s="728"/>
      <c r="C720" s="728"/>
      <c r="D720" s="733"/>
      <c r="E720" s="730"/>
    </row>
    <row r="721" spans="1:5">
      <c r="A721" s="727"/>
      <c r="B721" s="728"/>
      <c r="C721" s="728"/>
      <c r="D721" s="733"/>
      <c r="E721" s="730"/>
    </row>
    <row r="722" spans="1:5">
      <c r="A722" s="727"/>
      <c r="B722" s="728"/>
      <c r="C722" s="728"/>
      <c r="D722" s="733"/>
      <c r="E722" s="730"/>
    </row>
    <row r="723" spans="1:5">
      <c r="A723" s="727"/>
      <c r="B723" s="728"/>
      <c r="C723" s="728"/>
      <c r="D723" s="733"/>
      <c r="E723" s="730"/>
    </row>
    <row r="724" spans="1:5">
      <c r="A724" s="727"/>
      <c r="B724" s="728"/>
      <c r="C724" s="728"/>
      <c r="D724" s="733"/>
      <c r="E724" s="730"/>
    </row>
    <row r="725" spans="1:5">
      <c r="A725" s="727"/>
      <c r="B725" s="728"/>
      <c r="C725" s="728"/>
      <c r="D725" s="733"/>
      <c r="E725" s="730"/>
    </row>
    <row r="726" spans="1:5">
      <c r="A726" s="727"/>
      <c r="B726" s="728"/>
      <c r="C726" s="728"/>
      <c r="D726" s="733"/>
      <c r="E726" s="730"/>
    </row>
    <row r="727" spans="1:5">
      <c r="A727" s="727"/>
      <c r="B727" s="728"/>
      <c r="C727" s="728"/>
      <c r="D727" s="733"/>
      <c r="E727" s="730"/>
    </row>
    <row r="728" spans="1:5">
      <c r="A728" s="727"/>
      <c r="B728" s="728"/>
      <c r="C728" s="728"/>
      <c r="D728" s="733"/>
      <c r="E728" s="730"/>
    </row>
    <row r="729" spans="1:5">
      <c r="A729" s="727"/>
      <c r="B729" s="728"/>
      <c r="C729" s="728"/>
      <c r="D729" s="733"/>
      <c r="E729" s="730"/>
    </row>
    <row r="730" spans="1:5">
      <c r="A730" s="727"/>
      <c r="B730" s="728"/>
      <c r="C730" s="728"/>
      <c r="D730" s="733"/>
      <c r="E730" s="730"/>
    </row>
    <row r="731" spans="1:5">
      <c r="A731" s="727"/>
      <c r="B731" s="728"/>
      <c r="C731" s="728"/>
      <c r="D731" s="733"/>
      <c r="E731" s="730"/>
    </row>
    <row r="732" spans="1:5">
      <c r="A732" s="727"/>
      <c r="B732" s="728"/>
      <c r="C732" s="728"/>
      <c r="D732" s="733"/>
      <c r="E732" s="730"/>
    </row>
    <row r="733" spans="1:5">
      <c r="A733" s="727"/>
      <c r="B733" s="728"/>
      <c r="C733" s="728"/>
      <c r="D733" s="733"/>
      <c r="E733" s="730"/>
    </row>
    <row r="734" spans="1:5">
      <c r="A734" s="727"/>
      <c r="B734" s="728"/>
      <c r="C734" s="728"/>
      <c r="D734" s="733"/>
      <c r="E734" s="730"/>
    </row>
    <row r="735" spans="1:5">
      <c r="A735" s="727"/>
      <c r="B735" s="728"/>
      <c r="C735" s="728"/>
      <c r="D735" s="733"/>
      <c r="E735" s="730"/>
    </row>
    <row r="737" spans="1:4">
      <c r="A737" s="736"/>
      <c r="B737" s="737"/>
      <c r="C737" s="738"/>
      <c r="D737" s="737"/>
    </row>
    <row r="842" spans="1:5" ht="18.75">
      <c r="A842" s="1455"/>
      <c r="B842" s="1455"/>
      <c r="C842" s="1455"/>
      <c r="D842" s="1455"/>
      <c r="E842" s="1455"/>
    </row>
    <row r="843" spans="1:5">
      <c r="A843" s="1450"/>
      <c r="B843" s="1450"/>
      <c r="C843" s="1450"/>
      <c r="D843" s="1450"/>
      <c r="E843" s="1450"/>
    </row>
    <row r="844" spans="1:5">
      <c r="A844" s="1451"/>
      <c r="B844" s="1451"/>
      <c r="C844" s="1451"/>
      <c r="D844" s="1451"/>
      <c r="E844" s="1451"/>
    </row>
    <row r="845" spans="1:5">
      <c r="A845" s="1452"/>
      <c r="B845" s="1453"/>
      <c r="C845" s="1454"/>
      <c r="D845" s="1454"/>
      <c r="E845" s="1454"/>
    </row>
    <row r="846" spans="1:5" ht="17.25">
      <c r="A846" s="739"/>
      <c r="B846" s="739"/>
      <c r="C846" s="739"/>
      <c r="D846" s="739"/>
      <c r="E846" s="740"/>
    </row>
  </sheetData>
  <mergeCells count="17">
    <mergeCell ref="A845:B845"/>
    <mergeCell ref="C845:E845"/>
    <mergeCell ref="A5:C5"/>
    <mergeCell ref="D5:E5"/>
    <mergeCell ref="D439:E443"/>
    <mergeCell ref="C1:E3"/>
    <mergeCell ref="A4:E4"/>
    <mergeCell ref="A842:E842"/>
    <mergeCell ref="A843:E843"/>
    <mergeCell ref="A844:E844"/>
    <mergeCell ref="D481:E481"/>
    <mergeCell ref="D487:E491"/>
    <mergeCell ref="D112:E113"/>
    <mergeCell ref="D628:E628"/>
    <mergeCell ref="D101:E101"/>
    <mergeCell ref="D141:E141"/>
    <mergeCell ref="D146:E146"/>
  </mergeCells>
  <printOptions horizontalCentered="1"/>
  <pageMargins left="0.70866141732283472" right="0.70866141732283472" top="0.74803149606299213" bottom="0.74803149606299213" header="0.31496062992125984" footer="0.31496062992125984"/>
  <pageSetup paperSize="9" scale="34" fitToHeight="2" orientation="portrait" r:id="rId1"/>
  <headerFooter>
    <oddFooter>&amp;L&amp;"Calibri,Regular"&amp;K184782&amp;F&amp;C&amp;"Calibri,Regular"&amp;K184782&amp;A&amp;R&amp;"Calibri,Regular"&amp;K184782&amp;P</oddFooter>
  </headerFooter>
  <rowBreaks count="1" manualBreakCount="1">
    <brk id="152" max="4"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8"/>
  <dimension ref="A1:L119"/>
  <sheetViews>
    <sheetView showGridLines="0" topLeftCell="A43" workbookViewId="0">
      <selection activeCell="E47" sqref="E47"/>
    </sheetView>
  </sheetViews>
  <sheetFormatPr defaultRowHeight="12.75"/>
  <cols>
    <col min="1" max="1" width="10.77734375" style="81" customWidth="1"/>
    <col min="2" max="3" width="8.77734375" style="81" customWidth="1"/>
    <col min="4" max="4" width="43.44140625" style="74" bestFit="1" customWidth="1"/>
    <col min="5" max="5" width="8.77734375" style="74" customWidth="1"/>
    <col min="6" max="6" width="10.88671875" style="74" customWidth="1"/>
    <col min="7" max="7" width="9.21875" style="74" customWidth="1"/>
    <col min="8" max="8" width="8.77734375" style="74" customWidth="1"/>
    <col min="9" max="16384" width="8.88671875" style="74"/>
  </cols>
  <sheetData>
    <row r="1" spans="1:7">
      <c r="A1" s="111" t="s">
        <v>139</v>
      </c>
      <c r="B1" s="88"/>
    </row>
    <row r="2" spans="1:7">
      <c r="A2" s="111" t="s">
        <v>140</v>
      </c>
      <c r="B2" s="88"/>
    </row>
    <row r="4" spans="1:7">
      <c r="A4" s="69" t="s">
        <v>141</v>
      </c>
      <c r="B4" s="69" t="s">
        <v>142</v>
      </c>
      <c r="C4" s="69" t="s">
        <v>143</v>
      </c>
      <c r="D4" s="89" t="s">
        <v>144</v>
      </c>
      <c r="E4" s="90"/>
      <c r="F4" s="88"/>
      <c r="G4" s="88"/>
    </row>
    <row r="5" spans="1:7">
      <c r="A5" s="75">
        <v>36720</v>
      </c>
      <c r="B5" s="75">
        <v>36721</v>
      </c>
      <c r="C5" s="91">
        <v>212</v>
      </c>
      <c r="D5" s="92">
        <v>0.70499999999999996</v>
      </c>
      <c r="E5" s="93"/>
      <c r="F5" s="94"/>
      <c r="G5" s="95"/>
    </row>
    <row r="6" spans="1:7">
      <c r="A6" s="75">
        <v>36860</v>
      </c>
      <c r="B6" s="75">
        <v>36861</v>
      </c>
      <c r="C6" s="91">
        <v>399</v>
      </c>
      <c r="D6" s="91">
        <v>0.76800000000000002</v>
      </c>
      <c r="E6" s="96"/>
      <c r="G6" s="97"/>
    </row>
    <row r="7" spans="1:7">
      <c r="A7" s="75">
        <v>37077</v>
      </c>
      <c r="B7" s="75">
        <v>37078</v>
      </c>
      <c r="C7" s="91">
        <v>198</v>
      </c>
      <c r="D7" s="91">
        <v>0.81799999999999995</v>
      </c>
      <c r="E7" s="96" t="s">
        <v>145</v>
      </c>
      <c r="G7" s="97"/>
    </row>
    <row r="8" spans="1:7">
      <c r="A8" s="75">
        <v>37099</v>
      </c>
      <c r="B8" s="91"/>
      <c r="C8" s="91">
        <v>240</v>
      </c>
      <c r="D8" s="91" t="s">
        <v>146</v>
      </c>
      <c r="E8" s="98" t="s">
        <v>147</v>
      </c>
      <c r="F8" s="99"/>
      <c r="G8" s="100"/>
    </row>
    <row r="9" spans="1:7">
      <c r="A9" s="75">
        <v>37246</v>
      </c>
      <c r="B9" s="76">
        <v>-8</v>
      </c>
      <c r="C9" s="76">
        <v>-8</v>
      </c>
      <c r="D9" s="101">
        <v>-6.4</v>
      </c>
      <c r="E9" s="85"/>
    </row>
    <row r="10" spans="1:7">
      <c r="A10" s="102"/>
      <c r="B10" s="82"/>
      <c r="C10" s="82"/>
      <c r="D10" s="86"/>
      <c r="E10" s="85"/>
    </row>
    <row r="11" spans="1:7">
      <c r="A11" s="111" t="s">
        <v>184</v>
      </c>
      <c r="B11" s="88"/>
      <c r="C11" s="88"/>
      <c r="D11" s="72"/>
    </row>
    <row r="12" spans="1:7">
      <c r="A12" s="111" t="s">
        <v>185</v>
      </c>
      <c r="B12" s="88"/>
      <c r="C12" s="88"/>
      <c r="D12" s="72"/>
    </row>
    <row r="13" spans="1:7">
      <c r="A13" s="88"/>
      <c r="B13" s="88"/>
      <c r="C13" s="88"/>
      <c r="D13" s="72"/>
    </row>
    <row r="14" spans="1:7">
      <c r="A14" s="69" t="s">
        <v>141</v>
      </c>
      <c r="B14" s="70" t="s">
        <v>148</v>
      </c>
      <c r="C14" s="69" t="s">
        <v>152</v>
      </c>
      <c r="D14" s="71" t="s">
        <v>244</v>
      </c>
      <c r="E14" s="72"/>
      <c r="F14" s="72"/>
    </row>
    <row r="15" spans="1:7">
      <c r="A15" s="69"/>
      <c r="B15" s="70"/>
      <c r="C15" s="69"/>
      <c r="D15" s="73"/>
      <c r="F15" s="72"/>
    </row>
    <row r="16" spans="1:7">
      <c r="A16" s="75">
        <v>37246</v>
      </c>
      <c r="B16" s="76">
        <v>-8</v>
      </c>
      <c r="C16" s="76"/>
      <c r="D16" s="73"/>
    </row>
    <row r="17" spans="1:8">
      <c r="A17" s="77"/>
      <c r="B17" s="78"/>
      <c r="C17" s="79" t="s">
        <v>165</v>
      </c>
      <c r="D17" s="73"/>
    </row>
    <row r="18" spans="1:8">
      <c r="A18" s="75">
        <v>37293</v>
      </c>
      <c r="B18" s="76">
        <v>2.2000000000000002</v>
      </c>
      <c r="C18" s="76">
        <f>100*(((1+C16/100)*1+B18/100)-1)</f>
        <v>2.200000000000002</v>
      </c>
      <c r="D18" s="73"/>
    </row>
    <row r="19" spans="1:8">
      <c r="A19" s="75">
        <v>37323</v>
      </c>
      <c r="B19" s="76">
        <v>2.8</v>
      </c>
      <c r="C19" s="76">
        <f>100*(((1+C18/100)*(1+B19/100)-1))</f>
        <v>5.0615999999999994</v>
      </c>
      <c r="D19" s="73"/>
    </row>
    <row r="20" spans="1:8">
      <c r="A20" s="75">
        <v>37341</v>
      </c>
      <c r="B20" s="76">
        <v>8.25</v>
      </c>
      <c r="C20" s="76">
        <f>100*(((1+C19/100)*(1+B20/100)-1))</f>
        <v>13.729181999999994</v>
      </c>
      <c r="D20" s="73"/>
    </row>
    <row r="21" spans="1:8">
      <c r="A21" s="75">
        <v>37391</v>
      </c>
      <c r="B21" s="76">
        <v>4.3499999999999996</v>
      </c>
      <c r="C21" s="76">
        <f>100*(((1+C20/100)*(1+B21/100)-1))</f>
        <v>18.676401417000001</v>
      </c>
      <c r="D21" s="73"/>
      <c r="E21" s="80"/>
      <c r="F21" s="80"/>
    </row>
    <row r="22" spans="1:8">
      <c r="B22" s="82"/>
      <c r="C22" s="76">
        <f>100*(((1+C21/100)*1+B22/100)-1)</f>
        <v>18.676401417000001</v>
      </c>
      <c r="D22" s="83"/>
      <c r="E22" s="80"/>
      <c r="F22" s="80"/>
      <c r="H22" s="84">
        <v>5.0199999999999996</v>
      </c>
    </row>
    <row r="23" spans="1:8">
      <c r="A23" s="75">
        <v>37437</v>
      </c>
      <c r="B23" s="76">
        <v>9.5</v>
      </c>
      <c r="C23" s="76">
        <f>100*(((1+C22/100)*(1+B23/100)-1))</f>
        <v>29.950659551615001</v>
      </c>
      <c r="D23" s="83"/>
      <c r="E23" s="80"/>
      <c r="F23" s="80"/>
    </row>
    <row r="24" spans="1:8">
      <c r="A24" s="75">
        <v>37564</v>
      </c>
      <c r="B24" s="76">
        <v>20.5</v>
      </c>
      <c r="C24" s="76">
        <f>100*(((1+C23/100)*(1+B24/100)-1))</f>
        <v>56.590544759696094</v>
      </c>
      <c r="D24" s="83"/>
      <c r="E24" s="80"/>
      <c r="F24" s="80"/>
    </row>
    <row r="25" spans="1:8">
      <c r="A25" s="75">
        <v>37591</v>
      </c>
      <c r="B25" s="76">
        <v>9.5</v>
      </c>
      <c r="C25" s="76">
        <f>100*(((1+C24/100)*(1+B25/100)-1))</f>
        <v>71.466646511867225</v>
      </c>
      <c r="D25" s="83"/>
      <c r="E25" s="80"/>
      <c r="F25" s="80"/>
    </row>
    <row r="26" spans="1:8">
      <c r="A26" s="75">
        <v>37619</v>
      </c>
      <c r="B26" s="76">
        <v>11.3</v>
      </c>
      <c r="C26" s="76">
        <f>100*(((1+C25/100)*(1+B26/100)-1))</f>
        <v>90.842377567708226</v>
      </c>
      <c r="D26" s="83"/>
      <c r="E26" s="80"/>
      <c r="F26" s="80"/>
    </row>
    <row r="27" spans="1:8">
      <c r="A27" s="77"/>
      <c r="B27" s="78"/>
      <c r="C27" s="79" t="s">
        <v>166</v>
      </c>
      <c r="D27" s="83"/>
      <c r="E27" s="80"/>
      <c r="F27" s="80"/>
    </row>
    <row r="28" spans="1:8">
      <c r="A28" s="75">
        <v>37741</v>
      </c>
      <c r="B28" s="76">
        <v>-10</v>
      </c>
      <c r="C28" s="76">
        <v>-8.6</v>
      </c>
      <c r="D28" s="83"/>
      <c r="E28" s="80"/>
      <c r="F28" s="80"/>
    </row>
    <row r="29" spans="1:8">
      <c r="A29" s="77"/>
      <c r="B29" s="78"/>
      <c r="C29" s="79" t="s">
        <v>171</v>
      </c>
      <c r="D29" s="83"/>
      <c r="E29" s="80"/>
      <c r="F29" s="80"/>
    </row>
    <row r="30" spans="1:8">
      <c r="A30" s="75">
        <v>38153</v>
      </c>
      <c r="B30" s="76">
        <v>10.6</v>
      </c>
      <c r="C30" s="76">
        <v>10.6</v>
      </c>
      <c r="D30" s="83"/>
      <c r="E30" s="80"/>
      <c r="F30" s="80"/>
    </row>
    <row r="31" spans="1:8">
      <c r="A31" s="75">
        <v>38275</v>
      </c>
      <c r="B31" s="76">
        <v>4.8</v>
      </c>
      <c r="C31" s="76">
        <f>100*((1+B30/100)*(1+B31/100)-1)</f>
        <v>15.908800000000012</v>
      </c>
      <c r="D31" s="83"/>
      <c r="E31" s="80"/>
      <c r="F31" s="80"/>
    </row>
    <row r="32" spans="1:8">
      <c r="A32" s="75">
        <v>38317</v>
      </c>
      <c r="B32" s="76">
        <v>8</v>
      </c>
      <c r="C32" s="76">
        <f>100*((1+C31/100)*(1+B32/100)-1)</f>
        <v>25.181504000000011</v>
      </c>
      <c r="D32" s="83"/>
      <c r="E32" s="85"/>
      <c r="F32" s="80"/>
      <c r="G32" s="80"/>
    </row>
    <row r="33" spans="1:7">
      <c r="A33" s="103"/>
      <c r="B33" s="78"/>
      <c r="C33" s="79" t="s">
        <v>205</v>
      </c>
      <c r="D33" s="83"/>
      <c r="E33" s="86"/>
      <c r="F33" s="80"/>
    </row>
    <row r="34" spans="1:7" ht="18.75" customHeight="1">
      <c r="A34" s="75">
        <v>38472</v>
      </c>
      <c r="B34" s="76" t="s">
        <v>206</v>
      </c>
      <c r="C34" s="76">
        <v>3.04</v>
      </c>
      <c r="D34" s="83" t="s">
        <v>207</v>
      </c>
      <c r="E34" s="86"/>
      <c r="F34" s="80"/>
    </row>
    <row r="35" spans="1:7" ht="18.75" customHeight="1">
      <c r="A35" s="75">
        <v>38605</v>
      </c>
      <c r="B35" s="76">
        <v>12</v>
      </c>
      <c r="C35" s="76">
        <f>(1.0304*1.12-1)*100</f>
        <v>15.404800000000019</v>
      </c>
      <c r="D35" s="83" t="s">
        <v>213</v>
      </c>
      <c r="E35" s="86"/>
      <c r="F35" s="80"/>
    </row>
    <row r="36" spans="1:7">
      <c r="A36" s="103"/>
      <c r="B36" s="78"/>
      <c r="C36" s="79" t="s">
        <v>259</v>
      </c>
      <c r="D36" s="83"/>
      <c r="E36" s="86"/>
      <c r="F36" s="80"/>
    </row>
    <row r="37" spans="1:7" ht="30" customHeight="1">
      <c r="A37" s="75">
        <v>39568</v>
      </c>
      <c r="B37" s="76">
        <v>15</v>
      </c>
      <c r="C37" s="76"/>
      <c r="D37" s="87" t="s">
        <v>251</v>
      </c>
      <c r="E37" s="86"/>
      <c r="F37" s="80"/>
    </row>
    <row r="38" spans="1:7" ht="70.5" customHeight="1">
      <c r="A38" s="75">
        <v>39630</v>
      </c>
      <c r="B38" s="678">
        <v>1.7999999999999999E-2</v>
      </c>
      <c r="C38" s="76"/>
      <c r="D38" s="87" t="s">
        <v>252</v>
      </c>
      <c r="E38" s="86"/>
      <c r="F38" s="80"/>
    </row>
    <row r="39" spans="1:7" ht="13.5" thickBot="1">
      <c r="A39" s="934"/>
      <c r="B39" s="935"/>
      <c r="C39" s="936" t="s">
        <v>260</v>
      </c>
      <c r="D39" s="937"/>
      <c r="E39" s="86"/>
      <c r="F39" s="80"/>
    </row>
    <row r="40" spans="1:7" ht="57" customHeight="1" thickBot="1">
      <c r="A40" s="938">
        <v>39972</v>
      </c>
      <c r="B40" s="939">
        <v>-0.15</v>
      </c>
      <c r="C40" s="940" t="s">
        <v>317</v>
      </c>
      <c r="D40" s="941" t="s">
        <v>255</v>
      </c>
      <c r="E40" s="86"/>
    </row>
    <row r="41" spans="1:7" ht="65.25" customHeight="1" thickBot="1">
      <c r="A41" s="942">
        <v>41082</v>
      </c>
      <c r="B41" s="943">
        <v>3.9399999999999998E-2</v>
      </c>
      <c r="C41" s="944"/>
      <c r="D41" s="945" t="s">
        <v>316</v>
      </c>
      <c r="E41" s="86"/>
      <c r="F41" s="676">
        <f>B41</f>
        <v>3.9399999999999998E-2</v>
      </c>
      <c r="G41" s="676">
        <f>B41</f>
        <v>3.9399999999999998E-2</v>
      </c>
    </row>
    <row r="42" spans="1:7" ht="35.25" customHeight="1" thickBot="1">
      <c r="A42" s="942">
        <v>41106</v>
      </c>
      <c r="B42" s="943">
        <v>0.06</v>
      </c>
      <c r="C42" s="944"/>
      <c r="D42" s="945" t="s">
        <v>314</v>
      </c>
      <c r="E42" s="86"/>
      <c r="F42" s="676">
        <v>5.3999999999999999E-2</v>
      </c>
      <c r="G42" s="676">
        <v>0.06</v>
      </c>
    </row>
    <row r="43" spans="1:7" ht="50.25" customHeight="1" thickBot="1">
      <c r="A43" s="942">
        <v>41304</v>
      </c>
      <c r="B43" s="943">
        <v>5.3999999999999999E-2</v>
      </c>
      <c r="C43" s="944"/>
      <c r="D43" s="945" t="s">
        <v>313</v>
      </c>
      <c r="E43" s="86"/>
      <c r="F43" s="676">
        <v>0.05</v>
      </c>
      <c r="G43" s="676">
        <v>5.3999999999999999E-2</v>
      </c>
    </row>
    <row r="44" spans="1:7" ht="49.5" customHeight="1" thickBot="1">
      <c r="A44" s="942">
        <v>41339</v>
      </c>
      <c r="B44" s="943">
        <v>0.05</v>
      </c>
      <c r="C44" s="944"/>
      <c r="D44" s="945" t="s">
        <v>315</v>
      </c>
      <c r="E44" s="86"/>
      <c r="F44" s="676">
        <v>0.05</v>
      </c>
      <c r="G44" s="676">
        <v>0.05</v>
      </c>
    </row>
    <row r="45" spans="1:7" ht="49.5" customHeight="1" thickBot="1">
      <c r="A45" s="942">
        <v>41608</v>
      </c>
      <c r="B45" s="943">
        <v>0.08</v>
      </c>
      <c r="C45" s="944"/>
      <c r="D45" s="945" t="s">
        <v>319</v>
      </c>
      <c r="E45" s="86"/>
      <c r="F45" s="676">
        <v>1.05</v>
      </c>
      <c r="G45" s="676">
        <v>1.05</v>
      </c>
    </row>
    <row r="46" spans="1:7" ht="49.5" customHeight="1" thickBot="1">
      <c r="A46" s="946">
        <v>41950</v>
      </c>
      <c r="B46" s="947">
        <v>0.05</v>
      </c>
      <c r="C46" s="948"/>
      <c r="D46" s="949" t="s">
        <v>389</v>
      </c>
      <c r="E46" s="86"/>
      <c r="F46" s="676">
        <v>1.05</v>
      </c>
      <c r="G46" s="676">
        <v>1.05</v>
      </c>
    </row>
    <row r="47" spans="1:7" ht="49.5" customHeight="1" thickBot="1">
      <c r="A47" s="946">
        <v>42036</v>
      </c>
      <c r="B47" s="947">
        <v>8.0799999999999997E-2</v>
      </c>
      <c r="C47" s="948"/>
      <c r="D47" s="949" t="s">
        <v>643</v>
      </c>
      <c r="E47" s="86"/>
      <c r="F47" s="676">
        <v>1.0808</v>
      </c>
      <c r="G47" s="676">
        <v>1.0808</v>
      </c>
    </row>
    <row r="48" spans="1:7" ht="51.75" thickBot="1">
      <c r="A48" s="946">
        <v>42277</v>
      </c>
      <c r="B48" s="947">
        <v>0.04</v>
      </c>
      <c r="C48" s="948"/>
      <c r="D48" s="1070" t="s">
        <v>661</v>
      </c>
      <c r="E48" s="86"/>
      <c r="F48" s="676">
        <v>1.04</v>
      </c>
      <c r="G48" s="676">
        <v>1.04</v>
      </c>
    </row>
    <row r="49" spans="1:7">
      <c r="A49" s="102"/>
      <c r="B49" s="82"/>
      <c r="C49" s="82"/>
      <c r="D49" s="80"/>
    </row>
    <row r="50" spans="1:7">
      <c r="A50" s="105" t="s">
        <v>253</v>
      </c>
      <c r="B50" s="82"/>
      <c r="C50" s="82"/>
      <c r="D50" s="80"/>
    </row>
    <row r="51" spans="1:7">
      <c r="A51" s="102"/>
      <c r="B51" s="82"/>
      <c r="C51" s="82"/>
      <c r="D51" s="80"/>
    </row>
    <row r="52" spans="1:7">
      <c r="A52" s="102"/>
      <c r="B52" s="82"/>
      <c r="C52" s="82"/>
      <c r="D52" s="80"/>
    </row>
    <row r="53" spans="1:7">
      <c r="A53" s="111" t="s">
        <v>261</v>
      </c>
      <c r="B53" s="88"/>
      <c r="C53" s="88"/>
      <c r="D53" s="80"/>
    </row>
    <row r="54" spans="1:7">
      <c r="A54" s="111" t="s">
        <v>185</v>
      </c>
      <c r="B54" s="88"/>
      <c r="C54" s="88"/>
      <c r="D54" s="80"/>
      <c r="F54" s="80"/>
    </row>
    <row r="55" spans="1:7">
      <c r="A55" s="102"/>
      <c r="B55" s="82"/>
      <c r="C55" s="82"/>
      <c r="D55" s="86"/>
      <c r="E55" s="85"/>
    </row>
    <row r="56" spans="1:7">
      <c r="A56" s="88" t="s">
        <v>262</v>
      </c>
      <c r="B56" s="82"/>
      <c r="C56" s="82"/>
      <c r="D56" s="86"/>
      <c r="E56" s="86"/>
    </row>
    <row r="57" spans="1:7" ht="16.5" customHeight="1">
      <c r="A57" s="113" t="s">
        <v>263</v>
      </c>
      <c r="B57" s="81" t="s">
        <v>264</v>
      </c>
      <c r="C57" s="74"/>
      <c r="D57" s="114" t="s">
        <v>265</v>
      </c>
    </row>
    <row r="58" spans="1:7">
      <c r="A58" s="677">
        <v>37226</v>
      </c>
      <c r="C58" s="114">
        <v>100</v>
      </c>
      <c r="D58" s="115">
        <v>0</v>
      </c>
    </row>
    <row r="59" spans="1:7">
      <c r="A59" s="677">
        <f t="shared" ref="A59:B62" si="0">A18</f>
        <v>37293</v>
      </c>
      <c r="B59" s="86">
        <f t="shared" si="0"/>
        <v>2.2000000000000002</v>
      </c>
      <c r="C59" s="82">
        <f t="shared" ref="C59:C74" si="1">C58*(1+B59/100)</f>
        <v>102.2</v>
      </c>
      <c r="D59" s="115">
        <f>C59-100</f>
        <v>2.2000000000000028</v>
      </c>
    </row>
    <row r="60" spans="1:7">
      <c r="A60" s="677">
        <f t="shared" si="0"/>
        <v>37323</v>
      </c>
      <c r="B60" s="86">
        <f t="shared" si="0"/>
        <v>2.8</v>
      </c>
      <c r="C60" s="82">
        <f t="shared" si="1"/>
        <v>105.0616</v>
      </c>
      <c r="D60" s="115">
        <f t="shared" ref="D60:D74" si="2">C60-100</f>
        <v>5.0615999999999985</v>
      </c>
    </row>
    <row r="61" spans="1:7">
      <c r="A61" s="677">
        <f t="shared" si="0"/>
        <v>37341</v>
      </c>
      <c r="B61" s="86">
        <f t="shared" si="0"/>
        <v>8.25</v>
      </c>
      <c r="C61" s="82">
        <f t="shared" si="1"/>
        <v>113.72918199999999</v>
      </c>
      <c r="D61" s="115">
        <f t="shared" si="2"/>
        <v>13.729181999999994</v>
      </c>
      <c r="F61" s="104"/>
    </row>
    <row r="62" spans="1:7">
      <c r="A62" s="677">
        <f t="shared" si="0"/>
        <v>37391</v>
      </c>
      <c r="B62" s="112">
        <f t="shared" si="0"/>
        <v>4.3499999999999996</v>
      </c>
      <c r="C62" s="82">
        <f t="shared" si="1"/>
        <v>118.67640141700001</v>
      </c>
      <c r="D62" s="115">
        <f t="shared" si="2"/>
        <v>18.676401417000008</v>
      </c>
      <c r="E62" s="104"/>
      <c r="F62" s="108"/>
      <c r="G62" s="106"/>
    </row>
    <row r="63" spans="1:7">
      <c r="A63" s="677">
        <f t="shared" ref="A63:B66" si="3">A23</f>
        <v>37437</v>
      </c>
      <c r="B63" s="86">
        <f t="shared" si="3"/>
        <v>9.5</v>
      </c>
      <c r="C63" s="82">
        <f t="shared" si="1"/>
        <v>129.95065955161502</v>
      </c>
      <c r="D63" s="115">
        <f t="shared" si="2"/>
        <v>29.950659551615018</v>
      </c>
      <c r="E63" s="86"/>
      <c r="F63" s="108"/>
      <c r="G63" s="85"/>
    </row>
    <row r="64" spans="1:7">
      <c r="A64" s="677">
        <f t="shared" si="3"/>
        <v>37564</v>
      </c>
      <c r="B64" s="86">
        <f t="shared" si="3"/>
        <v>20.5</v>
      </c>
      <c r="C64" s="82">
        <f t="shared" si="1"/>
        <v>156.59054475969612</v>
      </c>
      <c r="D64" s="115">
        <f t="shared" si="2"/>
        <v>56.590544759696115</v>
      </c>
      <c r="E64" s="86"/>
      <c r="F64" s="108"/>
      <c r="G64" s="85"/>
    </row>
    <row r="65" spans="1:8">
      <c r="A65" s="677">
        <f t="shared" si="3"/>
        <v>37591</v>
      </c>
      <c r="B65" s="86">
        <f t="shared" si="3"/>
        <v>9.5</v>
      </c>
      <c r="C65" s="82">
        <f t="shared" si="1"/>
        <v>171.46664651186725</v>
      </c>
      <c r="D65" s="115">
        <f t="shared" si="2"/>
        <v>71.466646511867253</v>
      </c>
      <c r="E65" s="86"/>
      <c r="G65" s="85"/>
    </row>
    <row r="66" spans="1:8">
      <c r="A66" s="677">
        <f t="shared" si="3"/>
        <v>37619</v>
      </c>
      <c r="B66" s="86">
        <f t="shared" si="3"/>
        <v>11.3</v>
      </c>
      <c r="C66" s="82">
        <f t="shared" si="1"/>
        <v>190.84237756770824</v>
      </c>
      <c r="D66" s="115">
        <f t="shared" si="2"/>
        <v>90.84237756770824</v>
      </c>
      <c r="E66" s="86"/>
      <c r="F66" s="109"/>
      <c r="G66" s="85"/>
    </row>
    <row r="67" spans="1:8">
      <c r="A67" s="677">
        <f>A28</f>
        <v>37741</v>
      </c>
      <c r="B67" s="86">
        <f>B28</f>
        <v>-10</v>
      </c>
      <c r="C67" s="82">
        <f t="shared" si="1"/>
        <v>171.75813981093742</v>
      </c>
      <c r="D67" s="115">
        <f t="shared" si="2"/>
        <v>71.758139810937422</v>
      </c>
      <c r="E67" s="85"/>
      <c r="F67" s="109"/>
      <c r="G67" s="85"/>
    </row>
    <row r="68" spans="1:8">
      <c r="A68" s="677">
        <f t="shared" ref="A68:B70" si="4">A30</f>
        <v>38153</v>
      </c>
      <c r="B68" s="86">
        <f t="shared" si="4"/>
        <v>10.6</v>
      </c>
      <c r="C68" s="82">
        <f t="shared" si="1"/>
        <v>189.96450263089682</v>
      </c>
      <c r="D68" s="115">
        <f t="shared" si="2"/>
        <v>89.964502630896817</v>
      </c>
      <c r="E68" s="85"/>
      <c r="G68" s="85"/>
    </row>
    <row r="69" spans="1:8">
      <c r="A69" s="677">
        <f t="shared" si="4"/>
        <v>38275</v>
      </c>
      <c r="B69" s="86">
        <f t="shared" si="4"/>
        <v>4.8</v>
      </c>
      <c r="C69" s="82">
        <f t="shared" si="1"/>
        <v>199.08279875717986</v>
      </c>
      <c r="D69" s="115">
        <f t="shared" si="2"/>
        <v>99.082798757179859</v>
      </c>
      <c r="E69" s="85"/>
      <c r="G69" s="85"/>
    </row>
    <row r="70" spans="1:8">
      <c r="A70" s="677">
        <f t="shared" si="4"/>
        <v>38317</v>
      </c>
      <c r="B70" s="86">
        <f t="shared" si="4"/>
        <v>8</v>
      </c>
      <c r="C70" s="82">
        <f t="shared" si="1"/>
        <v>215.00942265775427</v>
      </c>
      <c r="D70" s="115">
        <f t="shared" si="2"/>
        <v>115.00942265775427</v>
      </c>
      <c r="E70" s="85"/>
      <c r="G70" s="85"/>
    </row>
    <row r="71" spans="1:8">
      <c r="A71" s="677">
        <f>A34</f>
        <v>38472</v>
      </c>
      <c r="B71" s="86">
        <f>C34</f>
        <v>3.04</v>
      </c>
      <c r="C71" s="82">
        <f t="shared" si="1"/>
        <v>221.54570910654999</v>
      </c>
      <c r="D71" s="115">
        <f t="shared" si="2"/>
        <v>121.54570910654999</v>
      </c>
      <c r="E71" s="85"/>
      <c r="G71" s="86"/>
    </row>
    <row r="72" spans="1:8">
      <c r="A72" s="677">
        <f>A35</f>
        <v>38605</v>
      </c>
      <c r="B72" s="86">
        <f>B35</f>
        <v>12</v>
      </c>
      <c r="C72" s="82">
        <f t="shared" si="1"/>
        <v>248.13119419933602</v>
      </c>
      <c r="D72" s="115">
        <f t="shared" si="2"/>
        <v>148.13119419933602</v>
      </c>
      <c r="E72" s="86"/>
      <c r="F72" s="109"/>
      <c r="G72" s="86"/>
    </row>
    <row r="73" spans="1:8">
      <c r="A73" s="677">
        <v>39630</v>
      </c>
      <c r="B73" s="679">
        <v>1.8</v>
      </c>
      <c r="C73" s="82">
        <f t="shared" si="1"/>
        <v>252.59755569492407</v>
      </c>
      <c r="D73" s="115">
        <f t="shared" si="2"/>
        <v>152.59755569492407</v>
      </c>
      <c r="E73" s="86"/>
      <c r="F73" s="109"/>
      <c r="G73" s="86"/>
      <c r="H73" s="86"/>
    </row>
    <row r="74" spans="1:8">
      <c r="A74" s="677">
        <v>39972</v>
      </c>
      <c r="B74" s="679">
        <v>-15</v>
      </c>
      <c r="C74" s="82">
        <f t="shared" si="1"/>
        <v>214.70792234068546</v>
      </c>
      <c r="D74" s="115">
        <f t="shared" si="2"/>
        <v>114.70792234068546</v>
      </c>
      <c r="E74" s="86"/>
      <c r="F74" s="109"/>
      <c r="G74" s="86"/>
    </row>
    <row r="75" spans="1:8">
      <c r="A75" s="677">
        <f>A41</f>
        <v>41082</v>
      </c>
      <c r="B75" s="679">
        <v>3.94</v>
      </c>
      <c r="C75" s="82">
        <f t="shared" ref="C75:C81" si="5">C74*(1+B75/100)</f>
        <v>223.16741448090849</v>
      </c>
      <c r="D75" s="115">
        <f t="shared" ref="D75:D81" si="6">C75-100</f>
        <v>123.16741448090849</v>
      </c>
      <c r="E75" s="86"/>
      <c r="F75" s="109"/>
      <c r="G75" s="86"/>
    </row>
    <row r="76" spans="1:8">
      <c r="A76" s="677">
        <v>41106</v>
      </c>
      <c r="B76" s="679">
        <v>6</v>
      </c>
      <c r="C76" s="82">
        <f t="shared" si="5"/>
        <v>236.55745934976301</v>
      </c>
      <c r="D76" s="115">
        <f t="shared" si="6"/>
        <v>136.55745934976301</v>
      </c>
      <c r="E76" s="86"/>
      <c r="F76" s="109"/>
      <c r="G76" s="86"/>
    </row>
    <row r="77" spans="1:8">
      <c r="A77" s="677">
        <v>41304</v>
      </c>
      <c r="B77" s="679">
        <v>5.4</v>
      </c>
      <c r="C77" s="82">
        <f t="shared" si="5"/>
        <v>249.33156215465021</v>
      </c>
      <c r="D77" s="115">
        <f t="shared" si="6"/>
        <v>149.33156215465021</v>
      </c>
      <c r="E77" s="86"/>
      <c r="F77" s="109"/>
      <c r="G77" s="86"/>
    </row>
    <row r="78" spans="1:8">
      <c r="A78" s="677">
        <v>41339</v>
      </c>
      <c r="B78" s="679">
        <v>5</v>
      </c>
      <c r="C78" s="82">
        <f t="shared" si="5"/>
        <v>261.79814026238273</v>
      </c>
      <c r="D78" s="115">
        <f t="shared" si="6"/>
        <v>161.79814026238273</v>
      </c>
      <c r="E78" s="86"/>
      <c r="F78" s="109"/>
      <c r="G78" s="86"/>
    </row>
    <row r="79" spans="1:8">
      <c r="A79" s="677">
        <v>41608</v>
      </c>
      <c r="B79" s="679">
        <v>8</v>
      </c>
      <c r="C79" s="82">
        <f t="shared" si="5"/>
        <v>282.74199148337334</v>
      </c>
      <c r="D79" s="115">
        <f t="shared" si="6"/>
        <v>182.74199148337334</v>
      </c>
      <c r="E79" s="86"/>
      <c r="F79" s="109"/>
      <c r="G79" s="86"/>
    </row>
    <row r="80" spans="1:8">
      <c r="A80" s="677">
        <v>41950</v>
      </c>
      <c r="B80" s="679">
        <v>5</v>
      </c>
      <c r="C80" s="82">
        <f t="shared" si="5"/>
        <v>296.87909105754204</v>
      </c>
      <c r="D80" s="115">
        <f t="shared" si="6"/>
        <v>196.87909105754204</v>
      </c>
      <c r="E80" s="86"/>
      <c r="F80" s="109"/>
      <c r="G80" s="86"/>
    </row>
    <row r="81" spans="1:7">
      <c r="A81" s="677">
        <v>42036</v>
      </c>
      <c r="B81" s="679">
        <v>8.0810999999999993</v>
      </c>
      <c r="C81" s="82">
        <f t="shared" si="5"/>
        <v>320.87018728499305</v>
      </c>
      <c r="D81" s="115">
        <f t="shared" si="6"/>
        <v>220.87018728499305</v>
      </c>
      <c r="E81" s="86"/>
      <c r="F81" s="109"/>
      <c r="G81" s="86"/>
    </row>
    <row r="82" spans="1:7">
      <c r="A82" s="677"/>
      <c r="B82" s="86"/>
      <c r="C82" s="82"/>
      <c r="D82" s="115"/>
      <c r="E82" s="86"/>
      <c r="G82" s="86"/>
    </row>
    <row r="84" spans="1:7">
      <c r="A84" s="88"/>
      <c r="B84" s="110"/>
      <c r="C84" s="110"/>
    </row>
    <row r="85" spans="1:7">
      <c r="A85" s="102"/>
      <c r="B85" s="107"/>
      <c r="C85" s="107"/>
    </row>
    <row r="86" spans="1:7">
      <c r="A86" s="102"/>
      <c r="B86" s="107"/>
      <c r="C86" s="107"/>
    </row>
    <row r="87" spans="1:7">
      <c r="A87" s="102"/>
      <c r="B87" s="107"/>
      <c r="C87" s="107"/>
    </row>
    <row r="88" spans="1:7">
      <c r="A88" s="102"/>
      <c r="B88" s="107"/>
      <c r="C88" s="107"/>
    </row>
    <row r="89" spans="1:7">
      <c r="A89" s="102"/>
      <c r="B89" s="107"/>
      <c r="C89" s="107"/>
    </row>
    <row r="90" spans="1:7">
      <c r="A90" s="102"/>
      <c r="B90" s="107"/>
      <c r="C90" s="107"/>
    </row>
    <row r="91" spans="1:7">
      <c r="A91" s="102"/>
      <c r="B91" s="107"/>
      <c r="C91" s="107"/>
    </row>
    <row r="92" spans="1:7">
      <c r="A92" s="102"/>
      <c r="B92" s="107"/>
      <c r="C92" s="107"/>
    </row>
    <row r="93" spans="1:7">
      <c r="A93" s="102"/>
      <c r="B93" s="107"/>
      <c r="C93" s="107"/>
    </row>
    <row r="94" spans="1:7">
      <c r="A94" s="102"/>
      <c r="B94" s="107"/>
      <c r="C94" s="107"/>
    </row>
    <row r="95" spans="1:7">
      <c r="A95" s="102"/>
      <c r="B95" s="107"/>
      <c r="C95" s="107"/>
    </row>
    <row r="96" spans="1:7">
      <c r="A96" s="102"/>
      <c r="B96" s="107"/>
      <c r="C96" s="107"/>
    </row>
    <row r="97" spans="1:12">
      <c r="A97" s="102"/>
    </row>
    <row r="104" spans="1:12">
      <c r="A104" s="88"/>
      <c r="B104" s="110"/>
      <c r="C104" s="110"/>
    </row>
    <row r="105" spans="1:12">
      <c r="A105" s="102"/>
      <c r="B105" s="107"/>
      <c r="C105" s="107"/>
    </row>
    <row r="106" spans="1:12" ht="51">
      <c r="A106" s="102"/>
      <c r="B106" s="107"/>
      <c r="C106" s="107"/>
      <c r="H106" s="114" t="s">
        <v>646</v>
      </c>
      <c r="I106" s="114" t="s">
        <v>645</v>
      </c>
      <c r="J106" s="114" t="s">
        <v>644</v>
      </c>
      <c r="K106" s="114" t="s">
        <v>647</v>
      </c>
      <c r="L106" s="114" t="s">
        <v>648</v>
      </c>
    </row>
    <row r="107" spans="1:12">
      <c r="A107" s="102"/>
      <c r="B107" s="107"/>
      <c r="C107" s="107"/>
      <c r="G107" s="117">
        <f>A58</f>
        <v>37226</v>
      </c>
      <c r="H107" s="116">
        <f>D58</f>
        <v>0</v>
      </c>
      <c r="I107" s="74">
        <f>C58</f>
        <v>100</v>
      </c>
      <c r="K107" s="74">
        <v>100</v>
      </c>
    </row>
    <row r="108" spans="1:12">
      <c r="A108" s="102"/>
      <c r="B108" s="107"/>
      <c r="C108" s="107"/>
      <c r="G108" s="117">
        <f>A66</f>
        <v>37619</v>
      </c>
      <c r="H108" s="116">
        <f>D66</f>
        <v>90.84237756770824</v>
      </c>
      <c r="I108" s="86">
        <f>C66</f>
        <v>190.84237756770824</v>
      </c>
      <c r="J108" s="86">
        <v>12.5303</v>
      </c>
      <c r="K108" s="980">
        <f>K107*(1+J108/100)</f>
        <v>112.5303</v>
      </c>
      <c r="L108" s="981">
        <f>((K108/$K$107)*100)-100</f>
        <v>12.530299999999997</v>
      </c>
    </row>
    <row r="109" spans="1:12">
      <c r="A109" s="102"/>
      <c r="B109" s="107"/>
      <c r="C109" s="107"/>
      <c r="G109" s="117">
        <f>A67</f>
        <v>37741</v>
      </c>
      <c r="H109" s="116">
        <f>D67</f>
        <v>71.758139810937422</v>
      </c>
      <c r="I109" s="86">
        <f>C67</f>
        <v>171.75813981093742</v>
      </c>
      <c r="J109" s="86">
        <v>6.1524999999999999</v>
      </c>
      <c r="K109" s="980">
        <f>K108*(1+J109/100)</f>
        <v>119.4537267075</v>
      </c>
      <c r="L109" s="981">
        <f t="shared" ref="L109:L119" si="7">((K109/$K$107)*100)-100</f>
        <v>19.453726707499982</v>
      </c>
    </row>
    <row r="110" spans="1:12">
      <c r="A110" s="102"/>
      <c r="B110" s="107"/>
      <c r="C110" s="107"/>
      <c r="G110" s="117">
        <f>A70</f>
        <v>38317</v>
      </c>
      <c r="H110" s="116">
        <f>D70</f>
        <v>115.00942265775427</v>
      </c>
      <c r="I110" s="86">
        <f>C70</f>
        <v>215.00942265775427</v>
      </c>
      <c r="J110" s="86">
        <v>9.8506699999999991</v>
      </c>
      <c r="K110" s="980">
        <f t="shared" ref="K110:K119" si="8">K109*(1+J110/100)</f>
        <v>131.22071912815767</v>
      </c>
      <c r="L110" s="981">
        <f t="shared" si="7"/>
        <v>31.220719128157668</v>
      </c>
    </row>
    <row r="111" spans="1:12">
      <c r="A111" s="102"/>
      <c r="B111" s="107"/>
      <c r="C111" s="107"/>
      <c r="G111" s="117">
        <f>A72</f>
        <v>38605</v>
      </c>
      <c r="H111" s="116">
        <f>D72</f>
        <v>148.13119419933602</v>
      </c>
      <c r="I111" s="86">
        <f>C72</f>
        <v>248.13119419933602</v>
      </c>
      <c r="J111" s="86">
        <v>4.8562000000000003</v>
      </c>
      <c r="K111" s="980">
        <f t="shared" si="8"/>
        <v>137.59305969045926</v>
      </c>
      <c r="L111" s="981">
        <f t="shared" si="7"/>
        <v>37.593059690459256</v>
      </c>
    </row>
    <row r="112" spans="1:12">
      <c r="A112" s="102"/>
      <c r="B112" s="107"/>
      <c r="C112" s="107"/>
      <c r="G112" s="117">
        <f t="shared" ref="G112:G119" si="9">A74</f>
        <v>39972</v>
      </c>
      <c r="H112" s="116">
        <f t="shared" ref="H112:H119" si="10">D74</f>
        <v>114.70792234068546</v>
      </c>
      <c r="I112" s="86">
        <f t="shared" ref="I112:I119" si="11">C74</f>
        <v>214.70792234068546</v>
      </c>
      <c r="J112" s="86">
        <v>18.978699212771001</v>
      </c>
      <c r="K112" s="980">
        <f t="shared" si="8"/>
        <v>163.70643262675998</v>
      </c>
      <c r="L112" s="981">
        <f t="shared" si="7"/>
        <v>63.706432626759977</v>
      </c>
    </row>
    <row r="113" spans="1:12">
      <c r="A113" s="102"/>
      <c r="B113" s="107"/>
      <c r="C113" s="107"/>
      <c r="G113" s="117">
        <f t="shared" si="9"/>
        <v>41082</v>
      </c>
      <c r="H113" s="116">
        <f t="shared" si="10"/>
        <v>123.16741448090849</v>
      </c>
      <c r="I113" s="86">
        <f t="shared" si="11"/>
        <v>223.16741448090849</v>
      </c>
      <c r="J113" s="74">
        <v>17.38</v>
      </c>
      <c r="K113" s="980">
        <f t="shared" si="8"/>
        <v>192.15861061729086</v>
      </c>
      <c r="L113" s="981">
        <f t="shared" si="7"/>
        <v>92.158610617290861</v>
      </c>
    </row>
    <row r="114" spans="1:12">
      <c r="A114" s="102"/>
      <c r="B114" s="107"/>
      <c r="C114" s="107"/>
      <c r="G114" s="117">
        <f t="shared" si="9"/>
        <v>41106</v>
      </c>
      <c r="H114" s="116">
        <f t="shared" si="10"/>
        <v>136.55745934976301</v>
      </c>
      <c r="I114" s="86">
        <f t="shared" si="11"/>
        <v>236.55745934976301</v>
      </c>
      <c r="J114" s="74">
        <v>0.43</v>
      </c>
      <c r="K114" s="980">
        <f t="shared" si="8"/>
        <v>192.9848926429452</v>
      </c>
      <c r="L114" s="981">
        <f t="shared" si="7"/>
        <v>92.984892642945198</v>
      </c>
    </row>
    <row r="115" spans="1:12">
      <c r="A115" s="102"/>
      <c r="B115" s="107"/>
      <c r="C115" s="107"/>
      <c r="G115" s="117">
        <f t="shared" si="9"/>
        <v>41304</v>
      </c>
      <c r="H115" s="116">
        <f t="shared" si="10"/>
        <v>149.33156215465021</v>
      </c>
      <c r="I115" s="86">
        <f t="shared" si="11"/>
        <v>249.33156215465021</v>
      </c>
      <c r="J115" s="74">
        <v>3.88</v>
      </c>
      <c r="K115" s="980">
        <f t="shared" si="8"/>
        <v>200.47270647749147</v>
      </c>
      <c r="L115" s="981">
        <f t="shared" si="7"/>
        <v>100.47270647749147</v>
      </c>
    </row>
    <row r="116" spans="1:12">
      <c r="A116" s="102"/>
      <c r="B116" s="107"/>
      <c r="C116" s="107"/>
      <c r="G116" s="117">
        <f t="shared" si="9"/>
        <v>41339</v>
      </c>
      <c r="H116" s="116">
        <f t="shared" si="10"/>
        <v>161.79814026238273</v>
      </c>
      <c r="I116" s="86">
        <f t="shared" si="11"/>
        <v>261.79814026238273</v>
      </c>
      <c r="J116" s="74">
        <v>1.07</v>
      </c>
      <c r="K116" s="980">
        <f t="shared" si="8"/>
        <v>202.61776443680063</v>
      </c>
      <c r="L116" s="981">
        <f t="shared" si="7"/>
        <v>102.61776443680063</v>
      </c>
    </row>
    <row r="117" spans="1:12">
      <c r="A117" s="102"/>
      <c r="G117" s="117">
        <f t="shared" si="9"/>
        <v>41608</v>
      </c>
      <c r="H117" s="116">
        <f t="shared" si="10"/>
        <v>182.74199148337334</v>
      </c>
      <c r="I117" s="86">
        <f t="shared" si="11"/>
        <v>282.74199148337334</v>
      </c>
      <c r="J117" s="74">
        <v>2.95</v>
      </c>
      <c r="K117" s="980">
        <f t="shared" si="8"/>
        <v>208.59498848768627</v>
      </c>
      <c r="L117" s="981">
        <f t="shared" si="7"/>
        <v>108.59498848768627</v>
      </c>
    </row>
    <row r="118" spans="1:12">
      <c r="G118" s="117">
        <f t="shared" si="9"/>
        <v>41950</v>
      </c>
      <c r="H118" s="116">
        <f t="shared" si="10"/>
        <v>196.87909105754204</v>
      </c>
      <c r="I118" s="86">
        <f t="shared" si="11"/>
        <v>296.87909105754204</v>
      </c>
      <c r="J118" s="74">
        <v>6.56</v>
      </c>
      <c r="K118" s="980">
        <f t="shared" si="8"/>
        <v>222.27881973247847</v>
      </c>
      <c r="L118" s="981">
        <f t="shared" si="7"/>
        <v>122.27881973247844</v>
      </c>
    </row>
    <row r="119" spans="1:12">
      <c r="G119" s="117">
        <f t="shared" si="9"/>
        <v>42036</v>
      </c>
      <c r="H119" s="116">
        <f t="shared" si="10"/>
        <v>220.87018728499305</v>
      </c>
      <c r="I119" s="86">
        <f t="shared" si="11"/>
        <v>320.87018728499305</v>
      </c>
      <c r="J119" s="74">
        <v>1.03</v>
      </c>
      <c r="K119" s="980">
        <f t="shared" si="8"/>
        <v>224.56829157572298</v>
      </c>
      <c r="L119" s="981">
        <f t="shared" si="7"/>
        <v>124.56829157572301</v>
      </c>
    </row>
  </sheetData>
  <phoneticPr fontId="0" type="noConversion"/>
  <pageMargins left="0.78740157480314965" right="0.78740157480314965" top="0.98425196850393704" bottom="0.98425196850393704" header="0.51181102362204722" footer="0.51181102362204722"/>
  <pageSetup paperSize="9" orientation="portrait" r:id="rId1"/>
  <headerFooter>
    <oddFooter>&amp;L&amp;"Cambria,Regular"&amp;F&amp;C&amp;"Cambria,Regular"&amp;A&amp;R&amp;"Cambria,Regular"&amp;P</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9">
    <pageSetUpPr fitToPage="1"/>
  </sheetPr>
  <dimension ref="A1:J513"/>
  <sheetViews>
    <sheetView showGridLines="0" showOutlineSymbols="0" topLeftCell="A305" zoomScaleNormal="100" workbookViewId="0">
      <selection activeCell="H323" sqref="H323"/>
    </sheetView>
  </sheetViews>
  <sheetFormatPr defaultColWidth="11.6640625" defaultRowHeight="15.75"/>
  <cols>
    <col min="1" max="1" width="10.6640625" style="707" customWidth="1"/>
    <col min="2" max="2" width="10.44140625" style="707" customWidth="1"/>
    <col min="3" max="3" width="7.6640625" style="707" customWidth="1"/>
    <col min="4" max="5" width="6.5546875" style="707" customWidth="1"/>
    <col min="6" max="6" width="8.109375" style="707" customWidth="1"/>
    <col min="7" max="7" width="7.21875" style="707" customWidth="1"/>
    <col min="8" max="16384" width="11.6640625" style="707"/>
  </cols>
  <sheetData>
    <row r="1" spans="1:8" ht="21" customHeight="1">
      <c r="B1" s="708"/>
      <c r="C1" s="1417" t="s">
        <v>355</v>
      </c>
      <c r="D1" s="1417"/>
      <c r="E1" s="1417"/>
      <c r="F1" s="1417"/>
      <c r="G1" s="1417"/>
      <c r="H1" s="1417"/>
    </row>
    <row r="2" spans="1:8" ht="15" customHeight="1">
      <c r="A2" s="708"/>
      <c r="B2" s="708"/>
      <c r="C2" s="1417"/>
      <c r="D2" s="1417"/>
      <c r="E2" s="1417"/>
      <c r="F2" s="1417"/>
      <c r="G2" s="1417"/>
      <c r="H2" s="1417"/>
    </row>
    <row r="3" spans="1:8" ht="15" customHeight="1" thickBot="1">
      <c r="A3" s="708"/>
      <c r="B3" s="708"/>
      <c r="C3" s="1418"/>
      <c r="D3" s="1418"/>
      <c r="E3" s="1418"/>
      <c r="F3" s="1418"/>
      <c r="G3" s="1418"/>
      <c r="H3" s="1418"/>
    </row>
    <row r="4" spans="1:8" ht="17.25" customHeight="1" thickBot="1">
      <c r="A4" s="1429" t="s">
        <v>353</v>
      </c>
      <c r="B4" s="1430"/>
      <c r="C4" s="1431"/>
      <c r="D4" s="1432" t="s">
        <v>340</v>
      </c>
      <c r="E4" s="1433"/>
      <c r="F4" s="1433"/>
      <c r="G4" s="1433"/>
      <c r="H4" s="1434"/>
    </row>
    <row r="5" spans="1:8" ht="15" customHeight="1" thickBot="1">
      <c r="A5" s="1421" t="s">
        <v>274</v>
      </c>
      <c r="B5" s="1422"/>
      <c r="C5" s="1423"/>
      <c r="D5" s="1424" t="s">
        <v>275</v>
      </c>
      <c r="E5" s="1425"/>
      <c r="F5" s="1425"/>
      <c r="G5" s="1426"/>
      <c r="H5" s="1427" t="s">
        <v>186</v>
      </c>
    </row>
    <row r="6" spans="1:8" ht="15.75" customHeight="1" thickBot="1">
      <c r="A6" s="831" t="s">
        <v>341</v>
      </c>
      <c r="B6" s="781" t="s">
        <v>64</v>
      </c>
      <c r="C6" s="781" t="s">
        <v>68</v>
      </c>
      <c r="D6" s="781" t="s">
        <v>342</v>
      </c>
      <c r="E6" s="781" t="s">
        <v>343</v>
      </c>
      <c r="F6" s="781" t="s">
        <v>344</v>
      </c>
      <c r="G6" s="781" t="s">
        <v>345</v>
      </c>
      <c r="H6" s="1428"/>
    </row>
    <row r="7" spans="1:8" ht="15.75" customHeight="1" thickBot="1">
      <c r="A7" s="1462" t="s">
        <v>347</v>
      </c>
      <c r="B7" s="1463"/>
      <c r="C7" s="954"/>
      <c r="D7" s="954"/>
      <c r="E7" s="954"/>
      <c r="F7" s="954"/>
      <c r="G7" s="954"/>
      <c r="H7" s="955"/>
    </row>
    <row r="8" spans="1:8" ht="16.5" hidden="1" customHeight="1" thickBot="1">
      <c r="A8" s="973" t="s">
        <v>637</v>
      </c>
      <c r="B8" s="773">
        <f>+geral!C78</f>
        <v>4.3</v>
      </c>
      <c r="C8" s="748">
        <v>100</v>
      </c>
      <c r="D8" s="748"/>
      <c r="E8" s="748"/>
      <c r="F8" s="748"/>
      <c r="G8" s="839"/>
      <c r="H8" s="842">
        <f>$B$322/B8</f>
        <v>5.8106312292358808</v>
      </c>
    </row>
    <row r="9" spans="1:8" ht="16.5" hidden="1" customHeight="1" thickBot="1">
      <c r="A9" s="973" t="s">
        <v>638</v>
      </c>
      <c r="B9" s="773">
        <f>+geral!C79</f>
        <v>4.41</v>
      </c>
      <c r="C9" s="748">
        <f>100*B9/$B$8</f>
        <v>102.55813953488372</v>
      </c>
      <c r="D9" s="748">
        <f>100*((B9/B8)-1)</f>
        <v>2.5581395348837299</v>
      </c>
      <c r="E9" s="748"/>
      <c r="F9" s="748"/>
      <c r="G9" s="839"/>
      <c r="H9" s="842">
        <f>$B$322/B9</f>
        <v>5.665694849368319</v>
      </c>
    </row>
    <row r="10" spans="1:8" ht="16.5" hidden="1" customHeight="1" thickBot="1">
      <c r="A10" s="973" t="s">
        <v>639</v>
      </c>
      <c r="B10" s="773">
        <f>+geral!C80</f>
        <v>4.18</v>
      </c>
      <c r="C10" s="748">
        <f t="shared" ref="C10:C73" si="0">100*B10/$B$8</f>
        <v>97.209302325581405</v>
      </c>
      <c r="D10" s="748">
        <f t="shared" ref="D10:D73" si="1">100*((B10/B9)-1)</f>
        <v>-5.2154195011338</v>
      </c>
      <c r="E10" s="748"/>
      <c r="F10" s="748"/>
      <c r="G10" s="839"/>
      <c r="H10" s="842">
        <f>$B$322/B10</f>
        <v>5.9774436090225569</v>
      </c>
    </row>
    <row r="11" spans="1:8" ht="16.5" hidden="1" customHeight="1" thickBot="1">
      <c r="A11" s="973" t="s">
        <v>640</v>
      </c>
      <c r="B11" s="773">
        <f>+geral!C81</f>
        <v>4.41</v>
      </c>
      <c r="C11" s="748">
        <f t="shared" si="0"/>
        <v>102.55813953488372</v>
      </c>
      <c r="D11" s="748">
        <f t="shared" si="1"/>
        <v>5.5023923444976086</v>
      </c>
      <c r="E11" s="748"/>
      <c r="F11" s="748"/>
      <c r="G11" s="839"/>
      <c r="H11" s="842">
        <f>$B$322/B11</f>
        <v>5.665694849368319</v>
      </c>
    </row>
    <row r="12" spans="1:8" ht="16.5" hidden="1" customHeight="1" thickBot="1">
      <c r="A12" s="973" t="s">
        <v>641</v>
      </c>
      <c r="B12" s="773">
        <f>+geral!C82</f>
        <v>4.41</v>
      </c>
      <c r="C12" s="748">
        <f t="shared" si="0"/>
        <v>102.55813953488372</v>
      </c>
      <c r="D12" s="748">
        <f t="shared" si="1"/>
        <v>0</v>
      </c>
      <c r="E12" s="748"/>
      <c r="F12" s="748"/>
      <c r="G12" s="839"/>
      <c r="H12" s="842">
        <f>$B$322/B12</f>
        <v>5.665694849368319</v>
      </c>
    </row>
    <row r="13" spans="1:8" ht="16.5" hidden="1" customHeight="1" thickBot="1">
      <c r="A13" s="973" t="s">
        <v>642</v>
      </c>
      <c r="B13" s="773">
        <f>+geral!C83</f>
        <v>4.74</v>
      </c>
      <c r="C13" s="748">
        <f>100*B13/$B$8</f>
        <v>110.23255813953489</v>
      </c>
      <c r="D13" s="748">
        <f t="shared" si="1"/>
        <v>7.4829931972789199</v>
      </c>
      <c r="E13" s="748"/>
      <c r="F13" s="748"/>
      <c r="G13" s="839"/>
      <c r="H13" s="842">
        <f>$B$322/B13</f>
        <v>5.2712477396021704</v>
      </c>
    </row>
    <row r="14" spans="1:8" ht="16.5" hidden="1" customHeight="1" thickBot="1">
      <c r="A14" s="973" t="s">
        <v>625</v>
      </c>
      <c r="B14" s="773">
        <f>+geral!E72</f>
        <v>4.74</v>
      </c>
      <c r="C14" s="748">
        <f>100*B14/$B$8</f>
        <v>110.23255813953489</v>
      </c>
      <c r="D14" s="748">
        <f t="shared" si="1"/>
        <v>0</v>
      </c>
      <c r="E14" s="748">
        <f>100*((B14/$B$13)-1)</f>
        <v>0</v>
      </c>
      <c r="F14" s="748"/>
      <c r="G14" s="839"/>
      <c r="H14" s="842">
        <f>$B$322/B14</f>
        <v>5.2712477396021704</v>
      </c>
    </row>
    <row r="15" spans="1:8" ht="16.5" hidden="1" customHeight="1" thickBot="1">
      <c r="A15" s="973" t="s">
        <v>626</v>
      </c>
      <c r="B15" s="773">
        <f>+geral!E73</f>
        <v>5.8</v>
      </c>
      <c r="C15" s="748">
        <f t="shared" si="0"/>
        <v>134.88372093023256</v>
      </c>
      <c r="D15" s="748">
        <f t="shared" si="1"/>
        <v>22.362869198312229</v>
      </c>
      <c r="E15" s="748">
        <f>100*((B15/$B$13)-1)</f>
        <v>22.362869198312229</v>
      </c>
      <c r="F15" s="748"/>
      <c r="G15" s="839"/>
      <c r="H15" s="842">
        <f>$B$322/B15</f>
        <v>4.3078817733990151</v>
      </c>
    </row>
    <row r="16" spans="1:8" ht="16.5" hidden="1" customHeight="1" thickBot="1">
      <c r="A16" s="973" t="s">
        <v>627</v>
      </c>
      <c r="B16" s="773">
        <f>+geral!E74</f>
        <v>4.9400000000000004</v>
      </c>
      <c r="C16" s="748">
        <f t="shared" si="0"/>
        <v>114.88372093023257</v>
      </c>
      <c r="D16" s="748">
        <f t="shared" si="1"/>
        <v>-14.827586206896537</v>
      </c>
      <c r="E16" s="748">
        <f t="shared" ref="E16:E25" si="2">100*((B16/$B$13)-1)</f>
        <v>4.2194092827004148</v>
      </c>
      <c r="F16" s="748"/>
      <c r="G16" s="839"/>
      <c r="H16" s="842">
        <f>$B$322/B16</f>
        <v>5.0578368999421635</v>
      </c>
    </row>
    <row r="17" spans="1:8" ht="16.5" hidden="1" customHeight="1" thickBot="1">
      <c r="A17" s="973" t="s">
        <v>628</v>
      </c>
      <c r="B17" s="773">
        <f>+geral!E75</f>
        <v>4.8499999999999996</v>
      </c>
      <c r="C17" s="748">
        <f t="shared" si="0"/>
        <v>112.7906976744186</v>
      </c>
      <c r="D17" s="748">
        <f t="shared" si="1"/>
        <v>-1.8218623481781493</v>
      </c>
      <c r="E17" s="748">
        <f t="shared" si="2"/>
        <v>2.3206751054852148</v>
      </c>
      <c r="F17" s="748"/>
      <c r="G17" s="839"/>
      <c r="H17" s="842">
        <f>$B$322/B17</f>
        <v>5.151693667157585</v>
      </c>
    </row>
    <row r="18" spans="1:8" ht="16.5" hidden="1" customHeight="1" thickBot="1">
      <c r="A18" s="973" t="s">
        <v>629</v>
      </c>
      <c r="B18" s="773">
        <f>+geral!E76</f>
        <v>4.07</v>
      </c>
      <c r="C18" s="748">
        <f t="shared" si="0"/>
        <v>94.651162790697683</v>
      </c>
      <c r="D18" s="748">
        <f t="shared" si="1"/>
        <v>-16.082474226804109</v>
      </c>
      <c r="E18" s="748">
        <f t="shared" si="2"/>
        <v>-14.135021097046408</v>
      </c>
      <c r="F18" s="748"/>
      <c r="G18" s="839"/>
      <c r="H18" s="842">
        <f>$B$322/B18</f>
        <v>6.1389961389961387</v>
      </c>
    </row>
    <row r="19" spans="1:8" ht="16.5" hidden="1" customHeight="1" thickBot="1">
      <c r="A19" s="973" t="s">
        <v>630</v>
      </c>
      <c r="B19" s="773">
        <f>+geral!E77</f>
        <v>5.25</v>
      </c>
      <c r="C19" s="748">
        <f t="shared" si="0"/>
        <v>122.09302325581396</v>
      </c>
      <c r="D19" s="748">
        <f t="shared" si="1"/>
        <v>28.992628992628976</v>
      </c>
      <c r="E19" s="748">
        <f t="shared" si="2"/>
        <v>10.759493670886066</v>
      </c>
      <c r="F19" s="748"/>
      <c r="G19" s="839"/>
      <c r="H19" s="842">
        <f>$B$322/B19</f>
        <v>4.759183673469388</v>
      </c>
    </row>
    <row r="20" spans="1:8" ht="16.5" hidden="1" customHeight="1" thickBot="1">
      <c r="A20" s="973" t="s">
        <v>631</v>
      </c>
      <c r="B20" s="773">
        <f>+geral!E78</f>
        <v>4.9400000000000004</v>
      </c>
      <c r="C20" s="748">
        <f t="shared" si="0"/>
        <v>114.88372093023257</v>
      </c>
      <c r="D20" s="748">
        <f t="shared" si="1"/>
        <v>-5.9047619047619015</v>
      </c>
      <c r="E20" s="748">
        <f t="shared" si="2"/>
        <v>4.2194092827004148</v>
      </c>
      <c r="F20" s="749">
        <f>100*((B20/B8)-1)</f>
        <v>14.883720930232581</v>
      </c>
      <c r="G20" s="840"/>
      <c r="H20" s="842">
        <f>$B$322/B20</f>
        <v>5.0578368999421635</v>
      </c>
    </row>
    <row r="21" spans="1:8" ht="16.5" hidden="1" customHeight="1" thickBot="1">
      <c r="A21" s="973" t="s">
        <v>632</v>
      </c>
      <c r="B21" s="773">
        <f>+geral!E79</f>
        <v>4.8499999999999996</v>
      </c>
      <c r="C21" s="748">
        <f t="shared" si="0"/>
        <v>112.7906976744186</v>
      </c>
      <c r="D21" s="748">
        <f t="shared" si="1"/>
        <v>-1.8218623481781493</v>
      </c>
      <c r="E21" s="748">
        <f t="shared" si="2"/>
        <v>2.3206751054852148</v>
      </c>
      <c r="F21" s="749">
        <f t="shared" ref="F21:F84" si="3">100*((B21/B9)-1)</f>
        <v>9.977324263038545</v>
      </c>
      <c r="G21" s="840"/>
      <c r="H21" s="842">
        <f>$B$322/B21</f>
        <v>5.151693667157585</v>
      </c>
    </row>
    <row r="22" spans="1:8" ht="16.5" hidden="1" customHeight="1" thickBot="1">
      <c r="A22" s="973" t="s">
        <v>633</v>
      </c>
      <c r="B22" s="773">
        <f>+geral!E80</f>
        <v>5.59</v>
      </c>
      <c r="C22" s="748">
        <f t="shared" si="0"/>
        <v>130</v>
      </c>
      <c r="D22" s="748">
        <f t="shared" si="1"/>
        <v>15.2577319587629</v>
      </c>
      <c r="E22" s="748">
        <f t="shared" si="2"/>
        <v>17.932489451476783</v>
      </c>
      <c r="F22" s="749">
        <f t="shared" si="3"/>
        <v>33.732057416267949</v>
      </c>
      <c r="G22" s="840"/>
      <c r="H22" s="842">
        <f>$B$322/B22</f>
        <v>4.4697163301814467</v>
      </c>
    </row>
    <row r="23" spans="1:8" ht="16.5" hidden="1" customHeight="1" thickBot="1">
      <c r="A23" s="973" t="s">
        <v>634</v>
      </c>
      <c r="B23" s="773">
        <f>+geral!E81</f>
        <v>5.08</v>
      </c>
      <c r="C23" s="748">
        <f t="shared" si="0"/>
        <v>118.13953488372094</v>
      </c>
      <c r="D23" s="748">
        <f t="shared" si="1"/>
        <v>-9.1234347048300464</v>
      </c>
      <c r="E23" s="748">
        <f t="shared" si="2"/>
        <v>7.1729957805907185</v>
      </c>
      <c r="F23" s="749">
        <f t="shared" si="3"/>
        <v>15.192743764172324</v>
      </c>
      <c r="G23" s="840"/>
      <c r="H23" s="842">
        <f>$B$322/B23</f>
        <v>4.9184476940382451</v>
      </c>
    </row>
    <row r="24" spans="1:8" ht="16.5" hidden="1" customHeight="1" thickBot="1">
      <c r="A24" s="973" t="s">
        <v>635</v>
      </c>
      <c r="B24" s="773">
        <f>+geral!E82</f>
        <v>6.07</v>
      </c>
      <c r="C24" s="748">
        <f t="shared" si="0"/>
        <v>141.16279069767444</v>
      </c>
      <c r="D24" s="748">
        <f t="shared" si="1"/>
        <v>19.488188976377963</v>
      </c>
      <c r="E24" s="748">
        <f t="shared" si="2"/>
        <v>28.059071729957807</v>
      </c>
      <c r="F24" s="749">
        <f t="shared" si="3"/>
        <v>37.641723356009081</v>
      </c>
      <c r="G24" s="840"/>
      <c r="H24" s="842">
        <f>$B$322/B24</f>
        <v>4.1162626500353028</v>
      </c>
    </row>
    <row r="25" spans="1:8" ht="16.5" hidden="1" customHeight="1" thickBot="1">
      <c r="A25" s="973" t="s">
        <v>636</v>
      </c>
      <c r="B25" s="773">
        <f>+geral!E83</f>
        <v>5.31</v>
      </c>
      <c r="C25" s="748">
        <f t="shared" si="0"/>
        <v>123.48837209302326</v>
      </c>
      <c r="D25" s="748">
        <f t="shared" si="1"/>
        <v>-12.520593080724884</v>
      </c>
      <c r="E25" s="748">
        <f t="shared" si="2"/>
        <v>12.025316455696199</v>
      </c>
      <c r="F25" s="749">
        <f t="shared" si="3"/>
        <v>12.025316455696199</v>
      </c>
      <c r="G25" s="840"/>
      <c r="H25" s="842">
        <f>$B$322/B25</f>
        <v>4.7054075867635197</v>
      </c>
    </row>
    <row r="26" spans="1:8" ht="16.5" hidden="1" customHeight="1" thickBot="1">
      <c r="A26" s="973" t="s">
        <v>613</v>
      </c>
      <c r="B26" s="773">
        <f>+geral!G72</f>
        <v>6.33</v>
      </c>
      <c r="C26" s="748">
        <f t="shared" si="0"/>
        <v>147.2093023255814</v>
      </c>
      <c r="D26" s="748">
        <f t="shared" si="1"/>
        <v>19.209039548022599</v>
      </c>
      <c r="E26" s="748">
        <f>100*((B26/$B$25)-1)</f>
        <v>19.209039548022599</v>
      </c>
      <c r="F26" s="749">
        <f t="shared" si="3"/>
        <v>33.544303797468359</v>
      </c>
      <c r="G26" s="840"/>
      <c r="H26" s="842">
        <f>$B$322/B26</f>
        <v>3.9471902505077865</v>
      </c>
    </row>
    <row r="27" spans="1:8" ht="16.5" hidden="1" customHeight="1" thickBot="1">
      <c r="A27" s="973" t="s">
        <v>614</v>
      </c>
      <c r="B27" s="773">
        <f>+geral!G73</f>
        <v>5.54</v>
      </c>
      <c r="C27" s="748">
        <f t="shared" si="0"/>
        <v>128.83720930232559</v>
      </c>
      <c r="D27" s="748">
        <f t="shared" si="1"/>
        <v>-12.480252764612953</v>
      </c>
      <c r="E27" s="748">
        <f t="shared" ref="E27:E37" si="4">100*((B27/$B$25)-1)</f>
        <v>4.3314500941619594</v>
      </c>
      <c r="F27" s="749">
        <f t="shared" si="3"/>
        <v>-4.482758620689653</v>
      </c>
      <c r="G27" s="840"/>
      <c r="H27" s="842">
        <f>$B$322/B27</f>
        <v>4.5100567302733374</v>
      </c>
    </row>
    <row r="28" spans="1:8" ht="16.5" hidden="1" customHeight="1" thickBot="1">
      <c r="A28" s="973" t="s">
        <v>615</v>
      </c>
      <c r="B28" s="773">
        <f>+geral!G74</f>
        <v>5.38</v>
      </c>
      <c r="C28" s="748">
        <f t="shared" si="0"/>
        <v>125.11627906976744</v>
      </c>
      <c r="D28" s="748">
        <f t="shared" si="1"/>
        <v>-2.8880866425992857</v>
      </c>
      <c r="E28" s="748">
        <f t="shared" si="4"/>
        <v>1.318267419962349</v>
      </c>
      <c r="F28" s="749">
        <f t="shared" si="3"/>
        <v>8.9068825910931118</v>
      </c>
      <c r="G28" s="840"/>
      <c r="H28" s="842">
        <f>$B$322/B28</f>
        <v>4.6441848114710576</v>
      </c>
    </row>
    <row r="29" spans="1:8" ht="16.5" hidden="1" customHeight="1" thickBot="1">
      <c r="A29" s="973" t="s">
        <v>616</v>
      </c>
      <c r="B29" s="773">
        <f>+geral!G75</f>
        <v>5.94</v>
      </c>
      <c r="C29" s="748">
        <f t="shared" si="0"/>
        <v>138.13953488372093</v>
      </c>
      <c r="D29" s="748">
        <f t="shared" si="1"/>
        <v>10.408921933085512</v>
      </c>
      <c r="E29" s="748">
        <f t="shared" si="4"/>
        <v>11.86440677966103</v>
      </c>
      <c r="F29" s="749">
        <f t="shared" si="3"/>
        <v>22.47422680412372</v>
      </c>
      <c r="G29" s="840"/>
      <c r="H29" s="842">
        <f>$B$322/B29</f>
        <v>4.2063492063492065</v>
      </c>
    </row>
    <row r="30" spans="1:8" ht="16.5" hidden="1" customHeight="1" thickBot="1">
      <c r="A30" s="973" t="s">
        <v>617</v>
      </c>
      <c r="B30" s="773">
        <f>+geral!G76</f>
        <v>5.57</v>
      </c>
      <c r="C30" s="748">
        <f t="shared" si="0"/>
        <v>129.53488372093022</v>
      </c>
      <c r="D30" s="748">
        <f t="shared" si="1"/>
        <v>-6.2289562289562284</v>
      </c>
      <c r="E30" s="748">
        <f t="shared" si="4"/>
        <v>4.8964218455743946</v>
      </c>
      <c r="F30" s="749">
        <f t="shared" si="3"/>
        <v>36.855036855036857</v>
      </c>
      <c r="G30" s="840"/>
      <c r="H30" s="842">
        <f>$B$322/B30</f>
        <v>4.4857655809181844</v>
      </c>
    </row>
    <row r="31" spans="1:8" ht="16.5" hidden="1" customHeight="1" thickBot="1">
      <c r="A31" s="973" t="s">
        <v>618</v>
      </c>
      <c r="B31" s="773">
        <f>+geral!G77</f>
        <v>6.48</v>
      </c>
      <c r="C31" s="748">
        <f t="shared" si="0"/>
        <v>150.69767441860466</v>
      </c>
      <c r="D31" s="748">
        <f t="shared" si="1"/>
        <v>16.337522441651696</v>
      </c>
      <c r="E31" s="748">
        <f t="shared" si="4"/>
        <v>22.033898305084755</v>
      </c>
      <c r="F31" s="749">
        <f t="shared" si="3"/>
        <v>23.428571428571445</v>
      </c>
      <c r="G31" s="840"/>
      <c r="H31" s="842">
        <f>$B$322/B31</f>
        <v>3.855820105820106</v>
      </c>
    </row>
    <row r="32" spans="1:8" ht="16.5" hidden="1" customHeight="1" thickBot="1">
      <c r="A32" s="973" t="s">
        <v>619</v>
      </c>
      <c r="B32" s="773">
        <f>+geral!G78</f>
        <v>5.8</v>
      </c>
      <c r="C32" s="748">
        <f t="shared" si="0"/>
        <v>134.88372093023256</v>
      </c>
      <c r="D32" s="748">
        <f t="shared" si="1"/>
        <v>-10.49382716049384</v>
      </c>
      <c r="E32" s="748">
        <f t="shared" si="4"/>
        <v>9.2278719397363531</v>
      </c>
      <c r="F32" s="749">
        <f t="shared" si="3"/>
        <v>17.40890688259109</v>
      </c>
      <c r="G32" s="840">
        <f>100*(B32/B8-1)</f>
        <v>34.883720930232556</v>
      </c>
      <c r="H32" s="842">
        <f>$B$322/B32</f>
        <v>4.3078817733990151</v>
      </c>
    </row>
    <row r="33" spans="1:10" ht="16.5" hidden="1" customHeight="1" thickBot="1">
      <c r="A33" s="973" t="s">
        <v>620</v>
      </c>
      <c r="B33" s="773">
        <f>+geral!G79</f>
        <v>5.72</v>
      </c>
      <c r="C33" s="748">
        <f t="shared" si="0"/>
        <v>133.02325581395348</v>
      </c>
      <c r="D33" s="748">
        <f t="shared" si="1"/>
        <v>-1.379310344827589</v>
      </c>
      <c r="E33" s="748">
        <f t="shared" si="4"/>
        <v>7.7212806026365488</v>
      </c>
      <c r="F33" s="749">
        <f t="shared" si="3"/>
        <v>17.938144329896911</v>
      </c>
      <c r="G33" s="840">
        <f t="shared" ref="G33:G96" si="5">100*(B33/B9-1)</f>
        <v>29.70521541950113</v>
      </c>
      <c r="H33" s="842">
        <f>$B$322/B33</f>
        <v>4.3681318681318686</v>
      </c>
    </row>
    <row r="34" spans="1:10" ht="16.5" hidden="1" customHeight="1" thickBot="1">
      <c r="A34" s="973" t="s">
        <v>621</v>
      </c>
      <c r="B34" s="773">
        <f>+geral!G80</f>
        <v>5.63</v>
      </c>
      <c r="C34" s="748">
        <f t="shared" si="0"/>
        <v>130.93023255813955</v>
      </c>
      <c r="D34" s="748">
        <f t="shared" si="1"/>
        <v>-1.5734265734265729</v>
      </c>
      <c r="E34" s="748">
        <f t="shared" si="4"/>
        <v>6.026365348399243</v>
      </c>
      <c r="F34" s="749">
        <f t="shared" si="3"/>
        <v>0.71556350626118537</v>
      </c>
      <c r="G34" s="840">
        <f t="shared" si="5"/>
        <v>34.68899521531101</v>
      </c>
      <c r="H34" s="842">
        <f>$B$322/B34</f>
        <v>4.4379599086526262</v>
      </c>
    </row>
    <row r="35" spans="1:10" ht="16.5" hidden="1" customHeight="1" thickBot="1">
      <c r="A35" s="973" t="s">
        <v>622</v>
      </c>
      <c r="B35" s="773">
        <f>+geral!G81</f>
        <v>6.1</v>
      </c>
      <c r="C35" s="748">
        <f t="shared" si="0"/>
        <v>141.86046511627907</v>
      </c>
      <c r="D35" s="748">
        <f t="shared" si="1"/>
        <v>8.348134991118993</v>
      </c>
      <c r="E35" s="748">
        <f t="shared" si="4"/>
        <v>14.87758945386064</v>
      </c>
      <c r="F35" s="749">
        <f t="shared" si="3"/>
        <v>20.078740157480301</v>
      </c>
      <c r="G35" s="840">
        <f t="shared" si="5"/>
        <v>38.321995464852598</v>
      </c>
      <c r="H35" s="842">
        <f>$B$322/B35</f>
        <v>4.096018735362998</v>
      </c>
    </row>
    <row r="36" spans="1:10" ht="16.5" hidden="1" customHeight="1" thickBot="1">
      <c r="A36" s="973" t="s">
        <v>623</v>
      </c>
      <c r="B36" s="773">
        <f>+geral!G82</f>
        <v>5.2</v>
      </c>
      <c r="C36" s="748">
        <f t="shared" si="0"/>
        <v>120.93023255813954</v>
      </c>
      <c r="D36" s="748">
        <f t="shared" si="1"/>
        <v>-14.754098360655732</v>
      </c>
      <c r="E36" s="748">
        <f t="shared" si="4"/>
        <v>-2.0715630885122294</v>
      </c>
      <c r="F36" s="749">
        <f t="shared" si="3"/>
        <v>-14.332784184514002</v>
      </c>
      <c r="G36" s="840">
        <f t="shared" si="5"/>
        <v>17.913832199546476</v>
      </c>
      <c r="H36" s="842">
        <f>$B$322/B36</f>
        <v>4.8049450549450547</v>
      </c>
    </row>
    <row r="37" spans="1:10" ht="16.5" hidden="1" customHeight="1" thickBot="1">
      <c r="A37" s="973" t="s">
        <v>624</v>
      </c>
      <c r="B37" s="773">
        <f>+geral!G83</f>
        <v>5.7</v>
      </c>
      <c r="C37" s="748">
        <f t="shared" si="0"/>
        <v>132.55813953488374</v>
      </c>
      <c r="D37" s="748">
        <f t="shared" si="1"/>
        <v>9.6153846153846256</v>
      </c>
      <c r="E37" s="748">
        <f t="shared" si="4"/>
        <v>7.344632768361592</v>
      </c>
      <c r="F37" s="749">
        <f t="shared" si="3"/>
        <v>7.344632768361592</v>
      </c>
      <c r="G37" s="840">
        <f t="shared" si="5"/>
        <v>20.253164556962023</v>
      </c>
      <c r="H37" s="842">
        <f>$B$322/B37</f>
        <v>4.3834586466165417</v>
      </c>
    </row>
    <row r="38" spans="1:10" ht="12.95" hidden="1" customHeight="1" thickBot="1">
      <c r="A38" s="973" t="s">
        <v>601</v>
      </c>
      <c r="B38" s="773">
        <f>+geral!I72</f>
        <v>5.53</v>
      </c>
      <c r="C38" s="748">
        <f t="shared" si="0"/>
        <v>128.6046511627907</v>
      </c>
      <c r="D38" s="748">
        <f t="shared" si="1"/>
        <v>-2.9824561403508754</v>
      </c>
      <c r="E38" s="748">
        <f>100*((B38/$B$37)-1)</f>
        <v>-2.9824561403508754</v>
      </c>
      <c r="F38" s="749">
        <f t="shared" si="3"/>
        <v>-12.638230647709314</v>
      </c>
      <c r="G38" s="840">
        <f t="shared" si="5"/>
        <v>16.666666666666675</v>
      </c>
      <c r="H38" s="842">
        <f>$B$322/B38</f>
        <v>4.5182123482304313</v>
      </c>
    </row>
    <row r="39" spans="1:10" ht="16.5" hidden="1" customHeight="1" thickBot="1">
      <c r="A39" s="973" t="s">
        <v>602</v>
      </c>
      <c r="B39" s="773">
        <f>+geral!I73</f>
        <v>5.2</v>
      </c>
      <c r="C39" s="748">
        <f t="shared" si="0"/>
        <v>120.93023255813954</v>
      </c>
      <c r="D39" s="748">
        <f t="shared" si="1"/>
        <v>-5.9674502712477429</v>
      </c>
      <c r="E39" s="748">
        <f t="shared" ref="E39:E49" si="6">100*((B39/$B$37)-1)</f>
        <v>-8.7719298245614077</v>
      </c>
      <c r="F39" s="749">
        <f t="shared" si="3"/>
        <v>-6.1371841155234641</v>
      </c>
      <c r="G39" s="840">
        <f t="shared" si="5"/>
        <v>-10.344827586206895</v>
      </c>
      <c r="H39" s="842">
        <f>$B$322/B39</f>
        <v>4.8049450549450547</v>
      </c>
    </row>
    <row r="40" spans="1:10" ht="16.5" hidden="1" customHeight="1" thickBot="1">
      <c r="A40" s="973" t="s">
        <v>603</v>
      </c>
      <c r="B40" s="773">
        <f>+geral!I74</f>
        <v>5.88</v>
      </c>
      <c r="C40" s="748">
        <f t="shared" si="0"/>
        <v>136.74418604651163</v>
      </c>
      <c r="D40" s="748">
        <f t="shared" si="1"/>
        <v>13.076923076923075</v>
      </c>
      <c r="E40" s="748">
        <f t="shared" si="6"/>
        <v>3.1578947368420929</v>
      </c>
      <c r="F40" s="749">
        <f>100*((B40/B28)-1)</f>
        <v>9.293680297397767</v>
      </c>
      <c r="G40" s="840">
        <f t="shared" si="5"/>
        <v>19.028340080971653</v>
      </c>
      <c r="H40" s="842">
        <f>$B$322/B40</f>
        <v>4.2492711370262395</v>
      </c>
    </row>
    <row r="41" spans="1:10" ht="16.5" hidden="1" customHeight="1" thickBot="1">
      <c r="A41" s="973" t="s">
        <v>604</v>
      </c>
      <c r="B41" s="773">
        <f>+geral!I75</f>
        <v>5.4</v>
      </c>
      <c r="C41" s="748">
        <f t="shared" si="0"/>
        <v>125.58139534883722</v>
      </c>
      <c r="D41" s="748">
        <f t="shared" si="1"/>
        <v>-8.1632653061224367</v>
      </c>
      <c r="E41" s="748">
        <f t="shared" si="6"/>
        <v>-5.2631578947368363</v>
      </c>
      <c r="F41" s="749">
        <f>100*((B41/B29)-1)</f>
        <v>-9.0909090909090935</v>
      </c>
      <c r="G41" s="840">
        <f t="shared" si="5"/>
        <v>11.340206185567038</v>
      </c>
      <c r="H41" s="842">
        <f>$B$322/B41</f>
        <v>4.6269841269841274</v>
      </c>
    </row>
    <row r="42" spans="1:10" ht="16.5" hidden="1" customHeight="1" thickBot="1">
      <c r="A42" s="973" t="s">
        <v>605</v>
      </c>
      <c r="B42" s="773">
        <f>+geral!I76</f>
        <v>5.33</v>
      </c>
      <c r="C42" s="748">
        <f t="shared" si="0"/>
        <v>123.95348837209303</v>
      </c>
      <c r="D42" s="748">
        <f t="shared" si="1"/>
        <v>-1.2962962962963065</v>
      </c>
      <c r="E42" s="748">
        <f>100*((B42/$B$37)-1)</f>
        <v>-6.4912280701754366</v>
      </c>
      <c r="F42" s="749">
        <f t="shared" si="3"/>
        <v>-4.3087971274685888</v>
      </c>
      <c r="G42" s="840">
        <f t="shared" si="5"/>
        <v>30.95823095823096</v>
      </c>
      <c r="H42" s="842">
        <f>$B$322/B42</f>
        <v>4.6877512731171267</v>
      </c>
    </row>
    <row r="43" spans="1:10" ht="16.5" hidden="1" customHeight="1" thickBot="1">
      <c r="A43" s="973" t="s">
        <v>606</v>
      </c>
      <c r="B43" s="773">
        <f>+geral!I77</f>
        <v>5.25</v>
      </c>
      <c r="C43" s="748">
        <f t="shared" si="0"/>
        <v>122.09302325581396</v>
      </c>
      <c r="D43" s="748">
        <f t="shared" si="1"/>
        <v>-1.5009380863039379</v>
      </c>
      <c r="E43" s="748">
        <f t="shared" si="6"/>
        <v>-7.8947368421052655</v>
      </c>
      <c r="F43" s="749">
        <f t="shared" si="3"/>
        <v>-18.981481481481488</v>
      </c>
      <c r="G43" s="840">
        <f t="shared" si="5"/>
        <v>0</v>
      </c>
      <c r="H43" s="842">
        <f>$B$322/B43</f>
        <v>4.759183673469388</v>
      </c>
    </row>
    <row r="44" spans="1:10" ht="16.5" hidden="1" customHeight="1" thickBot="1">
      <c r="A44" s="973" t="s">
        <v>607</v>
      </c>
      <c r="B44" s="773">
        <f>+geral!I78</f>
        <v>6.55</v>
      </c>
      <c r="C44" s="748">
        <f t="shared" si="0"/>
        <v>152.32558139534885</v>
      </c>
      <c r="D44" s="748">
        <f t="shared" si="1"/>
        <v>24.761904761904763</v>
      </c>
      <c r="E44" s="748">
        <f t="shared" si="6"/>
        <v>14.912280701754387</v>
      </c>
      <c r="F44" s="749">
        <f t="shared" si="3"/>
        <v>12.93103448275863</v>
      </c>
      <c r="G44" s="840">
        <f t="shared" si="5"/>
        <v>32.591093117408889</v>
      </c>
      <c r="H44" s="842">
        <f>$B$322/B44</f>
        <v>3.8146128680479827</v>
      </c>
      <c r="I44" s="779"/>
      <c r="J44" s="780"/>
    </row>
    <row r="45" spans="1:10" ht="16.5" hidden="1" customHeight="1" thickBot="1">
      <c r="A45" s="973" t="s">
        <v>608</v>
      </c>
      <c r="B45" s="773">
        <f>+geral!I79</f>
        <v>5.07</v>
      </c>
      <c r="C45" s="748">
        <f t="shared" si="0"/>
        <v>117.90697674418605</v>
      </c>
      <c r="D45" s="748">
        <f t="shared" si="1"/>
        <v>-22.595419847328234</v>
      </c>
      <c r="E45" s="748">
        <f t="shared" si="6"/>
        <v>-11.05263157894737</v>
      </c>
      <c r="F45" s="749">
        <f t="shared" si="3"/>
        <v>-11.363636363636353</v>
      </c>
      <c r="G45" s="840">
        <f t="shared" si="5"/>
        <v>4.5360824742268102</v>
      </c>
      <c r="H45" s="842">
        <f>$B$322/B45</f>
        <v>4.9281487743026204</v>
      </c>
    </row>
    <row r="46" spans="1:10" ht="16.5" hidden="1" customHeight="1" thickBot="1">
      <c r="A46" s="973" t="s">
        <v>609</v>
      </c>
      <c r="B46" s="773">
        <f>+geral!I80</f>
        <v>6.22</v>
      </c>
      <c r="C46" s="748">
        <f t="shared" si="0"/>
        <v>144.65116279069767</v>
      </c>
      <c r="D46" s="748">
        <f t="shared" si="1"/>
        <v>22.682445759368818</v>
      </c>
      <c r="E46" s="748">
        <f t="shared" si="6"/>
        <v>9.1228070175438436</v>
      </c>
      <c r="F46" s="749">
        <f t="shared" si="3"/>
        <v>10.479573712255764</v>
      </c>
      <c r="G46" s="840">
        <f t="shared" si="5"/>
        <v>11.270125223613592</v>
      </c>
      <c r="H46" s="842">
        <f>$B$322/B46</f>
        <v>4.0169958658704648</v>
      </c>
    </row>
    <row r="47" spans="1:10" ht="16.5" hidden="1" customHeight="1" thickBot="1">
      <c r="A47" s="973" t="s">
        <v>610</v>
      </c>
      <c r="B47" s="773">
        <f>+geral!I81</f>
        <v>5.33</v>
      </c>
      <c r="C47" s="748">
        <f t="shared" si="0"/>
        <v>123.95348837209303</v>
      </c>
      <c r="D47" s="748">
        <f t="shared" si="1"/>
        <v>-14.308681672025713</v>
      </c>
      <c r="E47" s="748">
        <f t="shared" si="6"/>
        <v>-6.4912280701754366</v>
      </c>
      <c r="F47" s="749">
        <f t="shared" si="3"/>
        <v>-12.622950819672131</v>
      </c>
      <c r="G47" s="840">
        <f t="shared" si="5"/>
        <v>4.9212598425196763</v>
      </c>
      <c r="H47" s="842">
        <f>$B$322/B47</f>
        <v>4.6877512731171267</v>
      </c>
    </row>
    <row r="48" spans="1:10" ht="16.5" hidden="1" customHeight="1" thickBot="1">
      <c r="A48" s="973" t="s">
        <v>611</v>
      </c>
      <c r="B48" s="773">
        <f>+geral!I82</f>
        <v>5.83</v>
      </c>
      <c r="C48" s="748">
        <f t="shared" si="0"/>
        <v>135.58139534883722</v>
      </c>
      <c r="D48" s="748">
        <f t="shared" si="1"/>
        <v>9.3808630393996228</v>
      </c>
      <c r="E48" s="748">
        <f t="shared" si="6"/>
        <v>2.280701754385972</v>
      </c>
      <c r="F48" s="749">
        <f t="shared" si="3"/>
        <v>12.115384615384617</v>
      </c>
      <c r="G48" s="840">
        <f t="shared" si="5"/>
        <v>-3.9538714991762758</v>
      </c>
      <c r="H48" s="842">
        <f>$B$322/B48</f>
        <v>4.2857142857142856</v>
      </c>
    </row>
    <row r="49" spans="1:8" ht="16.5" hidden="1" customHeight="1" thickBot="1">
      <c r="A49" s="973" t="s">
        <v>612</v>
      </c>
      <c r="B49" s="773">
        <f>+geral!I83</f>
        <v>5.6</v>
      </c>
      <c r="C49" s="748">
        <f t="shared" si="0"/>
        <v>130.23255813953489</v>
      </c>
      <c r="D49" s="748">
        <f t="shared" si="1"/>
        <v>-3.9451114922813058</v>
      </c>
      <c r="E49" s="748">
        <f t="shared" si="6"/>
        <v>-1.7543859649122862</v>
      </c>
      <c r="F49" s="749">
        <f t="shared" si="3"/>
        <v>-1.7543859649122862</v>
      </c>
      <c r="G49" s="840">
        <f t="shared" si="5"/>
        <v>5.4613935969868077</v>
      </c>
      <c r="H49" s="842">
        <f>$B$322/B49</f>
        <v>4.4617346938775517</v>
      </c>
    </row>
    <row r="50" spans="1:8" ht="16.5" hidden="1" customHeight="1" thickBot="1">
      <c r="A50" s="973" t="s">
        <v>589</v>
      </c>
      <c r="B50" s="773">
        <f>+geral!K72</f>
        <v>6.47</v>
      </c>
      <c r="C50" s="748">
        <f t="shared" si="0"/>
        <v>150.46511627906978</v>
      </c>
      <c r="D50" s="748">
        <f t="shared" si="1"/>
        <v>15.535714285714297</v>
      </c>
      <c r="E50" s="748">
        <f>100*((B50/$B$49)-1)</f>
        <v>15.535714285714297</v>
      </c>
      <c r="F50" s="749">
        <f t="shared" si="3"/>
        <v>16.998191681735975</v>
      </c>
      <c r="G50" s="840">
        <f t="shared" si="5"/>
        <v>2.211690363349117</v>
      </c>
      <c r="H50" s="842">
        <f>$B$322/B50</f>
        <v>3.8617796423051449</v>
      </c>
    </row>
    <row r="51" spans="1:8" ht="16.5" hidden="1" customHeight="1" thickBot="1">
      <c r="A51" s="973" t="s">
        <v>590</v>
      </c>
      <c r="B51" s="773">
        <f>+geral!K73</f>
        <v>5.42</v>
      </c>
      <c r="C51" s="748">
        <f t="shared" si="0"/>
        <v>126.04651162790698</v>
      </c>
      <c r="D51" s="750">
        <f t="shared" si="1"/>
        <v>-16.228748068006183</v>
      </c>
      <c r="E51" s="750">
        <f t="shared" ref="E51:E61" si="7">100*((B51/$B$49)-1)</f>
        <v>-3.214285714285714</v>
      </c>
      <c r="F51" s="751">
        <f t="shared" si="3"/>
        <v>4.2307692307692157</v>
      </c>
      <c r="G51" s="840">
        <f t="shared" si="5"/>
        <v>-2.166064981949456</v>
      </c>
      <c r="H51" s="842">
        <f>$B$322/B51</f>
        <v>4.609910384818134</v>
      </c>
    </row>
    <row r="52" spans="1:8" ht="16.5" hidden="1" customHeight="1" thickBot="1">
      <c r="A52" s="973" t="s">
        <v>591</v>
      </c>
      <c r="B52" s="773">
        <f>+geral!K74</f>
        <v>5.25</v>
      </c>
      <c r="C52" s="748">
        <f t="shared" si="0"/>
        <v>122.09302325581396</v>
      </c>
      <c r="D52" s="750">
        <f t="shared" si="1"/>
        <v>-3.1365313653136551</v>
      </c>
      <c r="E52" s="750">
        <f t="shared" si="7"/>
        <v>-6.2499999999999893</v>
      </c>
      <c r="F52" s="751">
        <f t="shared" si="3"/>
        <v>-10.71428571428571</v>
      </c>
      <c r="G52" s="840">
        <f t="shared" si="5"/>
        <v>-2.4163568773234223</v>
      </c>
      <c r="H52" s="842">
        <f>$B$322/B52</f>
        <v>4.759183673469388</v>
      </c>
    </row>
    <row r="53" spans="1:8" ht="16.5" hidden="1" customHeight="1" thickBot="1">
      <c r="A53" s="973" t="s">
        <v>592</v>
      </c>
      <c r="B53" s="773">
        <f>+geral!K75</f>
        <v>5.68</v>
      </c>
      <c r="C53" s="748">
        <f t="shared" si="0"/>
        <v>132.09302325581396</v>
      </c>
      <c r="D53" s="750">
        <f t="shared" si="1"/>
        <v>8.1904761904761934</v>
      </c>
      <c r="E53" s="750">
        <f t="shared" si="7"/>
        <v>1.4285714285714235</v>
      </c>
      <c r="F53" s="751">
        <f t="shared" si="3"/>
        <v>5.1851851851851816</v>
      </c>
      <c r="G53" s="840">
        <f t="shared" si="5"/>
        <v>-4.3771043771043905</v>
      </c>
      <c r="H53" s="842">
        <f>$B$322/B53</f>
        <v>4.3988933601609661</v>
      </c>
    </row>
    <row r="54" spans="1:8" ht="16.5" hidden="1" customHeight="1" thickBot="1">
      <c r="A54" s="973" t="s">
        <v>593</v>
      </c>
      <c r="B54" s="773">
        <f>+geral!K76</f>
        <v>5.29</v>
      </c>
      <c r="C54" s="748">
        <f t="shared" si="0"/>
        <v>123.0232558139535</v>
      </c>
      <c r="D54" s="750">
        <f t="shared" si="1"/>
        <v>-6.8661971830985884</v>
      </c>
      <c r="E54" s="750">
        <f t="shared" si="7"/>
        <v>-5.5357142857142776</v>
      </c>
      <c r="F54" s="751">
        <f t="shared" si="3"/>
        <v>-0.75046904315196894</v>
      </c>
      <c r="G54" s="840">
        <f t="shared" si="5"/>
        <v>-5.0269299820466795</v>
      </c>
      <c r="H54" s="842">
        <f>$B$322/B54</f>
        <v>4.7231974075074268</v>
      </c>
    </row>
    <row r="55" spans="1:8" ht="16.5" hidden="1" customHeight="1" thickBot="1">
      <c r="A55" s="973" t="s">
        <v>594</v>
      </c>
      <c r="B55" s="773">
        <f>+geral!K77</f>
        <v>5.8</v>
      </c>
      <c r="C55" s="748">
        <f t="shared" si="0"/>
        <v>134.88372093023256</v>
      </c>
      <c r="D55" s="750">
        <f t="shared" si="1"/>
        <v>9.6408317580340288</v>
      </c>
      <c r="E55" s="750">
        <f t="shared" si="7"/>
        <v>3.5714285714285809</v>
      </c>
      <c r="F55" s="751">
        <f t="shared" si="3"/>
        <v>10.476190476190483</v>
      </c>
      <c r="G55" s="840">
        <f t="shared" si="5"/>
        <v>-10.49382716049384</v>
      </c>
      <c r="H55" s="842">
        <f>$B$322/B55</f>
        <v>4.3078817733990151</v>
      </c>
    </row>
    <row r="56" spans="1:8" ht="16.5" hidden="1" customHeight="1" thickBot="1">
      <c r="A56" s="973" t="s">
        <v>595</v>
      </c>
      <c r="B56" s="773">
        <f>+geral!K78</f>
        <v>6.5</v>
      </c>
      <c r="C56" s="748">
        <f t="shared" si="0"/>
        <v>151.16279069767444</v>
      </c>
      <c r="D56" s="750">
        <f t="shared" si="1"/>
        <v>12.068965517241391</v>
      </c>
      <c r="E56" s="750">
        <f t="shared" si="7"/>
        <v>16.07142857142858</v>
      </c>
      <c r="F56" s="751">
        <f t="shared" si="3"/>
        <v>-0.76335877862595547</v>
      </c>
      <c r="G56" s="840">
        <f t="shared" si="5"/>
        <v>12.068965517241391</v>
      </c>
      <c r="H56" s="842">
        <f>$B$322/B56</f>
        <v>3.8439560439560441</v>
      </c>
    </row>
    <row r="57" spans="1:8" ht="16.5" hidden="1" customHeight="1" thickBot="1">
      <c r="A57" s="973" t="s">
        <v>596</v>
      </c>
      <c r="B57" s="773">
        <f>+geral!K79</f>
        <v>5.76</v>
      </c>
      <c r="C57" s="748">
        <f t="shared" si="0"/>
        <v>133.95348837209303</v>
      </c>
      <c r="D57" s="750">
        <f t="shared" si="1"/>
        <v>-11.384615384615394</v>
      </c>
      <c r="E57" s="750">
        <f t="shared" si="7"/>
        <v>2.8571428571428692</v>
      </c>
      <c r="F57" s="751">
        <f t="shared" si="3"/>
        <v>13.609467455621282</v>
      </c>
      <c r="G57" s="840">
        <f t="shared" si="5"/>
        <v>0.69930069930070893</v>
      </c>
      <c r="H57" s="842">
        <f>$B$322/B57</f>
        <v>4.3377976190476195</v>
      </c>
    </row>
    <row r="58" spans="1:8" ht="16.5" hidden="1" customHeight="1" thickBot="1">
      <c r="A58" s="973" t="s">
        <v>597</v>
      </c>
      <c r="B58" s="773">
        <f>+geral!K80</f>
        <v>5.76</v>
      </c>
      <c r="C58" s="748">
        <f t="shared" si="0"/>
        <v>133.95348837209303</v>
      </c>
      <c r="D58" s="750">
        <f t="shared" si="1"/>
        <v>0</v>
      </c>
      <c r="E58" s="750">
        <f t="shared" si="7"/>
        <v>2.8571428571428692</v>
      </c>
      <c r="F58" s="751">
        <f t="shared" si="3"/>
        <v>-7.3954983922829616</v>
      </c>
      <c r="G58" s="840">
        <f t="shared" si="5"/>
        <v>2.3090586145648295</v>
      </c>
      <c r="H58" s="842">
        <f>$B$322/B58</f>
        <v>4.3377976190476195</v>
      </c>
    </row>
    <row r="59" spans="1:8" ht="16.5" hidden="1" customHeight="1" thickBot="1">
      <c r="A59" s="973" t="s">
        <v>598</v>
      </c>
      <c r="B59" s="773">
        <f>+geral!K81</f>
        <v>5.52</v>
      </c>
      <c r="C59" s="748">
        <f t="shared" si="0"/>
        <v>128.37209302325581</v>
      </c>
      <c r="D59" s="750">
        <f t="shared" si="1"/>
        <v>-4.1666666666666741</v>
      </c>
      <c r="E59" s="750">
        <f t="shared" si="7"/>
        <v>-1.4285714285714346</v>
      </c>
      <c r="F59" s="751">
        <f t="shared" si="3"/>
        <v>3.5647279549718469</v>
      </c>
      <c r="G59" s="840">
        <f t="shared" si="5"/>
        <v>-9.5081967213114797</v>
      </c>
      <c r="H59" s="842">
        <f>$B$322/B59</f>
        <v>4.5263975155279512</v>
      </c>
    </row>
    <row r="60" spans="1:8" ht="16.5" hidden="1" customHeight="1" thickBot="1">
      <c r="A60" s="973" t="s">
        <v>599</v>
      </c>
      <c r="B60" s="773">
        <f>+geral!K82</f>
        <v>5.93</v>
      </c>
      <c r="C60" s="748">
        <f t="shared" si="0"/>
        <v>137.90697674418604</v>
      </c>
      <c r="D60" s="750">
        <f t="shared" si="1"/>
        <v>7.4275362318840576</v>
      </c>
      <c r="E60" s="750">
        <f t="shared" si="7"/>
        <v>5.8928571428571441</v>
      </c>
      <c r="F60" s="751">
        <f t="shared" si="3"/>
        <v>1.7152658662092479</v>
      </c>
      <c r="G60" s="840">
        <f t="shared" si="5"/>
        <v>14.038461538461533</v>
      </c>
      <c r="H60" s="842">
        <f>$B$322/B60</f>
        <v>4.2134425439653098</v>
      </c>
    </row>
    <row r="61" spans="1:8" ht="16.5" hidden="1" customHeight="1" thickBot="1">
      <c r="A61" s="973" t="s">
        <v>600</v>
      </c>
      <c r="B61" s="773">
        <f>+geral!K83</f>
        <v>5.67</v>
      </c>
      <c r="C61" s="748">
        <f t="shared" si="0"/>
        <v>131.86046511627907</v>
      </c>
      <c r="D61" s="750">
        <f t="shared" si="1"/>
        <v>-4.3844856661045544</v>
      </c>
      <c r="E61" s="750">
        <f t="shared" si="7"/>
        <v>1.2499999999999956</v>
      </c>
      <c r="F61" s="751">
        <f t="shared" si="3"/>
        <v>1.2499999999999956</v>
      </c>
      <c r="G61" s="840">
        <f t="shared" si="5"/>
        <v>-0.52631578947368585</v>
      </c>
      <c r="H61" s="842">
        <f>$B$322/B61</f>
        <v>4.4066515495086929</v>
      </c>
    </row>
    <row r="62" spans="1:8" ht="16.5" hidden="1" customHeight="1" thickBot="1">
      <c r="A62" s="973" t="s">
        <v>577</v>
      </c>
      <c r="B62" s="773">
        <f>+geral!M72</f>
        <v>5.9</v>
      </c>
      <c r="C62" s="748">
        <f t="shared" si="0"/>
        <v>137.2093023255814</v>
      </c>
      <c r="D62" s="750">
        <f t="shared" si="1"/>
        <v>4.0564373897707284</v>
      </c>
      <c r="E62" s="750">
        <f>100*((B62/$B$61)-1)</f>
        <v>4.0564373897707284</v>
      </c>
      <c r="F62" s="751">
        <f t="shared" si="3"/>
        <v>-8.8098918083462046</v>
      </c>
      <c r="G62" s="840">
        <f t="shared" si="5"/>
        <v>6.6907775768535238</v>
      </c>
      <c r="H62" s="842">
        <f>$B$322/B62</f>
        <v>4.2348668280871671</v>
      </c>
    </row>
    <row r="63" spans="1:8" ht="16.5" hidden="1" customHeight="1" thickBot="1">
      <c r="A63" s="973" t="s">
        <v>578</v>
      </c>
      <c r="B63" s="773">
        <f>+geral!M73</f>
        <v>5.36</v>
      </c>
      <c r="C63" s="748">
        <f t="shared" si="0"/>
        <v>124.65116279069768</v>
      </c>
      <c r="D63" s="750">
        <f t="shared" si="1"/>
        <v>-9.1525423728813564</v>
      </c>
      <c r="E63" s="750">
        <f t="shared" ref="E63:E73" si="8">100*((B63/$B$61)-1)</f>
        <v>-5.4673721340387953</v>
      </c>
      <c r="F63" s="751">
        <f t="shared" si="3"/>
        <v>-1.1070110701106972</v>
      </c>
      <c r="G63" s="840">
        <f t="shared" si="5"/>
        <v>3.0769230769230882</v>
      </c>
      <c r="H63" s="842">
        <f>$B$322/B63</f>
        <v>4.6615138592750531</v>
      </c>
    </row>
    <row r="64" spans="1:8" ht="16.5" hidden="1" customHeight="1" thickBot="1">
      <c r="A64" s="973" t="s">
        <v>579</v>
      </c>
      <c r="B64" s="773">
        <f>+geral!M74</f>
        <v>5.61</v>
      </c>
      <c r="C64" s="748">
        <f t="shared" si="0"/>
        <v>130.46511627906978</v>
      </c>
      <c r="D64" s="750">
        <f t="shared" si="1"/>
        <v>4.664179104477606</v>
      </c>
      <c r="E64" s="750">
        <f t="shared" si="8"/>
        <v>-1.058201058201047</v>
      </c>
      <c r="F64" s="751">
        <f t="shared" si="3"/>
        <v>6.8571428571428727</v>
      </c>
      <c r="G64" s="840">
        <f t="shared" si="5"/>
        <v>-4.5918367346938656</v>
      </c>
      <c r="H64" s="842">
        <f>$B$322/B64</f>
        <v>4.4537815126050422</v>
      </c>
    </row>
    <row r="65" spans="1:8" ht="16.5" hidden="1" customHeight="1" thickBot="1">
      <c r="A65" s="973" t="s">
        <v>580</v>
      </c>
      <c r="B65" s="773">
        <f>+geral!M75</f>
        <v>5.67</v>
      </c>
      <c r="C65" s="748">
        <f t="shared" si="0"/>
        <v>131.86046511627907</v>
      </c>
      <c r="D65" s="750">
        <f t="shared" si="1"/>
        <v>1.0695187165775222</v>
      </c>
      <c r="E65" s="750">
        <f t="shared" si="8"/>
        <v>0</v>
      </c>
      <c r="F65" s="751">
        <f t="shared" si="3"/>
        <v>-0.17605633802816323</v>
      </c>
      <c r="G65" s="840">
        <f t="shared" si="5"/>
        <v>4.9999999999999822</v>
      </c>
      <c r="H65" s="842">
        <f>$B$322/B65</f>
        <v>4.4066515495086929</v>
      </c>
    </row>
    <row r="66" spans="1:8" ht="16.5" hidden="1" customHeight="1" thickBot="1">
      <c r="A66" s="973" t="s">
        <v>581</v>
      </c>
      <c r="B66" s="773">
        <f>+geral!M76</f>
        <v>5.8</v>
      </c>
      <c r="C66" s="748">
        <f t="shared" si="0"/>
        <v>134.88372093023256</v>
      </c>
      <c r="D66" s="750">
        <f t="shared" si="1"/>
        <v>2.2927689594356204</v>
      </c>
      <c r="E66" s="750">
        <f t="shared" si="8"/>
        <v>2.2927689594356204</v>
      </c>
      <c r="F66" s="751">
        <f t="shared" si="3"/>
        <v>9.6408317580340288</v>
      </c>
      <c r="G66" s="840">
        <f t="shared" si="5"/>
        <v>8.8180112570356517</v>
      </c>
      <c r="H66" s="842">
        <f>$B$322/B66</f>
        <v>4.3078817733990151</v>
      </c>
    </row>
    <row r="67" spans="1:8" ht="16.5" hidden="1" customHeight="1" thickBot="1">
      <c r="A67" s="973" t="s">
        <v>582</v>
      </c>
      <c r="B67" s="773">
        <f>+geral!M77</f>
        <v>5.7</v>
      </c>
      <c r="C67" s="748">
        <f t="shared" si="0"/>
        <v>132.55813953488374</v>
      </c>
      <c r="D67" s="750">
        <f t="shared" si="1"/>
        <v>-1.7241379310344751</v>
      </c>
      <c r="E67" s="750">
        <f t="shared" si="8"/>
        <v>0.52910052910053462</v>
      </c>
      <c r="F67" s="751">
        <f t="shared" si="3"/>
        <v>-1.7241379310344751</v>
      </c>
      <c r="G67" s="840">
        <f t="shared" si="5"/>
        <v>8.5714285714285854</v>
      </c>
      <c r="H67" s="842">
        <f>$B$322/B67</f>
        <v>4.3834586466165417</v>
      </c>
    </row>
    <row r="68" spans="1:8" ht="16.5" hidden="1" customHeight="1" thickBot="1">
      <c r="A68" s="973" t="s">
        <v>583</v>
      </c>
      <c r="B68" s="773">
        <f>+geral!M78</f>
        <v>5.85</v>
      </c>
      <c r="C68" s="748">
        <f t="shared" si="0"/>
        <v>136.04651162790699</v>
      </c>
      <c r="D68" s="750">
        <f t="shared" si="1"/>
        <v>2.631578947368407</v>
      </c>
      <c r="E68" s="750">
        <f t="shared" si="8"/>
        <v>3.1746031746031633</v>
      </c>
      <c r="F68" s="751">
        <f t="shared" si="3"/>
        <v>-10.000000000000009</v>
      </c>
      <c r="G68" s="840">
        <f t="shared" si="5"/>
        <v>-10.687022900763365</v>
      </c>
      <c r="H68" s="842">
        <f>$B$322/B68</f>
        <v>4.2710622710622719</v>
      </c>
    </row>
    <row r="69" spans="1:8" ht="16.5" hidden="1" customHeight="1" thickBot="1">
      <c r="A69" s="973" t="s">
        <v>584</v>
      </c>
      <c r="B69" s="773">
        <f>+geral!M79</f>
        <v>5.47</v>
      </c>
      <c r="C69" s="748">
        <f t="shared" si="0"/>
        <v>127.2093023255814</v>
      </c>
      <c r="D69" s="750">
        <f t="shared" si="1"/>
        <v>-6.4957264957264949</v>
      </c>
      <c r="E69" s="750">
        <f t="shared" si="8"/>
        <v>-3.5273368606701938</v>
      </c>
      <c r="F69" s="751">
        <f t="shared" si="3"/>
        <v>-5.0347222222222214</v>
      </c>
      <c r="G69" s="840">
        <f t="shared" si="5"/>
        <v>7.8895463510848085</v>
      </c>
      <c r="H69" s="842">
        <f>$B$322/B69</f>
        <v>4.5677722642987728</v>
      </c>
    </row>
    <row r="70" spans="1:8" ht="16.5" hidden="1" customHeight="1" thickBot="1">
      <c r="A70" s="973" t="s">
        <v>585</v>
      </c>
      <c r="B70" s="773">
        <f>+geral!M80</f>
        <v>5.75</v>
      </c>
      <c r="C70" s="748">
        <f t="shared" si="0"/>
        <v>133.72093023255815</v>
      </c>
      <c r="D70" s="750">
        <f t="shared" si="1"/>
        <v>5.1188299817184646</v>
      </c>
      <c r="E70" s="750">
        <f t="shared" si="8"/>
        <v>1.4109347442680775</v>
      </c>
      <c r="F70" s="751">
        <f t="shared" si="3"/>
        <v>-0.17361111111110494</v>
      </c>
      <c r="G70" s="840">
        <f t="shared" si="5"/>
        <v>-7.5562700964630132</v>
      </c>
      <c r="H70" s="842">
        <f>$B$322/B70</f>
        <v>4.3453416149068325</v>
      </c>
    </row>
    <row r="71" spans="1:8" ht="16.5" hidden="1" customHeight="1" thickBot="1">
      <c r="A71" s="973" t="s">
        <v>586</v>
      </c>
      <c r="B71" s="773">
        <f>+geral!M81</f>
        <v>5.08</v>
      </c>
      <c r="C71" s="748">
        <f t="shared" si="0"/>
        <v>118.13953488372094</v>
      </c>
      <c r="D71" s="750">
        <f t="shared" si="1"/>
        <v>-11.652173913043473</v>
      </c>
      <c r="E71" s="750">
        <f t="shared" si="8"/>
        <v>-10.405643738977066</v>
      </c>
      <c r="F71" s="751">
        <f t="shared" si="3"/>
        <v>-7.9710144927536142</v>
      </c>
      <c r="G71" s="840">
        <f t="shared" si="5"/>
        <v>-4.6904315196998114</v>
      </c>
      <c r="H71" s="842">
        <f>$B$322/B71</f>
        <v>4.9184476940382451</v>
      </c>
    </row>
    <row r="72" spans="1:8" ht="16.5" hidden="1" customHeight="1" thickBot="1">
      <c r="A72" s="973" t="s">
        <v>587</v>
      </c>
      <c r="B72" s="773">
        <f>+geral!M82</f>
        <v>5.66</v>
      </c>
      <c r="C72" s="748">
        <f t="shared" si="0"/>
        <v>131.62790697674419</v>
      </c>
      <c r="D72" s="750">
        <f t="shared" si="1"/>
        <v>11.41732283464567</v>
      </c>
      <c r="E72" s="750">
        <f t="shared" si="8"/>
        <v>-0.17636684303350414</v>
      </c>
      <c r="F72" s="751">
        <f t="shared" si="3"/>
        <v>-4.5531197301854949</v>
      </c>
      <c r="G72" s="840">
        <f t="shared" si="5"/>
        <v>-2.9159519725557415</v>
      </c>
      <c r="H72" s="842">
        <f>$B$322/B72</f>
        <v>4.4144371529530542</v>
      </c>
    </row>
    <row r="73" spans="1:8" ht="16.5" hidden="1" customHeight="1" thickBot="1">
      <c r="A73" s="973" t="s">
        <v>588</v>
      </c>
      <c r="B73" s="773">
        <f>+geral!M83</f>
        <v>6.1</v>
      </c>
      <c r="C73" s="748">
        <f t="shared" si="0"/>
        <v>141.86046511627907</v>
      </c>
      <c r="D73" s="750">
        <f t="shared" si="1"/>
        <v>7.7738515901059957</v>
      </c>
      <c r="E73" s="750">
        <f t="shared" si="8"/>
        <v>7.5837742504409222</v>
      </c>
      <c r="F73" s="751">
        <f t="shared" si="3"/>
        <v>7.5837742504409222</v>
      </c>
      <c r="G73" s="840">
        <f t="shared" si="5"/>
        <v>8.9285714285714199</v>
      </c>
      <c r="H73" s="842">
        <f>$B$322/B73</f>
        <v>4.096018735362998</v>
      </c>
    </row>
    <row r="74" spans="1:8" ht="16.5" hidden="1" customHeight="1" thickBot="1">
      <c r="A74" s="973" t="s">
        <v>574</v>
      </c>
      <c r="B74" s="773">
        <f>+geral!C87</f>
        <v>5.8</v>
      </c>
      <c r="C74" s="748">
        <f t="shared" ref="C74:C86" si="9">100*B74/$B$8</f>
        <v>134.88372093023256</v>
      </c>
      <c r="D74" s="750">
        <f t="shared" ref="D74:D86" si="10">100*((B74/B73)-1)</f>
        <v>-4.9180327868852398</v>
      </c>
      <c r="E74" s="750">
        <f>100*((B74/$B$73)-1)</f>
        <v>-4.9180327868852398</v>
      </c>
      <c r="F74" s="751">
        <f t="shared" si="3"/>
        <v>-1.6949152542372947</v>
      </c>
      <c r="G74" s="840">
        <f t="shared" si="5"/>
        <v>-10.355486862442042</v>
      </c>
      <c r="H74" s="842">
        <f>$B$322/B74</f>
        <v>4.3078817733990151</v>
      </c>
    </row>
    <row r="75" spans="1:8" ht="16.5" hidden="1" customHeight="1" thickBot="1">
      <c r="A75" s="973" t="s">
        <v>575</v>
      </c>
      <c r="B75" s="773">
        <f>+geral!C88</f>
        <v>5.33</v>
      </c>
      <c r="C75" s="748">
        <f t="shared" si="9"/>
        <v>123.95348837209303</v>
      </c>
      <c r="D75" s="750">
        <f t="shared" si="10"/>
        <v>-8.1034482758620676</v>
      </c>
      <c r="E75" s="750">
        <f t="shared" ref="E75:E82" si="11">100*((B75/$B$73)-1)</f>
        <v>-12.622950819672131</v>
      </c>
      <c r="F75" s="751">
        <f t="shared" si="3"/>
        <v>-0.55970149253732338</v>
      </c>
      <c r="G75" s="840">
        <f t="shared" si="5"/>
        <v>-1.6605166051660514</v>
      </c>
      <c r="H75" s="842">
        <f>$B$322/B75</f>
        <v>4.6877512731171267</v>
      </c>
    </row>
    <row r="76" spans="1:8" ht="16.5" hidden="1" customHeight="1" thickBot="1">
      <c r="A76" s="973" t="s">
        <v>576</v>
      </c>
      <c r="B76" s="773">
        <f>+geral!C89</f>
        <v>5.72</v>
      </c>
      <c r="C76" s="748">
        <f t="shared" si="9"/>
        <v>133.02325581395348</v>
      </c>
      <c r="D76" s="750">
        <f t="shared" si="10"/>
        <v>7.3170731707316916</v>
      </c>
      <c r="E76" s="750">
        <f t="shared" si="11"/>
        <v>-6.2295081967213122</v>
      </c>
      <c r="F76" s="751">
        <f t="shared" si="3"/>
        <v>1.9607843137254832</v>
      </c>
      <c r="G76" s="840">
        <f t="shared" si="5"/>
        <v>8.9523809523809561</v>
      </c>
      <c r="H76" s="842">
        <f>$B$322/B76</f>
        <v>4.3681318681318686</v>
      </c>
    </row>
    <row r="77" spans="1:8" ht="16.5" hidden="1" customHeight="1" thickBot="1">
      <c r="A77" s="973" t="s">
        <v>557</v>
      </c>
      <c r="B77" s="773">
        <f>+geral!C90</f>
        <v>5.6</v>
      </c>
      <c r="C77" s="748">
        <f t="shared" si="9"/>
        <v>130.23255813953489</v>
      </c>
      <c r="D77" s="750">
        <f t="shared" si="10"/>
        <v>-2.0979020979021046</v>
      </c>
      <c r="E77" s="750">
        <f t="shared" si="11"/>
        <v>-8.1967213114754074</v>
      </c>
      <c r="F77" s="751">
        <f t="shared" si="3"/>
        <v>-1.2345679012345734</v>
      </c>
      <c r="G77" s="840">
        <f t="shared" si="5"/>
        <v>-1.4084507042253502</v>
      </c>
      <c r="H77" s="842">
        <f>$B$322/B77</f>
        <v>4.4617346938775517</v>
      </c>
    </row>
    <row r="78" spans="1:8" ht="16.5" hidden="1" customHeight="1" thickBot="1">
      <c r="A78" s="973" t="s">
        <v>558</v>
      </c>
      <c r="B78" s="773">
        <f>+geral!C91</f>
        <v>5.3</v>
      </c>
      <c r="C78" s="748">
        <f t="shared" si="9"/>
        <v>123.25581395348837</v>
      </c>
      <c r="D78" s="750">
        <f t="shared" si="10"/>
        <v>-5.3571428571428488</v>
      </c>
      <c r="E78" s="750">
        <f t="shared" si="11"/>
        <v>-13.114754098360649</v>
      </c>
      <c r="F78" s="751">
        <f t="shared" si="3"/>
        <v>-8.6206896551724093</v>
      </c>
      <c r="G78" s="840">
        <f t="shared" si="5"/>
        <v>0.1890359168241984</v>
      </c>
      <c r="H78" s="842">
        <f>$B$322/B78</f>
        <v>4.7142857142857144</v>
      </c>
    </row>
    <row r="79" spans="1:8" ht="16.5" hidden="1" customHeight="1" thickBot="1">
      <c r="A79" s="973" t="s">
        <v>559</v>
      </c>
      <c r="B79" s="773">
        <f>+geral!C92</f>
        <v>6.2</v>
      </c>
      <c r="C79" s="748">
        <f t="shared" si="9"/>
        <v>144.18604651162792</v>
      </c>
      <c r="D79" s="750">
        <f t="shared" si="10"/>
        <v>16.981132075471695</v>
      </c>
      <c r="E79" s="750">
        <f t="shared" si="11"/>
        <v>1.6393442622950838</v>
      </c>
      <c r="F79" s="751">
        <f t="shared" si="3"/>
        <v>8.7719298245614077</v>
      </c>
      <c r="G79" s="840">
        <f t="shared" si="5"/>
        <v>6.8965517241379448</v>
      </c>
      <c r="H79" s="842">
        <f>$B$322/B79</f>
        <v>4.0299539170506913</v>
      </c>
    </row>
    <row r="80" spans="1:8" ht="16.5" hidden="1" customHeight="1" thickBot="1">
      <c r="A80" s="973" t="s">
        <v>560</v>
      </c>
      <c r="B80" s="773">
        <f>+geral!C93</f>
        <v>5.0999999999999996</v>
      </c>
      <c r="C80" s="748">
        <f t="shared" si="9"/>
        <v>118.60465116279069</v>
      </c>
      <c r="D80" s="750">
        <f t="shared" si="10"/>
        <v>-17.741935483870975</v>
      </c>
      <c r="E80" s="750">
        <f t="shared" si="11"/>
        <v>-16.393442622950815</v>
      </c>
      <c r="F80" s="751">
        <f t="shared" si="3"/>
        <v>-12.820512820512819</v>
      </c>
      <c r="G80" s="840">
        <f t="shared" si="5"/>
        <v>-21.53846153846154</v>
      </c>
      <c r="H80" s="842">
        <f>$B$322/B80</f>
        <v>4.8991596638655466</v>
      </c>
    </row>
    <row r="81" spans="1:8" ht="16.5" hidden="1" customHeight="1" thickBot="1">
      <c r="A81" s="973" t="s">
        <v>561</v>
      </c>
      <c r="B81" s="773">
        <f>+geral!C94</f>
        <v>5.83</v>
      </c>
      <c r="C81" s="748">
        <f t="shared" si="9"/>
        <v>135.58139534883722</v>
      </c>
      <c r="D81" s="750">
        <f t="shared" si="10"/>
        <v>14.313725490196095</v>
      </c>
      <c r="E81" s="750">
        <f t="shared" si="11"/>
        <v>-4.4262295081967107</v>
      </c>
      <c r="F81" s="751">
        <f t="shared" si="3"/>
        <v>6.5813528336380323</v>
      </c>
      <c r="G81" s="840">
        <f t="shared" si="5"/>
        <v>1.2152777777777901</v>
      </c>
      <c r="H81" s="842">
        <f>$B$322/B81</f>
        <v>4.2857142857142856</v>
      </c>
    </row>
    <row r="82" spans="1:8" ht="16.5" hidden="1" customHeight="1" thickBot="1">
      <c r="A82" s="973" t="s">
        <v>562</v>
      </c>
      <c r="B82" s="773">
        <f>+geral!C95</f>
        <v>5.45</v>
      </c>
      <c r="C82" s="748">
        <f t="shared" si="9"/>
        <v>126.74418604651163</v>
      </c>
      <c r="D82" s="750">
        <f t="shared" si="10"/>
        <v>-6.5180102915951998</v>
      </c>
      <c r="E82" s="750">
        <f t="shared" si="11"/>
        <v>-10.655737704918023</v>
      </c>
      <c r="F82" s="751">
        <f t="shared" si="3"/>
        <v>-5.2173913043478182</v>
      </c>
      <c r="G82" s="840">
        <f t="shared" si="5"/>
        <v>-5.381944444444442</v>
      </c>
      <c r="H82" s="842">
        <f>$B$322/B82</f>
        <v>4.5845347313237221</v>
      </c>
    </row>
    <row r="83" spans="1:8" ht="16.5" hidden="1" customHeight="1" thickBot="1">
      <c r="A83" s="973" t="s">
        <v>534</v>
      </c>
      <c r="B83" s="773">
        <f>+geral!C96</f>
        <v>5.13</v>
      </c>
      <c r="C83" s="748">
        <f t="shared" si="9"/>
        <v>119.30232558139535</v>
      </c>
      <c r="D83" s="750">
        <f t="shared" si="10"/>
        <v>-5.8715596330275233</v>
      </c>
      <c r="E83" s="750">
        <f>100*((B83/$B$73)-1)</f>
        <v>-15.901639344262296</v>
      </c>
      <c r="F83" s="751">
        <f t="shared" si="3"/>
        <v>0.98425196850393526</v>
      </c>
      <c r="G83" s="840">
        <f t="shared" si="5"/>
        <v>-7.0652173913043459</v>
      </c>
      <c r="H83" s="842">
        <f>$B$322/B83</f>
        <v>4.8705096073517131</v>
      </c>
    </row>
    <row r="84" spans="1:8" ht="16.5" hidden="1" customHeight="1" thickBot="1">
      <c r="A84" s="973" t="s">
        <v>563</v>
      </c>
      <c r="B84" s="773">
        <f>+geral!C97</f>
        <v>5.66</v>
      </c>
      <c r="C84" s="748">
        <f t="shared" si="9"/>
        <v>131.62790697674419</v>
      </c>
      <c r="D84" s="750">
        <f t="shared" si="10"/>
        <v>10.331384015594548</v>
      </c>
      <c r="E84" s="750">
        <f>100*((B84/$B$73)-1)</f>
        <v>-7.2131147540983491</v>
      </c>
      <c r="F84" s="751">
        <f t="shared" si="3"/>
        <v>0</v>
      </c>
      <c r="G84" s="840">
        <f t="shared" si="5"/>
        <v>-4.5531197301854949</v>
      </c>
      <c r="H84" s="842">
        <f>$B$322/B84</f>
        <v>4.4144371529530542</v>
      </c>
    </row>
    <row r="85" spans="1:8" ht="16.5" hidden="1" customHeight="1" thickBot="1">
      <c r="A85" s="973" t="s">
        <v>564</v>
      </c>
      <c r="B85" s="773">
        <f>+geral!C98</f>
        <v>5.56</v>
      </c>
      <c r="C85" s="748">
        <f t="shared" si="9"/>
        <v>129.30232558139537</v>
      </c>
      <c r="D85" s="750">
        <f t="shared" si="10"/>
        <v>-1.7667844522968323</v>
      </c>
      <c r="E85" s="750">
        <f>100*((B85/$B$73)-1)</f>
        <v>-8.8524590163934427</v>
      </c>
      <c r="F85" s="751">
        <f t="shared" ref="F85:F90" si="12">100*((B85/B73)-1)</f>
        <v>-8.8524590163934427</v>
      </c>
      <c r="G85" s="840">
        <f t="shared" si="5"/>
        <v>-1.9400352733686121</v>
      </c>
      <c r="H85" s="842">
        <f>$B$322/B85</f>
        <v>4.4938335046248721</v>
      </c>
    </row>
    <row r="86" spans="1:8" ht="16.5" hidden="1" thickBot="1">
      <c r="A86" s="973" t="s">
        <v>546</v>
      </c>
      <c r="B86" s="773">
        <f>+geral!E87</f>
        <v>5.46</v>
      </c>
      <c r="C86" s="748">
        <f t="shared" si="9"/>
        <v>126.97674418604652</v>
      </c>
      <c r="D86" s="750">
        <f t="shared" si="10"/>
        <v>-1.7985611510791255</v>
      </c>
      <c r="E86" s="750">
        <f t="shared" ref="E86:E91" si="13">100*((B86/$B$85)-1)</f>
        <v>-1.7985611510791255</v>
      </c>
      <c r="F86" s="751">
        <f t="shared" si="12"/>
        <v>-5.862068965517242</v>
      </c>
      <c r="G86" s="840">
        <f t="shared" si="5"/>
        <v>-7.4576271186440728</v>
      </c>
      <c r="H86" s="842">
        <f>$B$322/B86</f>
        <v>4.5761381475667191</v>
      </c>
    </row>
    <row r="87" spans="1:8" ht="16.5" hidden="1" thickBot="1">
      <c r="A87" s="973" t="s">
        <v>547</v>
      </c>
      <c r="B87" s="773">
        <f>+geral!E88</f>
        <v>5.63</v>
      </c>
      <c r="C87" s="748">
        <f t="shared" ref="C87:C94" si="14">100*B87/$B$8</f>
        <v>130.93023255813955</v>
      </c>
      <c r="D87" s="750">
        <f t="shared" ref="D87:D92" si="15">100*((B87/B86)-1)</f>
        <v>3.1135531135531025</v>
      </c>
      <c r="E87" s="750">
        <f t="shared" si="13"/>
        <v>1.2589928057554101</v>
      </c>
      <c r="F87" s="751">
        <f t="shared" si="12"/>
        <v>5.6285178236397782</v>
      </c>
      <c r="G87" s="840">
        <f t="shared" si="5"/>
        <v>5.0373134328358216</v>
      </c>
      <c r="H87" s="842">
        <f>$B$322/B87</f>
        <v>4.4379599086526262</v>
      </c>
    </row>
    <row r="88" spans="1:8" ht="16.5" hidden="1" thickBot="1">
      <c r="A88" s="973" t="s">
        <v>548</v>
      </c>
      <c r="B88" s="773">
        <f>+geral!E89</f>
        <v>5.5</v>
      </c>
      <c r="C88" s="748">
        <f t="shared" si="14"/>
        <v>127.90697674418605</v>
      </c>
      <c r="D88" s="750">
        <f t="shared" si="15"/>
        <v>-2.3090586145648295</v>
      </c>
      <c r="E88" s="750">
        <f t="shared" si="13"/>
        <v>-1.0791366906474753</v>
      </c>
      <c r="F88" s="751">
        <f t="shared" si="12"/>
        <v>-3.8461538461538436</v>
      </c>
      <c r="G88" s="840">
        <f t="shared" si="5"/>
        <v>-1.9607843137254943</v>
      </c>
      <c r="H88" s="842">
        <f>$B$322/B88</f>
        <v>4.5428571428571436</v>
      </c>
    </row>
    <row r="89" spans="1:8" ht="16.5" hidden="1" thickBot="1">
      <c r="A89" s="973" t="s">
        <v>549</v>
      </c>
      <c r="B89" s="773">
        <f>+geral!E90</f>
        <v>4.83</v>
      </c>
      <c r="C89" s="748">
        <f t="shared" si="14"/>
        <v>112.32558139534885</v>
      </c>
      <c r="D89" s="750">
        <f t="shared" si="15"/>
        <v>-12.181818181818183</v>
      </c>
      <c r="E89" s="750">
        <f t="shared" si="13"/>
        <v>-13.129496402877693</v>
      </c>
      <c r="F89" s="751">
        <f t="shared" si="12"/>
        <v>-13.749999999999996</v>
      </c>
      <c r="G89" s="840">
        <f t="shared" si="5"/>
        <v>-14.814814814814813</v>
      </c>
      <c r="H89" s="842">
        <f>$B$322/B89</f>
        <v>5.1730257320319435</v>
      </c>
    </row>
    <row r="90" spans="1:8" ht="16.5" hidden="1" thickBot="1">
      <c r="A90" s="973" t="s">
        <v>550</v>
      </c>
      <c r="B90" s="773">
        <f>+geral!E91</f>
        <v>5.75</v>
      </c>
      <c r="C90" s="748">
        <f t="shared" si="14"/>
        <v>133.72093023255815</v>
      </c>
      <c r="D90" s="750">
        <f t="shared" si="15"/>
        <v>19.047619047619047</v>
      </c>
      <c r="E90" s="750">
        <f t="shared" si="13"/>
        <v>3.4172661870503607</v>
      </c>
      <c r="F90" s="751">
        <f t="shared" si="12"/>
        <v>8.4905660377358583</v>
      </c>
      <c r="G90" s="840">
        <f t="shared" si="5"/>
        <v>-0.86206896551723755</v>
      </c>
      <c r="H90" s="842">
        <f>$B$322/B90</f>
        <v>4.3453416149068325</v>
      </c>
    </row>
    <row r="91" spans="1:8" ht="16.5" hidden="1" thickBot="1">
      <c r="A91" s="973" t="s">
        <v>551</v>
      </c>
      <c r="B91" s="773">
        <f>+geral!E92</f>
        <v>6</v>
      </c>
      <c r="C91" s="748">
        <f t="shared" si="14"/>
        <v>139.53488372093022</v>
      </c>
      <c r="D91" s="750">
        <f t="shared" si="15"/>
        <v>4.3478260869565188</v>
      </c>
      <c r="E91" s="750">
        <f t="shared" si="13"/>
        <v>7.9136690647482189</v>
      </c>
      <c r="F91" s="751">
        <f t="shared" ref="F91:F96" si="16">100*((B91/B79)-1)</f>
        <v>-3.2258064516129115</v>
      </c>
      <c r="G91" s="840">
        <f t="shared" si="5"/>
        <v>5.2631578947368363</v>
      </c>
      <c r="H91" s="842">
        <f>$B$322/B91</f>
        <v>4.1642857142857146</v>
      </c>
    </row>
    <row r="92" spans="1:8" ht="16.5" hidden="1" thickBot="1">
      <c r="A92" s="973" t="s">
        <v>552</v>
      </c>
      <c r="B92" s="773">
        <f>+geral!E93</f>
        <v>5.75</v>
      </c>
      <c r="C92" s="748">
        <f t="shared" si="14"/>
        <v>133.72093023255815</v>
      </c>
      <c r="D92" s="750">
        <f t="shared" si="15"/>
        <v>-4.1666666666666625</v>
      </c>
      <c r="E92" s="750">
        <f t="shared" ref="E92:E97" si="17">100*((B92/$B$85)-1)</f>
        <v>3.4172661870503607</v>
      </c>
      <c r="F92" s="751">
        <f t="shared" si="16"/>
        <v>12.745098039215685</v>
      </c>
      <c r="G92" s="840">
        <f t="shared" si="5"/>
        <v>-1.7094017094017033</v>
      </c>
      <c r="H92" s="842">
        <f>$B$322/B92</f>
        <v>4.3453416149068325</v>
      </c>
    </row>
    <row r="93" spans="1:8" ht="16.5" hidden="1" thickBot="1">
      <c r="A93" s="973" t="s">
        <v>553</v>
      </c>
      <c r="B93" s="773">
        <f>+geral!E94</f>
        <v>5.75</v>
      </c>
      <c r="C93" s="748">
        <f t="shared" si="14"/>
        <v>133.72093023255815</v>
      </c>
      <c r="D93" s="750">
        <f t="shared" ref="D93:D98" si="18">100*((B93/B92)-1)</f>
        <v>0</v>
      </c>
      <c r="E93" s="750">
        <f t="shared" si="17"/>
        <v>3.4172661870503607</v>
      </c>
      <c r="F93" s="751">
        <f t="shared" si="16"/>
        <v>-1.3722126929674117</v>
      </c>
      <c r="G93" s="840">
        <f t="shared" si="5"/>
        <v>5.1188299817184646</v>
      </c>
      <c r="H93" s="842">
        <f>$B$322/B93</f>
        <v>4.3453416149068325</v>
      </c>
    </row>
    <row r="94" spans="1:8" ht="16.5" hidden="1" thickBot="1">
      <c r="A94" s="973" t="s">
        <v>554</v>
      </c>
      <c r="B94" s="773">
        <f>+geral!E95</f>
        <v>5.75</v>
      </c>
      <c r="C94" s="748">
        <f t="shared" si="14"/>
        <v>133.72093023255815</v>
      </c>
      <c r="D94" s="750">
        <f t="shared" si="18"/>
        <v>0</v>
      </c>
      <c r="E94" s="750">
        <f t="shared" si="17"/>
        <v>3.4172661870503607</v>
      </c>
      <c r="F94" s="751">
        <f t="shared" si="16"/>
        <v>5.504587155963292</v>
      </c>
      <c r="G94" s="840">
        <f t="shared" si="5"/>
        <v>0</v>
      </c>
      <c r="H94" s="842">
        <f>$B$322/B94</f>
        <v>4.3453416149068325</v>
      </c>
    </row>
    <row r="95" spans="1:8" ht="16.5" hidden="1" thickBot="1">
      <c r="A95" s="973" t="s">
        <v>533</v>
      </c>
      <c r="B95" s="773">
        <f>+geral!E96</f>
        <v>5.85</v>
      </c>
      <c r="C95" s="748">
        <f t="shared" ref="C95:C100" si="19">100*B95/$B$8</f>
        <v>136.04651162790699</v>
      </c>
      <c r="D95" s="750">
        <f t="shared" si="18"/>
        <v>1.7391304347825987</v>
      </c>
      <c r="E95" s="750">
        <f t="shared" si="17"/>
        <v>5.2158273381295084</v>
      </c>
      <c r="F95" s="751">
        <f t="shared" si="16"/>
        <v>14.035087719298245</v>
      </c>
      <c r="G95" s="840">
        <f t="shared" si="5"/>
        <v>15.157480314960626</v>
      </c>
      <c r="H95" s="842">
        <f>$B$322/B95</f>
        <v>4.2710622710622719</v>
      </c>
    </row>
    <row r="96" spans="1:8" ht="16.5" hidden="1" thickBot="1">
      <c r="A96" s="973" t="s">
        <v>555</v>
      </c>
      <c r="B96" s="773">
        <f>+geral!E97</f>
        <v>5.83</v>
      </c>
      <c r="C96" s="748">
        <f t="shared" si="19"/>
        <v>135.58139534883722</v>
      </c>
      <c r="D96" s="750">
        <f t="shared" si="18"/>
        <v>-0.34188034188032956</v>
      </c>
      <c r="E96" s="750">
        <f t="shared" si="17"/>
        <v>4.8561151079136833</v>
      </c>
      <c r="F96" s="751">
        <f t="shared" si="16"/>
        <v>3.0035335689045928</v>
      </c>
      <c r="G96" s="840">
        <f t="shared" si="5"/>
        <v>3.0035335689045928</v>
      </c>
      <c r="H96" s="842">
        <f>$B$322/B96</f>
        <v>4.2857142857142856</v>
      </c>
    </row>
    <row r="97" spans="1:8" ht="16.5" hidden="1" thickBot="1">
      <c r="A97" s="973" t="s">
        <v>556</v>
      </c>
      <c r="B97" s="773">
        <f>+geral!E98</f>
        <v>5.63</v>
      </c>
      <c r="C97" s="748">
        <f t="shared" si="19"/>
        <v>130.93023255813955</v>
      </c>
      <c r="D97" s="750">
        <f t="shared" si="18"/>
        <v>-3.4305317324185292</v>
      </c>
      <c r="E97" s="750">
        <f t="shared" si="17"/>
        <v>1.2589928057554101</v>
      </c>
      <c r="F97" s="751">
        <f t="shared" ref="F97:F102" si="20">100*((B97/B85)-1)</f>
        <v>1.2589928057554101</v>
      </c>
      <c r="G97" s="840">
        <f t="shared" ref="G97:G110" si="21">100*(B97/B73-1)</f>
        <v>-7.7049180327868783</v>
      </c>
      <c r="H97" s="842">
        <f>$B$322/B97</f>
        <v>4.4379599086526262</v>
      </c>
    </row>
    <row r="98" spans="1:8" ht="16.5" hidden="1" thickBot="1">
      <c r="A98" s="973" t="s">
        <v>535</v>
      </c>
      <c r="B98" s="773">
        <f>+geral!G87</f>
        <v>6.48</v>
      </c>
      <c r="C98" s="748">
        <f t="shared" si="19"/>
        <v>150.69767441860466</v>
      </c>
      <c r="D98" s="750">
        <f t="shared" si="18"/>
        <v>15.097690941385444</v>
      </c>
      <c r="E98" s="750">
        <f t="shared" ref="E98:E103" si="22">100*((B98/$B$97)-1)</f>
        <v>15.097690941385444</v>
      </c>
      <c r="F98" s="751">
        <f t="shared" si="20"/>
        <v>18.681318681318682</v>
      </c>
      <c r="G98" s="840">
        <f t="shared" si="21"/>
        <v>11.724137931034484</v>
      </c>
      <c r="H98" s="842">
        <f>$B$322/B98</f>
        <v>3.855820105820106</v>
      </c>
    </row>
    <row r="99" spans="1:8" ht="16.5" hidden="1" thickBot="1">
      <c r="A99" s="973" t="s">
        <v>536</v>
      </c>
      <c r="B99" s="773">
        <f>+geral!G88</f>
        <v>6.3</v>
      </c>
      <c r="C99" s="748">
        <f t="shared" si="19"/>
        <v>146.51162790697674</v>
      </c>
      <c r="D99" s="750">
        <f t="shared" ref="D99:D104" si="23">100*((B99/B98)-1)</f>
        <v>-2.7777777777777901</v>
      </c>
      <c r="E99" s="750">
        <f t="shared" si="22"/>
        <v>11.90053285968029</v>
      </c>
      <c r="F99" s="751">
        <f t="shared" si="20"/>
        <v>11.90053285968029</v>
      </c>
      <c r="G99" s="840">
        <f t="shared" si="21"/>
        <v>18.198874296435275</v>
      </c>
      <c r="H99" s="842">
        <f>$B$322/B99</f>
        <v>3.9659863945578233</v>
      </c>
    </row>
    <row r="100" spans="1:8" ht="16.5" hidden="1" thickBot="1">
      <c r="A100" s="973" t="s">
        <v>537</v>
      </c>
      <c r="B100" s="773">
        <f>+geral!G89</f>
        <v>5.6</v>
      </c>
      <c r="C100" s="748">
        <f t="shared" si="19"/>
        <v>130.23255813953489</v>
      </c>
      <c r="D100" s="750">
        <f t="shared" si="23"/>
        <v>-11.111111111111116</v>
      </c>
      <c r="E100" s="750">
        <f t="shared" si="22"/>
        <v>-0.53285968028419228</v>
      </c>
      <c r="F100" s="751">
        <f t="shared" si="20"/>
        <v>1.8181818181818077</v>
      </c>
      <c r="G100" s="840">
        <f t="shared" si="21"/>
        <v>-2.0979020979021046</v>
      </c>
      <c r="H100" s="842">
        <f>$B$322/B100</f>
        <v>4.4617346938775517</v>
      </c>
    </row>
    <row r="101" spans="1:8" ht="16.5" hidden="1" thickBot="1">
      <c r="A101" s="973" t="s">
        <v>538</v>
      </c>
      <c r="B101" s="773">
        <f>+geral!G90</f>
        <v>5.98</v>
      </c>
      <c r="C101" s="748">
        <f t="shared" ref="C101:C109" si="24">100*B101/$B$8</f>
        <v>139.06976744186048</v>
      </c>
      <c r="D101" s="750">
        <f t="shared" si="23"/>
        <v>6.785714285714306</v>
      </c>
      <c r="E101" s="750">
        <f t="shared" si="22"/>
        <v>6.216696269982247</v>
      </c>
      <c r="F101" s="751">
        <f t="shared" si="20"/>
        <v>23.809523809523814</v>
      </c>
      <c r="G101" s="840">
        <f t="shared" si="21"/>
        <v>6.785714285714306</v>
      </c>
      <c r="H101" s="842">
        <f>$B$322/B101</f>
        <v>4.1782130912565698</v>
      </c>
    </row>
    <row r="102" spans="1:8" ht="16.5" hidden="1" thickBot="1">
      <c r="A102" s="973" t="s">
        <v>539</v>
      </c>
      <c r="B102" s="773">
        <f>+geral!G91</f>
        <v>6.23</v>
      </c>
      <c r="C102" s="748">
        <f t="shared" si="24"/>
        <v>144.88372093023256</v>
      </c>
      <c r="D102" s="750">
        <f t="shared" si="23"/>
        <v>4.1806020066889715</v>
      </c>
      <c r="E102" s="750">
        <f t="shared" si="22"/>
        <v>10.657193605683846</v>
      </c>
      <c r="F102" s="751">
        <f t="shared" si="20"/>
        <v>8.3478260869565233</v>
      </c>
      <c r="G102" s="840">
        <f t="shared" si="21"/>
        <v>17.547169811320764</v>
      </c>
      <c r="H102" s="842">
        <f>$B$322/B102</f>
        <v>4.0105480394404953</v>
      </c>
    </row>
    <row r="103" spans="1:8" ht="16.5" hidden="1" thickBot="1">
      <c r="A103" s="973" t="s">
        <v>540</v>
      </c>
      <c r="B103" s="773">
        <f>+geral!G92</f>
        <v>5.98</v>
      </c>
      <c r="C103" s="748">
        <f t="shared" si="24"/>
        <v>139.06976744186048</v>
      </c>
      <c r="D103" s="750">
        <f t="shared" si="23"/>
        <v>-4.0128410914927803</v>
      </c>
      <c r="E103" s="750">
        <f t="shared" si="22"/>
        <v>6.216696269982247</v>
      </c>
      <c r="F103" s="751">
        <f t="shared" ref="F103:F108" si="25">100*((B103/B91)-1)</f>
        <v>-0.33333333333332993</v>
      </c>
      <c r="G103" s="840">
        <f t="shared" si="21"/>
        <v>-3.548387096774186</v>
      </c>
      <c r="H103" s="842">
        <f>$B$322/B103</f>
        <v>4.1782130912565698</v>
      </c>
    </row>
    <row r="104" spans="1:8" ht="16.5" hidden="1" thickBot="1">
      <c r="A104" s="973" t="s">
        <v>541</v>
      </c>
      <c r="B104" s="773">
        <f>+geral!G93</f>
        <v>5.98</v>
      </c>
      <c r="C104" s="748">
        <f t="shared" si="24"/>
        <v>139.06976744186048</v>
      </c>
      <c r="D104" s="750">
        <f t="shared" si="23"/>
        <v>0</v>
      </c>
      <c r="E104" s="750">
        <f t="shared" ref="E104:E109" si="26">100*((B104/$B$97)-1)</f>
        <v>6.216696269982247</v>
      </c>
      <c r="F104" s="751">
        <f t="shared" si="25"/>
        <v>4.0000000000000036</v>
      </c>
      <c r="G104" s="840">
        <f t="shared" si="21"/>
        <v>17.254901960784341</v>
      </c>
      <c r="H104" s="842">
        <f>$B$322/B104</f>
        <v>4.1782130912565698</v>
      </c>
    </row>
    <row r="105" spans="1:8" ht="16.5" hidden="1" thickBot="1">
      <c r="A105" s="973" t="s">
        <v>542</v>
      </c>
      <c r="B105" s="773">
        <f>+geral!G94</f>
        <v>5.88</v>
      </c>
      <c r="C105" s="748">
        <f t="shared" si="24"/>
        <v>136.74418604651163</v>
      </c>
      <c r="D105" s="750">
        <f t="shared" ref="D105:D110" si="27">100*((B105/B104)-1)</f>
        <v>-1.6722408026755953</v>
      </c>
      <c r="E105" s="750">
        <f t="shared" si="26"/>
        <v>4.4404973357015987</v>
      </c>
      <c r="F105" s="751">
        <f t="shared" si="25"/>
        <v>2.2608695652173827</v>
      </c>
      <c r="G105" s="840">
        <f t="shared" si="21"/>
        <v>0.85763293310463506</v>
      </c>
      <c r="H105" s="842">
        <f>$B$322/B105</f>
        <v>4.2492711370262395</v>
      </c>
    </row>
    <row r="106" spans="1:8" ht="16.5" hidden="1" thickBot="1">
      <c r="A106" s="973" t="s">
        <v>543</v>
      </c>
      <c r="B106" s="773">
        <f>+geral!G95</f>
        <v>6.28</v>
      </c>
      <c r="C106" s="748">
        <f t="shared" si="24"/>
        <v>146.04651162790699</v>
      </c>
      <c r="D106" s="750">
        <f t="shared" si="27"/>
        <v>6.8027210884353817</v>
      </c>
      <c r="E106" s="750">
        <f t="shared" si="26"/>
        <v>11.545293072824169</v>
      </c>
      <c r="F106" s="751">
        <f t="shared" si="25"/>
        <v>9.2173913043478208</v>
      </c>
      <c r="G106" s="840">
        <f t="shared" si="21"/>
        <v>15.229357798165143</v>
      </c>
      <c r="H106" s="842">
        <f>$B$322/B106</f>
        <v>3.978616924476797</v>
      </c>
    </row>
    <row r="107" spans="1:8" ht="16.5" hidden="1" thickBot="1">
      <c r="A107" s="973" t="s">
        <v>532</v>
      </c>
      <c r="B107" s="773">
        <f>+geral!G96</f>
        <v>6.08</v>
      </c>
      <c r="C107" s="748">
        <f t="shared" si="24"/>
        <v>141.3953488372093</v>
      </c>
      <c r="D107" s="750">
        <f t="shared" si="27"/>
        <v>-3.1847133757961776</v>
      </c>
      <c r="E107" s="750">
        <f t="shared" si="26"/>
        <v>7.9928952042628731</v>
      </c>
      <c r="F107" s="751">
        <f t="shared" si="25"/>
        <v>3.9316239316239399</v>
      </c>
      <c r="G107" s="840">
        <f t="shared" si="21"/>
        <v>18.518518518518512</v>
      </c>
      <c r="H107" s="842">
        <f>$B$322/B107</f>
        <v>4.1094924812030076</v>
      </c>
    </row>
    <row r="108" spans="1:8" ht="16.5" hidden="1" thickBot="1">
      <c r="A108" s="973" t="s">
        <v>544</v>
      </c>
      <c r="B108" s="773">
        <f>+geral!G97</f>
        <v>7.04</v>
      </c>
      <c r="C108" s="748">
        <f t="shared" si="24"/>
        <v>163.72093023255815</v>
      </c>
      <c r="D108" s="750">
        <f t="shared" si="27"/>
        <v>15.789473684210531</v>
      </c>
      <c r="E108" s="750">
        <f t="shared" si="26"/>
        <v>25.044404973357025</v>
      </c>
      <c r="F108" s="751">
        <f t="shared" si="25"/>
        <v>20.75471698113207</v>
      </c>
      <c r="G108" s="840">
        <f t="shared" si="21"/>
        <v>24.381625441696109</v>
      </c>
      <c r="H108" s="842">
        <f>$B$322/B108</f>
        <v>3.5491071428571432</v>
      </c>
    </row>
    <row r="109" spans="1:8" ht="16.5" hidden="1" thickBot="1">
      <c r="A109" s="973" t="s">
        <v>545</v>
      </c>
      <c r="B109" s="773">
        <f>+geral!G98</f>
        <v>7.1</v>
      </c>
      <c r="C109" s="748">
        <f t="shared" si="24"/>
        <v>165.11627906976744</v>
      </c>
      <c r="D109" s="750">
        <f t="shared" si="27"/>
        <v>0.85227272727272929</v>
      </c>
      <c r="E109" s="750">
        <f t="shared" si="26"/>
        <v>26.110124333925388</v>
      </c>
      <c r="F109" s="751">
        <f>100*((B109/B97)-1)</f>
        <v>26.110124333925388</v>
      </c>
      <c r="G109" s="840">
        <f t="shared" si="21"/>
        <v>27.697841726618712</v>
      </c>
      <c r="H109" s="842">
        <f>$B$322/B109</f>
        <v>3.5191146881287731</v>
      </c>
    </row>
    <row r="110" spans="1:8" ht="16.5" hidden="1" thickBot="1">
      <c r="A110" s="973" t="s">
        <v>565</v>
      </c>
      <c r="B110" s="773">
        <f>+geral!I87</f>
        <v>6.94</v>
      </c>
      <c r="C110" s="748">
        <f t="shared" ref="C110:C118" si="28">100*B110/$B$8</f>
        <v>161.3953488372093</v>
      </c>
      <c r="D110" s="750">
        <f t="shared" si="27"/>
        <v>-2.2535211267605493</v>
      </c>
      <c r="E110" s="750">
        <f t="shared" ref="E110:E115" si="29">100*((B110/$B$109)-1)</f>
        <v>-2.2535211267605493</v>
      </c>
      <c r="F110" s="751">
        <f>100*((B110/B98)-1)</f>
        <v>7.0987654320987748</v>
      </c>
      <c r="G110" s="840">
        <f t="shared" si="21"/>
        <v>27.10622710622712</v>
      </c>
      <c r="H110" s="842">
        <f>$B$322/B110</f>
        <v>3.6002470152326063</v>
      </c>
    </row>
    <row r="111" spans="1:8" ht="16.5" hidden="1" thickBot="1">
      <c r="A111" s="973" t="s">
        <v>566</v>
      </c>
      <c r="B111" s="773">
        <f>+geral!I88</f>
        <v>7</v>
      </c>
      <c r="C111" s="748">
        <f t="shared" si="28"/>
        <v>162.79069767441862</v>
      </c>
      <c r="D111" s="750">
        <f t="shared" ref="D111:D116" si="30">100*((B111/B110)-1)</f>
        <v>0.86455331412103043</v>
      </c>
      <c r="E111" s="750">
        <f t="shared" si="29"/>
        <v>-1.4084507042253502</v>
      </c>
      <c r="F111" s="751">
        <f>100*((B111/B99)-1)</f>
        <v>11.111111111111116</v>
      </c>
      <c r="G111" s="840">
        <f t="shared" ref="G111:G116" si="31">100*(B111/B87-1)</f>
        <v>24.333925399644762</v>
      </c>
      <c r="H111" s="842">
        <f>$B$322/B111</f>
        <v>3.5693877551020412</v>
      </c>
    </row>
    <row r="112" spans="1:8" ht="16.5" hidden="1" thickBot="1">
      <c r="A112" s="973" t="s">
        <v>567</v>
      </c>
      <c r="B112" s="773">
        <f>+geral!I89</f>
        <v>7.1</v>
      </c>
      <c r="C112" s="748">
        <f t="shared" si="28"/>
        <v>165.11627906976744</v>
      </c>
      <c r="D112" s="750">
        <f t="shared" si="30"/>
        <v>1.4285714285714235</v>
      </c>
      <c r="E112" s="750">
        <f t="shared" si="29"/>
        <v>0</v>
      </c>
      <c r="F112" s="751">
        <f>100*((B112/B100)-1)</f>
        <v>26.785714285714278</v>
      </c>
      <c r="G112" s="840">
        <f t="shared" si="31"/>
        <v>29.090909090909079</v>
      </c>
      <c r="H112" s="842">
        <f>$B$322/B112</f>
        <v>3.5191146881287731</v>
      </c>
    </row>
    <row r="113" spans="1:8" ht="16.5" hidden="1" thickBot="1">
      <c r="A113" s="973" t="s">
        <v>568</v>
      </c>
      <c r="B113" s="773">
        <f>+geral!I90</f>
        <v>7.2</v>
      </c>
      <c r="C113" s="748">
        <f t="shared" si="28"/>
        <v>167.44186046511629</v>
      </c>
      <c r="D113" s="750">
        <f t="shared" si="30"/>
        <v>1.4084507042253502</v>
      </c>
      <c r="E113" s="750">
        <f>100*((B113/$B$109)-1)</f>
        <v>1.4084507042253502</v>
      </c>
      <c r="F113" s="751">
        <f>100*((B113/B101)-1)</f>
        <v>20.401337792642128</v>
      </c>
      <c r="G113" s="840">
        <f t="shared" si="31"/>
        <v>49.06832298136645</v>
      </c>
      <c r="H113" s="842">
        <f>$B$322/B113</f>
        <v>3.4702380952380953</v>
      </c>
    </row>
    <row r="114" spans="1:8" ht="16.5" hidden="1" thickBot="1">
      <c r="A114" s="973" t="s">
        <v>569</v>
      </c>
      <c r="B114" s="773">
        <f>+geral!I91</f>
        <v>8</v>
      </c>
      <c r="C114" s="748">
        <f t="shared" si="28"/>
        <v>186.04651162790699</v>
      </c>
      <c r="D114" s="750">
        <f t="shared" si="30"/>
        <v>11.111111111111116</v>
      </c>
      <c r="E114" s="750">
        <f t="shared" si="29"/>
        <v>12.676056338028175</v>
      </c>
      <c r="F114" s="751">
        <f t="shared" ref="F114:F119" si="32">100*((B114/B102)-1)</f>
        <v>28.410914927768861</v>
      </c>
      <c r="G114" s="840">
        <f t="shared" si="31"/>
        <v>39.130434782608688</v>
      </c>
      <c r="H114" s="842">
        <f>$B$322/B114</f>
        <v>3.1232142857142859</v>
      </c>
    </row>
    <row r="115" spans="1:8" ht="16.5" hidden="1" thickBot="1">
      <c r="A115" s="973" t="s">
        <v>570</v>
      </c>
      <c r="B115" s="773">
        <f>+geral!I92</f>
        <v>8</v>
      </c>
      <c r="C115" s="748">
        <f t="shared" si="28"/>
        <v>186.04651162790699</v>
      </c>
      <c r="D115" s="750">
        <f t="shared" si="30"/>
        <v>0</v>
      </c>
      <c r="E115" s="750">
        <f t="shared" si="29"/>
        <v>12.676056338028175</v>
      </c>
      <c r="F115" s="751">
        <f t="shared" si="32"/>
        <v>33.779264214046819</v>
      </c>
      <c r="G115" s="840">
        <f t="shared" si="31"/>
        <v>33.333333333333329</v>
      </c>
      <c r="H115" s="842">
        <f>$B$322/B115</f>
        <v>3.1232142857142859</v>
      </c>
    </row>
    <row r="116" spans="1:8" ht="16.5" hidden="1" thickBot="1">
      <c r="A116" s="973" t="s">
        <v>571</v>
      </c>
      <c r="B116" s="773">
        <f>+geral!I93</f>
        <v>7.92</v>
      </c>
      <c r="C116" s="748">
        <f t="shared" si="28"/>
        <v>184.18604651162792</v>
      </c>
      <c r="D116" s="750">
        <f t="shared" si="30"/>
        <v>-1.0000000000000009</v>
      </c>
      <c r="E116" s="750">
        <f t="shared" ref="E116:E121" si="33">100*((B116/$B$109)-1)</f>
        <v>11.549295774647895</v>
      </c>
      <c r="F116" s="751">
        <f t="shared" si="32"/>
        <v>32.441471571906334</v>
      </c>
      <c r="G116" s="840">
        <f t="shared" si="31"/>
        <v>37.739130434782609</v>
      </c>
      <c r="H116" s="842">
        <f>$B$322/B116</f>
        <v>3.1547619047619051</v>
      </c>
    </row>
    <row r="117" spans="1:8" ht="16.5" hidden="1" thickBot="1">
      <c r="A117" s="973" t="s">
        <v>572</v>
      </c>
      <c r="B117" s="773">
        <f>+geral!I94</f>
        <v>8.5</v>
      </c>
      <c r="C117" s="748">
        <f t="shared" si="28"/>
        <v>197.67441860465118</v>
      </c>
      <c r="D117" s="750">
        <f t="shared" ref="D117:D122" si="34">100*((B117/B116)-1)</f>
        <v>7.3232323232323315</v>
      </c>
      <c r="E117" s="750">
        <f t="shared" si="33"/>
        <v>19.718309859154925</v>
      </c>
      <c r="F117" s="751">
        <f t="shared" si="32"/>
        <v>44.557823129251695</v>
      </c>
      <c r="G117" s="840">
        <f t="shared" ref="G117:G122" si="35">100*(B117/B93-1)</f>
        <v>47.826086956521728</v>
      </c>
      <c r="H117" s="842">
        <f>$B$322/B117</f>
        <v>2.9394957983193279</v>
      </c>
    </row>
    <row r="118" spans="1:8" ht="16.5" hidden="1" thickBot="1">
      <c r="A118" s="973" t="s">
        <v>573</v>
      </c>
      <c r="B118" s="773">
        <f>+geral!I95</f>
        <v>8.4</v>
      </c>
      <c r="C118" s="748">
        <f t="shared" si="28"/>
        <v>195.34883720930233</v>
      </c>
      <c r="D118" s="750">
        <f t="shared" si="34"/>
        <v>-1.1764705882352899</v>
      </c>
      <c r="E118" s="750">
        <f t="shared" si="33"/>
        <v>18.309859154929597</v>
      </c>
      <c r="F118" s="751">
        <f t="shared" si="32"/>
        <v>33.757961783439484</v>
      </c>
      <c r="G118" s="840">
        <f t="shared" si="35"/>
        <v>46.086956521739133</v>
      </c>
      <c r="H118" s="842">
        <f>$B$322/B118</f>
        <v>2.9744897959183674</v>
      </c>
    </row>
    <row r="119" spans="1:8" ht="16.5" hidden="1" thickBot="1">
      <c r="A119" s="973" t="s">
        <v>396</v>
      </c>
      <c r="B119" s="773">
        <f>+geral!I96</f>
        <v>9.27</v>
      </c>
      <c r="C119" s="748">
        <f t="shared" ref="C119:C156" si="36">100*B119/$B$8</f>
        <v>215.58139534883722</v>
      </c>
      <c r="D119" s="750">
        <f t="shared" si="34"/>
        <v>10.357142857142843</v>
      </c>
      <c r="E119" s="750">
        <f t="shared" si="33"/>
        <v>30.563380281690144</v>
      </c>
      <c r="F119" s="751">
        <f t="shared" si="32"/>
        <v>52.467105263157876</v>
      </c>
      <c r="G119" s="840">
        <f t="shared" si="35"/>
        <v>58.461538461538453</v>
      </c>
      <c r="H119" s="842">
        <f>$B$322/B119</f>
        <v>2.6953305594082297</v>
      </c>
    </row>
    <row r="120" spans="1:8" ht="16.5" hidden="1" thickBot="1">
      <c r="A120" s="973" t="s">
        <v>397</v>
      </c>
      <c r="B120" s="773">
        <f>+geral!I97</f>
        <v>9.2200000000000006</v>
      </c>
      <c r="C120" s="748">
        <f t="shared" si="36"/>
        <v>214.41860465116284</v>
      </c>
      <c r="D120" s="750">
        <f t="shared" si="34"/>
        <v>-0.53937432578208266</v>
      </c>
      <c r="E120" s="750">
        <f t="shared" si="33"/>
        <v>29.859154929577471</v>
      </c>
      <c r="F120" s="751">
        <f t="shared" ref="F120:F125" si="37">100*((B120/B108)-1)</f>
        <v>30.965909090909104</v>
      </c>
      <c r="G120" s="840">
        <f t="shared" si="35"/>
        <v>58.147512864493997</v>
      </c>
      <c r="H120" s="842">
        <f>$B$322/B120</f>
        <v>2.7099473194917882</v>
      </c>
    </row>
    <row r="121" spans="1:8" ht="16.5" hidden="1" thickBot="1">
      <c r="A121" s="973" t="s">
        <v>398</v>
      </c>
      <c r="B121" s="773">
        <f>+geral!I98</f>
        <v>8.42</v>
      </c>
      <c r="C121" s="748">
        <f t="shared" si="36"/>
        <v>195.81395348837211</v>
      </c>
      <c r="D121" s="750">
        <f t="shared" si="34"/>
        <v>-8.6767895878525074</v>
      </c>
      <c r="E121" s="750">
        <f t="shared" si="33"/>
        <v>18.591549295774644</v>
      </c>
      <c r="F121" s="751">
        <f t="shared" si="37"/>
        <v>18.591549295774644</v>
      </c>
      <c r="G121" s="840">
        <f t="shared" si="35"/>
        <v>49.555950266429846</v>
      </c>
      <c r="H121" s="842">
        <f>$B$322/B121</f>
        <v>2.9674244994910079</v>
      </c>
    </row>
    <row r="122" spans="1:8" ht="16.5" hidden="1" thickBot="1">
      <c r="A122" s="973" t="s">
        <v>399</v>
      </c>
      <c r="B122" s="773">
        <f>+geral!K87</f>
        <v>9.08</v>
      </c>
      <c r="C122" s="748">
        <f t="shared" si="36"/>
        <v>211.16279069767444</v>
      </c>
      <c r="D122" s="750">
        <f t="shared" si="34"/>
        <v>7.8384798099762509</v>
      </c>
      <c r="E122" s="750">
        <f t="shared" ref="E122:E127" si="38">100*((B122/$B$121)-1)</f>
        <v>7.8384798099762509</v>
      </c>
      <c r="F122" s="751">
        <f t="shared" si="37"/>
        <v>30.83573487031699</v>
      </c>
      <c r="G122" s="840">
        <f t="shared" si="35"/>
        <v>40.123456790123456</v>
      </c>
      <c r="H122" s="842">
        <f>$B$322/B122</f>
        <v>2.7517306482064194</v>
      </c>
    </row>
    <row r="123" spans="1:8" ht="16.5" hidden="1" thickBot="1">
      <c r="A123" s="973" t="s">
        <v>400</v>
      </c>
      <c r="B123" s="773">
        <f>+geral!K88</f>
        <v>8.85</v>
      </c>
      <c r="C123" s="748">
        <f t="shared" si="36"/>
        <v>205.81395348837211</v>
      </c>
      <c r="D123" s="750">
        <f t="shared" ref="D123:D128" si="39">100*((B123/B122)-1)</f>
        <v>-2.5330396475770955</v>
      </c>
      <c r="E123" s="750">
        <f t="shared" si="38"/>
        <v>5.1068883610451365</v>
      </c>
      <c r="F123" s="751">
        <f t="shared" si="37"/>
        <v>26.428571428571423</v>
      </c>
      <c r="G123" s="840">
        <f t="shared" ref="G123:G128" si="40">100*(B123/B99-1)</f>
        <v>40.476190476190467</v>
      </c>
      <c r="H123" s="842">
        <f>$B$322/B123</f>
        <v>2.8232445520581115</v>
      </c>
    </row>
    <row r="124" spans="1:8" ht="16.5" hidden="1" thickBot="1">
      <c r="A124" s="973" t="s">
        <v>401</v>
      </c>
      <c r="B124" s="773">
        <f>+geral!K89</f>
        <v>8.85</v>
      </c>
      <c r="C124" s="748">
        <f t="shared" si="36"/>
        <v>205.81395348837211</v>
      </c>
      <c r="D124" s="750">
        <f t="shared" si="39"/>
        <v>0</v>
      </c>
      <c r="E124" s="750">
        <f t="shared" si="38"/>
        <v>5.1068883610451365</v>
      </c>
      <c r="F124" s="751">
        <f t="shared" si="37"/>
        <v>24.647887323943674</v>
      </c>
      <c r="G124" s="840">
        <f t="shared" si="40"/>
        <v>58.035714285714278</v>
      </c>
      <c r="H124" s="842">
        <f>$B$322/B124</f>
        <v>2.8232445520581115</v>
      </c>
    </row>
    <row r="125" spans="1:8" ht="16.5" hidden="1" thickBot="1">
      <c r="A125" s="973" t="s">
        <v>402</v>
      </c>
      <c r="B125" s="773">
        <f>+geral!K90</f>
        <v>8.83</v>
      </c>
      <c r="C125" s="748">
        <f t="shared" si="36"/>
        <v>205.34883720930233</v>
      </c>
      <c r="D125" s="750">
        <f t="shared" si="39"/>
        <v>-0.22598870056497189</v>
      </c>
      <c r="E125" s="750">
        <f t="shared" si="38"/>
        <v>4.8693586698337343</v>
      </c>
      <c r="F125" s="751">
        <f t="shared" si="37"/>
        <v>22.638888888888896</v>
      </c>
      <c r="G125" s="840">
        <f t="shared" si="40"/>
        <v>47.658862876254183</v>
      </c>
      <c r="H125" s="842">
        <f>$B$322/B125</f>
        <v>2.8296392169551856</v>
      </c>
    </row>
    <row r="126" spans="1:8" ht="16.5" hidden="1" thickBot="1">
      <c r="A126" s="973" t="s">
        <v>403</v>
      </c>
      <c r="B126" s="773">
        <f>+geral!K91</f>
        <v>8.76</v>
      </c>
      <c r="C126" s="748">
        <f t="shared" si="36"/>
        <v>203.72093023255815</v>
      </c>
      <c r="D126" s="750">
        <f t="shared" si="39"/>
        <v>-0.79275198187995777</v>
      </c>
      <c r="E126" s="750">
        <f t="shared" si="38"/>
        <v>4.0380047505938155</v>
      </c>
      <c r="F126" s="751">
        <f t="shared" ref="F126:F131" si="41">100*((B126/B114)-1)</f>
        <v>9.4999999999999964</v>
      </c>
      <c r="G126" s="840">
        <f t="shared" si="40"/>
        <v>40.609951845906899</v>
      </c>
      <c r="H126" s="842">
        <f>$B$322/B126</f>
        <v>2.8522504892367908</v>
      </c>
    </row>
    <row r="127" spans="1:8" ht="16.5" hidden="1" thickBot="1">
      <c r="A127" s="973" t="s">
        <v>404</v>
      </c>
      <c r="B127" s="773">
        <f>+geral!K92</f>
        <v>8.69</v>
      </c>
      <c r="C127" s="748">
        <f t="shared" si="36"/>
        <v>202.09302325581396</v>
      </c>
      <c r="D127" s="750">
        <f t="shared" si="39"/>
        <v>-0.79908675799087447</v>
      </c>
      <c r="E127" s="750">
        <f t="shared" si="38"/>
        <v>3.2066508313539188</v>
      </c>
      <c r="F127" s="751">
        <f t="shared" si="41"/>
        <v>8.6249999999999929</v>
      </c>
      <c r="G127" s="840">
        <f t="shared" si="40"/>
        <v>45.317725752508345</v>
      </c>
      <c r="H127" s="842">
        <f>$B$322/B127</f>
        <v>2.8752260397830023</v>
      </c>
    </row>
    <row r="128" spans="1:8" s="778" customFormat="1" ht="16.5" hidden="1" thickBot="1">
      <c r="A128" s="973" t="s">
        <v>405</v>
      </c>
      <c r="B128" s="773">
        <f>+geral!K93</f>
        <v>8.5299999999999994</v>
      </c>
      <c r="C128" s="748">
        <f t="shared" si="36"/>
        <v>198.37209302325579</v>
      </c>
      <c r="D128" s="750">
        <f t="shared" si="39"/>
        <v>-1.8411967779056404</v>
      </c>
      <c r="E128" s="750">
        <f t="shared" ref="E128:E133" si="42">100*((B128/$B$121)-1)</f>
        <v>1.3064133016627011</v>
      </c>
      <c r="F128" s="751">
        <f t="shared" si="41"/>
        <v>7.7020202020201989</v>
      </c>
      <c r="G128" s="840">
        <f t="shared" si="40"/>
        <v>42.64214046822741</v>
      </c>
      <c r="H128" s="842">
        <f>$B$322/B128</f>
        <v>2.9291575950427067</v>
      </c>
    </row>
    <row r="129" spans="1:8" ht="16.5" hidden="1" thickBot="1">
      <c r="A129" s="973" t="s">
        <v>406</v>
      </c>
      <c r="B129" s="773">
        <f>+geral!K94</f>
        <v>8.6199999999999992</v>
      </c>
      <c r="C129" s="748">
        <f t="shared" si="36"/>
        <v>200.46511627906975</v>
      </c>
      <c r="D129" s="750">
        <f t="shared" ref="D129:D135" si="43">100*((B129/B128)-1)</f>
        <v>1.0550996483001063</v>
      </c>
      <c r="E129" s="750">
        <f t="shared" si="42"/>
        <v>2.375296912114</v>
      </c>
      <c r="F129" s="751">
        <f t="shared" si="41"/>
        <v>1.4117647058823346</v>
      </c>
      <c r="G129" s="840">
        <f t="shared" ref="G129:G134" si="44">100*(B129/B105-1)</f>
        <v>46.598639455782312</v>
      </c>
      <c r="H129" s="842">
        <f>$B$322/B129</f>
        <v>2.8985747431223072</v>
      </c>
    </row>
    <row r="130" spans="1:8" ht="16.5" hidden="1" thickBot="1">
      <c r="A130" s="973" t="s">
        <v>407</v>
      </c>
      <c r="B130" s="773">
        <f>+geral!K95</f>
        <v>8.43</v>
      </c>
      <c r="C130" s="748">
        <f t="shared" si="36"/>
        <v>196.04651162790699</v>
      </c>
      <c r="D130" s="750">
        <f t="shared" si="43"/>
        <v>-2.2041763341067222</v>
      </c>
      <c r="E130" s="750">
        <f t="shared" si="42"/>
        <v>0.11876484560569001</v>
      </c>
      <c r="F130" s="751">
        <f t="shared" si="41"/>
        <v>0.35714285714285587</v>
      </c>
      <c r="G130" s="840">
        <f t="shared" si="44"/>
        <v>34.235668789808905</v>
      </c>
      <c r="H130" s="842">
        <f>$B$322/B130</f>
        <v>2.9639044229791565</v>
      </c>
    </row>
    <row r="131" spans="1:8" ht="16.5" hidden="1" thickBot="1">
      <c r="A131" s="973" t="s">
        <v>408</v>
      </c>
      <c r="B131" s="773">
        <f>+geral!K96</f>
        <v>8.52</v>
      </c>
      <c r="C131" s="748">
        <f t="shared" si="36"/>
        <v>198.13953488372093</v>
      </c>
      <c r="D131" s="750">
        <f t="shared" si="43"/>
        <v>1.067615658362997</v>
      </c>
      <c r="E131" s="750">
        <f t="shared" si="42"/>
        <v>1.1876484560570111</v>
      </c>
      <c r="F131" s="751">
        <f t="shared" si="41"/>
        <v>-8.0906148867313945</v>
      </c>
      <c r="G131" s="840">
        <f t="shared" si="44"/>
        <v>40.131578947368411</v>
      </c>
      <c r="H131" s="842">
        <f>$B$322/B131</f>
        <v>2.9325955734406444</v>
      </c>
    </row>
    <row r="132" spans="1:8" ht="16.5" hidden="1" thickBot="1">
      <c r="A132" s="973" t="s">
        <v>409</v>
      </c>
      <c r="B132" s="773">
        <f>+geral!K97</f>
        <v>8.51</v>
      </c>
      <c r="C132" s="748">
        <f t="shared" si="36"/>
        <v>197.90697674418607</v>
      </c>
      <c r="D132" s="750">
        <f t="shared" si="43"/>
        <v>-0.11737089201877549</v>
      </c>
      <c r="E132" s="750">
        <f t="shared" si="42"/>
        <v>1.0688836104512989</v>
      </c>
      <c r="F132" s="751">
        <f t="shared" ref="F132:F137" si="45">100*((B132/B120)-1)</f>
        <v>-7.700650759219096</v>
      </c>
      <c r="G132" s="840">
        <f t="shared" si="44"/>
        <v>20.880681818181813</v>
      </c>
      <c r="H132" s="842">
        <f>$B$322/B132</f>
        <v>2.9360416316938061</v>
      </c>
    </row>
    <row r="133" spans="1:8" ht="16.5" hidden="1" thickBot="1">
      <c r="A133" s="973" t="s">
        <v>410</v>
      </c>
      <c r="B133" s="773">
        <f>+geral!K98</f>
        <v>8.52</v>
      </c>
      <c r="C133" s="748">
        <f t="shared" si="36"/>
        <v>198.13953488372093</v>
      </c>
      <c r="D133" s="750">
        <f t="shared" si="43"/>
        <v>0.1175088131609936</v>
      </c>
      <c r="E133" s="750">
        <f t="shared" si="42"/>
        <v>1.1876484560570111</v>
      </c>
      <c r="F133" s="751">
        <f t="shared" si="45"/>
        <v>1.1876484560570111</v>
      </c>
      <c r="G133" s="840">
        <f t="shared" si="44"/>
        <v>19.999999999999996</v>
      </c>
      <c r="H133" s="842">
        <f>$B$322/B133</f>
        <v>2.9325955734406444</v>
      </c>
    </row>
    <row r="134" spans="1:8" ht="16.5" hidden="1" thickBot="1">
      <c r="A134" s="973" t="s">
        <v>411</v>
      </c>
      <c r="B134" s="773">
        <f>+geral!M87</f>
        <v>8.58</v>
      </c>
      <c r="C134" s="748">
        <f t="shared" si="36"/>
        <v>199.53488372093025</v>
      </c>
      <c r="D134" s="750">
        <f t="shared" si="43"/>
        <v>0.70422535211267512</v>
      </c>
      <c r="E134" s="750">
        <f t="shared" ref="E134:E139" si="46">100*((B134/$B$133)-1)</f>
        <v>0.70422535211267512</v>
      </c>
      <c r="F134" s="751">
        <f t="shared" si="45"/>
        <v>-5.5066079295154164</v>
      </c>
      <c r="G134" s="840">
        <f t="shared" si="44"/>
        <v>23.631123919308351</v>
      </c>
      <c r="H134" s="842">
        <f>$B$322/B134</f>
        <v>2.9120879120879124</v>
      </c>
    </row>
    <row r="135" spans="1:8" ht="16.5" hidden="1" thickBot="1">
      <c r="A135" s="973" t="s">
        <v>412</v>
      </c>
      <c r="B135" s="773">
        <f>+geral!M88</f>
        <v>8.6300000000000008</v>
      </c>
      <c r="C135" s="748">
        <f t="shared" si="36"/>
        <v>200.69767441860469</v>
      </c>
      <c r="D135" s="750">
        <f t="shared" si="43"/>
        <v>0.58275058275059077</v>
      </c>
      <c r="E135" s="750">
        <f t="shared" si="46"/>
        <v>1.291079812206597</v>
      </c>
      <c r="F135" s="751">
        <f t="shared" si="45"/>
        <v>-2.4858757062146797</v>
      </c>
      <c r="G135" s="840">
        <f t="shared" ref="G135:G140" si="47">100*(B135/B111-1)</f>
        <v>23.285714285714288</v>
      </c>
      <c r="H135" s="842">
        <f>$B$322/B135</f>
        <v>2.8952160238371132</v>
      </c>
    </row>
    <row r="136" spans="1:8" ht="16.5" hidden="1" thickBot="1">
      <c r="A136" s="973" t="s">
        <v>413</v>
      </c>
      <c r="B136" s="773">
        <f>+geral!M89</f>
        <v>8.75</v>
      </c>
      <c r="C136" s="748">
        <f t="shared" si="36"/>
        <v>203.48837209302326</v>
      </c>
      <c r="D136" s="750">
        <f t="shared" ref="D136:D141" si="48">100*((B136/B135)-1)</f>
        <v>1.39049826187716</v>
      </c>
      <c r="E136" s="750">
        <f t="shared" si="46"/>
        <v>2.699530516431925</v>
      </c>
      <c r="F136" s="751">
        <f t="shared" si="45"/>
        <v>-1.1299435028248594</v>
      </c>
      <c r="G136" s="840">
        <f t="shared" si="47"/>
        <v>23.239436619718322</v>
      </c>
      <c r="H136" s="842">
        <f>$B$322/B136</f>
        <v>2.8555102040816327</v>
      </c>
    </row>
    <row r="137" spans="1:8" ht="16.5" hidden="1" thickBot="1">
      <c r="A137" s="973" t="s">
        <v>414</v>
      </c>
      <c r="B137" s="773">
        <f>+geral!M90</f>
        <v>9.0399999999999991</v>
      </c>
      <c r="C137" s="748">
        <f t="shared" si="36"/>
        <v>210.23255813953486</v>
      </c>
      <c r="D137" s="750">
        <f t="shared" si="48"/>
        <v>3.3142857142857141</v>
      </c>
      <c r="E137" s="750">
        <f t="shared" si="46"/>
        <v>6.1032863849765251</v>
      </c>
      <c r="F137" s="751">
        <f t="shared" si="45"/>
        <v>2.3782559456398511</v>
      </c>
      <c r="G137" s="840">
        <f t="shared" si="47"/>
        <v>25.555555555555532</v>
      </c>
      <c r="H137" s="842">
        <f>$B$322/B137</f>
        <v>2.7639064475347666</v>
      </c>
    </row>
    <row r="138" spans="1:8" ht="16.5" hidden="1" thickBot="1">
      <c r="A138" s="973" t="s">
        <v>415</v>
      </c>
      <c r="B138" s="773">
        <f>+geral!M91</f>
        <v>8.99</v>
      </c>
      <c r="C138" s="748">
        <f t="shared" si="36"/>
        <v>209.06976744186048</v>
      </c>
      <c r="D138" s="750">
        <f t="shared" si="48"/>
        <v>-0.5530973451327359</v>
      </c>
      <c r="E138" s="750">
        <f t="shared" si="46"/>
        <v>5.5164319248826477</v>
      </c>
      <c r="F138" s="751">
        <f t="shared" ref="F138:F143" si="49">100*((B138/B126)-1)</f>
        <v>2.6255707762557146</v>
      </c>
      <c r="G138" s="840">
        <f t="shared" si="47"/>
        <v>12.375000000000004</v>
      </c>
      <c r="H138" s="842">
        <f>$B$322/B138</f>
        <v>2.7792785634832353</v>
      </c>
    </row>
    <row r="139" spans="1:8" ht="16.5" hidden="1" thickBot="1">
      <c r="A139" s="973" t="s">
        <v>416</v>
      </c>
      <c r="B139" s="773">
        <f>+geral!M92</f>
        <v>9.15</v>
      </c>
      <c r="C139" s="748">
        <f t="shared" si="36"/>
        <v>212.79069767441862</v>
      </c>
      <c r="D139" s="750">
        <f t="shared" si="48"/>
        <v>1.7797552836485098</v>
      </c>
      <c r="E139" s="750">
        <f t="shared" si="46"/>
        <v>7.3943661971830998</v>
      </c>
      <c r="F139" s="751">
        <f t="shared" si="49"/>
        <v>5.2934407364787273</v>
      </c>
      <c r="G139" s="840">
        <f t="shared" si="47"/>
        <v>14.375000000000004</v>
      </c>
      <c r="H139" s="842">
        <f>$B$322/B139</f>
        <v>2.730679156908665</v>
      </c>
    </row>
    <row r="140" spans="1:8" ht="16.5" hidden="1" thickBot="1">
      <c r="A140" s="973" t="s">
        <v>417</v>
      </c>
      <c r="B140" s="773">
        <f>+geral!M93</f>
        <v>9.31</v>
      </c>
      <c r="C140" s="748">
        <f t="shared" si="36"/>
        <v>216.51162790697674</v>
      </c>
      <c r="D140" s="750">
        <f t="shared" si="48"/>
        <v>1.7486338797814138</v>
      </c>
      <c r="E140" s="750">
        <f t="shared" ref="E140:E145" si="50">100*((B140/$B$133)-1)</f>
        <v>9.2723004694835751</v>
      </c>
      <c r="F140" s="751">
        <f t="shared" si="49"/>
        <v>9.144196951934358</v>
      </c>
      <c r="G140" s="840">
        <f t="shared" si="47"/>
        <v>17.550505050505059</v>
      </c>
      <c r="H140" s="842">
        <f>$B$322/B140</f>
        <v>2.6837501918060456</v>
      </c>
    </row>
    <row r="141" spans="1:8" ht="16.5" hidden="1" thickBot="1">
      <c r="A141" s="973" t="s">
        <v>418</v>
      </c>
      <c r="B141" s="773">
        <f>+geral!M94</f>
        <v>8.59</v>
      </c>
      <c r="C141" s="748">
        <f t="shared" si="36"/>
        <v>199.76744186046511</v>
      </c>
      <c r="D141" s="750">
        <f t="shared" si="48"/>
        <v>-7.7336197636949544</v>
      </c>
      <c r="E141" s="750">
        <f t="shared" si="50"/>
        <v>0.8215962441314506</v>
      </c>
      <c r="F141" s="751">
        <f t="shared" si="49"/>
        <v>-0.34802784222737193</v>
      </c>
      <c r="G141" s="840">
        <f t="shared" ref="G141:G146" si="51">100*(B141/B117-1)</f>
        <v>1.0588235294117565</v>
      </c>
      <c r="H141" s="842">
        <f>$B$322/B141</f>
        <v>2.908697821386995</v>
      </c>
    </row>
    <row r="142" spans="1:8" ht="16.5" hidden="1" thickBot="1">
      <c r="A142" s="973" t="s">
        <v>419</v>
      </c>
      <c r="B142" s="773">
        <f>+geral!M95</f>
        <v>9.27</v>
      </c>
      <c r="C142" s="748">
        <f t="shared" si="36"/>
        <v>215.58139534883722</v>
      </c>
      <c r="D142" s="750">
        <f t="shared" ref="D142:D147" si="52">100*((B142/B141)-1)</f>
        <v>7.9161816065192125</v>
      </c>
      <c r="E142" s="750">
        <f t="shared" si="50"/>
        <v>8.8028169014084501</v>
      </c>
      <c r="F142" s="751">
        <f t="shared" si="49"/>
        <v>9.9644128113878914</v>
      </c>
      <c r="G142" s="840">
        <f t="shared" si="51"/>
        <v>10.357142857142843</v>
      </c>
      <c r="H142" s="842">
        <f>$B$322/B142</f>
        <v>2.6953305594082297</v>
      </c>
    </row>
    <row r="143" spans="1:8" ht="16.5" hidden="1" thickBot="1">
      <c r="A143" s="973" t="s">
        <v>420</v>
      </c>
      <c r="B143" s="773">
        <f>+geral!M96</f>
        <v>9.26</v>
      </c>
      <c r="C143" s="748">
        <f t="shared" si="36"/>
        <v>215.34883720930233</v>
      </c>
      <c r="D143" s="750">
        <f t="shared" si="52"/>
        <v>-0.10787486515642097</v>
      </c>
      <c r="E143" s="750">
        <f t="shared" si="50"/>
        <v>8.6854460093896755</v>
      </c>
      <c r="F143" s="751">
        <f t="shared" si="49"/>
        <v>8.6854460093896755</v>
      </c>
      <c r="G143" s="840">
        <f t="shared" si="51"/>
        <v>-0.10787486515642097</v>
      </c>
      <c r="H143" s="842">
        <f>$B$322/B143</f>
        <v>2.6982412835544589</v>
      </c>
    </row>
    <row r="144" spans="1:8" ht="16.5" hidden="1" thickBot="1">
      <c r="A144" s="973" t="s">
        <v>421</v>
      </c>
      <c r="B144" s="773">
        <f>+geral!M97</f>
        <v>9.18</v>
      </c>
      <c r="C144" s="748">
        <f t="shared" si="36"/>
        <v>213.48837209302326</v>
      </c>
      <c r="D144" s="750">
        <f t="shared" si="52"/>
        <v>-0.86393088552916275</v>
      </c>
      <c r="E144" s="750">
        <f t="shared" si="50"/>
        <v>7.7464788732394485</v>
      </c>
      <c r="F144" s="751">
        <f t="shared" ref="F144:F149" si="53">100*((B144/B132)-1)</f>
        <v>7.8730904817861269</v>
      </c>
      <c r="G144" s="840">
        <f t="shared" si="51"/>
        <v>-0.43383947939263923</v>
      </c>
      <c r="H144" s="842">
        <f>$B$322/B144</f>
        <v>2.7217553688141924</v>
      </c>
    </row>
    <row r="145" spans="1:8" ht="16.5" hidden="1" thickBot="1">
      <c r="A145" s="973" t="s">
        <v>422</v>
      </c>
      <c r="B145" s="773">
        <f>+geral!M98</f>
        <v>9.3375000000000004</v>
      </c>
      <c r="C145" s="748">
        <f t="shared" si="36"/>
        <v>217.1511627906977</v>
      </c>
      <c r="D145" s="750">
        <f t="shared" si="52"/>
        <v>1.71568627450982</v>
      </c>
      <c r="E145" s="750">
        <f t="shared" si="50"/>
        <v>9.5950704225352226</v>
      </c>
      <c r="F145" s="751">
        <f t="shared" si="53"/>
        <v>9.5950704225352226</v>
      </c>
      <c r="G145" s="840">
        <f t="shared" si="51"/>
        <v>10.896674584323041</v>
      </c>
      <c r="H145" s="842">
        <f>$B$322/B145</f>
        <v>2.6758462421113025</v>
      </c>
    </row>
    <row r="146" spans="1:8" ht="16.5" hidden="1" thickBot="1">
      <c r="A146" s="973" t="s">
        <v>423</v>
      </c>
      <c r="B146" s="773">
        <f>geral!C102</f>
        <v>9.1</v>
      </c>
      <c r="C146" s="748">
        <f t="shared" si="36"/>
        <v>211.62790697674419</v>
      </c>
      <c r="D146" s="750">
        <f t="shared" si="52"/>
        <v>-2.5435073627844806</v>
      </c>
      <c r="E146" s="750">
        <f t="shared" ref="E146:E151" si="54">100*((B146/$B$145)-1)</f>
        <v>-2.5435073627844806</v>
      </c>
      <c r="F146" s="751">
        <f t="shared" si="53"/>
        <v>6.0606060606060552</v>
      </c>
      <c r="G146" s="840">
        <f t="shared" si="51"/>
        <v>0.22026431718060735</v>
      </c>
      <c r="H146" s="842">
        <f>$B$322/B146</f>
        <v>2.7456828885400317</v>
      </c>
    </row>
    <row r="147" spans="1:8" ht="16.5" hidden="1" thickBot="1">
      <c r="A147" s="973" t="s">
        <v>424</v>
      </c>
      <c r="B147" s="773">
        <f>geral!C103</f>
        <v>9.0500000000000007</v>
      </c>
      <c r="C147" s="748">
        <f t="shared" si="36"/>
        <v>210.4651162790698</v>
      </c>
      <c r="D147" s="750">
        <f t="shared" si="52"/>
        <v>-0.5494505494505364</v>
      </c>
      <c r="E147" s="750">
        <f t="shared" si="54"/>
        <v>-3.0789825970548801</v>
      </c>
      <c r="F147" s="751">
        <f t="shared" si="53"/>
        <v>4.8667439165700932</v>
      </c>
      <c r="G147" s="840">
        <f t="shared" ref="G147:G152" si="55">100*(B147/B123-1)</f>
        <v>2.2598870056497189</v>
      </c>
      <c r="H147" s="842">
        <f>$B$322/B147</f>
        <v>2.7608524072612468</v>
      </c>
    </row>
    <row r="148" spans="1:8" ht="16.5" hidden="1" thickBot="1">
      <c r="A148" s="973" t="s">
        <v>425</v>
      </c>
      <c r="B148" s="773">
        <f>geral!C104</f>
        <v>9.49</v>
      </c>
      <c r="C148" s="748">
        <f t="shared" si="36"/>
        <v>220.69767441860466</v>
      </c>
      <c r="D148" s="750">
        <f t="shared" ref="D148:D153" si="56">100*((B148/B147)-1)</f>
        <v>4.8618784530386705</v>
      </c>
      <c r="E148" s="750">
        <f t="shared" si="54"/>
        <v>1.6331994645247594</v>
      </c>
      <c r="F148" s="751">
        <f t="shared" si="53"/>
        <v>8.457142857142852</v>
      </c>
      <c r="G148" s="840">
        <f t="shared" si="55"/>
        <v>7.2316384180791005</v>
      </c>
      <c r="H148" s="842">
        <f>$B$322/B148</f>
        <v>2.6328466054493451</v>
      </c>
    </row>
    <row r="149" spans="1:8" ht="16.5" hidden="1" thickBot="1">
      <c r="A149" s="973" t="s">
        <v>426</v>
      </c>
      <c r="B149" s="773">
        <f>geral!C105</f>
        <v>9.24</v>
      </c>
      <c r="C149" s="748">
        <f t="shared" si="36"/>
        <v>214.88372093023256</v>
      </c>
      <c r="D149" s="750">
        <f t="shared" si="56"/>
        <v>-2.6343519494204437</v>
      </c>
      <c r="E149" s="750">
        <f t="shared" si="54"/>
        <v>-1.0441767068273156</v>
      </c>
      <c r="F149" s="751">
        <f t="shared" si="53"/>
        <v>2.212389380530988</v>
      </c>
      <c r="G149" s="840">
        <f t="shared" si="55"/>
        <v>4.6432616081540257</v>
      </c>
      <c r="H149" s="842">
        <f>$B$322/B149</f>
        <v>2.7040816326530615</v>
      </c>
    </row>
    <row r="150" spans="1:8" ht="16.5" hidden="1" thickBot="1">
      <c r="A150" s="973" t="s">
        <v>427</v>
      </c>
      <c r="B150" s="773">
        <f>geral!C106</f>
        <v>9.24</v>
      </c>
      <c r="C150" s="748">
        <f t="shared" si="36"/>
        <v>214.88372093023256</v>
      </c>
      <c r="D150" s="750">
        <f t="shared" si="56"/>
        <v>0</v>
      </c>
      <c r="E150" s="750">
        <f t="shared" si="54"/>
        <v>-1.0441767068273156</v>
      </c>
      <c r="F150" s="751">
        <f t="shared" ref="F150:F155" si="57">100*((B150/B138)-1)</f>
        <v>2.7808676307007785</v>
      </c>
      <c r="G150" s="840">
        <f t="shared" si="55"/>
        <v>5.4794520547945202</v>
      </c>
      <c r="H150" s="842">
        <f>$B$322/B150</f>
        <v>2.7040816326530615</v>
      </c>
    </row>
    <row r="151" spans="1:8" ht="16.5" hidden="1" thickBot="1">
      <c r="A151" s="973" t="s">
        <v>428</v>
      </c>
      <c r="B151" s="773">
        <f>geral!C107</f>
        <v>9.17</v>
      </c>
      <c r="C151" s="748">
        <f t="shared" si="36"/>
        <v>213.25581395348837</v>
      </c>
      <c r="D151" s="750">
        <f t="shared" si="56"/>
        <v>-0.7575757575757569</v>
      </c>
      <c r="E151" s="750">
        <f t="shared" si="54"/>
        <v>-1.7938420348058925</v>
      </c>
      <c r="F151" s="751">
        <f t="shared" si="57"/>
        <v>0.21857923497268228</v>
      </c>
      <c r="G151" s="840">
        <f t="shared" si="55"/>
        <v>5.5235903337169212</v>
      </c>
      <c r="H151" s="842">
        <f>$B$322/B151</f>
        <v>2.7247234771771307</v>
      </c>
    </row>
    <row r="152" spans="1:8" ht="16.5" hidden="1" thickBot="1">
      <c r="A152" s="973" t="s">
        <v>429</v>
      </c>
      <c r="B152" s="773">
        <f>geral!C108</f>
        <v>9.4700000000000006</v>
      </c>
      <c r="C152" s="748">
        <f t="shared" si="36"/>
        <v>220.23255813953492</v>
      </c>
      <c r="D152" s="750">
        <f t="shared" si="56"/>
        <v>3.2715376226826631</v>
      </c>
      <c r="E152" s="750">
        <f t="shared" ref="E152:E157" si="58">100*((B152/$B$145)-1)</f>
        <v>1.4190093708166041</v>
      </c>
      <c r="F152" s="751">
        <f t="shared" si="57"/>
        <v>1.7185821697099923</v>
      </c>
      <c r="G152" s="840">
        <f t="shared" si="55"/>
        <v>11.019929660023454</v>
      </c>
      <c r="H152" s="842">
        <f>$B$322/B152</f>
        <v>2.6384069995474433</v>
      </c>
    </row>
    <row r="153" spans="1:8" ht="16.5" hidden="1" thickBot="1">
      <c r="A153" s="973" t="s">
        <v>430</v>
      </c>
      <c r="B153" s="773">
        <f>geral!C109</f>
        <v>9</v>
      </c>
      <c r="C153" s="748">
        <f t="shared" si="36"/>
        <v>209.30232558139537</v>
      </c>
      <c r="D153" s="750">
        <f t="shared" si="56"/>
        <v>-4.9630411826821597</v>
      </c>
      <c r="E153" s="750">
        <f t="shared" si="58"/>
        <v>-3.6144578313253017</v>
      </c>
      <c r="F153" s="751">
        <f t="shared" si="57"/>
        <v>4.7729918509895164</v>
      </c>
      <c r="G153" s="840">
        <f t="shared" ref="G153:G158" si="59">100*(B153/B129-1)</f>
        <v>4.4083526682134666</v>
      </c>
      <c r="H153" s="842">
        <f>$B$322/B153</f>
        <v>2.7761904761904765</v>
      </c>
    </row>
    <row r="154" spans="1:8" ht="16.5" hidden="1" thickBot="1">
      <c r="A154" s="973" t="s">
        <v>431</v>
      </c>
      <c r="B154" s="773">
        <f>geral!C110</f>
        <v>9.41</v>
      </c>
      <c r="C154" s="748">
        <f t="shared" si="36"/>
        <v>218.83720930232559</v>
      </c>
      <c r="D154" s="750">
        <f t="shared" ref="D154:D159" si="60">100*((B154/B153)-1)</f>
        <v>4.5555555555555571</v>
      </c>
      <c r="E154" s="750">
        <f t="shared" si="58"/>
        <v>0.77643908969209363</v>
      </c>
      <c r="F154" s="751">
        <f t="shared" si="57"/>
        <v>1.5102481121898714</v>
      </c>
      <c r="G154" s="840">
        <f t="shared" si="59"/>
        <v>11.625148279952558</v>
      </c>
      <c r="H154" s="842">
        <f>$B$322/B154</f>
        <v>2.6552299984818584</v>
      </c>
    </row>
    <row r="155" spans="1:8" ht="16.5" hidden="1" thickBot="1">
      <c r="A155" s="973" t="s">
        <v>432</v>
      </c>
      <c r="B155" s="773">
        <f>geral!C111</f>
        <v>10.01</v>
      </c>
      <c r="C155" s="748">
        <f t="shared" si="36"/>
        <v>232.79069767441862</v>
      </c>
      <c r="D155" s="750">
        <f t="shared" si="60"/>
        <v>6.3761955366631096</v>
      </c>
      <c r="E155" s="750">
        <f t="shared" si="58"/>
        <v>7.2021419009370646</v>
      </c>
      <c r="F155" s="751">
        <f t="shared" si="57"/>
        <v>8.0993520518358508</v>
      </c>
      <c r="G155" s="840">
        <f t="shared" si="59"/>
        <v>17.488262910798124</v>
      </c>
      <c r="H155" s="842">
        <f>$B$322/B155</f>
        <v>2.4960753532182105</v>
      </c>
    </row>
    <row r="156" spans="1:8" ht="16.5" hidden="1" thickBot="1">
      <c r="A156" s="973" t="s">
        <v>433</v>
      </c>
      <c r="B156" s="773">
        <f>geral!C112</f>
        <v>10.039999999999999</v>
      </c>
      <c r="C156" s="748">
        <f t="shared" si="36"/>
        <v>233.48837209302323</v>
      </c>
      <c r="D156" s="750">
        <f t="shared" si="60"/>
        <v>0.29970029970030065</v>
      </c>
      <c r="E156" s="750">
        <f t="shared" si="58"/>
        <v>7.5234270414993087</v>
      </c>
      <c r="F156" s="751">
        <f t="shared" ref="F156:F161" si="61">100*((B156/B144)-1)</f>
        <v>9.3681917211329022</v>
      </c>
      <c r="G156" s="840">
        <f t="shared" si="59"/>
        <v>17.97884841363102</v>
      </c>
      <c r="H156" s="842">
        <f>$B$322/B156</f>
        <v>2.4886169607285149</v>
      </c>
    </row>
    <row r="157" spans="1:8" ht="16.5" hidden="1" thickBot="1">
      <c r="A157" s="973" t="s">
        <v>434</v>
      </c>
      <c r="B157" s="773">
        <f>geral!C113</f>
        <v>9.98</v>
      </c>
      <c r="C157" s="748">
        <f t="shared" ref="C157:C217" si="62">100*B157/$B$8</f>
        <v>232.09302325581396</v>
      </c>
      <c r="D157" s="750">
        <f t="shared" si="60"/>
        <v>-0.59760956175297641</v>
      </c>
      <c r="E157" s="750">
        <f t="shared" si="58"/>
        <v>6.8808567603748427</v>
      </c>
      <c r="F157" s="751">
        <f t="shared" si="61"/>
        <v>6.8808567603748427</v>
      </c>
      <c r="G157" s="840">
        <f t="shared" si="59"/>
        <v>17.136150234741798</v>
      </c>
      <c r="H157" s="842">
        <f>$B$322/B157</f>
        <v>2.5035785857429147</v>
      </c>
    </row>
    <row r="158" spans="1:8" ht="16.5" hidden="1" thickBot="1">
      <c r="A158" s="973" t="s">
        <v>435</v>
      </c>
      <c r="B158" s="773">
        <f>geral!E102</f>
        <v>11.02</v>
      </c>
      <c r="C158" s="748">
        <f t="shared" si="62"/>
        <v>256.27906976744185</v>
      </c>
      <c r="D158" s="750">
        <f t="shared" si="60"/>
        <v>10.420841683366721</v>
      </c>
      <c r="E158" s="750">
        <f t="shared" ref="E158:E163" si="63">100*((B158/$B$157)-1)</f>
        <v>10.420841683366721</v>
      </c>
      <c r="F158" s="751">
        <f t="shared" si="61"/>
        <v>21.098901098901091</v>
      </c>
      <c r="G158" s="840">
        <f t="shared" si="59"/>
        <v>28.438228438228428</v>
      </c>
      <c r="H158" s="842">
        <f>$B$322/B158</f>
        <v>2.2673061965257975</v>
      </c>
    </row>
    <row r="159" spans="1:8" ht="16.5" hidden="1" thickBot="1">
      <c r="A159" s="973" t="s">
        <v>436</v>
      </c>
      <c r="B159" s="773">
        <f>geral!E103</f>
        <v>11.21</v>
      </c>
      <c r="C159" s="748">
        <f t="shared" si="62"/>
        <v>260.69767441860466</v>
      </c>
      <c r="D159" s="750">
        <f t="shared" si="60"/>
        <v>1.7241379310344973</v>
      </c>
      <c r="E159" s="750">
        <f t="shared" si="63"/>
        <v>12.324649298597201</v>
      </c>
      <c r="F159" s="751">
        <f t="shared" si="61"/>
        <v>23.867403314917123</v>
      </c>
      <c r="G159" s="840">
        <f t="shared" ref="G159:G169" si="64">100*(B159/B135-1)</f>
        <v>29.895712630359217</v>
      </c>
      <c r="H159" s="842">
        <f>$B$322/B159</f>
        <v>2.2288772779406143</v>
      </c>
    </row>
    <row r="160" spans="1:8" ht="16.5" hidden="1" thickBot="1">
      <c r="A160" s="973" t="s">
        <v>437</v>
      </c>
      <c r="B160" s="773">
        <f>geral!E104</f>
        <v>11.14</v>
      </c>
      <c r="C160" s="748">
        <f t="shared" si="62"/>
        <v>259.06976744186045</v>
      </c>
      <c r="D160" s="750">
        <f t="shared" ref="D160:D169" si="65">100*((B160/B159)-1)</f>
        <v>-0.62444246208742671</v>
      </c>
      <c r="E160" s="750">
        <f t="shared" si="63"/>
        <v>11.623246492985984</v>
      </c>
      <c r="F160" s="751">
        <f t="shared" si="61"/>
        <v>17.386722866174932</v>
      </c>
      <c r="G160" s="840">
        <f t="shared" si="64"/>
        <v>27.314285714285713</v>
      </c>
      <c r="H160" s="842">
        <f>$B$322/B160</f>
        <v>2.2428827904590922</v>
      </c>
    </row>
    <row r="161" spans="1:9" ht="16.5" hidden="1" thickBot="1">
      <c r="A161" s="973" t="s">
        <v>438</v>
      </c>
      <c r="B161" s="773">
        <f>geral!E105</f>
        <v>10.98</v>
      </c>
      <c r="C161" s="748">
        <f t="shared" si="62"/>
        <v>255.34883720930233</v>
      </c>
      <c r="D161" s="750">
        <f t="shared" si="65"/>
        <v>-1.4362657091561926</v>
      </c>
      <c r="E161" s="750">
        <f t="shared" si="63"/>
        <v>10.020040080160332</v>
      </c>
      <c r="F161" s="751">
        <f t="shared" si="61"/>
        <v>18.831168831168842</v>
      </c>
      <c r="G161" s="840">
        <f t="shared" si="64"/>
        <v>21.460176991150458</v>
      </c>
      <c r="H161" s="842">
        <f>$B$322/B161</f>
        <v>2.2755659640905543</v>
      </c>
    </row>
    <row r="162" spans="1:9" ht="16.5" hidden="1" thickBot="1">
      <c r="A162" s="973" t="s">
        <v>439</v>
      </c>
      <c r="B162" s="773">
        <f>geral!E106</f>
        <v>10.73</v>
      </c>
      <c r="C162" s="748">
        <f t="shared" si="62"/>
        <v>249.53488372093025</v>
      </c>
      <c r="D162" s="750">
        <f t="shared" si="65"/>
        <v>-2.2768670309653904</v>
      </c>
      <c r="E162" s="750">
        <f t="shared" si="63"/>
        <v>7.5150300601202424</v>
      </c>
      <c r="F162" s="751">
        <f t="shared" ref="F162:F169" si="66">100*((B162/B150)-1)</f>
        <v>16.125541125541119</v>
      </c>
      <c r="G162" s="840">
        <f t="shared" si="64"/>
        <v>19.354838709677423</v>
      </c>
      <c r="H162" s="842">
        <f>$B$322/B162</f>
        <v>2.3285847423778461</v>
      </c>
    </row>
    <row r="163" spans="1:9" ht="16.5" hidden="1" thickBot="1">
      <c r="A163" s="973" t="s">
        <v>440</v>
      </c>
      <c r="B163" s="773">
        <f>geral!E107</f>
        <v>10.7857</v>
      </c>
      <c r="C163" s="748">
        <f t="shared" si="62"/>
        <v>250.83023255813953</v>
      </c>
      <c r="D163" s="750">
        <f t="shared" si="65"/>
        <v>0.51910531220875633</v>
      </c>
      <c r="E163" s="750">
        <f t="shared" si="63"/>
        <v>8.0731462925851751</v>
      </c>
      <c r="F163" s="751">
        <f t="shared" si="66"/>
        <v>17.619411123227913</v>
      </c>
      <c r="G163" s="840">
        <f t="shared" si="64"/>
        <v>17.876502732240439</v>
      </c>
      <c r="H163" s="842">
        <f>$B$322/B163</f>
        <v>2.3165593596812712</v>
      </c>
    </row>
    <row r="164" spans="1:9" ht="16.5" hidden="1" thickBot="1">
      <c r="A164" s="973" t="s">
        <v>441</v>
      </c>
      <c r="B164" s="773">
        <f>geral!E108</f>
        <v>10.703099999999999</v>
      </c>
      <c r="C164" s="748">
        <f t="shared" si="62"/>
        <v>248.90930232558139</v>
      </c>
      <c r="D164" s="750">
        <f t="shared" si="65"/>
        <v>-0.7658288289123627</v>
      </c>
      <c r="E164" s="750">
        <f t="shared" ref="E164:E169" si="67">100*((B164/$B$157)-1)</f>
        <v>7.2454909819639202</v>
      </c>
      <c r="F164" s="751">
        <f t="shared" si="66"/>
        <v>13.021119324181619</v>
      </c>
      <c r="G164" s="840">
        <f t="shared" si="64"/>
        <v>14.963480128893657</v>
      </c>
      <c r="H164" s="842">
        <f>$B$322/B164</f>
        <v>2.3344371523870926</v>
      </c>
      <c r="I164" s="707" t="s">
        <v>241</v>
      </c>
    </row>
    <row r="165" spans="1:9" ht="16.5" hidden="1" thickBot="1">
      <c r="A165" s="973" t="s">
        <v>442</v>
      </c>
      <c r="B165" s="773">
        <f>geral!E109</f>
        <v>10.636875</v>
      </c>
      <c r="C165" s="748">
        <f t="shared" si="62"/>
        <v>247.36918604651163</v>
      </c>
      <c r="D165" s="750">
        <f t="shared" si="65"/>
        <v>-0.61874597079349947</v>
      </c>
      <c r="E165" s="750">
        <f t="shared" si="67"/>
        <v>6.5819138276552946</v>
      </c>
      <c r="F165" s="751">
        <f t="shared" si="66"/>
        <v>18.1875</v>
      </c>
      <c r="G165" s="840">
        <f t="shared" si="64"/>
        <v>23.828579743888234</v>
      </c>
      <c r="H165" s="842">
        <f>$B$322/B165</f>
        <v>2.3489713177708951</v>
      </c>
    </row>
    <row r="166" spans="1:9" ht="16.5" hidden="1" thickBot="1">
      <c r="A166" s="973" t="s">
        <v>443</v>
      </c>
      <c r="B166" s="773">
        <f>geral!E110</f>
        <v>10.649374999999999</v>
      </c>
      <c r="C166" s="748">
        <f t="shared" si="62"/>
        <v>247.65988372093025</v>
      </c>
      <c r="D166" s="750">
        <f t="shared" si="65"/>
        <v>0.11751571772724567</v>
      </c>
      <c r="E166" s="750">
        <f t="shared" si="67"/>
        <v>6.7071643286573002</v>
      </c>
      <c r="F166" s="751">
        <f t="shared" si="66"/>
        <v>13.170828905419762</v>
      </c>
      <c r="G166" s="840">
        <f t="shared" si="64"/>
        <v>14.879989212513479</v>
      </c>
      <c r="H166" s="842">
        <f>$B$322/B166</f>
        <v>2.3462141473761879</v>
      </c>
    </row>
    <row r="167" spans="1:9" ht="16.5" hidden="1" thickBot="1">
      <c r="A167" s="973" t="s">
        <v>444</v>
      </c>
      <c r="B167" s="773">
        <f>geral!E111</f>
        <v>10.599375</v>
      </c>
      <c r="C167" s="748">
        <f t="shared" si="62"/>
        <v>246.49709302325581</v>
      </c>
      <c r="D167" s="750">
        <f t="shared" si="65"/>
        <v>-0.46951112154468566</v>
      </c>
      <c r="E167" s="750">
        <f t="shared" si="67"/>
        <v>6.2061623246493003</v>
      </c>
      <c r="F167" s="751">
        <f t="shared" si="66"/>
        <v>5.8878621378621432</v>
      </c>
      <c r="G167" s="840">
        <f t="shared" si="64"/>
        <v>14.4640928725702</v>
      </c>
      <c r="H167" s="842">
        <f>$B$322/B167</f>
        <v>2.3572818478178466</v>
      </c>
    </row>
    <row r="168" spans="1:9" ht="16.5" hidden="1" thickBot="1">
      <c r="A168" s="973" t="s">
        <v>445</v>
      </c>
      <c r="B168" s="773">
        <f>geral!E112</f>
        <v>10.606249999999999</v>
      </c>
      <c r="C168" s="748">
        <f t="shared" si="62"/>
        <v>246.65697674418607</v>
      </c>
      <c r="D168" s="750">
        <f t="shared" si="65"/>
        <v>6.4862314994984516E-2</v>
      </c>
      <c r="E168" s="750">
        <f t="shared" si="67"/>
        <v>6.2750501002003967</v>
      </c>
      <c r="F168" s="751">
        <f t="shared" si="66"/>
        <v>5.6399402390438169</v>
      </c>
      <c r="G168" s="840">
        <f t="shared" si="64"/>
        <v>15.536492374727672</v>
      </c>
      <c r="H168" s="842">
        <f>$B$322/B168</f>
        <v>2.3557538513342879</v>
      </c>
    </row>
    <row r="169" spans="1:9" ht="16.5" hidden="1" thickBot="1">
      <c r="A169" s="973" t="s">
        <v>446</v>
      </c>
      <c r="B169" s="773">
        <f>geral!E113</f>
        <v>10.499375000000001</v>
      </c>
      <c r="C169" s="748">
        <f t="shared" si="62"/>
        <v>244.17151162790699</v>
      </c>
      <c r="D169" s="750">
        <f t="shared" si="65"/>
        <v>-1.0076605774896774</v>
      </c>
      <c r="E169" s="750">
        <f t="shared" si="67"/>
        <v>5.2041583166332783</v>
      </c>
      <c r="F169" s="751">
        <f t="shared" si="66"/>
        <v>5.2041583166332783</v>
      </c>
      <c r="G169" s="840">
        <f t="shared" si="64"/>
        <v>12.443105756358763</v>
      </c>
      <c r="H169" s="842">
        <f>$B$322/B169</f>
        <v>2.3797334875375236</v>
      </c>
    </row>
    <row r="170" spans="1:9" ht="16.5" hidden="1" thickBot="1">
      <c r="A170" s="973" t="s">
        <v>447</v>
      </c>
      <c r="B170" s="773">
        <f>geral!G102</f>
        <v>10.403124999999999</v>
      </c>
      <c r="C170" s="748">
        <f t="shared" si="62"/>
        <v>241.93313953488374</v>
      </c>
      <c r="D170" s="750">
        <f t="shared" ref="D170:D175" si="68">100*((B170/B169)-1)</f>
        <v>-0.91672123340675871</v>
      </c>
      <c r="E170" s="750">
        <f t="shared" ref="E170:E175" si="69">100*((B170/$B$169)-1)</f>
        <v>-0.91672123340675871</v>
      </c>
      <c r="F170" s="751">
        <f t="shared" ref="F170:F175" si="70">100*((B170/B158)-1)</f>
        <v>-5.5977767695099878</v>
      </c>
      <c r="G170" s="840">
        <f t="shared" ref="G170:G175" si="71">100*(B170/B146-1)</f>
        <v>14.320054945054949</v>
      </c>
      <c r="H170" s="842">
        <f>$B$322/B170</f>
        <v>2.4017508475303613</v>
      </c>
    </row>
    <row r="171" spans="1:9" ht="16.5" hidden="1" thickBot="1">
      <c r="A171" s="973" t="s">
        <v>448</v>
      </c>
      <c r="B171" s="773">
        <f>geral!G103</f>
        <v>10.5</v>
      </c>
      <c r="C171" s="748">
        <f t="shared" si="62"/>
        <v>244.18604651162792</v>
      </c>
      <c r="D171" s="750">
        <f t="shared" si="68"/>
        <v>0.93121057374587757</v>
      </c>
      <c r="E171" s="750">
        <f t="shared" si="69"/>
        <v>5.9527352818555812E-3</v>
      </c>
      <c r="F171" s="751">
        <f t="shared" si="70"/>
        <v>-6.3336306868867158</v>
      </c>
      <c r="G171" s="840">
        <f t="shared" si="71"/>
        <v>16.022099447513803</v>
      </c>
      <c r="H171" s="842">
        <f>$B$322/B171</f>
        <v>2.379591836734694</v>
      </c>
    </row>
    <row r="172" spans="1:9" ht="16.5" hidden="1" thickBot="1">
      <c r="A172" s="973" t="s">
        <v>449</v>
      </c>
      <c r="B172" s="773">
        <f>geral!G104</f>
        <v>10.55</v>
      </c>
      <c r="C172" s="748">
        <f t="shared" si="62"/>
        <v>245.34883720930233</v>
      </c>
      <c r="D172" s="750">
        <f t="shared" si="68"/>
        <v>0.4761904761904745</v>
      </c>
      <c r="E172" s="750">
        <f t="shared" si="69"/>
        <v>0.48217155783083498</v>
      </c>
      <c r="F172" s="751">
        <f t="shared" si="70"/>
        <v>-5.296229802513464</v>
      </c>
      <c r="G172" s="840">
        <f t="shared" si="71"/>
        <v>11.169652265542673</v>
      </c>
      <c r="H172" s="842">
        <f>$B$322/B172</f>
        <v>2.3683141503046716</v>
      </c>
    </row>
    <row r="173" spans="1:9" ht="16.5" hidden="1" thickBot="1">
      <c r="A173" s="973" t="s">
        <v>450</v>
      </c>
      <c r="B173" s="773">
        <f>geral!G105</f>
        <v>10.646875</v>
      </c>
      <c r="C173" s="748">
        <f t="shared" si="62"/>
        <v>247.60174418604652</v>
      </c>
      <c r="D173" s="750">
        <f t="shared" si="68"/>
        <v>0.91824644549762802</v>
      </c>
      <c r="E173" s="750">
        <f t="shared" si="69"/>
        <v>1.4048455265194271</v>
      </c>
      <c r="F173" s="751">
        <f t="shared" si="70"/>
        <v>-3.0339253187613879</v>
      </c>
      <c r="G173" s="840">
        <f t="shared" si="71"/>
        <v>15.225919913419904</v>
      </c>
      <c r="H173" s="842">
        <f>$B$322/B173</f>
        <v>2.3467650635246762</v>
      </c>
    </row>
    <row r="174" spans="1:9" ht="16.5" hidden="1" thickBot="1">
      <c r="A174" s="973" t="s">
        <v>451</v>
      </c>
      <c r="B174" s="773">
        <f>geral!G106</f>
        <v>10.93125</v>
      </c>
      <c r="C174" s="748">
        <f t="shared" si="62"/>
        <v>254.21511627906978</v>
      </c>
      <c r="D174" s="750">
        <f t="shared" si="68"/>
        <v>2.670971529204591</v>
      </c>
      <c r="E174" s="750">
        <f t="shared" si="69"/>
        <v>4.1133400797666475</v>
      </c>
      <c r="F174" s="751">
        <f t="shared" si="70"/>
        <v>1.8755824790307463</v>
      </c>
      <c r="G174" s="840">
        <f t="shared" si="71"/>
        <v>18.30357142857142</v>
      </c>
      <c r="H174" s="842">
        <f>$B$322/B174</f>
        <v>2.2857142857142856</v>
      </c>
    </row>
    <row r="175" spans="1:9" ht="16.5" hidden="1" thickBot="1">
      <c r="A175" s="973" t="s">
        <v>452</v>
      </c>
      <c r="B175" s="773">
        <f>geral!G107</f>
        <v>11.1</v>
      </c>
      <c r="C175" s="748">
        <f t="shared" si="62"/>
        <v>258.13953488372096</v>
      </c>
      <c r="D175" s="750">
        <f t="shared" si="68"/>
        <v>1.5437392795883298</v>
      </c>
      <c r="E175" s="750">
        <f t="shared" si="69"/>
        <v>5.7205786058693864</v>
      </c>
      <c r="F175" s="751">
        <f t="shared" si="70"/>
        <v>2.9140435947597298</v>
      </c>
      <c r="G175" s="840">
        <f t="shared" si="71"/>
        <v>21.046892039258445</v>
      </c>
      <c r="H175" s="842">
        <f>$B$322/B175</f>
        <v>2.2509652509652511</v>
      </c>
    </row>
    <row r="176" spans="1:9" ht="16.5" hidden="1" thickBot="1">
      <c r="A176" s="973" t="s">
        <v>453</v>
      </c>
      <c r="B176" s="773">
        <f>geral!G108</f>
        <v>11.15</v>
      </c>
      <c r="C176" s="748">
        <f t="shared" si="62"/>
        <v>259.30232558139534</v>
      </c>
      <c r="D176" s="750">
        <f t="shared" ref="D176:D181" si="72">100*((B176/B175)-1)</f>
        <v>0.45045045045044585</v>
      </c>
      <c r="E176" s="750">
        <f t="shared" ref="E176:E181" si="73">100*((B176/$B$169)-1)</f>
        <v>6.1967974284183658</v>
      </c>
      <c r="F176" s="751">
        <f t="shared" ref="F176:F181" si="74">100*((B176/B164)-1)</f>
        <v>4.1754258112135956</v>
      </c>
      <c r="G176" s="840">
        <f t="shared" ref="G176:G181" si="75">100*(B176/B152-1)</f>
        <v>17.740232312565986</v>
      </c>
      <c r="H176" s="842">
        <f>$B$322/B176</f>
        <v>2.2408712363869316</v>
      </c>
    </row>
    <row r="177" spans="1:8" ht="16.5" hidden="1" thickBot="1">
      <c r="A177" s="973" t="s">
        <v>454</v>
      </c>
      <c r="B177" s="773">
        <f>geral!G109</f>
        <v>11.15</v>
      </c>
      <c r="C177" s="748">
        <f t="shared" si="62"/>
        <v>259.30232558139534</v>
      </c>
      <c r="D177" s="750">
        <f t="shared" si="72"/>
        <v>0</v>
      </c>
      <c r="E177" s="750">
        <f t="shared" si="73"/>
        <v>6.1967974284183658</v>
      </c>
      <c r="F177" s="751">
        <f t="shared" si="74"/>
        <v>4.8240202127034504</v>
      </c>
      <c r="G177" s="840">
        <f t="shared" si="75"/>
        <v>23.888888888888893</v>
      </c>
      <c r="H177" s="842">
        <f>$B$322/B177</f>
        <v>2.2408712363869316</v>
      </c>
    </row>
    <row r="178" spans="1:8" ht="16.5" hidden="1" thickBot="1">
      <c r="A178" s="973" t="s">
        <v>455</v>
      </c>
      <c r="B178" s="773">
        <f>geral!G110</f>
        <v>11.2</v>
      </c>
      <c r="C178" s="748">
        <f t="shared" si="62"/>
        <v>260.46511627906978</v>
      </c>
      <c r="D178" s="750">
        <f t="shared" si="72"/>
        <v>0.4484304932735439</v>
      </c>
      <c r="E178" s="750">
        <f t="shared" si="73"/>
        <v>6.6730162509673008</v>
      </c>
      <c r="F178" s="751">
        <f t="shared" si="74"/>
        <v>5.1704912260109204</v>
      </c>
      <c r="G178" s="840">
        <f t="shared" si="75"/>
        <v>19.022316684378303</v>
      </c>
      <c r="H178" s="842">
        <f>$B$322/B178</f>
        <v>2.2308673469387759</v>
      </c>
    </row>
    <row r="179" spans="1:8" ht="16.5" hidden="1" thickBot="1">
      <c r="A179" s="973" t="s">
        <v>456</v>
      </c>
      <c r="B179" s="773">
        <f>geral!G111</f>
        <v>11.35</v>
      </c>
      <c r="C179" s="748">
        <f t="shared" si="62"/>
        <v>263.95348837209303</v>
      </c>
      <c r="D179" s="750">
        <f t="shared" si="72"/>
        <v>1.3392857142857206</v>
      </c>
      <c r="E179" s="750">
        <f t="shared" si="73"/>
        <v>8.1016727186141946</v>
      </c>
      <c r="F179" s="751">
        <f t="shared" si="74"/>
        <v>7.0817854826345839</v>
      </c>
      <c r="G179" s="840">
        <f t="shared" si="75"/>
        <v>13.386613386613377</v>
      </c>
      <c r="H179" s="842">
        <f>$B$322/B179</f>
        <v>2.2013845185651357</v>
      </c>
    </row>
    <row r="180" spans="1:8" ht="16.5" hidden="1" thickBot="1">
      <c r="A180" s="973" t="s">
        <v>457</v>
      </c>
      <c r="B180" s="773">
        <f>geral!G112</f>
        <v>11.4</v>
      </c>
      <c r="C180" s="748">
        <f t="shared" si="62"/>
        <v>265.11627906976747</v>
      </c>
      <c r="D180" s="750">
        <f t="shared" si="72"/>
        <v>0.4405286343612369</v>
      </c>
      <c r="E180" s="750">
        <f t="shared" si="73"/>
        <v>8.5778915411631509</v>
      </c>
      <c r="F180" s="751">
        <f t="shared" si="74"/>
        <v>7.4837949322333674</v>
      </c>
      <c r="G180" s="840">
        <f t="shared" si="75"/>
        <v>13.545816733067738</v>
      </c>
      <c r="H180" s="842">
        <f>$B$322/B180</f>
        <v>2.1917293233082709</v>
      </c>
    </row>
    <row r="181" spans="1:8" ht="16.5" hidden="1" thickBot="1">
      <c r="A181" s="973" t="s">
        <v>458</v>
      </c>
      <c r="B181" s="773">
        <f>geral!G113</f>
        <v>11.3</v>
      </c>
      <c r="C181" s="748">
        <f t="shared" si="62"/>
        <v>262.7906976744186</v>
      </c>
      <c r="D181" s="750">
        <f t="shared" si="72"/>
        <v>-0.87719298245613198</v>
      </c>
      <c r="E181" s="750">
        <f t="shared" si="73"/>
        <v>7.6254538960652374</v>
      </c>
      <c r="F181" s="751">
        <f t="shared" si="74"/>
        <v>7.6254538960652374</v>
      </c>
      <c r="G181" s="840">
        <f t="shared" si="75"/>
        <v>13.226452905811637</v>
      </c>
      <c r="H181" s="842">
        <f>$B$322/B181</f>
        <v>2.2111251580278131</v>
      </c>
    </row>
    <row r="182" spans="1:8" ht="16.5" hidden="1" thickBot="1">
      <c r="A182" s="973" t="s">
        <v>459</v>
      </c>
      <c r="B182" s="773">
        <f>geral!I102</f>
        <v>11.25</v>
      </c>
      <c r="C182" s="748">
        <f t="shared" si="62"/>
        <v>261.62790697674421</v>
      </c>
      <c r="D182" s="750">
        <f t="shared" ref="D182:D187" si="76">100*((B182/B181)-1)</f>
        <v>-0.44247787610620648</v>
      </c>
      <c r="E182" s="750">
        <f t="shared" ref="E182:E187" si="77">100*((B182/$B$181)-1)</f>
        <v>-0.44247787610620648</v>
      </c>
      <c r="F182" s="751">
        <f t="shared" ref="F182:F187" si="78">100*((B182/B170)-1)</f>
        <v>8.1405827575848697</v>
      </c>
      <c r="G182" s="840">
        <f t="shared" ref="G182:G187" si="79">100*(B182/B158-1)</f>
        <v>2.0871143375680523</v>
      </c>
      <c r="H182" s="842">
        <f>$B$322/B182</f>
        <v>2.2209523809523812</v>
      </c>
    </row>
    <row r="183" spans="1:8" ht="16.5" hidden="1" thickBot="1">
      <c r="A183" s="973" t="s">
        <v>460</v>
      </c>
      <c r="B183" s="773">
        <f>geral!I103</f>
        <v>11.2</v>
      </c>
      <c r="C183" s="748">
        <f t="shared" si="62"/>
        <v>260.46511627906978</v>
      </c>
      <c r="D183" s="750">
        <f t="shared" si="76"/>
        <v>-0.44444444444444731</v>
      </c>
      <c r="E183" s="750">
        <f t="shared" si="77"/>
        <v>-0.88495575221240186</v>
      </c>
      <c r="F183" s="751">
        <f t="shared" si="78"/>
        <v>6.6666666666666652</v>
      </c>
      <c r="G183" s="840">
        <f t="shared" si="79"/>
        <v>-8.9206066012503804E-2</v>
      </c>
      <c r="H183" s="842">
        <f>$B$322/B183</f>
        <v>2.2308673469387759</v>
      </c>
    </row>
    <row r="184" spans="1:8" ht="16.5" hidden="1" thickBot="1">
      <c r="A184" s="973" t="s">
        <v>461</v>
      </c>
      <c r="B184" s="773">
        <f>geral!I104</f>
        <v>11.25</v>
      </c>
      <c r="C184" s="748">
        <f t="shared" si="62"/>
        <v>261.62790697674421</v>
      </c>
      <c r="D184" s="750">
        <f t="shared" si="76"/>
        <v>0.44642857142858094</v>
      </c>
      <c r="E184" s="750">
        <f t="shared" si="77"/>
        <v>-0.44247787610620648</v>
      </c>
      <c r="F184" s="751">
        <f t="shared" si="78"/>
        <v>6.6350710900473953</v>
      </c>
      <c r="G184" s="840">
        <f t="shared" si="79"/>
        <v>0.98743267504488585</v>
      </c>
      <c r="H184" s="842">
        <f>$B$322/B184</f>
        <v>2.2209523809523812</v>
      </c>
    </row>
    <row r="185" spans="1:8" ht="16.5" hidden="1" thickBot="1">
      <c r="A185" s="973" t="s">
        <v>462</v>
      </c>
      <c r="B185" s="773">
        <f>geral!I105</f>
        <v>11.3</v>
      </c>
      <c r="C185" s="748">
        <f t="shared" si="62"/>
        <v>262.7906976744186</v>
      </c>
      <c r="D185" s="750">
        <f t="shared" si="76"/>
        <v>0.44444444444444731</v>
      </c>
      <c r="E185" s="750">
        <f t="shared" si="77"/>
        <v>0</v>
      </c>
      <c r="F185" s="751">
        <f t="shared" si="78"/>
        <v>6.1344291165248199</v>
      </c>
      <c r="G185" s="840">
        <f t="shared" si="79"/>
        <v>2.9143897996356971</v>
      </c>
      <c r="H185" s="842">
        <f>$B$322/B185</f>
        <v>2.2111251580278131</v>
      </c>
    </row>
    <row r="186" spans="1:8" ht="16.5" hidden="1" thickBot="1">
      <c r="A186" s="973" t="s">
        <v>463</v>
      </c>
      <c r="B186" s="773">
        <f>geral!I106</f>
        <v>11.290625</v>
      </c>
      <c r="C186" s="748">
        <f t="shared" si="62"/>
        <v>262.57267441860466</v>
      </c>
      <c r="D186" s="750">
        <f t="shared" si="76"/>
        <v>-8.2964601769919266E-2</v>
      </c>
      <c r="E186" s="750">
        <f t="shared" si="77"/>
        <v>-8.2964601769919266E-2</v>
      </c>
      <c r="F186" s="751">
        <f t="shared" si="78"/>
        <v>3.2875929102344159</v>
      </c>
      <c r="G186" s="840">
        <f t="shared" si="79"/>
        <v>5.2248369058713884</v>
      </c>
      <c r="H186" s="842">
        <f>$B$322/B186</f>
        <v>2.2129611324186471</v>
      </c>
    </row>
    <row r="187" spans="1:8" ht="16.5" hidden="1" thickBot="1">
      <c r="A187" s="973" t="s">
        <v>464</v>
      </c>
      <c r="B187" s="773">
        <f>geral!I107</f>
        <v>11.2</v>
      </c>
      <c r="C187" s="748">
        <f t="shared" si="62"/>
        <v>260.46511627906978</v>
      </c>
      <c r="D187" s="750">
        <f t="shared" si="76"/>
        <v>-0.80265707168558631</v>
      </c>
      <c r="E187" s="750">
        <f t="shared" si="77"/>
        <v>-0.88495575221240186</v>
      </c>
      <c r="F187" s="751">
        <f t="shared" si="78"/>
        <v>0.9009009009008917</v>
      </c>
      <c r="G187" s="840">
        <f t="shared" si="79"/>
        <v>3.8411971406584478</v>
      </c>
      <c r="H187" s="842">
        <f>$B$322/B187</f>
        <v>2.2308673469387759</v>
      </c>
    </row>
    <row r="188" spans="1:8" ht="16.5" hidden="1" thickBot="1">
      <c r="A188" s="973" t="s">
        <v>465</v>
      </c>
      <c r="B188" s="773">
        <f>geral!I108</f>
        <v>11.3</v>
      </c>
      <c r="C188" s="748">
        <f t="shared" si="62"/>
        <v>262.7906976744186</v>
      </c>
      <c r="D188" s="750">
        <f t="shared" ref="D188:D193" si="80">100*((B188/B187)-1)</f>
        <v>0.89285714285716189</v>
      </c>
      <c r="E188" s="750">
        <f t="shared" ref="E188:E193" si="81">100*((B188/$B$181)-1)</f>
        <v>0</v>
      </c>
      <c r="F188" s="751">
        <f t="shared" ref="F188:F193" si="82">100*((B188/B176)-1)</f>
        <v>1.3452914798206317</v>
      </c>
      <c r="G188" s="840">
        <f t="shared" ref="G188:G193" si="83">100*(B188/B164-1)</f>
        <v>5.5768889387187048</v>
      </c>
      <c r="H188" s="842">
        <f>$B$322/B188</f>
        <v>2.2111251580278131</v>
      </c>
    </row>
    <row r="189" spans="1:8" ht="16.5" hidden="1" thickBot="1">
      <c r="A189" s="973" t="s">
        <v>466</v>
      </c>
      <c r="B189" s="773">
        <f>geral!I109</f>
        <v>11.38</v>
      </c>
      <c r="C189" s="748">
        <f t="shared" si="62"/>
        <v>264.6511627906977</v>
      </c>
      <c r="D189" s="750">
        <f t="shared" si="80"/>
        <v>0.70796460176991705</v>
      </c>
      <c r="E189" s="750">
        <f t="shared" si="81"/>
        <v>0.70796460176991705</v>
      </c>
      <c r="F189" s="751">
        <f t="shared" si="82"/>
        <v>2.0627802690583064</v>
      </c>
      <c r="G189" s="840">
        <f t="shared" si="83"/>
        <v>6.9863094188847841</v>
      </c>
      <c r="H189" s="842">
        <f>$B$322/B189</f>
        <v>2.1955812201857898</v>
      </c>
    </row>
    <row r="190" spans="1:8" ht="16.5" hidden="1" thickBot="1">
      <c r="A190" s="973" t="s">
        <v>467</v>
      </c>
      <c r="B190" s="773">
        <f>geral!I110</f>
        <v>11.45</v>
      </c>
      <c r="C190" s="748">
        <f t="shared" si="62"/>
        <v>266.27906976744185</v>
      </c>
      <c r="D190" s="750">
        <f t="shared" si="80"/>
        <v>0.61511423550086874</v>
      </c>
      <c r="E190" s="750">
        <f t="shared" si="81"/>
        <v>1.327433628318575</v>
      </c>
      <c r="F190" s="751">
        <f t="shared" si="82"/>
        <v>2.2321428571428603</v>
      </c>
      <c r="G190" s="840">
        <f t="shared" si="83"/>
        <v>7.518046833734382</v>
      </c>
      <c r="H190" s="842">
        <f>$B$322/B190</f>
        <v>2.1821584529008113</v>
      </c>
    </row>
    <row r="191" spans="1:8" ht="16.5" hidden="1" thickBot="1">
      <c r="A191" s="973" t="s">
        <v>468</v>
      </c>
      <c r="B191" s="773">
        <f>geral!I111</f>
        <v>11.7</v>
      </c>
      <c r="C191" s="748">
        <f t="shared" si="62"/>
        <v>272.09302325581399</v>
      </c>
      <c r="D191" s="750">
        <f t="shared" si="80"/>
        <v>2.1834061135371119</v>
      </c>
      <c r="E191" s="750">
        <f t="shared" si="81"/>
        <v>3.5398230088495408</v>
      </c>
      <c r="F191" s="751">
        <f t="shared" si="82"/>
        <v>3.0837004405286361</v>
      </c>
      <c r="G191" s="840">
        <f t="shared" si="83"/>
        <v>10.383866973288502</v>
      </c>
      <c r="H191" s="842">
        <f>$B$322/B191</f>
        <v>2.1355311355311359</v>
      </c>
    </row>
    <row r="192" spans="1:8" ht="16.5" hidden="1" thickBot="1">
      <c r="A192" s="973" t="s">
        <v>469</v>
      </c>
      <c r="B192" s="773">
        <f>geral!I112</f>
        <v>11.85</v>
      </c>
      <c r="C192" s="748">
        <f t="shared" si="62"/>
        <v>275.58139534883725</v>
      </c>
      <c r="D192" s="750">
        <f t="shared" si="80"/>
        <v>1.2820512820512775</v>
      </c>
      <c r="E192" s="750">
        <f t="shared" si="81"/>
        <v>4.8672566371681381</v>
      </c>
      <c r="F192" s="751">
        <f t="shared" si="82"/>
        <v>3.9473684210526327</v>
      </c>
      <c r="G192" s="840">
        <f t="shared" si="83"/>
        <v>11.726576311137315</v>
      </c>
      <c r="H192" s="842">
        <f>$B$322/B192</f>
        <v>2.1084990958408683</v>
      </c>
    </row>
    <row r="193" spans="1:8" ht="16.5" hidden="1" thickBot="1">
      <c r="A193" s="973" t="s">
        <v>470</v>
      </c>
      <c r="B193" s="773">
        <f>geral!I113</f>
        <v>11.95</v>
      </c>
      <c r="C193" s="748">
        <f t="shared" si="62"/>
        <v>277.90697674418607</v>
      </c>
      <c r="D193" s="750">
        <f t="shared" si="80"/>
        <v>0.84388185654007408</v>
      </c>
      <c r="E193" s="750">
        <f t="shared" si="81"/>
        <v>5.7522123893805288</v>
      </c>
      <c r="F193" s="751">
        <f t="shared" si="82"/>
        <v>5.7522123893805288</v>
      </c>
      <c r="G193" s="840">
        <f t="shared" si="83"/>
        <v>13.816298589201725</v>
      </c>
      <c r="H193" s="842">
        <f>$B$322/B193</f>
        <v>2.0908547519426182</v>
      </c>
    </row>
    <row r="194" spans="1:8" ht="16.5" hidden="1" thickBot="1">
      <c r="A194" s="973" t="s">
        <v>471</v>
      </c>
      <c r="B194" s="773">
        <f>geral!K102</f>
        <v>11.61</v>
      </c>
      <c r="C194" s="748">
        <f t="shared" si="62"/>
        <v>270</v>
      </c>
      <c r="D194" s="750">
        <f t="shared" ref="D194:D199" si="84">100*((B194/B193)-1)</f>
        <v>-2.8451882845188292</v>
      </c>
      <c r="E194" s="750">
        <f t="shared" ref="E194:E199" si="85">100*((B194/$B$193)-1)</f>
        <v>-2.8451882845188292</v>
      </c>
      <c r="F194" s="751">
        <f t="shared" ref="F194:F199" si="86">100*((B194/B182)-1)</f>
        <v>3.2000000000000028</v>
      </c>
      <c r="G194" s="840">
        <f t="shared" ref="G194:G199" si="87">100*(B194/B170-1)</f>
        <v>11.601081405827586</v>
      </c>
      <c r="H194" s="842">
        <f>$B$322/B194</f>
        <v>2.1520856404577335</v>
      </c>
    </row>
    <row r="195" spans="1:8" ht="16.5" hidden="1" thickBot="1">
      <c r="A195" s="973" t="s">
        <v>472</v>
      </c>
      <c r="B195" s="773">
        <f>geral!K103</f>
        <v>14.64</v>
      </c>
      <c r="C195" s="748">
        <f t="shared" si="62"/>
        <v>340.46511627906978</v>
      </c>
      <c r="D195" s="750">
        <f t="shared" si="84"/>
        <v>26.098191214470301</v>
      </c>
      <c r="E195" s="750">
        <f t="shared" si="85"/>
        <v>22.510460251046037</v>
      </c>
      <c r="F195" s="751">
        <f t="shared" si="86"/>
        <v>30.714285714285737</v>
      </c>
      <c r="G195" s="840">
        <f t="shared" si="87"/>
        <v>39.428571428571438</v>
      </c>
      <c r="H195" s="842">
        <f>$B$322/B195</f>
        <v>1.7066744730679158</v>
      </c>
    </row>
    <row r="196" spans="1:8" ht="16.5" hidden="1" thickBot="1">
      <c r="A196" s="973" t="s">
        <v>473</v>
      </c>
      <c r="B196" s="773">
        <f>geral!K104</f>
        <v>14</v>
      </c>
      <c r="C196" s="748">
        <f t="shared" si="62"/>
        <v>325.58139534883725</v>
      </c>
      <c r="D196" s="750">
        <f t="shared" si="84"/>
        <v>-4.3715846994535568</v>
      </c>
      <c r="E196" s="750">
        <f t="shared" si="85"/>
        <v>17.154811715481188</v>
      </c>
      <c r="F196" s="751">
        <f t="shared" si="86"/>
        <v>24.444444444444446</v>
      </c>
      <c r="G196" s="840">
        <f t="shared" si="87"/>
        <v>32.701421800947863</v>
      </c>
      <c r="H196" s="842">
        <f>$B$322/B196</f>
        <v>1.7846938775510206</v>
      </c>
    </row>
    <row r="197" spans="1:8" ht="16.5" hidden="1" thickBot="1">
      <c r="A197" s="973" t="s">
        <v>474</v>
      </c>
      <c r="B197" s="773">
        <f>geral!K105</f>
        <v>14</v>
      </c>
      <c r="C197" s="748">
        <f t="shared" si="62"/>
        <v>325.58139534883725</v>
      </c>
      <c r="D197" s="750">
        <f t="shared" si="84"/>
        <v>0</v>
      </c>
      <c r="E197" s="750">
        <f t="shared" si="85"/>
        <v>17.154811715481188</v>
      </c>
      <c r="F197" s="751">
        <f t="shared" si="86"/>
        <v>23.893805309734507</v>
      </c>
      <c r="G197" s="840">
        <f t="shared" si="87"/>
        <v>31.493982976225432</v>
      </c>
      <c r="H197" s="842">
        <f>$B$322/B197</f>
        <v>1.7846938775510206</v>
      </c>
    </row>
    <row r="198" spans="1:8" ht="16.5" hidden="1" thickBot="1">
      <c r="A198" s="973" t="s">
        <v>475</v>
      </c>
      <c r="B198" s="773">
        <f>geral!K106</f>
        <v>14</v>
      </c>
      <c r="C198" s="748">
        <f t="shared" si="62"/>
        <v>325.58139534883725</v>
      </c>
      <c r="D198" s="750">
        <f t="shared" si="84"/>
        <v>0</v>
      </c>
      <c r="E198" s="750">
        <f t="shared" si="85"/>
        <v>17.154811715481188</v>
      </c>
      <c r="F198" s="751">
        <f t="shared" si="86"/>
        <v>23.996678660393012</v>
      </c>
      <c r="G198" s="840">
        <f t="shared" si="87"/>
        <v>28.073184676958252</v>
      </c>
      <c r="H198" s="842">
        <f>$B$322/B198</f>
        <v>1.7846938775510206</v>
      </c>
    </row>
    <row r="199" spans="1:8" ht="16.5" hidden="1" thickBot="1">
      <c r="A199" s="973" t="s">
        <v>476</v>
      </c>
      <c r="B199" s="773">
        <f>geral!K107</f>
        <v>14</v>
      </c>
      <c r="C199" s="748">
        <f t="shared" si="62"/>
        <v>325.58139534883725</v>
      </c>
      <c r="D199" s="750">
        <f t="shared" si="84"/>
        <v>0</v>
      </c>
      <c r="E199" s="750">
        <f t="shared" si="85"/>
        <v>17.154811715481188</v>
      </c>
      <c r="F199" s="751">
        <f t="shared" si="86"/>
        <v>25</v>
      </c>
      <c r="G199" s="840">
        <f t="shared" si="87"/>
        <v>26.126126126126124</v>
      </c>
      <c r="H199" s="842">
        <f>$B$322/B199</f>
        <v>1.7846938775510206</v>
      </c>
    </row>
    <row r="200" spans="1:8" ht="16.5" hidden="1" thickBot="1">
      <c r="A200" s="973" t="s">
        <v>477</v>
      </c>
      <c r="B200" s="773">
        <f>geral!K108</f>
        <v>16.64</v>
      </c>
      <c r="C200" s="748">
        <f t="shared" si="62"/>
        <v>386.97674418604652</v>
      </c>
      <c r="D200" s="750">
        <f t="shared" ref="D200:D205" si="88">100*((B200/B199)-1)</f>
        <v>18.857142857142861</v>
      </c>
      <c r="E200" s="750">
        <f t="shared" ref="E200:E205" si="89">100*((B200/$B$193)-1)</f>
        <v>39.246861924686208</v>
      </c>
      <c r="F200" s="751">
        <f t="shared" ref="F200:F205" si="90">100*((B200/B188)-1)</f>
        <v>47.256637168141594</v>
      </c>
      <c r="G200" s="840">
        <f t="shared" ref="G200:G205" si="91">100*(B200/B176-1)</f>
        <v>49.237668161434975</v>
      </c>
      <c r="H200" s="842">
        <f>$B$322/B200</f>
        <v>1.5015453296703298</v>
      </c>
    </row>
    <row r="201" spans="1:8" ht="16.5" hidden="1" thickBot="1">
      <c r="A201" s="973" t="s">
        <v>478</v>
      </c>
      <c r="B201" s="773">
        <f>geral!K109</f>
        <v>16.64</v>
      </c>
      <c r="C201" s="748">
        <f t="shared" si="62"/>
        <v>386.97674418604652</v>
      </c>
      <c r="D201" s="750">
        <f t="shared" si="88"/>
        <v>0</v>
      </c>
      <c r="E201" s="750">
        <f t="shared" si="89"/>
        <v>39.246861924686208</v>
      </c>
      <c r="F201" s="751">
        <f t="shared" si="90"/>
        <v>46.221441124780306</v>
      </c>
      <c r="G201" s="840">
        <f t="shared" si="91"/>
        <v>49.237668161434975</v>
      </c>
      <c r="H201" s="842">
        <f>$B$322/B201</f>
        <v>1.5015453296703298</v>
      </c>
    </row>
    <row r="202" spans="1:8" ht="16.5" hidden="1" thickBot="1">
      <c r="A202" s="973" t="s">
        <v>479</v>
      </c>
      <c r="B202" s="773">
        <f>geral!K110</f>
        <v>16.98</v>
      </c>
      <c r="C202" s="748">
        <f t="shared" si="62"/>
        <v>394.88372093023258</v>
      </c>
      <c r="D202" s="750">
        <f t="shared" si="88"/>
        <v>2.0432692307692291</v>
      </c>
      <c r="E202" s="750">
        <f t="shared" si="89"/>
        <v>42.092050209205034</v>
      </c>
      <c r="F202" s="751">
        <f t="shared" si="90"/>
        <v>48.29694323144107</v>
      </c>
      <c r="G202" s="840">
        <f t="shared" si="91"/>
        <v>51.607142857142875</v>
      </c>
      <c r="H202" s="842">
        <f>$B$322/B202</f>
        <v>1.4714790509843514</v>
      </c>
    </row>
    <row r="203" spans="1:8" ht="16.5" hidden="1" thickBot="1">
      <c r="A203" s="973" t="s">
        <v>480</v>
      </c>
      <c r="B203" s="773">
        <f>geral!K111</f>
        <v>16.850000000000001</v>
      </c>
      <c r="C203" s="748">
        <f t="shared" si="62"/>
        <v>391.86046511627916</v>
      </c>
      <c r="D203" s="750">
        <f t="shared" si="88"/>
        <v>-0.76560659599528291</v>
      </c>
      <c r="E203" s="750">
        <f t="shared" si="89"/>
        <v>41.004184100418442</v>
      </c>
      <c r="F203" s="751">
        <f t="shared" si="90"/>
        <v>44.017094017094038</v>
      </c>
      <c r="G203" s="840">
        <f t="shared" si="91"/>
        <v>48.458149779735706</v>
      </c>
      <c r="H203" s="842">
        <f>$B$322/B203</f>
        <v>1.4828317083509961</v>
      </c>
    </row>
    <row r="204" spans="1:8" ht="16.5" hidden="1" thickBot="1">
      <c r="A204" s="973" t="s">
        <v>481</v>
      </c>
      <c r="B204" s="773">
        <f>geral!K112</f>
        <v>16.850000000000001</v>
      </c>
      <c r="C204" s="748">
        <f t="shared" si="62"/>
        <v>391.86046511627916</v>
      </c>
      <c r="D204" s="750">
        <f t="shared" si="88"/>
        <v>0</v>
      </c>
      <c r="E204" s="750">
        <f t="shared" si="89"/>
        <v>41.004184100418442</v>
      </c>
      <c r="F204" s="751">
        <f t="shared" si="90"/>
        <v>42.194092827004241</v>
      </c>
      <c r="G204" s="840">
        <f t="shared" si="91"/>
        <v>47.807017543859651</v>
      </c>
      <c r="H204" s="842">
        <f>$B$322/B204</f>
        <v>1.4828317083509961</v>
      </c>
    </row>
    <row r="205" spans="1:8" ht="16.5" hidden="1" thickBot="1">
      <c r="A205" s="1015" t="s">
        <v>482</v>
      </c>
      <c r="B205" s="931">
        <f>geral!K113</f>
        <v>17.914285714285715</v>
      </c>
      <c r="C205" s="755">
        <f t="shared" si="62"/>
        <v>416.61129568106315</v>
      </c>
      <c r="D205" s="756">
        <f t="shared" si="88"/>
        <v>6.3162356930902774</v>
      </c>
      <c r="E205" s="756">
        <f t="shared" si="89"/>
        <v>49.91034070531979</v>
      </c>
      <c r="F205" s="757">
        <f t="shared" si="90"/>
        <v>49.91034070531979</v>
      </c>
      <c r="G205" s="841">
        <f t="shared" si="91"/>
        <v>58.533501896333753</v>
      </c>
      <c r="H205" s="922">
        <f>$B$322/B205</f>
        <v>1.3947368421052633</v>
      </c>
    </row>
    <row r="206" spans="1:8">
      <c r="A206" s="1013" t="s">
        <v>483</v>
      </c>
      <c r="B206" s="864">
        <f>geral!M102</f>
        <v>17.914285714285715</v>
      </c>
      <c r="C206" s="852">
        <f t="shared" si="62"/>
        <v>416.61129568106315</v>
      </c>
      <c r="D206" s="853">
        <f t="shared" ref="D206:D211" si="92">100*((B206/B205)-1)</f>
        <v>0</v>
      </c>
      <c r="E206" s="853">
        <f t="shared" ref="E206:E211" si="93">100*((B206/$B$205)-1)</f>
        <v>0</v>
      </c>
      <c r="F206" s="854">
        <f t="shared" ref="F206:F211" si="94">100*((B206/B194)-1)</f>
        <v>54.300479881875233</v>
      </c>
      <c r="G206" s="855">
        <f t="shared" ref="G206:G211" si="95">100*(B206/B182-1)</f>
        <v>59.238095238095248</v>
      </c>
      <c r="H206" s="856">
        <f>$B$322/B206</f>
        <v>1.3947368421052633</v>
      </c>
    </row>
    <row r="207" spans="1:8">
      <c r="A207" s="1014" t="s">
        <v>484</v>
      </c>
      <c r="B207" s="868">
        <f>geral!M103</f>
        <v>17.914285714285715</v>
      </c>
      <c r="C207" s="857">
        <f t="shared" si="62"/>
        <v>416.61129568106315</v>
      </c>
      <c r="D207" s="858">
        <f t="shared" si="92"/>
        <v>0</v>
      </c>
      <c r="E207" s="858">
        <f t="shared" si="93"/>
        <v>0</v>
      </c>
      <c r="F207" s="859">
        <f t="shared" si="94"/>
        <v>22.365339578454325</v>
      </c>
      <c r="G207" s="860">
        <f t="shared" si="95"/>
        <v>59.948979591836739</v>
      </c>
      <c r="H207" s="861">
        <f>$B$322/B207</f>
        <v>1.3947368421052633</v>
      </c>
    </row>
    <row r="208" spans="1:8">
      <c r="A208" s="1014" t="s">
        <v>485</v>
      </c>
      <c r="B208" s="868">
        <f>geral!M104</f>
        <v>17.914285714285715</v>
      </c>
      <c r="C208" s="857">
        <f t="shared" si="62"/>
        <v>416.61129568106315</v>
      </c>
      <c r="D208" s="858">
        <f t="shared" si="92"/>
        <v>0</v>
      </c>
      <c r="E208" s="858">
        <f t="shared" si="93"/>
        <v>0</v>
      </c>
      <c r="F208" s="859">
        <f t="shared" si="94"/>
        <v>27.95918367346939</v>
      </c>
      <c r="G208" s="860">
        <f t="shared" si="95"/>
        <v>59.238095238095248</v>
      </c>
      <c r="H208" s="861">
        <f t="shared" ref="H208:H271" si="96">$B$322/B208</f>
        <v>1.3947368421052633</v>
      </c>
    </row>
    <row r="209" spans="1:8">
      <c r="A209" s="1014" t="s">
        <v>486</v>
      </c>
      <c r="B209" s="868">
        <f>geral!M105</f>
        <v>18</v>
      </c>
      <c r="C209" s="857">
        <f t="shared" si="62"/>
        <v>418.60465116279073</v>
      </c>
      <c r="D209" s="858">
        <f t="shared" si="92"/>
        <v>0.47846889952152249</v>
      </c>
      <c r="E209" s="858">
        <f t="shared" si="93"/>
        <v>0.47846889952152249</v>
      </c>
      <c r="F209" s="859">
        <f t="shared" si="94"/>
        <v>28.57142857142858</v>
      </c>
      <c r="G209" s="860">
        <f t="shared" si="95"/>
        <v>59.29203539823007</v>
      </c>
      <c r="H209" s="861">
        <f t="shared" si="96"/>
        <v>1.3880952380952383</v>
      </c>
    </row>
    <row r="210" spans="1:8">
      <c r="A210" s="1014" t="s">
        <v>487</v>
      </c>
      <c r="B210" s="868">
        <f>geral!M106</f>
        <v>18</v>
      </c>
      <c r="C210" s="857">
        <f t="shared" si="62"/>
        <v>418.60465116279073</v>
      </c>
      <c r="D210" s="858">
        <f t="shared" si="92"/>
        <v>0</v>
      </c>
      <c r="E210" s="858">
        <f t="shared" si="93"/>
        <v>0.47846889952152249</v>
      </c>
      <c r="F210" s="859">
        <f t="shared" si="94"/>
        <v>28.57142857142858</v>
      </c>
      <c r="G210" s="860">
        <f t="shared" si="95"/>
        <v>59.424301134791023</v>
      </c>
      <c r="H210" s="861">
        <f t="shared" si="96"/>
        <v>1.3880952380952383</v>
      </c>
    </row>
    <row r="211" spans="1:8">
      <c r="A211" s="1014" t="s">
        <v>488</v>
      </c>
      <c r="B211" s="868">
        <f>geral!M107</f>
        <v>18</v>
      </c>
      <c r="C211" s="857">
        <f t="shared" si="62"/>
        <v>418.60465116279073</v>
      </c>
      <c r="D211" s="858">
        <f t="shared" si="92"/>
        <v>0</v>
      </c>
      <c r="E211" s="858">
        <f t="shared" si="93"/>
        <v>0.47846889952152249</v>
      </c>
      <c r="F211" s="859">
        <f t="shared" si="94"/>
        <v>28.57142857142858</v>
      </c>
      <c r="G211" s="860">
        <f t="shared" si="95"/>
        <v>60.714285714285722</v>
      </c>
      <c r="H211" s="861">
        <f t="shared" si="96"/>
        <v>1.3880952380952383</v>
      </c>
    </row>
    <row r="212" spans="1:8">
      <c r="A212" s="1014" t="s">
        <v>489</v>
      </c>
      <c r="B212" s="868">
        <f>geral!M108</f>
        <v>17.899999999999999</v>
      </c>
      <c r="C212" s="857">
        <f t="shared" si="62"/>
        <v>416.2790697674418</v>
      </c>
      <c r="D212" s="858">
        <f t="shared" ref="D212:D217" si="97">100*((B212/B211)-1)</f>
        <v>-0.55555555555556468</v>
      </c>
      <c r="E212" s="858">
        <f t="shared" ref="E212:E217" si="98">100*((B212/$B$205)-1)</f>
        <v>-7.9744816586935219E-2</v>
      </c>
      <c r="F212" s="859">
        <f t="shared" ref="F212:F217" si="99">100*((B212/B200)-1)</f>
        <v>7.5721153846153744</v>
      </c>
      <c r="G212" s="860">
        <f t="shared" ref="G212:G217" si="100">100*(B212/B188-1)</f>
        <v>58.407079646017678</v>
      </c>
      <c r="H212" s="861">
        <f t="shared" si="96"/>
        <v>1.3958499600957703</v>
      </c>
    </row>
    <row r="213" spans="1:8">
      <c r="A213" s="1014" t="s">
        <v>490</v>
      </c>
      <c r="B213" s="868">
        <f>geral!M109</f>
        <v>18.899999999999999</v>
      </c>
      <c r="C213" s="857">
        <f t="shared" si="62"/>
        <v>439.53488372093022</v>
      </c>
      <c r="D213" s="858">
        <f t="shared" si="97"/>
        <v>5.5865921787709549</v>
      </c>
      <c r="E213" s="858">
        <f t="shared" si="98"/>
        <v>5.5023923444976086</v>
      </c>
      <c r="F213" s="859">
        <f t="shared" si="99"/>
        <v>13.581730769230749</v>
      </c>
      <c r="G213" s="860">
        <f t="shared" si="100"/>
        <v>66.080843585237233</v>
      </c>
      <c r="H213" s="861">
        <f t="shared" si="96"/>
        <v>1.321995464852608</v>
      </c>
    </row>
    <row r="214" spans="1:8">
      <c r="A214" s="1014" t="s">
        <v>491</v>
      </c>
      <c r="B214" s="868">
        <f>geral!M110</f>
        <v>18.899999999999999</v>
      </c>
      <c r="C214" s="857">
        <f t="shared" si="62"/>
        <v>439.53488372093022</v>
      </c>
      <c r="D214" s="858">
        <f t="shared" si="97"/>
        <v>0</v>
      </c>
      <c r="E214" s="858">
        <f t="shared" si="98"/>
        <v>5.5023923444976086</v>
      </c>
      <c r="F214" s="859">
        <f t="shared" si="99"/>
        <v>11.307420494699638</v>
      </c>
      <c r="G214" s="860">
        <f t="shared" si="100"/>
        <v>65.065502183406124</v>
      </c>
      <c r="H214" s="861">
        <f t="shared" si="96"/>
        <v>1.321995464852608</v>
      </c>
    </row>
    <row r="215" spans="1:8">
      <c r="A215" s="1014" t="s">
        <v>492</v>
      </c>
      <c r="B215" s="868">
        <f>geral!M111</f>
        <v>18.899999999999999</v>
      </c>
      <c r="C215" s="857">
        <f t="shared" si="62"/>
        <v>439.53488372093022</v>
      </c>
      <c r="D215" s="858">
        <f t="shared" si="97"/>
        <v>0</v>
      </c>
      <c r="E215" s="858">
        <f t="shared" si="98"/>
        <v>5.5023923444976086</v>
      </c>
      <c r="F215" s="859">
        <f t="shared" si="99"/>
        <v>12.166172106824913</v>
      </c>
      <c r="G215" s="860">
        <f t="shared" si="100"/>
        <v>61.53846153846154</v>
      </c>
      <c r="H215" s="861">
        <f t="shared" si="96"/>
        <v>1.321995464852608</v>
      </c>
    </row>
    <row r="216" spans="1:8">
      <c r="A216" s="1014" t="s">
        <v>493</v>
      </c>
      <c r="B216" s="868">
        <f>geral!M112</f>
        <v>18.899999999999999</v>
      </c>
      <c r="C216" s="857">
        <f t="shared" si="62"/>
        <v>439.53488372093022</v>
      </c>
      <c r="D216" s="858">
        <f t="shared" si="97"/>
        <v>0</v>
      </c>
      <c r="E216" s="858">
        <f t="shared" si="98"/>
        <v>5.5023923444976086</v>
      </c>
      <c r="F216" s="859">
        <f t="shared" si="99"/>
        <v>12.166172106824913</v>
      </c>
      <c r="G216" s="860">
        <f t="shared" si="100"/>
        <v>59.493670886075932</v>
      </c>
      <c r="H216" s="861">
        <f t="shared" si="96"/>
        <v>1.321995464852608</v>
      </c>
    </row>
    <row r="217" spans="1:8">
      <c r="A217" s="1014" t="s">
        <v>494</v>
      </c>
      <c r="B217" s="868">
        <f>geral!M113</f>
        <v>18.899999999999999</v>
      </c>
      <c r="C217" s="857">
        <f t="shared" si="62"/>
        <v>439.53488372093022</v>
      </c>
      <c r="D217" s="858">
        <f t="shared" si="97"/>
        <v>0</v>
      </c>
      <c r="E217" s="858">
        <f t="shared" si="98"/>
        <v>5.5023923444976086</v>
      </c>
      <c r="F217" s="859">
        <f t="shared" si="99"/>
        <v>5.5023923444976086</v>
      </c>
      <c r="G217" s="860">
        <f t="shared" si="100"/>
        <v>58.158995815899587</v>
      </c>
      <c r="H217" s="861">
        <f t="shared" si="96"/>
        <v>1.321995464852608</v>
      </c>
    </row>
    <row r="218" spans="1:8">
      <c r="A218" s="1014" t="s">
        <v>495</v>
      </c>
      <c r="B218" s="868">
        <f>geral!C117</f>
        <v>19.042857142857144</v>
      </c>
      <c r="C218" s="857">
        <f t="shared" ref="C218:C223" si="101">100*B218/$B$8</f>
        <v>442.85714285714289</v>
      </c>
      <c r="D218" s="858">
        <f t="shared" ref="D218:D223" si="102">100*((B218/B217)-1)</f>
        <v>0.75585789871506215</v>
      </c>
      <c r="E218" s="858">
        <f t="shared" ref="E218:E223" si="103">100*((B218/$B$217)-1)</f>
        <v>0.75585789871506215</v>
      </c>
      <c r="F218" s="859">
        <f t="shared" ref="F218:F223" si="104">100*((B218/B206)-1)</f>
        <v>6.2998405103668276</v>
      </c>
      <c r="G218" s="860">
        <f t="shared" ref="G218:G223" si="105">100*(B218/B194-1)</f>
        <v>64.02116402116404</v>
      </c>
      <c r="H218" s="861">
        <f t="shared" si="96"/>
        <v>1.3120780195048762</v>
      </c>
    </row>
    <row r="219" spans="1:8">
      <c r="A219" s="1014" t="s">
        <v>496</v>
      </c>
      <c r="B219" s="868">
        <f>geral!C118</f>
        <v>19.042857142857144</v>
      </c>
      <c r="C219" s="857">
        <f t="shared" si="101"/>
        <v>442.85714285714289</v>
      </c>
      <c r="D219" s="858">
        <f t="shared" si="102"/>
        <v>0</v>
      </c>
      <c r="E219" s="858">
        <f t="shared" si="103"/>
        <v>0.75585789871506215</v>
      </c>
      <c r="F219" s="859">
        <f t="shared" si="104"/>
        <v>6.2998405103668276</v>
      </c>
      <c r="G219" s="860">
        <f t="shared" si="105"/>
        <v>30.074160811865735</v>
      </c>
      <c r="H219" s="861">
        <f t="shared" si="96"/>
        <v>1.3120780195048762</v>
      </c>
    </row>
    <row r="220" spans="1:8">
      <c r="A220" s="1014" t="s">
        <v>497</v>
      </c>
      <c r="B220" s="868">
        <f>geral!C119</f>
        <v>19.190000000000001</v>
      </c>
      <c r="C220" s="857">
        <f t="shared" si="101"/>
        <v>446.27906976744191</v>
      </c>
      <c r="D220" s="858">
        <f t="shared" si="102"/>
        <v>0.77269317329331511</v>
      </c>
      <c r="E220" s="858">
        <f t="shared" si="103"/>
        <v>1.5343915343915437</v>
      </c>
      <c r="F220" s="859">
        <f t="shared" si="104"/>
        <v>7.1212121212121282</v>
      </c>
      <c r="G220" s="860">
        <f t="shared" si="105"/>
        <v>37.071428571428577</v>
      </c>
      <c r="H220" s="861">
        <f t="shared" si="96"/>
        <v>1.3020174197870915</v>
      </c>
    </row>
    <row r="221" spans="1:8">
      <c r="A221" s="1014" t="s">
        <v>498</v>
      </c>
      <c r="B221" s="868">
        <f>geral!C120</f>
        <v>19.190000000000001</v>
      </c>
      <c r="C221" s="857">
        <f t="shared" si="101"/>
        <v>446.27906976744191</v>
      </c>
      <c r="D221" s="858">
        <f t="shared" si="102"/>
        <v>0</v>
      </c>
      <c r="E221" s="858">
        <f t="shared" si="103"/>
        <v>1.5343915343915437</v>
      </c>
      <c r="F221" s="859">
        <f t="shared" si="104"/>
        <v>6.6111111111111232</v>
      </c>
      <c r="G221" s="860">
        <f t="shared" si="105"/>
        <v>37.071428571428577</v>
      </c>
      <c r="H221" s="861">
        <f t="shared" si="96"/>
        <v>1.3020174197870915</v>
      </c>
    </row>
    <row r="222" spans="1:8">
      <c r="A222" s="1014" t="s">
        <v>499</v>
      </c>
      <c r="B222" s="868">
        <f>geral!C121</f>
        <v>18.671428571428574</v>
      </c>
      <c r="C222" s="857">
        <f t="shared" si="101"/>
        <v>434.2192691029901</v>
      </c>
      <c r="D222" s="858">
        <f t="shared" si="102"/>
        <v>-2.7023003052184857</v>
      </c>
      <c r="E222" s="858">
        <f t="shared" si="103"/>
        <v>-1.2093726379440395</v>
      </c>
      <c r="F222" s="859">
        <f t="shared" si="104"/>
        <v>3.7301587301587391</v>
      </c>
      <c r="G222" s="860">
        <f t="shared" si="105"/>
        <v>33.367346938775519</v>
      </c>
      <c r="H222" s="861">
        <f t="shared" si="96"/>
        <v>1.3381790359602141</v>
      </c>
    </row>
    <row r="223" spans="1:8">
      <c r="A223" s="1014" t="s">
        <v>500</v>
      </c>
      <c r="B223" s="868">
        <f>geral!C122</f>
        <v>18.671428571428574</v>
      </c>
      <c r="C223" s="857">
        <f t="shared" si="101"/>
        <v>434.2192691029901</v>
      </c>
      <c r="D223" s="858">
        <f t="shared" si="102"/>
        <v>0</v>
      </c>
      <c r="E223" s="858">
        <f t="shared" si="103"/>
        <v>-1.2093726379440395</v>
      </c>
      <c r="F223" s="859">
        <f t="shared" si="104"/>
        <v>3.7301587301587391</v>
      </c>
      <c r="G223" s="860">
        <f t="shared" si="105"/>
        <v>33.367346938775519</v>
      </c>
      <c r="H223" s="861">
        <f t="shared" si="96"/>
        <v>1.3381790359602141</v>
      </c>
    </row>
    <row r="224" spans="1:8">
      <c r="A224" s="1014" t="s">
        <v>501</v>
      </c>
      <c r="B224" s="868">
        <f>geral!C123</f>
        <v>18.671428571428574</v>
      </c>
      <c r="C224" s="857">
        <f t="shared" ref="C224:C229" si="106">100*B224/$B$8</f>
        <v>434.2192691029901</v>
      </c>
      <c r="D224" s="858">
        <f t="shared" ref="D224:D229" si="107">100*((B224/B223)-1)</f>
        <v>0</v>
      </c>
      <c r="E224" s="858">
        <f t="shared" ref="E224:E229" si="108">100*((B224/$B$217)-1)</f>
        <v>-1.2093726379440395</v>
      </c>
      <c r="F224" s="859">
        <f t="shared" ref="F224:F229" si="109">100*((B224/B212)-1)</f>
        <v>4.3096568236233201</v>
      </c>
      <c r="G224" s="860">
        <f t="shared" ref="G224:G229" si="110">100*(B224/B200-1)</f>
        <v>12.208104395604401</v>
      </c>
      <c r="H224" s="861">
        <f t="shared" si="96"/>
        <v>1.3381790359602141</v>
      </c>
    </row>
    <row r="225" spans="1:8">
      <c r="A225" s="1014" t="s">
        <v>502</v>
      </c>
      <c r="B225" s="868">
        <f>geral!C124</f>
        <v>18.671428571428574</v>
      </c>
      <c r="C225" s="857">
        <f t="shared" si="106"/>
        <v>434.2192691029901</v>
      </c>
      <c r="D225" s="858">
        <f t="shared" si="107"/>
        <v>0</v>
      </c>
      <c r="E225" s="858">
        <f t="shared" si="108"/>
        <v>-1.2093726379440395</v>
      </c>
      <c r="F225" s="859">
        <f t="shared" si="109"/>
        <v>-1.2093726379440395</v>
      </c>
      <c r="G225" s="860">
        <f t="shared" si="110"/>
        <v>12.208104395604401</v>
      </c>
      <c r="H225" s="861">
        <f t="shared" si="96"/>
        <v>1.3381790359602141</v>
      </c>
    </row>
    <row r="226" spans="1:8">
      <c r="A226" s="1014" t="s">
        <v>503</v>
      </c>
      <c r="B226" s="868">
        <f>geral!C125</f>
        <v>18.671428571428574</v>
      </c>
      <c r="C226" s="857">
        <f t="shared" si="106"/>
        <v>434.2192691029901</v>
      </c>
      <c r="D226" s="858">
        <f t="shared" si="107"/>
        <v>0</v>
      </c>
      <c r="E226" s="858">
        <f t="shared" si="108"/>
        <v>-1.2093726379440395</v>
      </c>
      <c r="F226" s="859">
        <f t="shared" si="109"/>
        <v>-1.2093726379440395</v>
      </c>
      <c r="G226" s="860">
        <f t="shared" si="110"/>
        <v>9.9612990072354144</v>
      </c>
      <c r="H226" s="861">
        <f t="shared" si="96"/>
        <v>1.3381790359602141</v>
      </c>
    </row>
    <row r="227" spans="1:8">
      <c r="A227" s="1014" t="s">
        <v>504</v>
      </c>
      <c r="B227" s="868">
        <f>geral!C126</f>
        <v>20.100000000000001</v>
      </c>
      <c r="C227" s="857">
        <f t="shared" si="106"/>
        <v>467.44186046511635</v>
      </c>
      <c r="D227" s="858">
        <f t="shared" si="107"/>
        <v>7.6511094108645761</v>
      </c>
      <c r="E227" s="858">
        <f t="shared" si="108"/>
        <v>6.3492063492063711</v>
      </c>
      <c r="F227" s="859">
        <f t="shared" si="109"/>
        <v>6.3492063492063711</v>
      </c>
      <c r="G227" s="860">
        <f t="shared" si="110"/>
        <v>19.287833827893163</v>
      </c>
      <c r="H227" s="861">
        <f t="shared" si="96"/>
        <v>1.2430703624733475</v>
      </c>
    </row>
    <row r="228" spans="1:8">
      <c r="A228" s="1014" t="s">
        <v>505</v>
      </c>
      <c r="B228" s="868">
        <f>geral!C127</f>
        <v>20.100000000000001</v>
      </c>
      <c r="C228" s="857">
        <f t="shared" si="106"/>
        <v>467.44186046511635</v>
      </c>
      <c r="D228" s="858">
        <f t="shared" si="107"/>
        <v>0</v>
      </c>
      <c r="E228" s="858">
        <f t="shared" si="108"/>
        <v>6.3492063492063711</v>
      </c>
      <c r="F228" s="859">
        <f t="shared" si="109"/>
        <v>6.3492063492063711</v>
      </c>
      <c r="G228" s="860">
        <f t="shared" si="110"/>
        <v>19.287833827893163</v>
      </c>
      <c r="H228" s="861">
        <f t="shared" si="96"/>
        <v>1.2430703624733475</v>
      </c>
    </row>
    <row r="229" spans="1:8">
      <c r="A229" s="1014" t="s">
        <v>506</v>
      </c>
      <c r="B229" s="868">
        <f>geral!C128</f>
        <v>20.100000000000001</v>
      </c>
      <c r="C229" s="857">
        <f t="shared" si="106"/>
        <v>467.44186046511635</v>
      </c>
      <c r="D229" s="858">
        <f t="shared" si="107"/>
        <v>0</v>
      </c>
      <c r="E229" s="858">
        <f t="shared" si="108"/>
        <v>6.3492063492063711</v>
      </c>
      <c r="F229" s="859">
        <f t="shared" si="109"/>
        <v>6.3492063492063711</v>
      </c>
      <c r="G229" s="860">
        <f t="shared" si="110"/>
        <v>12.200956937799056</v>
      </c>
      <c r="H229" s="861">
        <f t="shared" si="96"/>
        <v>1.2430703624733475</v>
      </c>
    </row>
    <row r="230" spans="1:8">
      <c r="A230" s="1014" t="s">
        <v>507</v>
      </c>
      <c r="B230" s="868">
        <f>geral!E117</f>
        <v>20.100000000000001</v>
      </c>
      <c r="C230" s="857">
        <f t="shared" ref="C230:C235" si="111">100*B230/$B$8</f>
        <v>467.44186046511635</v>
      </c>
      <c r="D230" s="858">
        <f t="shared" ref="D230:D235" si="112">100*((B230/B229)-1)</f>
        <v>0</v>
      </c>
      <c r="E230" s="858">
        <f t="shared" ref="E230:E235" si="113">100*((B230/$B$229)-1)</f>
        <v>0</v>
      </c>
      <c r="F230" s="859">
        <f t="shared" ref="F230:F235" si="114">100*((B230/B218)-1)</f>
        <v>5.5513878469617417</v>
      </c>
      <c r="G230" s="860">
        <f t="shared" ref="G230:G235" si="115">100*(B230/B206-1)</f>
        <v>12.200956937799056</v>
      </c>
      <c r="H230" s="861">
        <f t="shared" si="96"/>
        <v>1.2430703624733475</v>
      </c>
    </row>
    <row r="231" spans="1:8">
      <c r="A231" s="1014" t="s">
        <v>508</v>
      </c>
      <c r="B231" s="868">
        <f>geral!E118</f>
        <v>20.100000000000001</v>
      </c>
      <c r="C231" s="857">
        <f t="shared" si="111"/>
        <v>467.44186046511635</v>
      </c>
      <c r="D231" s="858">
        <f t="shared" si="112"/>
        <v>0</v>
      </c>
      <c r="E231" s="858">
        <f t="shared" si="113"/>
        <v>0</v>
      </c>
      <c r="F231" s="859">
        <f t="shared" si="114"/>
        <v>5.5513878469617417</v>
      </c>
      <c r="G231" s="860">
        <f t="shared" si="115"/>
        <v>12.200956937799056</v>
      </c>
      <c r="H231" s="861">
        <f t="shared" si="96"/>
        <v>1.2430703624733475</v>
      </c>
    </row>
    <row r="232" spans="1:8">
      <c r="A232" s="1014" t="s">
        <v>509</v>
      </c>
      <c r="B232" s="868">
        <f>geral!E119</f>
        <v>20.100000000000001</v>
      </c>
      <c r="C232" s="857">
        <f t="shared" si="111"/>
        <v>467.44186046511635</v>
      </c>
      <c r="D232" s="858">
        <f t="shared" si="112"/>
        <v>0</v>
      </c>
      <c r="E232" s="858">
        <f t="shared" si="113"/>
        <v>0</v>
      </c>
      <c r="F232" s="859">
        <f t="shared" si="114"/>
        <v>4.7420531526837006</v>
      </c>
      <c r="G232" s="860">
        <f t="shared" si="115"/>
        <v>12.200956937799056</v>
      </c>
      <c r="H232" s="861">
        <f t="shared" si="96"/>
        <v>1.2430703624733475</v>
      </c>
    </row>
    <row r="233" spans="1:8">
      <c r="A233" s="1014" t="s">
        <v>510</v>
      </c>
      <c r="B233" s="868">
        <f>geral!E120</f>
        <v>20.100000000000001</v>
      </c>
      <c r="C233" s="857">
        <f t="shared" si="111"/>
        <v>467.44186046511635</v>
      </c>
      <c r="D233" s="858">
        <f t="shared" si="112"/>
        <v>0</v>
      </c>
      <c r="E233" s="858">
        <f t="shared" si="113"/>
        <v>0</v>
      </c>
      <c r="F233" s="859">
        <f t="shared" si="114"/>
        <v>4.7420531526837006</v>
      </c>
      <c r="G233" s="860">
        <f t="shared" si="115"/>
        <v>11.66666666666667</v>
      </c>
      <c r="H233" s="861">
        <f t="shared" si="96"/>
        <v>1.2430703624733475</v>
      </c>
    </row>
    <row r="234" spans="1:8">
      <c r="A234" s="1014" t="s">
        <v>511</v>
      </c>
      <c r="B234" s="868">
        <f>geral!E121</f>
        <v>20.157142857142862</v>
      </c>
      <c r="C234" s="857">
        <f t="shared" si="111"/>
        <v>468.77076411960149</v>
      </c>
      <c r="D234" s="858">
        <f t="shared" si="112"/>
        <v>0.28429282160626901</v>
      </c>
      <c r="E234" s="858">
        <f t="shared" si="113"/>
        <v>0.28429282160626901</v>
      </c>
      <c r="F234" s="859">
        <f t="shared" si="114"/>
        <v>7.957153787299176</v>
      </c>
      <c r="G234" s="860">
        <f t="shared" si="115"/>
        <v>11.984126984127009</v>
      </c>
      <c r="H234" s="861">
        <f t="shared" si="96"/>
        <v>1.2395464209780296</v>
      </c>
    </row>
    <row r="235" spans="1:8">
      <c r="A235" s="1014" t="s">
        <v>512</v>
      </c>
      <c r="B235" s="868">
        <f>geral!E122</f>
        <v>20.157142857142862</v>
      </c>
      <c r="C235" s="857">
        <f t="shared" si="111"/>
        <v>468.77076411960149</v>
      </c>
      <c r="D235" s="858">
        <f t="shared" si="112"/>
        <v>0</v>
      </c>
      <c r="E235" s="858">
        <f t="shared" si="113"/>
        <v>0.28429282160626901</v>
      </c>
      <c r="F235" s="859">
        <f t="shared" si="114"/>
        <v>7.957153787299176</v>
      </c>
      <c r="G235" s="860">
        <f t="shared" si="115"/>
        <v>11.984126984127009</v>
      </c>
      <c r="H235" s="861">
        <f t="shared" si="96"/>
        <v>1.2395464209780296</v>
      </c>
    </row>
    <row r="236" spans="1:8">
      <c r="A236" s="1014" t="s">
        <v>513</v>
      </c>
      <c r="B236" s="868">
        <f>geral!E123</f>
        <v>20.014285714285716</v>
      </c>
      <c r="C236" s="857">
        <f t="shared" ref="C236:C241" si="116">100*B236/$B$8</f>
        <v>465.44850498338877</v>
      </c>
      <c r="D236" s="858">
        <f t="shared" ref="D236:D241" si="117">100*((B236/B235)-1)</f>
        <v>-0.70871722182850316</v>
      </c>
      <c r="E236" s="858">
        <f t="shared" ref="E236:E241" si="118">100*((B236/$B$229)-1)</f>
        <v>-0.42643923240938131</v>
      </c>
      <c r="F236" s="859">
        <f t="shared" ref="F236:F241" si="119">100*((B236/B224)-1)</f>
        <v>7.1920428462126873</v>
      </c>
      <c r="G236" s="860">
        <f t="shared" ref="G236:G241" si="120">100*(B236/B212-1)</f>
        <v>11.811652035115738</v>
      </c>
      <c r="H236" s="861">
        <f t="shared" si="96"/>
        <v>1.2483940042826551</v>
      </c>
    </row>
    <row r="237" spans="1:8">
      <c r="A237" s="1014" t="s">
        <v>514</v>
      </c>
      <c r="B237" s="868">
        <f>geral!E124</f>
        <v>20.014285714285716</v>
      </c>
      <c r="C237" s="857">
        <f t="shared" si="116"/>
        <v>465.44850498338877</v>
      </c>
      <c r="D237" s="858">
        <f t="shared" si="117"/>
        <v>0</v>
      </c>
      <c r="E237" s="858">
        <f t="shared" si="118"/>
        <v>-0.42643923240938131</v>
      </c>
      <c r="F237" s="859">
        <f t="shared" si="119"/>
        <v>7.1920428462126873</v>
      </c>
      <c r="G237" s="860">
        <f t="shared" si="120"/>
        <v>5.8956916099773382</v>
      </c>
      <c r="H237" s="861">
        <f t="shared" si="96"/>
        <v>1.2483940042826551</v>
      </c>
    </row>
    <row r="238" spans="1:8">
      <c r="A238" s="1014" t="s">
        <v>515</v>
      </c>
      <c r="B238" s="868">
        <f>geral!E125</f>
        <v>20.014285714285716</v>
      </c>
      <c r="C238" s="857">
        <f t="shared" si="116"/>
        <v>465.44850498338877</v>
      </c>
      <c r="D238" s="858">
        <f t="shared" si="117"/>
        <v>0</v>
      </c>
      <c r="E238" s="858">
        <f t="shared" si="118"/>
        <v>-0.42643923240938131</v>
      </c>
      <c r="F238" s="859">
        <f t="shared" si="119"/>
        <v>7.1920428462126873</v>
      </c>
      <c r="G238" s="860">
        <f t="shared" si="120"/>
        <v>5.8956916099773382</v>
      </c>
      <c r="H238" s="861">
        <f t="shared" si="96"/>
        <v>1.2483940042826551</v>
      </c>
    </row>
    <row r="239" spans="1:8">
      <c r="A239" s="1014" t="s">
        <v>516</v>
      </c>
      <c r="B239" s="868">
        <f>geral!E126</f>
        <v>20.014285714285716</v>
      </c>
      <c r="C239" s="857">
        <f t="shared" si="116"/>
        <v>465.44850498338877</v>
      </c>
      <c r="D239" s="858">
        <f t="shared" si="117"/>
        <v>0</v>
      </c>
      <c r="E239" s="858">
        <f t="shared" si="118"/>
        <v>-0.42643923240938131</v>
      </c>
      <c r="F239" s="859">
        <f t="shared" si="119"/>
        <v>-0.42643923240938131</v>
      </c>
      <c r="G239" s="860">
        <f t="shared" si="120"/>
        <v>5.8956916099773382</v>
      </c>
      <c r="H239" s="861">
        <f t="shared" si="96"/>
        <v>1.2483940042826551</v>
      </c>
    </row>
    <row r="240" spans="1:8">
      <c r="A240" s="1014" t="s">
        <v>517</v>
      </c>
      <c r="B240" s="868">
        <f>geral!E127</f>
        <v>20.014285714285716</v>
      </c>
      <c r="C240" s="857">
        <f t="shared" si="116"/>
        <v>465.44850498338877</v>
      </c>
      <c r="D240" s="858">
        <f t="shared" si="117"/>
        <v>0</v>
      </c>
      <c r="E240" s="858">
        <f t="shared" si="118"/>
        <v>-0.42643923240938131</v>
      </c>
      <c r="F240" s="859">
        <f t="shared" si="119"/>
        <v>-0.42643923240938131</v>
      </c>
      <c r="G240" s="860">
        <f t="shared" si="120"/>
        <v>5.8956916099773382</v>
      </c>
      <c r="H240" s="861">
        <f t="shared" si="96"/>
        <v>1.2483940042826551</v>
      </c>
    </row>
    <row r="241" spans="1:8">
      <c r="A241" s="1014" t="s">
        <v>518</v>
      </c>
      <c r="B241" s="868">
        <f>geral!E128</f>
        <v>20.228571428571431</v>
      </c>
      <c r="C241" s="857">
        <f t="shared" si="116"/>
        <v>470.43189368770771</v>
      </c>
      <c r="D241" s="858">
        <f t="shared" si="117"/>
        <v>1.0706638115631772</v>
      </c>
      <c r="E241" s="858">
        <f t="shared" si="118"/>
        <v>0.63965884861407751</v>
      </c>
      <c r="F241" s="859">
        <f t="shared" si="119"/>
        <v>0.63965884861407751</v>
      </c>
      <c r="G241" s="860">
        <f t="shared" si="120"/>
        <v>7.0294784580499092</v>
      </c>
      <c r="H241" s="861">
        <f t="shared" si="96"/>
        <v>1.2351694915254237</v>
      </c>
    </row>
    <row r="242" spans="1:8">
      <c r="A242" s="1014" t="s">
        <v>519</v>
      </c>
      <c r="B242" s="868">
        <f>geral!G117</f>
        <v>20.228571428571431</v>
      </c>
      <c r="C242" s="857">
        <f t="shared" ref="C242:C247" si="121">100*B242/$B$8</f>
        <v>470.43189368770771</v>
      </c>
      <c r="D242" s="858">
        <f t="shared" ref="D242:D247" si="122">100*((B242/B241)-1)</f>
        <v>0</v>
      </c>
      <c r="E242" s="858">
        <f t="shared" ref="E242:E247" si="123">100*((B242/$B$241)-1)</f>
        <v>0</v>
      </c>
      <c r="F242" s="859">
        <f t="shared" ref="F242:F247" si="124">100*((B242/B230)-1)</f>
        <v>0.63965884861407751</v>
      </c>
      <c r="G242" s="860">
        <f t="shared" ref="G242:G247" si="125">100*(B242/B218-1)</f>
        <v>6.226556639159786</v>
      </c>
      <c r="H242" s="861">
        <f t="shared" si="96"/>
        <v>1.2351694915254237</v>
      </c>
    </row>
    <row r="243" spans="1:8">
      <c r="A243" s="1014" t="s">
        <v>520</v>
      </c>
      <c r="B243" s="868">
        <f>geral!G118</f>
        <v>20.228571428571431</v>
      </c>
      <c r="C243" s="857">
        <f t="shared" si="121"/>
        <v>470.43189368770771</v>
      </c>
      <c r="D243" s="858">
        <f t="shared" si="122"/>
        <v>0</v>
      </c>
      <c r="E243" s="858">
        <f t="shared" si="123"/>
        <v>0</v>
      </c>
      <c r="F243" s="859">
        <f t="shared" si="124"/>
        <v>0.63965884861407751</v>
      </c>
      <c r="G243" s="860">
        <f t="shared" si="125"/>
        <v>6.226556639159786</v>
      </c>
      <c r="H243" s="861">
        <f t="shared" si="96"/>
        <v>1.2351694915254237</v>
      </c>
    </row>
    <row r="244" spans="1:8">
      <c r="A244" s="1014" t="s">
        <v>521</v>
      </c>
      <c r="B244" s="868">
        <f>geral!G119</f>
        <v>20.228571428571431</v>
      </c>
      <c r="C244" s="857">
        <f t="shared" si="121"/>
        <v>470.43189368770771</v>
      </c>
      <c r="D244" s="858">
        <f t="shared" si="122"/>
        <v>0</v>
      </c>
      <c r="E244" s="858">
        <f t="shared" si="123"/>
        <v>0</v>
      </c>
      <c r="F244" s="859">
        <f t="shared" si="124"/>
        <v>0.63965884861407751</v>
      </c>
      <c r="G244" s="860">
        <f t="shared" si="125"/>
        <v>5.4120449638948909</v>
      </c>
      <c r="H244" s="861">
        <f t="shared" si="96"/>
        <v>1.2351694915254237</v>
      </c>
    </row>
    <row r="245" spans="1:8">
      <c r="A245" s="1014" t="s">
        <v>522</v>
      </c>
      <c r="B245" s="868">
        <f>geral!G120</f>
        <v>20.228571428571431</v>
      </c>
      <c r="C245" s="857">
        <f t="shared" si="121"/>
        <v>470.43189368770771</v>
      </c>
      <c r="D245" s="858">
        <f t="shared" si="122"/>
        <v>0</v>
      </c>
      <c r="E245" s="858">
        <f t="shared" si="123"/>
        <v>0</v>
      </c>
      <c r="F245" s="859">
        <f t="shared" si="124"/>
        <v>0.63965884861407751</v>
      </c>
      <c r="G245" s="860">
        <f t="shared" si="125"/>
        <v>5.4120449638948909</v>
      </c>
      <c r="H245" s="861">
        <f t="shared" si="96"/>
        <v>1.2351694915254237</v>
      </c>
    </row>
    <row r="246" spans="1:8">
      <c r="A246" s="1014" t="s">
        <v>523</v>
      </c>
      <c r="B246" s="868">
        <f>geral!G121</f>
        <v>20.228571428571431</v>
      </c>
      <c r="C246" s="857">
        <f t="shared" si="121"/>
        <v>470.43189368770771</v>
      </c>
      <c r="D246" s="858">
        <f t="shared" si="122"/>
        <v>0</v>
      </c>
      <c r="E246" s="858">
        <f t="shared" si="123"/>
        <v>0</v>
      </c>
      <c r="F246" s="859">
        <f t="shared" si="124"/>
        <v>0.35435861091424048</v>
      </c>
      <c r="G246" s="860">
        <f t="shared" si="125"/>
        <v>8.3397092578423759</v>
      </c>
      <c r="H246" s="861">
        <f t="shared" si="96"/>
        <v>1.2351694915254237</v>
      </c>
    </row>
    <row r="247" spans="1:8">
      <c r="A247" s="1014" t="s">
        <v>524</v>
      </c>
      <c r="B247" s="868">
        <f>geral!G122</f>
        <v>20.228571428571431</v>
      </c>
      <c r="C247" s="857">
        <f t="shared" si="121"/>
        <v>470.43189368770771</v>
      </c>
      <c r="D247" s="858">
        <f t="shared" si="122"/>
        <v>0</v>
      </c>
      <c r="E247" s="858">
        <f t="shared" si="123"/>
        <v>0</v>
      </c>
      <c r="F247" s="859">
        <f t="shared" si="124"/>
        <v>0.35435861091424048</v>
      </c>
      <c r="G247" s="860">
        <f t="shared" si="125"/>
        <v>8.3397092578423759</v>
      </c>
      <c r="H247" s="861">
        <f t="shared" si="96"/>
        <v>1.2351694915254237</v>
      </c>
    </row>
    <row r="248" spans="1:8">
      <c r="A248" s="1014" t="s">
        <v>525</v>
      </c>
      <c r="B248" s="868">
        <f>geral!G123</f>
        <v>20.228571428571431</v>
      </c>
      <c r="C248" s="857">
        <f t="shared" ref="C248:C253" si="126">100*B248/$B$8</f>
        <v>470.43189368770771</v>
      </c>
      <c r="D248" s="858">
        <f t="shared" ref="D248:D253" si="127">100*((B248/B247)-1)</f>
        <v>0</v>
      </c>
      <c r="E248" s="858">
        <f t="shared" ref="E248:E253" si="128">100*((B248/$B$241)-1)</f>
        <v>0</v>
      </c>
      <c r="F248" s="859">
        <f t="shared" ref="F248:F253" si="129">100*((B248/B236)-1)</f>
        <v>1.0706638115631772</v>
      </c>
      <c r="G248" s="860">
        <f t="shared" ref="G248:G253" si="130">100*(B248/B224-1)</f>
        <v>8.3397092578423759</v>
      </c>
      <c r="H248" s="861">
        <f t="shared" si="96"/>
        <v>1.2351694915254237</v>
      </c>
    </row>
    <row r="249" spans="1:8">
      <c r="A249" s="1014" t="s">
        <v>526</v>
      </c>
      <c r="B249" s="868">
        <f>geral!G124</f>
        <v>20.228571428571431</v>
      </c>
      <c r="C249" s="857">
        <f t="shared" si="126"/>
        <v>470.43189368770771</v>
      </c>
      <c r="D249" s="858">
        <f t="shared" si="127"/>
        <v>0</v>
      </c>
      <c r="E249" s="858">
        <f t="shared" si="128"/>
        <v>0</v>
      </c>
      <c r="F249" s="859">
        <f t="shared" si="129"/>
        <v>1.0706638115631772</v>
      </c>
      <c r="G249" s="860">
        <f t="shared" si="130"/>
        <v>8.3397092578423759</v>
      </c>
      <c r="H249" s="861">
        <f t="shared" si="96"/>
        <v>1.2351694915254237</v>
      </c>
    </row>
    <row r="250" spans="1:8">
      <c r="A250" s="1014" t="s">
        <v>527</v>
      </c>
      <c r="B250" s="868">
        <f>geral!G125</f>
        <v>20.228571428571431</v>
      </c>
      <c r="C250" s="857">
        <f t="shared" si="126"/>
        <v>470.43189368770771</v>
      </c>
      <c r="D250" s="858">
        <f t="shared" si="127"/>
        <v>0</v>
      </c>
      <c r="E250" s="858">
        <f t="shared" si="128"/>
        <v>0</v>
      </c>
      <c r="F250" s="859">
        <f t="shared" si="129"/>
        <v>1.0706638115631772</v>
      </c>
      <c r="G250" s="860">
        <f t="shared" si="130"/>
        <v>8.3397092578423759</v>
      </c>
      <c r="H250" s="861">
        <f t="shared" si="96"/>
        <v>1.2351694915254237</v>
      </c>
    </row>
    <row r="251" spans="1:8">
      <c r="A251" s="1014" t="s">
        <v>528</v>
      </c>
      <c r="B251" s="868">
        <f>geral!G126</f>
        <v>20.228571428571431</v>
      </c>
      <c r="C251" s="857">
        <f t="shared" si="126"/>
        <v>470.43189368770771</v>
      </c>
      <c r="D251" s="858">
        <f t="shared" si="127"/>
        <v>0</v>
      </c>
      <c r="E251" s="858">
        <f t="shared" si="128"/>
        <v>0</v>
      </c>
      <c r="F251" s="859">
        <f t="shared" si="129"/>
        <v>1.0706638115631772</v>
      </c>
      <c r="G251" s="860">
        <f t="shared" si="130"/>
        <v>0.63965884861407751</v>
      </c>
      <c r="H251" s="861">
        <f t="shared" si="96"/>
        <v>1.2351694915254237</v>
      </c>
    </row>
    <row r="252" spans="1:8">
      <c r="A252" s="1014" t="s">
        <v>529</v>
      </c>
      <c r="B252" s="868">
        <f>geral!G127</f>
        <v>20.228571428571431</v>
      </c>
      <c r="C252" s="857">
        <f t="shared" si="126"/>
        <v>470.43189368770771</v>
      </c>
      <c r="D252" s="858">
        <f t="shared" si="127"/>
        <v>0</v>
      </c>
      <c r="E252" s="858">
        <f t="shared" si="128"/>
        <v>0</v>
      </c>
      <c r="F252" s="859">
        <f t="shared" si="129"/>
        <v>1.0706638115631772</v>
      </c>
      <c r="G252" s="860">
        <f t="shared" si="130"/>
        <v>0.63965884861407751</v>
      </c>
      <c r="H252" s="861">
        <f t="shared" si="96"/>
        <v>1.2351694915254237</v>
      </c>
    </row>
    <row r="253" spans="1:8">
      <c r="A253" s="1014" t="s">
        <v>530</v>
      </c>
      <c r="B253" s="868">
        <f>geral!G128</f>
        <v>20.228571428571431</v>
      </c>
      <c r="C253" s="857">
        <f t="shared" si="126"/>
        <v>470.43189368770771</v>
      </c>
      <c r="D253" s="858">
        <f t="shared" si="127"/>
        <v>0</v>
      </c>
      <c r="E253" s="858">
        <f t="shared" si="128"/>
        <v>0</v>
      </c>
      <c r="F253" s="859">
        <f t="shared" si="129"/>
        <v>0</v>
      </c>
      <c r="G253" s="860">
        <f t="shared" si="130"/>
        <v>0.63965884861407751</v>
      </c>
      <c r="H253" s="861">
        <f t="shared" si="96"/>
        <v>1.2351694915254237</v>
      </c>
    </row>
    <row r="254" spans="1:8">
      <c r="A254" s="1014" t="s">
        <v>531</v>
      </c>
      <c r="B254" s="868">
        <f>geral!I117</f>
        <v>20.6</v>
      </c>
      <c r="C254" s="857">
        <f t="shared" ref="C254:C259" si="131">100*B254/$B$8</f>
        <v>479.06976744186051</v>
      </c>
      <c r="D254" s="858">
        <f t="shared" ref="D254:D259" si="132">100*((B254/B253)-1)</f>
        <v>1.836158192090398</v>
      </c>
      <c r="E254" s="858">
        <f t="shared" ref="E254:E259" si="133">100*((B254/$B$253)-1)</f>
        <v>1.836158192090398</v>
      </c>
      <c r="F254" s="859">
        <f t="shared" ref="F254:F259" si="134">100*((B254/B242)-1)</f>
        <v>1.836158192090398</v>
      </c>
      <c r="G254" s="860">
        <f t="shared" ref="G254:G259" si="135">100*(B254/B230-1)</f>
        <v>2.4875621890547261</v>
      </c>
      <c r="H254" s="861">
        <f t="shared" si="96"/>
        <v>1.2128987517337031</v>
      </c>
    </row>
    <row r="255" spans="1:8">
      <c r="A255" s="1014" t="s">
        <v>649</v>
      </c>
      <c r="B255" s="868">
        <f>geral!I118</f>
        <v>20.628571428571433</v>
      </c>
      <c r="C255" s="857">
        <f t="shared" si="131"/>
        <v>479.73421926910305</v>
      </c>
      <c r="D255" s="858">
        <f t="shared" si="132"/>
        <v>0.13869625520113171</v>
      </c>
      <c r="E255" s="858">
        <f t="shared" si="133"/>
        <v>1.9774011299435124</v>
      </c>
      <c r="F255" s="859">
        <f t="shared" si="134"/>
        <v>1.9774011299435124</v>
      </c>
      <c r="G255" s="860">
        <f t="shared" si="135"/>
        <v>2.6297085998578718</v>
      </c>
      <c r="H255" s="861">
        <f t="shared" si="96"/>
        <v>1.2112188365650967</v>
      </c>
    </row>
    <row r="256" spans="1:8">
      <c r="A256" s="1014" t="s">
        <v>650</v>
      </c>
      <c r="B256" s="868">
        <f>geral!I119</f>
        <v>20.628571428571433</v>
      </c>
      <c r="C256" s="857">
        <f t="shared" si="131"/>
        <v>479.73421926910305</v>
      </c>
      <c r="D256" s="858">
        <f t="shared" si="132"/>
        <v>0</v>
      </c>
      <c r="E256" s="858">
        <f t="shared" si="133"/>
        <v>1.9774011299435124</v>
      </c>
      <c r="F256" s="859">
        <f t="shared" si="134"/>
        <v>1.9774011299435124</v>
      </c>
      <c r="G256" s="860">
        <f t="shared" si="135"/>
        <v>2.6297085998578718</v>
      </c>
      <c r="H256" s="861">
        <f t="shared" si="96"/>
        <v>1.2112188365650967</v>
      </c>
    </row>
    <row r="257" spans="1:8">
      <c r="A257" s="1014" t="s">
        <v>652</v>
      </c>
      <c r="B257" s="868">
        <f>geral!I120</f>
        <v>20.628571428571433</v>
      </c>
      <c r="C257" s="857">
        <f t="shared" si="131"/>
        <v>479.73421926910305</v>
      </c>
      <c r="D257" s="858">
        <f t="shared" si="132"/>
        <v>0</v>
      </c>
      <c r="E257" s="858">
        <f t="shared" si="133"/>
        <v>1.9774011299435124</v>
      </c>
      <c r="F257" s="859">
        <f t="shared" si="134"/>
        <v>1.9774011299435124</v>
      </c>
      <c r="G257" s="860">
        <f t="shared" si="135"/>
        <v>2.6297085998578718</v>
      </c>
      <c r="H257" s="861">
        <f t="shared" si="96"/>
        <v>1.2112188365650967</v>
      </c>
    </row>
    <row r="258" spans="1:8">
      <c r="A258" s="1014" t="s">
        <v>653</v>
      </c>
      <c r="B258" s="868">
        <f>geral!I121</f>
        <v>20.628571428571433</v>
      </c>
      <c r="C258" s="857">
        <f t="shared" si="131"/>
        <v>479.73421926910305</v>
      </c>
      <c r="D258" s="858">
        <f t="shared" si="132"/>
        <v>0</v>
      </c>
      <c r="E258" s="858">
        <f t="shared" si="133"/>
        <v>1.9774011299435124</v>
      </c>
      <c r="F258" s="859">
        <f t="shared" si="134"/>
        <v>1.9774011299435124</v>
      </c>
      <c r="G258" s="860">
        <f t="shared" si="135"/>
        <v>2.3387668320340227</v>
      </c>
      <c r="H258" s="861">
        <f t="shared" si="96"/>
        <v>1.2112188365650967</v>
      </c>
    </row>
    <row r="259" spans="1:8">
      <c r="A259" s="1014" t="s">
        <v>654</v>
      </c>
      <c r="B259" s="868">
        <f>geral!I122</f>
        <v>20.628571428571433</v>
      </c>
      <c r="C259" s="857">
        <f t="shared" si="131"/>
        <v>479.73421926910305</v>
      </c>
      <c r="D259" s="858">
        <f t="shared" si="132"/>
        <v>0</v>
      </c>
      <c r="E259" s="858">
        <f t="shared" si="133"/>
        <v>1.9774011299435124</v>
      </c>
      <c r="F259" s="859">
        <f t="shared" si="134"/>
        <v>1.9774011299435124</v>
      </c>
      <c r="G259" s="860">
        <f t="shared" si="135"/>
        <v>2.3387668320340227</v>
      </c>
      <c r="H259" s="861">
        <f t="shared" si="96"/>
        <v>1.2112188365650967</v>
      </c>
    </row>
    <row r="260" spans="1:8">
      <c r="A260" s="1014" t="s">
        <v>657</v>
      </c>
      <c r="B260" s="868">
        <f>geral!I123</f>
        <v>20.628571428571433</v>
      </c>
      <c r="C260" s="857">
        <f t="shared" ref="C260:C265" si="136">100*B260/$B$8</f>
        <v>479.73421926910305</v>
      </c>
      <c r="D260" s="858">
        <f t="shared" ref="D260:D265" si="137">100*((B260/B259)-1)</f>
        <v>0</v>
      </c>
      <c r="E260" s="858">
        <f t="shared" ref="E260:E265" si="138">100*((B260/$B$253)-1)</f>
        <v>1.9774011299435124</v>
      </c>
      <c r="F260" s="859">
        <f t="shared" ref="F260:F265" si="139">100*((B260/B248)-1)</f>
        <v>1.9774011299435124</v>
      </c>
      <c r="G260" s="860">
        <f t="shared" ref="G260:G265" si="140">100*(B260/B236-1)</f>
        <v>3.069236259814434</v>
      </c>
      <c r="H260" s="861">
        <f t="shared" si="96"/>
        <v>1.2112188365650967</v>
      </c>
    </row>
    <row r="261" spans="1:8">
      <c r="A261" s="1014" t="str">
        <f>ARLA_32!A49</f>
        <v>AGOSTO|15</v>
      </c>
      <c r="B261" s="868">
        <f>geral!I124</f>
        <v>20.75714285714286</v>
      </c>
      <c r="C261" s="857">
        <f t="shared" si="136"/>
        <v>482.72425249169441</v>
      </c>
      <c r="D261" s="858">
        <f t="shared" si="137"/>
        <v>0.62326869806093033</v>
      </c>
      <c r="E261" s="858">
        <f t="shared" si="138"/>
        <v>2.6129943502824826</v>
      </c>
      <c r="F261" s="859">
        <f t="shared" si="139"/>
        <v>2.6129943502824826</v>
      </c>
      <c r="G261" s="860">
        <f t="shared" si="140"/>
        <v>3.7116345467523182</v>
      </c>
      <c r="H261" s="861">
        <f t="shared" si="96"/>
        <v>1.2037164487267722</v>
      </c>
    </row>
    <row r="262" spans="1:8">
      <c r="A262" s="1032" t="str">
        <f>ARLA_32!A50</f>
        <v>SETEMBRO|15</v>
      </c>
      <c r="B262" s="1072">
        <f>geral!I125</f>
        <v>20.75714285714286</v>
      </c>
      <c r="C262" s="918">
        <f t="shared" si="136"/>
        <v>482.72425249169441</v>
      </c>
      <c r="D262" s="919">
        <f t="shared" si="137"/>
        <v>0</v>
      </c>
      <c r="E262" s="919">
        <f t="shared" si="138"/>
        <v>2.6129943502824826</v>
      </c>
      <c r="F262" s="920">
        <f t="shared" si="139"/>
        <v>2.6129943502824826</v>
      </c>
      <c r="G262" s="921">
        <f t="shared" si="140"/>
        <v>3.7116345467523182</v>
      </c>
      <c r="H262" s="861">
        <f t="shared" si="96"/>
        <v>1.2037164487267722</v>
      </c>
    </row>
    <row r="263" spans="1:8">
      <c r="A263" s="1032" t="str">
        <f>ARLA_32!A51</f>
        <v>OUTUBRO|15</v>
      </c>
      <c r="B263" s="1072">
        <f>geral!I126</f>
        <v>20.75714285714286</v>
      </c>
      <c r="C263" s="918">
        <f t="shared" si="136"/>
        <v>482.72425249169441</v>
      </c>
      <c r="D263" s="919">
        <f t="shared" si="137"/>
        <v>0</v>
      </c>
      <c r="E263" s="919">
        <f t="shared" si="138"/>
        <v>2.6129943502824826</v>
      </c>
      <c r="F263" s="920">
        <f t="shared" si="139"/>
        <v>2.6129943502824826</v>
      </c>
      <c r="G263" s="921">
        <f t="shared" si="140"/>
        <v>3.7116345467523182</v>
      </c>
      <c r="H263" s="861">
        <f t="shared" si="96"/>
        <v>1.2037164487267722</v>
      </c>
    </row>
    <row r="264" spans="1:8">
      <c r="A264" s="1032" t="str">
        <f>ARLA_32!A52</f>
        <v>NOVEMBRO|15</v>
      </c>
      <c r="B264" s="1072">
        <f>geral!I127</f>
        <v>20.75714285714286</v>
      </c>
      <c r="C264" s="918">
        <f t="shared" si="136"/>
        <v>482.72425249169441</v>
      </c>
      <c r="D264" s="919">
        <f t="shared" si="137"/>
        <v>0</v>
      </c>
      <c r="E264" s="919">
        <f t="shared" si="138"/>
        <v>2.6129943502824826</v>
      </c>
      <c r="F264" s="920">
        <f t="shared" si="139"/>
        <v>2.6129943502824826</v>
      </c>
      <c r="G264" s="921">
        <f t="shared" si="140"/>
        <v>3.7116345467523182</v>
      </c>
      <c r="H264" s="861">
        <f t="shared" si="96"/>
        <v>1.2037164487267722</v>
      </c>
    </row>
    <row r="265" spans="1:8">
      <c r="A265" s="1032" t="str">
        <f>ARLA_32!A53</f>
        <v>DEZEMBRO|15</v>
      </c>
      <c r="B265" s="1072">
        <f>geral!I128</f>
        <v>20.75714285714286</v>
      </c>
      <c r="C265" s="918">
        <f t="shared" si="136"/>
        <v>482.72425249169441</v>
      </c>
      <c r="D265" s="919">
        <f t="shared" si="137"/>
        <v>0</v>
      </c>
      <c r="E265" s="919">
        <f t="shared" si="138"/>
        <v>2.6129943502824826</v>
      </c>
      <c r="F265" s="920">
        <f t="shared" si="139"/>
        <v>2.6129943502824826</v>
      </c>
      <c r="G265" s="921">
        <f t="shared" si="140"/>
        <v>2.6129943502824826</v>
      </c>
      <c r="H265" s="861">
        <f t="shared" si="96"/>
        <v>1.2037164487267722</v>
      </c>
    </row>
    <row r="266" spans="1:8">
      <c r="A266" s="1032" t="str">
        <f>ARLA_32!A54</f>
        <v>JANEIRO|16</v>
      </c>
      <c r="B266" s="1072">
        <f>geral!K117</f>
        <v>20.75714285714286</v>
      </c>
      <c r="C266" s="918">
        <f t="shared" ref="C266" si="141">100*B266/$B$8</f>
        <v>482.72425249169441</v>
      </c>
      <c r="D266" s="919">
        <f t="shared" ref="D266" si="142">100*((B266/B265)-1)</f>
        <v>0</v>
      </c>
      <c r="E266" s="919">
        <f t="shared" ref="E266:E271" si="143">100*((B266/$B$265)-1)</f>
        <v>0</v>
      </c>
      <c r="F266" s="920">
        <f t="shared" ref="F266" si="144">100*((B266/B254)-1)</f>
        <v>0.7628294036061023</v>
      </c>
      <c r="G266" s="921">
        <f t="shared" ref="G266" si="145">100*(B266/B242-1)</f>
        <v>2.6129943502824826</v>
      </c>
      <c r="H266" s="861">
        <f t="shared" si="96"/>
        <v>1.2037164487267722</v>
      </c>
    </row>
    <row r="267" spans="1:8">
      <c r="A267" s="1032" t="str">
        <f>ARLA_32!A55</f>
        <v>FEVEREIRO|16</v>
      </c>
      <c r="B267" s="1072">
        <f>geral!K118</f>
        <v>20.75714285714286</v>
      </c>
      <c r="C267" s="918">
        <f t="shared" ref="C267" si="146">100*B267/$B$8</f>
        <v>482.72425249169441</v>
      </c>
      <c r="D267" s="919">
        <f t="shared" ref="D267" si="147">100*((B267/B266)-1)</f>
        <v>0</v>
      </c>
      <c r="E267" s="919">
        <f t="shared" si="143"/>
        <v>0</v>
      </c>
      <c r="F267" s="920">
        <f t="shared" ref="F267" si="148">100*((B267/B255)-1)</f>
        <v>0.62326869806093033</v>
      </c>
      <c r="G267" s="921">
        <f t="shared" ref="G267" si="149">100*(B267/B243-1)</f>
        <v>2.6129943502824826</v>
      </c>
      <c r="H267" s="861">
        <f t="shared" si="96"/>
        <v>1.2037164487267722</v>
      </c>
    </row>
    <row r="268" spans="1:8">
      <c r="A268" s="1032" t="str">
        <f>ARLA_32!A56</f>
        <v>MARÇO|16</v>
      </c>
      <c r="B268" s="1072">
        <f>geral!K119</f>
        <v>20.75714285714286</v>
      </c>
      <c r="C268" s="918">
        <f t="shared" ref="C268" si="150">100*B268/$B$8</f>
        <v>482.72425249169441</v>
      </c>
      <c r="D268" s="919">
        <f t="shared" ref="D268" si="151">100*((B268/B267)-1)</f>
        <v>0</v>
      </c>
      <c r="E268" s="919">
        <f t="shared" si="143"/>
        <v>0</v>
      </c>
      <c r="F268" s="920">
        <f t="shared" ref="F268" si="152">100*((B268/B256)-1)</f>
        <v>0.62326869806093033</v>
      </c>
      <c r="G268" s="921">
        <f t="shared" ref="G268" si="153">100*(B268/B244-1)</f>
        <v>2.6129943502824826</v>
      </c>
      <c r="H268" s="861">
        <f t="shared" si="96"/>
        <v>1.2037164487267722</v>
      </c>
    </row>
    <row r="269" spans="1:8">
      <c r="A269" s="1032" t="str">
        <f>ARLA_32!A57</f>
        <v>ABRIL|16</v>
      </c>
      <c r="B269" s="1072">
        <f>geral!K120</f>
        <v>21.142857142857146</v>
      </c>
      <c r="C269" s="918">
        <f t="shared" ref="C269" si="154">100*B269/$B$8</f>
        <v>491.69435215946856</v>
      </c>
      <c r="D269" s="919">
        <f t="shared" ref="D269" si="155">100*((B269/B268)-1)</f>
        <v>1.8582243633860962</v>
      </c>
      <c r="E269" s="919">
        <f t="shared" si="143"/>
        <v>1.8582243633860962</v>
      </c>
      <c r="F269" s="920">
        <f t="shared" ref="F269" si="156">100*((B269/B257)-1)</f>
        <v>2.4930747922437657</v>
      </c>
      <c r="G269" s="921">
        <f t="shared" ref="G269" si="157">100*(B269/B245-1)</f>
        <v>4.5197740112994378</v>
      </c>
      <c r="H269" s="861">
        <f t="shared" si="96"/>
        <v>1.1817567567567566</v>
      </c>
    </row>
    <row r="270" spans="1:8">
      <c r="A270" s="1032" t="str">
        <f>ARLA_32!A58</f>
        <v>MAIO|16</v>
      </c>
      <c r="B270" s="1072">
        <f>geral!K121</f>
        <v>21.142857142857146</v>
      </c>
      <c r="C270" s="918">
        <f t="shared" ref="C270" si="158">100*B270/$B$8</f>
        <v>491.69435215946856</v>
      </c>
      <c r="D270" s="919">
        <f t="shared" ref="D270" si="159">100*((B270/B269)-1)</f>
        <v>0</v>
      </c>
      <c r="E270" s="919">
        <f t="shared" si="143"/>
        <v>1.8582243633860962</v>
      </c>
      <c r="F270" s="920">
        <f t="shared" ref="F270" si="160">100*((B270/B258)-1)</f>
        <v>2.4930747922437657</v>
      </c>
      <c r="G270" s="921">
        <f t="shared" ref="G270" si="161">100*(B270/B246-1)</f>
        <v>4.5197740112994378</v>
      </c>
      <c r="H270" s="861">
        <f t="shared" si="96"/>
        <v>1.1817567567567566</v>
      </c>
    </row>
    <row r="271" spans="1:8">
      <c r="A271" s="1032" t="str">
        <f>ARLA_32!A59</f>
        <v>JUNHO|16</v>
      </c>
      <c r="B271" s="1072">
        <f>geral!K122</f>
        <v>21.142857142857146</v>
      </c>
      <c r="C271" s="918">
        <f t="shared" ref="C271" si="162">100*B271/$B$8</f>
        <v>491.69435215946856</v>
      </c>
      <c r="D271" s="919">
        <f t="shared" ref="D271" si="163">100*((B271/B270)-1)</f>
        <v>0</v>
      </c>
      <c r="E271" s="919">
        <f t="shared" si="143"/>
        <v>1.8582243633860962</v>
      </c>
      <c r="F271" s="920">
        <f t="shared" ref="F271" si="164">100*((B271/B259)-1)</f>
        <v>2.4930747922437657</v>
      </c>
      <c r="G271" s="921">
        <f t="shared" ref="G271" si="165">100*(B271/B247-1)</f>
        <v>4.5197740112994378</v>
      </c>
      <c r="H271" s="861">
        <f t="shared" si="96"/>
        <v>1.1817567567567566</v>
      </c>
    </row>
    <row r="272" spans="1:8">
      <c r="A272" s="1032" t="str">
        <f>ARLA_32!A60</f>
        <v>JULHO|16</v>
      </c>
      <c r="B272" s="1072">
        <f>geral!K123</f>
        <v>21.142857142857146</v>
      </c>
      <c r="C272" s="918">
        <f t="shared" ref="C272" si="166">100*B272/$B$8</f>
        <v>491.69435215946856</v>
      </c>
      <c r="D272" s="919">
        <f t="shared" ref="D272" si="167">100*((B272/B271)-1)</f>
        <v>0</v>
      </c>
      <c r="E272" s="919">
        <f t="shared" ref="E272" si="168">100*((B272/$B$265)-1)</f>
        <v>1.8582243633860962</v>
      </c>
      <c r="F272" s="920">
        <f t="shared" ref="F272" si="169">100*((B272/B260)-1)</f>
        <v>2.4930747922437657</v>
      </c>
      <c r="G272" s="921">
        <f t="shared" ref="G272" si="170">100*(B272/B248-1)</f>
        <v>4.5197740112994378</v>
      </c>
      <c r="H272" s="861">
        <f t="shared" ref="H272:H322" si="171">$B$322/B272</f>
        <v>1.1817567567567566</v>
      </c>
    </row>
    <row r="273" spans="1:8">
      <c r="A273" s="1032" t="str">
        <f>ARLA_32!A61</f>
        <v>AGOSTO|16</v>
      </c>
      <c r="B273" s="1072">
        <f>geral!K124</f>
        <v>21.142857142857146</v>
      </c>
      <c r="C273" s="918">
        <f t="shared" ref="C273" si="172">100*B273/$B$8</f>
        <v>491.69435215946856</v>
      </c>
      <c r="D273" s="919">
        <f t="shared" ref="D273" si="173">100*((B273/B272)-1)</f>
        <v>0</v>
      </c>
      <c r="E273" s="919">
        <f t="shared" ref="E273" si="174">100*((B273/$B$265)-1)</f>
        <v>1.8582243633860962</v>
      </c>
      <c r="F273" s="920">
        <f t="shared" ref="F273" si="175">100*((B273/B261)-1)</f>
        <v>1.8582243633860962</v>
      </c>
      <c r="G273" s="921">
        <f t="shared" ref="G273" si="176">100*(B273/B249-1)</f>
        <v>4.5197740112994378</v>
      </c>
      <c r="H273" s="861">
        <f t="shared" si="171"/>
        <v>1.1817567567567566</v>
      </c>
    </row>
    <row r="274" spans="1:8">
      <c r="A274" s="1032" t="str">
        <f>ARLA_32!A62</f>
        <v>SETEMBRO|16</v>
      </c>
      <c r="B274" s="1072">
        <f>geral!K125</f>
        <v>21.142857142857146</v>
      </c>
      <c r="C274" s="918">
        <f t="shared" ref="C274" si="177">100*B274/$B$8</f>
        <v>491.69435215946856</v>
      </c>
      <c r="D274" s="919">
        <f t="shared" ref="D274" si="178">100*((B274/B273)-1)</f>
        <v>0</v>
      </c>
      <c r="E274" s="919">
        <f t="shared" ref="E274" si="179">100*((B274/$B$265)-1)</f>
        <v>1.8582243633860962</v>
      </c>
      <c r="F274" s="920">
        <f t="shared" ref="F274" si="180">100*((B274/B262)-1)</f>
        <v>1.8582243633860962</v>
      </c>
      <c r="G274" s="921">
        <f t="shared" ref="G274" si="181">100*(B274/B250-1)</f>
        <v>4.5197740112994378</v>
      </c>
      <c r="H274" s="861">
        <f t="shared" si="171"/>
        <v>1.1817567567567566</v>
      </c>
    </row>
    <row r="275" spans="1:8">
      <c r="A275" s="1032" t="str">
        <f>ARLA_32!A63</f>
        <v>OUTUBRO|16</v>
      </c>
      <c r="B275" s="1072">
        <f>geral!K126</f>
        <v>21.142857142857146</v>
      </c>
      <c r="C275" s="918">
        <f t="shared" ref="C275" si="182">100*B275/$B$8</f>
        <v>491.69435215946856</v>
      </c>
      <c r="D275" s="919">
        <f t="shared" ref="D275" si="183">100*((B275/B274)-1)</f>
        <v>0</v>
      </c>
      <c r="E275" s="919">
        <f t="shared" ref="E275" si="184">100*((B275/$B$265)-1)</f>
        <v>1.8582243633860962</v>
      </c>
      <c r="F275" s="920">
        <f t="shared" ref="F275" si="185">100*((B275/B263)-1)</f>
        <v>1.8582243633860962</v>
      </c>
      <c r="G275" s="921">
        <f t="shared" ref="G275" si="186">100*(B275/B251-1)</f>
        <v>4.5197740112994378</v>
      </c>
      <c r="H275" s="861">
        <f t="shared" si="171"/>
        <v>1.1817567567567566</v>
      </c>
    </row>
    <row r="276" spans="1:8">
      <c r="A276" s="1032" t="str">
        <f>ARLA_32!A64</f>
        <v>NOVEMBRO|16</v>
      </c>
      <c r="B276" s="1072">
        <f>geral!K127</f>
        <v>21.142857142857146</v>
      </c>
      <c r="C276" s="918">
        <f t="shared" ref="C276" si="187">100*B276/$B$8</f>
        <v>491.69435215946856</v>
      </c>
      <c r="D276" s="919">
        <f t="shared" ref="D276" si="188">100*((B276/B275)-1)</f>
        <v>0</v>
      </c>
      <c r="E276" s="919">
        <f t="shared" ref="E276" si="189">100*((B276/$B$265)-1)</f>
        <v>1.8582243633860962</v>
      </c>
      <c r="F276" s="920">
        <f t="shared" ref="F276" si="190">100*((B276/B264)-1)</f>
        <v>1.8582243633860962</v>
      </c>
      <c r="G276" s="921">
        <f t="shared" ref="G276" si="191">100*(B276/B252-1)</f>
        <v>4.5197740112994378</v>
      </c>
      <c r="H276" s="861">
        <f t="shared" si="171"/>
        <v>1.1817567567567566</v>
      </c>
    </row>
    <row r="277" spans="1:8">
      <c r="A277" s="1032" t="str">
        <f>ARLA_32!A65</f>
        <v>DEZEMBRO|16</v>
      </c>
      <c r="B277" s="1072">
        <f>geral!K128</f>
        <v>21.142857142857146</v>
      </c>
      <c r="C277" s="918">
        <f t="shared" ref="C277" si="192">100*B277/$B$8</f>
        <v>491.69435215946856</v>
      </c>
      <c r="D277" s="919">
        <f t="shared" ref="D277" si="193">100*((B277/B276)-1)</f>
        <v>0</v>
      </c>
      <c r="E277" s="919">
        <f t="shared" ref="E277" si="194">100*((B277/$B$265)-1)</f>
        <v>1.8582243633860962</v>
      </c>
      <c r="F277" s="920">
        <f t="shared" ref="F277" si="195">100*((B277/B265)-1)</f>
        <v>1.8582243633860962</v>
      </c>
      <c r="G277" s="921">
        <f t="shared" ref="G277" si="196">100*(B277/B253-1)</f>
        <v>4.5197740112994378</v>
      </c>
      <c r="H277" s="861">
        <f t="shared" si="171"/>
        <v>1.1817567567567566</v>
      </c>
    </row>
    <row r="278" spans="1:8">
      <c r="A278" s="1032" t="str">
        <f>ARLA_32!A66</f>
        <v>JANEIRO|17</v>
      </c>
      <c r="B278" s="1072">
        <f>geral!M117</f>
        <v>21.142857142857146</v>
      </c>
      <c r="C278" s="918">
        <f t="shared" ref="C278" si="197">100*B278/$B$8</f>
        <v>491.69435215946856</v>
      </c>
      <c r="D278" s="919">
        <f t="shared" ref="D278" si="198">100*((B278/B277)-1)</f>
        <v>0</v>
      </c>
      <c r="E278" s="919">
        <f t="shared" ref="E278:E283" si="199">100*((B278/$B$277)-1)</f>
        <v>0</v>
      </c>
      <c r="F278" s="920">
        <f t="shared" ref="F278" si="200">100*((B278/B266)-1)</f>
        <v>1.8582243633860962</v>
      </c>
      <c r="G278" s="921">
        <f t="shared" ref="G278" si="201">100*(B278/B254-1)</f>
        <v>2.6352288488210807</v>
      </c>
      <c r="H278" s="861">
        <f t="shared" si="171"/>
        <v>1.1817567567567566</v>
      </c>
    </row>
    <row r="279" spans="1:8">
      <c r="A279" s="1032" t="str">
        <f>ARLA_32!A67</f>
        <v>FEVEREIRO|17</v>
      </c>
      <c r="B279" s="1072">
        <f>geral!M118</f>
        <v>21.142857142857146</v>
      </c>
      <c r="C279" s="918">
        <f t="shared" ref="C279" si="202">100*B279/$B$8</f>
        <v>491.69435215946856</v>
      </c>
      <c r="D279" s="919">
        <f t="shared" ref="D279" si="203">100*((B279/B278)-1)</f>
        <v>0</v>
      </c>
      <c r="E279" s="919">
        <f t="shared" si="199"/>
        <v>0</v>
      </c>
      <c r="F279" s="920">
        <f t="shared" ref="F279" si="204">100*((B279/B267)-1)</f>
        <v>1.8582243633860962</v>
      </c>
      <c r="G279" s="921">
        <f t="shared" ref="G279" si="205">100*(B279/B255-1)</f>
        <v>2.4930747922437657</v>
      </c>
      <c r="H279" s="861">
        <f t="shared" si="171"/>
        <v>1.1817567567567566</v>
      </c>
    </row>
    <row r="280" spans="1:8">
      <c r="A280" s="1032" t="str">
        <f>ARLA_32!A68</f>
        <v>MARÇO|17</v>
      </c>
      <c r="B280" s="1072">
        <f>geral!M119</f>
        <v>21.485714285714288</v>
      </c>
      <c r="C280" s="918">
        <f t="shared" ref="C280" si="206">100*B280/$B$8</f>
        <v>499.66777408637881</v>
      </c>
      <c r="D280" s="919">
        <f t="shared" ref="D280" si="207">100*((B280/B279)-1)</f>
        <v>1.6216216216216051</v>
      </c>
      <c r="E280" s="919">
        <f t="shared" si="199"/>
        <v>1.6216216216216051</v>
      </c>
      <c r="F280" s="920">
        <f t="shared" ref="F280" si="208">100*((B280/B268)-1)</f>
        <v>3.5099793530626311</v>
      </c>
      <c r="G280" s="921">
        <f t="shared" ref="G280" si="209">100*(B280/B256-1)</f>
        <v>4.1551246537395947</v>
      </c>
      <c r="H280" s="861">
        <f t="shared" si="171"/>
        <v>1.1628989361702127</v>
      </c>
    </row>
    <row r="281" spans="1:8">
      <c r="A281" s="1032" t="str">
        <f>ARLA_32!A69</f>
        <v>ABRIL|17</v>
      </c>
      <c r="B281" s="1072">
        <f>geral!M120</f>
        <v>21.485714285714288</v>
      </c>
      <c r="C281" s="918">
        <f t="shared" ref="C281" si="210">100*B281/$B$8</f>
        <v>499.66777408637881</v>
      </c>
      <c r="D281" s="919">
        <f t="shared" ref="D281" si="211">100*((B281/B280)-1)</f>
        <v>0</v>
      </c>
      <c r="E281" s="919">
        <f t="shared" si="199"/>
        <v>1.6216216216216051</v>
      </c>
      <c r="F281" s="920">
        <f t="shared" ref="F281" si="212">100*((B281/B269)-1)</f>
        <v>1.6216216216216051</v>
      </c>
      <c r="G281" s="921">
        <f t="shared" ref="G281" si="213">100*(B281/B257-1)</f>
        <v>4.1551246537395947</v>
      </c>
      <c r="H281" s="861">
        <f t="shared" si="171"/>
        <v>1.1628989361702127</v>
      </c>
    </row>
    <row r="282" spans="1:8">
      <c r="A282" s="1032" t="str">
        <f>ARLA_32!A70</f>
        <v>MAIO|17</v>
      </c>
      <c r="B282" s="1072">
        <f>geral!M121</f>
        <v>21.485714285714288</v>
      </c>
      <c r="C282" s="918">
        <f t="shared" ref="C282" si="214">100*B282/$B$8</f>
        <v>499.66777408637881</v>
      </c>
      <c r="D282" s="919">
        <f t="shared" ref="D282" si="215">100*((B282/B281)-1)</f>
        <v>0</v>
      </c>
      <c r="E282" s="919">
        <f t="shared" si="199"/>
        <v>1.6216216216216051</v>
      </c>
      <c r="F282" s="920">
        <f t="shared" ref="F282" si="216">100*((B282/B270)-1)</f>
        <v>1.6216216216216051</v>
      </c>
      <c r="G282" s="921">
        <f t="shared" ref="G282" si="217">100*(B282/B258-1)</f>
        <v>4.1551246537395947</v>
      </c>
      <c r="H282" s="861">
        <f t="shared" si="171"/>
        <v>1.1628989361702127</v>
      </c>
    </row>
    <row r="283" spans="1:8">
      <c r="A283" s="1032" t="str">
        <f>ARLA_32!A71</f>
        <v>JUNHO|17</v>
      </c>
      <c r="B283" s="1072">
        <f>geral!M122</f>
        <v>21.485714285714288</v>
      </c>
      <c r="C283" s="918">
        <f t="shared" ref="C283" si="218">100*B283/$B$8</f>
        <v>499.66777408637881</v>
      </c>
      <c r="D283" s="919">
        <f t="shared" ref="D283" si="219">100*((B283/B282)-1)</f>
        <v>0</v>
      </c>
      <c r="E283" s="919">
        <f t="shared" si="199"/>
        <v>1.6216216216216051</v>
      </c>
      <c r="F283" s="920">
        <f t="shared" ref="F283" si="220">100*((B283/B271)-1)</f>
        <v>1.6216216216216051</v>
      </c>
      <c r="G283" s="921">
        <f t="shared" ref="G283" si="221">100*(B283/B259-1)</f>
        <v>4.1551246537395947</v>
      </c>
      <c r="H283" s="861">
        <f t="shared" si="171"/>
        <v>1.1628989361702127</v>
      </c>
    </row>
    <row r="284" spans="1:8">
      <c r="A284" s="1032" t="str">
        <f>ARLA_32!A72</f>
        <v>JULHO|17</v>
      </c>
      <c r="B284" s="1072">
        <f>geral!M123</f>
        <v>21.485714285714288</v>
      </c>
      <c r="C284" s="918">
        <f t="shared" ref="C284" si="222">100*B284/$B$8</f>
        <v>499.66777408637881</v>
      </c>
      <c r="D284" s="919">
        <f t="shared" ref="D284" si="223">100*((B284/B283)-1)</f>
        <v>0</v>
      </c>
      <c r="E284" s="919">
        <f t="shared" ref="E284" si="224">100*((B284/$B$277)-1)</f>
        <v>1.6216216216216051</v>
      </c>
      <c r="F284" s="920">
        <f t="shared" ref="F284" si="225">100*((B284/B272)-1)</f>
        <v>1.6216216216216051</v>
      </c>
      <c r="G284" s="921">
        <f t="shared" ref="G284" si="226">100*(B284/B260-1)</f>
        <v>4.1551246537395947</v>
      </c>
      <c r="H284" s="861">
        <f t="shared" si="171"/>
        <v>1.1628989361702127</v>
      </c>
    </row>
    <row r="285" spans="1:8">
      <c r="A285" s="1032" t="str">
        <f>ARLA_32!A73</f>
        <v>AGOSTO|17</v>
      </c>
      <c r="B285" s="1072">
        <f>geral!M124</f>
        <v>21.485714285714288</v>
      </c>
      <c r="C285" s="918">
        <f t="shared" ref="C285" si="227">100*B285/$B$8</f>
        <v>499.66777408637881</v>
      </c>
      <c r="D285" s="919">
        <f t="shared" ref="D285" si="228">100*((B285/B284)-1)</f>
        <v>0</v>
      </c>
      <c r="E285" s="919">
        <f t="shared" ref="E285" si="229">100*((B285/$B$277)-1)</f>
        <v>1.6216216216216051</v>
      </c>
      <c r="F285" s="920">
        <f t="shared" ref="F285" si="230">100*((B285/B273)-1)</f>
        <v>1.6216216216216051</v>
      </c>
      <c r="G285" s="921">
        <f t="shared" ref="G285" si="231">100*(B285/B261-1)</f>
        <v>3.5099793530626311</v>
      </c>
      <c r="H285" s="861">
        <f t="shared" si="171"/>
        <v>1.1628989361702127</v>
      </c>
    </row>
    <row r="286" spans="1:8">
      <c r="A286" s="1032" t="str">
        <f>ARLA_32!A74</f>
        <v>SETEMBRO|17</v>
      </c>
      <c r="B286" s="1072">
        <f>geral!M125</f>
        <v>21.485714285714288</v>
      </c>
      <c r="C286" s="918">
        <f t="shared" ref="C286" si="232">100*B286/$B$8</f>
        <v>499.66777408637881</v>
      </c>
      <c r="D286" s="919">
        <f t="shared" ref="D286" si="233">100*((B286/B285)-1)</f>
        <v>0</v>
      </c>
      <c r="E286" s="919">
        <f t="shared" ref="E286" si="234">100*((B286/$B$277)-1)</f>
        <v>1.6216216216216051</v>
      </c>
      <c r="F286" s="920">
        <f t="shared" ref="F286" si="235">100*((B286/B274)-1)</f>
        <v>1.6216216216216051</v>
      </c>
      <c r="G286" s="921">
        <f t="shared" ref="G286" si="236">100*(B286/B262-1)</f>
        <v>3.5099793530626311</v>
      </c>
      <c r="H286" s="861">
        <f t="shared" si="171"/>
        <v>1.1628989361702127</v>
      </c>
    </row>
    <row r="287" spans="1:8">
      <c r="A287" s="1032" t="str">
        <f>ARLA_32!A75</f>
        <v>OUTUBRO|17</v>
      </c>
      <c r="B287" s="1072">
        <f>geral!M126</f>
        <v>21.485714285714288</v>
      </c>
      <c r="C287" s="918">
        <f t="shared" ref="C287" si="237">100*B287/$B$8</f>
        <v>499.66777408637881</v>
      </c>
      <c r="D287" s="919">
        <f t="shared" ref="D287" si="238">100*((B287/B286)-1)</f>
        <v>0</v>
      </c>
      <c r="E287" s="919">
        <f t="shared" ref="E287" si="239">100*((B287/$B$277)-1)</f>
        <v>1.6216216216216051</v>
      </c>
      <c r="F287" s="920">
        <f t="shared" ref="F287" si="240">100*((B287/B275)-1)</f>
        <v>1.6216216216216051</v>
      </c>
      <c r="G287" s="921">
        <f t="shared" ref="G287" si="241">100*(B287/B263-1)</f>
        <v>3.5099793530626311</v>
      </c>
      <c r="H287" s="861">
        <f t="shared" si="171"/>
        <v>1.1628989361702127</v>
      </c>
    </row>
    <row r="288" spans="1:8">
      <c r="A288" s="1032" t="str">
        <f>ARLA_32!A76</f>
        <v>NOVEMBRO|17</v>
      </c>
      <c r="B288" s="1072">
        <f>geral!M127</f>
        <v>22.157142857142862</v>
      </c>
      <c r="C288" s="918">
        <f t="shared" ref="C288" si="242">100*B288/$B$8</f>
        <v>515.28239202657824</v>
      </c>
      <c r="D288" s="919">
        <f t="shared" ref="D288" si="243">100*((B288/B287)-1)</f>
        <v>3.1250000000000222</v>
      </c>
      <c r="E288" s="919">
        <f t="shared" ref="E288" si="244">100*((B288/$B$277)-1)</f>
        <v>4.7972972972972983</v>
      </c>
      <c r="F288" s="920">
        <f t="shared" ref="F288" si="245">100*((B288/B276)-1)</f>
        <v>4.7972972972972983</v>
      </c>
      <c r="G288" s="921">
        <f t="shared" ref="G288" si="246">100*(B288/B264-1)</f>
        <v>6.7446662078458397</v>
      </c>
      <c r="H288" s="861">
        <f t="shared" si="171"/>
        <v>1.1276595744680848</v>
      </c>
    </row>
    <row r="289" spans="1:8">
      <c r="A289" s="1032" t="str">
        <f>ARLA_32!A77</f>
        <v>DEZEMBRO|17</v>
      </c>
      <c r="B289" s="1072">
        <f>geral!M128</f>
        <v>22.157142857142862</v>
      </c>
      <c r="C289" s="918">
        <f t="shared" ref="C289" si="247">100*B289/$B$8</f>
        <v>515.28239202657824</v>
      </c>
      <c r="D289" s="919">
        <f t="shared" ref="D289" si="248">100*((B289/B288)-1)</f>
        <v>0</v>
      </c>
      <c r="E289" s="919">
        <f t="shared" ref="E289" si="249">100*((B289/$B$277)-1)</f>
        <v>4.7972972972972983</v>
      </c>
      <c r="F289" s="920">
        <f t="shared" ref="F289" si="250">100*((B289/B277)-1)</f>
        <v>4.7972972972972983</v>
      </c>
      <c r="G289" s="921">
        <f t="shared" ref="G289" si="251">100*(B289/B265-1)</f>
        <v>6.7446662078458397</v>
      </c>
      <c r="H289" s="861">
        <f t="shared" si="171"/>
        <v>1.1276595744680848</v>
      </c>
    </row>
    <row r="290" spans="1:8">
      <c r="A290" s="1032" t="str">
        <f>ARLA_32!A78</f>
        <v>JANEIRO|18</v>
      </c>
      <c r="B290" s="1072">
        <f>geral!O117</f>
        <v>22.157142857142862</v>
      </c>
      <c r="C290" s="918">
        <f t="shared" ref="C290" si="252">100*B290/$B$8</f>
        <v>515.28239202657824</v>
      </c>
      <c r="D290" s="919">
        <f t="shared" ref="D290" si="253">100*((B290/B289)-1)</f>
        <v>0</v>
      </c>
      <c r="E290" s="919">
        <f t="shared" ref="E290:E295" si="254">100*((B290/$B$289)-1)</f>
        <v>0</v>
      </c>
      <c r="F290" s="920">
        <f t="shared" ref="F290" si="255">100*((B290/B278)-1)</f>
        <v>4.7972972972972983</v>
      </c>
      <c r="G290" s="921">
        <f t="shared" ref="G290" si="256">100*(B290/B266-1)</f>
        <v>6.7446662078458397</v>
      </c>
      <c r="H290" s="861">
        <f t="shared" si="171"/>
        <v>1.1276595744680848</v>
      </c>
    </row>
    <row r="291" spans="1:8">
      <c r="A291" s="1032" t="str">
        <f>ARLA_32!A79</f>
        <v>FEVEREIRO|18</v>
      </c>
      <c r="B291" s="1072">
        <f>geral!O118</f>
        <v>22.157142857142862</v>
      </c>
      <c r="C291" s="918">
        <f t="shared" ref="C291" si="257">100*B291/$B$8</f>
        <v>515.28239202657824</v>
      </c>
      <c r="D291" s="919">
        <f t="shared" ref="D291" si="258">100*((B291/B290)-1)</f>
        <v>0</v>
      </c>
      <c r="E291" s="919">
        <f t="shared" si="254"/>
        <v>0</v>
      </c>
      <c r="F291" s="920">
        <f t="shared" ref="F291" si="259">100*((B291/B279)-1)</f>
        <v>4.7972972972972983</v>
      </c>
      <c r="G291" s="921">
        <f t="shared" ref="G291" si="260">100*(B291/B267-1)</f>
        <v>6.7446662078458397</v>
      </c>
      <c r="H291" s="861">
        <f t="shared" si="171"/>
        <v>1.1276595744680848</v>
      </c>
    </row>
    <row r="292" spans="1:8">
      <c r="A292" s="1032" t="str">
        <f>ARLA_32!A80</f>
        <v>MARÇO|18</v>
      </c>
      <c r="B292" s="1072">
        <f>geral!O119</f>
        <v>22.157142857142862</v>
      </c>
      <c r="C292" s="918">
        <f t="shared" ref="C292" si="261">100*B292/$B$8</f>
        <v>515.28239202657824</v>
      </c>
      <c r="D292" s="919">
        <f t="shared" ref="D292" si="262">100*((B292/B291)-1)</f>
        <v>0</v>
      </c>
      <c r="E292" s="919">
        <f t="shared" si="254"/>
        <v>0</v>
      </c>
      <c r="F292" s="920">
        <f t="shared" ref="F292" si="263">100*((B292/B280)-1)</f>
        <v>3.1250000000000222</v>
      </c>
      <c r="G292" s="921">
        <f t="shared" ref="G292" si="264">100*(B292/B268-1)</f>
        <v>6.7446662078458397</v>
      </c>
      <c r="H292" s="861">
        <f t="shared" si="171"/>
        <v>1.1276595744680848</v>
      </c>
    </row>
    <row r="293" spans="1:8">
      <c r="A293" s="1032" t="str">
        <f>ARLA_32!A81</f>
        <v>ABRIL|18</v>
      </c>
      <c r="B293" s="1072">
        <f>geral!O120</f>
        <v>22.157142857142862</v>
      </c>
      <c r="C293" s="918">
        <f t="shared" ref="C293" si="265">100*B293/$B$8</f>
        <v>515.28239202657824</v>
      </c>
      <c r="D293" s="919">
        <f t="shared" ref="D293" si="266">100*((B293/B292)-1)</f>
        <v>0</v>
      </c>
      <c r="E293" s="919">
        <f t="shared" si="254"/>
        <v>0</v>
      </c>
      <c r="F293" s="920">
        <f t="shared" ref="F293" si="267">100*((B293/B281)-1)</f>
        <v>3.1250000000000222</v>
      </c>
      <c r="G293" s="921">
        <f t="shared" ref="G293" si="268">100*(B293/B269-1)</f>
        <v>4.7972972972972983</v>
      </c>
      <c r="H293" s="861">
        <f t="shared" si="171"/>
        <v>1.1276595744680848</v>
      </c>
    </row>
    <row r="294" spans="1:8">
      <c r="A294" s="1032" t="str">
        <f>ARLA_32!A82</f>
        <v>MAIO|18</v>
      </c>
      <c r="B294" s="1072">
        <f>geral!O121</f>
        <v>22.157142857142862</v>
      </c>
      <c r="C294" s="918">
        <f t="shared" ref="C294" si="269">100*B294/$B$8</f>
        <v>515.28239202657824</v>
      </c>
      <c r="D294" s="919">
        <f t="shared" ref="D294" si="270">100*((B294/B293)-1)</f>
        <v>0</v>
      </c>
      <c r="E294" s="919">
        <f t="shared" si="254"/>
        <v>0</v>
      </c>
      <c r="F294" s="920">
        <f t="shared" ref="F294" si="271">100*((B294/B282)-1)</f>
        <v>3.1250000000000222</v>
      </c>
      <c r="G294" s="921">
        <f t="shared" ref="G294" si="272">100*(B294/B270-1)</f>
        <v>4.7972972972972983</v>
      </c>
      <c r="H294" s="861">
        <f t="shared" si="171"/>
        <v>1.1276595744680848</v>
      </c>
    </row>
    <row r="295" spans="1:8">
      <c r="A295" s="1032" t="str">
        <f>ARLA_32!A83</f>
        <v>JUNHO|18</v>
      </c>
      <c r="B295" s="1072">
        <f>geral!O122</f>
        <v>22.642857142857146</v>
      </c>
      <c r="C295" s="918">
        <f t="shared" ref="C295" si="273">100*B295/$B$8</f>
        <v>526.57807308970109</v>
      </c>
      <c r="D295" s="919">
        <f t="shared" ref="D295" si="274">100*((B295/B294)-1)</f>
        <v>2.1921341070277212</v>
      </c>
      <c r="E295" s="919">
        <f t="shared" si="254"/>
        <v>2.1921341070277212</v>
      </c>
      <c r="F295" s="920">
        <f t="shared" ref="F295" si="275">100*((B295/B283)-1)</f>
        <v>5.3856382978723527</v>
      </c>
      <c r="G295" s="921">
        <f t="shared" ref="G295" si="276">100*(B295/B271-1)</f>
        <v>7.0945945945945832</v>
      </c>
      <c r="H295" s="861">
        <f t="shared" si="171"/>
        <v>1.1034700315457413</v>
      </c>
    </row>
    <row r="296" spans="1:8">
      <c r="A296" s="1032" t="str">
        <f>ARLA_32!A84</f>
        <v>JULHO|18</v>
      </c>
      <c r="B296" s="1072">
        <f>geral!O123</f>
        <v>22.642857142857146</v>
      </c>
      <c r="C296" s="918">
        <f t="shared" ref="C296" si="277">100*B296/$B$8</f>
        <v>526.57807308970109</v>
      </c>
      <c r="D296" s="919">
        <f t="shared" ref="D296" si="278">100*((B296/B295)-1)</f>
        <v>0</v>
      </c>
      <c r="E296" s="919">
        <f t="shared" ref="E296" si="279">100*((B296/$B$289)-1)</f>
        <v>2.1921341070277212</v>
      </c>
      <c r="F296" s="920">
        <f t="shared" ref="F296" si="280">100*((B296/B284)-1)</f>
        <v>5.3856382978723527</v>
      </c>
      <c r="G296" s="921">
        <f t="shared" ref="G296" si="281">100*(B296/B272-1)</f>
        <v>7.0945945945945832</v>
      </c>
      <c r="H296" s="861">
        <f t="shared" si="171"/>
        <v>1.1034700315457413</v>
      </c>
    </row>
    <row r="297" spans="1:8">
      <c r="A297" s="1032" t="str">
        <f>ARLA_32!A85</f>
        <v>AGOSTO|18</v>
      </c>
      <c r="B297" s="1072">
        <f>geral!O124</f>
        <v>22.642857142857146</v>
      </c>
      <c r="C297" s="918">
        <f t="shared" ref="C297" si="282">100*B297/$B$8</f>
        <v>526.57807308970109</v>
      </c>
      <c r="D297" s="919">
        <f t="shared" ref="D297" si="283">100*((B297/B296)-1)</f>
        <v>0</v>
      </c>
      <c r="E297" s="919">
        <f t="shared" ref="E297" si="284">100*((B297/$B$289)-1)</f>
        <v>2.1921341070277212</v>
      </c>
      <c r="F297" s="920">
        <f t="shared" ref="F297" si="285">100*((B297/B285)-1)</f>
        <v>5.3856382978723527</v>
      </c>
      <c r="G297" s="921">
        <f t="shared" ref="G297" si="286">100*(B297/B273-1)</f>
        <v>7.0945945945945832</v>
      </c>
      <c r="H297" s="861">
        <f t="shared" si="171"/>
        <v>1.1034700315457413</v>
      </c>
    </row>
    <row r="298" spans="1:8">
      <c r="A298" s="1032" t="str">
        <f>ARLA_32!A86</f>
        <v>SETEMBRO|18</v>
      </c>
      <c r="B298" s="1072">
        <f>geral!O125</f>
        <v>22.642857142857146</v>
      </c>
      <c r="C298" s="918">
        <f t="shared" ref="C298" si="287">100*B298/$B$8</f>
        <v>526.57807308970109</v>
      </c>
      <c r="D298" s="919">
        <f t="shared" ref="D298" si="288">100*((B298/B297)-1)</f>
        <v>0</v>
      </c>
      <c r="E298" s="919">
        <f t="shared" ref="E298" si="289">100*((B298/$B$289)-1)</f>
        <v>2.1921341070277212</v>
      </c>
      <c r="F298" s="920">
        <f t="shared" ref="F298" si="290">100*((B298/B286)-1)</f>
        <v>5.3856382978723527</v>
      </c>
      <c r="G298" s="921">
        <f t="shared" ref="G298" si="291">100*(B298/B274-1)</f>
        <v>7.0945945945945832</v>
      </c>
      <c r="H298" s="861">
        <f t="shared" si="171"/>
        <v>1.1034700315457413</v>
      </c>
    </row>
    <row r="299" spans="1:8">
      <c r="A299" s="1032" t="str">
        <f>ARLA_32!A87</f>
        <v>OUTUBRO|18</v>
      </c>
      <c r="B299" s="1072">
        <f>geral!O126</f>
        <v>22.642857142857146</v>
      </c>
      <c r="C299" s="918">
        <f t="shared" ref="C299" si="292">100*B299/$B$8</f>
        <v>526.57807308970109</v>
      </c>
      <c r="D299" s="919">
        <f t="shared" ref="D299" si="293">100*((B299/B298)-1)</f>
        <v>0</v>
      </c>
      <c r="E299" s="919">
        <f t="shared" ref="E299" si="294">100*((B299/$B$289)-1)</f>
        <v>2.1921341070277212</v>
      </c>
      <c r="F299" s="920">
        <f t="shared" ref="F299" si="295">100*((B299/B287)-1)</f>
        <v>5.3856382978723527</v>
      </c>
      <c r="G299" s="921">
        <f t="shared" ref="G299" si="296">100*(B299/B275-1)</f>
        <v>7.0945945945945832</v>
      </c>
      <c r="H299" s="861">
        <f t="shared" si="171"/>
        <v>1.1034700315457413</v>
      </c>
    </row>
    <row r="300" spans="1:8">
      <c r="A300" s="1032" t="str">
        <f>ARLA_32!A88</f>
        <v>NOVEMBRO|18</v>
      </c>
      <c r="B300" s="1072">
        <f>geral!O127</f>
        <v>22.642857142857146</v>
      </c>
      <c r="C300" s="918">
        <f t="shared" ref="C300" si="297">100*B300/$B$8</f>
        <v>526.57807308970109</v>
      </c>
      <c r="D300" s="919">
        <f t="shared" ref="D300" si="298">100*((B300/B299)-1)</f>
        <v>0</v>
      </c>
      <c r="E300" s="919">
        <f t="shared" ref="E300" si="299">100*((B300/$B$289)-1)</f>
        <v>2.1921341070277212</v>
      </c>
      <c r="F300" s="920">
        <f t="shared" ref="F300" si="300">100*((B300/B288)-1)</f>
        <v>2.1921341070277212</v>
      </c>
      <c r="G300" s="921">
        <f t="shared" ref="G300" si="301">100*(B300/B276-1)</f>
        <v>7.0945945945945832</v>
      </c>
      <c r="H300" s="861">
        <f t="shared" si="171"/>
        <v>1.1034700315457413</v>
      </c>
    </row>
    <row r="301" spans="1:8">
      <c r="A301" s="1032" t="str">
        <f>ARLA_32!A89</f>
        <v>DEZEMBRO|18</v>
      </c>
      <c r="B301" s="1072">
        <f>geral!O128</f>
        <v>22.642857142857146</v>
      </c>
      <c r="C301" s="918">
        <f t="shared" ref="C301" si="302">100*B301/$B$8</f>
        <v>526.57807308970109</v>
      </c>
      <c r="D301" s="919">
        <f t="shared" ref="D301" si="303">100*((B301/B300)-1)</f>
        <v>0</v>
      </c>
      <c r="E301" s="919">
        <f t="shared" ref="E301" si="304">100*((B301/$B$289)-1)</f>
        <v>2.1921341070277212</v>
      </c>
      <c r="F301" s="920">
        <f t="shared" ref="F301" si="305">100*((B301/B289)-1)</f>
        <v>2.1921341070277212</v>
      </c>
      <c r="G301" s="921">
        <f t="shared" ref="G301" si="306">100*(B301/B277-1)</f>
        <v>7.0945945945945832</v>
      </c>
      <c r="H301" s="861">
        <f t="shared" si="171"/>
        <v>1.1034700315457413</v>
      </c>
    </row>
    <row r="302" spans="1:8">
      <c r="A302" s="1032" t="str">
        <f>ARLA_32!A90</f>
        <v>JANEIRO|19</v>
      </c>
      <c r="B302" s="1072">
        <f>geral!Q117</f>
        <v>22.642857142857146</v>
      </c>
      <c r="C302" s="918">
        <f t="shared" ref="C302" si="307">100*B302/$B$8</f>
        <v>526.57807308970109</v>
      </c>
      <c r="D302" s="919">
        <f t="shared" ref="D302" si="308">100*((B302/B301)-1)</f>
        <v>0</v>
      </c>
      <c r="E302" s="919">
        <f t="shared" ref="E302:E307" si="309">100*((B302/$B$301)-1)</f>
        <v>0</v>
      </c>
      <c r="F302" s="920">
        <f t="shared" ref="F302" si="310">100*((B302/B290)-1)</f>
        <v>2.1921341070277212</v>
      </c>
      <c r="G302" s="921">
        <f t="shared" ref="G302" si="311">100*(B302/B278-1)</f>
        <v>7.0945945945945832</v>
      </c>
      <c r="H302" s="861">
        <f t="shared" si="171"/>
        <v>1.1034700315457413</v>
      </c>
    </row>
    <row r="303" spans="1:8">
      <c r="A303" s="1032" t="str">
        <f>ARLA_32!A91</f>
        <v>FEVEREIRO|19</v>
      </c>
      <c r="B303" s="1072">
        <f>geral!Q118</f>
        <v>23.214285714285719</v>
      </c>
      <c r="C303" s="918">
        <f t="shared" ref="C303" si="312">100*B303/$B$8</f>
        <v>539.86710963455164</v>
      </c>
      <c r="D303" s="919">
        <f t="shared" ref="D303" si="313">100*((B303/B302)-1)</f>
        <v>2.5236593059936974</v>
      </c>
      <c r="E303" s="919">
        <f t="shared" si="309"/>
        <v>2.5236593059936974</v>
      </c>
      <c r="F303" s="920">
        <f t="shared" ref="F303" si="314">100*((B303/B291)-1)</f>
        <v>4.7711154094132846</v>
      </c>
      <c r="G303" s="921">
        <f t="shared" ref="G303" si="315">100*(B303/B279-1)</f>
        <v>9.7972972972973018</v>
      </c>
      <c r="H303" s="861">
        <f t="shared" si="171"/>
        <v>1.0763076923076922</v>
      </c>
    </row>
    <row r="304" spans="1:8">
      <c r="A304" s="1032" t="str">
        <f>ARLA_32!A92</f>
        <v>MARÇO|19</v>
      </c>
      <c r="B304" s="1072">
        <f>geral!Q119</f>
        <v>23.214285714285719</v>
      </c>
      <c r="C304" s="918">
        <f t="shared" ref="C304" si="316">100*B304/$B$8</f>
        <v>539.86710963455164</v>
      </c>
      <c r="D304" s="919">
        <f t="shared" ref="D304" si="317">100*((B304/B303)-1)</f>
        <v>0</v>
      </c>
      <c r="E304" s="919">
        <f t="shared" si="309"/>
        <v>2.5236593059936974</v>
      </c>
      <c r="F304" s="920">
        <f t="shared" ref="F304" si="318">100*((B304/B292)-1)</f>
        <v>4.7711154094132846</v>
      </c>
      <c r="G304" s="921">
        <f t="shared" ref="G304" si="319">100*(B304/B280-1)</f>
        <v>8.0452127659574657</v>
      </c>
      <c r="H304" s="861">
        <f t="shared" si="171"/>
        <v>1.0763076923076922</v>
      </c>
    </row>
    <row r="305" spans="1:8">
      <c r="A305" s="1032" t="str">
        <f>ARLA_32!A93</f>
        <v>ABRIL|19</v>
      </c>
      <c r="B305" s="1072">
        <f>geral!Q120</f>
        <v>23.214285714285719</v>
      </c>
      <c r="C305" s="918">
        <f t="shared" ref="C305" si="320">100*B305/$B$8</f>
        <v>539.86710963455164</v>
      </c>
      <c r="D305" s="919">
        <f t="shared" ref="D305" si="321">100*((B305/B304)-1)</f>
        <v>0</v>
      </c>
      <c r="E305" s="919">
        <f t="shared" si="309"/>
        <v>2.5236593059936974</v>
      </c>
      <c r="F305" s="920">
        <f t="shared" ref="F305" si="322">100*((B305/B293)-1)</f>
        <v>4.7711154094132846</v>
      </c>
      <c r="G305" s="921">
        <f t="shared" ref="G305" si="323">100*(B305/B281-1)</f>
        <v>8.0452127659574657</v>
      </c>
      <c r="H305" s="861">
        <f t="shared" si="171"/>
        <v>1.0763076923076922</v>
      </c>
    </row>
    <row r="306" spans="1:8">
      <c r="A306" s="1032" t="str">
        <f>ARLA_32!A94</f>
        <v>MAIO|19</v>
      </c>
      <c r="B306" s="1072">
        <f>geral!Q121</f>
        <v>23.214285714285719</v>
      </c>
      <c r="C306" s="918">
        <f t="shared" ref="C306" si="324">100*B306/$B$8</f>
        <v>539.86710963455164</v>
      </c>
      <c r="D306" s="919">
        <f t="shared" ref="D306" si="325">100*((B306/B305)-1)</f>
        <v>0</v>
      </c>
      <c r="E306" s="919">
        <f t="shared" si="309"/>
        <v>2.5236593059936974</v>
      </c>
      <c r="F306" s="920">
        <f t="shared" ref="F306" si="326">100*((B306/B294)-1)</f>
        <v>4.7711154094132846</v>
      </c>
      <c r="G306" s="921">
        <f t="shared" ref="G306" si="327">100*(B306/B282-1)</f>
        <v>8.0452127659574657</v>
      </c>
      <c r="H306" s="861">
        <f t="shared" si="171"/>
        <v>1.0763076923076922</v>
      </c>
    </row>
    <row r="307" spans="1:8">
      <c r="A307" s="1032" t="str">
        <f>ARLA_32!A95</f>
        <v>JUNHO|19</v>
      </c>
      <c r="B307" s="1072">
        <f>geral!Q122</f>
        <v>23.214285714285719</v>
      </c>
      <c r="C307" s="918">
        <f t="shared" ref="C307" si="328">100*B307/$B$8</f>
        <v>539.86710963455164</v>
      </c>
      <c r="D307" s="919">
        <f t="shared" ref="D307" si="329">100*((B307/B306)-1)</f>
        <v>0</v>
      </c>
      <c r="E307" s="919">
        <f t="shared" si="309"/>
        <v>2.5236593059936974</v>
      </c>
      <c r="F307" s="920">
        <f t="shared" ref="F307" si="330">100*((B307/B295)-1)</f>
        <v>2.5236593059936974</v>
      </c>
      <c r="G307" s="921">
        <f t="shared" ref="G307" si="331">100*(B307/B283-1)</f>
        <v>8.0452127659574657</v>
      </c>
      <c r="H307" s="861">
        <f t="shared" si="171"/>
        <v>1.0763076923076922</v>
      </c>
    </row>
    <row r="308" spans="1:8">
      <c r="A308" s="1032" t="str">
        <f>ARLA_32!A96</f>
        <v>JULHO|19</v>
      </c>
      <c r="B308" s="1072">
        <f>geral!Q123</f>
        <v>23.214285714285719</v>
      </c>
      <c r="C308" s="918">
        <f t="shared" ref="C308" si="332">100*B308/$B$8</f>
        <v>539.86710963455164</v>
      </c>
      <c r="D308" s="919">
        <f t="shared" ref="D308" si="333">100*((B308/B307)-1)</f>
        <v>0</v>
      </c>
      <c r="E308" s="919">
        <f t="shared" ref="E308" si="334">100*((B308/$B$301)-1)</f>
        <v>2.5236593059936974</v>
      </c>
      <c r="F308" s="920">
        <f t="shared" ref="F308" si="335">100*((B308/B296)-1)</f>
        <v>2.5236593059936974</v>
      </c>
      <c r="G308" s="921">
        <f t="shared" ref="G308" si="336">100*(B308/B284-1)</f>
        <v>8.0452127659574657</v>
      </c>
      <c r="H308" s="861">
        <f t="shared" si="171"/>
        <v>1.0763076923076922</v>
      </c>
    </row>
    <row r="309" spans="1:8">
      <c r="A309" s="1032" t="str">
        <f>ARLA_32!A97</f>
        <v>AGOSTO|19</v>
      </c>
      <c r="B309" s="1072">
        <f>geral!Q124</f>
        <v>23.214285714285719</v>
      </c>
      <c r="C309" s="918">
        <f t="shared" ref="C309" si="337">100*B309/$B$8</f>
        <v>539.86710963455164</v>
      </c>
      <c r="D309" s="919">
        <f t="shared" ref="D309" si="338">100*((B309/B308)-1)</f>
        <v>0</v>
      </c>
      <c r="E309" s="919">
        <f t="shared" ref="E309" si="339">100*((B309/$B$301)-1)</f>
        <v>2.5236593059936974</v>
      </c>
      <c r="F309" s="920">
        <f t="shared" ref="F309" si="340">100*((B309/B297)-1)</f>
        <v>2.5236593059936974</v>
      </c>
      <c r="G309" s="921">
        <f t="shared" ref="G309" si="341">100*(B309/B285-1)</f>
        <v>8.0452127659574657</v>
      </c>
      <c r="H309" s="861">
        <f t="shared" si="171"/>
        <v>1.0763076923076922</v>
      </c>
    </row>
    <row r="310" spans="1:8">
      <c r="A310" s="1032" t="str">
        <f>ARLA_32!A98</f>
        <v>SETEMBRO|19</v>
      </c>
      <c r="B310" s="1072">
        <f>geral!Q125</f>
        <v>23.214285714285719</v>
      </c>
      <c r="C310" s="918">
        <f t="shared" ref="C310" si="342">100*B310/$B$8</f>
        <v>539.86710963455164</v>
      </c>
      <c r="D310" s="919">
        <f t="shared" ref="D310" si="343">100*((B310/B309)-1)</f>
        <v>0</v>
      </c>
      <c r="E310" s="919">
        <f t="shared" ref="E310" si="344">100*((B310/$B$301)-1)</f>
        <v>2.5236593059936974</v>
      </c>
      <c r="F310" s="920">
        <f t="shared" ref="F310" si="345">100*((B310/B298)-1)</f>
        <v>2.5236593059936974</v>
      </c>
      <c r="G310" s="921">
        <f t="shared" ref="G310" si="346">100*(B310/B286-1)</f>
        <v>8.0452127659574657</v>
      </c>
      <c r="H310" s="861">
        <f t="shared" si="171"/>
        <v>1.0763076923076922</v>
      </c>
    </row>
    <row r="311" spans="1:8">
      <c r="A311" s="1032" t="str">
        <f>ARLA_32!A99</f>
        <v>OUTUBRO|19</v>
      </c>
      <c r="B311" s="1072">
        <f>geral!Q126</f>
        <v>23.214285714285719</v>
      </c>
      <c r="C311" s="918">
        <f t="shared" ref="C311" si="347">100*B311/$B$8</f>
        <v>539.86710963455164</v>
      </c>
      <c r="D311" s="919">
        <f t="shared" ref="D311" si="348">100*((B311/B310)-1)</f>
        <v>0</v>
      </c>
      <c r="E311" s="919">
        <f t="shared" ref="E311" si="349">100*((B311/$B$301)-1)</f>
        <v>2.5236593059936974</v>
      </c>
      <c r="F311" s="920">
        <f t="shared" ref="F311" si="350">100*((B311/B299)-1)</f>
        <v>2.5236593059936974</v>
      </c>
      <c r="G311" s="921">
        <f t="shared" ref="G311" si="351">100*(B311/B287-1)</f>
        <v>8.0452127659574657</v>
      </c>
      <c r="H311" s="861">
        <f t="shared" si="171"/>
        <v>1.0763076923076922</v>
      </c>
    </row>
    <row r="312" spans="1:8">
      <c r="A312" s="1032" t="str">
        <f>ARLA_32!A100</f>
        <v>NOVEMBRO|19</v>
      </c>
      <c r="B312" s="1072">
        <f>geral!Q127</f>
        <v>23.214285714285719</v>
      </c>
      <c r="C312" s="918">
        <f t="shared" ref="C312" si="352">100*B312/$B$8</f>
        <v>539.86710963455164</v>
      </c>
      <c r="D312" s="919">
        <f t="shared" ref="D312" si="353">100*((B312/B311)-1)</f>
        <v>0</v>
      </c>
      <c r="E312" s="919">
        <f t="shared" ref="E312" si="354">100*((B312/$B$301)-1)</f>
        <v>2.5236593059936974</v>
      </c>
      <c r="F312" s="920">
        <f t="shared" ref="F312" si="355">100*((B312/B300)-1)</f>
        <v>2.5236593059936974</v>
      </c>
      <c r="G312" s="921">
        <f t="shared" ref="G312" si="356">100*(B312/B288-1)</f>
        <v>4.7711154094132846</v>
      </c>
      <c r="H312" s="861">
        <f t="shared" si="171"/>
        <v>1.0763076923076922</v>
      </c>
    </row>
    <row r="313" spans="1:8">
      <c r="A313" s="1032" t="str">
        <f>ARLA_32!A101</f>
        <v>DEZEMBRO|19</v>
      </c>
      <c r="B313" s="1072">
        <f>geral!Q128</f>
        <v>23.214285714285719</v>
      </c>
      <c r="C313" s="918">
        <f t="shared" ref="C313" si="357">100*B313/$B$8</f>
        <v>539.86710963455164</v>
      </c>
      <c r="D313" s="919">
        <f t="shared" ref="D313" si="358">100*((B313/B312)-1)</f>
        <v>0</v>
      </c>
      <c r="E313" s="919">
        <f t="shared" ref="E313" si="359">100*((B313/$B$301)-1)</f>
        <v>2.5236593059936974</v>
      </c>
      <c r="F313" s="920">
        <f t="shared" ref="F313" si="360">100*((B313/B301)-1)</f>
        <v>2.5236593059936974</v>
      </c>
      <c r="G313" s="921">
        <f t="shared" ref="G313" si="361">100*(B313/B289-1)</f>
        <v>4.7711154094132846</v>
      </c>
      <c r="H313" s="861">
        <f t="shared" si="171"/>
        <v>1.0763076923076922</v>
      </c>
    </row>
    <row r="314" spans="1:8">
      <c r="A314" s="1032" t="str">
        <f>ARLA_32!A102</f>
        <v>JANEIRO|20</v>
      </c>
      <c r="B314" s="1072">
        <f>geral!S117</f>
        <v>23.214285714285719</v>
      </c>
      <c r="C314" s="918">
        <f t="shared" ref="C314" si="362">100*B314/$B$8</f>
        <v>539.86710963455164</v>
      </c>
      <c r="D314" s="919">
        <f t="shared" ref="D314" si="363">100*((B314/B313)-1)</f>
        <v>0</v>
      </c>
      <c r="E314" s="919">
        <f t="shared" ref="E314:E319" si="364">100*((B314/$B$313)-1)</f>
        <v>0</v>
      </c>
      <c r="F314" s="920">
        <f t="shared" ref="F314" si="365">100*((B314/B302)-1)</f>
        <v>2.5236593059936974</v>
      </c>
      <c r="G314" s="921">
        <f t="shared" ref="G314" si="366">100*(B314/B290-1)</f>
        <v>4.7711154094132846</v>
      </c>
      <c r="H314" s="861">
        <f t="shared" si="171"/>
        <v>1.0763076923076922</v>
      </c>
    </row>
    <row r="315" spans="1:8">
      <c r="A315" s="1032" t="str">
        <f>ARLA_32!A103</f>
        <v>FEVEREIRO|20</v>
      </c>
      <c r="B315" s="1072">
        <f>geral!S118</f>
        <v>24.985714285714288</v>
      </c>
      <c r="C315" s="918">
        <f t="shared" ref="C315" si="367">100*B315/$B$8</f>
        <v>581.06312292358814</v>
      </c>
      <c r="D315" s="919">
        <f t="shared" ref="D315" si="368">100*((B315/B314)-1)</f>
        <v>7.6307692307692188</v>
      </c>
      <c r="E315" s="919">
        <f t="shared" si="364"/>
        <v>7.6307692307692188</v>
      </c>
      <c r="F315" s="920">
        <f t="shared" ref="F315" si="369">100*((B315/B303)-1)</f>
        <v>7.6307692307692188</v>
      </c>
      <c r="G315" s="921">
        <f t="shared" ref="G315" si="370">100*(B315/B291-1)</f>
        <v>12.765957446808486</v>
      </c>
      <c r="H315" s="861">
        <f t="shared" si="171"/>
        <v>1</v>
      </c>
    </row>
    <row r="316" spans="1:8">
      <c r="A316" s="1032" t="str">
        <f>ARLA_32!A104</f>
        <v>MARÇO|20</v>
      </c>
      <c r="B316" s="1072">
        <f>geral!S119</f>
        <v>24.985714285714288</v>
      </c>
      <c r="C316" s="918">
        <f t="shared" ref="C316" si="371">100*B316/$B$8</f>
        <v>581.06312292358814</v>
      </c>
      <c r="D316" s="919">
        <f t="shared" ref="D316" si="372">100*((B316/B315)-1)</f>
        <v>0</v>
      </c>
      <c r="E316" s="919">
        <f t="shared" si="364"/>
        <v>7.6307692307692188</v>
      </c>
      <c r="F316" s="920">
        <f t="shared" ref="F316" si="373">100*((B316/B304)-1)</f>
        <v>7.6307692307692188</v>
      </c>
      <c r="G316" s="921">
        <f t="shared" ref="G316" si="374">100*(B316/B292-1)</f>
        <v>12.765957446808486</v>
      </c>
      <c r="H316" s="861">
        <f t="shared" si="171"/>
        <v>1</v>
      </c>
    </row>
    <row r="317" spans="1:8">
      <c r="A317" s="1032" t="str">
        <f>ARLA_32!A105</f>
        <v>ABRIL|20</v>
      </c>
      <c r="B317" s="1072">
        <f>geral!S120</f>
        <v>24.985714285714288</v>
      </c>
      <c r="C317" s="918">
        <f t="shared" ref="C317" si="375">100*B317/$B$8</f>
        <v>581.06312292358814</v>
      </c>
      <c r="D317" s="919">
        <f t="shared" ref="D317" si="376">100*((B317/B316)-1)</f>
        <v>0</v>
      </c>
      <c r="E317" s="919">
        <f t="shared" si="364"/>
        <v>7.6307692307692188</v>
      </c>
      <c r="F317" s="920">
        <f t="shared" ref="F317" si="377">100*((B317/B305)-1)</f>
        <v>7.6307692307692188</v>
      </c>
      <c r="G317" s="921">
        <f t="shared" ref="G317" si="378">100*(B317/B293-1)</f>
        <v>12.765957446808486</v>
      </c>
      <c r="H317" s="861">
        <f t="shared" si="171"/>
        <v>1</v>
      </c>
    </row>
    <row r="318" spans="1:8">
      <c r="A318" s="1032" t="str">
        <f>ARLA_32!A106</f>
        <v>MAIO|20</v>
      </c>
      <c r="B318" s="1072">
        <f>geral!S121</f>
        <v>24.985714285714288</v>
      </c>
      <c r="C318" s="918">
        <f t="shared" ref="C318" si="379">100*B318/$B$8</f>
        <v>581.06312292358814</v>
      </c>
      <c r="D318" s="919">
        <f t="shared" ref="D318" si="380">100*((B318/B317)-1)</f>
        <v>0</v>
      </c>
      <c r="E318" s="919">
        <f t="shared" si="364"/>
        <v>7.6307692307692188</v>
      </c>
      <c r="F318" s="920">
        <f t="shared" ref="F318" si="381">100*((B318/B306)-1)</f>
        <v>7.6307692307692188</v>
      </c>
      <c r="G318" s="921">
        <f t="shared" ref="G318" si="382">100*(B318/B294-1)</f>
        <v>12.765957446808486</v>
      </c>
      <c r="H318" s="861">
        <f t="shared" si="171"/>
        <v>1</v>
      </c>
    </row>
    <row r="319" spans="1:8">
      <c r="A319" s="1032" t="str">
        <f>ARLA_32!A107</f>
        <v>JUNHO|20</v>
      </c>
      <c r="B319" s="1072">
        <f>geral!S122</f>
        <v>24.985714285714288</v>
      </c>
      <c r="C319" s="918">
        <f t="shared" ref="C319" si="383">100*B319/$B$8</f>
        <v>581.06312292358814</v>
      </c>
      <c r="D319" s="919">
        <f t="shared" ref="D319" si="384">100*((B319/B318)-1)</f>
        <v>0</v>
      </c>
      <c r="E319" s="919">
        <f t="shared" si="364"/>
        <v>7.6307692307692188</v>
      </c>
      <c r="F319" s="920">
        <f t="shared" ref="F319" si="385">100*((B319/B307)-1)</f>
        <v>7.6307692307692188</v>
      </c>
      <c r="G319" s="921">
        <f t="shared" ref="G319" si="386">100*(B319/B295-1)</f>
        <v>10.34700315457413</v>
      </c>
      <c r="H319" s="861">
        <f t="shared" si="171"/>
        <v>1</v>
      </c>
    </row>
    <row r="320" spans="1:8">
      <c r="A320" s="1032" t="str">
        <f>ARLA_32!A108</f>
        <v>JULHO|20</v>
      </c>
      <c r="B320" s="1072">
        <f>geral!S123</f>
        <v>24.985714285714288</v>
      </c>
      <c r="C320" s="918">
        <f t="shared" ref="C320" si="387">100*B320/$B$8</f>
        <v>581.06312292358814</v>
      </c>
      <c r="D320" s="919">
        <f t="shared" ref="D320" si="388">100*((B320/B319)-1)</f>
        <v>0</v>
      </c>
      <c r="E320" s="919">
        <f t="shared" ref="E320" si="389">100*((B320/$B$313)-1)</f>
        <v>7.6307692307692188</v>
      </c>
      <c r="F320" s="920">
        <f t="shared" ref="F320" si="390">100*((B320/B308)-1)</f>
        <v>7.6307692307692188</v>
      </c>
      <c r="G320" s="921">
        <f t="shared" ref="G320" si="391">100*(B320/B296-1)</f>
        <v>10.34700315457413</v>
      </c>
      <c r="H320" s="861">
        <f t="shared" si="171"/>
        <v>1</v>
      </c>
    </row>
    <row r="321" spans="1:8">
      <c r="A321" s="1032" t="str">
        <f>ARLA_32!A109</f>
        <v>AGOSTO|20</v>
      </c>
      <c r="B321" s="1072">
        <f>geral!S124</f>
        <v>24.985714285714288</v>
      </c>
      <c r="C321" s="918">
        <f t="shared" ref="C321" si="392">100*B321/$B$8</f>
        <v>581.06312292358814</v>
      </c>
      <c r="D321" s="919">
        <f t="shared" ref="D321" si="393">100*((B321/B320)-1)</f>
        <v>0</v>
      </c>
      <c r="E321" s="919">
        <f t="shared" ref="E321" si="394">100*((B321/$B$313)-1)</f>
        <v>7.6307692307692188</v>
      </c>
      <c r="F321" s="920">
        <f t="shared" ref="F321" si="395">100*((B321/B309)-1)</f>
        <v>7.6307692307692188</v>
      </c>
      <c r="G321" s="921">
        <f t="shared" ref="G321" si="396">100*(B321/B297-1)</f>
        <v>10.34700315457413</v>
      </c>
      <c r="H321" s="926">
        <f t="shared" si="171"/>
        <v>1</v>
      </c>
    </row>
    <row r="322" spans="1:8" ht="16.5" thickBot="1">
      <c r="A322" s="1046" t="str">
        <f>ARLA_32!A110</f>
        <v>SETEMBRO|20</v>
      </c>
      <c r="B322" s="1061">
        <f>geral!S125</f>
        <v>24.985714285714288</v>
      </c>
      <c r="C322" s="1047">
        <f t="shared" ref="C322" si="397">100*B322/$B$8</f>
        <v>581.06312292358814</v>
      </c>
      <c r="D322" s="1062">
        <f t="shared" ref="D322" si="398">100*((B322/B321)-1)</f>
        <v>0</v>
      </c>
      <c r="E322" s="1062">
        <f t="shared" ref="E322" si="399">100*((B322/$B$313)-1)</f>
        <v>7.6307692307692188</v>
      </c>
      <c r="F322" s="1063">
        <f t="shared" ref="F322" si="400">100*((B322/B310)-1)</f>
        <v>7.6307692307692188</v>
      </c>
      <c r="G322" s="1064">
        <f t="shared" ref="G322" si="401">100*(B322/B298-1)</f>
        <v>10.34700315457413</v>
      </c>
      <c r="H322" s="1053">
        <f t="shared" si="171"/>
        <v>1</v>
      </c>
    </row>
    <row r="323" spans="1:8">
      <c r="A323" s="758" t="s">
        <v>238</v>
      </c>
      <c r="B323" s="759"/>
      <c r="C323" s="759"/>
      <c r="D323" s="759"/>
      <c r="E323" s="759"/>
      <c r="F323" s="759"/>
      <c r="G323" s="759"/>
      <c r="H323" s="759"/>
    </row>
    <row r="324" spans="1:8">
      <c r="B324" s="759"/>
      <c r="C324" s="759"/>
      <c r="D324" s="759"/>
      <c r="E324" s="759"/>
      <c r="F324" s="759"/>
      <c r="G324" s="759"/>
      <c r="H324" s="759"/>
    </row>
    <row r="325" spans="1:8">
      <c r="B325" s="759"/>
      <c r="C325" s="759"/>
      <c r="D325" s="759"/>
      <c r="E325" s="759"/>
      <c r="F325" s="759"/>
      <c r="G325" s="759"/>
      <c r="H325" s="759"/>
    </row>
    <row r="326" spans="1:8">
      <c r="B326" s="759"/>
      <c r="C326" s="759"/>
      <c r="D326" s="759"/>
      <c r="E326" s="759"/>
      <c r="F326" s="759"/>
      <c r="G326" s="759"/>
      <c r="H326" s="759"/>
    </row>
    <row r="327" spans="1:8">
      <c r="B327" s="759"/>
      <c r="C327" s="759"/>
      <c r="D327" s="759"/>
      <c r="E327" s="759"/>
      <c r="F327" s="759"/>
      <c r="G327" s="759"/>
      <c r="H327" s="759"/>
    </row>
    <row r="328" spans="1:8">
      <c r="B328" s="759"/>
      <c r="C328" s="759"/>
      <c r="D328" s="759"/>
      <c r="E328" s="759"/>
      <c r="F328" s="759"/>
      <c r="G328" s="759"/>
      <c r="H328" s="759"/>
    </row>
    <row r="329" spans="1:8">
      <c r="B329" s="759"/>
      <c r="C329" s="759"/>
      <c r="D329" s="759"/>
      <c r="E329" s="759"/>
      <c r="F329" s="759"/>
      <c r="G329" s="759"/>
      <c r="H329" s="759"/>
    </row>
    <row r="330" spans="1:8">
      <c r="B330" s="759"/>
      <c r="C330" s="759"/>
      <c r="D330" s="759"/>
      <c r="E330" s="759"/>
      <c r="F330" s="759"/>
      <c r="G330" s="759"/>
      <c r="H330" s="759"/>
    </row>
    <row r="331" spans="1:8">
      <c r="B331" s="759"/>
      <c r="C331" s="759"/>
      <c r="D331" s="759"/>
      <c r="E331" s="759"/>
      <c r="F331" s="759"/>
      <c r="G331" s="759"/>
      <c r="H331" s="759"/>
    </row>
    <row r="332" spans="1:8">
      <c r="B332" s="759"/>
      <c r="C332" s="759"/>
      <c r="D332" s="759"/>
      <c r="E332" s="759"/>
      <c r="F332" s="759"/>
      <c r="G332" s="759"/>
      <c r="H332" s="759"/>
    </row>
    <row r="333" spans="1:8">
      <c r="B333" s="759"/>
      <c r="C333" s="759"/>
      <c r="D333" s="759"/>
      <c r="E333" s="759"/>
      <c r="F333" s="759"/>
      <c r="G333" s="759"/>
      <c r="H333" s="759"/>
    </row>
    <row r="334" spans="1:8">
      <c r="B334" s="759"/>
      <c r="C334" s="759"/>
      <c r="D334" s="759"/>
      <c r="E334" s="759"/>
      <c r="F334" s="759"/>
      <c r="G334" s="759"/>
      <c r="H334" s="759"/>
    </row>
    <row r="335" spans="1:8">
      <c r="B335" s="759"/>
      <c r="C335" s="759"/>
      <c r="D335" s="759"/>
      <c r="E335" s="759"/>
      <c r="F335" s="759"/>
      <c r="G335" s="759"/>
      <c r="H335" s="759"/>
    </row>
    <row r="336" spans="1:8">
      <c r="B336" s="759"/>
      <c r="C336" s="759"/>
      <c r="D336" s="759"/>
      <c r="E336" s="759"/>
      <c r="F336" s="759"/>
      <c r="G336" s="759"/>
      <c r="H336" s="759"/>
    </row>
    <row r="337" spans="2:8">
      <c r="B337" s="759"/>
      <c r="C337" s="759"/>
      <c r="D337" s="759"/>
      <c r="E337" s="759"/>
      <c r="F337" s="759"/>
      <c r="G337" s="759"/>
      <c r="H337" s="759"/>
    </row>
    <row r="338" spans="2:8">
      <c r="B338" s="759"/>
      <c r="C338" s="759"/>
      <c r="D338" s="759"/>
      <c r="E338" s="759"/>
      <c r="F338" s="759"/>
      <c r="G338" s="759"/>
      <c r="H338" s="759"/>
    </row>
    <row r="339" spans="2:8">
      <c r="B339" s="759"/>
      <c r="C339" s="759"/>
      <c r="D339" s="759"/>
      <c r="E339" s="759"/>
      <c r="F339" s="759"/>
      <c r="G339" s="759"/>
      <c r="H339" s="759"/>
    </row>
    <row r="340" spans="2:8">
      <c r="B340" s="759"/>
      <c r="C340" s="759"/>
      <c r="D340" s="759"/>
      <c r="E340" s="759"/>
      <c r="F340" s="759"/>
      <c r="G340" s="759"/>
      <c r="H340" s="759"/>
    </row>
    <row r="341" spans="2:8">
      <c r="B341" s="759"/>
      <c r="C341" s="759"/>
      <c r="D341" s="759"/>
      <c r="E341" s="759"/>
      <c r="F341" s="759"/>
      <c r="G341" s="759"/>
      <c r="H341" s="759"/>
    </row>
    <row r="342" spans="2:8">
      <c r="B342" s="759"/>
      <c r="C342" s="759"/>
      <c r="D342" s="759"/>
      <c r="E342" s="759"/>
      <c r="F342" s="759"/>
      <c r="G342" s="759"/>
      <c r="H342" s="759"/>
    </row>
    <row r="343" spans="2:8">
      <c r="B343" s="759"/>
      <c r="C343" s="759"/>
      <c r="D343" s="759"/>
      <c r="E343" s="759"/>
      <c r="F343" s="759"/>
      <c r="G343" s="759"/>
      <c r="H343" s="759"/>
    </row>
    <row r="344" spans="2:8">
      <c r="B344" s="759"/>
      <c r="C344" s="759"/>
      <c r="D344" s="759"/>
      <c r="E344" s="759"/>
      <c r="F344" s="759"/>
      <c r="G344" s="759"/>
      <c r="H344" s="759"/>
    </row>
    <row r="345" spans="2:8">
      <c r="B345" s="759"/>
      <c r="C345" s="759"/>
      <c r="D345" s="759"/>
      <c r="E345" s="759"/>
      <c r="F345" s="759"/>
      <c r="G345" s="759"/>
      <c r="H345" s="759"/>
    </row>
    <row r="346" spans="2:8">
      <c r="B346" s="759"/>
      <c r="C346" s="759"/>
      <c r="D346" s="759"/>
      <c r="E346" s="759"/>
      <c r="F346" s="759"/>
      <c r="G346" s="759"/>
      <c r="H346" s="759"/>
    </row>
    <row r="347" spans="2:8">
      <c r="B347" s="759"/>
      <c r="C347" s="759"/>
      <c r="D347" s="759"/>
      <c r="E347" s="759"/>
      <c r="F347" s="759"/>
      <c r="G347" s="759"/>
      <c r="H347" s="759"/>
    </row>
    <row r="348" spans="2:8">
      <c r="B348" s="759"/>
      <c r="C348" s="759"/>
      <c r="D348" s="759"/>
      <c r="E348" s="759"/>
      <c r="F348" s="759"/>
      <c r="G348" s="759"/>
      <c r="H348" s="759"/>
    </row>
    <row r="349" spans="2:8">
      <c r="B349" s="759"/>
      <c r="C349" s="759"/>
      <c r="D349" s="759"/>
      <c r="E349" s="759"/>
      <c r="F349" s="759"/>
      <c r="G349" s="759"/>
      <c r="H349" s="759"/>
    </row>
    <row r="350" spans="2:8">
      <c r="B350" s="759"/>
      <c r="C350" s="759"/>
      <c r="D350" s="759"/>
      <c r="E350" s="759"/>
      <c r="F350" s="759"/>
      <c r="G350" s="759"/>
      <c r="H350" s="759"/>
    </row>
    <row r="351" spans="2:8">
      <c r="B351" s="759"/>
      <c r="C351" s="759"/>
      <c r="D351" s="759"/>
      <c r="E351" s="759"/>
      <c r="F351" s="759"/>
      <c r="G351" s="759"/>
      <c r="H351" s="759"/>
    </row>
    <row r="352" spans="2:8">
      <c r="B352" s="759"/>
      <c r="C352" s="759"/>
      <c r="D352" s="759"/>
      <c r="E352" s="759"/>
      <c r="F352" s="759"/>
      <c r="G352" s="759"/>
      <c r="H352" s="759"/>
    </row>
    <row r="353" spans="1:8">
      <c r="B353" s="759"/>
      <c r="C353" s="759"/>
      <c r="D353" s="759"/>
      <c r="E353" s="759"/>
      <c r="F353" s="759"/>
      <c r="G353" s="759"/>
      <c r="H353" s="759"/>
    </row>
    <row r="354" spans="1:8">
      <c r="B354" s="759"/>
      <c r="C354" s="759"/>
      <c r="D354" s="759"/>
      <c r="E354" s="759"/>
      <c r="F354" s="759"/>
      <c r="G354" s="759"/>
      <c r="H354" s="759"/>
    </row>
    <row r="355" spans="1:8">
      <c r="A355" s="707" t="s">
        <v>245</v>
      </c>
      <c r="B355" s="759"/>
      <c r="C355" s="759"/>
      <c r="D355" s="759"/>
      <c r="E355" s="759"/>
      <c r="F355" s="759"/>
      <c r="G355" s="759"/>
      <c r="H355" s="759"/>
    </row>
    <row r="356" spans="1:8">
      <c r="B356" s="759"/>
      <c r="C356" s="759"/>
      <c r="D356" s="759"/>
      <c r="E356" s="759"/>
      <c r="F356" s="759"/>
      <c r="G356" s="759"/>
      <c r="H356" s="759"/>
    </row>
    <row r="357" spans="1:8">
      <c r="B357" s="759"/>
      <c r="C357" s="759"/>
      <c r="D357" s="759"/>
      <c r="E357" s="759"/>
      <c r="F357" s="759"/>
      <c r="G357" s="759"/>
      <c r="H357" s="759"/>
    </row>
    <row r="358" spans="1:8">
      <c r="B358" s="759"/>
      <c r="C358" s="759"/>
      <c r="D358" s="759"/>
      <c r="E358" s="759"/>
      <c r="F358" s="759"/>
      <c r="G358" s="759"/>
      <c r="H358" s="759"/>
    </row>
    <row r="359" spans="1:8">
      <c r="B359" s="759"/>
      <c r="C359" s="759"/>
      <c r="D359" s="759"/>
      <c r="E359" s="759"/>
      <c r="F359" s="759"/>
      <c r="G359" s="759"/>
      <c r="H359" s="759"/>
    </row>
    <row r="360" spans="1:8">
      <c r="B360" s="759"/>
      <c r="C360" s="759"/>
      <c r="D360" s="759"/>
      <c r="E360" s="759"/>
      <c r="F360" s="759"/>
      <c r="G360" s="759"/>
      <c r="H360" s="759"/>
    </row>
    <row r="361" spans="1:8">
      <c r="B361" s="759"/>
      <c r="C361" s="759"/>
      <c r="D361" s="759"/>
      <c r="E361" s="759"/>
      <c r="F361" s="759"/>
      <c r="G361" s="759"/>
      <c r="H361" s="759"/>
    </row>
    <row r="362" spans="1:8">
      <c r="B362" s="759"/>
      <c r="C362" s="759"/>
      <c r="D362" s="759"/>
      <c r="E362" s="759"/>
      <c r="F362" s="759"/>
      <c r="G362" s="759"/>
      <c r="H362" s="759"/>
    </row>
    <row r="363" spans="1:8">
      <c r="B363" s="759"/>
      <c r="C363" s="759"/>
      <c r="D363" s="759"/>
      <c r="E363" s="759"/>
      <c r="F363" s="759"/>
      <c r="G363" s="759"/>
      <c r="H363" s="759"/>
    </row>
    <row r="364" spans="1:8">
      <c r="B364" s="759"/>
      <c r="C364" s="759"/>
      <c r="D364" s="759"/>
      <c r="E364" s="759"/>
      <c r="F364" s="759"/>
      <c r="G364" s="759"/>
      <c r="H364" s="759"/>
    </row>
    <row r="365" spans="1:8">
      <c r="B365" s="759"/>
      <c r="C365" s="759"/>
      <c r="D365" s="759"/>
      <c r="E365" s="759"/>
      <c r="F365" s="759"/>
      <c r="G365" s="759"/>
      <c r="H365" s="759"/>
    </row>
    <row r="366" spans="1:8">
      <c r="B366" s="759"/>
      <c r="C366" s="759"/>
      <c r="D366" s="759"/>
      <c r="E366" s="759"/>
      <c r="F366" s="759"/>
      <c r="G366" s="759"/>
      <c r="H366" s="759"/>
    </row>
    <row r="367" spans="1:8">
      <c r="B367" s="759"/>
      <c r="C367" s="759"/>
      <c r="D367" s="759"/>
      <c r="E367" s="759"/>
      <c r="F367" s="759"/>
      <c r="G367" s="759"/>
      <c r="H367" s="759"/>
    </row>
    <row r="368" spans="1:8">
      <c r="B368" s="759"/>
      <c r="C368" s="759"/>
      <c r="D368" s="759"/>
      <c r="E368" s="759"/>
      <c r="F368" s="759"/>
      <c r="G368" s="759"/>
      <c r="H368" s="759"/>
    </row>
    <row r="369" spans="2:8">
      <c r="B369" s="759"/>
      <c r="C369" s="759"/>
      <c r="D369" s="759"/>
      <c r="E369" s="759"/>
      <c r="F369" s="759"/>
      <c r="G369" s="759"/>
      <c r="H369" s="759"/>
    </row>
    <row r="370" spans="2:8">
      <c r="B370" s="759"/>
      <c r="C370" s="759"/>
      <c r="D370" s="759"/>
      <c r="E370" s="759"/>
      <c r="F370" s="759"/>
      <c r="G370" s="759"/>
      <c r="H370" s="759"/>
    </row>
    <row r="371" spans="2:8">
      <c r="B371" s="759"/>
      <c r="C371" s="759"/>
      <c r="D371" s="759"/>
      <c r="E371" s="759"/>
      <c r="F371" s="759"/>
      <c r="G371" s="759"/>
      <c r="H371" s="759"/>
    </row>
    <row r="372" spans="2:8">
      <c r="B372" s="759"/>
      <c r="C372" s="759"/>
      <c r="D372" s="759"/>
      <c r="E372" s="759"/>
      <c r="F372" s="759"/>
      <c r="G372" s="759"/>
      <c r="H372" s="759"/>
    </row>
    <row r="373" spans="2:8">
      <c r="B373" s="759"/>
      <c r="C373" s="759"/>
      <c r="D373" s="759"/>
      <c r="E373" s="759"/>
      <c r="F373" s="759"/>
      <c r="G373" s="759"/>
      <c r="H373" s="759"/>
    </row>
    <row r="374" spans="2:8">
      <c r="B374" s="759"/>
      <c r="C374" s="759"/>
      <c r="D374" s="759"/>
      <c r="E374" s="759"/>
      <c r="F374" s="759"/>
      <c r="G374" s="759"/>
      <c r="H374" s="759"/>
    </row>
    <row r="375" spans="2:8">
      <c r="B375" s="759"/>
      <c r="C375" s="759"/>
      <c r="D375" s="759"/>
      <c r="E375" s="759"/>
      <c r="F375" s="759"/>
      <c r="G375" s="759"/>
      <c r="H375" s="759"/>
    </row>
    <row r="376" spans="2:8">
      <c r="B376" s="759"/>
      <c r="C376" s="759"/>
      <c r="D376" s="759"/>
      <c r="E376" s="759"/>
      <c r="F376" s="759"/>
      <c r="G376" s="759"/>
      <c r="H376" s="759"/>
    </row>
    <row r="377" spans="2:8">
      <c r="B377" s="759"/>
      <c r="C377" s="759"/>
      <c r="D377" s="759"/>
      <c r="E377" s="759"/>
      <c r="F377" s="759"/>
      <c r="G377" s="759"/>
      <c r="H377" s="759"/>
    </row>
    <row r="378" spans="2:8">
      <c r="B378" s="759"/>
      <c r="C378" s="759"/>
      <c r="D378" s="759"/>
      <c r="E378" s="759"/>
      <c r="F378" s="759"/>
      <c r="G378" s="759"/>
      <c r="H378" s="759"/>
    </row>
    <row r="379" spans="2:8">
      <c r="B379" s="759"/>
      <c r="C379" s="759"/>
      <c r="D379" s="759"/>
      <c r="E379" s="759"/>
      <c r="F379" s="759"/>
      <c r="G379" s="759"/>
      <c r="H379" s="759"/>
    </row>
    <row r="380" spans="2:8">
      <c r="B380" s="759"/>
      <c r="C380" s="759"/>
      <c r="D380" s="759"/>
      <c r="E380" s="759"/>
      <c r="F380" s="759"/>
      <c r="G380" s="759"/>
      <c r="H380" s="759"/>
    </row>
    <row r="381" spans="2:8">
      <c r="B381" s="759"/>
      <c r="C381" s="759"/>
      <c r="D381" s="759"/>
      <c r="E381" s="759"/>
      <c r="F381" s="759"/>
      <c r="G381" s="759"/>
      <c r="H381" s="759"/>
    </row>
    <row r="382" spans="2:8">
      <c r="B382" s="759"/>
      <c r="C382" s="759"/>
      <c r="D382" s="759"/>
      <c r="E382" s="759"/>
      <c r="F382" s="759"/>
      <c r="G382" s="759"/>
      <c r="H382" s="759"/>
    </row>
    <row r="383" spans="2:8">
      <c r="B383" s="759"/>
      <c r="C383" s="759"/>
      <c r="D383" s="759"/>
      <c r="E383" s="759"/>
      <c r="F383" s="759"/>
      <c r="G383" s="759"/>
      <c r="H383" s="759"/>
    </row>
    <row r="384" spans="2:8">
      <c r="B384" s="759"/>
      <c r="C384" s="759"/>
      <c r="D384" s="759"/>
      <c r="E384" s="759"/>
      <c r="F384" s="759"/>
      <c r="G384" s="759"/>
      <c r="H384" s="759"/>
    </row>
    <row r="385" spans="2:8">
      <c r="B385" s="759"/>
      <c r="C385" s="759"/>
      <c r="D385" s="759"/>
      <c r="E385" s="759"/>
      <c r="F385" s="759"/>
      <c r="G385" s="759"/>
      <c r="H385" s="759"/>
    </row>
    <row r="386" spans="2:8">
      <c r="B386" s="759"/>
      <c r="C386" s="759"/>
      <c r="D386" s="759"/>
      <c r="E386" s="759"/>
      <c r="F386" s="759"/>
      <c r="G386" s="759"/>
      <c r="H386" s="759"/>
    </row>
    <row r="387" spans="2:8">
      <c r="B387" s="759"/>
      <c r="C387" s="759"/>
      <c r="D387" s="759"/>
      <c r="E387" s="759"/>
      <c r="F387" s="759"/>
      <c r="G387" s="759"/>
      <c r="H387" s="759"/>
    </row>
    <row r="388" spans="2:8">
      <c r="B388" s="759"/>
      <c r="C388" s="759"/>
      <c r="D388" s="759"/>
      <c r="E388" s="759"/>
      <c r="F388" s="759"/>
      <c r="G388" s="759"/>
      <c r="H388" s="759"/>
    </row>
    <row r="389" spans="2:8">
      <c r="B389" s="759"/>
      <c r="C389" s="759"/>
      <c r="D389" s="759"/>
      <c r="E389" s="759"/>
      <c r="F389" s="759"/>
      <c r="G389" s="759"/>
      <c r="H389" s="759"/>
    </row>
    <row r="390" spans="2:8">
      <c r="B390" s="759"/>
      <c r="C390" s="759"/>
      <c r="D390" s="759"/>
      <c r="E390" s="759"/>
      <c r="F390" s="759"/>
      <c r="G390" s="759"/>
      <c r="H390" s="759"/>
    </row>
    <row r="391" spans="2:8">
      <c r="B391" s="759"/>
      <c r="C391" s="759"/>
      <c r="D391" s="759"/>
      <c r="E391" s="759"/>
      <c r="F391" s="759"/>
      <c r="G391" s="759"/>
      <c r="H391" s="759"/>
    </row>
    <row r="392" spans="2:8">
      <c r="B392" s="759"/>
      <c r="C392" s="759"/>
      <c r="D392" s="759"/>
      <c r="E392" s="759"/>
      <c r="F392" s="759"/>
      <c r="G392" s="759"/>
      <c r="H392" s="759"/>
    </row>
    <row r="393" spans="2:8">
      <c r="B393" s="759"/>
      <c r="C393" s="759"/>
      <c r="D393" s="759"/>
      <c r="E393" s="759"/>
      <c r="F393" s="759"/>
      <c r="G393" s="759"/>
      <c r="H393" s="759"/>
    </row>
    <row r="394" spans="2:8">
      <c r="B394" s="759"/>
      <c r="C394" s="759"/>
      <c r="D394" s="759"/>
      <c r="E394" s="759"/>
      <c r="F394" s="759"/>
      <c r="G394" s="759"/>
      <c r="H394" s="759"/>
    </row>
    <row r="395" spans="2:8">
      <c r="B395" s="759"/>
      <c r="C395" s="759"/>
      <c r="D395" s="759"/>
      <c r="E395" s="759"/>
      <c r="F395" s="759"/>
      <c r="G395" s="759"/>
      <c r="H395" s="759"/>
    </row>
    <row r="396" spans="2:8">
      <c r="B396" s="759"/>
      <c r="C396" s="759"/>
      <c r="D396" s="759"/>
      <c r="E396" s="759"/>
      <c r="F396" s="759"/>
      <c r="G396" s="759"/>
      <c r="H396" s="759"/>
    </row>
    <row r="397" spans="2:8">
      <c r="B397" s="759"/>
      <c r="C397" s="759"/>
      <c r="D397" s="759"/>
      <c r="E397" s="759"/>
      <c r="F397" s="759"/>
      <c r="G397" s="759"/>
      <c r="H397" s="759"/>
    </row>
    <row r="398" spans="2:8">
      <c r="B398" s="759"/>
      <c r="C398" s="759"/>
      <c r="D398" s="759"/>
      <c r="E398" s="759"/>
      <c r="F398" s="759"/>
      <c r="G398" s="759"/>
      <c r="H398" s="759"/>
    </row>
    <row r="399" spans="2:8">
      <c r="B399" s="759"/>
      <c r="C399" s="759"/>
      <c r="D399" s="759"/>
      <c r="E399" s="759"/>
      <c r="F399" s="759"/>
      <c r="G399" s="759"/>
      <c r="H399" s="759"/>
    </row>
    <row r="400" spans="2:8">
      <c r="B400" s="759"/>
      <c r="C400" s="759"/>
      <c r="D400" s="759"/>
      <c r="E400" s="759"/>
      <c r="F400" s="759"/>
      <c r="G400" s="759"/>
      <c r="H400" s="759"/>
    </row>
    <row r="401" spans="2:8">
      <c r="B401" s="759"/>
      <c r="C401" s="759"/>
      <c r="D401" s="759"/>
      <c r="E401" s="759"/>
      <c r="F401" s="759"/>
      <c r="G401" s="759"/>
      <c r="H401" s="759"/>
    </row>
    <row r="402" spans="2:8">
      <c r="B402" s="759"/>
      <c r="C402" s="759"/>
      <c r="D402" s="759"/>
      <c r="E402" s="759"/>
      <c r="F402" s="759"/>
      <c r="G402" s="759"/>
      <c r="H402" s="759"/>
    </row>
    <row r="403" spans="2:8">
      <c r="B403" s="759"/>
      <c r="C403" s="759"/>
      <c r="D403" s="759"/>
      <c r="E403" s="759"/>
      <c r="F403" s="759"/>
      <c r="G403" s="759"/>
      <c r="H403" s="759"/>
    </row>
    <row r="404" spans="2:8">
      <c r="B404" s="759"/>
      <c r="C404" s="759"/>
      <c r="D404" s="759"/>
      <c r="E404" s="759"/>
      <c r="F404" s="759"/>
      <c r="G404" s="759"/>
      <c r="H404" s="759"/>
    </row>
    <row r="405" spans="2:8">
      <c r="B405" s="759"/>
      <c r="C405" s="759"/>
      <c r="D405" s="759"/>
      <c r="E405" s="759"/>
      <c r="F405" s="759"/>
      <c r="G405" s="759"/>
      <c r="H405" s="759"/>
    </row>
    <row r="406" spans="2:8">
      <c r="B406" s="759"/>
      <c r="C406" s="759"/>
      <c r="D406" s="759"/>
      <c r="E406" s="759"/>
      <c r="F406" s="759"/>
      <c r="G406" s="759"/>
      <c r="H406" s="759"/>
    </row>
    <row r="407" spans="2:8">
      <c r="B407" s="759"/>
      <c r="C407" s="759"/>
      <c r="D407" s="759"/>
      <c r="E407" s="759"/>
      <c r="F407" s="759"/>
      <c r="G407" s="759"/>
      <c r="H407" s="759"/>
    </row>
    <row r="408" spans="2:8">
      <c r="B408" s="759"/>
      <c r="C408" s="759"/>
      <c r="D408" s="759"/>
      <c r="E408" s="759"/>
      <c r="F408" s="759"/>
      <c r="G408" s="759"/>
      <c r="H408" s="759"/>
    </row>
    <row r="409" spans="2:8">
      <c r="B409" s="759"/>
      <c r="C409" s="759"/>
      <c r="D409" s="759"/>
      <c r="E409" s="759"/>
      <c r="F409" s="759"/>
      <c r="G409" s="759"/>
      <c r="H409" s="759"/>
    </row>
    <row r="410" spans="2:8">
      <c r="B410" s="759"/>
      <c r="C410" s="759"/>
      <c r="D410" s="759"/>
      <c r="E410" s="759"/>
      <c r="F410" s="759"/>
      <c r="G410" s="759"/>
      <c r="H410" s="759"/>
    </row>
    <row r="411" spans="2:8">
      <c r="B411" s="759"/>
      <c r="C411" s="759"/>
      <c r="D411" s="759"/>
      <c r="E411" s="759"/>
      <c r="F411" s="759"/>
      <c r="G411" s="759"/>
      <c r="H411" s="759"/>
    </row>
    <row r="412" spans="2:8">
      <c r="B412" s="759"/>
      <c r="C412" s="759"/>
      <c r="D412" s="759"/>
      <c r="E412" s="759"/>
      <c r="F412" s="759"/>
      <c r="G412" s="759"/>
      <c r="H412" s="759"/>
    </row>
    <row r="413" spans="2:8">
      <c r="B413" s="759"/>
      <c r="C413" s="759"/>
      <c r="D413" s="759"/>
      <c r="E413" s="759"/>
      <c r="F413" s="759"/>
      <c r="G413" s="759"/>
      <c r="H413" s="759"/>
    </row>
    <row r="414" spans="2:8">
      <c r="B414" s="759"/>
      <c r="C414" s="759"/>
      <c r="D414" s="759"/>
      <c r="E414" s="759"/>
      <c r="F414" s="759"/>
      <c r="G414" s="759"/>
      <c r="H414" s="759"/>
    </row>
    <row r="415" spans="2:8">
      <c r="B415" s="759"/>
      <c r="C415" s="759"/>
      <c r="D415" s="759"/>
      <c r="E415" s="759"/>
      <c r="F415" s="759"/>
      <c r="G415" s="759"/>
      <c r="H415" s="759"/>
    </row>
    <row r="416" spans="2:8">
      <c r="B416" s="759"/>
      <c r="C416" s="759"/>
      <c r="D416" s="759"/>
      <c r="E416" s="759"/>
      <c r="F416" s="759"/>
      <c r="G416" s="759"/>
      <c r="H416" s="759"/>
    </row>
    <row r="417" spans="2:8">
      <c r="B417" s="759"/>
      <c r="C417" s="759"/>
      <c r="D417" s="759"/>
      <c r="E417" s="759"/>
      <c r="F417" s="759"/>
      <c r="G417" s="759"/>
      <c r="H417" s="759"/>
    </row>
    <row r="418" spans="2:8">
      <c r="B418" s="759"/>
      <c r="C418" s="759"/>
      <c r="D418" s="759"/>
      <c r="E418" s="759"/>
      <c r="F418" s="759"/>
      <c r="G418" s="759"/>
      <c r="H418" s="759"/>
    </row>
    <row r="419" spans="2:8">
      <c r="B419" s="759"/>
      <c r="C419" s="759"/>
      <c r="D419" s="759"/>
      <c r="E419" s="759"/>
      <c r="F419" s="759"/>
      <c r="G419" s="759"/>
      <c r="H419" s="759"/>
    </row>
    <row r="420" spans="2:8">
      <c r="B420" s="759"/>
      <c r="C420" s="759"/>
      <c r="D420" s="759"/>
      <c r="E420" s="759"/>
      <c r="F420" s="759"/>
      <c r="G420" s="759"/>
      <c r="H420" s="759"/>
    </row>
    <row r="421" spans="2:8">
      <c r="B421" s="759"/>
      <c r="C421" s="759"/>
      <c r="D421" s="759"/>
      <c r="E421" s="759"/>
      <c r="F421" s="759"/>
      <c r="G421" s="759"/>
      <c r="H421" s="759"/>
    </row>
    <row r="422" spans="2:8">
      <c r="B422" s="759"/>
      <c r="C422" s="759"/>
      <c r="D422" s="759"/>
      <c r="E422" s="759"/>
      <c r="F422" s="759"/>
      <c r="G422" s="759"/>
      <c r="H422" s="759"/>
    </row>
    <row r="423" spans="2:8">
      <c r="B423" s="759"/>
      <c r="C423" s="759"/>
      <c r="D423" s="759"/>
      <c r="E423" s="759"/>
      <c r="F423" s="759"/>
      <c r="G423" s="759"/>
      <c r="H423" s="759"/>
    </row>
    <row r="424" spans="2:8">
      <c r="B424" s="759"/>
      <c r="C424" s="759"/>
      <c r="D424" s="759"/>
      <c r="E424" s="759"/>
      <c r="F424" s="759"/>
      <c r="G424" s="759"/>
      <c r="H424" s="759"/>
    </row>
    <row r="425" spans="2:8">
      <c r="B425" s="759"/>
      <c r="C425" s="759"/>
      <c r="D425" s="759"/>
      <c r="E425" s="759"/>
      <c r="F425" s="759"/>
      <c r="G425" s="759"/>
      <c r="H425" s="759"/>
    </row>
    <row r="426" spans="2:8">
      <c r="B426" s="759"/>
      <c r="C426" s="759"/>
      <c r="D426" s="759"/>
      <c r="E426" s="759"/>
      <c r="F426" s="759"/>
      <c r="G426" s="759"/>
      <c r="H426" s="759"/>
    </row>
    <row r="427" spans="2:8">
      <c r="B427" s="759"/>
      <c r="C427" s="759"/>
      <c r="D427" s="759"/>
      <c r="E427" s="759"/>
      <c r="F427" s="759"/>
      <c r="G427" s="759"/>
      <c r="H427" s="759"/>
    </row>
    <row r="428" spans="2:8">
      <c r="B428" s="759"/>
      <c r="C428" s="759"/>
      <c r="D428" s="759"/>
      <c r="E428" s="759"/>
      <c r="F428" s="759"/>
      <c r="G428" s="759"/>
      <c r="H428" s="759"/>
    </row>
    <row r="429" spans="2:8">
      <c r="B429" s="759"/>
      <c r="C429" s="759"/>
      <c r="D429" s="759"/>
      <c r="E429" s="759"/>
      <c r="F429" s="759"/>
      <c r="G429" s="759"/>
      <c r="H429" s="759"/>
    </row>
    <row r="430" spans="2:8">
      <c r="B430" s="759"/>
      <c r="C430" s="759"/>
      <c r="D430" s="759"/>
      <c r="E430" s="759"/>
      <c r="F430" s="759"/>
      <c r="G430" s="759"/>
      <c r="H430" s="759"/>
    </row>
    <row r="431" spans="2:8">
      <c r="B431" s="759"/>
      <c r="C431" s="759"/>
      <c r="D431" s="759"/>
      <c r="E431" s="759"/>
      <c r="F431" s="759"/>
      <c r="G431" s="759"/>
      <c r="H431" s="759"/>
    </row>
    <row r="432" spans="2:8">
      <c r="B432" s="759"/>
      <c r="C432" s="759"/>
      <c r="D432" s="759"/>
      <c r="E432" s="759"/>
      <c r="F432" s="759"/>
      <c r="G432" s="759"/>
      <c r="H432" s="759"/>
    </row>
    <row r="433" spans="2:8">
      <c r="B433" s="759"/>
      <c r="C433" s="759"/>
      <c r="D433" s="759"/>
      <c r="E433" s="759"/>
      <c r="F433" s="759"/>
      <c r="G433" s="759"/>
      <c r="H433" s="759"/>
    </row>
    <row r="434" spans="2:8">
      <c r="B434" s="759"/>
      <c r="C434" s="759"/>
      <c r="D434" s="759"/>
      <c r="E434" s="759"/>
      <c r="F434" s="759"/>
      <c r="G434" s="759"/>
      <c r="H434" s="759"/>
    </row>
    <row r="435" spans="2:8">
      <c r="B435" s="759"/>
      <c r="C435" s="759"/>
      <c r="D435" s="759"/>
      <c r="E435" s="759"/>
      <c r="F435" s="759"/>
      <c r="G435" s="759"/>
      <c r="H435" s="759"/>
    </row>
    <row r="436" spans="2:8">
      <c r="B436" s="759"/>
      <c r="C436" s="759"/>
      <c r="D436" s="759"/>
      <c r="E436" s="759"/>
      <c r="F436" s="759"/>
      <c r="G436" s="759"/>
      <c r="H436" s="759"/>
    </row>
    <row r="437" spans="2:8">
      <c r="B437" s="759"/>
      <c r="C437" s="759"/>
      <c r="D437" s="759"/>
      <c r="E437" s="759"/>
      <c r="F437" s="759"/>
      <c r="G437" s="759"/>
      <c r="H437" s="759"/>
    </row>
    <row r="438" spans="2:8">
      <c r="B438" s="759"/>
      <c r="C438" s="759"/>
      <c r="D438" s="759"/>
      <c r="E438" s="759"/>
      <c r="F438" s="759"/>
      <c r="G438" s="759"/>
      <c r="H438" s="759"/>
    </row>
    <row r="439" spans="2:8">
      <c r="B439" s="759"/>
      <c r="C439" s="759"/>
      <c r="D439" s="759"/>
      <c r="E439" s="759"/>
      <c r="F439" s="759"/>
      <c r="G439" s="759"/>
      <c r="H439" s="759"/>
    </row>
    <row r="440" spans="2:8">
      <c r="B440" s="759"/>
      <c r="C440" s="759"/>
      <c r="D440" s="759"/>
      <c r="E440" s="759"/>
      <c r="F440" s="759"/>
      <c r="G440" s="759"/>
      <c r="H440" s="759"/>
    </row>
    <row r="441" spans="2:8">
      <c r="B441" s="759"/>
      <c r="C441" s="759"/>
      <c r="D441" s="759"/>
      <c r="E441" s="759"/>
      <c r="F441" s="759"/>
      <c r="G441" s="759"/>
      <c r="H441" s="759"/>
    </row>
    <row r="442" spans="2:8">
      <c r="B442" s="759"/>
      <c r="C442" s="759"/>
      <c r="D442" s="759"/>
      <c r="E442" s="759"/>
      <c r="F442" s="759"/>
      <c r="G442" s="759"/>
      <c r="H442" s="759"/>
    </row>
    <row r="443" spans="2:8">
      <c r="B443" s="759"/>
      <c r="C443" s="759"/>
      <c r="D443" s="759"/>
      <c r="E443" s="759"/>
      <c r="F443" s="759"/>
      <c r="G443" s="759"/>
      <c r="H443" s="759"/>
    </row>
    <row r="444" spans="2:8">
      <c r="B444" s="759"/>
      <c r="C444" s="759"/>
      <c r="D444" s="759"/>
      <c r="E444" s="759"/>
      <c r="F444" s="759"/>
      <c r="G444" s="759"/>
      <c r="H444" s="759"/>
    </row>
    <row r="445" spans="2:8">
      <c r="B445" s="759"/>
      <c r="C445" s="759"/>
      <c r="D445" s="759"/>
      <c r="E445" s="759"/>
      <c r="F445" s="759"/>
      <c r="G445" s="759"/>
      <c r="H445" s="759"/>
    </row>
    <row r="446" spans="2:8">
      <c r="B446" s="759"/>
      <c r="C446" s="759"/>
      <c r="D446" s="759"/>
      <c r="E446" s="759"/>
      <c r="F446" s="759"/>
      <c r="G446" s="759"/>
      <c r="H446" s="759"/>
    </row>
    <row r="447" spans="2:8">
      <c r="B447" s="759"/>
      <c r="C447" s="759"/>
      <c r="D447" s="759"/>
      <c r="E447" s="759"/>
      <c r="F447" s="759"/>
      <c r="G447" s="759"/>
      <c r="H447" s="759"/>
    </row>
    <row r="448" spans="2:8">
      <c r="B448" s="759"/>
      <c r="C448" s="759"/>
      <c r="D448" s="759"/>
      <c r="E448" s="759"/>
      <c r="F448" s="759"/>
      <c r="G448" s="759"/>
      <c r="H448" s="759"/>
    </row>
    <row r="449" spans="2:8">
      <c r="B449" s="759"/>
      <c r="C449" s="759"/>
      <c r="D449" s="759"/>
      <c r="E449" s="759"/>
      <c r="F449" s="759"/>
      <c r="G449" s="759"/>
      <c r="H449" s="759"/>
    </row>
    <row r="450" spans="2:8">
      <c r="B450" s="759"/>
      <c r="C450" s="759"/>
      <c r="D450" s="759"/>
      <c r="E450" s="759"/>
      <c r="F450" s="759"/>
      <c r="G450" s="759"/>
      <c r="H450" s="759"/>
    </row>
    <row r="451" spans="2:8">
      <c r="B451" s="759"/>
      <c r="C451" s="759"/>
      <c r="D451" s="759"/>
      <c r="E451" s="759"/>
      <c r="F451" s="759"/>
      <c r="G451" s="759"/>
      <c r="H451" s="759"/>
    </row>
    <row r="452" spans="2:8">
      <c r="B452" s="759"/>
      <c r="C452" s="759"/>
      <c r="D452" s="759"/>
      <c r="E452" s="759"/>
      <c r="F452" s="759"/>
      <c r="G452" s="759"/>
      <c r="H452" s="759"/>
    </row>
    <row r="453" spans="2:8">
      <c r="B453" s="759"/>
      <c r="C453" s="759"/>
      <c r="D453" s="759"/>
      <c r="E453" s="759"/>
      <c r="F453" s="759"/>
      <c r="G453" s="759"/>
      <c r="H453" s="759"/>
    </row>
    <row r="454" spans="2:8">
      <c r="B454" s="759"/>
      <c r="C454" s="759"/>
      <c r="D454" s="759"/>
      <c r="E454" s="759"/>
      <c r="F454" s="759"/>
      <c r="G454" s="759"/>
      <c r="H454" s="759"/>
    </row>
    <row r="455" spans="2:8">
      <c r="B455" s="759"/>
      <c r="C455" s="759"/>
      <c r="D455" s="759"/>
      <c r="E455" s="759"/>
      <c r="F455" s="759"/>
      <c r="G455" s="759"/>
      <c r="H455" s="759"/>
    </row>
    <row r="456" spans="2:8">
      <c r="B456" s="759"/>
      <c r="C456" s="759"/>
      <c r="D456" s="759"/>
      <c r="E456" s="759"/>
      <c r="F456" s="759"/>
      <c r="G456" s="759"/>
      <c r="H456" s="759"/>
    </row>
    <row r="457" spans="2:8">
      <c r="B457" s="759"/>
      <c r="C457" s="759"/>
      <c r="D457" s="759"/>
      <c r="E457" s="759"/>
      <c r="F457" s="759"/>
      <c r="G457" s="759"/>
      <c r="H457" s="759"/>
    </row>
    <row r="458" spans="2:8">
      <c r="B458" s="759"/>
      <c r="C458" s="759"/>
      <c r="D458" s="759"/>
      <c r="E458" s="759"/>
      <c r="F458" s="759"/>
      <c r="G458" s="759"/>
      <c r="H458" s="759"/>
    </row>
    <row r="459" spans="2:8">
      <c r="B459" s="759"/>
      <c r="C459" s="759"/>
      <c r="D459" s="759"/>
      <c r="E459" s="759"/>
      <c r="F459" s="759"/>
      <c r="G459" s="759"/>
      <c r="H459" s="759"/>
    </row>
    <row r="460" spans="2:8">
      <c r="B460" s="759"/>
      <c r="C460" s="759"/>
      <c r="D460" s="759"/>
      <c r="E460" s="759"/>
      <c r="F460" s="759"/>
      <c r="G460" s="759"/>
      <c r="H460" s="759"/>
    </row>
    <row r="461" spans="2:8">
      <c r="B461" s="759"/>
      <c r="C461" s="759"/>
      <c r="D461" s="759"/>
      <c r="E461" s="759"/>
      <c r="F461" s="759"/>
      <c r="G461" s="759"/>
      <c r="H461" s="759"/>
    </row>
    <row r="462" spans="2:8">
      <c r="B462" s="759"/>
      <c r="C462" s="759"/>
      <c r="D462" s="759"/>
      <c r="E462" s="759"/>
      <c r="F462" s="759"/>
      <c r="G462" s="759"/>
      <c r="H462" s="759"/>
    </row>
    <row r="463" spans="2:8">
      <c r="B463" s="759"/>
      <c r="C463" s="759"/>
      <c r="D463" s="759"/>
      <c r="E463" s="759"/>
      <c r="F463" s="759"/>
      <c r="G463" s="759"/>
      <c r="H463" s="759"/>
    </row>
    <row r="464" spans="2:8">
      <c r="B464" s="759"/>
      <c r="C464" s="759"/>
      <c r="D464" s="759"/>
      <c r="E464" s="759"/>
      <c r="F464" s="759"/>
      <c r="G464" s="759"/>
      <c r="H464" s="759"/>
    </row>
    <row r="465" spans="2:8">
      <c r="B465" s="759"/>
      <c r="C465" s="759"/>
      <c r="D465" s="759"/>
      <c r="E465" s="759"/>
      <c r="F465" s="759"/>
      <c r="G465" s="759"/>
      <c r="H465" s="759"/>
    </row>
    <row r="466" spans="2:8">
      <c r="B466" s="759"/>
      <c r="C466" s="759"/>
      <c r="D466" s="759"/>
      <c r="E466" s="759"/>
      <c r="F466" s="759"/>
      <c r="G466" s="759"/>
      <c r="H466" s="759"/>
    </row>
    <row r="467" spans="2:8">
      <c r="B467" s="759"/>
      <c r="C467" s="759"/>
      <c r="D467" s="759"/>
      <c r="E467" s="759"/>
      <c r="F467" s="759"/>
      <c r="G467" s="759"/>
      <c r="H467" s="759"/>
    </row>
    <row r="468" spans="2:8">
      <c r="B468" s="759"/>
      <c r="C468" s="759"/>
      <c r="D468" s="759"/>
      <c r="E468" s="759"/>
      <c r="F468" s="759"/>
      <c r="G468" s="759"/>
      <c r="H468" s="759"/>
    </row>
    <row r="469" spans="2:8">
      <c r="B469" s="759"/>
      <c r="C469" s="759"/>
      <c r="D469" s="759"/>
      <c r="E469" s="759"/>
      <c r="F469" s="759"/>
      <c r="G469" s="759"/>
      <c r="H469" s="759"/>
    </row>
    <row r="470" spans="2:8">
      <c r="B470" s="759"/>
      <c r="C470" s="759"/>
      <c r="D470" s="759"/>
      <c r="E470" s="759"/>
      <c r="F470" s="759"/>
      <c r="G470" s="759"/>
      <c r="H470" s="759"/>
    </row>
    <row r="471" spans="2:8">
      <c r="B471" s="759"/>
      <c r="C471" s="759"/>
      <c r="D471" s="759"/>
      <c r="E471" s="759"/>
      <c r="F471" s="759"/>
      <c r="G471" s="759"/>
      <c r="H471" s="759"/>
    </row>
    <row r="472" spans="2:8">
      <c r="B472" s="759"/>
      <c r="C472" s="759"/>
      <c r="D472" s="759"/>
      <c r="E472" s="759"/>
      <c r="F472" s="759"/>
      <c r="G472" s="759"/>
      <c r="H472" s="759"/>
    </row>
    <row r="473" spans="2:8">
      <c r="B473" s="759"/>
      <c r="C473" s="759"/>
      <c r="D473" s="759"/>
      <c r="E473" s="759"/>
      <c r="F473" s="759"/>
      <c r="G473" s="759"/>
      <c r="H473" s="759"/>
    </row>
    <row r="474" spans="2:8">
      <c r="B474" s="759"/>
      <c r="C474" s="759"/>
      <c r="D474" s="759"/>
      <c r="E474" s="759"/>
      <c r="F474" s="759"/>
      <c r="G474" s="759"/>
      <c r="H474" s="759"/>
    </row>
    <row r="475" spans="2:8">
      <c r="B475" s="759"/>
      <c r="C475" s="759"/>
      <c r="D475" s="759"/>
      <c r="E475" s="759"/>
      <c r="F475" s="759"/>
      <c r="G475" s="759"/>
      <c r="H475" s="759"/>
    </row>
    <row r="476" spans="2:8">
      <c r="B476" s="759"/>
      <c r="C476" s="759"/>
      <c r="D476" s="759"/>
      <c r="E476" s="759"/>
      <c r="F476" s="759"/>
      <c r="G476" s="759"/>
      <c r="H476" s="759"/>
    </row>
    <row r="477" spans="2:8">
      <c r="B477" s="759"/>
      <c r="C477" s="759"/>
      <c r="D477" s="759"/>
      <c r="E477" s="759"/>
      <c r="F477" s="759"/>
      <c r="G477" s="759"/>
      <c r="H477" s="759"/>
    </row>
    <row r="478" spans="2:8">
      <c r="B478" s="759"/>
      <c r="C478" s="759"/>
      <c r="D478" s="759"/>
      <c r="E478" s="759"/>
      <c r="F478" s="759"/>
      <c r="G478" s="759"/>
      <c r="H478" s="759"/>
    </row>
    <row r="479" spans="2:8">
      <c r="B479" s="759"/>
      <c r="C479" s="759"/>
      <c r="D479" s="759"/>
      <c r="E479" s="759"/>
      <c r="F479" s="759"/>
      <c r="G479" s="759"/>
      <c r="H479" s="759"/>
    </row>
    <row r="480" spans="2:8">
      <c r="B480" s="759"/>
      <c r="C480" s="759"/>
      <c r="D480" s="759"/>
      <c r="E480" s="759"/>
      <c r="F480" s="759"/>
      <c r="G480" s="759"/>
      <c r="H480" s="759"/>
    </row>
    <row r="481" spans="2:8">
      <c r="B481" s="759"/>
      <c r="C481" s="759"/>
      <c r="D481" s="759"/>
      <c r="E481" s="759"/>
      <c r="F481" s="759"/>
      <c r="G481" s="759"/>
      <c r="H481" s="759"/>
    </row>
    <row r="482" spans="2:8">
      <c r="B482" s="759"/>
      <c r="C482" s="759"/>
      <c r="D482" s="759"/>
      <c r="E482" s="759"/>
      <c r="F482" s="759"/>
      <c r="G482" s="759"/>
      <c r="H482" s="759"/>
    </row>
    <row r="483" spans="2:8">
      <c r="B483" s="759"/>
      <c r="C483" s="759"/>
      <c r="D483" s="759"/>
      <c r="E483" s="759"/>
      <c r="F483" s="759"/>
      <c r="G483" s="759"/>
      <c r="H483" s="759"/>
    </row>
    <row r="484" spans="2:8">
      <c r="B484" s="759"/>
      <c r="C484" s="759"/>
      <c r="D484" s="759"/>
      <c r="E484" s="759"/>
      <c r="F484" s="759"/>
      <c r="G484" s="759"/>
      <c r="H484" s="759"/>
    </row>
    <row r="485" spans="2:8">
      <c r="B485" s="759"/>
      <c r="C485" s="759"/>
      <c r="D485" s="759"/>
      <c r="E485" s="759"/>
      <c r="F485" s="759"/>
      <c r="G485" s="759"/>
      <c r="H485" s="759"/>
    </row>
    <row r="486" spans="2:8">
      <c r="B486" s="759"/>
      <c r="C486" s="759"/>
      <c r="D486" s="759"/>
      <c r="E486" s="759"/>
      <c r="F486" s="759"/>
      <c r="G486" s="759"/>
      <c r="H486" s="759"/>
    </row>
    <row r="487" spans="2:8">
      <c r="B487" s="759"/>
      <c r="C487" s="759"/>
      <c r="D487" s="759"/>
      <c r="E487" s="759"/>
      <c r="F487" s="759"/>
      <c r="G487" s="759"/>
      <c r="H487" s="759"/>
    </row>
    <row r="488" spans="2:8">
      <c r="B488" s="759"/>
      <c r="C488" s="759"/>
      <c r="D488" s="759"/>
      <c r="E488" s="759"/>
      <c r="F488" s="759"/>
      <c r="G488" s="759"/>
      <c r="H488" s="759"/>
    </row>
    <row r="489" spans="2:8">
      <c r="B489" s="759"/>
      <c r="C489" s="759"/>
      <c r="D489" s="759"/>
      <c r="E489" s="759"/>
      <c r="F489" s="759"/>
      <c r="G489" s="759"/>
      <c r="H489" s="759"/>
    </row>
    <row r="490" spans="2:8">
      <c r="B490" s="759"/>
      <c r="C490" s="759"/>
      <c r="D490" s="759"/>
      <c r="E490" s="759"/>
      <c r="F490" s="759"/>
      <c r="G490" s="759"/>
      <c r="H490" s="759"/>
    </row>
    <row r="491" spans="2:8">
      <c r="B491" s="759"/>
      <c r="C491" s="759"/>
      <c r="D491" s="759"/>
      <c r="E491" s="759"/>
      <c r="F491" s="759"/>
      <c r="G491" s="759"/>
      <c r="H491" s="759"/>
    </row>
    <row r="492" spans="2:8">
      <c r="B492" s="759"/>
      <c r="C492" s="759"/>
      <c r="D492" s="759"/>
      <c r="E492" s="759"/>
      <c r="F492" s="759"/>
      <c r="G492" s="759"/>
      <c r="H492" s="759"/>
    </row>
    <row r="493" spans="2:8">
      <c r="B493" s="759"/>
      <c r="C493" s="759"/>
      <c r="D493" s="759"/>
      <c r="E493" s="759"/>
      <c r="F493" s="759"/>
      <c r="G493" s="759"/>
      <c r="H493" s="759"/>
    </row>
    <row r="494" spans="2:8">
      <c r="B494" s="759"/>
      <c r="C494" s="759"/>
      <c r="D494" s="759"/>
      <c r="E494" s="759"/>
      <c r="F494" s="759"/>
      <c r="G494" s="759"/>
      <c r="H494" s="759"/>
    </row>
    <row r="495" spans="2:8">
      <c r="B495" s="759"/>
      <c r="C495" s="759"/>
      <c r="D495" s="759"/>
      <c r="E495" s="759"/>
      <c r="F495" s="759"/>
      <c r="G495" s="759"/>
      <c r="H495" s="759"/>
    </row>
    <row r="496" spans="2:8">
      <c r="B496" s="759"/>
      <c r="C496" s="759"/>
      <c r="D496" s="759"/>
      <c r="E496" s="759"/>
      <c r="F496" s="759"/>
      <c r="G496" s="759"/>
      <c r="H496" s="759"/>
    </row>
    <row r="497" spans="2:8">
      <c r="B497" s="759"/>
      <c r="C497" s="759"/>
      <c r="D497" s="759"/>
      <c r="E497" s="759"/>
      <c r="F497" s="759"/>
      <c r="G497" s="759"/>
      <c r="H497" s="759"/>
    </row>
    <row r="498" spans="2:8">
      <c r="B498" s="759"/>
      <c r="C498" s="759"/>
      <c r="D498" s="759"/>
      <c r="E498" s="759"/>
      <c r="F498" s="759"/>
      <c r="G498" s="759"/>
      <c r="H498" s="759"/>
    </row>
    <row r="499" spans="2:8">
      <c r="B499" s="759"/>
      <c r="C499" s="759"/>
      <c r="D499" s="759"/>
      <c r="E499" s="759"/>
      <c r="F499" s="759"/>
      <c r="G499" s="759"/>
      <c r="H499" s="759"/>
    </row>
    <row r="500" spans="2:8">
      <c r="B500" s="759"/>
      <c r="C500" s="759"/>
      <c r="D500" s="759"/>
      <c r="E500" s="759"/>
      <c r="F500" s="759"/>
      <c r="G500" s="759"/>
      <c r="H500" s="759"/>
    </row>
    <row r="501" spans="2:8">
      <c r="B501" s="759"/>
      <c r="C501" s="759"/>
      <c r="D501" s="759"/>
      <c r="E501" s="759"/>
      <c r="F501" s="759"/>
      <c r="G501" s="759"/>
      <c r="H501" s="759"/>
    </row>
    <row r="502" spans="2:8">
      <c r="B502" s="759"/>
      <c r="C502" s="759"/>
      <c r="D502" s="759"/>
      <c r="E502" s="759"/>
      <c r="F502" s="759"/>
      <c r="G502" s="759"/>
      <c r="H502" s="759"/>
    </row>
    <row r="503" spans="2:8">
      <c r="B503" s="759"/>
      <c r="C503" s="759"/>
      <c r="D503" s="759"/>
      <c r="E503" s="759"/>
      <c r="F503" s="759"/>
      <c r="G503" s="759"/>
      <c r="H503" s="759"/>
    </row>
    <row r="504" spans="2:8">
      <c r="B504" s="759"/>
      <c r="C504" s="759"/>
      <c r="D504" s="759"/>
      <c r="E504" s="759"/>
      <c r="F504" s="759"/>
      <c r="G504" s="759"/>
      <c r="H504" s="759"/>
    </row>
    <row r="505" spans="2:8">
      <c r="B505" s="759"/>
      <c r="C505" s="759"/>
      <c r="D505" s="759"/>
      <c r="E505" s="759"/>
      <c r="F505" s="759"/>
      <c r="G505" s="759"/>
      <c r="H505" s="759"/>
    </row>
    <row r="506" spans="2:8">
      <c r="B506" s="759"/>
      <c r="C506" s="759"/>
      <c r="D506" s="759"/>
      <c r="E506" s="759"/>
      <c r="F506" s="759"/>
      <c r="G506" s="759"/>
      <c r="H506" s="759"/>
    </row>
    <row r="507" spans="2:8">
      <c r="B507" s="759"/>
      <c r="C507" s="759"/>
      <c r="D507" s="759"/>
      <c r="E507" s="759"/>
      <c r="F507" s="759"/>
      <c r="G507" s="759"/>
      <c r="H507" s="759"/>
    </row>
    <row r="508" spans="2:8">
      <c r="B508" s="759"/>
      <c r="C508" s="759"/>
      <c r="D508" s="759"/>
      <c r="E508" s="759"/>
      <c r="F508" s="759"/>
      <c r="G508" s="759"/>
      <c r="H508" s="759"/>
    </row>
    <row r="509" spans="2:8">
      <c r="B509" s="759"/>
      <c r="C509" s="759"/>
      <c r="D509" s="759"/>
      <c r="E509" s="759"/>
      <c r="F509" s="759"/>
      <c r="G509" s="759"/>
      <c r="H509" s="759"/>
    </row>
    <row r="510" spans="2:8">
      <c r="B510" s="759"/>
      <c r="C510" s="759"/>
      <c r="D510" s="759"/>
      <c r="E510" s="759"/>
      <c r="F510" s="759"/>
      <c r="G510" s="759"/>
      <c r="H510" s="759"/>
    </row>
    <row r="511" spans="2:8">
      <c r="B511" s="759"/>
      <c r="C511" s="759"/>
      <c r="D511" s="759"/>
      <c r="E511" s="759"/>
      <c r="F511" s="759"/>
      <c r="G511" s="759"/>
      <c r="H511" s="759"/>
    </row>
    <row r="512" spans="2:8">
      <c r="B512" s="759"/>
      <c r="C512" s="759"/>
      <c r="D512" s="759"/>
      <c r="E512" s="759"/>
      <c r="F512" s="759"/>
      <c r="G512" s="759"/>
      <c r="H512" s="759"/>
    </row>
    <row r="513" spans="2:8">
      <c r="B513" s="759"/>
      <c r="C513" s="759"/>
      <c r="D513" s="759"/>
      <c r="E513" s="759"/>
      <c r="F513" s="759"/>
      <c r="G513" s="759"/>
      <c r="H513" s="759"/>
    </row>
  </sheetData>
  <mergeCells count="7">
    <mergeCell ref="C1:H3"/>
    <mergeCell ref="A7:B7"/>
    <mergeCell ref="H5:H6"/>
    <mergeCell ref="A4:C4"/>
    <mergeCell ref="D4:H4"/>
    <mergeCell ref="A5:C5"/>
    <mergeCell ref="D5:G5"/>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38" orientation="portrait" r:id="rId1"/>
  <headerFooter>
    <oddFooter>&amp;L&amp;"Calibri,Regular"&amp;K184782&amp;F&amp;C&amp;"Calibri,Regular"&amp;K184782&amp;A&amp;R&amp;"Calibri,Regular"&amp;K184782&amp;P</oddFooter>
  </headerFooter>
  <rowBreaks count="1" manualBreakCount="1">
    <brk id="272"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49</vt:i4>
      </vt:variant>
      <vt:variant>
        <vt:lpstr>Intervalos Nomeados</vt:lpstr>
      </vt:variant>
      <vt:variant>
        <vt:i4>32</vt:i4>
      </vt:variant>
    </vt:vector>
  </HeadingPairs>
  <TitlesOfParts>
    <vt:vector size="81" baseType="lpstr">
      <vt:lpstr>geral</vt:lpstr>
      <vt:lpstr>Resumo</vt:lpstr>
      <vt:lpstr>Diesel_S500</vt:lpstr>
      <vt:lpstr>Diesel_S10</vt:lpstr>
      <vt:lpstr>ARLA_32</vt:lpstr>
      <vt:lpstr>ANP</vt:lpstr>
      <vt:lpstr>ANP S-50_S-10  </vt:lpstr>
      <vt:lpstr>aumentos comb</vt:lpstr>
      <vt:lpstr>câmbio</vt:lpstr>
      <vt:lpstr>cárter</vt:lpstr>
      <vt:lpstr>mnt_Atego 2426</vt:lpstr>
      <vt:lpstr>mnt_ACCELO 815</vt:lpstr>
      <vt:lpstr>motrod</vt:lpstr>
      <vt:lpstr>moturb</vt:lpstr>
      <vt:lpstr>ajud</vt:lpstr>
      <vt:lpstr>DAT</vt:lpstr>
      <vt:lpstr>MB ATEGO 2426</vt:lpstr>
      <vt:lpstr>MB ACCELO 815 </vt:lpstr>
      <vt:lpstr>cartru</vt:lpstr>
      <vt:lpstr>carlev</vt:lpstr>
      <vt:lpstr>rodoartq</vt:lpstr>
      <vt:lpstr>rodoarlv</vt:lpstr>
      <vt:lpstr>Pn1000</vt:lpstr>
      <vt:lpstr>Pn750</vt:lpstr>
      <vt:lpstr>camara1000</vt:lpstr>
      <vt:lpstr>camara750</vt:lpstr>
      <vt:lpstr>Prot1000</vt:lpstr>
      <vt:lpstr>Prot750</vt:lpstr>
      <vt:lpstr>Pn275</vt:lpstr>
      <vt:lpstr>Pn215</vt:lpstr>
      <vt:lpstr>Pn205</vt:lpstr>
      <vt:lpstr>Rec1000</vt:lpstr>
      <vt:lpstr>Rec750</vt:lpstr>
      <vt:lpstr>Lavtq</vt:lpstr>
      <vt:lpstr>Lavlv</vt:lpstr>
      <vt:lpstr>Seg_ATEGO 2426</vt:lpstr>
      <vt:lpstr>Seg_ACCELO 815</vt:lpstr>
      <vt:lpstr>peças</vt:lpstr>
      <vt:lpstr>mecânico</vt:lpstr>
      <vt:lpstr>MB12(13)18</vt:lpstr>
      <vt:lpstr>MB1620</vt:lpstr>
      <vt:lpstr>camara900</vt:lpstr>
      <vt:lpstr>eixo</vt:lpstr>
      <vt:lpstr>Pn900</vt:lpstr>
      <vt:lpstr>Prot900</vt:lpstr>
      <vt:lpstr>Rec900</vt:lpstr>
      <vt:lpstr>Seg1218</vt:lpstr>
      <vt:lpstr>GRISR</vt:lpstr>
      <vt:lpstr>GRISCE</vt:lpstr>
      <vt:lpstr>ajud!Area_de_impressao</vt:lpstr>
      <vt:lpstr>ANP!Area_de_impressao</vt:lpstr>
      <vt:lpstr>'ANP S-50_S-10  '!Area_de_impressao</vt:lpstr>
      <vt:lpstr>ARLA_32!Area_de_impressao</vt:lpstr>
      <vt:lpstr>câmbio!Area_de_impressao</vt:lpstr>
      <vt:lpstr>carlev!Area_de_impressao</vt:lpstr>
      <vt:lpstr>cárter!Area_de_impressao</vt:lpstr>
      <vt:lpstr>cartru!Area_de_impressao</vt:lpstr>
      <vt:lpstr>DAT!Area_de_impressao</vt:lpstr>
      <vt:lpstr>Diesel_S10!Area_de_impressao</vt:lpstr>
      <vt:lpstr>Diesel_S500!Area_de_impressao</vt:lpstr>
      <vt:lpstr>Lavlv!Area_de_impressao</vt:lpstr>
      <vt:lpstr>Lavtq!Area_de_impressao</vt:lpstr>
      <vt:lpstr>'MB ACCELO 815 '!Area_de_impressao</vt:lpstr>
      <vt:lpstr>'MB ATEGO 2426'!Area_de_impressao</vt:lpstr>
      <vt:lpstr>'mnt_ACCELO 815'!Area_de_impressao</vt:lpstr>
      <vt:lpstr>'mnt_Atego 2426'!Area_de_impressao</vt:lpstr>
      <vt:lpstr>motrod!Area_de_impressao</vt:lpstr>
      <vt:lpstr>moturb!Area_de_impressao</vt:lpstr>
      <vt:lpstr>'Pn205'!Area_de_impressao</vt:lpstr>
      <vt:lpstr>'Pn215'!Area_de_impressao</vt:lpstr>
      <vt:lpstr>'Pn275'!Area_de_impressao</vt:lpstr>
      <vt:lpstr>'Rec1000'!Area_de_impressao</vt:lpstr>
      <vt:lpstr>'Rec750'!Area_de_impressao</vt:lpstr>
      <vt:lpstr>Resumo!Area_de_impressao</vt:lpstr>
      <vt:lpstr>rodoarlv!Area_de_impressao</vt:lpstr>
      <vt:lpstr>rodoartq!Area_de_impressao</vt:lpstr>
      <vt:lpstr>'Seg_ACCELO 815'!Area_de_impressao</vt:lpstr>
      <vt:lpstr>'Seg_ATEGO 2426'!Area_de_impressao</vt:lpstr>
      <vt:lpstr>ANP!Titulos_de_impressao</vt:lpstr>
      <vt:lpstr>'ANP S-50_S-10  '!Titulos_de_impressao</vt:lpstr>
      <vt:lpstr>Diesel_S500!Titulos_de_impressao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Neuto</dc:creator>
  <cp:lastModifiedBy>Fernando Silva | NTC</cp:lastModifiedBy>
  <cp:lastPrinted>2020-10-07T15:58:42Z</cp:lastPrinted>
  <dcterms:created xsi:type="dcterms:W3CDTF">1999-10-23T12:13:01Z</dcterms:created>
  <dcterms:modified xsi:type="dcterms:W3CDTF">2020-10-07T16:56:52Z</dcterms:modified>
</cp:coreProperties>
</file>